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48" yWindow="72" windowWidth="25152" windowHeight="5208" tabRatio="803" firstSheet="4" activeTab="4"/>
  </bookViews>
  <sheets>
    <sheet name="Sheet1" sheetId="134" state="hidden" r:id="rId1"/>
    <sheet name="Overall Summary" sheetId="135" state="hidden" r:id="rId2"/>
    <sheet name="Overall Summary (2)" sheetId="136" state="hidden" r:id="rId3"/>
    <sheet name="Tables" sheetId="125" state="hidden" r:id="rId4"/>
    <sheet name="ES Summary Tables" sheetId="137" r:id="rId5"/>
    <sheet name="Program Tables" sheetId="138" r:id="rId6"/>
    <sheet name="Expenditures" sheetId="139" r:id="rId7"/>
    <sheet name="Portfolio Inputs" sheetId="133" r:id="rId8"/>
    <sheet name="2014-15 Status Rpt Bencost" sheetId="110" r:id="rId9"/>
    <sheet name="2015" sheetId="126" state="hidden" r:id="rId10"/>
    <sheet name="2016" sheetId="127" state="hidden" r:id="rId11"/>
    <sheet name="SD Achievements" sheetId="107" state="hidden" r:id="rId12"/>
    <sheet name="Sources" sheetId="118" r:id="rId13"/>
    <sheet name="2014 Screen" sheetId="130" state="hidden" r:id="rId14"/>
    <sheet name="2015 Screen" sheetId="131" state="hidden" r:id="rId15"/>
    <sheet name="2016 Screen" sheetId="132" state="hidden" r:id="rId16"/>
    <sheet name="Measure Calculations" sheetId="115" r:id="rId17"/>
    <sheet name="General Inputs" sheetId="109" r:id="rId18"/>
  </sheets>
  <externalReferences>
    <externalReference r:id="rId19"/>
    <externalReference r:id="rId20"/>
    <externalReference r:id="rId21"/>
    <externalReference r:id="rId22"/>
  </externalReferences>
  <definedNames>
    <definedName name="__123Graph_A" localSheetId="2" hidden="1">'[1]Func. Plt. RRF - With Earnings'!#REF!</definedName>
    <definedName name="__123Graph_A" localSheetId="7" hidden="1">'[1]Func. Plt. RRF - With Earnings'!#REF!</definedName>
    <definedName name="__123Graph_A" hidden="1">'[1]Func. Plt. RRF - With Earnings'!#REF!</definedName>
    <definedName name="__123Graph_C" localSheetId="2" hidden="1">'[1]Func. Plt. RRF - With Earnings'!#REF!</definedName>
    <definedName name="__123Graph_C" localSheetId="7" hidden="1">'[1]Func. Plt. RRF - With Earnings'!#REF!</definedName>
    <definedName name="__123Graph_C" hidden="1">'[1]Func. Plt. RRF - With Earnings'!#REF!</definedName>
    <definedName name="__123Graph_D" localSheetId="2" hidden="1">'[1]Func. Plt. RRF - With Earnings'!#REF!</definedName>
    <definedName name="__123Graph_D" localSheetId="7" hidden="1">'[1]Func. Plt. RRF - With Earnings'!#REF!</definedName>
    <definedName name="__123Graph_D" hidden="1">'[1]Func. Plt. RRF - With Earnings'!#REF!</definedName>
    <definedName name="__123Graph_E" localSheetId="2" hidden="1">'[1]Func. Plt. RRF - With Earnings'!#REF!</definedName>
    <definedName name="__123Graph_E" hidden="1">'[1]Func. Plt. RRF - With Earnings'!#REF!</definedName>
    <definedName name="__123Graph_F" localSheetId="2" hidden="1">'[1]Func. Plt. RRF - With Earnings'!#REF!</definedName>
    <definedName name="__123Graph_F" hidden="1">'[1]Func. Plt. RRF - With Earnings'!#REF!</definedName>
    <definedName name="_bdm.FastTrackBookmark.10_4_2004_9_40_31_AM.edm" localSheetId="2" hidden="1">'[2]Adjusted Exp &amp; Rate Base'!#REF!</definedName>
    <definedName name="_bdm.FastTrackBookmark.10_4_2004_9_40_31_AM.edm" hidden="1">'[2]Adjusted Exp &amp; Rate Base'!#REF!</definedName>
    <definedName name="_bdm.FastTrackBookmark.9_15_2004_3_08_01_PM.edm" localSheetId="2" hidden="1">'[3]Stmt H'!#REF!</definedName>
    <definedName name="_bdm.FastTrackBookmark.9_15_2004_3_08_01_PM.edm" hidden="1">'[3]Stmt H'!#REF!</definedName>
    <definedName name="_bdm.FastTrackBookmark.9_15_2004_3_17_28_PM.edm" localSheetId="2" hidden="1">'[4]WACC &amp; IT'!#REF!</definedName>
    <definedName name="_bdm.FastTrackBookmark.9_15_2004_3_17_28_PM.edm" hidden="1">'[4]WACC &amp; IT'!#REF!</definedName>
    <definedName name="_bdm.FastTrackBookmark.9_15_2004_4_15_33_PM.edm" localSheetId="2" hidden="1">'[3]Stmt H'!#REF!</definedName>
    <definedName name="_bdm.FastTrackBookmark.9_15_2004_4_15_33_PM.edm" hidden="1">'[3]Stmt H'!#REF!</definedName>
    <definedName name="adfa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DiscountRate" localSheetId="7">'General Inputs'!$B$3</definedName>
    <definedName name="DiscountRate">'General Inputs'!$B$3</definedName>
    <definedName name="EnergyLineLoss" localSheetId="7">'General Inputs'!$B$5</definedName>
    <definedName name="EnergyLineLoss">'General Inputs'!$B$5</definedName>
    <definedName name="PeakLineLoss" localSheetId="7">'General Inputs'!$B$6</definedName>
    <definedName name="PeakLineLoss">'General Inputs'!$B$6</definedName>
    <definedName name="_xlnm.Print_Area" localSheetId="1">'Overall Summary'!$A$1:$I$37</definedName>
    <definedName name="_xlnm.Print_Area" localSheetId="2">'Overall Summary (2)'!$A$1:$K$60</definedName>
    <definedName name="saraaksdf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COST._.ALLOC._.STUDY._.1997._.CLFP." localSheetId="7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7" hidden="1">{#N/A,#N/A,TRUE,"DATA INPUTS"}</definedName>
    <definedName name="wrn.DATA._.INPUTS." hidden="1">{#N/A,#N/A,TRUE,"DATA INPUTS"}</definedName>
    <definedName name="wrn.Other._.Schedules." localSheetId="7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7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7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7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7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7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52511"/>
</workbook>
</file>

<file path=xl/calcChain.xml><?xml version="1.0" encoding="utf-8"?>
<calcChain xmlns="http://schemas.openxmlformats.org/spreadsheetml/2006/main">
  <c r="G6" i="138" l="1"/>
  <c r="D75" i="137"/>
  <c r="E51" i="137"/>
  <c r="D51" i="137"/>
  <c r="C51" i="137"/>
  <c r="C84" i="137" l="1"/>
  <c r="C83" i="137"/>
  <c r="C82" i="137"/>
  <c r="C81" i="137"/>
  <c r="C80" i="137"/>
  <c r="D74" i="137"/>
  <c r="E74" i="137" s="1"/>
  <c r="D73" i="137"/>
  <c r="E73" i="137" s="1"/>
  <c r="D70" i="137"/>
  <c r="E70" i="137" s="1"/>
  <c r="D69" i="137"/>
  <c r="E69" i="137" s="1"/>
  <c r="D68" i="137"/>
  <c r="D67" i="137"/>
  <c r="D66" i="137"/>
  <c r="D65" i="137"/>
  <c r="D64" i="137"/>
  <c r="E75" i="137"/>
  <c r="E68" i="137"/>
  <c r="E67" i="137"/>
  <c r="E66" i="137"/>
  <c r="E65" i="137"/>
  <c r="E64" i="137"/>
  <c r="E56" i="137"/>
  <c r="D58" i="137"/>
  <c r="E58" i="137" s="1"/>
  <c r="D57" i="137"/>
  <c r="E57" i="137" s="1"/>
  <c r="D56" i="137"/>
  <c r="D50" i="137"/>
  <c r="D49" i="137"/>
  <c r="E49" i="137" s="1"/>
  <c r="D46" i="137"/>
  <c r="E46" i="137" s="1"/>
  <c r="D45" i="137"/>
  <c r="D44" i="137"/>
  <c r="E44" i="137" s="1"/>
  <c r="D43" i="137"/>
  <c r="E43" i="137" s="1"/>
  <c r="D42" i="137"/>
  <c r="D41" i="137"/>
  <c r="D40" i="137"/>
  <c r="E40" i="137" s="1"/>
  <c r="E50" i="137"/>
  <c r="E45" i="137"/>
  <c r="E42" i="137"/>
  <c r="E41" i="137"/>
  <c r="D33" i="137"/>
  <c r="E33" i="137" s="1"/>
  <c r="D32" i="137"/>
  <c r="D34" i="137" s="1"/>
  <c r="E34" i="137" s="1"/>
  <c r="E27" i="137"/>
  <c r="E24" i="137"/>
  <c r="E23" i="137"/>
  <c r="E20" i="137"/>
  <c r="E19" i="137"/>
  <c r="E18" i="137"/>
  <c r="E17" i="137"/>
  <c r="E16" i="137"/>
  <c r="E15" i="137"/>
  <c r="E14" i="137"/>
  <c r="E8" i="137"/>
  <c r="E5" i="137"/>
  <c r="E4" i="137"/>
  <c r="O44" i="110"/>
  <c r="O43" i="110"/>
  <c r="O42" i="110"/>
  <c r="O35" i="110"/>
  <c r="O34" i="110"/>
  <c r="O33" i="110"/>
  <c r="O24" i="110"/>
  <c r="O16" i="110"/>
  <c r="O13" i="110"/>
  <c r="O7" i="110"/>
  <c r="G6" i="139"/>
  <c r="G7" i="139"/>
  <c r="G8" i="139"/>
  <c r="G9" i="139"/>
  <c r="G10" i="139"/>
  <c r="G11" i="139"/>
  <c r="G13" i="139"/>
  <c r="G14" i="139"/>
  <c r="G15" i="139"/>
  <c r="G5" i="139"/>
  <c r="D15" i="139"/>
  <c r="C15" i="139"/>
  <c r="D14" i="139"/>
  <c r="C14" i="139"/>
  <c r="D13" i="139"/>
  <c r="C13" i="139"/>
  <c r="D11" i="139"/>
  <c r="C11" i="139"/>
  <c r="D10" i="139"/>
  <c r="C10" i="139"/>
  <c r="D9" i="139"/>
  <c r="C9" i="139"/>
  <c r="D8" i="139"/>
  <c r="C8" i="139"/>
  <c r="D7" i="139"/>
  <c r="C7" i="139"/>
  <c r="D6" i="139"/>
  <c r="C6" i="139"/>
  <c r="D5" i="139"/>
  <c r="C5" i="139"/>
  <c r="E15" i="139"/>
  <c r="E14" i="139"/>
  <c r="E10" i="139"/>
  <c r="E11" i="139"/>
  <c r="E9" i="139"/>
  <c r="E8" i="139"/>
  <c r="E7" i="139"/>
  <c r="E6" i="139"/>
  <c r="E5" i="139"/>
  <c r="D12" i="139"/>
  <c r="D4" i="139"/>
  <c r="C12" i="139"/>
  <c r="C4" i="139"/>
  <c r="C250" i="138"/>
  <c r="O42" i="133"/>
  <c r="S42" i="133"/>
  <c r="G107" i="118"/>
  <c r="E242" i="138"/>
  <c r="E241" i="138"/>
  <c r="E240" i="138"/>
  <c r="E239" i="138"/>
  <c r="D189" i="138"/>
  <c r="D212" i="138"/>
  <c r="D211" i="138"/>
  <c r="D210" i="138"/>
  <c r="D209" i="138"/>
  <c r="E211" i="138"/>
  <c r="D206" i="138"/>
  <c r="D200" i="138"/>
  <c r="D199" i="138"/>
  <c r="D198" i="138"/>
  <c r="D197" i="138"/>
  <c r="D194" i="138"/>
  <c r="E224" i="138"/>
  <c r="E223" i="138"/>
  <c r="E222" i="138"/>
  <c r="E221" i="138"/>
  <c r="E220" i="138"/>
  <c r="E219" i="138"/>
  <c r="E218" i="138"/>
  <c r="D225" i="138"/>
  <c r="E225" i="138" s="1"/>
  <c r="C225" i="138"/>
  <c r="E212" i="138"/>
  <c r="E210" i="138"/>
  <c r="E209" i="138"/>
  <c r="E206" i="138"/>
  <c r="E200" i="138"/>
  <c r="E199" i="138"/>
  <c r="E198" i="138"/>
  <c r="E197" i="138"/>
  <c r="E194" i="138"/>
  <c r="E186" i="138"/>
  <c r="E187" i="138"/>
  <c r="E188" i="138"/>
  <c r="E189" i="138"/>
  <c r="E185" i="138"/>
  <c r="E184" i="138"/>
  <c r="E183" i="138"/>
  <c r="E182" i="138"/>
  <c r="C35" i="133"/>
  <c r="C36" i="133"/>
  <c r="E156" i="138"/>
  <c r="E155" i="138"/>
  <c r="E139" i="138"/>
  <c r="E138" i="138"/>
  <c r="C132" i="138"/>
  <c r="E122" i="138"/>
  <c r="E121" i="138"/>
  <c r="D124" i="138"/>
  <c r="E124" i="138" s="1"/>
  <c r="D123" i="138"/>
  <c r="E123" i="138" s="1"/>
  <c r="D120" i="118"/>
  <c r="C26" i="133"/>
  <c r="C24" i="133"/>
  <c r="C25" i="133"/>
  <c r="C27" i="133"/>
  <c r="C28" i="133"/>
  <c r="C29" i="133"/>
  <c r="C30" i="133"/>
  <c r="C31" i="133"/>
  <c r="E105" i="138"/>
  <c r="E104" i="138"/>
  <c r="H18" i="110"/>
  <c r="D58" i="138" s="1"/>
  <c r="G17" i="133"/>
  <c r="K17" i="133"/>
  <c r="D50" i="138"/>
  <c r="D49" i="138"/>
  <c r="E49" i="138" s="1"/>
  <c r="D48" i="138"/>
  <c r="E48" i="138" s="1"/>
  <c r="D47" i="138"/>
  <c r="E47" i="138" s="1"/>
  <c r="D46" i="138"/>
  <c r="E46" i="138" s="1"/>
  <c r="D45" i="138"/>
  <c r="E45" i="138" s="1"/>
  <c r="D44" i="138"/>
  <c r="D84" i="138"/>
  <c r="E84" i="138" s="1"/>
  <c r="D85" i="138"/>
  <c r="E85" i="138" s="1"/>
  <c r="D86" i="138"/>
  <c r="E86" i="138" s="1"/>
  <c r="D87" i="138"/>
  <c r="E87" i="138" s="1"/>
  <c r="D88" i="138"/>
  <c r="E88" i="138" s="1"/>
  <c r="D89" i="138"/>
  <c r="E89" i="138" s="1"/>
  <c r="D83" i="138"/>
  <c r="E83" i="138" s="1"/>
  <c r="E50" i="138"/>
  <c r="W13" i="133"/>
  <c r="E29" i="138"/>
  <c r="E28" i="138"/>
  <c r="E27" i="138"/>
  <c r="E26" i="138"/>
  <c r="AA6" i="133"/>
  <c r="E10" i="138"/>
  <c r="E9" i="138"/>
  <c r="E8" i="138"/>
  <c r="E7" i="138"/>
  <c r="E6" i="138"/>
  <c r="E5" i="138"/>
  <c r="E32" i="137" l="1"/>
  <c r="D90" i="138"/>
  <c r="E90" i="138" s="1"/>
  <c r="E58" i="138"/>
  <c r="D51" i="138"/>
  <c r="E51" i="138" s="1"/>
  <c r="E44" i="138"/>
  <c r="G32" i="133" l="1"/>
  <c r="F32" i="133" s="1"/>
  <c r="C15" i="133" l="1"/>
  <c r="C122" i="118"/>
  <c r="E120" i="118" s="1"/>
  <c r="AC23" i="127" l="1"/>
  <c r="C23" i="127"/>
  <c r="B23" i="127"/>
  <c r="AC22" i="127"/>
  <c r="C22" i="127"/>
  <c r="B22" i="127"/>
  <c r="AC21" i="127"/>
  <c r="C21" i="127"/>
  <c r="B21" i="127"/>
  <c r="AC23" i="126"/>
  <c r="C23" i="126"/>
  <c r="B23" i="126"/>
  <c r="AC22" i="126"/>
  <c r="C22" i="126"/>
  <c r="B22" i="126"/>
  <c r="AC21" i="126"/>
  <c r="C21" i="126"/>
  <c r="B21" i="126"/>
  <c r="AC23" i="110"/>
  <c r="C23" i="110"/>
  <c r="B23" i="110"/>
  <c r="AC22" i="110"/>
  <c r="C22" i="110"/>
  <c r="B22" i="110"/>
  <c r="AC21" i="110"/>
  <c r="C21" i="110"/>
  <c r="B21" i="110"/>
  <c r="E15" i="133"/>
  <c r="D15" i="133"/>
  <c r="X22" i="133"/>
  <c r="N23" i="126" s="1"/>
  <c r="AD23" i="126" s="1"/>
  <c r="N23" i="110"/>
  <c r="AD23" i="110" s="1"/>
  <c r="Y22" i="133"/>
  <c r="N23" i="127" s="1"/>
  <c r="AD23" i="127" s="1"/>
  <c r="E21" i="127" l="1"/>
  <c r="DV21" i="127" s="1"/>
  <c r="H21" i="127"/>
  <c r="M21" i="127"/>
  <c r="E23" i="127"/>
  <c r="DV23" i="127" s="1"/>
  <c r="H23" i="127"/>
  <c r="M23" i="127"/>
  <c r="E21" i="126"/>
  <c r="H21" i="126"/>
  <c r="M21" i="126"/>
  <c r="E23" i="126"/>
  <c r="H23" i="126"/>
  <c r="M23" i="126"/>
  <c r="E21" i="110"/>
  <c r="H21" i="110"/>
  <c r="M21" i="110"/>
  <c r="E23" i="110"/>
  <c r="H23" i="110"/>
  <c r="M23" i="110"/>
  <c r="DN23" i="127" l="1"/>
  <c r="DM23" i="127"/>
  <c r="DN21" i="127"/>
  <c r="DQ21" i="127"/>
  <c r="DM21" i="127"/>
  <c r="DW21" i="127"/>
  <c r="DT21" i="127"/>
  <c r="DR21" i="127"/>
  <c r="DW23" i="127"/>
  <c r="DU21" i="127"/>
  <c r="DR23" i="127"/>
  <c r="DP21" i="127"/>
  <c r="DS23" i="127"/>
  <c r="DS21" i="127"/>
  <c r="DT23" i="127"/>
  <c r="DP23" i="127"/>
  <c r="DU23" i="127"/>
  <c r="DQ23" i="127"/>
  <c r="DV23" i="126"/>
  <c r="DT23" i="126"/>
  <c r="DR23" i="126"/>
  <c r="DP23" i="126"/>
  <c r="DW23" i="126"/>
  <c r="DU23" i="126"/>
  <c r="DS23" i="126"/>
  <c r="DQ23" i="126"/>
  <c r="DO23" i="126"/>
  <c r="DM23" i="126"/>
  <c r="DV21" i="126"/>
  <c r="DR21" i="126"/>
  <c r="DW21" i="126"/>
  <c r="DU21" i="126"/>
  <c r="DS21" i="126"/>
  <c r="DQ21" i="126"/>
  <c r="DO21" i="126"/>
  <c r="DM21" i="126"/>
  <c r="DT21" i="126"/>
  <c r="DP21" i="126"/>
  <c r="DP21" i="110"/>
  <c r="DW21" i="110"/>
  <c r="DU21" i="110"/>
  <c r="DS21" i="110"/>
  <c r="DQ21" i="110"/>
  <c r="DO21" i="110"/>
  <c r="DV21" i="110"/>
  <c r="DT21" i="110"/>
  <c r="DR21" i="110"/>
  <c r="DN21" i="110"/>
  <c r="DV23" i="110"/>
  <c r="DT23" i="110"/>
  <c r="DR23" i="110"/>
  <c r="DP23" i="110"/>
  <c r="DN23" i="110"/>
  <c r="DW23" i="110"/>
  <c r="DU23" i="110"/>
  <c r="DS23" i="110"/>
  <c r="DQ23" i="110"/>
  <c r="DO23" i="110"/>
  <c r="L39" i="132" l="1"/>
  <c r="G39" i="132"/>
  <c r="D39" i="132"/>
  <c r="B39" i="132"/>
  <c r="L39" i="131"/>
  <c r="G39" i="131"/>
  <c r="D39" i="131"/>
  <c r="B39" i="131"/>
  <c r="L39" i="130"/>
  <c r="G39" i="130"/>
  <c r="D39" i="130"/>
  <c r="B39" i="130"/>
  <c r="J39" i="118"/>
  <c r="C39" i="118"/>
  <c r="C39" i="130" s="1"/>
  <c r="B193" i="115"/>
  <c r="F39" i="118" s="1"/>
  <c r="F39" i="131" s="1"/>
  <c r="B192" i="115"/>
  <c r="H39" i="118" s="1"/>
  <c r="O22" i="133" l="1"/>
  <c r="L23" i="110" s="1"/>
  <c r="DM23" i="110" s="1"/>
  <c r="AE23" i="110" s="1"/>
  <c r="Q22" i="133"/>
  <c r="L23" i="127" s="1"/>
  <c r="DO23" i="127" s="1"/>
  <c r="AE23" i="127" s="1"/>
  <c r="P22" i="133"/>
  <c r="L23" i="126" s="1"/>
  <c r="DN23" i="126" s="1"/>
  <c r="AE23" i="126" s="1"/>
  <c r="D23" i="126"/>
  <c r="D23" i="110"/>
  <c r="D23" i="127"/>
  <c r="L22" i="133"/>
  <c r="K22" i="133"/>
  <c r="D76" i="138" s="1"/>
  <c r="E76" i="138" s="1"/>
  <c r="M22" i="133"/>
  <c r="BS39" i="130"/>
  <c r="C39" i="131"/>
  <c r="BT39" i="131" s="1"/>
  <c r="K39" i="131"/>
  <c r="U39" i="131" s="1"/>
  <c r="G22" i="133"/>
  <c r="I22" i="133"/>
  <c r="G23" i="127" s="1"/>
  <c r="H22" i="133"/>
  <c r="G23" i="126" s="1"/>
  <c r="F39" i="130"/>
  <c r="K39" i="130"/>
  <c r="T39" i="130" s="1"/>
  <c r="C39" i="132"/>
  <c r="BA39" i="132" s="1"/>
  <c r="F39" i="132"/>
  <c r="K39" i="132"/>
  <c r="V39" i="132" s="1"/>
  <c r="T39" i="132"/>
  <c r="X39" i="132"/>
  <c r="Z39" i="132"/>
  <c r="AB39" i="132"/>
  <c r="AD39" i="132"/>
  <c r="U39" i="132"/>
  <c r="W39" i="132"/>
  <c r="Y39" i="132"/>
  <c r="AA39" i="132"/>
  <c r="AC39" i="132"/>
  <c r="AF39" i="132"/>
  <c r="T39" i="131"/>
  <c r="V39" i="131"/>
  <c r="X39" i="131"/>
  <c r="Z39" i="131"/>
  <c r="AB39" i="131"/>
  <c r="AD39" i="131"/>
  <c r="AY39" i="131"/>
  <c r="W39" i="131"/>
  <c r="Y39" i="131"/>
  <c r="AA39" i="131"/>
  <c r="AC39" i="131"/>
  <c r="V39" i="130"/>
  <c r="X39" i="130"/>
  <c r="Z39" i="130"/>
  <c r="AB39" i="130"/>
  <c r="AD39" i="130"/>
  <c r="AY39" i="130"/>
  <c r="BT39" i="130"/>
  <c r="U39" i="130"/>
  <c r="W39" i="130"/>
  <c r="Y39" i="130"/>
  <c r="AA39" i="130"/>
  <c r="AC39" i="130"/>
  <c r="AX39" i="130"/>
  <c r="G23" i="110" l="1"/>
  <c r="D63" i="138"/>
  <c r="E63" i="138" s="1"/>
  <c r="BA39" i="131"/>
  <c r="AF39" i="131"/>
  <c r="BT23" i="110"/>
  <c r="AY23" i="110"/>
  <c r="BU23" i="110"/>
  <c r="AZ23" i="110"/>
  <c r="AG23" i="127"/>
  <c r="BB23" i="127"/>
  <c r="AH23" i="127"/>
  <c r="BC23" i="127"/>
  <c r="BU23" i="126"/>
  <c r="AZ23" i="126"/>
  <c r="BB23" i="126"/>
  <c r="AG23" i="126"/>
  <c r="R39" i="130"/>
  <c r="BB39" i="132"/>
  <c r="AG39" i="132"/>
  <c r="R39" i="132"/>
  <c r="R39" i="131"/>
  <c r="K55" i="136" l="1"/>
  <c r="K54" i="136"/>
  <c r="K53" i="136"/>
  <c r="H41" i="136"/>
  <c r="F41" i="136"/>
  <c r="H12" i="136"/>
  <c r="H15" i="136" s="1"/>
  <c r="F12" i="136"/>
  <c r="O24" i="136"/>
  <c r="O27" i="136" s="1"/>
  <c r="H24" i="136"/>
  <c r="F24" i="136"/>
  <c r="O19" i="136"/>
  <c r="F15" i="136"/>
  <c r="K57" i="136" l="1"/>
  <c r="H22" i="136"/>
  <c r="F22" i="136"/>
  <c r="H24" i="135"/>
  <c r="F24" i="135"/>
  <c r="N19" i="135"/>
  <c r="N24" i="135" s="1"/>
  <c r="N27" i="135" s="1"/>
  <c r="H22" i="135" s="1"/>
  <c r="F15" i="135"/>
  <c r="H12" i="135"/>
  <c r="H15" i="135" s="1"/>
  <c r="F12" i="135"/>
  <c r="L19" i="134"/>
  <c r="L24" i="134" s="1"/>
  <c r="F12" i="134"/>
  <c r="F15" i="134" s="1"/>
  <c r="F22" i="135" l="1"/>
  <c r="O96" i="127"/>
  <c r="AC96" i="127" s="1"/>
  <c r="C96" i="127"/>
  <c r="B96" i="127"/>
  <c r="O95" i="127"/>
  <c r="AC95" i="127" s="1"/>
  <c r="C95" i="127"/>
  <c r="B95" i="127"/>
  <c r="O94" i="127"/>
  <c r="AC94" i="127" s="1"/>
  <c r="B94" i="127"/>
  <c r="O93" i="127"/>
  <c r="AC93" i="127" s="1"/>
  <c r="C93" i="127"/>
  <c r="B93" i="127"/>
  <c r="O92" i="127"/>
  <c r="AC92" i="127" s="1"/>
  <c r="C92" i="127"/>
  <c r="B92" i="127"/>
  <c r="M92" i="127" s="1"/>
  <c r="O91" i="127"/>
  <c r="AC91" i="127" s="1"/>
  <c r="B91" i="127"/>
  <c r="O90" i="127"/>
  <c r="AC90" i="127" s="1"/>
  <c r="C90" i="127"/>
  <c r="B90" i="127"/>
  <c r="O89" i="127"/>
  <c r="AC89" i="127" s="1"/>
  <c r="C89" i="127"/>
  <c r="B89" i="127"/>
  <c r="M89" i="127" s="1"/>
  <c r="O88" i="127"/>
  <c r="AC88" i="127" s="1"/>
  <c r="C88" i="127"/>
  <c r="B88" i="127"/>
  <c r="O87" i="127"/>
  <c r="AC87" i="127" s="1"/>
  <c r="C87" i="127"/>
  <c r="B87" i="127"/>
  <c r="O86" i="127"/>
  <c r="AC86" i="127" s="1"/>
  <c r="B86" i="127"/>
  <c r="O85" i="127"/>
  <c r="AC85" i="127" s="1"/>
  <c r="B85" i="127"/>
  <c r="M85" i="127" s="1"/>
  <c r="O84" i="127"/>
  <c r="AC84" i="127" s="1"/>
  <c r="B84" i="127"/>
  <c r="O83" i="127"/>
  <c r="AC83" i="127" s="1"/>
  <c r="B83" i="127"/>
  <c r="O82" i="127"/>
  <c r="AC82" i="127" s="1"/>
  <c r="B82" i="127"/>
  <c r="O81" i="127"/>
  <c r="AC81" i="127" s="1"/>
  <c r="B81" i="127"/>
  <c r="M81" i="127" s="1"/>
  <c r="O80" i="127"/>
  <c r="AC80" i="127" s="1"/>
  <c r="B80" i="127"/>
  <c r="O79" i="127"/>
  <c r="AC79" i="127" s="1"/>
  <c r="B79" i="127"/>
  <c r="O78" i="127"/>
  <c r="AC78" i="127" s="1"/>
  <c r="B78" i="127"/>
  <c r="O77" i="127"/>
  <c r="AC77" i="127" s="1"/>
  <c r="B77" i="127"/>
  <c r="M77" i="127" s="1"/>
  <c r="O76" i="127"/>
  <c r="AC76" i="127" s="1"/>
  <c r="B76" i="127"/>
  <c r="O75" i="127"/>
  <c r="AC75" i="127" s="1"/>
  <c r="B75" i="127"/>
  <c r="O74" i="127"/>
  <c r="AC74" i="127" s="1"/>
  <c r="B74" i="127"/>
  <c r="O73" i="127"/>
  <c r="AC73" i="127" s="1"/>
  <c r="B73" i="127"/>
  <c r="M73" i="127" s="1"/>
  <c r="O72" i="127"/>
  <c r="AC72" i="127" s="1"/>
  <c r="B72" i="127"/>
  <c r="O71" i="127"/>
  <c r="AC71" i="127" s="1"/>
  <c r="B71" i="127"/>
  <c r="M71" i="127" s="1"/>
  <c r="O70" i="127"/>
  <c r="AC70" i="127" s="1"/>
  <c r="B70" i="127"/>
  <c r="M70" i="127" s="1"/>
  <c r="O69" i="127"/>
  <c r="AC69" i="127" s="1"/>
  <c r="B69" i="127"/>
  <c r="M69" i="127" s="1"/>
  <c r="O68" i="127"/>
  <c r="AC68" i="127" s="1"/>
  <c r="B68" i="127"/>
  <c r="O67" i="127"/>
  <c r="AC67" i="127" s="1"/>
  <c r="B67" i="127"/>
  <c r="O66" i="127"/>
  <c r="AC66" i="127" s="1"/>
  <c r="B66" i="127"/>
  <c r="M66" i="127" s="1"/>
  <c r="O65" i="127"/>
  <c r="AC65" i="127" s="1"/>
  <c r="B65" i="127"/>
  <c r="M65" i="127" s="1"/>
  <c r="O64" i="127"/>
  <c r="AC64" i="127" s="1"/>
  <c r="B64" i="127"/>
  <c r="O63" i="127"/>
  <c r="AC63" i="127" s="1"/>
  <c r="B63" i="127"/>
  <c r="M63" i="127" s="1"/>
  <c r="O62" i="127"/>
  <c r="AC62" i="127" s="1"/>
  <c r="B62" i="127"/>
  <c r="M62" i="127" s="1"/>
  <c r="O61" i="127"/>
  <c r="AC61" i="127" s="1"/>
  <c r="B61" i="127"/>
  <c r="M61" i="127" s="1"/>
  <c r="O60" i="127"/>
  <c r="AC60" i="127" s="1"/>
  <c r="B60" i="127"/>
  <c r="O59" i="127"/>
  <c r="AC59" i="127" s="1"/>
  <c r="B59" i="127"/>
  <c r="M59" i="127" s="1"/>
  <c r="O58" i="127"/>
  <c r="AC58" i="127" s="1"/>
  <c r="B58" i="127"/>
  <c r="M58" i="127" s="1"/>
  <c r="O57" i="127"/>
  <c r="AC57" i="127" s="1"/>
  <c r="B57" i="127"/>
  <c r="M57" i="127" s="1"/>
  <c r="O56" i="127"/>
  <c r="AC56" i="127" s="1"/>
  <c r="B56" i="127"/>
  <c r="D56" i="127" s="1"/>
  <c r="O55" i="127"/>
  <c r="AC55" i="127" s="1"/>
  <c r="B55" i="127"/>
  <c r="D55" i="127" s="1"/>
  <c r="O54" i="127"/>
  <c r="AC54" i="127" s="1"/>
  <c r="B54" i="127"/>
  <c r="M54" i="127" s="1"/>
  <c r="O53" i="127"/>
  <c r="AC53" i="127" s="1"/>
  <c r="B53" i="127"/>
  <c r="M53" i="127" s="1"/>
  <c r="O52" i="127"/>
  <c r="AC52" i="127" s="1"/>
  <c r="B52" i="127"/>
  <c r="O51" i="127"/>
  <c r="AC51" i="127" s="1"/>
  <c r="B51" i="127"/>
  <c r="O50" i="127"/>
  <c r="AC50" i="127" s="1"/>
  <c r="B50" i="127"/>
  <c r="M50" i="127" s="1"/>
  <c r="O49" i="127"/>
  <c r="AC49" i="127" s="1"/>
  <c r="B49" i="127"/>
  <c r="M49" i="127" s="1"/>
  <c r="O48" i="127"/>
  <c r="AC48" i="127" s="1"/>
  <c r="B48" i="127"/>
  <c r="O47" i="127"/>
  <c r="AC47" i="127" s="1"/>
  <c r="B47" i="127"/>
  <c r="O46" i="127"/>
  <c r="AC46" i="127" s="1"/>
  <c r="B46" i="127"/>
  <c r="M46" i="127" s="1"/>
  <c r="O45" i="127"/>
  <c r="AC45" i="127" s="1"/>
  <c r="C45" i="127"/>
  <c r="B45" i="127"/>
  <c r="B44" i="127"/>
  <c r="DW43" i="127"/>
  <c r="DV43" i="127"/>
  <c r="DU43" i="127"/>
  <c r="DT43" i="127"/>
  <c r="DS43" i="127"/>
  <c r="DR43" i="127"/>
  <c r="DQ43" i="127"/>
  <c r="DP43" i="127"/>
  <c r="DM43" i="127"/>
  <c r="BU43" i="127"/>
  <c r="BT43" i="127"/>
  <c r="BS43" i="127"/>
  <c r="BB43" i="127"/>
  <c r="AZ43" i="127"/>
  <c r="AY43" i="127"/>
  <c r="AX43" i="127"/>
  <c r="AG43" i="127"/>
  <c r="C43" i="127"/>
  <c r="B43" i="127"/>
  <c r="DW42" i="127"/>
  <c r="DV42" i="127"/>
  <c r="DU42" i="127"/>
  <c r="DT42" i="127"/>
  <c r="DS42" i="127"/>
  <c r="DR42" i="127"/>
  <c r="DQ42" i="127"/>
  <c r="DP42" i="127"/>
  <c r="DM42" i="127"/>
  <c r="BU42" i="127"/>
  <c r="BT42" i="127"/>
  <c r="BS42" i="127"/>
  <c r="BB42" i="127"/>
  <c r="AZ42" i="127"/>
  <c r="AY42" i="127"/>
  <c r="AX42" i="127"/>
  <c r="AG42" i="127"/>
  <c r="C42" i="127"/>
  <c r="B42" i="127"/>
  <c r="B41" i="127"/>
  <c r="AC40" i="127"/>
  <c r="L40" i="127"/>
  <c r="B40" i="127"/>
  <c r="AC39" i="127"/>
  <c r="L39" i="127"/>
  <c r="B39" i="127"/>
  <c r="AC38" i="127"/>
  <c r="L38" i="127"/>
  <c r="B38" i="127"/>
  <c r="AC37" i="127"/>
  <c r="L37" i="127"/>
  <c r="B37" i="127"/>
  <c r="DW36" i="127"/>
  <c r="DV36" i="127"/>
  <c r="DU36" i="127"/>
  <c r="DT36" i="127"/>
  <c r="DS36" i="127"/>
  <c r="DR36" i="127"/>
  <c r="DQ36" i="127"/>
  <c r="DP36" i="127"/>
  <c r="DM36" i="127"/>
  <c r="AC36" i="127"/>
  <c r="L36" i="127"/>
  <c r="B36" i="127"/>
  <c r="M36" i="127" s="1"/>
  <c r="C35" i="127"/>
  <c r="B35" i="127"/>
  <c r="L34" i="127"/>
  <c r="C34" i="127"/>
  <c r="B34" i="127"/>
  <c r="M34" i="127" s="1"/>
  <c r="DW33" i="127"/>
  <c r="DV33" i="127"/>
  <c r="DU33" i="127"/>
  <c r="DT33" i="127"/>
  <c r="DS33" i="127"/>
  <c r="DR33" i="127"/>
  <c r="DQ33" i="127"/>
  <c r="DP33" i="127"/>
  <c r="DN33" i="127"/>
  <c r="DM33" i="127"/>
  <c r="BU33" i="127"/>
  <c r="BT33" i="127"/>
  <c r="BS33" i="127"/>
  <c r="BR33" i="127"/>
  <c r="BQ33" i="127"/>
  <c r="BP33" i="127"/>
  <c r="BO33" i="127"/>
  <c r="BN33" i="127"/>
  <c r="BM33" i="127"/>
  <c r="BL33" i="127"/>
  <c r="BK33" i="127"/>
  <c r="BJ33" i="127"/>
  <c r="BI33" i="127"/>
  <c r="BB33" i="127"/>
  <c r="AZ33" i="127"/>
  <c r="AY33" i="127"/>
  <c r="AX33" i="127"/>
  <c r="AW33" i="127"/>
  <c r="AV33" i="127"/>
  <c r="AU33" i="127"/>
  <c r="AT33" i="127"/>
  <c r="AS33" i="127"/>
  <c r="AR33" i="127"/>
  <c r="AQ33" i="127"/>
  <c r="AP33" i="127"/>
  <c r="AO33" i="127"/>
  <c r="AN33" i="127"/>
  <c r="AG33" i="127"/>
  <c r="AD33" i="127"/>
  <c r="C33" i="127"/>
  <c r="B33" i="127"/>
  <c r="AC32" i="127"/>
  <c r="L32" i="127"/>
  <c r="B32" i="127"/>
  <c r="M32" i="127" s="1"/>
  <c r="AC31" i="127"/>
  <c r="L31" i="127"/>
  <c r="B31" i="127"/>
  <c r="M31" i="127" s="1"/>
  <c r="AC30" i="127"/>
  <c r="L30" i="127"/>
  <c r="B30" i="127"/>
  <c r="AC29" i="127"/>
  <c r="L29" i="127"/>
  <c r="B29" i="127"/>
  <c r="M29" i="127" s="1"/>
  <c r="AC28" i="127"/>
  <c r="L28" i="127"/>
  <c r="B28" i="127"/>
  <c r="M28" i="127" s="1"/>
  <c r="AC27" i="127"/>
  <c r="L27" i="127"/>
  <c r="B27" i="127"/>
  <c r="M27" i="127" s="1"/>
  <c r="AC26" i="127"/>
  <c r="L26" i="127"/>
  <c r="B26" i="127"/>
  <c r="AC25" i="127"/>
  <c r="L25" i="127"/>
  <c r="B25" i="127"/>
  <c r="M25" i="127" s="1"/>
  <c r="C24" i="127"/>
  <c r="B24" i="127"/>
  <c r="AC20" i="127"/>
  <c r="C20" i="127"/>
  <c r="B20" i="127"/>
  <c r="AC19" i="127"/>
  <c r="C19" i="127"/>
  <c r="B19" i="127"/>
  <c r="AC18" i="127"/>
  <c r="C18" i="127"/>
  <c r="B18" i="127"/>
  <c r="AC17" i="127"/>
  <c r="C17" i="127"/>
  <c r="B17" i="127"/>
  <c r="C16" i="127"/>
  <c r="B16" i="127"/>
  <c r="AC15" i="127"/>
  <c r="C15" i="127"/>
  <c r="B15" i="127"/>
  <c r="AC14" i="127"/>
  <c r="C14" i="127"/>
  <c r="B14" i="127"/>
  <c r="M14" i="127" s="1"/>
  <c r="B13" i="127"/>
  <c r="AC12" i="127"/>
  <c r="C12" i="127"/>
  <c r="B12" i="127"/>
  <c r="AC11" i="127"/>
  <c r="C11" i="127"/>
  <c r="B11" i="127"/>
  <c r="AC10" i="127"/>
  <c r="C10" i="127"/>
  <c r="B10" i="127"/>
  <c r="AC9" i="127"/>
  <c r="C9" i="127"/>
  <c r="B9" i="127"/>
  <c r="AC8" i="127"/>
  <c r="C8" i="127"/>
  <c r="B8" i="127"/>
  <c r="B7" i="127"/>
  <c r="B6" i="127"/>
  <c r="B5" i="127"/>
  <c r="O96" i="126"/>
  <c r="AC96" i="126" s="1"/>
  <c r="C96" i="126"/>
  <c r="B96" i="126"/>
  <c r="O95" i="126"/>
  <c r="AC95" i="126" s="1"/>
  <c r="C95" i="126"/>
  <c r="B95" i="126"/>
  <c r="M95" i="126" s="1"/>
  <c r="O94" i="126"/>
  <c r="AC94" i="126" s="1"/>
  <c r="B94" i="126"/>
  <c r="O93" i="126"/>
  <c r="AC93" i="126" s="1"/>
  <c r="C93" i="126"/>
  <c r="B93" i="126"/>
  <c r="O92" i="126"/>
  <c r="AC92" i="126" s="1"/>
  <c r="C92" i="126"/>
  <c r="B92" i="126"/>
  <c r="M92" i="126" s="1"/>
  <c r="O91" i="126"/>
  <c r="AC91" i="126" s="1"/>
  <c r="B91" i="126"/>
  <c r="O90" i="126"/>
  <c r="AC90" i="126" s="1"/>
  <c r="C90" i="126"/>
  <c r="B90" i="126"/>
  <c r="M90" i="126" s="1"/>
  <c r="O89" i="126"/>
  <c r="AC89" i="126" s="1"/>
  <c r="C89" i="126"/>
  <c r="B89" i="126"/>
  <c r="O88" i="126"/>
  <c r="AC88" i="126" s="1"/>
  <c r="C88" i="126"/>
  <c r="B88" i="126"/>
  <c r="O87" i="126"/>
  <c r="AC87" i="126" s="1"/>
  <c r="C87" i="126"/>
  <c r="B87" i="126"/>
  <c r="O86" i="126"/>
  <c r="AC86" i="126" s="1"/>
  <c r="B86" i="126"/>
  <c r="O85" i="126"/>
  <c r="AC85" i="126" s="1"/>
  <c r="B85" i="126"/>
  <c r="O84" i="126"/>
  <c r="AC84" i="126" s="1"/>
  <c r="B84" i="126"/>
  <c r="O83" i="126"/>
  <c r="AC83" i="126" s="1"/>
  <c r="B83" i="126"/>
  <c r="O82" i="126"/>
  <c r="AC82" i="126" s="1"/>
  <c r="B82" i="126"/>
  <c r="M82" i="126" s="1"/>
  <c r="O81" i="126"/>
  <c r="AC81" i="126" s="1"/>
  <c r="B81" i="126"/>
  <c r="O80" i="126"/>
  <c r="AC80" i="126" s="1"/>
  <c r="B80" i="126"/>
  <c r="O79" i="126"/>
  <c r="AC79" i="126" s="1"/>
  <c r="B79" i="126"/>
  <c r="M79" i="126" s="1"/>
  <c r="O78" i="126"/>
  <c r="AC78" i="126" s="1"/>
  <c r="B78" i="126"/>
  <c r="M78" i="126" s="1"/>
  <c r="O77" i="126"/>
  <c r="AC77" i="126" s="1"/>
  <c r="B77" i="126"/>
  <c r="O76" i="126"/>
  <c r="AC76" i="126" s="1"/>
  <c r="B76" i="126"/>
  <c r="O75" i="126"/>
  <c r="AC75" i="126" s="1"/>
  <c r="B75" i="126"/>
  <c r="O74" i="126"/>
  <c r="AC74" i="126" s="1"/>
  <c r="B74" i="126"/>
  <c r="M74" i="126" s="1"/>
  <c r="O73" i="126"/>
  <c r="AC73" i="126" s="1"/>
  <c r="B73" i="126"/>
  <c r="O72" i="126"/>
  <c r="AC72" i="126" s="1"/>
  <c r="B72" i="126"/>
  <c r="O71" i="126"/>
  <c r="AC71" i="126" s="1"/>
  <c r="B71" i="126"/>
  <c r="O70" i="126"/>
  <c r="AC70" i="126" s="1"/>
  <c r="B70" i="126"/>
  <c r="M70" i="126" s="1"/>
  <c r="O69" i="126"/>
  <c r="AC69" i="126" s="1"/>
  <c r="B69" i="126"/>
  <c r="O68" i="126"/>
  <c r="AC68" i="126" s="1"/>
  <c r="B68" i="126"/>
  <c r="O67" i="126"/>
  <c r="AC67" i="126" s="1"/>
  <c r="B67" i="126"/>
  <c r="O66" i="126"/>
  <c r="AC66" i="126" s="1"/>
  <c r="B66" i="126"/>
  <c r="M66" i="126" s="1"/>
  <c r="O65" i="126"/>
  <c r="AC65" i="126" s="1"/>
  <c r="B65" i="126"/>
  <c r="O64" i="126"/>
  <c r="AC64" i="126" s="1"/>
  <c r="B64" i="126"/>
  <c r="M64" i="126" s="1"/>
  <c r="O63" i="126"/>
  <c r="AC63" i="126" s="1"/>
  <c r="B63" i="126"/>
  <c r="O62" i="126"/>
  <c r="AC62" i="126" s="1"/>
  <c r="B62" i="126"/>
  <c r="M62" i="126" s="1"/>
  <c r="O61" i="126"/>
  <c r="AC61" i="126" s="1"/>
  <c r="B61" i="126"/>
  <c r="O60" i="126"/>
  <c r="AC60" i="126" s="1"/>
  <c r="B60" i="126"/>
  <c r="M60" i="126" s="1"/>
  <c r="O59" i="126"/>
  <c r="AC59" i="126" s="1"/>
  <c r="B59" i="126"/>
  <c r="O58" i="126"/>
  <c r="AC58" i="126" s="1"/>
  <c r="B58" i="126"/>
  <c r="D58" i="126" s="1"/>
  <c r="O57" i="126"/>
  <c r="AC57" i="126" s="1"/>
  <c r="B57" i="126"/>
  <c r="D57" i="126" s="1"/>
  <c r="O56" i="126"/>
  <c r="AC56" i="126" s="1"/>
  <c r="B56" i="126"/>
  <c r="M56" i="126" s="1"/>
  <c r="O55" i="126"/>
  <c r="AC55" i="126" s="1"/>
  <c r="B55" i="126"/>
  <c r="O54" i="126"/>
  <c r="AC54" i="126" s="1"/>
  <c r="B54" i="126"/>
  <c r="M54" i="126" s="1"/>
  <c r="O53" i="126"/>
  <c r="AC53" i="126" s="1"/>
  <c r="B53" i="126"/>
  <c r="O52" i="126"/>
  <c r="AC52" i="126" s="1"/>
  <c r="B52" i="126"/>
  <c r="M52" i="126" s="1"/>
  <c r="O51" i="126"/>
  <c r="AC51" i="126" s="1"/>
  <c r="B51" i="126"/>
  <c r="O50" i="126"/>
  <c r="AC50" i="126" s="1"/>
  <c r="B50" i="126"/>
  <c r="O49" i="126"/>
  <c r="AC49" i="126" s="1"/>
  <c r="B49" i="126"/>
  <c r="O48" i="126"/>
  <c r="AC48" i="126" s="1"/>
  <c r="B48" i="126"/>
  <c r="M48" i="126" s="1"/>
  <c r="O47" i="126"/>
  <c r="AC47" i="126" s="1"/>
  <c r="B47" i="126"/>
  <c r="O46" i="126"/>
  <c r="AC46" i="126" s="1"/>
  <c r="B46" i="126"/>
  <c r="O45" i="126"/>
  <c r="AC45" i="126" s="1"/>
  <c r="C45" i="126"/>
  <c r="B45" i="126"/>
  <c r="B44" i="126"/>
  <c r="DW43" i="126"/>
  <c r="DV43" i="126"/>
  <c r="DU43" i="126"/>
  <c r="DT43" i="126"/>
  <c r="DS43" i="126"/>
  <c r="DR43" i="126"/>
  <c r="DQ43" i="126"/>
  <c r="DP43" i="126"/>
  <c r="DO43" i="126"/>
  <c r="DM43" i="126"/>
  <c r="BU43" i="126"/>
  <c r="BT43" i="126"/>
  <c r="BS43" i="126"/>
  <c r="BR43" i="126"/>
  <c r="BB43" i="126"/>
  <c r="AZ43" i="126"/>
  <c r="AY43" i="126"/>
  <c r="AX43" i="126"/>
  <c r="AW43" i="126"/>
  <c r="AG43" i="126"/>
  <c r="C43" i="126"/>
  <c r="B43" i="126"/>
  <c r="DW42" i="126"/>
  <c r="DV42" i="126"/>
  <c r="DU42" i="126"/>
  <c r="DT42" i="126"/>
  <c r="DS42" i="126"/>
  <c r="DR42" i="126"/>
  <c r="DQ42" i="126"/>
  <c r="DP42" i="126"/>
  <c r="DO42" i="126"/>
  <c r="DM42" i="126"/>
  <c r="BU42" i="126"/>
  <c r="BT42" i="126"/>
  <c r="BS42" i="126"/>
  <c r="BR42" i="126"/>
  <c r="BB42" i="126"/>
  <c r="AZ42" i="126"/>
  <c r="AY42" i="126"/>
  <c r="AX42" i="126"/>
  <c r="AW42" i="126"/>
  <c r="AG42" i="126"/>
  <c r="C42" i="126"/>
  <c r="B42" i="126"/>
  <c r="B41" i="126"/>
  <c r="AC40" i="126"/>
  <c r="L40" i="126"/>
  <c r="B40" i="126"/>
  <c r="AC39" i="126"/>
  <c r="L39" i="126"/>
  <c r="B39" i="126"/>
  <c r="AC38" i="126"/>
  <c r="L38" i="126"/>
  <c r="B38" i="126"/>
  <c r="AC37" i="126"/>
  <c r="L37" i="126"/>
  <c r="B37" i="126"/>
  <c r="DW36" i="126"/>
  <c r="DV36" i="126"/>
  <c r="DU36" i="126"/>
  <c r="DT36" i="126"/>
  <c r="DS36" i="126"/>
  <c r="DR36" i="126"/>
  <c r="DQ36" i="126"/>
  <c r="DP36" i="126"/>
  <c r="DO36" i="126"/>
  <c r="DM36" i="126"/>
  <c r="AC36" i="126"/>
  <c r="L36" i="126"/>
  <c r="B36" i="126"/>
  <c r="M36" i="126" s="1"/>
  <c r="C35" i="126"/>
  <c r="B35" i="126"/>
  <c r="L34" i="126"/>
  <c r="C34" i="126"/>
  <c r="B34" i="126"/>
  <c r="M34" i="126" s="1"/>
  <c r="DW33" i="126"/>
  <c r="DV33" i="126"/>
  <c r="DU33" i="126"/>
  <c r="DT33" i="126"/>
  <c r="DS33" i="126"/>
  <c r="DR33" i="126"/>
  <c r="DQ33" i="126"/>
  <c r="DP33" i="126"/>
  <c r="DO33" i="126"/>
  <c r="DM33" i="126"/>
  <c r="BU33" i="126"/>
  <c r="BT33" i="126"/>
  <c r="BS33" i="126"/>
  <c r="BR33" i="126"/>
  <c r="BQ33" i="126"/>
  <c r="BP33" i="126"/>
  <c r="BO33" i="126"/>
  <c r="BN33" i="126"/>
  <c r="BM33" i="126"/>
  <c r="BL33" i="126"/>
  <c r="BK33" i="126"/>
  <c r="BJ33" i="126"/>
  <c r="BI33" i="126"/>
  <c r="BH33" i="126"/>
  <c r="BB33" i="126"/>
  <c r="AZ33" i="126"/>
  <c r="AY33" i="126"/>
  <c r="AX33" i="126"/>
  <c r="AW33" i="126"/>
  <c r="AV33" i="126"/>
  <c r="AU33" i="126"/>
  <c r="AT33" i="126"/>
  <c r="AS33" i="126"/>
  <c r="AR33" i="126"/>
  <c r="AQ33" i="126"/>
  <c r="AP33" i="126"/>
  <c r="AO33" i="126"/>
  <c r="AN33" i="126"/>
  <c r="AM33" i="126"/>
  <c r="AG33" i="126"/>
  <c r="AD33" i="126"/>
  <c r="C33" i="126"/>
  <c r="B33" i="126"/>
  <c r="AC32" i="126"/>
  <c r="L32" i="126"/>
  <c r="B32" i="126"/>
  <c r="M32" i="126" s="1"/>
  <c r="AC31" i="126"/>
  <c r="L31" i="126"/>
  <c r="B31" i="126"/>
  <c r="M31" i="126" s="1"/>
  <c r="AC30" i="126"/>
  <c r="L30" i="126"/>
  <c r="B30" i="126"/>
  <c r="AC29" i="126"/>
  <c r="L29" i="126"/>
  <c r="B29" i="126"/>
  <c r="AC28" i="126"/>
  <c r="L28" i="126"/>
  <c r="B28" i="126"/>
  <c r="M28" i="126" s="1"/>
  <c r="AC27" i="126"/>
  <c r="L27" i="126"/>
  <c r="B27" i="126"/>
  <c r="M27" i="126" s="1"/>
  <c r="AC26" i="126"/>
  <c r="L26" i="126"/>
  <c r="B26" i="126"/>
  <c r="AC25" i="126"/>
  <c r="L25" i="126"/>
  <c r="B25" i="126"/>
  <c r="M25" i="126" s="1"/>
  <c r="C24" i="126"/>
  <c r="B24" i="126"/>
  <c r="AC20" i="126"/>
  <c r="C20" i="126"/>
  <c r="B20" i="126"/>
  <c r="AC19" i="126"/>
  <c r="C19" i="126"/>
  <c r="B19" i="126"/>
  <c r="AC18" i="126"/>
  <c r="C18" i="126"/>
  <c r="B18" i="126"/>
  <c r="AC17" i="126"/>
  <c r="C17" i="126"/>
  <c r="B17" i="126"/>
  <c r="C16" i="126"/>
  <c r="B16" i="126"/>
  <c r="AC15" i="126"/>
  <c r="C15" i="126"/>
  <c r="B15" i="126"/>
  <c r="M15" i="126" s="1"/>
  <c r="AC14" i="126"/>
  <c r="C14" i="126"/>
  <c r="B14" i="126"/>
  <c r="M14" i="126" s="1"/>
  <c r="B13" i="126"/>
  <c r="AC12" i="126"/>
  <c r="C12" i="126"/>
  <c r="B12" i="126"/>
  <c r="D12" i="126" s="1"/>
  <c r="AC11" i="126"/>
  <c r="C11" i="126"/>
  <c r="B11" i="126"/>
  <c r="AC10" i="126"/>
  <c r="C10" i="126"/>
  <c r="B10" i="126"/>
  <c r="AC9" i="126"/>
  <c r="C9" i="126"/>
  <c r="B9" i="126"/>
  <c r="AC8" i="126"/>
  <c r="C8" i="126"/>
  <c r="B8" i="126"/>
  <c r="B7" i="126"/>
  <c r="B6" i="126"/>
  <c r="B5" i="126"/>
  <c r="E28" i="126" l="1"/>
  <c r="DR28" i="126" s="1"/>
  <c r="E32" i="126"/>
  <c r="DW32" i="126" s="1"/>
  <c r="DN34" i="126"/>
  <c r="E28" i="127"/>
  <c r="DR28" i="127" s="1"/>
  <c r="E32" i="127"/>
  <c r="DT32" i="127" s="1"/>
  <c r="E46" i="127"/>
  <c r="DT46" i="127" s="1"/>
  <c r="E62" i="127"/>
  <c r="DQ62" i="127" s="1"/>
  <c r="E66" i="127"/>
  <c r="DR66" i="127" s="1"/>
  <c r="E70" i="127"/>
  <c r="DM70" i="127" s="1"/>
  <c r="E77" i="127"/>
  <c r="DN77" i="127" s="1"/>
  <c r="E14" i="127"/>
  <c r="DM14" i="127" s="1"/>
  <c r="E53" i="127"/>
  <c r="DN53" i="127" s="1"/>
  <c r="E54" i="127"/>
  <c r="DV54" i="127" s="1"/>
  <c r="E61" i="127"/>
  <c r="DV61" i="127" s="1"/>
  <c r="E69" i="127"/>
  <c r="DV69" i="127" s="1"/>
  <c r="E85" i="127"/>
  <c r="DM85" i="127" s="1"/>
  <c r="E92" i="127"/>
  <c r="DM92" i="127" s="1"/>
  <c r="E52" i="126"/>
  <c r="DP52" i="126" s="1"/>
  <c r="E60" i="126"/>
  <c r="DQ60" i="126" s="1"/>
  <c r="E74" i="126"/>
  <c r="DS74" i="126" s="1"/>
  <c r="E82" i="126"/>
  <c r="DU82" i="126" s="1"/>
  <c r="E14" i="126"/>
  <c r="DW14" i="126" s="1"/>
  <c r="E48" i="126"/>
  <c r="DT48" i="126" s="1"/>
  <c r="E56" i="126"/>
  <c r="DM56" i="126" s="1"/>
  <c r="E64" i="126"/>
  <c r="DO64" i="126" s="1"/>
  <c r="E66" i="126"/>
  <c r="DT66" i="126" s="1"/>
  <c r="E95" i="126"/>
  <c r="DV95" i="126" s="1"/>
  <c r="E29" i="126"/>
  <c r="DP29" i="126" s="1"/>
  <c r="M29" i="126"/>
  <c r="E34" i="126"/>
  <c r="DP34" i="126" s="1"/>
  <c r="E15" i="126"/>
  <c r="DO15" i="126" s="1"/>
  <c r="E26" i="126"/>
  <c r="DW26" i="126" s="1"/>
  <c r="M26" i="126"/>
  <c r="E27" i="126"/>
  <c r="DW27" i="126" s="1"/>
  <c r="E30" i="126"/>
  <c r="DP30" i="126" s="1"/>
  <c r="M30" i="126"/>
  <c r="E31" i="126"/>
  <c r="DP31" i="126" s="1"/>
  <c r="M50" i="126"/>
  <c r="E54" i="126"/>
  <c r="DS54" i="126" s="1"/>
  <c r="D56" i="126"/>
  <c r="M58" i="126"/>
  <c r="E62" i="126"/>
  <c r="DU62" i="126" s="1"/>
  <c r="E70" i="126"/>
  <c r="DO70" i="126" s="1"/>
  <c r="M72" i="126"/>
  <c r="E78" i="126"/>
  <c r="DW78" i="126" s="1"/>
  <c r="E79" i="126"/>
  <c r="DU79" i="126" s="1"/>
  <c r="E90" i="126"/>
  <c r="DU90" i="126" s="1"/>
  <c r="E92" i="126"/>
  <c r="DW92" i="126" s="1"/>
  <c r="M15" i="127"/>
  <c r="E26" i="127"/>
  <c r="DV26" i="127" s="1"/>
  <c r="M26" i="127"/>
  <c r="E27" i="127"/>
  <c r="DW27" i="127" s="1"/>
  <c r="E30" i="127"/>
  <c r="DV30" i="127" s="1"/>
  <c r="M30" i="127"/>
  <c r="E31" i="127"/>
  <c r="DV31" i="127" s="1"/>
  <c r="M47" i="127"/>
  <c r="E49" i="127"/>
  <c r="DP49" i="127" s="1"/>
  <c r="E50" i="127"/>
  <c r="DP50" i="127" s="1"/>
  <c r="M55" i="127"/>
  <c r="E57" i="127"/>
  <c r="DP57" i="127" s="1"/>
  <c r="E58" i="127"/>
  <c r="DS58" i="127" s="1"/>
  <c r="E59" i="127"/>
  <c r="DQ59" i="127" s="1"/>
  <c r="E63" i="127"/>
  <c r="DV63" i="127" s="1"/>
  <c r="E65" i="127"/>
  <c r="DQ65" i="127" s="1"/>
  <c r="M67" i="127"/>
  <c r="E71" i="127"/>
  <c r="DV71" i="127" s="1"/>
  <c r="E73" i="127"/>
  <c r="DN73" i="127" s="1"/>
  <c r="M74" i="127"/>
  <c r="M75" i="127"/>
  <c r="M79" i="127"/>
  <c r="E81" i="127"/>
  <c r="E89" i="127"/>
  <c r="DT89" i="127" s="1"/>
  <c r="M93" i="127"/>
  <c r="E25" i="126"/>
  <c r="DU25" i="126" s="1"/>
  <c r="E50" i="126"/>
  <c r="DV50" i="126" s="1"/>
  <c r="E58" i="126"/>
  <c r="AW58" i="126" s="1"/>
  <c r="E72" i="126"/>
  <c r="DP72" i="126" s="1"/>
  <c r="E15" i="127"/>
  <c r="DM15" i="127" s="1"/>
  <c r="E25" i="127"/>
  <c r="DR25" i="127" s="1"/>
  <c r="E29" i="127"/>
  <c r="DU29" i="127" s="1"/>
  <c r="E34" i="127"/>
  <c r="DV34" i="127" s="1"/>
  <c r="E47" i="127"/>
  <c r="DN47" i="127" s="1"/>
  <c r="E55" i="127"/>
  <c r="DW55" i="127" s="1"/>
  <c r="D57" i="127"/>
  <c r="D58" i="127"/>
  <c r="D65" i="127"/>
  <c r="E67" i="127"/>
  <c r="DV67" i="127" s="1"/>
  <c r="E74" i="127"/>
  <c r="DR74" i="127" s="1"/>
  <c r="E75" i="127"/>
  <c r="DM75" i="127" s="1"/>
  <c r="E79" i="127"/>
  <c r="DN79" i="127" s="1"/>
  <c r="E93" i="127"/>
  <c r="DM93" i="127" s="1"/>
  <c r="DW57" i="127"/>
  <c r="DP66" i="126"/>
  <c r="DT61" i="127"/>
  <c r="DV34" i="126"/>
  <c r="DN42" i="127"/>
  <c r="DO33" i="127"/>
  <c r="AE33" i="127" s="1"/>
  <c r="DN43" i="127"/>
  <c r="M8" i="127"/>
  <c r="E8" i="127"/>
  <c r="M12" i="127"/>
  <c r="E12" i="127"/>
  <c r="D12" i="127"/>
  <c r="M9" i="127"/>
  <c r="E9" i="127"/>
  <c r="DN9" i="127" s="1"/>
  <c r="DR26" i="127"/>
  <c r="M11" i="127"/>
  <c r="E11" i="127"/>
  <c r="DN11" i="127" s="1"/>
  <c r="E17" i="127"/>
  <c r="M17" i="127"/>
  <c r="H17" i="127"/>
  <c r="E18" i="127"/>
  <c r="E20" i="127"/>
  <c r="M20" i="127"/>
  <c r="H20" i="127"/>
  <c r="M10" i="127"/>
  <c r="E10" i="127"/>
  <c r="E19" i="127"/>
  <c r="M19" i="127"/>
  <c r="H19" i="127"/>
  <c r="DU47" i="127"/>
  <c r="M39" i="127"/>
  <c r="E39" i="127"/>
  <c r="DN39" i="127" s="1"/>
  <c r="BC42" i="127"/>
  <c r="AH42" i="127"/>
  <c r="DP59" i="127"/>
  <c r="E37" i="127"/>
  <c r="DN37" i="127" s="1"/>
  <c r="M37" i="127"/>
  <c r="M38" i="127"/>
  <c r="E38" i="127"/>
  <c r="DN38" i="127" s="1"/>
  <c r="DT77" i="127"/>
  <c r="M78" i="127"/>
  <c r="E78" i="127"/>
  <c r="BC33" i="127"/>
  <c r="DO34" i="127"/>
  <c r="DN36" i="127"/>
  <c r="DR50" i="127"/>
  <c r="E51" i="127"/>
  <c r="DN51" i="127" s="1"/>
  <c r="M51" i="127"/>
  <c r="AH43" i="127"/>
  <c r="BC43" i="127"/>
  <c r="M48" i="127"/>
  <c r="E48" i="127"/>
  <c r="DN48" i="127" s="1"/>
  <c r="M52" i="127"/>
  <c r="E52" i="127"/>
  <c r="DN52" i="127" s="1"/>
  <c r="M56" i="127"/>
  <c r="E56" i="127"/>
  <c r="M60" i="127"/>
  <c r="E60" i="127"/>
  <c r="DN60" i="127" s="1"/>
  <c r="DP79" i="127"/>
  <c r="M40" i="127"/>
  <c r="E40" i="127"/>
  <c r="DN40" i="127" s="1"/>
  <c r="DM61" i="127"/>
  <c r="M64" i="127"/>
  <c r="E64" i="127"/>
  <c r="M68" i="127"/>
  <c r="E68" i="127"/>
  <c r="DN68" i="127" s="1"/>
  <c r="M76" i="127"/>
  <c r="E76" i="127"/>
  <c r="DN76" i="127" s="1"/>
  <c r="M82" i="127"/>
  <c r="E82" i="127"/>
  <c r="M72" i="127"/>
  <c r="E72" i="127"/>
  <c r="DN72" i="127" s="1"/>
  <c r="M80" i="127"/>
  <c r="E80" i="127"/>
  <c r="DN80" i="127" s="1"/>
  <c r="M87" i="127"/>
  <c r="E87" i="127"/>
  <c r="DN87" i="127" s="1"/>
  <c r="M88" i="127"/>
  <c r="E88" i="127"/>
  <c r="DN88" i="127" s="1"/>
  <c r="M84" i="127"/>
  <c r="E84" i="127"/>
  <c r="DN84" i="127" s="1"/>
  <c r="M95" i="127"/>
  <c r="E95" i="127"/>
  <c r="M83" i="127"/>
  <c r="E83" i="127"/>
  <c r="DN83" i="127" s="1"/>
  <c r="M90" i="127"/>
  <c r="E90" i="127"/>
  <c r="DN90" i="127" s="1"/>
  <c r="M96" i="127"/>
  <c r="E96" i="127"/>
  <c r="DN96" i="127" s="1"/>
  <c r="M10" i="126"/>
  <c r="E10" i="126"/>
  <c r="DU14" i="126"/>
  <c r="M19" i="126"/>
  <c r="H19" i="126"/>
  <c r="E19" i="126"/>
  <c r="DM27" i="126"/>
  <c r="M37" i="126"/>
  <c r="E37" i="126"/>
  <c r="M53" i="126"/>
  <c r="E53" i="126"/>
  <c r="M9" i="126"/>
  <c r="E9" i="126"/>
  <c r="E18" i="126"/>
  <c r="DW34" i="126"/>
  <c r="M40" i="126"/>
  <c r="E40" i="126"/>
  <c r="M8" i="126"/>
  <c r="E8" i="126"/>
  <c r="M12" i="126"/>
  <c r="E12" i="126"/>
  <c r="DT14" i="126"/>
  <c r="M17" i="126"/>
  <c r="H17" i="126"/>
  <c r="E17" i="126"/>
  <c r="DT32" i="126"/>
  <c r="DP32" i="126"/>
  <c r="DN33" i="126"/>
  <c r="AE33" i="126" s="1"/>
  <c r="M39" i="126"/>
  <c r="E39" i="126"/>
  <c r="M11" i="126"/>
  <c r="E11" i="126"/>
  <c r="M20" i="126"/>
  <c r="H20" i="126"/>
  <c r="E20" i="126"/>
  <c r="M38" i="126"/>
  <c r="E38" i="126"/>
  <c r="M49" i="126"/>
  <c r="E49" i="126"/>
  <c r="M46" i="126"/>
  <c r="E46" i="126"/>
  <c r="M61" i="126"/>
  <c r="E61" i="126"/>
  <c r="M47" i="126"/>
  <c r="E47" i="126"/>
  <c r="M69" i="126"/>
  <c r="E69" i="126"/>
  <c r="M55" i="126"/>
  <c r="E55" i="126"/>
  <c r="D55" i="126"/>
  <c r="M63" i="126"/>
  <c r="E63" i="126"/>
  <c r="DR66" i="126"/>
  <c r="M67" i="126"/>
  <c r="E67" i="126"/>
  <c r="M51" i="126"/>
  <c r="E51" i="126"/>
  <c r="DU52" i="126"/>
  <c r="DM52" i="126"/>
  <c r="DS52" i="126"/>
  <c r="M57" i="126"/>
  <c r="E57" i="126"/>
  <c r="M59" i="126"/>
  <c r="E59" i="126"/>
  <c r="DO62" i="126"/>
  <c r="DQ62" i="126"/>
  <c r="M65" i="126"/>
  <c r="E65" i="126"/>
  <c r="M68" i="126"/>
  <c r="E68" i="126"/>
  <c r="M71" i="126"/>
  <c r="E71" i="126"/>
  <c r="M73" i="126"/>
  <c r="E73" i="126"/>
  <c r="M75" i="126"/>
  <c r="E75" i="126"/>
  <c r="M87" i="126"/>
  <c r="E87" i="126"/>
  <c r="D65" i="126"/>
  <c r="DR79" i="126"/>
  <c r="DO79" i="126"/>
  <c r="DS79" i="126"/>
  <c r="E80" i="126"/>
  <c r="M80" i="126"/>
  <c r="M83" i="126"/>
  <c r="E83" i="126"/>
  <c r="E76" i="126"/>
  <c r="M76" i="126"/>
  <c r="DS82" i="126"/>
  <c r="M93" i="126"/>
  <c r="E93" i="126"/>
  <c r="M77" i="126"/>
  <c r="E77" i="126"/>
  <c r="M81" i="126"/>
  <c r="E81" i="126"/>
  <c r="M85" i="126"/>
  <c r="E85" i="126"/>
  <c r="E84" i="126"/>
  <c r="M84" i="126"/>
  <c r="E88" i="126"/>
  <c r="M88" i="126"/>
  <c r="M89" i="126"/>
  <c r="E89" i="126"/>
  <c r="M96" i="126"/>
  <c r="E96" i="126"/>
  <c r="DM57" i="127" l="1"/>
  <c r="DM92" i="126"/>
  <c r="DW65" i="127"/>
  <c r="DV27" i="126"/>
  <c r="DV14" i="126"/>
  <c r="DM34" i="126"/>
  <c r="DV25" i="126"/>
  <c r="DS71" i="127"/>
  <c r="DR77" i="127"/>
  <c r="DM46" i="127"/>
  <c r="DU46" i="127"/>
  <c r="DW46" i="127"/>
  <c r="DR15" i="127"/>
  <c r="DR62" i="126"/>
  <c r="DQ34" i="126"/>
  <c r="DT25" i="126"/>
  <c r="DU27" i="126"/>
  <c r="DS61" i="127"/>
  <c r="DW50" i="127"/>
  <c r="DS77" i="127"/>
  <c r="DM59" i="127"/>
  <c r="DP47" i="127"/>
  <c r="DV15" i="127"/>
  <c r="DU26" i="127"/>
  <c r="DQ71" i="127"/>
  <c r="DP79" i="126"/>
  <c r="DM62" i="126"/>
  <c r="DR52" i="126"/>
  <c r="DW66" i="126"/>
  <c r="DR27" i="126"/>
  <c r="DO32" i="126"/>
  <c r="DM71" i="127"/>
  <c r="DV79" i="127"/>
  <c r="BC55" i="127"/>
  <c r="DV47" i="127"/>
  <c r="DQ46" i="127"/>
  <c r="DN59" i="127"/>
  <c r="DW25" i="126"/>
  <c r="DV52" i="126"/>
  <c r="DU64" i="126"/>
  <c r="DQ64" i="126"/>
  <c r="DR70" i="127"/>
  <c r="BS58" i="126"/>
  <c r="DQ90" i="126"/>
  <c r="DR49" i="127"/>
  <c r="DM31" i="126"/>
  <c r="DV90" i="126"/>
  <c r="DW79" i="126"/>
  <c r="DV62" i="126"/>
  <c r="DW60" i="126"/>
  <c r="DT52" i="126"/>
  <c r="DV66" i="126"/>
  <c r="DU66" i="126"/>
  <c r="DS27" i="126"/>
  <c r="DQ27" i="126"/>
  <c r="DR14" i="126"/>
  <c r="DS34" i="126"/>
  <c r="DR25" i="126"/>
  <c r="DO14" i="126"/>
  <c r="DM32" i="126"/>
  <c r="DU71" i="127"/>
  <c r="DQ79" i="127"/>
  <c r="DW79" i="127"/>
  <c r="DQ50" i="127"/>
  <c r="DQ47" i="127"/>
  <c r="DW77" i="127"/>
  <c r="DU77" i="127"/>
  <c r="DT59" i="127"/>
  <c r="DS59" i="127"/>
  <c r="DM47" i="127"/>
  <c r="DS46" i="127"/>
  <c r="DV46" i="127"/>
  <c r="DQ15" i="127"/>
  <c r="DM26" i="127"/>
  <c r="DT26" i="127"/>
  <c r="DU79" i="127"/>
  <c r="DU15" i="127"/>
  <c r="DO25" i="126"/>
  <c r="DM25" i="126"/>
  <c r="DT95" i="126"/>
  <c r="DQ79" i="126"/>
  <c r="DT62" i="126"/>
  <c r="DW62" i="126"/>
  <c r="DO52" i="126"/>
  <c r="DO66" i="126"/>
  <c r="DM66" i="126"/>
  <c r="DR32" i="126"/>
  <c r="DT27" i="126"/>
  <c r="DQ14" i="126"/>
  <c r="DU34" i="126"/>
  <c r="DQ25" i="126"/>
  <c r="DU32" i="126"/>
  <c r="DP93" i="127"/>
  <c r="DW71" i="127"/>
  <c r="DQ61" i="127"/>
  <c r="DM79" i="127"/>
  <c r="DT79" i="127"/>
  <c r="DS50" i="127"/>
  <c r="DV50" i="127"/>
  <c r="DV77" i="127"/>
  <c r="DQ77" i="127"/>
  <c r="DU69" i="127"/>
  <c r="DU59" i="127"/>
  <c r="DT47" i="127"/>
  <c r="DS47" i="127"/>
  <c r="DR46" i="127"/>
  <c r="DT15" i="127"/>
  <c r="DW26" i="127"/>
  <c r="DP26" i="127"/>
  <c r="DP61" i="127"/>
  <c r="DS15" i="127"/>
  <c r="DV59" i="127"/>
  <c r="DM79" i="126"/>
  <c r="DR67" i="127"/>
  <c r="DN71" i="127"/>
  <c r="DU50" i="127"/>
  <c r="DP78" i="126"/>
  <c r="DV32" i="127"/>
  <c r="DT74" i="127"/>
  <c r="DQ30" i="127"/>
  <c r="DQ27" i="127"/>
  <c r="DN32" i="127"/>
  <c r="DM72" i="126"/>
  <c r="DW64" i="126"/>
  <c r="DQ49" i="127"/>
  <c r="DW31" i="126"/>
  <c r="DT31" i="126"/>
  <c r="DS95" i="126"/>
  <c r="DR82" i="126"/>
  <c r="DW50" i="126"/>
  <c r="DO31" i="126"/>
  <c r="DP28" i="126"/>
  <c r="DT92" i="127"/>
  <c r="DR55" i="127"/>
  <c r="BU58" i="127"/>
  <c r="DW29" i="127"/>
  <c r="BR56" i="126"/>
  <c r="DQ58" i="126"/>
  <c r="DS56" i="126"/>
  <c r="DM89" i="127"/>
  <c r="DN28" i="127"/>
  <c r="DU92" i="126"/>
  <c r="DR70" i="126"/>
  <c r="DT54" i="126"/>
  <c r="DW58" i="126"/>
  <c r="DV74" i="126"/>
  <c r="AX58" i="126"/>
  <c r="DQ57" i="127"/>
  <c r="DT57" i="127"/>
  <c r="DQ95" i="126"/>
  <c r="DP50" i="126"/>
  <c r="DO48" i="126"/>
  <c r="BS56" i="126"/>
  <c r="DQ89" i="127"/>
  <c r="DT65" i="127"/>
  <c r="DO29" i="126"/>
  <c r="DU95" i="126"/>
  <c r="DO92" i="126"/>
  <c r="DT79" i="126"/>
  <c r="DV79" i="126"/>
  <c r="DU70" i="126"/>
  <c r="DS62" i="126"/>
  <c r="DO54" i="126"/>
  <c r="DW52" i="126"/>
  <c r="DQ52" i="126"/>
  <c r="DS66" i="126"/>
  <c r="DQ66" i="126"/>
  <c r="DS32" i="126"/>
  <c r="DP26" i="126"/>
  <c r="DS14" i="126"/>
  <c r="DQ48" i="126"/>
  <c r="DQ32" i="126"/>
  <c r="DV32" i="126"/>
  <c r="DP27" i="126"/>
  <c r="DP14" i="126"/>
  <c r="DR34" i="126"/>
  <c r="DO34" i="126"/>
  <c r="DO27" i="126"/>
  <c r="DP25" i="126"/>
  <c r="BU56" i="126"/>
  <c r="DM14" i="126"/>
  <c r="DW85" i="127"/>
  <c r="DT71" i="127"/>
  <c r="DR61" i="127"/>
  <c r="DU61" i="127"/>
  <c r="DR79" i="127"/>
  <c r="DS79" i="127"/>
  <c r="DP66" i="127"/>
  <c r="DT50" i="127"/>
  <c r="DP46" i="127"/>
  <c r="DP77" i="127"/>
  <c r="DM77" i="127"/>
  <c r="AH65" i="127"/>
  <c r="DW74" i="127"/>
  <c r="DR59" i="127"/>
  <c r="DW59" i="127"/>
  <c r="DP74" i="127"/>
  <c r="DR47" i="127"/>
  <c r="DW47" i="127"/>
  <c r="DP15" i="127"/>
  <c r="DP27" i="127"/>
  <c r="DQ26" i="127"/>
  <c r="DS26" i="127"/>
  <c r="DR14" i="127"/>
  <c r="DR71" i="127"/>
  <c r="DT34" i="126"/>
  <c r="DT74" i="126"/>
  <c r="DN15" i="127"/>
  <c r="DP62" i="126"/>
  <c r="DW61" i="127"/>
  <c r="DP71" i="127"/>
  <c r="DM50" i="127"/>
  <c r="BS58" i="127"/>
  <c r="DU32" i="127"/>
  <c r="DS32" i="127"/>
  <c r="AZ58" i="127"/>
  <c r="DP92" i="126"/>
  <c r="DM82" i="126"/>
  <c r="DM78" i="126"/>
  <c r="DM74" i="126"/>
  <c r="BB58" i="126"/>
  <c r="DT26" i="126"/>
  <c r="DS28" i="126"/>
  <c r="AZ56" i="126"/>
  <c r="DT56" i="126"/>
  <c r="DR92" i="127"/>
  <c r="DV89" i="127"/>
  <c r="DT75" i="127"/>
  <c r="DW70" i="127"/>
  <c r="DV57" i="127"/>
  <c r="DM53" i="127"/>
  <c r="DU66" i="127"/>
  <c r="BC57" i="127"/>
  <c r="DS65" i="127"/>
  <c r="DQ54" i="127"/>
  <c r="DS74" i="127"/>
  <c r="DN27" i="127"/>
  <c r="DQ28" i="127"/>
  <c r="DQ29" i="127"/>
  <c r="DS30" i="127"/>
  <c r="DR92" i="126"/>
  <c r="AZ58" i="126"/>
  <c r="AY57" i="127"/>
  <c r="DU58" i="126"/>
  <c r="DW53" i="127"/>
  <c r="DM95" i="126"/>
  <c r="DM90" i="126"/>
  <c r="DV92" i="126"/>
  <c r="DO82" i="126"/>
  <c r="BU58" i="126"/>
  <c r="DS58" i="126"/>
  <c r="DM60" i="126"/>
  <c r="DM64" i="126"/>
  <c r="DW28" i="126"/>
  <c r="BT56" i="126"/>
  <c r="DQ31" i="126"/>
  <c r="DT15" i="126"/>
  <c r="DT13" i="126" s="1"/>
  <c r="DV92" i="127"/>
  <c r="DS70" i="127"/>
  <c r="DU53" i="127"/>
  <c r="DV55" i="127"/>
  <c r="DW54" i="127"/>
  <c r="DW63" i="127"/>
  <c r="DV75" i="127"/>
  <c r="DT82" i="126"/>
  <c r="BC58" i="127"/>
  <c r="DR72" i="126"/>
  <c r="DQ72" i="126"/>
  <c r="DW75" i="127"/>
  <c r="DU49" i="127"/>
  <c r="BB58" i="127"/>
  <c r="DT58" i="127"/>
  <c r="DR58" i="127"/>
  <c r="DR34" i="127"/>
  <c r="DM30" i="127"/>
  <c r="DP30" i="127"/>
  <c r="DW49" i="127"/>
  <c r="DR78" i="126"/>
  <c r="DN30" i="127"/>
  <c r="DV74" i="127"/>
  <c r="DU74" i="127"/>
  <c r="DV29" i="127"/>
  <c r="DT29" i="127"/>
  <c r="DS29" i="127"/>
  <c r="DR58" i="126"/>
  <c r="AG58" i="126"/>
  <c r="DO58" i="126"/>
  <c r="BR58" i="126"/>
  <c r="DT58" i="126"/>
  <c r="DS89" i="127"/>
  <c r="DU89" i="127"/>
  <c r="DR89" i="127"/>
  <c r="DP65" i="127"/>
  <c r="DU65" i="127"/>
  <c r="AG65" i="127"/>
  <c r="DR65" i="127"/>
  <c r="DS57" i="127"/>
  <c r="DR57" i="127"/>
  <c r="BU57" i="127"/>
  <c r="AX57" i="127"/>
  <c r="DU57" i="127"/>
  <c r="AG57" i="127"/>
  <c r="DS27" i="127"/>
  <c r="DR27" i="127"/>
  <c r="DU27" i="127"/>
  <c r="DU26" i="126"/>
  <c r="DV26" i="126"/>
  <c r="DQ26" i="126"/>
  <c r="DS29" i="126"/>
  <c r="DM29" i="126"/>
  <c r="DT29" i="126"/>
  <c r="DQ29" i="126"/>
  <c r="DU56" i="126"/>
  <c r="BB56" i="126"/>
  <c r="DO56" i="126"/>
  <c r="DR56" i="126"/>
  <c r="DV56" i="126"/>
  <c r="DW74" i="126"/>
  <c r="DQ74" i="126"/>
  <c r="DP74" i="126"/>
  <c r="DP85" i="127"/>
  <c r="DQ85" i="127"/>
  <c r="DT85" i="127"/>
  <c r="DS53" i="127"/>
  <c r="DR53" i="127"/>
  <c r="DQ53" i="127"/>
  <c r="DV66" i="127"/>
  <c r="DQ66" i="127"/>
  <c r="DW28" i="127"/>
  <c r="DV28" i="127"/>
  <c r="DS28" i="127"/>
  <c r="DT92" i="126"/>
  <c r="DS92" i="126"/>
  <c r="DQ82" i="126"/>
  <c r="DW82" i="126"/>
  <c r="DQ78" i="126"/>
  <c r="DO72" i="126"/>
  <c r="DU72" i="126"/>
  <c r="DU74" i="126"/>
  <c r="AY58" i="126"/>
  <c r="DR64" i="126"/>
  <c r="DV64" i="126"/>
  <c r="DR29" i="126"/>
  <c r="DO28" i="126"/>
  <c r="DR26" i="126"/>
  <c r="DS31" i="126"/>
  <c r="DM26" i="126"/>
  <c r="DP56" i="126"/>
  <c r="DW56" i="126"/>
  <c r="AG56" i="126"/>
  <c r="DQ56" i="126"/>
  <c r="DV31" i="126"/>
  <c r="DT28" i="126"/>
  <c r="DU85" i="127"/>
  <c r="DU92" i="127"/>
  <c r="DP89" i="127"/>
  <c r="DU75" i="127"/>
  <c r="DU70" i="127"/>
  <c r="DV70" i="127"/>
  <c r="AZ57" i="127"/>
  <c r="DV53" i="127"/>
  <c r="DV49" i="127"/>
  <c r="BT57" i="127"/>
  <c r="DM66" i="127"/>
  <c r="DU54" i="127"/>
  <c r="DT34" i="127"/>
  <c r="BC65" i="127"/>
  <c r="BB65" i="127"/>
  <c r="DT54" i="127"/>
  <c r="DQ58" i="127"/>
  <c r="AH58" i="127"/>
  <c r="BS57" i="127"/>
  <c r="DM34" i="127"/>
  <c r="DQ74" i="127"/>
  <c r="DM54" i="127"/>
  <c r="DW32" i="127"/>
  <c r="DP28" i="127"/>
  <c r="DM29" i="127"/>
  <c r="DR29" i="127"/>
  <c r="DR30" i="127"/>
  <c r="DT30" i="127"/>
  <c r="DT27" i="127"/>
  <c r="DV85" i="127"/>
  <c r="DT66" i="127"/>
  <c r="DS49" i="127"/>
  <c r="DN89" i="127"/>
  <c r="DN86" i="127" s="1"/>
  <c r="DT72" i="126"/>
  <c r="DO26" i="126"/>
  <c r="DT70" i="127"/>
  <c r="DM58" i="126"/>
  <c r="DW29" i="126"/>
  <c r="DS85" i="127"/>
  <c r="DT78" i="126"/>
  <c r="DT53" i="127"/>
  <c r="DU28" i="126"/>
  <c r="DS26" i="126"/>
  <c r="DT70" i="126"/>
  <c r="DS70" i="126"/>
  <c r="DV70" i="126"/>
  <c r="DO95" i="126"/>
  <c r="DQ92" i="126"/>
  <c r="DV78" i="126"/>
  <c r="DU78" i="126"/>
  <c r="DS72" i="126"/>
  <c r="DR74" i="126"/>
  <c r="DO74" i="126"/>
  <c r="DM70" i="126"/>
  <c r="DV58" i="126"/>
  <c r="BT58" i="126"/>
  <c r="DR60" i="126"/>
  <c r="DU50" i="126"/>
  <c r="DP64" i="126"/>
  <c r="DT50" i="126"/>
  <c r="DV29" i="126"/>
  <c r="AX56" i="126"/>
  <c r="AY56" i="126"/>
  <c r="AW56" i="126"/>
  <c r="DR85" i="127"/>
  <c r="DW89" i="127"/>
  <c r="DQ70" i="127"/>
  <c r="BB57" i="127"/>
  <c r="DP53" i="127"/>
  <c r="AH57" i="127"/>
  <c r="DS66" i="127"/>
  <c r="DM58" i="127"/>
  <c r="DV65" i="127"/>
  <c r="DM65" i="127"/>
  <c r="DW58" i="127"/>
  <c r="DQ34" i="127"/>
  <c r="DM74" i="127"/>
  <c r="DQ32" i="127"/>
  <c r="DT28" i="127"/>
  <c r="DP29" i="127"/>
  <c r="DM27" i="127"/>
  <c r="DV27" i="127"/>
  <c r="DN85" i="127"/>
  <c r="DW66" i="127"/>
  <c r="DN29" i="127"/>
  <c r="DM28" i="127"/>
  <c r="DP70" i="127"/>
  <c r="DP58" i="126"/>
  <c r="DU29" i="126"/>
  <c r="DU28" i="127"/>
  <c r="DQ75" i="127"/>
  <c r="DS75" i="127"/>
  <c r="DN34" i="127"/>
  <c r="DU34" i="127"/>
  <c r="DW34" i="127"/>
  <c r="DV72" i="126"/>
  <c r="DW72" i="126"/>
  <c r="DP58" i="127"/>
  <c r="DU58" i="127"/>
  <c r="DV58" i="127"/>
  <c r="AX58" i="127"/>
  <c r="AY58" i="127"/>
  <c r="AG58" i="127"/>
  <c r="BT58" i="127"/>
  <c r="DT49" i="127"/>
  <c r="DM49" i="127"/>
  <c r="DW30" i="127"/>
  <c r="DU30" i="127"/>
  <c r="DO78" i="126"/>
  <c r="DS78" i="126"/>
  <c r="DU31" i="126"/>
  <c r="DR31" i="126"/>
  <c r="DS64" i="126"/>
  <c r="DT64" i="126"/>
  <c r="DV82" i="126"/>
  <c r="DP82" i="126"/>
  <c r="DP92" i="127"/>
  <c r="DQ92" i="127"/>
  <c r="DS92" i="127"/>
  <c r="DW92" i="127"/>
  <c r="DP54" i="127"/>
  <c r="DR54" i="127"/>
  <c r="DS54" i="127"/>
  <c r="DM32" i="127"/>
  <c r="DP32" i="127"/>
  <c r="DR32" i="127"/>
  <c r="DM28" i="126"/>
  <c r="DV28" i="126"/>
  <c r="DQ28" i="126"/>
  <c r="DU93" i="127"/>
  <c r="DV93" i="127"/>
  <c r="DN93" i="127"/>
  <c r="DT93" i="127"/>
  <c r="DQ93" i="127"/>
  <c r="DW93" i="127"/>
  <c r="DS93" i="127"/>
  <c r="DR93" i="127"/>
  <c r="DU67" i="127"/>
  <c r="DW67" i="127"/>
  <c r="DP67" i="127"/>
  <c r="DM67" i="127"/>
  <c r="DS67" i="127"/>
  <c r="DQ67" i="127"/>
  <c r="DQ55" i="127"/>
  <c r="DN55" i="127"/>
  <c r="BU55" i="127"/>
  <c r="DU55" i="127"/>
  <c r="AH55" i="127"/>
  <c r="BB55" i="127"/>
  <c r="DP55" i="127"/>
  <c r="AZ55" i="127"/>
  <c r="BS55" i="127"/>
  <c r="DT55" i="127"/>
  <c r="AX55" i="127"/>
  <c r="DS55" i="127"/>
  <c r="AY55" i="127"/>
  <c r="DM55" i="127"/>
  <c r="AG55" i="127"/>
  <c r="DS25" i="127"/>
  <c r="DN25" i="127"/>
  <c r="DP25" i="127"/>
  <c r="DM25" i="127"/>
  <c r="DV25" i="127"/>
  <c r="DQ25" i="127"/>
  <c r="DW25" i="127"/>
  <c r="DT25" i="127"/>
  <c r="DR50" i="126"/>
  <c r="DS50" i="126"/>
  <c r="DQ50" i="126"/>
  <c r="DO50" i="126"/>
  <c r="DM50" i="126"/>
  <c r="DQ81" i="127"/>
  <c r="DV81" i="127"/>
  <c r="DN81" i="127"/>
  <c r="DR81" i="127"/>
  <c r="DT81" i="127"/>
  <c r="DU81" i="127"/>
  <c r="DM81" i="127"/>
  <c r="DP73" i="127"/>
  <c r="DW73" i="127"/>
  <c r="DU73" i="127"/>
  <c r="DV73" i="127"/>
  <c r="DS73" i="127"/>
  <c r="DM73" i="127"/>
  <c r="DT73" i="127"/>
  <c r="DN63" i="127"/>
  <c r="DU63" i="127"/>
  <c r="DR63" i="127"/>
  <c r="DT63" i="127"/>
  <c r="DM63" i="127"/>
  <c r="DQ63" i="127"/>
  <c r="DS63" i="127"/>
  <c r="DP63" i="127"/>
  <c r="DW31" i="127"/>
  <c r="DQ31" i="127"/>
  <c r="DU31" i="127"/>
  <c r="DS31" i="127"/>
  <c r="DT31" i="127"/>
  <c r="DM31" i="127"/>
  <c r="DR31" i="127"/>
  <c r="DR90" i="126"/>
  <c r="DT90" i="126"/>
  <c r="DW90" i="126"/>
  <c r="DO90" i="126"/>
  <c r="DP90" i="126"/>
  <c r="DS90" i="126"/>
  <c r="DP70" i="126"/>
  <c r="DW70" i="126"/>
  <c r="DQ70" i="126"/>
  <c r="DM54" i="126"/>
  <c r="DP54" i="126"/>
  <c r="DU54" i="126"/>
  <c r="DR54" i="126"/>
  <c r="DQ54" i="126"/>
  <c r="DW54" i="126"/>
  <c r="DV54" i="126"/>
  <c r="DW30" i="126"/>
  <c r="DO30" i="126"/>
  <c r="DU30" i="126"/>
  <c r="DT30" i="126"/>
  <c r="DM30" i="126"/>
  <c r="DV30" i="126"/>
  <c r="DQ30" i="126"/>
  <c r="DR30" i="126"/>
  <c r="DM15" i="126"/>
  <c r="DU15" i="126"/>
  <c r="DU13" i="126" s="1"/>
  <c r="DS15" i="126"/>
  <c r="DR15" i="126"/>
  <c r="DP15" i="126"/>
  <c r="DW15" i="126"/>
  <c r="DW13" i="126" s="1"/>
  <c r="DV15" i="126"/>
  <c r="DQ15" i="126"/>
  <c r="DQ13" i="126" s="1"/>
  <c r="DP95" i="126"/>
  <c r="DR95" i="126"/>
  <c r="DW95" i="126"/>
  <c r="DU48" i="126"/>
  <c r="DS48" i="126"/>
  <c r="DV48" i="126"/>
  <c r="DM48" i="126"/>
  <c r="DR48" i="126"/>
  <c r="DW48" i="126"/>
  <c r="DP48" i="126"/>
  <c r="DV60" i="126"/>
  <c r="DP60" i="126"/>
  <c r="DT60" i="126"/>
  <c r="DS60" i="126"/>
  <c r="DU60" i="126"/>
  <c r="DO60" i="126"/>
  <c r="DS69" i="127"/>
  <c r="DM69" i="127"/>
  <c r="DW69" i="127"/>
  <c r="DN69" i="127"/>
  <c r="DT69" i="127"/>
  <c r="DP69" i="127"/>
  <c r="DQ69" i="127"/>
  <c r="DR69" i="127"/>
  <c r="DP14" i="127"/>
  <c r="DQ14" i="127"/>
  <c r="DW14" i="127"/>
  <c r="DV14" i="127"/>
  <c r="DU14" i="127"/>
  <c r="DT14" i="127"/>
  <c r="DT13" i="127" s="1"/>
  <c r="DS14" i="127"/>
  <c r="DS13" i="127" s="1"/>
  <c r="DT62" i="127"/>
  <c r="DR62" i="127"/>
  <c r="DS62" i="127"/>
  <c r="DP62" i="127"/>
  <c r="DM62" i="127"/>
  <c r="DW62" i="127"/>
  <c r="DV62" i="127"/>
  <c r="DU62" i="127"/>
  <c r="DP81" i="127"/>
  <c r="DQ73" i="127"/>
  <c r="DP31" i="127"/>
  <c r="DN31" i="127"/>
  <c r="DS30" i="126"/>
  <c r="DS81" i="127"/>
  <c r="DW81" i="127"/>
  <c r="DT67" i="127"/>
  <c r="BT55" i="127"/>
  <c r="DR73" i="127"/>
  <c r="DU25" i="127"/>
  <c r="DR75" i="127"/>
  <c r="DW15" i="127"/>
  <c r="DS25" i="126"/>
  <c r="DN75" i="127"/>
  <c r="DP75" i="127"/>
  <c r="DN67" i="127"/>
  <c r="DP34" i="127"/>
  <c r="DS34" i="127"/>
  <c r="DO13" i="126"/>
  <c r="DT84" i="127"/>
  <c r="DP84" i="127"/>
  <c r="DS84" i="127"/>
  <c r="DW84" i="127"/>
  <c r="DQ84" i="127"/>
  <c r="DR84" i="127"/>
  <c r="DV84" i="127"/>
  <c r="DM84" i="127"/>
  <c r="DU84" i="127"/>
  <c r="DT80" i="127"/>
  <c r="DP80" i="127"/>
  <c r="DV80" i="127"/>
  <c r="DQ80" i="127"/>
  <c r="DR80" i="127"/>
  <c r="DU80" i="127"/>
  <c r="DW80" i="127"/>
  <c r="DM80" i="127"/>
  <c r="DS80" i="127"/>
  <c r="DT68" i="127"/>
  <c r="DP68" i="127"/>
  <c r="DV68" i="127"/>
  <c r="DQ68" i="127"/>
  <c r="DS68" i="127"/>
  <c r="DM68" i="127"/>
  <c r="DU68" i="127"/>
  <c r="DW68" i="127"/>
  <c r="DR68" i="127"/>
  <c r="DT56" i="127"/>
  <c r="DP56" i="127"/>
  <c r="BU56" i="127"/>
  <c r="AZ56" i="127"/>
  <c r="DW56" i="127"/>
  <c r="DR56" i="127"/>
  <c r="DM56" i="127"/>
  <c r="BS56" i="127"/>
  <c r="BC56" i="127"/>
  <c r="AG56" i="127"/>
  <c r="DU56" i="127"/>
  <c r="AY56" i="127"/>
  <c r="BT56" i="127"/>
  <c r="AX56" i="127"/>
  <c r="DV56" i="127"/>
  <c r="DS56" i="127"/>
  <c r="AH56" i="127"/>
  <c r="DQ56" i="127"/>
  <c r="BB56" i="127"/>
  <c r="DT90" i="127"/>
  <c r="DP90" i="127"/>
  <c r="DV90" i="127"/>
  <c r="DQ90" i="127"/>
  <c r="DR90" i="127"/>
  <c r="DW90" i="127"/>
  <c r="DS90" i="127"/>
  <c r="DU90" i="127"/>
  <c r="DM90" i="127"/>
  <c r="DV95" i="127"/>
  <c r="DR95" i="127"/>
  <c r="DU95" i="127"/>
  <c r="DP95" i="127"/>
  <c r="DQ95" i="127"/>
  <c r="DS95" i="127"/>
  <c r="DT95" i="127"/>
  <c r="DM95" i="127"/>
  <c r="DW95" i="127"/>
  <c r="DT52" i="127"/>
  <c r="DP52" i="127"/>
  <c r="DW52" i="127"/>
  <c r="DR52" i="127"/>
  <c r="DM52" i="127"/>
  <c r="DU52" i="127"/>
  <c r="DV52" i="127"/>
  <c r="DS52" i="127"/>
  <c r="DQ52" i="127"/>
  <c r="DN35" i="127"/>
  <c r="DW19" i="127"/>
  <c r="DS19" i="127"/>
  <c r="DU19" i="127"/>
  <c r="DQ19" i="127"/>
  <c r="DM19" i="127"/>
  <c r="DR19" i="127"/>
  <c r="DP19" i="127"/>
  <c r="DT19" i="127"/>
  <c r="DV19" i="127"/>
  <c r="DW10" i="127"/>
  <c r="DS10" i="127"/>
  <c r="DU10" i="127"/>
  <c r="DQ10" i="127"/>
  <c r="DM10" i="127"/>
  <c r="DR10" i="127"/>
  <c r="DV10" i="127"/>
  <c r="DT10" i="127"/>
  <c r="DP10" i="127"/>
  <c r="DS18" i="127"/>
  <c r="DU18" i="127"/>
  <c r="DQ18" i="127"/>
  <c r="DM18" i="127"/>
  <c r="DP18" i="127"/>
  <c r="DV18" i="127"/>
  <c r="DT18" i="127"/>
  <c r="DR18" i="127"/>
  <c r="DU11" i="127"/>
  <c r="DQ11" i="127"/>
  <c r="DM11" i="127"/>
  <c r="DW11" i="127"/>
  <c r="DS11" i="127"/>
  <c r="DT11" i="127"/>
  <c r="DR11" i="127"/>
  <c r="DP11" i="127"/>
  <c r="DV11" i="127"/>
  <c r="DU38" i="127"/>
  <c r="DQ38" i="127"/>
  <c r="DM38" i="127"/>
  <c r="DW38" i="127"/>
  <c r="DR38" i="127"/>
  <c r="DT38" i="127"/>
  <c r="DS38" i="127"/>
  <c r="DP38" i="127"/>
  <c r="DV38" i="127"/>
  <c r="DW37" i="127"/>
  <c r="DS37" i="127"/>
  <c r="DT37" i="127"/>
  <c r="DV37" i="127"/>
  <c r="DQ37" i="127"/>
  <c r="DP37" i="127"/>
  <c r="DU37" i="127"/>
  <c r="DM37" i="127"/>
  <c r="DR37" i="127"/>
  <c r="DW39" i="127"/>
  <c r="DS39" i="127"/>
  <c r="DR39" i="127"/>
  <c r="DM39" i="127"/>
  <c r="DU39" i="127"/>
  <c r="DP39" i="127"/>
  <c r="DV39" i="127"/>
  <c r="DT39" i="127"/>
  <c r="DQ39" i="127"/>
  <c r="DW17" i="127"/>
  <c r="DS17" i="127"/>
  <c r="DU17" i="127"/>
  <c r="DQ17" i="127"/>
  <c r="DM17" i="127"/>
  <c r="DV17" i="127"/>
  <c r="DT17" i="127"/>
  <c r="DR17" i="127"/>
  <c r="DP17" i="127"/>
  <c r="DU9" i="127"/>
  <c r="DQ9" i="127"/>
  <c r="DM9" i="127"/>
  <c r="DW9" i="127"/>
  <c r="DS9" i="127"/>
  <c r="DP9" i="127"/>
  <c r="DV9" i="127"/>
  <c r="DT9" i="127"/>
  <c r="DR9" i="127"/>
  <c r="DM13" i="127"/>
  <c r="DW8" i="127"/>
  <c r="DS8" i="127"/>
  <c r="DU8" i="127"/>
  <c r="DQ8" i="127"/>
  <c r="DM8" i="127"/>
  <c r="DV8" i="127"/>
  <c r="DP8" i="127"/>
  <c r="DT8" i="127"/>
  <c r="DR8" i="127"/>
  <c r="DW83" i="127"/>
  <c r="DS83" i="127"/>
  <c r="DV83" i="127"/>
  <c r="DQ83" i="127"/>
  <c r="DU83" i="127"/>
  <c r="DR83" i="127"/>
  <c r="DM83" i="127"/>
  <c r="DP83" i="127"/>
  <c r="DT83" i="127"/>
  <c r="DM91" i="127"/>
  <c r="DW87" i="127"/>
  <c r="DS87" i="127"/>
  <c r="DV87" i="127"/>
  <c r="DQ87" i="127"/>
  <c r="DR87" i="127"/>
  <c r="DU87" i="127"/>
  <c r="DM87" i="127"/>
  <c r="DT87" i="127"/>
  <c r="DP87" i="127"/>
  <c r="DW51" i="127"/>
  <c r="DS51" i="127"/>
  <c r="DU51" i="127"/>
  <c r="DP51" i="127"/>
  <c r="DR51" i="127"/>
  <c r="DM51" i="127"/>
  <c r="DT51" i="127"/>
  <c r="DQ51" i="127"/>
  <c r="DV51" i="127"/>
  <c r="DV78" i="127"/>
  <c r="DR78" i="127"/>
  <c r="DS78" i="127"/>
  <c r="DM78" i="127"/>
  <c r="DW78" i="127"/>
  <c r="DP78" i="127"/>
  <c r="DT78" i="127"/>
  <c r="DU78" i="127"/>
  <c r="DQ78" i="127"/>
  <c r="DW12" i="127"/>
  <c r="DS12" i="127"/>
  <c r="BT12" i="127"/>
  <c r="BP12" i="127"/>
  <c r="AY12" i="127"/>
  <c r="AU12" i="127"/>
  <c r="DU12" i="127"/>
  <c r="DQ12" i="127"/>
  <c r="DM12" i="127"/>
  <c r="BR12" i="127"/>
  <c r="BN12" i="127"/>
  <c r="BB12" i="127"/>
  <c r="AW12" i="127"/>
  <c r="AS12" i="127"/>
  <c r="AG12" i="127"/>
  <c r="DV12" i="127"/>
  <c r="BO12" i="127"/>
  <c r="AX12" i="127"/>
  <c r="AH12" i="127"/>
  <c r="DT12" i="127"/>
  <c r="DP12" i="127"/>
  <c r="BU12" i="127"/>
  <c r="AZ12" i="127"/>
  <c r="BS12" i="127"/>
  <c r="AV12" i="127"/>
  <c r="BQ12" i="127"/>
  <c r="AT12" i="127"/>
  <c r="DR12" i="127"/>
  <c r="BC12" i="127"/>
  <c r="DW96" i="127"/>
  <c r="DS96" i="127"/>
  <c r="DV96" i="127"/>
  <c r="DQ96" i="127"/>
  <c r="DU96" i="127"/>
  <c r="DT96" i="127"/>
  <c r="DR96" i="127"/>
  <c r="DP96" i="127"/>
  <c r="DM96" i="127"/>
  <c r="DT88" i="127"/>
  <c r="DP88" i="127"/>
  <c r="DS88" i="127"/>
  <c r="DU88" i="127"/>
  <c r="DM88" i="127"/>
  <c r="DV88" i="127"/>
  <c r="DQ88" i="127"/>
  <c r="DW88" i="127"/>
  <c r="DR88" i="127"/>
  <c r="DT76" i="127"/>
  <c r="DP76" i="127"/>
  <c r="DV76" i="127"/>
  <c r="DQ76" i="127"/>
  <c r="DU76" i="127"/>
  <c r="DS76" i="127"/>
  <c r="DM76" i="127"/>
  <c r="DR76" i="127"/>
  <c r="DW76" i="127"/>
  <c r="DT64" i="127"/>
  <c r="DP64" i="127"/>
  <c r="DU64" i="127"/>
  <c r="DR64" i="127"/>
  <c r="DV64" i="127"/>
  <c r="DM64" i="127"/>
  <c r="DW64" i="127"/>
  <c r="DS64" i="127"/>
  <c r="DQ64" i="127"/>
  <c r="DT48" i="127"/>
  <c r="DP48" i="127"/>
  <c r="DW48" i="127"/>
  <c r="DR48" i="127"/>
  <c r="DM48" i="127"/>
  <c r="DU48" i="127"/>
  <c r="DS48" i="127"/>
  <c r="DQ48" i="127"/>
  <c r="DV48" i="127"/>
  <c r="DT72" i="127"/>
  <c r="DP72" i="127"/>
  <c r="DV72" i="127"/>
  <c r="DQ72" i="127"/>
  <c r="DS72" i="127"/>
  <c r="DM72" i="127"/>
  <c r="DW72" i="127"/>
  <c r="DR72" i="127"/>
  <c r="DU72" i="127"/>
  <c r="DV82" i="127"/>
  <c r="DR82" i="127"/>
  <c r="DU82" i="127"/>
  <c r="DP82" i="127"/>
  <c r="DQ82" i="127"/>
  <c r="DT82" i="127"/>
  <c r="DW82" i="127"/>
  <c r="DM82" i="127"/>
  <c r="DS82" i="127"/>
  <c r="DU40" i="127"/>
  <c r="DQ40" i="127"/>
  <c r="DM40" i="127"/>
  <c r="DV40" i="127"/>
  <c r="DP40" i="127"/>
  <c r="DS40" i="127"/>
  <c r="DW40" i="127"/>
  <c r="DT40" i="127"/>
  <c r="DR40" i="127"/>
  <c r="DT60" i="127"/>
  <c r="DP60" i="127"/>
  <c r="DW60" i="127"/>
  <c r="DR60" i="127"/>
  <c r="DM60" i="127"/>
  <c r="DU60" i="127"/>
  <c r="DQ60" i="127"/>
  <c r="DV60" i="127"/>
  <c r="DS60" i="127"/>
  <c r="T33" i="127"/>
  <c r="U33" i="127"/>
  <c r="DW20" i="127"/>
  <c r="DS20" i="127"/>
  <c r="DU20" i="127"/>
  <c r="DQ20" i="127"/>
  <c r="DM20" i="127"/>
  <c r="DV20" i="127"/>
  <c r="DT20" i="127"/>
  <c r="DR20" i="127"/>
  <c r="DP20" i="127"/>
  <c r="DW84" i="126"/>
  <c r="DS84" i="126"/>
  <c r="DO84" i="126"/>
  <c r="DT84" i="126"/>
  <c r="DV84" i="126"/>
  <c r="DQ84" i="126"/>
  <c r="DM84" i="126"/>
  <c r="DR84" i="126"/>
  <c r="DP84" i="126"/>
  <c r="DU84" i="126"/>
  <c r="T33" i="126"/>
  <c r="U33" i="126"/>
  <c r="DT77" i="126"/>
  <c r="DP77" i="126"/>
  <c r="DU77" i="126"/>
  <c r="DO77" i="126"/>
  <c r="DW77" i="126"/>
  <c r="DR77" i="126"/>
  <c r="DM77" i="126"/>
  <c r="DS77" i="126"/>
  <c r="DQ77" i="126"/>
  <c r="DV77" i="126"/>
  <c r="DV87" i="126"/>
  <c r="DR87" i="126"/>
  <c r="DW87" i="126"/>
  <c r="DQ87" i="126"/>
  <c r="DT87" i="126"/>
  <c r="DO87" i="126"/>
  <c r="DM87" i="126"/>
  <c r="DS87" i="126"/>
  <c r="DP87" i="126"/>
  <c r="DU87" i="126"/>
  <c r="DT63" i="126"/>
  <c r="DP63" i="126"/>
  <c r="DV63" i="126"/>
  <c r="DQ63" i="126"/>
  <c r="DS63" i="126"/>
  <c r="DR63" i="126"/>
  <c r="DO63" i="126"/>
  <c r="DM63" i="126"/>
  <c r="DW63" i="126"/>
  <c r="DU63" i="126"/>
  <c r="DV61" i="126"/>
  <c r="DR61" i="126"/>
  <c r="DS61" i="126"/>
  <c r="DM61" i="126"/>
  <c r="DU61" i="126"/>
  <c r="DP61" i="126"/>
  <c r="DT61" i="126"/>
  <c r="DQ61" i="126"/>
  <c r="DW61" i="126"/>
  <c r="DO61" i="126"/>
  <c r="DU20" i="126"/>
  <c r="DQ20" i="126"/>
  <c r="DM20" i="126"/>
  <c r="DW20" i="126"/>
  <c r="DS20" i="126"/>
  <c r="DO20" i="126"/>
  <c r="DR20" i="126"/>
  <c r="DV20" i="126"/>
  <c r="DT20" i="126"/>
  <c r="DP20" i="126"/>
  <c r="DU39" i="126"/>
  <c r="DQ39" i="126"/>
  <c r="DM39" i="126"/>
  <c r="DW39" i="126"/>
  <c r="DS39" i="126"/>
  <c r="DO39" i="126"/>
  <c r="DT39" i="126"/>
  <c r="DR39" i="126"/>
  <c r="DP39" i="126"/>
  <c r="DV39" i="126"/>
  <c r="DW9" i="126"/>
  <c r="DS9" i="126"/>
  <c r="DO9" i="126"/>
  <c r="DU9" i="126"/>
  <c r="DQ9" i="126"/>
  <c r="DM9" i="126"/>
  <c r="DV9" i="126"/>
  <c r="DT9" i="126"/>
  <c r="DR9" i="126"/>
  <c r="DP9" i="126"/>
  <c r="DV53" i="126"/>
  <c r="DR53" i="126"/>
  <c r="DS53" i="126"/>
  <c r="DM53" i="126"/>
  <c r="DU53" i="126"/>
  <c r="DP53" i="126"/>
  <c r="DT53" i="126"/>
  <c r="DQ53" i="126"/>
  <c r="DO53" i="126"/>
  <c r="DW53" i="126"/>
  <c r="DU10" i="126"/>
  <c r="DQ10" i="126"/>
  <c r="DM10" i="126"/>
  <c r="DW10" i="126"/>
  <c r="DS10" i="126"/>
  <c r="DO10" i="126"/>
  <c r="DP10" i="126"/>
  <c r="DV10" i="126"/>
  <c r="DT10" i="126"/>
  <c r="DR10" i="126"/>
  <c r="DW88" i="126"/>
  <c r="DS88" i="126"/>
  <c r="DO88" i="126"/>
  <c r="DR88" i="126"/>
  <c r="DM88" i="126"/>
  <c r="DU88" i="126"/>
  <c r="DP88" i="126"/>
  <c r="DT88" i="126"/>
  <c r="DQ88" i="126"/>
  <c r="DV88" i="126"/>
  <c r="DT83" i="126"/>
  <c r="DP83" i="126"/>
  <c r="DV83" i="126"/>
  <c r="DR83" i="126"/>
  <c r="DU83" i="126"/>
  <c r="DM83" i="126"/>
  <c r="DQ83" i="126"/>
  <c r="DW83" i="126"/>
  <c r="DO83" i="126"/>
  <c r="DS83" i="126"/>
  <c r="DW68" i="126"/>
  <c r="DS68" i="126"/>
  <c r="DO68" i="126"/>
  <c r="DV68" i="126"/>
  <c r="DQ68" i="126"/>
  <c r="DR68" i="126"/>
  <c r="DU68" i="126"/>
  <c r="DT68" i="126"/>
  <c r="DP68" i="126"/>
  <c r="DM68" i="126"/>
  <c r="DT59" i="126"/>
  <c r="DP59" i="126"/>
  <c r="DV59" i="126"/>
  <c r="DQ59" i="126"/>
  <c r="DS59" i="126"/>
  <c r="DW59" i="126"/>
  <c r="DU59" i="126"/>
  <c r="DM59" i="126"/>
  <c r="DO59" i="126"/>
  <c r="DR59" i="126"/>
  <c r="DV49" i="126"/>
  <c r="DR49" i="126"/>
  <c r="DT49" i="126"/>
  <c r="DP49" i="126"/>
  <c r="DQ49" i="126"/>
  <c r="DS49" i="126"/>
  <c r="DW49" i="126"/>
  <c r="DM49" i="126"/>
  <c r="DU49" i="126"/>
  <c r="DO49" i="126"/>
  <c r="DU12" i="126"/>
  <c r="DQ12" i="126"/>
  <c r="DM12" i="126"/>
  <c r="BR12" i="126"/>
  <c r="BN12" i="126"/>
  <c r="BB12" i="126"/>
  <c r="AW12" i="126"/>
  <c r="AS12" i="126"/>
  <c r="AG12" i="126"/>
  <c r="DW12" i="126"/>
  <c r="DS12" i="126"/>
  <c r="DO12" i="126"/>
  <c r="BT12" i="126"/>
  <c r="BP12" i="126"/>
  <c r="AY12" i="126"/>
  <c r="AU12" i="126"/>
  <c r="DT12" i="126"/>
  <c r="BU12" i="126"/>
  <c r="BM12" i="126"/>
  <c r="AV12" i="126"/>
  <c r="DR12" i="126"/>
  <c r="BS12" i="126"/>
  <c r="DP12" i="126"/>
  <c r="BQ12" i="126"/>
  <c r="AZ12" i="126"/>
  <c r="AR12" i="126"/>
  <c r="DV12" i="126"/>
  <c r="BO12" i="126"/>
  <c r="AX12" i="126"/>
  <c r="AT12" i="126"/>
  <c r="DW40" i="126"/>
  <c r="DS40" i="126"/>
  <c r="DO40" i="126"/>
  <c r="DU40" i="126"/>
  <c r="DQ40" i="126"/>
  <c r="DM40" i="126"/>
  <c r="DV40" i="126"/>
  <c r="DT40" i="126"/>
  <c r="DR40" i="126"/>
  <c r="DP40" i="126"/>
  <c r="DU18" i="126"/>
  <c r="DQ18" i="126"/>
  <c r="DM18" i="126"/>
  <c r="DW18" i="126"/>
  <c r="DS18" i="126"/>
  <c r="DO18" i="126"/>
  <c r="DR18" i="126"/>
  <c r="DP18" i="126"/>
  <c r="DT18" i="126"/>
  <c r="DT81" i="126"/>
  <c r="DP81" i="126"/>
  <c r="DU81" i="126"/>
  <c r="DO81" i="126"/>
  <c r="DW81" i="126"/>
  <c r="DR81" i="126"/>
  <c r="DM81" i="126"/>
  <c r="DS81" i="126"/>
  <c r="DV81" i="126"/>
  <c r="DQ81" i="126"/>
  <c r="DU37" i="126"/>
  <c r="DQ37" i="126"/>
  <c r="DM37" i="126"/>
  <c r="DW37" i="126"/>
  <c r="DS37" i="126"/>
  <c r="DO37" i="126"/>
  <c r="DP37" i="126"/>
  <c r="DV37" i="126"/>
  <c r="DT37" i="126"/>
  <c r="DR37" i="126"/>
  <c r="DU19" i="126"/>
  <c r="DQ19" i="126"/>
  <c r="DM19" i="126"/>
  <c r="DW19" i="126"/>
  <c r="DS19" i="126"/>
  <c r="DO19" i="126"/>
  <c r="DP19" i="126"/>
  <c r="DT19" i="126"/>
  <c r="DR19" i="126"/>
  <c r="DV19" i="126"/>
  <c r="DT51" i="126"/>
  <c r="DP51" i="126"/>
  <c r="DV51" i="126"/>
  <c r="DQ51" i="126"/>
  <c r="DS51" i="126"/>
  <c r="DW51" i="126"/>
  <c r="DU51" i="126"/>
  <c r="DM51" i="126"/>
  <c r="DO51" i="126"/>
  <c r="DR51" i="126"/>
  <c r="DW46" i="126"/>
  <c r="DS46" i="126"/>
  <c r="DO46" i="126"/>
  <c r="DV46" i="126"/>
  <c r="DQ46" i="126"/>
  <c r="DT46" i="126"/>
  <c r="DM46" i="126"/>
  <c r="DP46" i="126"/>
  <c r="DU46" i="126"/>
  <c r="DR46" i="126"/>
  <c r="DW38" i="126"/>
  <c r="DS38" i="126"/>
  <c r="DO38" i="126"/>
  <c r="DU38" i="126"/>
  <c r="DQ38" i="126"/>
  <c r="DM38" i="126"/>
  <c r="DR38" i="126"/>
  <c r="DP38" i="126"/>
  <c r="DV38" i="126"/>
  <c r="DT38" i="126"/>
  <c r="DT89" i="126"/>
  <c r="DP89" i="126"/>
  <c r="DU89" i="126"/>
  <c r="DO89" i="126"/>
  <c r="DW89" i="126"/>
  <c r="DR89" i="126"/>
  <c r="DM89" i="126"/>
  <c r="DS89" i="126"/>
  <c r="DV89" i="126"/>
  <c r="DQ89" i="126"/>
  <c r="DW76" i="126"/>
  <c r="DS76" i="126"/>
  <c r="DO76" i="126"/>
  <c r="DR76" i="126"/>
  <c r="DM76" i="126"/>
  <c r="DU76" i="126"/>
  <c r="DP76" i="126"/>
  <c r="DT76" i="126"/>
  <c r="DV76" i="126"/>
  <c r="DQ76" i="126"/>
  <c r="DV73" i="126"/>
  <c r="DR73" i="126"/>
  <c r="DT73" i="126"/>
  <c r="DP73" i="126"/>
  <c r="DU73" i="126"/>
  <c r="DM73" i="126"/>
  <c r="DQ73" i="126"/>
  <c r="DW73" i="126"/>
  <c r="DO73" i="126"/>
  <c r="DS73" i="126"/>
  <c r="DT65" i="126"/>
  <c r="DP65" i="126"/>
  <c r="BU65" i="126"/>
  <c r="AZ65" i="126"/>
  <c r="DS65" i="126"/>
  <c r="DV65" i="126"/>
  <c r="DO65" i="126"/>
  <c r="DR65" i="126"/>
  <c r="AG65" i="126"/>
  <c r="DM65" i="126"/>
  <c r="DW65" i="126"/>
  <c r="BB65" i="126"/>
  <c r="DQ65" i="126"/>
  <c r="DU65" i="126"/>
  <c r="DV67" i="126"/>
  <c r="DR67" i="126"/>
  <c r="DU67" i="126"/>
  <c r="DP67" i="126"/>
  <c r="DT67" i="126"/>
  <c r="DM67" i="126"/>
  <c r="DQ67" i="126"/>
  <c r="DW67" i="126"/>
  <c r="DS67" i="126"/>
  <c r="DO67" i="126"/>
  <c r="DU17" i="126"/>
  <c r="DQ17" i="126"/>
  <c r="DM17" i="126"/>
  <c r="DW17" i="126"/>
  <c r="DS17" i="126"/>
  <c r="DO17" i="126"/>
  <c r="DT17" i="126"/>
  <c r="DP17" i="126"/>
  <c r="DV17" i="126"/>
  <c r="DR17" i="126"/>
  <c r="DW96" i="126"/>
  <c r="DS96" i="126"/>
  <c r="DO96" i="126"/>
  <c r="DV96" i="126"/>
  <c r="DV94" i="126" s="1"/>
  <c r="DR96" i="126"/>
  <c r="DU96" i="126"/>
  <c r="DM96" i="126"/>
  <c r="DT96" i="126"/>
  <c r="DQ96" i="126"/>
  <c r="DP96" i="126"/>
  <c r="DV85" i="126"/>
  <c r="DR85" i="126"/>
  <c r="DT85" i="126"/>
  <c r="DP85" i="126"/>
  <c r="DW85" i="126"/>
  <c r="DO85" i="126"/>
  <c r="DS85" i="126"/>
  <c r="DM85" i="126"/>
  <c r="DU85" i="126"/>
  <c r="DQ85" i="126"/>
  <c r="DT93" i="126"/>
  <c r="DP93" i="126"/>
  <c r="DW93" i="126"/>
  <c r="DW91" i="126" s="1"/>
  <c r="DS93" i="126"/>
  <c r="DO93" i="126"/>
  <c r="DQ93" i="126"/>
  <c r="DU93" i="126"/>
  <c r="DR93" i="126"/>
  <c r="DV93" i="126"/>
  <c r="DM93" i="126"/>
  <c r="DW80" i="126"/>
  <c r="DS80" i="126"/>
  <c r="DO80" i="126"/>
  <c r="DR80" i="126"/>
  <c r="DM80" i="126"/>
  <c r="DU80" i="126"/>
  <c r="DP80" i="126"/>
  <c r="DT80" i="126"/>
  <c r="DQ80" i="126"/>
  <c r="DV80" i="126"/>
  <c r="DV75" i="126"/>
  <c r="DR75" i="126"/>
  <c r="DW75" i="126"/>
  <c r="DQ75" i="126"/>
  <c r="DT75" i="126"/>
  <c r="DO75" i="126"/>
  <c r="DS75" i="126"/>
  <c r="DM75" i="126"/>
  <c r="DU75" i="126"/>
  <c r="DP75" i="126"/>
  <c r="DT71" i="126"/>
  <c r="DP71" i="126"/>
  <c r="DV71" i="126"/>
  <c r="DR71" i="126"/>
  <c r="DU71" i="126"/>
  <c r="DM71" i="126"/>
  <c r="DS71" i="126"/>
  <c r="DO71" i="126"/>
  <c r="DW71" i="126"/>
  <c r="DQ71" i="126"/>
  <c r="DV57" i="126"/>
  <c r="DR57" i="126"/>
  <c r="BS57" i="126"/>
  <c r="AX57" i="126"/>
  <c r="DS57" i="126"/>
  <c r="DM57" i="126"/>
  <c r="BT57" i="126"/>
  <c r="AW57" i="126"/>
  <c r="AG57" i="126"/>
  <c r="DU57" i="126"/>
  <c r="DP57" i="126"/>
  <c r="AZ57" i="126"/>
  <c r="DO57" i="126"/>
  <c r="BU57" i="126"/>
  <c r="AY57" i="126"/>
  <c r="DW57" i="126"/>
  <c r="BR57" i="126"/>
  <c r="DQ57" i="126"/>
  <c r="BB57" i="126"/>
  <c r="DT57" i="126"/>
  <c r="DT55" i="126"/>
  <c r="DP55" i="126"/>
  <c r="BU55" i="126"/>
  <c r="AZ55" i="126"/>
  <c r="DV55" i="126"/>
  <c r="DQ55" i="126"/>
  <c r="BR55" i="126"/>
  <c r="BB55" i="126"/>
  <c r="DS55" i="126"/>
  <c r="BT55" i="126"/>
  <c r="AX55" i="126"/>
  <c r="DR55" i="126"/>
  <c r="DO55" i="126"/>
  <c r="AG55" i="126"/>
  <c r="DM55" i="126"/>
  <c r="BS55" i="126"/>
  <c r="AW55" i="126"/>
  <c r="DU55" i="126"/>
  <c r="AY55" i="126"/>
  <c r="DW55" i="126"/>
  <c r="DT69" i="126"/>
  <c r="DP69" i="126"/>
  <c r="DS69" i="126"/>
  <c r="DU69" i="126"/>
  <c r="DM69" i="126"/>
  <c r="DW69" i="126"/>
  <c r="DQ69" i="126"/>
  <c r="DO69" i="126"/>
  <c r="DV69" i="126"/>
  <c r="DR69" i="126"/>
  <c r="DT47" i="126"/>
  <c r="DP47" i="126"/>
  <c r="DV47" i="126"/>
  <c r="DR47" i="126"/>
  <c r="DQ47" i="126"/>
  <c r="DO47" i="126"/>
  <c r="DU47" i="126"/>
  <c r="DS47" i="126"/>
  <c r="DW47" i="126"/>
  <c r="DM47" i="126"/>
  <c r="DW11" i="126"/>
  <c r="DS11" i="126"/>
  <c r="DO11" i="126"/>
  <c r="DU11" i="126"/>
  <c r="DQ11" i="126"/>
  <c r="DM11" i="126"/>
  <c r="DR11" i="126"/>
  <c r="DP11" i="126"/>
  <c r="DV11" i="126"/>
  <c r="DT11" i="126"/>
  <c r="DU8" i="126"/>
  <c r="DQ8" i="126"/>
  <c r="DM8" i="126"/>
  <c r="DW8" i="126"/>
  <c r="DS8" i="126"/>
  <c r="DO8" i="126"/>
  <c r="DT8" i="126"/>
  <c r="DR8" i="126"/>
  <c r="DP8" i="126"/>
  <c r="DV8" i="126"/>
  <c r="DM13" i="126"/>
  <c r="DQ94" i="126" l="1"/>
  <c r="DO91" i="126"/>
  <c r="DT94" i="126"/>
  <c r="DV13" i="127"/>
  <c r="DR13" i="126"/>
  <c r="DR13" i="127"/>
  <c r="DV13" i="126"/>
  <c r="DR91" i="126"/>
  <c r="DO94" i="126"/>
  <c r="DS94" i="126"/>
  <c r="DU13" i="127"/>
  <c r="DP13" i="127"/>
  <c r="DT91" i="127"/>
  <c r="DP91" i="127"/>
  <c r="AE34" i="126"/>
  <c r="U34" i="126" s="1"/>
  <c r="DS13" i="126"/>
  <c r="DQ91" i="126"/>
  <c r="DP91" i="126"/>
  <c r="DU94" i="126"/>
  <c r="DQ13" i="127"/>
  <c r="DP24" i="126"/>
  <c r="DR91" i="127"/>
  <c r="DQ91" i="127"/>
  <c r="DW13" i="127"/>
  <c r="DV91" i="127"/>
  <c r="DP13" i="126"/>
  <c r="DU91" i="126"/>
  <c r="DM94" i="126"/>
  <c r="DU91" i="127"/>
  <c r="DV91" i="126"/>
  <c r="DT91" i="126"/>
  <c r="DR94" i="126"/>
  <c r="DW94" i="126"/>
  <c r="DP94" i="126"/>
  <c r="DS91" i="127"/>
  <c r="DW91" i="127"/>
  <c r="DW24" i="126"/>
  <c r="DR24" i="126"/>
  <c r="DT24" i="126"/>
  <c r="DQ24" i="126"/>
  <c r="DQ24" i="127"/>
  <c r="DS24" i="127"/>
  <c r="DW24" i="127"/>
  <c r="DO24" i="126"/>
  <c r="DV24" i="126"/>
  <c r="DV24" i="127"/>
  <c r="DM24" i="127"/>
  <c r="DT24" i="127"/>
  <c r="DM24" i="126"/>
  <c r="DR24" i="127"/>
  <c r="DU24" i="126"/>
  <c r="DS91" i="126"/>
  <c r="DU24" i="127"/>
  <c r="DP24" i="127"/>
  <c r="AE34" i="127"/>
  <c r="U34" i="127" s="1"/>
  <c r="DS24" i="126"/>
  <c r="DP7" i="126"/>
  <c r="DS7" i="126"/>
  <c r="DS86" i="127"/>
  <c r="DU7" i="126"/>
  <c r="DT7" i="126"/>
  <c r="DR35" i="126"/>
  <c r="DW86" i="126"/>
  <c r="DV86" i="126"/>
  <c r="DO86" i="126"/>
  <c r="DT86" i="127"/>
  <c r="DR45" i="127"/>
  <c r="DV94" i="127"/>
  <c r="DW45" i="127"/>
  <c r="DS45" i="127"/>
  <c r="DU86" i="127"/>
  <c r="DS35" i="127"/>
  <c r="DS94" i="127"/>
  <c r="DT45" i="127"/>
  <c r="DV86" i="127"/>
  <c r="DQ45" i="127"/>
  <c r="DP94" i="127"/>
  <c r="DU45" i="127"/>
  <c r="DV45" i="127"/>
  <c r="DP45" i="127"/>
  <c r="DU7" i="127"/>
  <c r="DU35" i="127"/>
  <c r="DP35" i="127"/>
  <c r="DQ35" i="127"/>
  <c r="DW35" i="127"/>
  <c r="DM94" i="127"/>
  <c r="DQ94" i="127"/>
  <c r="DQ7" i="127"/>
  <c r="DW7" i="127"/>
  <c r="DM35" i="127"/>
  <c r="DW94" i="127"/>
  <c r="DM86" i="127"/>
  <c r="DR7" i="127"/>
  <c r="DV7" i="127"/>
  <c r="DR35" i="127"/>
  <c r="DV35" i="127"/>
  <c r="DT35" i="127"/>
  <c r="DU94" i="127"/>
  <c r="DM45" i="127"/>
  <c r="DP86" i="127"/>
  <c r="DR86" i="127"/>
  <c r="DQ86" i="127"/>
  <c r="DW86" i="127"/>
  <c r="DT7" i="127"/>
  <c r="DP7" i="127"/>
  <c r="DM7" i="127"/>
  <c r="DS7" i="127"/>
  <c r="DT94" i="127"/>
  <c r="DR94" i="127"/>
  <c r="DU86" i="126"/>
  <c r="DM86" i="126"/>
  <c r="DV7" i="126"/>
  <c r="DW7" i="126"/>
  <c r="DU45" i="126"/>
  <c r="DP45" i="126"/>
  <c r="DM45" i="126"/>
  <c r="DS45" i="126"/>
  <c r="DP35" i="126"/>
  <c r="DM35" i="126"/>
  <c r="DT86" i="126"/>
  <c r="DQ86" i="126"/>
  <c r="DO45" i="126"/>
  <c r="DR45" i="126"/>
  <c r="DW45" i="126"/>
  <c r="DV35" i="126"/>
  <c r="DO35" i="126"/>
  <c r="DQ35" i="126"/>
  <c r="DM91" i="126"/>
  <c r="DW35" i="126"/>
  <c r="DM7" i="126"/>
  <c r="DT45" i="126"/>
  <c r="DQ45" i="126"/>
  <c r="DP86" i="126"/>
  <c r="DS86" i="126"/>
  <c r="DR7" i="126"/>
  <c r="DO7" i="126"/>
  <c r="DQ7" i="126"/>
  <c r="DV45" i="126"/>
  <c r="DT35" i="126"/>
  <c r="DS35" i="126"/>
  <c r="DU35" i="126"/>
  <c r="DR86" i="126"/>
  <c r="B41" i="110"/>
  <c r="B6" i="110"/>
  <c r="DU44" i="126" l="1"/>
  <c r="DU41" i="126" s="1"/>
  <c r="T34" i="126"/>
  <c r="T34" i="127"/>
  <c r="DV44" i="126"/>
  <c r="DV41" i="126" s="1"/>
  <c r="DO44" i="126"/>
  <c r="DO41" i="126" s="1"/>
  <c r="DQ44" i="126"/>
  <c r="DQ41" i="126" s="1"/>
  <c r="DS44" i="127"/>
  <c r="DS41" i="127" s="1"/>
  <c r="DP44" i="127"/>
  <c r="DP41" i="127" s="1"/>
  <c r="DQ44" i="127"/>
  <c r="DQ41" i="127" s="1"/>
  <c r="DT44" i="126"/>
  <c r="DT41" i="126" s="1"/>
  <c r="DW44" i="126"/>
  <c r="DW41" i="126" s="1"/>
  <c r="DU44" i="127"/>
  <c r="DU41" i="127" s="1"/>
  <c r="DT44" i="127"/>
  <c r="DT41" i="127" s="1"/>
  <c r="DR44" i="127"/>
  <c r="DR41" i="127" s="1"/>
  <c r="DW44" i="127"/>
  <c r="DW41" i="127" s="1"/>
  <c r="DV44" i="127"/>
  <c r="DV41" i="127" s="1"/>
  <c r="DM44" i="127"/>
  <c r="DM44" i="126"/>
  <c r="DP44" i="126"/>
  <c r="DP41" i="126" s="1"/>
  <c r="DR44" i="126"/>
  <c r="DR41" i="126" s="1"/>
  <c r="DS44" i="126"/>
  <c r="DS41" i="126" s="1"/>
  <c r="O85" i="110"/>
  <c r="AC85" i="110" s="1"/>
  <c r="B85" i="110"/>
  <c r="M85" i="110" s="1"/>
  <c r="O84" i="110"/>
  <c r="AC84" i="110" s="1"/>
  <c r="B84" i="110"/>
  <c r="O83" i="110"/>
  <c r="AC83" i="110" s="1"/>
  <c r="B83" i="110"/>
  <c r="E83" i="110" s="1"/>
  <c r="O82" i="110"/>
  <c r="AC82" i="110" s="1"/>
  <c r="B82" i="110"/>
  <c r="O81" i="110"/>
  <c r="AC81" i="110" s="1"/>
  <c r="B81" i="110"/>
  <c r="M81" i="110" s="1"/>
  <c r="O80" i="110"/>
  <c r="AC80" i="110" s="1"/>
  <c r="B80" i="110"/>
  <c r="O79" i="110"/>
  <c r="AC79" i="110" s="1"/>
  <c r="B79" i="110"/>
  <c r="M79" i="110" s="1"/>
  <c r="O78" i="110"/>
  <c r="AC78" i="110" s="1"/>
  <c r="B78" i="110"/>
  <c r="O77" i="110"/>
  <c r="AC77" i="110" s="1"/>
  <c r="B77" i="110"/>
  <c r="O76" i="110"/>
  <c r="AC76" i="110" s="1"/>
  <c r="B76" i="110"/>
  <c r="O75" i="110"/>
  <c r="AC75" i="110" s="1"/>
  <c r="B75" i="110"/>
  <c r="O74" i="110"/>
  <c r="AC74" i="110" s="1"/>
  <c r="B74" i="110"/>
  <c r="E74" i="110" s="1"/>
  <c r="DV74" i="110" s="1"/>
  <c r="O73" i="110"/>
  <c r="AC73" i="110" s="1"/>
  <c r="B73" i="110"/>
  <c r="M73" i="110" s="1"/>
  <c r="O72" i="110"/>
  <c r="AC72" i="110" s="1"/>
  <c r="B72" i="110"/>
  <c r="O71" i="110"/>
  <c r="AC71" i="110" s="1"/>
  <c r="B71" i="110"/>
  <c r="E71" i="110" s="1"/>
  <c r="DT71" i="110" s="1"/>
  <c r="O70" i="110"/>
  <c r="AC70" i="110" s="1"/>
  <c r="B70" i="110"/>
  <c r="O69" i="110"/>
  <c r="AC69" i="110" s="1"/>
  <c r="B69" i="110"/>
  <c r="M69" i="110" s="1"/>
  <c r="O68" i="110"/>
  <c r="AC68" i="110" s="1"/>
  <c r="B68" i="110"/>
  <c r="M68" i="110" s="1"/>
  <c r="O67" i="110"/>
  <c r="AC67" i="110" s="1"/>
  <c r="B67" i="110"/>
  <c r="E67" i="110" s="1"/>
  <c r="DN67" i="110" s="1"/>
  <c r="O66" i="110"/>
  <c r="AC66" i="110" s="1"/>
  <c r="B66" i="110"/>
  <c r="O65" i="110"/>
  <c r="AC65" i="110" s="1"/>
  <c r="B65" i="110"/>
  <c r="M65" i="110" s="1"/>
  <c r="O64" i="110"/>
  <c r="AC64" i="110" s="1"/>
  <c r="B64" i="110"/>
  <c r="M64" i="110" s="1"/>
  <c r="O63" i="110"/>
  <c r="AC63" i="110" s="1"/>
  <c r="B63" i="110"/>
  <c r="O62" i="110"/>
  <c r="AC62" i="110" s="1"/>
  <c r="B62" i="110"/>
  <c r="O61" i="110"/>
  <c r="AC61" i="110" s="1"/>
  <c r="B61" i="110"/>
  <c r="E61" i="110" s="1"/>
  <c r="DU61" i="110" s="1"/>
  <c r="O60" i="110"/>
  <c r="AC60" i="110" s="1"/>
  <c r="B60" i="110"/>
  <c r="O59" i="110"/>
  <c r="AC59" i="110" s="1"/>
  <c r="B59" i="110"/>
  <c r="M59" i="110" s="1"/>
  <c r="O58" i="110"/>
  <c r="AC58" i="110" s="1"/>
  <c r="B58" i="110"/>
  <c r="D58" i="110" s="1"/>
  <c r="O57" i="110"/>
  <c r="AC57" i="110" s="1"/>
  <c r="B57" i="110"/>
  <c r="E57" i="110" s="1"/>
  <c r="O56" i="110"/>
  <c r="AC56" i="110" s="1"/>
  <c r="B56" i="110"/>
  <c r="D56" i="110" s="1"/>
  <c r="O55" i="110"/>
  <c r="AC55" i="110" s="1"/>
  <c r="B55" i="110"/>
  <c r="E55" i="110" s="1"/>
  <c r="DN55" i="110" s="1"/>
  <c r="O54" i="110"/>
  <c r="AC54" i="110" s="1"/>
  <c r="B54" i="110"/>
  <c r="O53" i="110"/>
  <c r="AC53" i="110" s="1"/>
  <c r="B53" i="110"/>
  <c r="O52" i="110"/>
  <c r="AC52" i="110" s="1"/>
  <c r="B52" i="110"/>
  <c r="O51" i="110"/>
  <c r="AC51" i="110" s="1"/>
  <c r="B51" i="110"/>
  <c r="E51" i="110" s="1"/>
  <c r="O50" i="110"/>
  <c r="AC50" i="110" s="1"/>
  <c r="B50" i="110"/>
  <c r="M50" i="110" s="1"/>
  <c r="O49" i="110"/>
  <c r="AC49" i="110" s="1"/>
  <c r="B49" i="110"/>
  <c r="O48" i="110"/>
  <c r="AC48" i="110" s="1"/>
  <c r="B48" i="110"/>
  <c r="O47" i="110"/>
  <c r="AC47" i="110" s="1"/>
  <c r="B47" i="110"/>
  <c r="M47" i="110" s="1"/>
  <c r="T55" i="133"/>
  <c r="U55" i="133"/>
  <c r="T57" i="133"/>
  <c r="U57" i="133"/>
  <c r="S57" i="133"/>
  <c r="S55" i="133"/>
  <c r="O55" i="133"/>
  <c r="L56" i="110" s="1"/>
  <c r="P55" i="133"/>
  <c r="L56" i="126" s="1"/>
  <c r="Q55" i="133"/>
  <c r="L56" i="127" s="1"/>
  <c r="O56" i="133"/>
  <c r="L57" i="110" s="1"/>
  <c r="P56" i="133"/>
  <c r="L57" i="126" s="1"/>
  <c r="Q56" i="133"/>
  <c r="L57" i="127" s="1"/>
  <c r="O57" i="133"/>
  <c r="L58" i="110" s="1"/>
  <c r="P57" i="133"/>
  <c r="L58" i="126" s="1"/>
  <c r="Q57" i="133"/>
  <c r="L58" i="127" s="1"/>
  <c r="O64" i="133"/>
  <c r="L65" i="110" s="1"/>
  <c r="P64" i="133"/>
  <c r="L65" i="126" s="1"/>
  <c r="Q64" i="133"/>
  <c r="L65" i="127" s="1"/>
  <c r="C56" i="110"/>
  <c r="D55" i="133"/>
  <c r="C56" i="126" s="1"/>
  <c r="E55" i="133"/>
  <c r="C56" i="127" s="1"/>
  <c r="C57" i="110"/>
  <c r="D56" i="133"/>
  <c r="C57" i="126" s="1"/>
  <c r="E56" i="133"/>
  <c r="C57" i="127" s="1"/>
  <c r="C58" i="110"/>
  <c r="D57" i="133"/>
  <c r="C58" i="126" s="1"/>
  <c r="E57" i="133"/>
  <c r="C58" i="127" s="1"/>
  <c r="C59" i="110"/>
  <c r="D58" i="133"/>
  <c r="C59" i="126" s="1"/>
  <c r="E58" i="133"/>
  <c r="C59" i="127" s="1"/>
  <c r="C60" i="110"/>
  <c r="D59" i="133"/>
  <c r="C60" i="126" s="1"/>
  <c r="E59" i="133"/>
  <c r="C60" i="127" s="1"/>
  <c r="C61" i="110"/>
  <c r="D60" i="133"/>
  <c r="C61" i="126" s="1"/>
  <c r="E60" i="133"/>
  <c r="C61" i="127" s="1"/>
  <c r="C62" i="110"/>
  <c r="D61" i="133"/>
  <c r="C62" i="126" s="1"/>
  <c r="E61" i="133"/>
  <c r="C62" i="127" s="1"/>
  <c r="C63" i="110"/>
  <c r="D62" i="133"/>
  <c r="C63" i="126" s="1"/>
  <c r="E62" i="133"/>
  <c r="C63" i="127" s="1"/>
  <c r="C64" i="110"/>
  <c r="D63" i="133"/>
  <c r="C64" i="126" s="1"/>
  <c r="E63" i="133"/>
  <c r="C64" i="127" s="1"/>
  <c r="C65" i="110"/>
  <c r="D64" i="133"/>
  <c r="E64" i="133"/>
  <c r="C65" i="127" s="1"/>
  <c r="C66" i="110"/>
  <c r="D65" i="133"/>
  <c r="C66" i="126" s="1"/>
  <c r="E65" i="133"/>
  <c r="C66" i="127" s="1"/>
  <c r="C67" i="110"/>
  <c r="D66" i="133"/>
  <c r="C67" i="126" s="1"/>
  <c r="E66" i="133"/>
  <c r="C67" i="127" s="1"/>
  <c r="C68" i="110"/>
  <c r="D67" i="133"/>
  <c r="C68" i="126" s="1"/>
  <c r="E67" i="133"/>
  <c r="C68" i="127" s="1"/>
  <c r="W68" i="133"/>
  <c r="N69" i="110" s="1"/>
  <c r="AD69" i="110" s="1"/>
  <c r="D68" i="133"/>
  <c r="C69" i="126" s="1"/>
  <c r="E68" i="133"/>
  <c r="C69" i="127" s="1"/>
  <c r="C70" i="110"/>
  <c r="D69" i="133"/>
  <c r="C70" i="126" s="1"/>
  <c r="E69" i="133"/>
  <c r="C70" i="127" s="1"/>
  <c r="C71" i="110"/>
  <c r="D70" i="133"/>
  <c r="C71" i="126" s="1"/>
  <c r="E70" i="133"/>
  <c r="C71" i="127" s="1"/>
  <c r="C72" i="110"/>
  <c r="D71" i="133"/>
  <c r="C72" i="126" s="1"/>
  <c r="E71" i="133"/>
  <c r="C72" i="127" s="1"/>
  <c r="W72" i="133"/>
  <c r="N73" i="110" s="1"/>
  <c r="AD73" i="110" s="1"/>
  <c r="D72" i="133"/>
  <c r="C73" i="126" s="1"/>
  <c r="E72" i="133"/>
  <c r="W73" i="133"/>
  <c r="N74" i="110" s="1"/>
  <c r="AD74" i="110" s="1"/>
  <c r="D73" i="133"/>
  <c r="E73" i="133"/>
  <c r="C74" i="127" s="1"/>
  <c r="W75" i="133"/>
  <c r="N76" i="110" s="1"/>
  <c r="AD76" i="110" s="1"/>
  <c r="D75" i="133"/>
  <c r="C76" i="126" s="1"/>
  <c r="E75" i="133"/>
  <c r="D74" i="133"/>
  <c r="C75" i="126" s="1"/>
  <c r="E74" i="133"/>
  <c r="C75" i="127" s="1"/>
  <c r="W76" i="133"/>
  <c r="N77" i="110" s="1"/>
  <c r="AD77" i="110" s="1"/>
  <c r="D76" i="133"/>
  <c r="C77" i="126" s="1"/>
  <c r="E76" i="133"/>
  <c r="W77" i="133"/>
  <c r="N78" i="110" s="1"/>
  <c r="AD78" i="110" s="1"/>
  <c r="D77" i="133"/>
  <c r="E77" i="133"/>
  <c r="C78" i="127" s="1"/>
  <c r="W78" i="133"/>
  <c r="N79" i="110" s="1"/>
  <c r="AD79" i="110" s="1"/>
  <c r="D78" i="133"/>
  <c r="C79" i="126" s="1"/>
  <c r="E78" i="133"/>
  <c r="C80" i="110"/>
  <c r="D79" i="133"/>
  <c r="C80" i="126" s="1"/>
  <c r="E79" i="133"/>
  <c r="C80" i="127" s="1"/>
  <c r="W80" i="133"/>
  <c r="N81" i="110" s="1"/>
  <c r="AD81" i="110" s="1"/>
  <c r="D80" i="133"/>
  <c r="C81" i="126" s="1"/>
  <c r="E80" i="133"/>
  <c r="W81" i="133"/>
  <c r="N82" i="110" s="1"/>
  <c r="AD82" i="110" s="1"/>
  <c r="D81" i="133"/>
  <c r="E81" i="133"/>
  <c r="C82" i="127" s="1"/>
  <c r="W82" i="133"/>
  <c r="N83" i="110" s="1"/>
  <c r="AD83" i="110" s="1"/>
  <c r="D82" i="133"/>
  <c r="C83" i="126" s="1"/>
  <c r="E82" i="133"/>
  <c r="C84" i="110"/>
  <c r="D83" i="133"/>
  <c r="C84" i="126" s="1"/>
  <c r="E83" i="133"/>
  <c r="C84" i="127" s="1"/>
  <c r="W84" i="133"/>
  <c r="N85" i="110" s="1"/>
  <c r="AD85" i="110" s="1"/>
  <c r="D84" i="133"/>
  <c r="C85" i="126" s="1"/>
  <c r="E84" i="133"/>
  <c r="C55" i="110"/>
  <c r="D54" i="133"/>
  <c r="C55" i="126" s="1"/>
  <c r="E54" i="133"/>
  <c r="C55" i="127" s="1"/>
  <c r="O54" i="133"/>
  <c r="L55" i="110" s="1"/>
  <c r="P54" i="133"/>
  <c r="L55" i="126" s="1"/>
  <c r="Q54" i="133"/>
  <c r="L55" i="127" s="1"/>
  <c r="L87" i="132"/>
  <c r="G87" i="132"/>
  <c r="D87" i="132"/>
  <c r="W87" i="132" s="1"/>
  <c r="B87" i="132"/>
  <c r="L86" i="132"/>
  <c r="G86" i="132"/>
  <c r="D86" i="132"/>
  <c r="AB86" i="132" s="1"/>
  <c r="B86" i="132"/>
  <c r="L85" i="132"/>
  <c r="G85" i="132"/>
  <c r="D85" i="132"/>
  <c r="AA85" i="132" s="1"/>
  <c r="B85" i="132"/>
  <c r="L84" i="132"/>
  <c r="G84" i="132"/>
  <c r="D84" i="132"/>
  <c r="W84" i="132" s="1"/>
  <c r="B84" i="132"/>
  <c r="L83" i="132"/>
  <c r="G83" i="132"/>
  <c r="D83" i="132"/>
  <c r="W83" i="132" s="1"/>
  <c r="B83" i="132"/>
  <c r="L82" i="132"/>
  <c r="G82" i="132"/>
  <c r="D82" i="132"/>
  <c r="AB82" i="132" s="1"/>
  <c r="B82" i="132"/>
  <c r="L81" i="132"/>
  <c r="G81" i="132"/>
  <c r="D81" i="132"/>
  <c r="AB81" i="132" s="1"/>
  <c r="B81" i="132"/>
  <c r="L80" i="132"/>
  <c r="G80" i="132"/>
  <c r="D80" i="132"/>
  <c r="B80" i="132"/>
  <c r="L79" i="132"/>
  <c r="G79" i="132"/>
  <c r="D79" i="132"/>
  <c r="AD79" i="132" s="1"/>
  <c r="B79" i="132"/>
  <c r="L78" i="132"/>
  <c r="G78" i="132"/>
  <c r="D78" i="132"/>
  <c r="T78" i="132" s="1"/>
  <c r="B78" i="132"/>
  <c r="L77" i="132"/>
  <c r="G77" i="132"/>
  <c r="D77" i="132"/>
  <c r="B77" i="132"/>
  <c r="L76" i="132"/>
  <c r="G76" i="132"/>
  <c r="D76" i="132"/>
  <c r="B76" i="132"/>
  <c r="L75" i="132"/>
  <c r="G75" i="132"/>
  <c r="D75" i="132"/>
  <c r="W75" i="132" s="1"/>
  <c r="B75" i="132"/>
  <c r="L74" i="132"/>
  <c r="G74" i="132"/>
  <c r="D74" i="132"/>
  <c r="W74" i="132" s="1"/>
  <c r="B74" i="132"/>
  <c r="L73" i="132"/>
  <c r="G73" i="132"/>
  <c r="D73" i="132"/>
  <c r="W73" i="132" s="1"/>
  <c r="B73" i="132"/>
  <c r="L72" i="132"/>
  <c r="G72" i="132"/>
  <c r="D72" i="132"/>
  <c r="W72" i="132" s="1"/>
  <c r="B72" i="132"/>
  <c r="L71" i="132"/>
  <c r="G71" i="132"/>
  <c r="D71" i="132"/>
  <c r="W71" i="132" s="1"/>
  <c r="B71" i="132"/>
  <c r="L70" i="132"/>
  <c r="G70" i="132"/>
  <c r="D70" i="132"/>
  <c r="B70" i="132"/>
  <c r="L69" i="132"/>
  <c r="G69" i="132"/>
  <c r="D69" i="132"/>
  <c r="Y69" i="132" s="1"/>
  <c r="B69" i="132"/>
  <c r="L68" i="132"/>
  <c r="G68" i="132"/>
  <c r="D68" i="132"/>
  <c r="B68" i="132"/>
  <c r="L67" i="132"/>
  <c r="K67" i="132"/>
  <c r="V67" i="132" s="1"/>
  <c r="G67" i="132"/>
  <c r="D67" i="132"/>
  <c r="AC67" i="132" s="1"/>
  <c r="C67" i="132"/>
  <c r="B67" i="132"/>
  <c r="L66" i="132"/>
  <c r="G66" i="132"/>
  <c r="D66" i="132"/>
  <c r="B66" i="132"/>
  <c r="L65" i="132"/>
  <c r="G65" i="132"/>
  <c r="D65" i="132"/>
  <c r="Y65" i="132" s="1"/>
  <c r="B65" i="132"/>
  <c r="L64" i="132"/>
  <c r="G64" i="132"/>
  <c r="D64" i="132"/>
  <c r="Y64" i="132" s="1"/>
  <c r="B64" i="132"/>
  <c r="L63" i="132"/>
  <c r="G63" i="132"/>
  <c r="D63" i="132"/>
  <c r="AC63" i="132" s="1"/>
  <c r="B63" i="132"/>
  <c r="L62" i="132"/>
  <c r="G62" i="132"/>
  <c r="D62" i="132"/>
  <c r="B62" i="132"/>
  <c r="L61" i="132"/>
  <c r="G61" i="132"/>
  <c r="D61" i="132"/>
  <c r="AC61" i="132" s="1"/>
  <c r="B61" i="132"/>
  <c r="L60" i="132"/>
  <c r="K60" i="132"/>
  <c r="V60" i="132" s="1"/>
  <c r="G60" i="132"/>
  <c r="D60" i="132"/>
  <c r="X60" i="132" s="1"/>
  <c r="C60" i="132"/>
  <c r="B60" i="132"/>
  <c r="L59" i="132"/>
  <c r="K59" i="132"/>
  <c r="V59" i="132" s="1"/>
  <c r="G59" i="132"/>
  <c r="D59" i="132"/>
  <c r="C59" i="132"/>
  <c r="B59" i="132"/>
  <c r="L58" i="132"/>
  <c r="K58" i="132"/>
  <c r="V58" i="132" s="1"/>
  <c r="G58" i="132"/>
  <c r="D58" i="132"/>
  <c r="C58" i="132"/>
  <c r="B58" i="132"/>
  <c r="L57" i="132"/>
  <c r="K57" i="132"/>
  <c r="V57" i="132" s="1"/>
  <c r="G57" i="132"/>
  <c r="D57" i="132"/>
  <c r="U57" i="132" s="1"/>
  <c r="C57" i="132"/>
  <c r="B57" i="132"/>
  <c r="L56" i="132"/>
  <c r="G56" i="132"/>
  <c r="D56" i="132"/>
  <c r="U56" i="132" s="1"/>
  <c r="B56" i="132"/>
  <c r="L55" i="132"/>
  <c r="G55" i="132"/>
  <c r="D55" i="132"/>
  <c r="B55" i="132"/>
  <c r="L54" i="132"/>
  <c r="G54" i="132"/>
  <c r="D54" i="132"/>
  <c r="B54" i="132"/>
  <c r="L53" i="132"/>
  <c r="G53" i="132"/>
  <c r="D53" i="132"/>
  <c r="Z53" i="132" s="1"/>
  <c r="B53" i="132"/>
  <c r="L52" i="132"/>
  <c r="G52" i="132"/>
  <c r="D52" i="132"/>
  <c r="B52" i="132"/>
  <c r="L51" i="132"/>
  <c r="G51" i="132"/>
  <c r="D51" i="132"/>
  <c r="B51" i="132"/>
  <c r="L50" i="132"/>
  <c r="G50" i="132"/>
  <c r="D50" i="132"/>
  <c r="B50" i="132"/>
  <c r="L49" i="132"/>
  <c r="G49" i="132"/>
  <c r="D49" i="132"/>
  <c r="U49" i="132" s="1"/>
  <c r="B49" i="132"/>
  <c r="L87" i="131"/>
  <c r="G87" i="131"/>
  <c r="D87" i="131"/>
  <c r="W87" i="131" s="1"/>
  <c r="B87" i="131"/>
  <c r="L86" i="131"/>
  <c r="G86" i="131"/>
  <c r="D86" i="131"/>
  <c r="B86" i="131"/>
  <c r="L85" i="131"/>
  <c r="G85" i="131"/>
  <c r="D85" i="131"/>
  <c r="B85" i="131"/>
  <c r="L84" i="131"/>
  <c r="G84" i="131"/>
  <c r="D84" i="131"/>
  <c r="W84" i="131" s="1"/>
  <c r="B84" i="131"/>
  <c r="L83" i="131"/>
  <c r="G83" i="131"/>
  <c r="D83" i="131"/>
  <c r="X83" i="131" s="1"/>
  <c r="B83" i="131"/>
  <c r="L82" i="131"/>
  <c r="G82" i="131"/>
  <c r="D82" i="131"/>
  <c r="X82" i="131" s="1"/>
  <c r="B82" i="131"/>
  <c r="L81" i="131"/>
  <c r="G81" i="131"/>
  <c r="D81" i="131"/>
  <c r="AA81" i="131" s="1"/>
  <c r="B81" i="131"/>
  <c r="L80" i="131"/>
  <c r="G80" i="131"/>
  <c r="D80" i="131"/>
  <c r="B80" i="131"/>
  <c r="L79" i="131"/>
  <c r="G79" i="131"/>
  <c r="D79" i="131"/>
  <c r="T79" i="131" s="1"/>
  <c r="B79" i="131"/>
  <c r="L78" i="131"/>
  <c r="G78" i="131"/>
  <c r="D78" i="131"/>
  <c r="B78" i="131"/>
  <c r="L77" i="131"/>
  <c r="G77" i="131"/>
  <c r="D77" i="131"/>
  <c r="B77" i="131"/>
  <c r="L76" i="131"/>
  <c r="G76" i="131"/>
  <c r="D76" i="131"/>
  <c r="AD76" i="131" s="1"/>
  <c r="B76" i="131"/>
  <c r="L75" i="131"/>
  <c r="G75" i="131"/>
  <c r="D75" i="131"/>
  <c r="AA75" i="131" s="1"/>
  <c r="B75" i="131"/>
  <c r="L74" i="131"/>
  <c r="G74" i="131"/>
  <c r="D74" i="131"/>
  <c r="V74" i="131" s="1"/>
  <c r="B74" i="131"/>
  <c r="L73" i="131"/>
  <c r="G73" i="131"/>
  <c r="D73" i="131"/>
  <c r="T73" i="131" s="1"/>
  <c r="B73" i="131"/>
  <c r="L72" i="131"/>
  <c r="G72" i="131"/>
  <c r="D72" i="131"/>
  <c r="B72" i="131"/>
  <c r="L71" i="131"/>
  <c r="G71" i="131"/>
  <c r="D71" i="131"/>
  <c r="X71" i="131" s="1"/>
  <c r="B71" i="131"/>
  <c r="L70" i="131"/>
  <c r="G70" i="131"/>
  <c r="D70" i="131"/>
  <c r="AB70" i="131" s="1"/>
  <c r="B70" i="131"/>
  <c r="L69" i="131"/>
  <c r="G69" i="131"/>
  <c r="D69" i="131"/>
  <c r="B69" i="131"/>
  <c r="L68" i="131"/>
  <c r="G68" i="131"/>
  <c r="D68" i="131"/>
  <c r="B68" i="131"/>
  <c r="L67" i="131"/>
  <c r="K67" i="131"/>
  <c r="U67" i="131" s="1"/>
  <c r="G67" i="131"/>
  <c r="D67" i="131"/>
  <c r="Y67" i="131" s="1"/>
  <c r="C67" i="131"/>
  <c r="B67" i="131"/>
  <c r="L66" i="131"/>
  <c r="G66" i="131"/>
  <c r="D66" i="131"/>
  <c r="AC66" i="131" s="1"/>
  <c r="B66" i="131"/>
  <c r="L65" i="131"/>
  <c r="G65" i="131"/>
  <c r="D65" i="131"/>
  <c r="B65" i="131"/>
  <c r="L64" i="131"/>
  <c r="G64" i="131"/>
  <c r="D64" i="131"/>
  <c r="V64" i="131" s="1"/>
  <c r="B64" i="131"/>
  <c r="L63" i="131"/>
  <c r="G63" i="131"/>
  <c r="D63" i="131"/>
  <c r="T63" i="131" s="1"/>
  <c r="B63" i="131"/>
  <c r="L62" i="131"/>
  <c r="G62" i="131"/>
  <c r="D62" i="131"/>
  <c r="X62" i="131" s="1"/>
  <c r="B62" i="131"/>
  <c r="L61" i="131"/>
  <c r="G61" i="131"/>
  <c r="D61" i="131"/>
  <c r="T61" i="131" s="1"/>
  <c r="B61" i="131"/>
  <c r="L60" i="131"/>
  <c r="K60" i="131"/>
  <c r="U60" i="131" s="1"/>
  <c r="G60" i="131"/>
  <c r="D60" i="131"/>
  <c r="C60" i="131"/>
  <c r="B60" i="131"/>
  <c r="L59" i="131"/>
  <c r="K59" i="131"/>
  <c r="U59" i="131" s="1"/>
  <c r="G59" i="131"/>
  <c r="D59" i="131"/>
  <c r="C59" i="131"/>
  <c r="B59" i="131"/>
  <c r="L58" i="131"/>
  <c r="K58" i="131"/>
  <c r="U58" i="131" s="1"/>
  <c r="G58" i="131"/>
  <c r="D58" i="131"/>
  <c r="C58" i="131"/>
  <c r="B58" i="131"/>
  <c r="L57" i="131"/>
  <c r="K57" i="131"/>
  <c r="U57" i="131" s="1"/>
  <c r="G57" i="131"/>
  <c r="D57" i="131"/>
  <c r="C57" i="131"/>
  <c r="B57" i="131"/>
  <c r="L56" i="131"/>
  <c r="G56" i="131"/>
  <c r="D56" i="131"/>
  <c r="B56" i="131"/>
  <c r="L55" i="131"/>
  <c r="G55" i="131"/>
  <c r="D55" i="131"/>
  <c r="X55" i="131" s="1"/>
  <c r="B55" i="131"/>
  <c r="L54" i="131"/>
  <c r="G54" i="131"/>
  <c r="D54" i="131"/>
  <c r="AD54" i="131" s="1"/>
  <c r="B54" i="131"/>
  <c r="L53" i="131"/>
  <c r="G53" i="131"/>
  <c r="D53" i="131"/>
  <c r="B53" i="131"/>
  <c r="L52" i="131"/>
  <c r="G52" i="131"/>
  <c r="D52" i="131"/>
  <c r="Z52" i="131" s="1"/>
  <c r="B52" i="131"/>
  <c r="L51" i="131"/>
  <c r="G51" i="131"/>
  <c r="D51" i="131"/>
  <c r="Z51" i="131" s="1"/>
  <c r="B51" i="131"/>
  <c r="L50" i="131"/>
  <c r="G50" i="131"/>
  <c r="D50" i="131"/>
  <c r="B50" i="131"/>
  <c r="L49" i="131"/>
  <c r="G49" i="131"/>
  <c r="D49" i="131"/>
  <c r="B49" i="131"/>
  <c r="L87" i="130"/>
  <c r="G87" i="130"/>
  <c r="D87" i="130"/>
  <c r="B87" i="130"/>
  <c r="L86" i="130"/>
  <c r="G86" i="130"/>
  <c r="D86" i="130"/>
  <c r="Z86" i="130" s="1"/>
  <c r="B86" i="130"/>
  <c r="L85" i="130"/>
  <c r="G85" i="130"/>
  <c r="D85" i="130"/>
  <c r="AA85" i="130" s="1"/>
  <c r="B85" i="130"/>
  <c r="L84" i="130"/>
  <c r="G84" i="130"/>
  <c r="D84" i="130"/>
  <c r="X84" i="130" s="1"/>
  <c r="B84" i="130"/>
  <c r="L83" i="130"/>
  <c r="G83" i="130"/>
  <c r="D83" i="130"/>
  <c r="AA83" i="130" s="1"/>
  <c r="B83" i="130"/>
  <c r="L82" i="130"/>
  <c r="G82" i="130"/>
  <c r="D82" i="130"/>
  <c r="X82" i="130" s="1"/>
  <c r="B82" i="130"/>
  <c r="L81" i="130"/>
  <c r="G81" i="130"/>
  <c r="D81" i="130"/>
  <c r="B81" i="130"/>
  <c r="L80" i="130"/>
  <c r="G80" i="130"/>
  <c r="D80" i="130"/>
  <c r="AA80" i="130" s="1"/>
  <c r="B80" i="130"/>
  <c r="L79" i="130"/>
  <c r="G79" i="130"/>
  <c r="D79" i="130"/>
  <c r="AB79" i="130" s="1"/>
  <c r="B79" i="130"/>
  <c r="L78" i="130"/>
  <c r="G78" i="130"/>
  <c r="D78" i="130"/>
  <c r="AA78" i="130" s="1"/>
  <c r="B78" i="130"/>
  <c r="L77" i="130"/>
  <c r="G77" i="130"/>
  <c r="D77" i="130"/>
  <c r="AB77" i="130" s="1"/>
  <c r="B77" i="130"/>
  <c r="L76" i="130"/>
  <c r="G76" i="130"/>
  <c r="D76" i="130"/>
  <c r="AA76" i="130" s="1"/>
  <c r="B76" i="130"/>
  <c r="L75" i="130"/>
  <c r="G75" i="130"/>
  <c r="D75" i="130"/>
  <c r="B75" i="130"/>
  <c r="L74" i="130"/>
  <c r="G74" i="130"/>
  <c r="D74" i="130"/>
  <c r="W74" i="130" s="1"/>
  <c r="B74" i="130"/>
  <c r="L73" i="130"/>
  <c r="G73" i="130"/>
  <c r="D73" i="130"/>
  <c r="Z73" i="130" s="1"/>
  <c r="B73" i="130"/>
  <c r="L72" i="130"/>
  <c r="G72" i="130"/>
  <c r="D72" i="130"/>
  <c r="B72" i="130"/>
  <c r="L71" i="130"/>
  <c r="G71" i="130"/>
  <c r="D71" i="130"/>
  <c r="B71" i="130"/>
  <c r="L70" i="130"/>
  <c r="G70" i="130"/>
  <c r="D70" i="130"/>
  <c r="AD70" i="130" s="1"/>
  <c r="B70" i="130"/>
  <c r="L69" i="130"/>
  <c r="G69" i="130"/>
  <c r="D69" i="130"/>
  <c r="AD69" i="130" s="1"/>
  <c r="B69" i="130"/>
  <c r="L68" i="130"/>
  <c r="G68" i="130"/>
  <c r="D68" i="130"/>
  <c r="B68" i="130"/>
  <c r="L67" i="130"/>
  <c r="K67" i="130"/>
  <c r="T67" i="130" s="1"/>
  <c r="G67" i="130"/>
  <c r="D67" i="130"/>
  <c r="C67" i="130"/>
  <c r="B67" i="130"/>
  <c r="L66" i="130"/>
  <c r="G66" i="130"/>
  <c r="D66" i="130"/>
  <c r="V66" i="130" s="1"/>
  <c r="B66" i="130"/>
  <c r="L65" i="130"/>
  <c r="G65" i="130"/>
  <c r="D65" i="130"/>
  <c r="B65" i="130"/>
  <c r="L64" i="130"/>
  <c r="G64" i="130"/>
  <c r="D64" i="130"/>
  <c r="Y64" i="130" s="1"/>
  <c r="B64" i="130"/>
  <c r="L63" i="130"/>
  <c r="G63" i="130"/>
  <c r="D63" i="130"/>
  <c r="X63" i="130" s="1"/>
  <c r="B63" i="130"/>
  <c r="L62" i="130"/>
  <c r="G62" i="130"/>
  <c r="D62" i="130"/>
  <c r="V62" i="130" s="1"/>
  <c r="B62" i="130"/>
  <c r="L61" i="130"/>
  <c r="G61" i="130"/>
  <c r="D61" i="130"/>
  <c r="AA61" i="130" s="1"/>
  <c r="B61" i="130"/>
  <c r="L60" i="130"/>
  <c r="K60" i="130"/>
  <c r="T60" i="130" s="1"/>
  <c r="G60" i="130"/>
  <c r="D60" i="130"/>
  <c r="C60" i="130"/>
  <c r="B60" i="130"/>
  <c r="L59" i="130"/>
  <c r="K59" i="130"/>
  <c r="T59" i="130" s="1"/>
  <c r="G59" i="130"/>
  <c r="D59" i="130"/>
  <c r="Z59" i="130" s="1"/>
  <c r="C59" i="130"/>
  <c r="B59" i="130"/>
  <c r="L58" i="130"/>
  <c r="K58" i="130"/>
  <c r="T58" i="130" s="1"/>
  <c r="G58" i="130"/>
  <c r="D58" i="130"/>
  <c r="AD58" i="130" s="1"/>
  <c r="C58" i="130"/>
  <c r="B58" i="130"/>
  <c r="L57" i="130"/>
  <c r="K57" i="130"/>
  <c r="T57" i="130" s="1"/>
  <c r="G57" i="130"/>
  <c r="D57" i="130"/>
  <c r="C57" i="130"/>
  <c r="B57" i="130"/>
  <c r="L56" i="130"/>
  <c r="G56" i="130"/>
  <c r="D56" i="130"/>
  <c r="Z56" i="130" s="1"/>
  <c r="B56" i="130"/>
  <c r="L55" i="130"/>
  <c r="G55" i="130"/>
  <c r="D55" i="130"/>
  <c r="V55" i="130" s="1"/>
  <c r="B55" i="130"/>
  <c r="L54" i="130"/>
  <c r="G54" i="130"/>
  <c r="D54" i="130"/>
  <c r="V54" i="130" s="1"/>
  <c r="B54" i="130"/>
  <c r="L53" i="130"/>
  <c r="G53" i="130"/>
  <c r="D53" i="130"/>
  <c r="V53" i="130" s="1"/>
  <c r="B53" i="130"/>
  <c r="L52" i="130"/>
  <c r="G52" i="130"/>
  <c r="D52" i="130"/>
  <c r="AB52" i="130" s="1"/>
  <c r="B52" i="130"/>
  <c r="L51" i="130"/>
  <c r="G51" i="130"/>
  <c r="D51" i="130"/>
  <c r="AA51" i="130" s="1"/>
  <c r="B51" i="130"/>
  <c r="L50" i="130"/>
  <c r="G50" i="130"/>
  <c r="D50" i="130"/>
  <c r="V50" i="130" s="1"/>
  <c r="B50" i="130"/>
  <c r="L49" i="130"/>
  <c r="G49" i="130"/>
  <c r="D49" i="130"/>
  <c r="V49" i="130" s="1"/>
  <c r="B49" i="130"/>
  <c r="J87" i="118"/>
  <c r="O84" i="133" s="1"/>
  <c r="L85" i="110" s="1"/>
  <c r="J86" i="118"/>
  <c r="O83" i="133" s="1"/>
  <c r="L84" i="110" s="1"/>
  <c r="J85" i="118"/>
  <c r="P82" i="133" s="1"/>
  <c r="L83" i="126" s="1"/>
  <c r="C87" i="118"/>
  <c r="C86" i="118"/>
  <c r="C86" i="132" s="1"/>
  <c r="C85" i="118"/>
  <c r="C343" i="115"/>
  <c r="H86" i="118" s="1"/>
  <c r="D343" i="115"/>
  <c r="H87" i="118" s="1"/>
  <c r="L84" i="133" s="1"/>
  <c r="C344" i="115"/>
  <c r="F86" i="118" s="1"/>
  <c r="F86" i="131" s="1"/>
  <c r="D344" i="115"/>
  <c r="F87" i="118" s="1"/>
  <c r="F87" i="130" s="1"/>
  <c r="B343" i="115"/>
  <c r="H85" i="118" s="1"/>
  <c r="B344" i="115"/>
  <c r="F85" i="118" s="1"/>
  <c r="F85" i="132" s="1"/>
  <c r="H67" i="118"/>
  <c r="F322" i="115"/>
  <c r="F67" i="118" s="1"/>
  <c r="F67" i="132" s="1"/>
  <c r="F321" i="115"/>
  <c r="C321" i="115"/>
  <c r="H58" i="118" s="1"/>
  <c r="D321" i="115"/>
  <c r="H59" i="118" s="1"/>
  <c r="E321" i="115"/>
  <c r="H60" i="118" s="1"/>
  <c r="C322" i="115"/>
  <c r="F58" i="118" s="1"/>
  <c r="F58" i="130" s="1"/>
  <c r="D322" i="115"/>
  <c r="F59" i="118" s="1"/>
  <c r="F59" i="132" s="1"/>
  <c r="E322" i="115"/>
  <c r="F60" i="118" s="1"/>
  <c r="F60" i="131" s="1"/>
  <c r="B312" i="115"/>
  <c r="B322" i="115"/>
  <c r="F57" i="118" s="1"/>
  <c r="F57" i="131" s="1"/>
  <c r="B321" i="115"/>
  <c r="H57" i="118" s="1"/>
  <c r="M55" i="133" l="1"/>
  <c r="K57" i="133"/>
  <c r="AW86" i="132"/>
  <c r="BS58" i="131"/>
  <c r="BR60" i="131"/>
  <c r="DN55" i="126"/>
  <c r="AE55" i="126" s="1"/>
  <c r="Q55" i="126" s="1"/>
  <c r="X64" i="133"/>
  <c r="N65" i="126" s="1"/>
  <c r="AD65" i="126" s="1"/>
  <c r="R65" i="126" s="1"/>
  <c r="C65" i="126"/>
  <c r="DN65" i="126" s="1"/>
  <c r="AE65" i="126" s="1"/>
  <c r="Y84" i="133"/>
  <c r="N85" i="127" s="1"/>
  <c r="AD85" i="127" s="1"/>
  <c r="R85" i="127" s="1"/>
  <c r="C85" i="127"/>
  <c r="Y82" i="133"/>
  <c r="N83" i="127" s="1"/>
  <c r="AD83" i="127" s="1"/>
  <c r="R83" i="127" s="1"/>
  <c r="C83" i="127"/>
  <c r="X81" i="133"/>
  <c r="N82" i="126" s="1"/>
  <c r="AD82" i="126" s="1"/>
  <c r="C82" i="126"/>
  <c r="Y80" i="133"/>
  <c r="N81" i="127" s="1"/>
  <c r="AD81" i="127" s="1"/>
  <c r="C81" i="127"/>
  <c r="Y78" i="133"/>
  <c r="N79" i="127" s="1"/>
  <c r="AD79" i="127" s="1"/>
  <c r="C79" i="127"/>
  <c r="X77" i="133"/>
  <c r="N78" i="126" s="1"/>
  <c r="AD78" i="126" s="1"/>
  <c r="C78" i="126"/>
  <c r="Y76" i="133"/>
  <c r="N77" i="127" s="1"/>
  <c r="AD77" i="127" s="1"/>
  <c r="C77" i="127"/>
  <c r="Y75" i="133"/>
  <c r="N76" i="127" s="1"/>
  <c r="AD76" i="127" s="1"/>
  <c r="C76" i="127"/>
  <c r="X73" i="133"/>
  <c r="N74" i="126" s="1"/>
  <c r="AD74" i="126" s="1"/>
  <c r="C74" i="126"/>
  <c r="Y72" i="133"/>
  <c r="N73" i="127" s="1"/>
  <c r="AD73" i="127" s="1"/>
  <c r="R73" i="127" s="1"/>
  <c r="C73" i="127"/>
  <c r="DM84" i="110"/>
  <c r="L56" i="133"/>
  <c r="L64" i="133"/>
  <c r="K83" i="133"/>
  <c r="DN83" i="126"/>
  <c r="AE83" i="126" s="1"/>
  <c r="U83" i="126" s="1"/>
  <c r="DO55" i="127"/>
  <c r="AE55" i="127" s="1"/>
  <c r="T55" i="127" s="1"/>
  <c r="DN58" i="126"/>
  <c r="AE58" i="126" s="1"/>
  <c r="T58" i="126" s="1"/>
  <c r="DN56" i="126"/>
  <c r="AE56" i="126" s="1"/>
  <c r="U56" i="126" s="1"/>
  <c r="X84" i="133"/>
  <c r="N85" i="126" s="1"/>
  <c r="AD85" i="126" s="1"/>
  <c r="R85" i="126" s="1"/>
  <c r="W83" i="133"/>
  <c r="N84" i="110" s="1"/>
  <c r="AD84" i="110" s="1"/>
  <c r="Y81" i="133"/>
  <c r="N82" i="127" s="1"/>
  <c r="AD82" i="127" s="1"/>
  <c r="X80" i="133"/>
  <c r="N81" i="126" s="1"/>
  <c r="AD81" i="126" s="1"/>
  <c r="W79" i="133"/>
  <c r="N80" i="110" s="1"/>
  <c r="AD80" i="110" s="1"/>
  <c r="Y77" i="133"/>
  <c r="N78" i="127" s="1"/>
  <c r="AD78" i="127" s="1"/>
  <c r="X76" i="133"/>
  <c r="N77" i="126" s="1"/>
  <c r="AD77" i="126" s="1"/>
  <c r="Y73" i="133"/>
  <c r="N74" i="127" s="1"/>
  <c r="AD74" i="127" s="1"/>
  <c r="X72" i="133"/>
  <c r="N73" i="126" s="1"/>
  <c r="AD73" i="126" s="1"/>
  <c r="R73" i="126" s="1"/>
  <c r="C69" i="110"/>
  <c r="C73" i="110"/>
  <c r="C74" i="110"/>
  <c r="C76" i="110"/>
  <c r="C77" i="110"/>
  <c r="C78" i="110"/>
  <c r="C79" i="110"/>
  <c r="C81" i="110"/>
  <c r="C82" i="110"/>
  <c r="C83" i="110"/>
  <c r="C85" i="110"/>
  <c r="DM85" i="110" s="1"/>
  <c r="DN57" i="126"/>
  <c r="AE57" i="126" s="1"/>
  <c r="T57" i="126" s="1"/>
  <c r="Y83" i="133"/>
  <c r="N84" i="127" s="1"/>
  <c r="AD84" i="127" s="1"/>
  <c r="R84" i="127" s="1"/>
  <c r="X82" i="133"/>
  <c r="N83" i="126" s="1"/>
  <c r="AD83" i="126" s="1"/>
  <c r="R83" i="126" s="1"/>
  <c r="Y79" i="133"/>
  <c r="N80" i="127" s="1"/>
  <c r="AD80" i="127" s="1"/>
  <c r="X78" i="133"/>
  <c r="N79" i="126" s="1"/>
  <c r="AD79" i="126" s="1"/>
  <c r="X75" i="133"/>
  <c r="N76" i="126" s="1"/>
  <c r="AD76" i="126" s="1"/>
  <c r="BT57" i="130"/>
  <c r="AW60" i="130"/>
  <c r="F57" i="130"/>
  <c r="F85" i="131"/>
  <c r="Y53" i="132"/>
  <c r="BS58" i="132"/>
  <c r="AB73" i="132"/>
  <c r="Z79" i="132"/>
  <c r="AB71" i="132"/>
  <c r="AB75" i="132"/>
  <c r="AD81" i="132"/>
  <c r="BR59" i="131"/>
  <c r="AB49" i="130"/>
  <c r="AB51" i="130"/>
  <c r="AA55" i="130"/>
  <c r="AB61" i="130"/>
  <c r="AA77" i="130"/>
  <c r="X51" i="130"/>
  <c r="AA53" i="130"/>
  <c r="X61" i="130"/>
  <c r="AA79" i="130"/>
  <c r="AD84" i="130"/>
  <c r="V52" i="130"/>
  <c r="AY57" i="130"/>
  <c r="U69" i="130"/>
  <c r="AC69" i="130"/>
  <c r="AB82" i="130"/>
  <c r="W83" i="130"/>
  <c r="X85" i="130"/>
  <c r="W86" i="130"/>
  <c r="AB86" i="130"/>
  <c r="AB50" i="130"/>
  <c r="V51" i="130"/>
  <c r="BS57" i="130"/>
  <c r="Z57" i="130"/>
  <c r="BR58" i="130"/>
  <c r="X58" i="130"/>
  <c r="F60" i="130"/>
  <c r="Z60" i="130"/>
  <c r="W61" i="130"/>
  <c r="Z61" i="130"/>
  <c r="AD61" i="130"/>
  <c r="Y69" i="130"/>
  <c r="Z76" i="130"/>
  <c r="AD76" i="130"/>
  <c r="X77" i="130"/>
  <c r="X79" i="130"/>
  <c r="AA82" i="130"/>
  <c r="X83" i="130"/>
  <c r="AD83" i="130"/>
  <c r="K85" i="130"/>
  <c r="T85" i="130" s="1"/>
  <c r="V85" i="130"/>
  <c r="Z85" i="130"/>
  <c r="AD85" i="130"/>
  <c r="C86" i="130"/>
  <c r="BQ86" i="130" s="1"/>
  <c r="K87" i="130"/>
  <c r="T87" i="130" s="1"/>
  <c r="Y55" i="131"/>
  <c r="AD55" i="131"/>
  <c r="F58" i="131"/>
  <c r="T59" i="131"/>
  <c r="AD64" i="131"/>
  <c r="V75" i="131"/>
  <c r="C86" i="131"/>
  <c r="T53" i="132"/>
  <c r="F57" i="132"/>
  <c r="BS60" i="132"/>
  <c r="F60" i="132"/>
  <c r="AD60" i="132"/>
  <c r="AB72" i="132"/>
  <c r="AB74" i="132"/>
  <c r="AA78" i="132"/>
  <c r="T79" i="132"/>
  <c r="X81" i="132"/>
  <c r="X82" i="132"/>
  <c r="K85" i="132"/>
  <c r="V85" i="132" s="1"/>
  <c r="X86" i="132"/>
  <c r="F87" i="132"/>
  <c r="V76" i="130"/>
  <c r="T55" i="131"/>
  <c r="Z55" i="131"/>
  <c r="AB61" i="131"/>
  <c r="AD62" i="131"/>
  <c r="Z63" i="131"/>
  <c r="AA64" i="131"/>
  <c r="AA67" i="131"/>
  <c r="T70" i="131"/>
  <c r="AB79" i="131"/>
  <c r="F87" i="131"/>
  <c r="F58" i="132"/>
  <c r="T82" i="132"/>
  <c r="T86" i="132"/>
  <c r="D85" i="126"/>
  <c r="D85" i="127"/>
  <c r="F67" i="130"/>
  <c r="F67" i="131"/>
  <c r="F86" i="132"/>
  <c r="C87" i="132"/>
  <c r="BT87" i="132" s="1"/>
  <c r="M54" i="133"/>
  <c r="G54" i="133"/>
  <c r="G55" i="110" s="1"/>
  <c r="H84" i="133"/>
  <c r="G85" i="126" s="1"/>
  <c r="I83" i="133"/>
  <c r="G84" i="127" s="1"/>
  <c r="G83" i="133"/>
  <c r="G84" i="110" s="1"/>
  <c r="H82" i="133"/>
  <c r="G83" i="126" s="1"/>
  <c r="I57" i="133"/>
  <c r="G58" i="127" s="1"/>
  <c r="G57" i="133"/>
  <c r="G58" i="110" s="1"/>
  <c r="H56" i="133"/>
  <c r="G57" i="126" s="1"/>
  <c r="I55" i="133"/>
  <c r="G56" i="127" s="1"/>
  <c r="G55" i="133"/>
  <c r="G56" i="110" s="1"/>
  <c r="P84" i="133"/>
  <c r="L85" i="126" s="1"/>
  <c r="DN85" i="126" s="1"/>
  <c r="AE85" i="126" s="1"/>
  <c r="Q85" i="126" s="1"/>
  <c r="P83" i="133"/>
  <c r="L84" i="126" s="1"/>
  <c r="DN84" i="126" s="1"/>
  <c r="AE84" i="126" s="1"/>
  <c r="Q84" i="126" s="1"/>
  <c r="M83" i="133"/>
  <c r="Q82" i="133"/>
  <c r="L83" i="127" s="1"/>
  <c r="O82" i="133"/>
  <c r="L83" i="110" s="1"/>
  <c r="DM83" i="110" s="1"/>
  <c r="M57" i="133"/>
  <c r="K55" i="133"/>
  <c r="D83" i="126"/>
  <c r="D83" i="127"/>
  <c r="D84" i="126"/>
  <c r="D84" i="127"/>
  <c r="F86" i="130"/>
  <c r="C85" i="131"/>
  <c r="AW85" i="131" s="1"/>
  <c r="C87" i="131"/>
  <c r="F59" i="130"/>
  <c r="C85" i="130"/>
  <c r="BP85" i="130" s="1"/>
  <c r="F85" i="130"/>
  <c r="BR86" i="130"/>
  <c r="K86" i="130"/>
  <c r="T86" i="130" s="1"/>
  <c r="C87" i="130"/>
  <c r="AW87" i="130" s="1"/>
  <c r="F59" i="131"/>
  <c r="K85" i="131"/>
  <c r="U85" i="131" s="1"/>
  <c r="K86" i="131"/>
  <c r="U86" i="131" s="1"/>
  <c r="BQ87" i="131"/>
  <c r="K87" i="131"/>
  <c r="U87" i="131" s="1"/>
  <c r="C85" i="132"/>
  <c r="AG85" i="132" s="1"/>
  <c r="K86" i="132"/>
  <c r="V86" i="132" s="1"/>
  <c r="K87" i="132"/>
  <c r="V87" i="132" s="1"/>
  <c r="H54" i="133"/>
  <c r="G55" i="126" s="1"/>
  <c r="L83" i="133"/>
  <c r="M64" i="133"/>
  <c r="K64" i="133"/>
  <c r="L57" i="133"/>
  <c r="M56" i="133"/>
  <c r="K56" i="133"/>
  <c r="L55" i="133"/>
  <c r="Q84" i="133"/>
  <c r="L85" i="127" s="1"/>
  <c r="DO85" i="127" s="1"/>
  <c r="AE85" i="127" s="1"/>
  <c r="U85" i="127" s="1"/>
  <c r="Q83" i="133"/>
  <c r="L84" i="127" s="1"/>
  <c r="DO84" i="127" s="1"/>
  <c r="AE84" i="127" s="1"/>
  <c r="S84" i="127" s="1"/>
  <c r="L82" i="133"/>
  <c r="E49" i="110"/>
  <c r="DU49" i="110" s="1"/>
  <c r="DN70" i="127"/>
  <c r="DN62" i="127"/>
  <c r="DN78" i="127"/>
  <c r="DN74" i="127"/>
  <c r="DN61" i="127"/>
  <c r="Q55" i="127"/>
  <c r="DN66" i="127"/>
  <c r="DN58" i="127"/>
  <c r="DO58" i="127"/>
  <c r="DN82" i="127"/>
  <c r="DN65" i="127"/>
  <c r="DO65" i="127"/>
  <c r="DN64" i="127"/>
  <c r="DN57" i="127"/>
  <c r="DO57" i="127"/>
  <c r="DN56" i="127"/>
  <c r="DO56" i="127"/>
  <c r="DM41" i="127"/>
  <c r="DM41" i="126"/>
  <c r="DM56" i="110"/>
  <c r="D57" i="110"/>
  <c r="E68" i="110"/>
  <c r="DR68" i="110" s="1"/>
  <c r="E69" i="110"/>
  <c r="DW69" i="110" s="1"/>
  <c r="D85" i="110"/>
  <c r="DV55" i="110"/>
  <c r="E59" i="110"/>
  <c r="DS59" i="110" s="1"/>
  <c r="DW83" i="110"/>
  <c r="DR83" i="110"/>
  <c r="DN83" i="110"/>
  <c r="DV83" i="110"/>
  <c r="M49" i="110"/>
  <c r="M51" i="110"/>
  <c r="E76" i="110"/>
  <c r="E84" i="110"/>
  <c r="M76" i="110"/>
  <c r="D84" i="110"/>
  <c r="M84" i="110"/>
  <c r="D83" i="110"/>
  <c r="M83" i="110"/>
  <c r="DO83" i="110"/>
  <c r="DU83" i="110"/>
  <c r="DQ83" i="110"/>
  <c r="DT83" i="110"/>
  <c r="DP83" i="110"/>
  <c r="DS83" i="110"/>
  <c r="E85" i="110"/>
  <c r="DR51" i="110"/>
  <c r="DV51" i="110"/>
  <c r="DN51" i="110"/>
  <c r="E53" i="110"/>
  <c r="DW53" i="110" s="1"/>
  <c r="DS55" i="110"/>
  <c r="M57" i="110"/>
  <c r="DM58" i="110"/>
  <c r="M61" i="110"/>
  <c r="E64" i="110"/>
  <c r="DV64" i="110" s="1"/>
  <c r="E65" i="110"/>
  <c r="DR71" i="110"/>
  <c r="E73" i="110"/>
  <c r="DS73" i="110" s="1"/>
  <c r="M77" i="110"/>
  <c r="E79" i="110"/>
  <c r="DP79" i="110" s="1"/>
  <c r="M82" i="110"/>
  <c r="DM65" i="110"/>
  <c r="M71" i="110"/>
  <c r="E81" i="110"/>
  <c r="DP81" i="110" s="1"/>
  <c r="M53" i="110"/>
  <c r="M55" i="110"/>
  <c r="DP61" i="110"/>
  <c r="D65" i="110"/>
  <c r="C75" i="110"/>
  <c r="M48" i="110"/>
  <c r="M54" i="110"/>
  <c r="E54" i="110"/>
  <c r="DM57" i="110"/>
  <c r="DU57" i="110"/>
  <c r="E47" i="110"/>
  <c r="DW51" i="110"/>
  <c r="DS51" i="110"/>
  <c r="DO51" i="110"/>
  <c r="DU51" i="110"/>
  <c r="DQ51" i="110"/>
  <c r="DP51" i="110"/>
  <c r="E52" i="110"/>
  <c r="M52" i="110"/>
  <c r="E50" i="110"/>
  <c r="DW57" i="110"/>
  <c r="DS57" i="110"/>
  <c r="DO57" i="110"/>
  <c r="DT57" i="110"/>
  <c r="DN57" i="110"/>
  <c r="DV57" i="110"/>
  <c r="DQ57" i="110"/>
  <c r="DR57" i="110"/>
  <c r="E48" i="110"/>
  <c r="DT51" i="110"/>
  <c r="DU55" i="110"/>
  <c r="DQ55" i="110"/>
  <c r="DW55" i="110"/>
  <c r="DR55" i="110"/>
  <c r="DT55" i="110"/>
  <c r="DO55" i="110"/>
  <c r="DP55" i="110"/>
  <c r="DP57" i="110"/>
  <c r="M60" i="110"/>
  <c r="E60" i="110"/>
  <c r="DM55" i="110"/>
  <c r="E58" i="110"/>
  <c r="M58" i="110"/>
  <c r="D55" i="110"/>
  <c r="M56" i="110"/>
  <c r="E56" i="110"/>
  <c r="DW61" i="110"/>
  <c r="DS61" i="110"/>
  <c r="DO61" i="110"/>
  <c r="DV61" i="110"/>
  <c r="DR61" i="110"/>
  <c r="DN61" i="110"/>
  <c r="DT61" i="110"/>
  <c r="DQ61" i="110"/>
  <c r="DU67" i="110"/>
  <c r="DQ67" i="110"/>
  <c r="DT67" i="110"/>
  <c r="DP67" i="110"/>
  <c r="DW67" i="110"/>
  <c r="DO67" i="110"/>
  <c r="DV67" i="110"/>
  <c r="DR67" i="110"/>
  <c r="DS67" i="110"/>
  <c r="DU74" i="110"/>
  <c r="DQ74" i="110"/>
  <c r="DW74" i="110"/>
  <c r="DR74" i="110"/>
  <c r="DP74" i="110"/>
  <c r="DT74" i="110"/>
  <c r="DN74" i="110"/>
  <c r="DO74" i="110"/>
  <c r="DS74" i="110"/>
  <c r="E62" i="110"/>
  <c r="M62" i="110"/>
  <c r="M63" i="110"/>
  <c r="E63" i="110"/>
  <c r="E66" i="110"/>
  <c r="M66" i="110"/>
  <c r="M67" i="110"/>
  <c r="E70" i="110"/>
  <c r="DW71" i="110"/>
  <c r="DS71" i="110"/>
  <c r="DO71" i="110"/>
  <c r="DU71" i="110"/>
  <c r="DQ71" i="110"/>
  <c r="DP71" i="110"/>
  <c r="DV71" i="110"/>
  <c r="DN71" i="110"/>
  <c r="M70" i="110"/>
  <c r="M74" i="110"/>
  <c r="E72" i="110"/>
  <c r="M72" i="110"/>
  <c r="E78" i="110"/>
  <c r="M78" i="110"/>
  <c r="M75" i="110"/>
  <c r="E75" i="110"/>
  <c r="M80" i="110"/>
  <c r="E80" i="110"/>
  <c r="E77" i="110"/>
  <c r="E82" i="110"/>
  <c r="Y74" i="133"/>
  <c r="N75" i="127" s="1"/>
  <c r="AD75" i="127" s="1"/>
  <c r="R75" i="127" s="1"/>
  <c r="W74" i="133"/>
  <c r="N75" i="110" s="1"/>
  <c r="AD75" i="110" s="1"/>
  <c r="R75" i="110" s="1"/>
  <c r="I84" i="133"/>
  <c r="G85" i="127" s="1"/>
  <c r="G82" i="133"/>
  <c r="G83" i="110" s="1"/>
  <c r="I64" i="133"/>
  <c r="G65" i="127" s="1"/>
  <c r="H57" i="133"/>
  <c r="G58" i="126" s="1"/>
  <c r="I56" i="133"/>
  <c r="G57" i="127" s="1"/>
  <c r="Y64" i="133"/>
  <c r="N65" i="127" s="1"/>
  <c r="AD65" i="127" s="1"/>
  <c r="R65" i="127" s="1"/>
  <c r="Y56" i="133"/>
  <c r="N57" i="127" s="1"/>
  <c r="AD57" i="127" s="1"/>
  <c r="R57" i="127" s="1"/>
  <c r="M84" i="133"/>
  <c r="K82" i="133"/>
  <c r="H64" i="133"/>
  <c r="G65" i="126" s="1"/>
  <c r="X83" i="133"/>
  <c r="N84" i="126" s="1"/>
  <c r="AD84" i="126" s="1"/>
  <c r="R84" i="126" s="1"/>
  <c r="X79" i="133"/>
  <c r="N80" i="126" s="1"/>
  <c r="AD80" i="126" s="1"/>
  <c r="X74" i="133"/>
  <c r="N75" i="126" s="1"/>
  <c r="AD75" i="126" s="1"/>
  <c r="R75" i="126" s="1"/>
  <c r="G84" i="133"/>
  <c r="G85" i="110" s="1"/>
  <c r="H83" i="133"/>
  <c r="G84" i="126" s="1"/>
  <c r="I82" i="133"/>
  <c r="G83" i="127" s="1"/>
  <c r="G64" i="133"/>
  <c r="G65" i="110" s="1"/>
  <c r="G56" i="133"/>
  <c r="G57" i="110" s="1"/>
  <c r="H55" i="133"/>
  <c r="G56" i="126" s="1"/>
  <c r="W64" i="133"/>
  <c r="N65" i="110" s="1"/>
  <c r="AD65" i="110" s="1"/>
  <c r="R65" i="110" s="1"/>
  <c r="K84" i="133"/>
  <c r="M82" i="133"/>
  <c r="Y70" i="133"/>
  <c r="N71" i="127" s="1"/>
  <c r="AD71" i="127" s="1"/>
  <c r="W56" i="133"/>
  <c r="N57" i="110" s="1"/>
  <c r="AD57" i="110" s="1"/>
  <c r="R57" i="110" s="1"/>
  <c r="X56" i="133"/>
  <c r="N57" i="126" s="1"/>
  <c r="AD57" i="126" s="1"/>
  <c r="R57" i="126" s="1"/>
  <c r="X55" i="133"/>
  <c r="N56" i="126" s="1"/>
  <c r="AD56" i="126" s="1"/>
  <c r="R56" i="126" s="1"/>
  <c r="X68" i="133"/>
  <c r="N69" i="126" s="1"/>
  <c r="AD69" i="126" s="1"/>
  <c r="X54" i="133"/>
  <c r="N55" i="126" s="1"/>
  <c r="AD55" i="126" s="1"/>
  <c r="R55" i="126" s="1"/>
  <c r="X70" i="133"/>
  <c r="N71" i="126" s="1"/>
  <c r="AD71" i="126" s="1"/>
  <c r="W69" i="133"/>
  <c r="N70" i="110" s="1"/>
  <c r="AD70" i="110" s="1"/>
  <c r="X69" i="133"/>
  <c r="N70" i="126" s="1"/>
  <c r="AD70" i="126" s="1"/>
  <c r="W55" i="133"/>
  <c r="N56" i="110" s="1"/>
  <c r="AD56" i="110" s="1"/>
  <c r="R56" i="110" s="1"/>
  <c r="Y54" i="133"/>
  <c r="N55" i="127" s="1"/>
  <c r="AD55" i="127" s="1"/>
  <c r="R55" i="127" s="1"/>
  <c r="W70" i="133"/>
  <c r="N71" i="110" s="1"/>
  <c r="AD71" i="110" s="1"/>
  <c r="Y68" i="133"/>
  <c r="N69" i="127" s="1"/>
  <c r="AD69" i="127" s="1"/>
  <c r="W54" i="133"/>
  <c r="N55" i="110" s="1"/>
  <c r="AD55" i="110" s="1"/>
  <c r="R55" i="110" s="1"/>
  <c r="K54" i="133"/>
  <c r="Y69" i="133"/>
  <c r="N70" i="127" s="1"/>
  <c r="AD70" i="127" s="1"/>
  <c r="X57" i="133"/>
  <c r="N58" i="126" s="1"/>
  <c r="AD58" i="126" s="1"/>
  <c r="R58" i="126" s="1"/>
  <c r="Y55" i="133"/>
  <c r="N56" i="127" s="1"/>
  <c r="AD56" i="127" s="1"/>
  <c r="R56" i="127" s="1"/>
  <c r="W57" i="133"/>
  <c r="N58" i="110" s="1"/>
  <c r="AD58" i="110" s="1"/>
  <c r="R58" i="110" s="1"/>
  <c r="Y57" i="133"/>
  <c r="N58" i="127" s="1"/>
  <c r="AD58" i="127" s="1"/>
  <c r="R58" i="127" s="1"/>
  <c r="L54" i="133"/>
  <c r="I54" i="133"/>
  <c r="G55" i="127" s="1"/>
  <c r="U62" i="132"/>
  <c r="AD62" i="132"/>
  <c r="AB62" i="132"/>
  <c r="Z61" i="132"/>
  <c r="T61" i="132"/>
  <c r="Y61" i="132"/>
  <c r="AD61" i="132"/>
  <c r="X61" i="132"/>
  <c r="U61" i="132"/>
  <c r="Z56" i="132"/>
  <c r="T56" i="132"/>
  <c r="Y56" i="132"/>
  <c r="AD56" i="132"/>
  <c r="X56" i="132"/>
  <c r="AC56" i="132"/>
  <c r="Z49" i="132"/>
  <c r="T49" i="132"/>
  <c r="Y49" i="132"/>
  <c r="AD49" i="132"/>
  <c r="Z57" i="132"/>
  <c r="T57" i="132"/>
  <c r="Y57" i="132"/>
  <c r="AG57" i="132"/>
  <c r="AD57" i="132"/>
  <c r="AB68" i="132"/>
  <c r="U50" i="132"/>
  <c r="U53" i="132"/>
  <c r="AD53" i="132"/>
  <c r="AB55" i="132"/>
  <c r="Y60" i="132"/>
  <c r="BR60" i="132"/>
  <c r="U63" i="132"/>
  <c r="AB64" i="132"/>
  <c r="T65" i="132"/>
  <c r="Z65" i="132"/>
  <c r="X67" i="132"/>
  <c r="AA76" i="132"/>
  <c r="AB83" i="132"/>
  <c r="T83" i="132"/>
  <c r="AA83" i="132"/>
  <c r="X83" i="132"/>
  <c r="AB84" i="132"/>
  <c r="T84" i="132"/>
  <c r="AA84" i="132"/>
  <c r="X84" i="132"/>
  <c r="T60" i="132"/>
  <c r="Z60" i="132"/>
  <c r="AY60" i="132"/>
  <c r="Z63" i="132"/>
  <c r="U65" i="132"/>
  <c r="AC65" i="132"/>
  <c r="U69" i="132"/>
  <c r="Z77" i="132"/>
  <c r="T77" i="132"/>
  <c r="AD77" i="132"/>
  <c r="X77" i="132"/>
  <c r="AB77" i="132"/>
  <c r="W77" i="132"/>
  <c r="AA80" i="132"/>
  <c r="T80" i="132"/>
  <c r="Z80" i="132"/>
  <c r="AD80" i="132"/>
  <c r="X80" i="132"/>
  <c r="W80" i="132"/>
  <c r="AB87" i="132"/>
  <c r="T87" i="132"/>
  <c r="AA87" i="132"/>
  <c r="X87" i="132"/>
  <c r="AF87" i="132"/>
  <c r="Z76" i="132"/>
  <c r="T76" i="132"/>
  <c r="AD76" i="132"/>
  <c r="X76" i="132"/>
  <c r="AB76" i="132"/>
  <c r="W76" i="132"/>
  <c r="Z50" i="132"/>
  <c r="Z54" i="132"/>
  <c r="Z58" i="132"/>
  <c r="U60" i="132"/>
  <c r="AC60" i="132"/>
  <c r="BB60" i="132"/>
  <c r="AB63" i="132"/>
  <c r="X65" i="132"/>
  <c r="AD65" i="132"/>
  <c r="Y68" i="132"/>
  <c r="AD69" i="132"/>
  <c r="AC69" i="132"/>
  <c r="Z69" i="132"/>
  <c r="T69" i="132"/>
  <c r="X69" i="132"/>
  <c r="AA77" i="132"/>
  <c r="AB80" i="132"/>
  <c r="AW87" i="132"/>
  <c r="AB70" i="132"/>
  <c r="X71" i="132"/>
  <c r="AD71" i="132"/>
  <c r="X72" i="132"/>
  <c r="AD72" i="132"/>
  <c r="X73" i="132"/>
  <c r="AD73" i="132"/>
  <c r="X74" i="132"/>
  <c r="AD74" i="132"/>
  <c r="X75" i="132"/>
  <c r="AD75" i="132"/>
  <c r="AB78" i="132"/>
  <c r="AA79" i="132"/>
  <c r="T81" i="132"/>
  <c r="Z81" i="132"/>
  <c r="AA82" i="132"/>
  <c r="T85" i="132"/>
  <c r="AB85" i="132"/>
  <c r="AA86" i="132"/>
  <c r="BA86" i="132"/>
  <c r="AD70" i="132"/>
  <c r="T71" i="132"/>
  <c r="Z71" i="132"/>
  <c r="T72" i="132"/>
  <c r="Z72" i="132"/>
  <c r="T73" i="132"/>
  <c r="Z73" i="132"/>
  <c r="T74" i="132"/>
  <c r="Z74" i="132"/>
  <c r="T75" i="132"/>
  <c r="Z75" i="132"/>
  <c r="W78" i="132"/>
  <c r="AD78" i="132"/>
  <c r="W79" i="132"/>
  <c r="AB79" i="132"/>
  <c r="AA81" i="132"/>
  <c r="W85" i="132"/>
  <c r="AA71" i="132"/>
  <c r="AA72" i="132"/>
  <c r="AA73" i="132"/>
  <c r="AA74" i="132"/>
  <c r="AA75" i="132"/>
  <c r="X78" i="132"/>
  <c r="X79" i="132"/>
  <c r="W81" i="132"/>
  <c r="W82" i="132"/>
  <c r="X85" i="132"/>
  <c r="BT86" i="132"/>
  <c r="W86" i="132"/>
  <c r="AF86" i="132"/>
  <c r="AA51" i="132"/>
  <c r="W51" i="132"/>
  <c r="AD51" i="132"/>
  <c r="AB51" i="132"/>
  <c r="AA52" i="132"/>
  <c r="W52" i="132"/>
  <c r="AD52" i="132"/>
  <c r="Z52" i="132"/>
  <c r="AA66" i="132"/>
  <c r="W66" i="132"/>
  <c r="AC66" i="132"/>
  <c r="X66" i="132"/>
  <c r="AD66" i="132"/>
  <c r="AB66" i="132"/>
  <c r="U66" i="132"/>
  <c r="AA49" i="132"/>
  <c r="W49" i="132"/>
  <c r="AB49" i="132"/>
  <c r="X50" i="132"/>
  <c r="AC50" i="132"/>
  <c r="T51" i="132"/>
  <c r="Y51" i="132"/>
  <c r="U52" i="132"/>
  <c r="AC52" i="132"/>
  <c r="AA54" i="132"/>
  <c r="W54" i="132"/>
  <c r="AD54" i="132"/>
  <c r="Y54" i="132"/>
  <c r="T54" i="132"/>
  <c r="AC54" i="132"/>
  <c r="X54" i="132"/>
  <c r="AB54" i="132"/>
  <c r="AW57" i="132"/>
  <c r="BS57" i="132"/>
  <c r="U58" i="132"/>
  <c r="AG58" i="132"/>
  <c r="X59" i="132"/>
  <c r="Y66" i="132"/>
  <c r="BA67" i="132"/>
  <c r="AF67" i="132"/>
  <c r="AA67" i="132"/>
  <c r="W67" i="132"/>
  <c r="BB67" i="132"/>
  <c r="AD67" i="132"/>
  <c r="Y67" i="132"/>
  <c r="T67" i="132"/>
  <c r="AB67" i="132"/>
  <c r="U67" i="132"/>
  <c r="Z67" i="132"/>
  <c r="AG67" i="132"/>
  <c r="AA70" i="132"/>
  <c r="W70" i="132"/>
  <c r="AC70" i="132"/>
  <c r="X70" i="132"/>
  <c r="Z70" i="132"/>
  <c r="U70" i="132"/>
  <c r="Y70" i="132"/>
  <c r="T70" i="132"/>
  <c r="Y52" i="132"/>
  <c r="AW58" i="132"/>
  <c r="BA59" i="132"/>
  <c r="AF59" i="132"/>
  <c r="AA59" i="132"/>
  <c r="W59" i="132"/>
  <c r="BS59" i="132"/>
  <c r="AW59" i="132"/>
  <c r="AG59" i="132"/>
  <c r="Z59" i="132"/>
  <c r="U59" i="132"/>
  <c r="BR59" i="132"/>
  <c r="BB59" i="132"/>
  <c r="AD59" i="132"/>
  <c r="Y59" i="132"/>
  <c r="T59" i="132"/>
  <c r="AC59" i="132"/>
  <c r="AY59" i="132"/>
  <c r="T66" i="132"/>
  <c r="AA50" i="132"/>
  <c r="W50" i="132"/>
  <c r="AB50" i="132"/>
  <c r="X51" i="132"/>
  <c r="AC51" i="132"/>
  <c r="T52" i="132"/>
  <c r="AB52" i="132"/>
  <c r="AA55" i="132"/>
  <c r="W55" i="132"/>
  <c r="Z55" i="132"/>
  <c r="U55" i="132"/>
  <c r="AD55" i="132"/>
  <c r="Y55" i="132"/>
  <c r="T55" i="132"/>
  <c r="AC55" i="132"/>
  <c r="BR57" i="132"/>
  <c r="BA58" i="132"/>
  <c r="AF58" i="132"/>
  <c r="AA58" i="132"/>
  <c r="W58" i="132"/>
  <c r="BR58" i="132"/>
  <c r="BB58" i="132"/>
  <c r="AD58" i="132"/>
  <c r="Y58" i="132"/>
  <c r="T58" i="132"/>
  <c r="AY58" i="132"/>
  <c r="AC58" i="132"/>
  <c r="X58" i="132"/>
  <c r="AB58" i="132"/>
  <c r="AX58" i="132"/>
  <c r="BT58" i="132"/>
  <c r="X49" i="132"/>
  <c r="AC49" i="132"/>
  <c r="T50" i="132"/>
  <c r="Y50" i="132"/>
  <c r="AD50" i="132"/>
  <c r="U51" i="132"/>
  <c r="Z51" i="132"/>
  <c r="X52" i="132"/>
  <c r="U54" i="132"/>
  <c r="X55" i="132"/>
  <c r="BB57" i="132"/>
  <c r="AB59" i="132"/>
  <c r="AX59" i="132"/>
  <c r="BT59" i="132"/>
  <c r="AA64" i="132"/>
  <c r="W64" i="132"/>
  <c r="Z64" i="132"/>
  <c r="U64" i="132"/>
  <c r="AD64" i="132"/>
  <c r="X64" i="132"/>
  <c r="AC64" i="132"/>
  <c r="T64" i="132"/>
  <c r="Z66" i="132"/>
  <c r="AA53" i="132"/>
  <c r="W53" i="132"/>
  <c r="AB53" i="132"/>
  <c r="BA57" i="132"/>
  <c r="AF57" i="132"/>
  <c r="AA57" i="132"/>
  <c r="W57" i="132"/>
  <c r="AB57" i="132"/>
  <c r="AX57" i="132"/>
  <c r="BT57" i="132"/>
  <c r="AG60" i="132"/>
  <c r="AW60" i="132"/>
  <c r="AA62" i="132"/>
  <c r="W62" i="132"/>
  <c r="AC62" i="132"/>
  <c r="X62" i="132"/>
  <c r="Y62" i="132"/>
  <c r="AA68" i="132"/>
  <c r="W68" i="132"/>
  <c r="Z68" i="132"/>
  <c r="U68" i="132"/>
  <c r="AC68" i="132"/>
  <c r="X68" i="132"/>
  <c r="T68" i="132"/>
  <c r="AD68" i="132"/>
  <c r="X53" i="132"/>
  <c r="AC53" i="132"/>
  <c r="AA56" i="132"/>
  <c r="W56" i="132"/>
  <c r="AB56" i="132"/>
  <c r="X57" i="132"/>
  <c r="AC57" i="132"/>
  <c r="AY57" i="132"/>
  <c r="BA60" i="132"/>
  <c r="AF60" i="132"/>
  <c r="AA60" i="132"/>
  <c r="W60" i="132"/>
  <c r="AB60" i="132"/>
  <c r="AX60" i="132"/>
  <c r="BT60" i="132"/>
  <c r="T62" i="132"/>
  <c r="Z62" i="132"/>
  <c r="AA63" i="132"/>
  <c r="W63" i="132"/>
  <c r="AD63" i="132"/>
  <c r="Y63" i="132"/>
  <c r="T63" i="132"/>
  <c r="X63" i="132"/>
  <c r="BR85" i="132"/>
  <c r="BB85" i="132"/>
  <c r="BA85" i="132"/>
  <c r="AF85" i="132"/>
  <c r="AW85" i="132"/>
  <c r="AA61" i="132"/>
  <c r="W61" i="132"/>
  <c r="AB61" i="132"/>
  <c r="AA65" i="132"/>
  <c r="W65" i="132"/>
  <c r="AB65" i="132"/>
  <c r="AA69" i="132"/>
  <c r="W69" i="132"/>
  <c r="AB69" i="132"/>
  <c r="BT85" i="132"/>
  <c r="BA87" i="132"/>
  <c r="U71" i="132"/>
  <c r="Y71" i="132"/>
  <c r="AC71" i="132"/>
  <c r="U72" i="132"/>
  <c r="Y72" i="132"/>
  <c r="AC72" i="132"/>
  <c r="U73" i="132"/>
  <c r="Y73" i="132"/>
  <c r="AC73" i="132"/>
  <c r="U74" i="132"/>
  <c r="Y74" i="132"/>
  <c r="AC74" i="132"/>
  <c r="U75" i="132"/>
  <c r="Y75" i="132"/>
  <c r="AC75" i="132"/>
  <c r="U76" i="132"/>
  <c r="Y76" i="132"/>
  <c r="AC76" i="132"/>
  <c r="U77" i="132"/>
  <c r="Y77" i="132"/>
  <c r="AC77" i="132"/>
  <c r="AC78" i="132"/>
  <c r="Y78" i="132"/>
  <c r="U78" i="132"/>
  <c r="Z78" i="132"/>
  <c r="BR86" i="132"/>
  <c r="BB86" i="132"/>
  <c r="AG86" i="132"/>
  <c r="U79" i="132"/>
  <c r="Y79" i="132"/>
  <c r="AC79" i="132"/>
  <c r="U80" i="132"/>
  <c r="Y80" i="132"/>
  <c r="AC80" i="132"/>
  <c r="U81" i="132"/>
  <c r="Y81" i="132"/>
  <c r="AC81" i="132"/>
  <c r="U82" i="132"/>
  <c r="Y82" i="132"/>
  <c r="AC82" i="132"/>
  <c r="U83" i="132"/>
  <c r="Y83" i="132"/>
  <c r="AC83" i="132"/>
  <c r="U84" i="132"/>
  <c r="Y84" i="132"/>
  <c r="AC84" i="132"/>
  <c r="U85" i="132"/>
  <c r="Y85" i="132"/>
  <c r="AC85" i="132"/>
  <c r="AX85" i="132"/>
  <c r="BS85" i="132"/>
  <c r="U86" i="132"/>
  <c r="Y86" i="132"/>
  <c r="AC86" i="132"/>
  <c r="AX86" i="132"/>
  <c r="BS86" i="132"/>
  <c r="U87" i="132"/>
  <c r="Y87" i="132"/>
  <c r="AC87" i="132"/>
  <c r="Z82" i="132"/>
  <c r="AD82" i="132"/>
  <c r="Z83" i="132"/>
  <c r="AD83" i="132"/>
  <c r="Z84" i="132"/>
  <c r="AD84" i="132"/>
  <c r="Z85" i="132"/>
  <c r="AD85" i="132"/>
  <c r="AY85" i="132"/>
  <c r="Z86" i="132"/>
  <c r="AD86" i="132"/>
  <c r="AY86" i="132"/>
  <c r="Z87" i="132"/>
  <c r="AD87" i="132"/>
  <c r="AW60" i="131"/>
  <c r="Z61" i="131"/>
  <c r="AA62" i="131"/>
  <c r="W63" i="131"/>
  <c r="AB73" i="131"/>
  <c r="AD74" i="131"/>
  <c r="AD75" i="131"/>
  <c r="X79" i="131"/>
  <c r="AB82" i="131"/>
  <c r="AB83" i="131"/>
  <c r="BQ85" i="131"/>
  <c r="T85" i="131"/>
  <c r="AB85" i="131"/>
  <c r="BQ86" i="131"/>
  <c r="T86" i="131"/>
  <c r="AB86" i="131"/>
  <c r="T87" i="131"/>
  <c r="AB87" i="131"/>
  <c r="AV87" i="131"/>
  <c r="W85" i="131"/>
  <c r="W86" i="131"/>
  <c r="AF86" i="131"/>
  <c r="AF87" i="131"/>
  <c r="AB63" i="131"/>
  <c r="Z75" i="131"/>
  <c r="V76" i="131"/>
  <c r="T82" i="131"/>
  <c r="T83" i="131"/>
  <c r="X85" i="131"/>
  <c r="BR85" i="131"/>
  <c r="X86" i="131"/>
  <c r="BR86" i="131"/>
  <c r="X87" i="131"/>
  <c r="AF85" i="131"/>
  <c r="AV86" i="131"/>
  <c r="BA87" i="131"/>
  <c r="AW59" i="131"/>
  <c r="AB60" i="131"/>
  <c r="Z74" i="131"/>
  <c r="AA85" i="131"/>
  <c r="AA86" i="131"/>
  <c r="AA87" i="131"/>
  <c r="AW86" i="131"/>
  <c r="BR87" i="131"/>
  <c r="AW87" i="131"/>
  <c r="BT86" i="131"/>
  <c r="BA86" i="131"/>
  <c r="BT87" i="131"/>
  <c r="Y85" i="131"/>
  <c r="AC85" i="131"/>
  <c r="AX85" i="131"/>
  <c r="Y86" i="131"/>
  <c r="AC86" i="131"/>
  <c r="AX86" i="131"/>
  <c r="BS86" i="131"/>
  <c r="Y87" i="131"/>
  <c r="AC87" i="131"/>
  <c r="AX87" i="131"/>
  <c r="BS87" i="131"/>
  <c r="V85" i="131"/>
  <c r="Z85" i="131"/>
  <c r="AD85" i="131"/>
  <c r="V86" i="131"/>
  <c r="Z86" i="131"/>
  <c r="AD86" i="131"/>
  <c r="AY86" i="131"/>
  <c r="V87" i="131"/>
  <c r="Z87" i="131"/>
  <c r="AD87" i="131"/>
  <c r="AY87" i="131"/>
  <c r="AD51" i="131"/>
  <c r="X51" i="131"/>
  <c r="AC54" i="131"/>
  <c r="X54" i="131"/>
  <c r="AD58" i="131"/>
  <c r="V68" i="131"/>
  <c r="X68" i="131"/>
  <c r="AB80" i="131"/>
  <c r="T80" i="131"/>
  <c r="X80" i="131"/>
  <c r="W80" i="131"/>
  <c r="Y51" i="131"/>
  <c r="Y54" i="131"/>
  <c r="T58" i="131"/>
  <c r="AY58" i="131"/>
  <c r="AA65" i="131"/>
  <c r="Y65" i="131"/>
  <c r="AD65" i="131"/>
  <c r="Z65" i="131"/>
  <c r="V65" i="131"/>
  <c r="AA80" i="131"/>
  <c r="Z56" i="131"/>
  <c r="Y58" i="131"/>
  <c r="X58" i="131"/>
  <c r="T72" i="131"/>
  <c r="AB72" i="131"/>
  <c r="X72" i="131"/>
  <c r="AC49" i="131"/>
  <c r="T51" i="131"/>
  <c r="AC51" i="131"/>
  <c r="T54" i="131"/>
  <c r="AC58" i="131"/>
  <c r="BQ60" i="131"/>
  <c r="T60" i="131"/>
  <c r="X60" i="131"/>
  <c r="T71" i="131"/>
  <c r="AB71" i="131"/>
  <c r="Y78" i="131"/>
  <c r="AC55" i="131"/>
  <c r="AA61" i="131"/>
  <c r="V61" i="131"/>
  <c r="AD61" i="131"/>
  <c r="X61" i="131"/>
  <c r="W61" i="131"/>
  <c r="Z62" i="131"/>
  <c r="T62" i="131"/>
  <c r="AB62" i="131"/>
  <c r="W62" i="131"/>
  <c r="V62" i="131"/>
  <c r="AB69" i="131"/>
  <c r="T69" i="131"/>
  <c r="X69" i="131"/>
  <c r="X81" i="131"/>
  <c r="AB81" i="131"/>
  <c r="T81" i="131"/>
  <c r="W81" i="131"/>
  <c r="AB84" i="131"/>
  <c r="T84" i="131"/>
  <c r="X84" i="131"/>
  <c r="AA84" i="131"/>
  <c r="V63" i="131"/>
  <c r="AA63" i="131"/>
  <c r="W64" i="131"/>
  <c r="V67" i="131"/>
  <c r="AF67" i="131"/>
  <c r="BT67" i="131"/>
  <c r="X70" i="131"/>
  <c r="X73" i="131"/>
  <c r="W74" i="131"/>
  <c r="AC76" i="131"/>
  <c r="W79" i="131"/>
  <c r="AA82" i="131"/>
  <c r="W83" i="131"/>
  <c r="X63" i="131"/>
  <c r="AD63" i="131"/>
  <c r="AC64" i="131"/>
  <c r="Z67" i="131"/>
  <c r="AA74" i="131"/>
  <c r="W75" i="131"/>
  <c r="AA79" i="131"/>
  <c r="W82" i="131"/>
  <c r="AA83" i="131"/>
  <c r="T74" i="131"/>
  <c r="X74" i="131"/>
  <c r="AB74" i="131"/>
  <c r="T75" i="131"/>
  <c r="X75" i="131"/>
  <c r="AB75" i="131"/>
  <c r="Y76" i="131"/>
  <c r="V77" i="131"/>
  <c r="AD77" i="131"/>
  <c r="AC78" i="131"/>
  <c r="AB77" i="131"/>
  <c r="X77" i="131"/>
  <c r="T77" i="131"/>
  <c r="AA77" i="131"/>
  <c r="W77" i="131"/>
  <c r="Z77" i="131"/>
  <c r="AC77" i="131"/>
  <c r="AB78" i="131"/>
  <c r="X78" i="131"/>
  <c r="T78" i="131"/>
  <c r="AA78" i="131"/>
  <c r="W78" i="131"/>
  <c r="Z78" i="131"/>
  <c r="Y74" i="131"/>
  <c r="AC74" i="131"/>
  <c r="Y75" i="131"/>
  <c r="AC75" i="131"/>
  <c r="AB76" i="131"/>
  <c r="X76" i="131"/>
  <c r="T76" i="131"/>
  <c r="AA76" i="131"/>
  <c r="W76" i="131"/>
  <c r="Z76" i="131"/>
  <c r="Y77" i="131"/>
  <c r="V78" i="131"/>
  <c r="AD78" i="131"/>
  <c r="Y79" i="131"/>
  <c r="AC79" i="131"/>
  <c r="Y80" i="131"/>
  <c r="AC80" i="131"/>
  <c r="Y81" i="131"/>
  <c r="AC81" i="131"/>
  <c r="Y82" i="131"/>
  <c r="AC82" i="131"/>
  <c r="Y83" i="131"/>
  <c r="AC83" i="131"/>
  <c r="Y84" i="131"/>
  <c r="AC84" i="131"/>
  <c r="V79" i="131"/>
  <c r="Z79" i="131"/>
  <c r="AD79" i="131"/>
  <c r="V80" i="131"/>
  <c r="Z80" i="131"/>
  <c r="AD80" i="131"/>
  <c r="V81" i="131"/>
  <c r="Z81" i="131"/>
  <c r="AD81" i="131"/>
  <c r="V82" i="131"/>
  <c r="Z82" i="131"/>
  <c r="AD82" i="131"/>
  <c r="V83" i="131"/>
  <c r="Z83" i="131"/>
  <c r="AD83" i="131"/>
  <c r="V84" i="131"/>
  <c r="Z84" i="131"/>
  <c r="AD84" i="131"/>
  <c r="Y49" i="131"/>
  <c r="AA49" i="131"/>
  <c r="W49" i="131"/>
  <c r="Z49" i="131"/>
  <c r="AD49" i="131"/>
  <c r="AB49" i="131"/>
  <c r="X49" i="131"/>
  <c r="T49" i="131"/>
  <c r="V49" i="131"/>
  <c r="Y50" i="131"/>
  <c r="BQ57" i="131"/>
  <c r="BA57" i="131"/>
  <c r="AV57" i="131"/>
  <c r="AF57" i="131"/>
  <c r="AA57" i="131"/>
  <c r="W57" i="131"/>
  <c r="V50" i="131"/>
  <c r="AA52" i="131"/>
  <c r="W52" i="131"/>
  <c r="X53" i="131"/>
  <c r="T50" i="131"/>
  <c r="X50" i="131"/>
  <c r="AB50" i="131"/>
  <c r="T52" i="131"/>
  <c r="Y52" i="131"/>
  <c r="AD52" i="131"/>
  <c r="Z53" i="131"/>
  <c r="AA54" i="131"/>
  <c r="W54" i="131"/>
  <c r="V54" i="131"/>
  <c r="AB54" i="131"/>
  <c r="T56" i="131"/>
  <c r="Y56" i="131"/>
  <c r="AD56" i="131"/>
  <c r="Z57" i="131"/>
  <c r="AW57" i="131"/>
  <c r="BS57" i="131"/>
  <c r="BT58" i="131"/>
  <c r="BQ58" i="131"/>
  <c r="BA58" i="131"/>
  <c r="AV58" i="131"/>
  <c r="AF58" i="131"/>
  <c r="AA58" i="131"/>
  <c r="W58" i="131"/>
  <c r="V58" i="131"/>
  <c r="AB58" i="131"/>
  <c r="AX58" i="131"/>
  <c r="BR58" i="131"/>
  <c r="BT59" i="131"/>
  <c r="AY59" i="131"/>
  <c r="AD59" i="131"/>
  <c r="Z59" i="131"/>
  <c r="V59" i="131"/>
  <c r="BS59" i="131"/>
  <c r="AX59" i="131"/>
  <c r="AC59" i="131"/>
  <c r="Y59" i="131"/>
  <c r="BQ59" i="131"/>
  <c r="BA59" i="131"/>
  <c r="AV59" i="131"/>
  <c r="AF59" i="131"/>
  <c r="AA59" i="131"/>
  <c r="W59" i="131"/>
  <c r="AB59" i="131"/>
  <c r="AB53" i="131"/>
  <c r="V57" i="131"/>
  <c r="Z50" i="131"/>
  <c r="AB52" i="131"/>
  <c r="AA56" i="131"/>
  <c r="W56" i="131"/>
  <c r="V56" i="131"/>
  <c r="AB56" i="131"/>
  <c r="X57" i="131"/>
  <c r="AC57" i="131"/>
  <c r="AY57" i="131"/>
  <c r="AC50" i="131"/>
  <c r="AA53" i="131"/>
  <c r="W53" i="131"/>
  <c r="V53" i="131"/>
  <c r="AB57" i="131"/>
  <c r="AX57" i="131"/>
  <c r="BT57" i="131"/>
  <c r="AD50" i="131"/>
  <c r="V52" i="131"/>
  <c r="AC53" i="131"/>
  <c r="W50" i="131"/>
  <c r="AA50" i="131"/>
  <c r="AA51" i="131"/>
  <c r="W51" i="131"/>
  <c r="V51" i="131"/>
  <c r="AB51" i="131"/>
  <c r="X52" i="131"/>
  <c r="AC52" i="131"/>
  <c r="T53" i="131"/>
  <c r="Y53" i="131"/>
  <c r="AD53" i="131"/>
  <c r="Z54" i="131"/>
  <c r="AA55" i="131"/>
  <c r="W55" i="131"/>
  <c r="V55" i="131"/>
  <c r="AB55" i="131"/>
  <c r="X56" i="131"/>
  <c r="AC56" i="131"/>
  <c r="T57" i="131"/>
  <c r="Y57" i="131"/>
  <c r="AD57" i="131"/>
  <c r="BR57" i="131"/>
  <c r="Z58" i="131"/>
  <c r="AW58" i="131"/>
  <c r="X59" i="131"/>
  <c r="W60" i="131"/>
  <c r="AA60" i="131"/>
  <c r="AF60" i="131"/>
  <c r="AV60" i="131"/>
  <c r="BA60" i="131"/>
  <c r="AB64" i="131"/>
  <c r="X64" i="131"/>
  <c r="T64" i="131"/>
  <c r="Z64" i="131"/>
  <c r="Y64" i="131"/>
  <c r="AB66" i="131"/>
  <c r="X66" i="131"/>
  <c r="T66" i="131"/>
  <c r="Z66" i="131"/>
  <c r="AD66" i="131"/>
  <c r="Y66" i="131"/>
  <c r="AA66" i="131"/>
  <c r="V66" i="131"/>
  <c r="W66" i="131"/>
  <c r="BS60" i="131"/>
  <c r="Y60" i="131"/>
  <c r="AC60" i="131"/>
  <c r="AX60" i="131"/>
  <c r="BT60" i="131"/>
  <c r="V60" i="131"/>
  <c r="Z60" i="131"/>
  <c r="AD60" i="131"/>
  <c r="AY60" i="131"/>
  <c r="Y61" i="131"/>
  <c r="AC61" i="131"/>
  <c r="Y62" i="131"/>
  <c r="AC62" i="131"/>
  <c r="Y63" i="131"/>
  <c r="AC63" i="131"/>
  <c r="AB65" i="131"/>
  <c r="X65" i="131"/>
  <c r="T65" i="131"/>
  <c r="W65" i="131"/>
  <c r="AC65" i="131"/>
  <c r="BA67" i="131"/>
  <c r="AC67" i="131"/>
  <c r="AY67" i="131"/>
  <c r="AB67" i="131"/>
  <c r="X67" i="131"/>
  <c r="T67" i="131"/>
  <c r="W67" i="131"/>
  <c r="AD67" i="131"/>
  <c r="AD68" i="131"/>
  <c r="Z68" i="131"/>
  <c r="AC68" i="131"/>
  <c r="Y68" i="131"/>
  <c r="AA68" i="131"/>
  <c r="W68" i="131"/>
  <c r="AB68" i="131"/>
  <c r="T68" i="131"/>
  <c r="W69" i="131"/>
  <c r="AA69" i="131"/>
  <c r="W70" i="131"/>
  <c r="AA70" i="131"/>
  <c r="W71" i="131"/>
  <c r="AA71" i="131"/>
  <c r="W72" i="131"/>
  <c r="AA72" i="131"/>
  <c r="W73" i="131"/>
  <c r="AA73" i="131"/>
  <c r="Y69" i="131"/>
  <c r="AC69" i="131"/>
  <c r="Y70" i="131"/>
  <c r="AC70" i="131"/>
  <c r="Y71" i="131"/>
  <c r="AC71" i="131"/>
  <c r="Y72" i="131"/>
  <c r="AC72" i="131"/>
  <c r="Y73" i="131"/>
  <c r="AC73" i="131"/>
  <c r="V69" i="131"/>
  <c r="Z69" i="131"/>
  <c r="AD69" i="131"/>
  <c r="V70" i="131"/>
  <c r="Z70" i="131"/>
  <c r="AD70" i="131"/>
  <c r="V71" i="131"/>
  <c r="Z71" i="131"/>
  <c r="AD71" i="131"/>
  <c r="V72" i="131"/>
  <c r="Z72" i="131"/>
  <c r="AD72" i="131"/>
  <c r="V73" i="131"/>
  <c r="Z73" i="131"/>
  <c r="AD73" i="131"/>
  <c r="AA49" i="130"/>
  <c r="W49" i="130"/>
  <c r="AD49" i="130"/>
  <c r="Z50" i="130"/>
  <c r="W50" i="130"/>
  <c r="AD50" i="130"/>
  <c r="Z52" i="130"/>
  <c r="W52" i="130"/>
  <c r="AD52" i="130"/>
  <c r="AB62" i="130"/>
  <c r="X49" i="130"/>
  <c r="X50" i="130"/>
  <c r="Z51" i="130"/>
  <c r="W51" i="130"/>
  <c r="AD51" i="130"/>
  <c r="X52" i="130"/>
  <c r="X62" i="130"/>
  <c r="AC62" i="130"/>
  <c r="W62" i="130"/>
  <c r="Z62" i="130"/>
  <c r="AC65" i="130"/>
  <c r="Y65" i="130"/>
  <c r="AD65" i="130"/>
  <c r="U65" i="130"/>
  <c r="V65" i="130"/>
  <c r="BT87" i="130"/>
  <c r="BQ87" i="130"/>
  <c r="AA87" i="130"/>
  <c r="X87" i="130"/>
  <c r="AB87" i="130"/>
  <c r="AV87" i="130"/>
  <c r="W87" i="130"/>
  <c r="Z49" i="130"/>
  <c r="AA50" i="130"/>
  <c r="AA52" i="130"/>
  <c r="AD54" i="130"/>
  <c r="X54" i="130"/>
  <c r="AB54" i="130"/>
  <c r="W54" i="130"/>
  <c r="Z54" i="130"/>
  <c r="AA54" i="130"/>
  <c r="AD66" i="130"/>
  <c r="AC66" i="130"/>
  <c r="U66" i="130"/>
  <c r="Z53" i="130"/>
  <c r="Z55" i="130"/>
  <c r="X56" i="130"/>
  <c r="AD56" i="130"/>
  <c r="X57" i="130"/>
  <c r="AD57" i="130"/>
  <c r="AU57" i="130"/>
  <c r="BQ57" i="130"/>
  <c r="W58" i="130"/>
  <c r="AB58" i="130"/>
  <c r="X59" i="130"/>
  <c r="AD59" i="130"/>
  <c r="AW59" i="130"/>
  <c r="X60" i="130"/>
  <c r="AD60" i="130"/>
  <c r="V61" i="130"/>
  <c r="AD63" i="130"/>
  <c r="AY67" i="130"/>
  <c r="AD74" i="130"/>
  <c r="V74" i="130"/>
  <c r="Z74" i="130"/>
  <c r="AA74" i="130"/>
  <c r="AA75" i="130"/>
  <c r="W53" i="130"/>
  <c r="AB53" i="130"/>
  <c r="W55" i="130"/>
  <c r="AB55" i="130"/>
  <c r="V56" i="130"/>
  <c r="AA56" i="130"/>
  <c r="V57" i="130"/>
  <c r="AA57" i="130"/>
  <c r="Z58" i="130"/>
  <c r="BS59" i="130"/>
  <c r="V59" i="130"/>
  <c r="AA59" i="130"/>
  <c r="V60" i="130"/>
  <c r="AA60" i="130"/>
  <c r="Y63" i="130"/>
  <c r="Y68" i="130"/>
  <c r="U70" i="130"/>
  <c r="AC70" i="130"/>
  <c r="V70" i="130"/>
  <c r="AA81" i="130"/>
  <c r="X81" i="130"/>
  <c r="AB81" i="130"/>
  <c r="W81" i="130"/>
  <c r="X53" i="130"/>
  <c r="AD53" i="130"/>
  <c r="X55" i="130"/>
  <c r="AD55" i="130"/>
  <c r="W56" i="130"/>
  <c r="AB56" i="130"/>
  <c r="W57" i="130"/>
  <c r="AB57" i="130"/>
  <c r="BP57" i="130"/>
  <c r="V58" i="130"/>
  <c r="AA58" i="130"/>
  <c r="W59" i="130"/>
  <c r="AB59" i="130"/>
  <c r="AV59" i="130"/>
  <c r="BR59" i="130"/>
  <c r="W60" i="130"/>
  <c r="AB60" i="130"/>
  <c r="AC63" i="130"/>
  <c r="Y72" i="130"/>
  <c r="AD75" i="130"/>
  <c r="V75" i="130"/>
  <c r="Z75" i="130"/>
  <c r="W75" i="130"/>
  <c r="V69" i="130"/>
  <c r="W76" i="130"/>
  <c r="W77" i="130"/>
  <c r="X78" i="130"/>
  <c r="W79" i="130"/>
  <c r="X80" i="130"/>
  <c r="W82" i="130"/>
  <c r="V83" i="130"/>
  <c r="AB83" i="130"/>
  <c r="W84" i="130"/>
  <c r="AB84" i="130"/>
  <c r="BS85" i="130"/>
  <c r="W85" i="130"/>
  <c r="AB85" i="130"/>
  <c r="V86" i="130"/>
  <c r="AA86" i="130"/>
  <c r="AA73" i="130"/>
  <c r="AB78" i="130"/>
  <c r="AB80" i="130"/>
  <c r="Z84" i="130"/>
  <c r="AY85" i="130"/>
  <c r="X86" i="130"/>
  <c r="AD86" i="130"/>
  <c r="AV86" i="130"/>
  <c r="W78" i="130"/>
  <c r="W80" i="130"/>
  <c r="V84" i="130"/>
  <c r="AA84" i="130"/>
  <c r="AW86" i="130"/>
  <c r="AC83" i="130"/>
  <c r="Y83" i="130"/>
  <c r="U83" i="130"/>
  <c r="Z83" i="130"/>
  <c r="BR85" i="130"/>
  <c r="AY86" i="130"/>
  <c r="BP86" i="130"/>
  <c r="AW85" i="130"/>
  <c r="AU86" i="130"/>
  <c r="U84" i="130"/>
  <c r="Y84" i="130"/>
  <c r="AC84" i="130"/>
  <c r="U85" i="130"/>
  <c r="Y85" i="130"/>
  <c r="AC85" i="130"/>
  <c r="AX85" i="130"/>
  <c r="BS86" i="130"/>
  <c r="U86" i="130"/>
  <c r="Y86" i="130"/>
  <c r="AC86" i="130"/>
  <c r="AX86" i="130"/>
  <c r="BT86" i="130"/>
  <c r="U87" i="130"/>
  <c r="Y87" i="130"/>
  <c r="AC87" i="130"/>
  <c r="AX87" i="130"/>
  <c r="V87" i="130"/>
  <c r="Z87" i="130"/>
  <c r="AD87" i="130"/>
  <c r="AY87" i="130"/>
  <c r="BP87" i="130"/>
  <c r="BT58" i="130"/>
  <c r="BP58" i="130"/>
  <c r="AY58" i="130"/>
  <c r="AU58" i="130"/>
  <c r="BT60" i="130"/>
  <c r="BP60" i="130"/>
  <c r="AY60" i="130"/>
  <c r="AU60" i="130"/>
  <c r="BQ60" i="130"/>
  <c r="AV57" i="130"/>
  <c r="BR57" i="130"/>
  <c r="BS58" i="130"/>
  <c r="AW58" i="130"/>
  <c r="BT59" i="130"/>
  <c r="BP59" i="130"/>
  <c r="AY59" i="130"/>
  <c r="AU59" i="130"/>
  <c r="BQ59" i="130"/>
  <c r="BS60" i="130"/>
  <c r="BR60" i="130"/>
  <c r="AV58" i="130"/>
  <c r="AW57" i="130"/>
  <c r="BQ58" i="130"/>
  <c r="AV60" i="130"/>
  <c r="AB67" i="130"/>
  <c r="X67" i="130"/>
  <c r="AA67" i="130"/>
  <c r="W67" i="130"/>
  <c r="AX67" i="130"/>
  <c r="Y67" i="130"/>
  <c r="BT67" i="130"/>
  <c r="AD67" i="130"/>
  <c r="V67" i="130"/>
  <c r="BS67" i="130"/>
  <c r="AC67" i="130"/>
  <c r="U67" i="130"/>
  <c r="Z67" i="130"/>
  <c r="AB71" i="130"/>
  <c r="X71" i="130"/>
  <c r="AA71" i="130"/>
  <c r="W71" i="130"/>
  <c r="Y71" i="130"/>
  <c r="AD71" i="130"/>
  <c r="V71" i="130"/>
  <c r="AC71" i="130"/>
  <c r="U71" i="130"/>
  <c r="Z71" i="130"/>
  <c r="AB64" i="130"/>
  <c r="X64" i="130"/>
  <c r="AA64" i="130"/>
  <c r="W64" i="130"/>
  <c r="Z64" i="130"/>
  <c r="AB68" i="130"/>
  <c r="X68" i="130"/>
  <c r="AA68" i="130"/>
  <c r="W68" i="130"/>
  <c r="Z68" i="130"/>
  <c r="AB72" i="130"/>
  <c r="X72" i="130"/>
  <c r="AA72" i="130"/>
  <c r="W72" i="130"/>
  <c r="Z72" i="130"/>
  <c r="U49" i="130"/>
  <c r="Y49" i="130"/>
  <c r="AC49" i="130"/>
  <c r="U50" i="130"/>
  <c r="Y50" i="130"/>
  <c r="AC50" i="130"/>
  <c r="U51" i="130"/>
  <c r="Y51" i="130"/>
  <c r="AC51" i="130"/>
  <c r="U52" i="130"/>
  <c r="Y52" i="130"/>
  <c r="AC52" i="130"/>
  <c r="U53" i="130"/>
  <c r="Y53" i="130"/>
  <c r="AC53" i="130"/>
  <c r="U54" i="130"/>
  <c r="Y54" i="130"/>
  <c r="AC54" i="130"/>
  <c r="U55" i="130"/>
  <c r="Y55" i="130"/>
  <c r="AC55" i="130"/>
  <c r="U56" i="130"/>
  <c r="Y56" i="130"/>
  <c r="AC56" i="130"/>
  <c r="U57" i="130"/>
  <c r="Y57" i="130"/>
  <c r="AC57" i="130"/>
  <c r="AX57" i="130"/>
  <c r="U58" i="130"/>
  <c r="Y58" i="130"/>
  <c r="AC58" i="130"/>
  <c r="AX58" i="130"/>
  <c r="U59" i="130"/>
  <c r="Y59" i="130"/>
  <c r="AC59" i="130"/>
  <c r="AX59" i="130"/>
  <c r="U60" i="130"/>
  <c r="Y60" i="130"/>
  <c r="AC60" i="130"/>
  <c r="AX60" i="130"/>
  <c r="U61" i="130"/>
  <c r="Y61" i="130"/>
  <c r="AC61" i="130"/>
  <c r="AA62" i="130"/>
  <c r="U62" i="130"/>
  <c r="Y62" i="130"/>
  <c r="AD62" i="130"/>
  <c r="U63" i="130"/>
  <c r="Z63" i="130"/>
  <c r="U64" i="130"/>
  <c r="AC64" i="130"/>
  <c r="AB65" i="130"/>
  <c r="X65" i="130"/>
  <c r="AA65" i="130"/>
  <c r="W65" i="130"/>
  <c r="Z65" i="130"/>
  <c r="Y66" i="130"/>
  <c r="U68" i="130"/>
  <c r="AC68" i="130"/>
  <c r="AB69" i="130"/>
  <c r="X69" i="130"/>
  <c r="AA69" i="130"/>
  <c r="W69" i="130"/>
  <c r="Z69" i="130"/>
  <c r="Y70" i="130"/>
  <c r="U72" i="130"/>
  <c r="AC72" i="130"/>
  <c r="AC73" i="130"/>
  <c r="Y73" i="130"/>
  <c r="U73" i="130"/>
  <c r="AB73" i="130"/>
  <c r="X73" i="130"/>
  <c r="W73" i="130"/>
  <c r="AD73" i="130"/>
  <c r="V73" i="130"/>
  <c r="AA63" i="130"/>
  <c r="W63" i="130"/>
  <c r="V63" i="130"/>
  <c r="AB63" i="130"/>
  <c r="V64" i="130"/>
  <c r="AD64" i="130"/>
  <c r="AB66" i="130"/>
  <c r="X66" i="130"/>
  <c r="AA66" i="130"/>
  <c r="W66" i="130"/>
  <c r="Z66" i="130"/>
  <c r="V68" i="130"/>
  <c r="AD68" i="130"/>
  <c r="AB70" i="130"/>
  <c r="X70" i="130"/>
  <c r="AA70" i="130"/>
  <c r="W70" i="130"/>
  <c r="Z70" i="130"/>
  <c r="V72" i="130"/>
  <c r="AD72" i="130"/>
  <c r="X74" i="130"/>
  <c r="AB74" i="130"/>
  <c r="X75" i="130"/>
  <c r="AB75" i="130"/>
  <c r="X76" i="130"/>
  <c r="AB76" i="130"/>
  <c r="U74" i="130"/>
  <c r="Y74" i="130"/>
  <c r="AC74" i="130"/>
  <c r="U75" i="130"/>
  <c r="Y75" i="130"/>
  <c r="AC75" i="130"/>
  <c r="U76" i="130"/>
  <c r="Y76" i="130"/>
  <c r="AC76" i="130"/>
  <c r="U77" i="130"/>
  <c r="Y77" i="130"/>
  <c r="AC77" i="130"/>
  <c r="U78" i="130"/>
  <c r="Y78" i="130"/>
  <c r="AC78" i="130"/>
  <c r="U79" i="130"/>
  <c r="Y79" i="130"/>
  <c r="AC79" i="130"/>
  <c r="U80" i="130"/>
  <c r="Y80" i="130"/>
  <c r="AC80" i="130"/>
  <c r="U81" i="130"/>
  <c r="Y81" i="130"/>
  <c r="AC81" i="130"/>
  <c r="U82" i="130"/>
  <c r="Y82" i="130"/>
  <c r="AC82" i="130"/>
  <c r="V77" i="130"/>
  <c r="Z77" i="130"/>
  <c r="AD77" i="130"/>
  <c r="V78" i="130"/>
  <c r="Z78" i="130"/>
  <c r="AD78" i="130"/>
  <c r="V79" i="130"/>
  <c r="Z79" i="130"/>
  <c r="AD79" i="130"/>
  <c r="V80" i="130"/>
  <c r="Z80" i="130"/>
  <c r="AD80" i="130"/>
  <c r="V81" i="130"/>
  <c r="Z81" i="130"/>
  <c r="AD81" i="130"/>
  <c r="V82" i="130"/>
  <c r="Z82" i="130"/>
  <c r="AD82" i="130"/>
  <c r="T19" i="133"/>
  <c r="U19" i="133"/>
  <c r="S19" i="133"/>
  <c r="B250" i="115"/>
  <c r="T55" i="126" l="1"/>
  <c r="U55" i="127"/>
  <c r="Q57" i="126"/>
  <c r="U57" i="126"/>
  <c r="T83" i="126"/>
  <c r="S57" i="126"/>
  <c r="S83" i="126"/>
  <c r="Q83" i="126"/>
  <c r="DW49" i="110"/>
  <c r="S55" i="126"/>
  <c r="T56" i="126"/>
  <c r="T85" i="127"/>
  <c r="S56" i="126"/>
  <c r="Q58" i="126"/>
  <c r="U55" i="126"/>
  <c r="Q56" i="126"/>
  <c r="S65" i="126"/>
  <c r="U65" i="126"/>
  <c r="T65" i="126"/>
  <c r="Q65" i="126"/>
  <c r="BB87" i="132"/>
  <c r="U58" i="126"/>
  <c r="Q85" i="127"/>
  <c r="DO83" i="127"/>
  <c r="AE83" i="127" s="1"/>
  <c r="AU87" i="130"/>
  <c r="BS87" i="130"/>
  <c r="BR87" i="130"/>
  <c r="AV85" i="130"/>
  <c r="BA85" i="131"/>
  <c r="AV85" i="131"/>
  <c r="BS87" i="132"/>
  <c r="BR87" i="132"/>
  <c r="AG87" i="132"/>
  <c r="S58" i="126"/>
  <c r="S85" i="127"/>
  <c r="S84" i="126"/>
  <c r="AY85" i="131"/>
  <c r="BS85" i="131"/>
  <c r="BT85" i="131"/>
  <c r="AY87" i="132"/>
  <c r="AX87" i="132"/>
  <c r="S55" i="127"/>
  <c r="DS49" i="110"/>
  <c r="DR49" i="110"/>
  <c r="DO49" i="110"/>
  <c r="DQ49" i="110"/>
  <c r="DN49" i="110"/>
  <c r="DP49" i="110"/>
  <c r="DV49" i="110"/>
  <c r="DT49" i="110"/>
  <c r="T85" i="126"/>
  <c r="U85" i="126"/>
  <c r="S85" i="126"/>
  <c r="U84" i="127"/>
  <c r="T84" i="127"/>
  <c r="R60" i="132"/>
  <c r="R57" i="132"/>
  <c r="Q84" i="127"/>
  <c r="U84" i="126"/>
  <c r="T84" i="126"/>
  <c r="R59" i="130"/>
  <c r="R58" i="130"/>
  <c r="R57" i="130"/>
  <c r="R87" i="131"/>
  <c r="R86" i="131"/>
  <c r="R85" i="131"/>
  <c r="BU84" i="127"/>
  <c r="BT84" i="127"/>
  <c r="AH84" i="127"/>
  <c r="BS84" i="127"/>
  <c r="AG84" i="127"/>
  <c r="AZ84" i="127"/>
  <c r="AX84" i="127"/>
  <c r="BB84" i="127"/>
  <c r="AY84" i="127"/>
  <c r="BC84" i="127"/>
  <c r="AY83" i="127"/>
  <c r="BB83" i="127"/>
  <c r="AX83" i="127"/>
  <c r="BS83" i="127"/>
  <c r="AG83" i="127"/>
  <c r="AH83" i="127"/>
  <c r="BT83" i="127"/>
  <c r="BU83" i="127"/>
  <c r="AZ83" i="127"/>
  <c r="BC83" i="127"/>
  <c r="BU85" i="126"/>
  <c r="BT85" i="126"/>
  <c r="BS85" i="126"/>
  <c r="AZ85" i="126"/>
  <c r="BB85" i="126"/>
  <c r="AX85" i="126"/>
  <c r="AY85" i="126"/>
  <c r="BR85" i="126"/>
  <c r="AG85" i="126"/>
  <c r="AW85" i="126"/>
  <c r="BT85" i="130"/>
  <c r="AU85" i="130"/>
  <c r="BQ85" i="130"/>
  <c r="BT84" i="126"/>
  <c r="AX84" i="126"/>
  <c r="BB84" i="126"/>
  <c r="AW84" i="126"/>
  <c r="AG84" i="126"/>
  <c r="AY84" i="126"/>
  <c r="BU84" i="126"/>
  <c r="BR84" i="126"/>
  <c r="BS84" i="126"/>
  <c r="AZ84" i="126"/>
  <c r="AZ83" i="126"/>
  <c r="AX83" i="126"/>
  <c r="AG83" i="126"/>
  <c r="BR83" i="126"/>
  <c r="BU83" i="126"/>
  <c r="BS83" i="126"/>
  <c r="AW83" i="126"/>
  <c r="BB83" i="126"/>
  <c r="AY83" i="126"/>
  <c r="BT83" i="126"/>
  <c r="AZ85" i="127"/>
  <c r="BU85" i="127"/>
  <c r="AH85" i="127"/>
  <c r="AG85" i="127"/>
  <c r="BC85" i="127"/>
  <c r="BT85" i="127"/>
  <c r="AY85" i="127"/>
  <c r="BB85" i="127"/>
  <c r="BS85" i="127"/>
  <c r="AX85" i="127"/>
  <c r="DS79" i="110"/>
  <c r="AW57" i="110"/>
  <c r="DU53" i="110"/>
  <c r="DQ68" i="110"/>
  <c r="DN81" i="110"/>
  <c r="DV53" i="110"/>
  <c r="BU57" i="110"/>
  <c r="DR53" i="110"/>
  <c r="BS57" i="110"/>
  <c r="DU79" i="110"/>
  <c r="DR79" i="110"/>
  <c r="DO64" i="110"/>
  <c r="BT57" i="110"/>
  <c r="DR59" i="110"/>
  <c r="DN53" i="110"/>
  <c r="DO53" i="110"/>
  <c r="DN69" i="110"/>
  <c r="DV68" i="110"/>
  <c r="AV57" i="110"/>
  <c r="DQ53" i="110"/>
  <c r="DQ69" i="110"/>
  <c r="BU83" i="110"/>
  <c r="BU84" i="110"/>
  <c r="DS76" i="110"/>
  <c r="DO69" i="110"/>
  <c r="DT59" i="110"/>
  <c r="DS81" i="110"/>
  <c r="DN79" i="110"/>
  <c r="DT79" i="110"/>
  <c r="DT68" i="110"/>
  <c r="DS68" i="110"/>
  <c r="BS84" i="110"/>
  <c r="BT84" i="110"/>
  <c r="DO84" i="110"/>
  <c r="AV84" i="110"/>
  <c r="DU59" i="110"/>
  <c r="DS53" i="110"/>
  <c r="DS84" i="110"/>
  <c r="AZ84" i="110"/>
  <c r="DP84" i="110"/>
  <c r="BR84" i="110"/>
  <c r="DS69" i="110"/>
  <c r="DN59" i="110"/>
  <c r="AX84" i="110"/>
  <c r="DR84" i="110"/>
  <c r="AY84" i="110"/>
  <c r="DW84" i="110"/>
  <c r="BQ84" i="110"/>
  <c r="DT84" i="110"/>
  <c r="DO59" i="110"/>
  <c r="DV81" i="110"/>
  <c r="DW81" i="110"/>
  <c r="AE58" i="127"/>
  <c r="DQ81" i="110"/>
  <c r="DT81" i="110"/>
  <c r="DQ79" i="110"/>
  <c r="DV79" i="110"/>
  <c r="DV69" i="110"/>
  <c r="DP59" i="110"/>
  <c r="DP69" i="110"/>
  <c r="DV59" i="110"/>
  <c r="AE65" i="127"/>
  <c r="AE57" i="127"/>
  <c r="DO81" i="110"/>
  <c r="DW79" i="110"/>
  <c r="DO79" i="110"/>
  <c r="DR69" i="110"/>
  <c r="DW59" i="110"/>
  <c r="DQ59" i="110"/>
  <c r="DU69" i="110"/>
  <c r="DT69" i="110"/>
  <c r="AE56" i="127"/>
  <c r="DU68" i="110"/>
  <c r="DW68" i="110"/>
  <c r="BQ57" i="110"/>
  <c r="AZ57" i="110"/>
  <c r="AY57" i="110"/>
  <c r="DN68" i="110"/>
  <c r="DO68" i="110"/>
  <c r="DP68" i="110"/>
  <c r="BR57" i="110"/>
  <c r="AX57" i="110"/>
  <c r="DW76" i="110"/>
  <c r="DP76" i="110"/>
  <c r="DV76" i="110"/>
  <c r="DQ76" i="110"/>
  <c r="DT76" i="110"/>
  <c r="DT64" i="110"/>
  <c r="DW64" i="110"/>
  <c r="DP64" i="110"/>
  <c r="DR76" i="110"/>
  <c r="DU76" i="110"/>
  <c r="DO76" i="110"/>
  <c r="DW73" i="110"/>
  <c r="DN64" i="110"/>
  <c r="DR73" i="110"/>
  <c r="DP73" i="110"/>
  <c r="DQ73" i="110"/>
  <c r="DR64" i="110"/>
  <c r="DS64" i="110"/>
  <c r="BQ83" i="110"/>
  <c r="DO73" i="110"/>
  <c r="DU73" i="110"/>
  <c r="AZ83" i="110"/>
  <c r="DV84" i="110"/>
  <c r="DU84" i="110"/>
  <c r="AW84" i="110"/>
  <c r="DQ84" i="110"/>
  <c r="DN84" i="110"/>
  <c r="DN76" i="110"/>
  <c r="AE83" i="110"/>
  <c r="BS83" i="110"/>
  <c r="AX83" i="110"/>
  <c r="AW83" i="110"/>
  <c r="DW85" i="110"/>
  <c r="DS85" i="110"/>
  <c r="DO85" i="110"/>
  <c r="BT85" i="110"/>
  <c r="AY85" i="110"/>
  <c r="DV85" i="110"/>
  <c r="DR85" i="110"/>
  <c r="DN85" i="110"/>
  <c r="BS85" i="110"/>
  <c r="AX85" i="110"/>
  <c r="DU85" i="110"/>
  <c r="DT85" i="110"/>
  <c r="BU85" i="110"/>
  <c r="AV85" i="110"/>
  <c r="DQ85" i="110"/>
  <c r="BR85" i="110"/>
  <c r="DP85" i="110"/>
  <c r="BQ85" i="110"/>
  <c r="AZ85" i="110"/>
  <c r="AW85" i="110"/>
  <c r="BT83" i="110"/>
  <c r="AV83" i="110"/>
  <c r="BR83" i="110"/>
  <c r="AY83" i="110"/>
  <c r="DO65" i="110"/>
  <c r="AY65" i="110"/>
  <c r="DN65" i="110"/>
  <c r="DV65" i="110"/>
  <c r="AZ65" i="110"/>
  <c r="DW65" i="110"/>
  <c r="DT65" i="110"/>
  <c r="DQ65" i="110"/>
  <c r="BU65" i="110"/>
  <c r="DU65" i="110"/>
  <c r="DP65" i="110"/>
  <c r="DS65" i="110"/>
  <c r="BT65" i="110"/>
  <c r="DR65" i="110"/>
  <c r="DU81" i="110"/>
  <c r="DR81" i="110"/>
  <c r="DT73" i="110"/>
  <c r="DN73" i="110"/>
  <c r="DV73" i="110"/>
  <c r="DU64" i="110"/>
  <c r="DQ64" i="110"/>
  <c r="DP53" i="110"/>
  <c r="DT53" i="110"/>
  <c r="DV72" i="110"/>
  <c r="DR72" i="110"/>
  <c r="DN72" i="110"/>
  <c r="DT72" i="110"/>
  <c r="DP72" i="110"/>
  <c r="DW72" i="110"/>
  <c r="DO72" i="110"/>
  <c r="DU72" i="110"/>
  <c r="DS72" i="110"/>
  <c r="DQ72" i="110"/>
  <c r="DT56" i="110"/>
  <c r="DP56" i="110"/>
  <c r="BU56" i="110"/>
  <c r="BQ56" i="110"/>
  <c r="AZ56" i="110"/>
  <c r="AV56" i="110"/>
  <c r="DV56" i="110"/>
  <c r="DQ56" i="110"/>
  <c r="BR56" i="110"/>
  <c r="DR56" i="110"/>
  <c r="DU56" i="110"/>
  <c r="DN56" i="110"/>
  <c r="BT56" i="110"/>
  <c r="AX56" i="110"/>
  <c r="BS56" i="110"/>
  <c r="DW56" i="110"/>
  <c r="AY56" i="110"/>
  <c r="DS56" i="110"/>
  <c r="AW56" i="110"/>
  <c r="DO56" i="110"/>
  <c r="DT60" i="110"/>
  <c r="DP60" i="110"/>
  <c r="DV60" i="110"/>
  <c r="DQ60" i="110"/>
  <c r="DS60" i="110"/>
  <c r="DN60" i="110"/>
  <c r="DW60" i="110"/>
  <c r="DR60" i="110"/>
  <c r="DU60" i="110"/>
  <c r="DO60" i="110"/>
  <c r="DT48" i="110"/>
  <c r="DP48" i="110"/>
  <c r="DV48" i="110"/>
  <c r="DQ48" i="110"/>
  <c r="DO48" i="110"/>
  <c r="DS48" i="110"/>
  <c r="DN48" i="110"/>
  <c r="DW48" i="110"/>
  <c r="DR48" i="110"/>
  <c r="DU48" i="110"/>
  <c r="DU80" i="110"/>
  <c r="DQ80" i="110"/>
  <c r="DT80" i="110"/>
  <c r="DP80" i="110"/>
  <c r="DS80" i="110"/>
  <c r="DR80" i="110"/>
  <c r="DW80" i="110"/>
  <c r="DV80" i="110"/>
  <c r="DO80" i="110"/>
  <c r="DN80" i="110"/>
  <c r="DT75" i="110"/>
  <c r="DP75" i="110"/>
  <c r="DV75" i="110"/>
  <c r="DQ75" i="110"/>
  <c r="DR75" i="110"/>
  <c r="DU75" i="110"/>
  <c r="DN75" i="110"/>
  <c r="DW75" i="110"/>
  <c r="DS75" i="110"/>
  <c r="DO75" i="110"/>
  <c r="DV58" i="110"/>
  <c r="DR58" i="110"/>
  <c r="DN58" i="110"/>
  <c r="BS58" i="110"/>
  <c r="AX58" i="110"/>
  <c r="DS58" i="110"/>
  <c r="BT58" i="110"/>
  <c r="AW58" i="110"/>
  <c r="DU58" i="110"/>
  <c r="DP58" i="110"/>
  <c r="BQ58" i="110"/>
  <c r="AZ58" i="110"/>
  <c r="DW58" i="110"/>
  <c r="BR58" i="110"/>
  <c r="AV58" i="110"/>
  <c r="DQ58" i="110"/>
  <c r="DT58" i="110"/>
  <c r="DO58" i="110"/>
  <c r="BU58" i="110"/>
  <c r="AY58" i="110"/>
  <c r="AZ55" i="110"/>
  <c r="DV50" i="110"/>
  <c r="DR50" i="110"/>
  <c r="DN50" i="110"/>
  <c r="DS50" i="110"/>
  <c r="DW50" i="110"/>
  <c r="DQ50" i="110"/>
  <c r="DU50" i="110"/>
  <c r="DP50" i="110"/>
  <c r="DT50" i="110"/>
  <c r="DO50" i="110"/>
  <c r="DW77" i="110"/>
  <c r="DS77" i="110"/>
  <c r="DO77" i="110"/>
  <c r="DV77" i="110"/>
  <c r="DR77" i="110"/>
  <c r="DN77" i="110"/>
  <c r="DQ77" i="110"/>
  <c r="DU77" i="110"/>
  <c r="DP77" i="110"/>
  <c r="DT77" i="110"/>
  <c r="DV62" i="110"/>
  <c r="DR62" i="110"/>
  <c r="DN62" i="110"/>
  <c r="DU62" i="110"/>
  <c r="DQ62" i="110"/>
  <c r="DS62" i="110"/>
  <c r="DT62" i="110"/>
  <c r="DO62" i="110"/>
  <c r="DP62" i="110"/>
  <c r="DW62" i="110"/>
  <c r="AW55" i="110"/>
  <c r="DV54" i="110"/>
  <c r="DR54" i="110"/>
  <c r="DN54" i="110"/>
  <c r="DS54" i="110"/>
  <c r="DU54" i="110"/>
  <c r="DP54" i="110"/>
  <c r="DO54" i="110"/>
  <c r="DW54" i="110"/>
  <c r="DT54" i="110"/>
  <c r="DQ54" i="110"/>
  <c r="DU63" i="110"/>
  <c r="DQ63" i="110"/>
  <c r="DT63" i="110"/>
  <c r="DP63" i="110"/>
  <c r="DR63" i="110"/>
  <c r="DV63" i="110"/>
  <c r="DO63" i="110"/>
  <c r="DW63" i="110"/>
  <c r="DN63" i="110"/>
  <c r="DS63" i="110"/>
  <c r="BT55" i="110"/>
  <c r="AX55" i="110"/>
  <c r="BQ55" i="110"/>
  <c r="DU47" i="110"/>
  <c r="DQ47" i="110"/>
  <c r="DW47" i="110"/>
  <c r="DR47" i="110"/>
  <c r="DV47" i="110"/>
  <c r="DP47" i="110"/>
  <c r="DT47" i="110"/>
  <c r="DO47" i="110"/>
  <c r="DS47" i="110"/>
  <c r="DN47" i="110"/>
  <c r="AE57" i="110"/>
  <c r="DW82" i="110"/>
  <c r="DS82" i="110"/>
  <c r="DO82" i="110"/>
  <c r="DV82" i="110"/>
  <c r="DR82" i="110"/>
  <c r="DN82" i="110"/>
  <c r="DU82" i="110"/>
  <c r="DT82" i="110"/>
  <c r="DQ82" i="110"/>
  <c r="DP82" i="110"/>
  <c r="DV66" i="110"/>
  <c r="DR66" i="110"/>
  <c r="DN66" i="110"/>
  <c r="DU66" i="110"/>
  <c r="DQ66" i="110"/>
  <c r="DP66" i="110"/>
  <c r="DS66" i="110"/>
  <c r="DW66" i="110"/>
  <c r="DO66" i="110"/>
  <c r="DT66" i="110"/>
  <c r="DU78" i="110"/>
  <c r="DQ78" i="110"/>
  <c r="DV78" i="110"/>
  <c r="DP78" i="110"/>
  <c r="DT78" i="110"/>
  <c r="DO78" i="110"/>
  <c r="DN78" i="110"/>
  <c r="DS78" i="110"/>
  <c r="DW78" i="110"/>
  <c r="DR78" i="110"/>
  <c r="DT70" i="110"/>
  <c r="DP70" i="110"/>
  <c r="DV70" i="110"/>
  <c r="DU70" i="110"/>
  <c r="DO70" i="110"/>
  <c r="DS70" i="110"/>
  <c r="DN70" i="110"/>
  <c r="DW70" i="110"/>
  <c r="DQ70" i="110"/>
  <c r="DR70" i="110"/>
  <c r="AE55" i="110"/>
  <c r="AY55" i="110"/>
  <c r="BU55" i="110"/>
  <c r="AV55" i="110"/>
  <c r="BS55" i="110"/>
  <c r="BR55" i="110"/>
  <c r="DV52" i="110"/>
  <c r="DR52" i="110"/>
  <c r="DN52" i="110"/>
  <c r="DT52" i="110"/>
  <c r="DP52" i="110"/>
  <c r="DS52" i="110"/>
  <c r="DQ52" i="110"/>
  <c r="DW52" i="110"/>
  <c r="DO52" i="110"/>
  <c r="DU52" i="110"/>
  <c r="R67" i="132"/>
  <c r="R86" i="132"/>
  <c r="R59" i="132"/>
  <c r="R87" i="132"/>
  <c r="R85" i="132"/>
  <c r="R58" i="132"/>
  <c r="R60" i="131"/>
  <c r="R59" i="131"/>
  <c r="R58" i="131"/>
  <c r="R57" i="131"/>
  <c r="R67" i="131"/>
  <c r="R67" i="130"/>
  <c r="R85" i="130"/>
  <c r="R60" i="130"/>
  <c r="R86" i="130"/>
  <c r="R87" i="130"/>
  <c r="B46" i="125"/>
  <c r="B33" i="125"/>
  <c r="B20" i="125"/>
  <c r="S83" i="127" l="1"/>
  <c r="U83" i="127"/>
  <c r="T83" i="127"/>
  <c r="Q83" i="127"/>
  <c r="T58" i="127"/>
  <c r="Q58" i="127"/>
  <c r="S58" i="127"/>
  <c r="U58" i="127"/>
  <c r="U56" i="127"/>
  <c r="S56" i="127"/>
  <c r="T56" i="127"/>
  <c r="Q56" i="127"/>
  <c r="AP55" i="133" s="1"/>
  <c r="Q57" i="127"/>
  <c r="S57" i="127"/>
  <c r="T57" i="127"/>
  <c r="U57" i="127"/>
  <c r="Q65" i="127"/>
  <c r="S65" i="127"/>
  <c r="T65" i="127"/>
  <c r="U65" i="127"/>
  <c r="AO57" i="133"/>
  <c r="AO54" i="133"/>
  <c r="AE84" i="110"/>
  <c r="AP83" i="133"/>
  <c r="AO55" i="133"/>
  <c r="AO84" i="133"/>
  <c r="AO82" i="133"/>
  <c r="AE85" i="110"/>
  <c r="AE65" i="110"/>
  <c r="T55" i="110"/>
  <c r="Q55" i="110"/>
  <c r="AN54" i="133" s="1"/>
  <c r="U55" i="110"/>
  <c r="S55" i="110"/>
  <c r="U57" i="110"/>
  <c r="Q57" i="110"/>
  <c r="AN56" i="133" s="1"/>
  <c r="T57" i="110"/>
  <c r="S57" i="110"/>
  <c r="AE58" i="110"/>
  <c r="AE56" i="110"/>
  <c r="AD33" i="110"/>
  <c r="C33" i="110"/>
  <c r="B33" i="110"/>
  <c r="Y32" i="133"/>
  <c r="X32" i="133"/>
  <c r="W32" i="133"/>
  <c r="AP84" i="133" l="1"/>
  <c r="AP64" i="133"/>
  <c r="AP82" i="133"/>
  <c r="AP54" i="133"/>
  <c r="AP57" i="133"/>
  <c r="AP56" i="133"/>
  <c r="AO83" i="133"/>
  <c r="AO64" i="133"/>
  <c r="AO56" i="133"/>
  <c r="Q65" i="110"/>
  <c r="AN64" i="133" s="1"/>
  <c r="T65" i="110"/>
  <c r="S65" i="110"/>
  <c r="U65" i="110"/>
  <c r="T56" i="110"/>
  <c r="U56" i="110"/>
  <c r="Q56" i="110"/>
  <c r="AN55" i="133" s="1"/>
  <c r="S56" i="110"/>
  <c r="T58" i="110"/>
  <c r="U58" i="110"/>
  <c r="S58" i="110"/>
  <c r="Q58" i="110"/>
  <c r="AN57" i="133" s="1"/>
  <c r="DM33" i="110"/>
  <c r="DW33" i="110" l="1"/>
  <c r="DS33" i="110"/>
  <c r="DO33" i="110"/>
  <c r="BT33" i="110"/>
  <c r="BP33" i="110"/>
  <c r="BL33" i="110"/>
  <c r="BH33" i="110"/>
  <c r="AY33" i="110"/>
  <c r="AU33" i="110"/>
  <c r="AQ33" i="110"/>
  <c r="AM33" i="110"/>
  <c r="BJ33" i="110"/>
  <c r="AW33" i="110"/>
  <c r="AO33" i="110"/>
  <c r="DV33" i="110"/>
  <c r="DR33" i="110"/>
  <c r="DN33" i="110"/>
  <c r="BS33" i="110"/>
  <c r="BO33" i="110"/>
  <c r="BK33" i="110"/>
  <c r="BG33" i="110"/>
  <c r="AX33" i="110"/>
  <c r="AT33" i="110"/>
  <c r="AP33" i="110"/>
  <c r="AL33" i="110"/>
  <c r="DU33" i="110"/>
  <c r="DQ33" i="110"/>
  <c r="BR33" i="110"/>
  <c r="BN33" i="110"/>
  <c r="AS33" i="110"/>
  <c r="DT33" i="110"/>
  <c r="DP33" i="110"/>
  <c r="BU33" i="110"/>
  <c r="BQ33" i="110"/>
  <c r="BM33" i="110"/>
  <c r="BI33" i="110"/>
  <c r="AZ33" i="110"/>
  <c r="AV33" i="110"/>
  <c r="AR33" i="110"/>
  <c r="AN33" i="110"/>
  <c r="AE33" i="110" l="1"/>
  <c r="U33" i="110" s="1"/>
  <c r="T33" i="110" l="1"/>
  <c r="N20" i="110" l="1"/>
  <c r="AD20" i="110" s="1"/>
  <c r="Y19" i="133"/>
  <c r="N20" i="127" s="1"/>
  <c r="AD20" i="127" s="1"/>
  <c r="X19" i="133"/>
  <c r="N20" i="126" s="1"/>
  <c r="AD20" i="126" s="1"/>
  <c r="AC20" i="110"/>
  <c r="C20" i="110"/>
  <c r="B20" i="110"/>
  <c r="L45" i="130"/>
  <c r="G45" i="130"/>
  <c r="D45" i="130"/>
  <c r="AA45" i="130" s="1"/>
  <c r="B45" i="130"/>
  <c r="L45" i="131"/>
  <c r="G45" i="131"/>
  <c r="D45" i="131"/>
  <c r="Z45" i="131" s="1"/>
  <c r="B45" i="131"/>
  <c r="L44" i="131"/>
  <c r="G44" i="131"/>
  <c r="D44" i="131"/>
  <c r="AA44" i="131" s="1"/>
  <c r="B44" i="131"/>
  <c r="L45" i="132"/>
  <c r="G45" i="132"/>
  <c r="D45" i="132"/>
  <c r="AA45" i="132" s="1"/>
  <c r="B45" i="132"/>
  <c r="J45" i="118"/>
  <c r="P19" i="133" s="1"/>
  <c r="L20" i="126" s="1"/>
  <c r="DN20" i="126" s="1"/>
  <c r="AE20" i="126" s="1"/>
  <c r="C45" i="118"/>
  <c r="B253" i="115"/>
  <c r="B258" i="115"/>
  <c r="F45" i="118" s="1"/>
  <c r="G19" i="133" s="1"/>
  <c r="G20" i="110" l="1"/>
  <c r="D60" i="138"/>
  <c r="E60" i="138" s="1"/>
  <c r="C45" i="130"/>
  <c r="BQ45" i="130" s="1"/>
  <c r="D20" i="126"/>
  <c r="D20" i="127"/>
  <c r="AD45" i="131"/>
  <c r="AC44" i="131"/>
  <c r="C45" i="132"/>
  <c r="BA45" i="132" s="1"/>
  <c r="W44" i="131"/>
  <c r="Y44" i="131"/>
  <c r="X45" i="131"/>
  <c r="W45" i="132"/>
  <c r="T44" i="131"/>
  <c r="X44" i="131"/>
  <c r="AB44" i="131"/>
  <c r="F45" i="131"/>
  <c r="K45" i="131"/>
  <c r="U45" i="131" s="1"/>
  <c r="W45" i="131"/>
  <c r="AB45" i="131"/>
  <c r="H19" i="133"/>
  <c r="G20" i="126" s="1"/>
  <c r="I19" i="133"/>
  <c r="G20" i="127" s="1"/>
  <c r="V44" i="131"/>
  <c r="Z44" i="131"/>
  <c r="AD44" i="131"/>
  <c r="C45" i="131"/>
  <c r="BT45" i="131" s="1"/>
  <c r="T45" i="131"/>
  <c r="W45" i="130"/>
  <c r="BS45" i="130"/>
  <c r="F45" i="130"/>
  <c r="F45" i="132"/>
  <c r="V45" i="131"/>
  <c r="AA45" i="131"/>
  <c r="H20" i="110"/>
  <c r="M20" i="110"/>
  <c r="D20" i="110"/>
  <c r="Q19" i="133"/>
  <c r="L20" i="127" s="1"/>
  <c r="K45" i="130"/>
  <c r="T45" i="130" s="1"/>
  <c r="K45" i="132"/>
  <c r="V45" i="132" s="1"/>
  <c r="O19" i="133"/>
  <c r="L20" i="110" s="1"/>
  <c r="DM20" i="110" s="1"/>
  <c r="E20" i="110"/>
  <c r="X45" i="130"/>
  <c r="AB45" i="130"/>
  <c r="AW45" i="130"/>
  <c r="U45" i="130"/>
  <c r="Y45" i="130"/>
  <c r="AC45" i="130"/>
  <c r="AX45" i="130"/>
  <c r="V45" i="130"/>
  <c r="Z45" i="130"/>
  <c r="AD45" i="130"/>
  <c r="AU45" i="130"/>
  <c r="Y45" i="131"/>
  <c r="AC45" i="131"/>
  <c r="T45" i="132"/>
  <c r="X45" i="132"/>
  <c r="AB45" i="132"/>
  <c r="U45" i="132"/>
  <c r="Y45" i="132"/>
  <c r="AC45" i="132"/>
  <c r="Z45" i="132"/>
  <c r="AD45" i="132"/>
  <c r="B252" i="115"/>
  <c r="B257" i="115" s="1"/>
  <c r="H45" i="118" s="1"/>
  <c r="L19" i="133" s="1"/>
  <c r="T88" i="133"/>
  <c r="U88" i="133"/>
  <c r="S88" i="133"/>
  <c r="T46" i="133"/>
  <c r="U46" i="133"/>
  <c r="S46" i="133"/>
  <c r="T47" i="133"/>
  <c r="U47" i="133"/>
  <c r="S47" i="133"/>
  <c r="T17" i="133"/>
  <c r="U17" i="133"/>
  <c r="S17" i="133"/>
  <c r="T16" i="133"/>
  <c r="U16" i="133"/>
  <c r="S16" i="133"/>
  <c r="T21" i="133"/>
  <c r="U21" i="133"/>
  <c r="S21" i="133"/>
  <c r="T20" i="133"/>
  <c r="U20" i="133"/>
  <c r="S20" i="133"/>
  <c r="N9" i="107"/>
  <c r="N8" i="107"/>
  <c r="N7" i="107"/>
  <c r="N6" i="107"/>
  <c r="K43" i="118"/>
  <c r="J43" i="118"/>
  <c r="B228" i="115"/>
  <c r="B387" i="115"/>
  <c r="BP45" i="130" l="1"/>
  <c r="AV45" i="130"/>
  <c r="AY45" i="130"/>
  <c r="BT45" i="130"/>
  <c r="BR45" i="130"/>
  <c r="M22" i="127"/>
  <c r="M22" i="126"/>
  <c r="M22" i="110"/>
  <c r="BT20" i="127"/>
  <c r="AG20" i="127"/>
  <c r="AX20" i="127"/>
  <c r="BU20" i="127"/>
  <c r="BS20" i="127"/>
  <c r="AY20" i="127"/>
  <c r="BB20" i="127"/>
  <c r="AH20" i="127"/>
  <c r="BC20" i="127"/>
  <c r="AZ20" i="127"/>
  <c r="BR20" i="126"/>
  <c r="AW20" i="126"/>
  <c r="AY20" i="126"/>
  <c r="AZ20" i="126"/>
  <c r="BU20" i="126"/>
  <c r="BB20" i="126"/>
  <c r="AG20" i="126"/>
  <c r="BT20" i="126"/>
  <c r="BS20" i="126"/>
  <c r="AX20" i="126"/>
  <c r="DN20" i="127"/>
  <c r="DO20" i="127"/>
  <c r="BQ45" i="131"/>
  <c r="M19" i="133"/>
  <c r="K19" i="133"/>
  <c r="D73" i="138" s="1"/>
  <c r="E73" i="138" s="1"/>
  <c r="BS45" i="132"/>
  <c r="AX45" i="131"/>
  <c r="AY45" i="132"/>
  <c r="AX45" i="132"/>
  <c r="BR45" i="132"/>
  <c r="BB45" i="132"/>
  <c r="AW45" i="131"/>
  <c r="BA45" i="131"/>
  <c r="AF45" i="132"/>
  <c r="AW45" i="132"/>
  <c r="AG45" i="132"/>
  <c r="AV45" i="131"/>
  <c r="AF45" i="131"/>
  <c r="BT45" i="132"/>
  <c r="AY45" i="131"/>
  <c r="BR45" i="131"/>
  <c r="BS45" i="131"/>
  <c r="R45" i="131"/>
  <c r="R45" i="130"/>
  <c r="DW20" i="110"/>
  <c r="DS20" i="110"/>
  <c r="DO20" i="110"/>
  <c r="BT20" i="110"/>
  <c r="AY20" i="110"/>
  <c r="DQ20" i="110"/>
  <c r="BR20" i="110"/>
  <c r="AW20" i="110"/>
  <c r="DV20" i="110"/>
  <c r="DR20" i="110"/>
  <c r="DN20" i="110"/>
  <c r="BS20" i="110"/>
  <c r="AX20" i="110"/>
  <c r="DU20" i="110"/>
  <c r="DT20" i="110"/>
  <c r="DP20" i="110"/>
  <c r="BU20" i="110"/>
  <c r="BQ20" i="110"/>
  <c r="AZ20" i="110"/>
  <c r="AV20" i="110"/>
  <c r="R45" i="132"/>
  <c r="C6" i="133"/>
  <c r="D6" i="133"/>
  <c r="E6" i="133"/>
  <c r="X7" i="133"/>
  <c r="N8" i="126" s="1"/>
  <c r="AD8" i="126" s="1"/>
  <c r="Y7" i="133"/>
  <c r="N8" i="127" s="1"/>
  <c r="AD8" i="127" s="1"/>
  <c r="X8" i="133"/>
  <c r="N9" i="126" s="1"/>
  <c r="AD9" i="126" s="1"/>
  <c r="Y8" i="133"/>
  <c r="N9" i="127" s="1"/>
  <c r="AD9" i="127" s="1"/>
  <c r="X9" i="133"/>
  <c r="N10" i="126" s="1"/>
  <c r="AD10" i="126" s="1"/>
  <c r="Y9" i="133"/>
  <c r="N10" i="127" s="1"/>
  <c r="AD10" i="127" s="1"/>
  <c r="X10" i="133"/>
  <c r="N11" i="126" s="1"/>
  <c r="AD11" i="126" s="1"/>
  <c r="Y10" i="133"/>
  <c r="N11" i="127" s="1"/>
  <c r="AD11" i="127" s="1"/>
  <c r="G11" i="133"/>
  <c r="G12" i="110" s="1"/>
  <c r="H11" i="133"/>
  <c r="G12" i="126" s="1"/>
  <c r="I11" i="133"/>
  <c r="G12" i="127" s="1"/>
  <c r="O11" i="133"/>
  <c r="S11" i="133" s="1"/>
  <c r="W11" i="133" s="1"/>
  <c r="P11" i="133"/>
  <c r="Q11" i="133"/>
  <c r="C12" i="133"/>
  <c r="D12" i="133"/>
  <c r="C13" i="126" s="1"/>
  <c r="E12" i="133"/>
  <c r="C13" i="127" s="1"/>
  <c r="O13" i="133"/>
  <c r="P13" i="133"/>
  <c r="L14" i="126" s="1"/>
  <c r="DN14" i="126" s="1"/>
  <c r="Q13" i="133"/>
  <c r="L14" i="127" s="1"/>
  <c r="X13" i="133"/>
  <c r="N14" i="126" s="1"/>
  <c r="AD14" i="126" s="1"/>
  <c r="Y13" i="133"/>
  <c r="N14" i="127" s="1"/>
  <c r="AD14" i="127" s="1"/>
  <c r="O14" i="133"/>
  <c r="P14" i="133"/>
  <c r="L15" i="126" s="1"/>
  <c r="DN15" i="126" s="1"/>
  <c r="AE15" i="126" s="1"/>
  <c r="Q14" i="133"/>
  <c r="L15" i="127" s="1"/>
  <c r="DO15" i="127" s="1"/>
  <c r="AE15" i="127" s="1"/>
  <c r="W14" i="133"/>
  <c r="X14" i="133"/>
  <c r="N15" i="126" s="1"/>
  <c r="AD15" i="126" s="1"/>
  <c r="Y14" i="133"/>
  <c r="N15" i="127" s="1"/>
  <c r="AD15" i="127" s="1"/>
  <c r="X16" i="133"/>
  <c r="N17" i="126" s="1"/>
  <c r="AD17" i="126" s="1"/>
  <c r="Y16" i="133"/>
  <c r="N17" i="127" s="1"/>
  <c r="AD17" i="127" s="1"/>
  <c r="X17" i="133"/>
  <c r="N18" i="126" s="1"/>
  <c r="AD18" i="126" s="1"/>
  <c r="Y17" i="133"/>
  <c r="N18" i="127" s="1"/>
  <c r="AD18" i="127" s="1"/>
  <c r="S18" i="133"/>
  <c r="T18" i="133"/>
  <c r="X18" i="133" s="1"/>
  <c r="N19" i="126" s="1"/>
  <c r="AD19" i="126" s="1"/>
  <c r="U18" i="133"/>
  <c r="Y18" i="133" s="1"/>
  <c r="N19" i="127" s="1"/>
  <c r="AD19" i="127" s="1"/>
  <c r="N21" i="110"/>
  <c r="AD21" i="110" s="1"/>
  <c r="X20" i="133"/>
  <c r="N21" i="126" s="1"/>
  <c r="AD21" i="126" s="1"/>
  <c r="Y20" i="133"/>
  <c r="N21" i="127" s="1"/>
  <c r="AD21" i="127" s="1"/>
  <c r="O21" i="133"/>
  <c r="L22" i="110" s="1"/>
  <c r="DM22" i="110" s="1"/>
  <c r="P21" i="133"/>
  <c r="L22" i="126" s="1"/>
  <c r="DN22" i="126" s="1"/>
  <c r="Q21" i="133"/>
  <c r="L22" i="127" s="1"/>
  <c r="DO22" i="127" s="1"/>
  <c r="X21" i="133"/>
  <c r="N22" i="126" s="1"/>
  <c r="AD22" i="126" s="1"/>
  <c r="Y21" i="133"/>
  <c r="N22" i="127" s="1"/>
  <c r="AD22" i="127" s="1"/>
  <c r="AB23" i="133"/>
  <c r="O24" i="126" s="1"/>
  <c r="AC24" i="126" s="1"/>
  <c r="AC23" i="133"/>
  <c r="O24" i="127" s="1"/>
  <c r="AC24" i="127" s="1"/>
  <c r="D24" i="133"/>
  <c r="E24" i="133"/>
  <c r="W25" i="133"/>
  <c r="D25" i="133"/>
  <c r="C26" i="126" s="1"/>
  <c r="DN26" i="126" s="1"/>
  <c r="AE26" i="126" s="1"/>
  <c r="E25" i="133"/>
  <c r="C26" i="127" s="1"/>
  <c r="W26" i="133"/>
  <c r="D26" i="133"/>
  <c r="C27" i="126" s="1"/>
  <c r="DN27" i="126" s="1"/>
  <c r="AE27" i="126" s="1"/>
  <c r="E26" i="133"/>
  <c r="C27" i="127" s="1"/>
  <c r="DO27" i="127" s="1"/>
  <c r="AE27" i="127" s="1"/>
  <c r="D27" i="133"/>
  <c r="C28" i="126" s="1"/>
  <c r="DN28" i="126" s="1"/>
  <c r="AE28" i="126" s="1"/>
  <c r="E27" i="133"/>
  <c r="D28" i="133"/>
  <c r="C29" i="126" s="1"/>
  <c r="DN29" i="126" s="1"/>
  <c r="AE29" i="126" s="1"/>
  <c r="E28" i="133"/>
  <c r="W29" i="133"/>
  <c r="D29" i="133"/>
  <c r="C30" i="126" s="1"/>
  <c r="DN30" i="126" s="1"/>
  <c r="AE30" i="126" s="1"/>
  <c r="E29" i="133"/>
  <c r="C30" i="127" s="1"/>
  <c r="DO30" i="127" s="1"/>
  <c r="AE30" i="127" s="1"/>
  <c r="W30" i="133"/>
  <c r="D30" i="133"/>
  <c r="C31" i="126" s="1"/>
  <c r="DN31" i="126" s="1"/>
  <c r="AE31" i="126" s="1"/>
  <c r="E30" i="133"/>
  <c r="C31" i="127" s="1"/>
  <c r="DO31" i="127" s="1"/>
  <c r="AE31" i="127" s="1"/>
  <c r="D31" i="133"/>
  <c r="C32" i="126" s="1"/>
  <c r="DN32" i="126" s="1"/>
  <c r="AE32" i="126" s="1"/>
  <c r="E31" i="133"/>
  <c r="W33" i="133"/>
  <c r="X33" i="133"/>
  <c r="N34" i="126" s="1"/>
  <c r="AD34" i="126" s="1"/>
  <c r="Y33" i="133"/>
  <c r="N34" i="127" s="1"/>
  <c r="AD34" i="127" s="1"/>
  <c r="AB33" i="133"/>
  <c r="O34" i="126" s="1"/>
  <c r="AC34" i="126" s="1"/>
  <c r="AC33" i="133"/>
  <c r="O34" i="127" s="1"/>
  <c r="AC34" i="127" s="1"/>
  <c r="AB34" i="133"/>
  <c r="O35" i="126" s="1"/>
  <c r="AC35" i="126" s="1"/>
  <c r="AC34" i="133"/>
  <c r="O35" i="127" s="1"/>
  <c r="AC35" i="127" s="1"/>
  <c r="D35" i="133"/>
  <c r="C36" i="126" s="1"/>
  <c r="DN36" i="126" s="1"/>
  <c r="E35" i="133"/>
  <c r="C36" i="127" s="1"/>
  <c r="DO36" i="127" s="1"/>
  <c r="W36" i="133"/>
  <c r="D36" i="133"/>
  <c r="C37" i="126" s="1"/>
  <c r="DN37" i="126" s="1"/>
  <c r="AE37" i="126" s="1"/>
  <c r="E36" i="133"/>
  <c r="D37" i="133"/>
  <c r="C38" i="126" s="1"/>
  <c r="DN38" i="126" s="1"/>
  <c r="AE38" i="126" s="1"/>
  <c r="E37" i="133"/>
  <c r="D38" i="133"/>
  <c r="C39" i="126" s="1"/>
  <c r="DN39" i="126" s="1"/>
  <c r="AE39" i="126" s="1"/>
  <c r="E38" i="133"/>
  <c r="D39" i="133"/>
  <c r="C40" i="126" s="1"/>
  <c r="DN40" i="126" s="1"/>
  <c r="AE40" i="126" s="1"/>
  <c r="E39" i="133"/>
  <c r="D45" i="133"/>
  <c r="E45" i="133"/>
  <c r="C46" i="127" s="1"/>
  <c r="C47" i="110"/>
  <c r="D46" i="133"/>
  <c r="C47" i="126" s="1"/>
  <c r="E46" i="133"/>
  <c r="C47" i="127" s="1"/>
  <c r="C48" i="110"/>
  <c r="D47" i="133"/>
  <c r="C48" i="126" s="1"/>
  <c r="E47" i="133"/>
  <c r="C48" i="127" s="1"/>
  <c r="D48" i="133"/>
  <c r="E48" i="133"/>
  <c r="C50" i="110"/>
  <c r="D49" i="133"/>
  <c r="E49" i="133"/>
  <c r="C51" i="110"/>
  <c r="D50" i="133"/>
  <c r="C51" i="126" s="1"/>
  <c r="E50" i="133"/>
  <c r="C51" i="127" s="1"/>
  <c r="C52" i="110"/>
  <c r="D51" i="133"/>
  <c r="E51" i="133"/>
  <c r="C52" i="127" s="1"/>
  <c r="C53" i="110"/>
  <c r="D52" i="133"/>
  <c r="C53" i="126" s="1"/>
  <c r="E52" i="133"/>
  <c r="C53" i="127" s="1"/>
  <c r="C54" i="110"/>
  <c r="D53" i="133"/>
  <c r="E53" i="133"/>
  <c r="C54" i="127" s="1"/>
  <c r="X58" i="133"/>
  <c r="N59" i="126" s="1"/>
  <c r="AD59" i="126" s="1"/>
  <c r="X67" i="133"/>
  <c r="N68" i="126" s="1"/>
  <c r="AD68" i="126" s="1"/>
  <c r="X60" i="133"/>
  <c r="N61" i="126" s="1"/>
  <c r="AD61" i="126" s="1"/>
  <c r="C85" i="133"/>
  <c r="D85" i="133"/>
  <c r="C86" i="126" s="1"/>
  <c r="E85" i="133"/>
  <c r="C86" i="127" s="1"/>
  <c r="S86" i="133"/>
  <c r="W86" i="133" s="1"/>
  <c r="T86" i="133"/>
  <c r="X86" i="133" s="1"/>
  <c r="N87" i="126" s="1"/>
  <c r="AD87" i="126" s="1"/>
  <c r="U86" i="133"/>
  <c r="Y86" i="133" s="1"/>
  <c r="N87" i="127" s="1"/>
  <c r="AD87" i="127" s="1"/>
  <c r="S87" i="133"/>
  <c r="W87" i="133" s="1"/>
  <c r="T87" i="133"/>
  <c r="X87" i="133" s="1"/>
  <c r="N88" i="126" s="1"/>
  <c r="AD88" i="126" s="1"/>
  <c r="U87" i="133"/>
  <c r="Y87" i="133" s="1"/>
  <c r="N88" i="127" s="1"/>
  <c r="AD88" i="127" s="1"/>
  <c r="W88" i="133"/>
  <c r="X88" i="133"/>
  <c r="N89" i="126" s="1"/>
  <c r="AD89" i="126" s="1"/>
  <c r="Y88" i="133"/>
  <c r="N89" i="127" s="1"/>
  <c r="AD89" i="127" s="1"/>
  <c r="S89" i="133"/>
  <c r="W89" i="133" s="1"/>
  <c r="T89" i="133"/>
  <c r="X89" i="133" s="1"/>
  <c r="N90" i="126" s="1"/>
  <c r="AD90" i="126" s="1"/>
  <c r="U89" i="133"/>
  <c r="Y89" i="133" s="1"/>
  <c r="N90" i="127" s="1"/>
  <c r="AD90" i="127" s="1"/>
  <c r="C90" i="133"/>
  <c r="D90" i="133"/>
  <c r="C91" i="126" s="1"/>
  <c r="E90" i="133"/>
  <c r="C91" i="127" s="1"/>
  <c r="W91" i="133"/>
  <c r="X91" i="133"/>
  <c r="N92" i="126" s="1"/>
  <c r="AD92" i="126" s="1"/>
  <c r="Y91" i="133"/>
  <c r="N92" i="127" s="1"/>
  <c r="AD92" i="127" s="1"/>
  <c r="W92" i="133"/>
  <c r="X92" i="133"/>
  <c r="N93" i="126" s="1"/>
  <c r="AD93" i="126" s="1"/>
  <c r="Y92" i="133"/>
  <c r="N93" i="127" s="1"/>
  <c r="AD93" i="127" s="1"/>
  <c r="C93" i="133"/>
  <c r="D93" i="133"/>
  <c r="C94" i="126" s="1"/>
  <c r="E93" i="133"/>
  <c r="C94" i="127" s="1"/>
  <c r="W94" i="133"/>
  <c r="X94" i="133"/>
  <c r="N95" i="126" s="1"/>
  <c r="AD95" i="126" s="1"/>
  <c r="Y94" i="133"/>
  <c r="N95" i="127" s="1"/>
  <c r="AD95" i="127" s="1"/>
  <c r="W95" i="133"/>
  <c r="X95" i="133"/>
  <c r="N96" i="126" s="1"/>
  <c r="AD96" i="126" s="1"/>
  <c r="Y95" i="133"/>
  <c r="N96" i="127" s="1"/>
  <c r="AD96" i="127" s="1"/>
  <c r="X53" i="133" l="1"/>
  <c r="N54" i="126" s="1"/>
  <c r="AD54" i="126" s="1"/>
  <c r="C54" i="126"/>
  <c r="X51" i="133"/>
  <c r="N52" i="126" s="1"/>
  <c r="AD52" i="126" s="1"/>
  <c r="C52" i="126"/>
  <c r="X49" i="133"/>
  <c r="N50" i="126" s="1"/>
  <c r="AD50" i="126" s="1"/>
  <c r="C50" i="126"/>
  <c r="Y48" i="133"/>
  <c r="N49" i="127" s="1"/>
  <c r="AD49" i="127" s="1"/>
  <c r="C49" i="127"/>
  <c r="W48" i="133"/>
  <c r="N49" i="110" s="1"/>
  <c r="AD49" i="110" s="1"/>
  <c r="C49" i="110"/>
  <c r="X45" i="133"/>
  <c r="N46" i="126" s="1"/>
  <c r="AD46" i="126" s="1"/>
  <c r="C46" i="126"/>
  <c r="Y49" i="133"/>
  <c r="N50" i="127" s="1"/>
  <c r="AD50" i="127" s="1"/>
  <c r="C50" i="127"/>
  <c r="X48" i="133"/>
  <c r="N49" i="126" s="1"/>
  <c r="AD49" i="126" s="1"/>
  <c r="C49" i="126"/>
  <c r="C5" i="133"/>
  <c r="W15" i="133"/>
  <c r="N22" i="110"/>
  <c r="AD22" i="110" s="1"/>
  <c r="Y15" i="133"/>
  <c r="N16" i="127" s="1"/>
  <c r="AD16" i="127" s="1"/>
  <c r="X15" i="133"/>
  <c r="N16" i="126" s="1"/>
  <c r="AD16" i="126" s="1"/>
  <c r="S30" i="127"/>
  <c r="U30" i="127"/>
  <c r="Q30" i="127"/>
  <c r="T30" i="127"/>
  <c r="DN26" i="127"/>
  <c r="DO26" i="127"/>
  <c r="T31" i="127"/>
  <c r="S31" i="127"/>
  <c r="U31" i="127"/>
  <c r="Q31" i="127"/>
  <c r="Q27" i="127"/>
  <c r="T27" i="127"/>
  <c r="U27" i="127"/>
  <c r="S27" i="127"/>
  <c r="Y31" i="133"/>
  <c r="N32" i="127" s="1"/>
  <c r="AD32" i="127" s="1"/>
  <c r="R32" i="127" s="1"/>
  <c r="C32" i="127"/>
  <c r="DO32" i="127" s="1"/>
  <c r="AE32" i="127" s="1"/>
  <c r="Y27" i="133"/>
  <c r="N28" i="127" s="1"/>
  <c r="AD28" i="127" s="1"/>
  <c r="R28" i="127" s="1"/>
  <c r="C28" i="127"/>
  <c r="DO28" i="127" s="1"/>
  <c r="AE28" i="127" s="1"/>
  <c r="Y28" i="133"/>
  <c r="N29" i="127" s="1"/>
  <c r="AD29" i="127" s="1"/>
  <c r="R29" i="127" s="1"/>
  <c r="C29" i="127"/>
  <c r="DO29" i="127" s="1"/>
  <c r="AE29" i="127" s="1"/>
  <c r="C25" i="127"/>
  <c r="DO25" i="127" s="1"/>
  <c r="T30" i="126"/>
  <c r="Q30" i="126"/>
  <c r="U30" i="126"/>
  <c r="S30" i="126"/>
  <c r="S27" i="126"/>
  <c r="Q27" i="126"/>
  <c r="T27" i="126"/>
  <c r="U27" i="126"/>
  <c r="S29" i="126"/>
  <c r="T29" i="126"/>
  <c r="U29" i="126"/>
  <c r="Q29" i="126"/>
  <c r="C25" i="126"/>
  <c r="DN25" i="126" s="1"/>
  <c r="T26" i="126"/>
  <c r="U26" i="126"/>
  <c r="Q26" i="126"/>
  <c r="S26" i="126"/>
  <c r="T31" i="126"/>
  <c r="S31" i="126"/>
  <c r="U31" i="126"/>
  <c r="Q31" i="126"/>
  <c r="Q32" i="126"/>
  <c r="T32" i="126"/>
  <c r="U32" i="126"/>
  <c r="S32" i="126"/>
  <c r="T28" i="126"/>
  <c r="S28" i="126"/>
  <c r="U28" i="126"/>
  <c r="Q28" i="126"/>
  <c r="Y37" i="133"/>
  <c r="N38" i="127" s="1"/>
  <c r="AD38" i="127" s="1"/>
  <c r="R38" i="127" s="1"/>
  <c r="C38" i="127"/>
  <c r="DO38" i="127" s="1"/>
  <c r="AE38" i="127" s="1"/>
  <c r="Y38" i="133"/>
  <c r="N39" i="127" s="1"/>
  <c r="AD39" i="127" s="1"/>
  <c r="R39" i="127" s="1"/>
  <c r="C39" i="127"/>
  <c r="DO39" i="127" s="1"/>
  <c r="AE39" i="127" s="1"/>
  <c r="Y36" i="133"/>
  <c r="N37" i="127" s="1"/>
  <c r="AD37" i="127" s="1"/>
  <c r="R37" i="127" s="1"/>
  <c r="C37" i="127"/>
  <c r="DO37" i="127" s="1"/>
  <c r="AE37" i="127" s="1"/>
  <c r="Y39" i="133"/>
  <c r="N40" i="127" s="1"/>
  <c r="AD40" i="127" s="1"/>
  <c r="R40" i="127" s="1"/>
  <c r="C40" i="127"/>
  <c r="DO40" i="127" s="1"/>
  <c r="AE40" i="127" s="1"/>
  <c r="AE36" i="127"/>
  <c r="Q38" i="126"/>
  <c r="T38" i="126"/>
  <c r="S38" i="126"/>
  <c r="U38" i="126"/>
  <c r="S40" i="126"/>
  <c r="Q40" i="126"/>
  <c r="U40" i="126"/>
  <c r="T40" i="126"/>
  <c r="AE36" i="126"/>
  <c r="DN35" i="126"/>
  <c r="AE35" i="126" s="1"/>
  <c r="Q37" i="126"/>
  <c r="T37" i="126"/>
  <c r="S37" i="126"/>
  <c r="U37" i="126"/>
  <c r="T39" i="126"/>
  <c r="Q39" i="126"/>
  <c r="S39" i="126"/>
  <c r="U39" i="126"/>
  <c r="C7" i="127"/>
  <c r="E5" i="133"/>
  <c r="C7" i="126"/>
  <c r="D5" i="133"/>
  <c r="AE20" i="127"/>
  <c r="T11" i="133"/>
  <c r="X11" i="133" s="1"/>
  <c r="N12" i="126" s="1"/>
  <c r="AD12" i="126" s="1"/>
  <c r="L12" i="126"/>
  <c r="DN12" i="126" s="1"/>
  <c r="AE12" i="126" s="1"/>
  <c r="DN14" i="127"/>
  <c r="DO14" i="127"/>
  <c r="DO13" i="127" s="1"/>
  <c r="DN13" i="126"/>
  <c r="AE13" i="126" s="1"/>
  <c r="AE14" i="126"/>
  <c r="U11" i="133"/>
  <c r="Y11" i="133" s="1"/>
  <c r="N12" i="127" s="1"/>
  <c r="AD12" i="127" s="1"/>
  <c r="L12" i="127"/>
  <c r="Y24" i="133"/>
  <c r="N25" i="127" s="1"/>
  <c r="AD25" i="127" s="1"/>
  <c r="R25" i="127" s="1"/>
  <c r="AB7" i="133"/>
  <c r="AE20" i="110"/>
  <c r="X52" i="133"/>
  <c r="N53" i="126" s="1"/>
  <c r="AD53" i="126" s="1"/>
  <c r="Y26" i="133"/>
  <c r="N27" i="127" s="1"/>
  <c r="AD27" i="127" s="1"/>
  <c r="R27" i="127" s="1"/>
  <c r="W66" i="133"/>
  <c r="N67" i="110" s="1"/>
  <c r="AD67" i="110" s="1"/>
  <c r="X46" i="133"/>
  <c r="N47" i="126" s="1"/>
  <c r="AD47" i="126" s="1"/>
  <c r="W51" i="133"/>
  <c r="N52" i="110" s="1"/>
  <c r="AD52" i="110" s="1"/>
  <c r="Y30" i="133"/>
  <c r="N31" i="127" s="1"/>
  <c r="AD31" i="127" s="1"/>
  <c r="R31" i="127" s="1"/>
  <c r="X27" i="133"/>
  <c r="N28" i="126" s="1"/>
  <c r="AD28" i="126" s="1"/>
  <c r="R28" i="126" s="1"/>
  <c r="W50" i="133"/>
  <c r="N51" i="110" s="1"/>
  <c r="AD51" i="110" s="1"/>
  <c r="X31" i="133"/>
  <c r="N32" i="126" s="1"/>
  <c r="AD32" i="126" s="1"/>
  <c r="R32" i="126" s="1"/>
  <c r="W59" i="133"/>
  <c r="N60" i="110" s="1"/>
  <c r="AD60" i="110" s="1"/>
  <c r="AL33" i="133"/>
  <c r="Y58" i="133"/>
  <c r="N59" i="127" s="1"/>
  <c r="AD59" i="127" s="1"/>
  <c r="W71" i="133"/>
  <c r="N72" i="110" s="1"/>
  <c r="AD72" i="110" s="1"/>
  <c r="W63" i="133"/>
  <c r="N64" i="110" s="1"/>
  <c r="AD64" i="110" s="1"/>
  <c r="W53" i="133"/>
  <c r="N54" i="110" s="1"/>
  <c r="AD54" i="110" s="1"/>
  <c r="Y53" i="133"/>
  <c r="N54" i="127" s="1"/>
  <c r="AD54" i="127" s="1"/>
  <c r="Y93" i="133"/>
  <c r="N94" i="127" s="1"/>
  <c r="AD94" i="127" s="1"/>
  <c r="E43" i="133"/>
  <c r="C43" i="133"/>
  <c r="D43" i="133"/>
  <c r="Y62" i="133"/>
  <c r="N63" i="127" s="1"/>
  <c r="AD63" i="127" s="1"/>
  <c r="Y61" i="133"/>
  <c r="N62" i="127" s="1"/>
  <c r="AD62" i="127" s="1"/>
  <c r="Y60" i="133"/>
  <c r="N61" i="127" s="1"/>
  <c r="AD61" i="127" s="1"/>
  <c r="Y65" i="133"/>
  <c r="N66" i="127" s="1"/>
  <c r="AD66" i="127" s="1"/>
  <c r="X63" i="133"/>
  <c r="N64" i="126" s="1"/>
  <c r="AD64" i="126" s="1"/>
  <c r="W52" i="133"/>
  <c r="N53" i="110" s="1"/>
  <c r="AD53" i="110" s="1"/>
  <c r="Y51" i="133"/>
  <c r="N52" i="127" s="1"/>
  <c r="AD52" i="127" s="1"/>
  <c r="X50" i="133"/>
  <c r="N51" i="126" s="1"/>
  <c r="AD51" i="126" s="1"/>
  <c r="Y47" i="133"/>
  <c r="N48" i="127" s="1"/>
  <c r="AD48" i="127" s="1"/>
  <c r="Y46" i="133"/>
  <c r="N47" i="127" s="1"/>
  <c r="AD47" i="127" s="1"/>
  <c r="Y45" i="133"/>
  <c r="N46" i="127" s="1"/>
  <c r="AD46" i="127" s="1"/>
  <c r="W35" i="133"/>
  <c r="AK33" i="133"/>
  <c r="W12" i="133"/>
  <c r="X93" i="133"/>
  <c r="N94" i="126" s="1"/>
  <c r="AD94" i="126" s="1"/>
  <c r="X90" i="133"/>
  <c r="N91" i="126" s="1"/>
  <c r="AD91" i="126" s="1"/>
  <c r="X85" i="133"/>
  <c r="N86" i="126" s="1"/>
  <c r="AD86" i="126" s="1"/>
  <c r="Y90" i="133"/>
  <c r="N91" i="127" s="1"/>
  <c r="AD91" i="127" s="1"/>
  <c r="Y85" i="133"/>
  <c r="N86" i="127" s="1"/>
  <c r="AD86" i="127" s="1"/>
  <c r="X12" i="133"/>
  <c r="X61" i="133"/>
  <c r="N62" i="126" s="1"/>
  <c r="AD62" i="126" s="1"/>
  <c r="Y67" i="133"/>
  <c r="N68" i="127" s="1"/>
  <c r="AD68" i="127" s="1"/>
  <c r="Y66" i="133"/>
  <c r="N67" i="127" s="1"/>
  <c r="AD67" i="127" s="1"/>
  <c r="Y59" i="133"/>
  <c r="N60" i="127" s="1"/>
  <c r="AD60" i="127" s="1"/>
  <c r="Y71" i="133"/>
  <c r="N72" i="127" s="1"/>
  <c r="AD72" i="127" s="1"/>
  <c r="W49" i="133"/>
  <c r="N50" i="110" s="1"/>
  <c r="AD50" i="110" s="1"/>
  <c r="W47" i="133"/>
  <c r="N48" i="110" s="1"/>
  <c r="AD48" i="110" s="1"/>
  <c r="W46" i="133"/>
  <c r="N47" i="110" s="1"/>
  <c r="AD47" i="110" s="1"/>
  <c r="W45" i="133"/>
  <c r="W38" i="133"/>
  <c r="W37" i="133"/>
  <c r="X36" i="133"/>
  <c r="N37" i="126" s="1"/>
  <c r="AD37" i="126" s="1"/>
  <c r="R37" i="126" s="1"/>
  <c r="X30" i="133"/>
  <c r="N31" i="126" s="1"/>
  <c r="AD31" i="126" s="1"/>
  <c r="R31" i="126" s="1"/>
  <c r="W28" i="133"/>
  <c r="X26" i="133"/>
  <c r="N27" i="126" s="1"/>
  <c r="AD27" i="126" s="1"/>
  <c r="R27" i="126" s="1"/>
  <c r="X25" i="133"/>
  <c r="N26" i="126" s="1"/>
  <c r="AD26" i="126" s="1"/>
  <c r="R26" i="126" s="1"/>
  <c r="W24" i="133"/>
  <c r="W62" i="133"/>
  <c r="N63" i="110" s="1"/>
  <c r="AD63" i="110" s="1"/>
  <c r="W61" i="133"/>
  <c r="N62" i="110" s="1"/>
  <c r="AD62" i="110" s="1"/>
  <c r="W60" i="133"/>
  <c r="N61" i="110" s="1"/>
  <c r="AD61" i="110" s="1"/>
  <c r="X66" i="133"/>
  <c r="N67" i="126" s="1"/>
  <c r="AD67" i="126" s="1"/>
  <c r="X59" i="133"/>
  <c r="N60" i="126" s="1"/>
  <c r="AD60" i="126" s="1"/>
  <c r="X71" i="133"/>
  <c r="N72" i="126" s="1"/>
  <c r="AD72" i="126" s="1"/>
  <c r="Y63" i="133"/>
  <c r="N64" i="127" s="1"/>
  <c r="AD64" i="127" s="1"/>
  <c r="Y52" i="133"/>
  <c r="N53" i="127" s="1"/>
  <c r="AD53" i="127" s="1"/>
  <c r="Y50" i="133"/>
  <c r="N51" i="127" s="1"/>
  <c r="AD51" i="127" s="1"/>
  <c r="W39" i="133"/>
  <c r="Y35" i="133"/>
  <c r="N36" i="127" s="1"/>
  <c r="AD36" i="127" s="1"/>
  <c r="R36" i="127" s="1"/>
  <c r="X29" i="133"/>
  <c r="N30" i="126" s="1"/>
  <c r="AD30" i="126" s="1"/>
  <c r="R30" i="126" s="1"/>
  <c r="W67" i="133"/>
  <c r="N68" i="110" s="1"/>
  <c r="AD68" i="110" s="1"/>
  <c r="W65" i="133"/>
  <c r="N66" i="110" s="1"/>
  <c r="AD66" i="110" s="1"/>
  <c r="W58" i="133"/>
  <c r="N59" i="110" s="1"/>
  <c r="AD59" i="110" s="1"/>
  <c r="Y12" i="133"/>
  <c r="N13" i="127" s="1"/>
  <c r="AD13" i="127" s="1"/>
  <c r="AC7" i="133"/>
  <c r="X35" i="133"/>
  <c r="N36" i="126" s="1"/>
  <c r="AD36" i="126" s="1"/>
  <c r="R36" i="126" s="1"/>
  <c r="X39" i="133"/>
  <c r="N40" i="126" s="1"/>
  <c r="AD40" i="126" s="1"/>
  <c r="R40" i="126" s="1"/>
  <c r="X38" i="133"/>
  <c r="N39" i="126" s="1"/>
  <c r="AD39" i="126" s="1"/>
  <c r="R39" i="126" s="1"/>
  <c r="X37" i="133"/>
  <c r="N38" i="126" s="1"/>
  <c r="AD38" i="126" s="1"/>
  <c r="R38" i="126" s="1"/>
  <c r="Y29" i="133"/>
  <c r="N30" i="127" s="1"/>
  <c r="AD30" i="127" s="1"/>
  <c r="R30" i="127" s="1"/>
  <c r="X24" i="133"/>
  <c r="N25" i="126" s="1"/>
  <c r="AD25" i="126" s="1"/>
  <c r="R25" i="126" s="1"/>
  <c r="X62" i="133"/>
  <c r="N63" i="126" s="1"/>
  <c r="AD63" i="126" s="1"/>
  <c r="X65" i="133"/>
  <c r="N66" i="126" s="1"/>
  <c r="AD66" i="126" s="1"/>
  <c r="X47" i="133"/>
  <c r="N48" i="126" s="1"/>
  <c r="AD48" i="126" s="1"/>
  <c r="W31" i="133"/>
  <c r="AJ33" i="133"/>
  <c r="X28" i="133"/>
  <c r="N29" i="126" s="1"/>
  <c r="AD29" i="126" s="1"/>
  <c r="R29" i="126" s="1"/>
  <c r="W27" i="133"/>
  <c r="Y25" i="133"/>
  <c r="N26" i="127" s="1"/>
  <c r="AD26" i="127" s="1"/>
  <c r="R26" i="127" s="1"/>
  <c r="W6" i="133"/>
  <c r="AA12" i="133" l="1"/>
  <c r="AJ12" i="133" s="1"/>
  <c r="AB9" i="133"/>
  <c r="AB6" i="133" s="1"/>
  <c r="O7" i="126" s="1"/>
  <c r="AC7" i="126" s="1"/>
  <c r="X6" i="133"/>
  <c r="N7" i="126" s="1"/>
  <c r="AD7" i="126" s="1"/>
  <c r="AB12" i="133"/>
  <c r="N13" i="126"/>
  <c r="AD13" i="126" s="1"/>
  <c r="D4" i="133"/>
  <c r="C44" i="126"/>
  <c r="D40" i="133"/>
  <c r="E4" i="133"/>
  <c r="C44" i="127"/>
  <c r="E40" i="133"/>
  <c r="C4" i="133"/>
  <c r="C40" i="133"/>
  <c r="AB15" i="133"/>
  <c r="AK15" i="133" s="1"/>
  <c r="S32" i="127"/>
  <c r="U32" i="127"/>
  <c r="T32" i="127"/>
  <c r="Q32" i="127"/>
  <c r="DO24" i="127"/>
  <c r="AE25" i="127"/>
  <c r="U29" i="127"/>
  <c r="Q29" i="127"/>
  <c r="T29" i="127"/>
  <c r="S29" i="127"/>
  <c r="Q28" i="127"/>
  <c r="U28" i="127"/>
  <c r="T28" i="127"/>
  <c r="S28" i="127"/>
  <c r="DN24" i="127"/>
  <c r="AE26" i="127"/>
  <c r="AE25" i="126"/>
  <c r="DN24" i="126"/>
  <c r="AE24" i="126" s="1"/>
  <c r="Q39" i="127"/>
  <c r="S39" i="127"/>
  <c r="T39" i="127"/>
  <c r="U39" i="127"/>
  <c r="DO35" i="127"/>
  <c r="AE35" i="127" s="1"/>
  <c r="S37" i="127"/>
  <c r="Q37" i="127"/>
  <c r="U37" i="127"/>
  <c r="T37" i="127"/>
  <c r="Q38" i="127"/>
  <c r="S38" i="127"/>
  <c r="U38" i="127"/>
  <c r="T38" i="127"/>
  <c r="S40" i="127"/>
  <c r="U40" i="127"/>
  <c r="T40" i="127"/>
  <c r="Q40" i="127"/>
  <c r="S36" i="127"/>
  <c r="U36" i="127"/>
  <c r="Q36" i="127"/>
  <c r="T36" i="127"/>
  <c r="U35" i="126"/>
  <c r="T35" i="126"/>
  <c r="U36" i="126"/>
  <c r="T36" i="126"/>
  <c r="S36" i="126"/>
  <c r="Q36" i="126"/>
  <c r="Y6" i="133"/>
  <c r="N7" i="127" s="1"/>
  <c r="AD7" i="127" s="1"/>
  <c r="DN13" i="127"/>
  <c r="AE13" i="127" s="1"/>
  <c r="AE14" i="127"/>
  <c r="AC9" i="133"/>
  <c r="AC6" i="133" s="1"/>
  <c r="O7" i="127" s="1"/>
  <c r="AC7" i="127" s="1"/>
  <c r="DN12" i="127"/>
  <c r="DO12" i="127"/>
  <c r="Y34" i="133"/>
  <c r="N35" i="127" s="1"/>
  <c r="AD35" i="127" s="1"/>
  <c r="Y23" i="133"/>
  <c r="N24" i="127" s="1"/>
  <c r="AD24" i="127" s="1"/>
  <c r="AC12" i="133"/>
  <c r="W34" i="133"/>
  <c r="AJ34" i="133" s="1"/>
  <c r="X44" i="133"/>
  <c r="W23" i="133"/>
  <c r="AJ23" i="133" s="1"/>
  <c r="Y44" i="133"/>
  <c r="W43" i="133"/>
  <c r="AA15" i="133"/>
  <c r="X23" i="133"/>
  <c r="N24" i="126" s="1"/>
  <c r="AD24" i="126" s="1"/>
  <c r="AC15" i="133"/>
  <c r="O16" i="127" s="1"/>
  <c r="AC16" i="127" s="1"/>
  <c r="X34" i="133"/>
  <c r="N35" i="126" s="1"/>
  <c r="AD35" i="126" s="1"/>
  <c r="AE24" i="127" l="1"/>
  <c r="U24" i="127" s="1"/>
  <c r="O16" i="126"/>
  <c r="AC16" i="126" s="1"/>
  <c r="Y43" i="133"/>
  <c r="N44" i="127" s="1"/>
  <c r="AD44" i="127" s="1"/>
  <c r="N45" i="127"/>
  <c r="AD45" i="127" s="1"/>
  <c r="X43" i="133"/>
  <c r="N45" i="126"/>
  <c r="AD45" i="126" s="1"/>
  <c r="AL12" i="133"/>
  <c r="O13" i="127"/>
  <c r="AC13" i="127" s="1"/>
  <c r="AK12" i="133"/>
  <c r="O13" i="126"/>
  <c r="AC13" i="126" s="1"/>
  <c r="Q25" i="127"/>
  <c r="U25" i="127"/>
  <c r="S25" i="127"/>
  <c r="T25" i="127"/>
  <c r="Q26" i="127"/>
  <c r="U26" i="127"/>
  <c r="T26" i="127"/>
  <c r="S26" i="127"/>
  <c r="T24" i="126"/>
  <c r="U24" i="126"/>
  <c r="Q25" i="126"/>
  <c r="U25" i="126"/>
  <c r="S25" i="126"/>
  <c r="T25" i="126"/>
  <c r="AD6" i="126"/>
  <c r="AD6" i="127"/>
  <c r="T35" i="127"/>
  <c r="U35" i="127"/>
  <c r="AK6" i="133"/>
  <c r="AE12" i="127"/>
  <c r="AK34" i="133"/>
  <c r="AL34" i="133"/>
  <c r="AL23" i="133"/>
  <c r="AK23" i="133"/>
  <c r="Y5" i="133"/>
  <c r="X5" i="133"/>
  <c r="AL6" i="133"/>
  <c r="AJ6" i="133"/>
  <c r="W5" i="133"/>
  <c r="AC43" i="133"/>
  <c r="AJ43" i="133"/>
  <c r="AL15" i="133"/>
  <c r="AJ15" i="133"/>
  <c r="T24" i="127" l="1"/>
  <c r="AL43" i="133"/>
  <c r="O44" i="127"/>
  <c r="AC44" i="127" s="1"/>
  <c r="AB43" i="133"/>
  <c r="N44" i="126"/>
  <c r="AD44" i="126" s="1"/>
  <c r="O89" i="110"/>
  <c r="AC89" i="110" s="1"/>
  <c r="C89" i="110"/>
  <c r="B89" i="110"/>
  <c r="AC9" i="110"/>
  <c r="C9" i="110"/>
  <c r="B9" i="110"/>
  <c r="C378" i="115"/>
  <c r="D378" i="115"/>
  <c r="E378" i="115"/>
  <c r="F378" i="115"/>
  <c r="B378" i="115"/>
  <c r="N89" i="110"/>
  <c r="AD89" i="110" s="1"/>
  <c r="C376" i="115"/>
  <c r="B376" i="115"/>
  <c r="E364" i="115"/>
  <c r="D364" i="115"/>
  <c r="C364" i="115"/>
  <c r="B364" i="115"/>
  <c r="E376" i="115"/>
  <c r="F376" i="115"/>
  <c r="D376" i="115"/>
  <c r="N9" i="110"/>
  <c r="AD9" i="110" s="1"/>
  <c r="J42" i="118"/>
  <c r="B380" i="115"/>
  <c r="B386" i="115" s="1"/>
  <c r="D43" i="118"/>
  <c r="C42" i="118"/>
  <c r="B226" i="115"/>
  <c r="H42" i="118" s="1"/>
  <c r="B227" i="115"/>
  <c r="F43" i="118" s="1"/>
  <c r="G21" i="133" s="1"/>
  <c r="G22" i="110" s="1"/>
  <c r="C226" i="115"/>
  <c r="I43" i="118" s="1"/>
  <c r="C227" i="115"/>
  <c r="G43" i="118" s="1"/>
  <c r="B211" i="115"/>
  <c r="B216" i="115" s="1"/>
  <c r="O44" i="126" l="1"/>
  <c r="AC44" i="126" s="1"/>
  <c r="AK43" i="133"/>
  <c r="H22" i="127"/>
  <c r="H22" i="126"/>
  <c r="H22" i="110"/>
  <c r="D62" i="138" s="1"/>
  <c r="E62" i="138" s="1"/>
  <c r="D21" i="127"/>
  <c r="D21" i="126"/>
  <c r="D21" i="110"/>
  <c r="E22" i="127"/>
  <c r="E22" i="126"/>
  <c r="E22" i="110"/>
  <c r="M20" i="133"/>
  <c r="K20" i="133"/>
  <c r="D74" i="138" s="1"/>
  <c r="E74" i="138" s="1"/>
  <c r="L20" i="133"/>
  <c r="H21" i="133"/>
  <c r="G22" i="126" s="1"/>
  <c r="I21" i="133"/>
  <c r="G22" i="127" s="1"/>
  <c r="P20" i="133"/>
  <c r="L21" i="126" s="1"/>
  <c r="DN21" i="126" s="1"/>
  <c r="AE21" i="126" s="1"/>
  <c r="O20" i="133"/>
  <c r="L21" i="110" s="1"/>
  <c r="DM21" i="110" s="1"/>
  <c r="AE21" i="110" s="1"/>
  <c r="Q20" i="133"/>
  <c r="L21" i="127" s="1"/>
  <c r="DO21" i="127" s="1"/>
  <c r="AE21" i="127" s="1"/>
  <c r="M89" i="110"/>
  <c r="E89" i="110"/>
  <c r="M9" i="110"/>
  <c r="E9" i="110"/>
  <c r="B385" i="115"/>
  <c r="F42" i="118"/>
  <c r="B217" i="115"/>
  <c r="B215" i="115"/>
  <c r="DV22" i="126" l="1"/>
  <c r="DR22" i="126"/>
  <c r="DR16" i="126" s="1"/>
  <c r="DR6" i="126" s="1"/>
  <c r="DR5" i="126" s="1"/>
  <c r="DW22" i="126"/>
  <c r="DW16" i="126" s="1"/>
  <c r="DW6" i="126" s="1"/>
  <c r="DW5" i="126" s="1"/>
  <c r="DS22" i="126"/>
  <c r="DS16" i="126" s="1"/>
  <c r="DS6" i="126" s="1"/>
  <c r="DS5" i="126" s="1"/>
  <c r="DO22" i="126"/>
  <c r="DO16" i="126" s="1"/>
  <c r="DO6" i="126" s="1"/>
  <c r="DO5" i="126" s="1"/>
  <c r="DT22" i="126"/>
  <c r="DT16" i="126" s="1"/>
  <c r="DT6" i="126" s="1"/>
  <c r="DT5" i="126" s="1"/>
  <c r="DP22" i="126"/>
  <c r="DP16" i="126" s="1"/>
  <c r="DP6" i="126" s="1"/>
  <c r="DP5" i="126" s="1"/>
  <c r="DU22" i="126"/>
  <c r="DU16" i="126" s="1"/>
  <c r="DU6" i="126" s="1"/>
  <c r="DU5" i="126" s="1"/>
  <c r="DQ22" i="126"/>
  <c r="DQ16" i="126" s="1"/>
  <c r="DQ6" i="126" s="1"/>
  <c r="DQ5" i="126" s="1"/>
  <c r="DM22" i="126"/>
  <c r="BB21" i="126"/>
  <c r="AG21" i="126"/>
  <c r="AZ21" i="126"/>
  <c r="BU21" i="126"/>
  <c r="DV22" i="110"/>
  <c r="DR22" i="110"/>
  <c r="DN22" i="110"/>
  <c r="DW22" i="110"/>
  <c r="DS22" i="110"/>
  <c r="DO22" i="110"/>
  <c r="DT22" i="110"/>
  <c r="DP22" i="110"/>
  <c r="DU22" i="110"/>
  <c r="DQ22" i="110"/>
  <c r="DV22" i="127"/>
  <c r="DV16" i="127" s="1"/>
  <c r="DV6" i="127" s="1"/>
  <c r="DV5" i="127" s="1"/>
  <c r="DQ22" i="127"/>
  <c r="DQ16" i="127" s="1"/>
  <c r="DQ6" i="127" s="1"/>
  <c r="DQ5" i="127" s="1"/>
  <c r="DU22" i="127"/>
  <c r="DU16" i="127" s="1"/>
  <c r="DU6" i="127" s="1"/>
  <c r="DU5" i="127" s="1"/>
  <c r="DP22" i="127"/>
  <c r="DP16" i="127" s="1"/>
  <c r="DP6" i="127" s="1"/>
  <c r="DP5" i="127" s="1"/>
  <c r="DT22" i="127"/>
  <c r="DT16" i="127" s="1"/>
  <c r="DT6" i="127" s="1"/>
  <c r="DT5" i="127" s="1"/>
  <c r="DM22" i="127"/>
  <c r="DS22" i="127"/>
  <c r="DW22" i="127"/>
  <c r="DN22" i="127"/>
  <c r="DR22" i="127"/>
  <c r="DR16" i="127" s="1"/>
  <c r="DR6" i="127" s="1"/>
  <c r="DR5" i="127" s="1"/>
  <c r="BU21" i="110"/>
  <c r="AZ21" i="110"/>
  <c r="BT21" i="110"/>
  <c r="AY21" i="110"/>
  <c r="AG21" i="127"/>
  <c r="BB21" i="127"/>
  <c r="AH21" i="127"/>
  <c r="BC21" i="127"/>
  <c r="DS16" i="127"/>
  <c r="DS6" i="127" s="1"/>
  <c r="DS5" i="127" s="1"/>
  <c r="H20" i="133"/>
  <c r="G21" i="126" s="1"/>
  <c r="I20" i="133"/>
  <c r="G21" i="127" s="1"/>
  <c r="G20" i="133"/>
  <c r="DW89" i="110"/>
  <c r="DS89" i="110"/>
  <c r="DO89" i="110"/>
  <c r="DV89" i="110"/>
  <c r="DR89" i="110"/>
  <c r="DN89" i="110"/>
  <c r="DU89" i="110"/>
  <c r="DQ89" i="110"/>
  <c r="DT89" i="110"/>
  <c r="DP89" i="110"/>
  <c r="DW9" i="110"/>
  <c r="DS9" i="110"/>
  <c r="DO9" i="110"/>
  <c r="DU9" i="110"/>
  <c r="DV9" i="110"/>
  <c r="DR9" i="110"/>
  <c r="DN9" i="110"/>
  <c r="DQ9" i="110"/>
  <c r="DT9" i="110"/>
  <c r="DP9" i="110"/>
  <c r="G21" i="110" l="1"/>
  <c r="D61" i="138"/>
  <c r="E61" i="138" s="1"/>
  <c r="AE22" i="126"/>
  <c r="AE22" i="110"/>
  <c r="AE22" i="127"/>
  <c r="DM16" i="126"/>
  <c r="DM6" i="126" s="1"/>
  <c r="DM5" i="126" s="1"/>
  <c r="DM16" i="127"/>
  <c r="DM6" i="127" s="1"/>
  <c r="DM5" i="127" s="1"/>
  <c r="B10" i="115"/>
  <c r="C10" i="115"/>
  <c r="B49" i="125" l="1"/>
  <c r="B36" i="125"/>
  <c r="B23" i="125"/>
  <c r="DU42" i="110" l="1"/>
  <c r="DT42" i="110"/>
  <c r="DQ42" i="110"/>
  <c r="DP42" i="110"/>
  <c r="BU42" i="110"/>
  <c r="BR42" i="110"/>
  <c r="BQ42" i="110"/>
  <c r="AZ42" i="110"/>
  <c r="AW42" i="110"/>
  <c r="AV42" i="110"/>
  <c r="DW42" i="110"/>
  <c r="C42" i="110"/>
  <c r="B42" i="110"/>
  <c r="B332" i="115"/>
  <c r="B331" i="115"/>
  <c r="B351" i="115"/>
  <c r="B352" i="115" s="1"/>
  <c r="E332" i="115"/>
  <c r="D332" i="115"/>
  <c r="C332" i="115"/>
  <c r="E331" i="115"/>
  <c r="D331" i="115"/>
  <c r="C331" i="115"/>
  <c r="B311" i="115"/>
  <c r="C311" i="115"/>
  <c r="D311" i="115"/>
  <c r="E311" i="115"/>
  <c r="F311" i="115"/>
  <c r="G311" i="115"/>
  <c r="H311" i="115"/>
  <c r="I311" i="115"/>
  <c r="J311" i="115"/>
  <c r="K311" i="115"/>
  <c r="L311" i="115"/>
  <c r="M311" i="115"/>
  <c r="C312" i="115"/>
  <c r="D312" i="115"/>
  <c r="E312" i="115"/>
  <c r="F312" i="115"/>
  <c r="G312" i="115"/>
  <c r="H312" i="115"/>
  <c r="I312" i="115"/>
  <c r="J312" i="115"/>
  <c r="K312" i="115"/>
  <c r="L312" i="115"/>
  <c r="M312" i="115"/>
  <c r="C301" i="115"/>
  <c r="D301" i="115"/>
  <c r="E301" i="115"/>
  <c r="F301" i="115"/>
  <c r="G301" i="115"/>
  <c r="H301" i="115"/>
  <c r="I301" i="115"/>
  <c r="J301" i="115"/>
  <c r="K301" i="115"/>
  <c r="B302" i="115"/>
  <c r="B301" i="115"/>
  <c r="C302" i="115"/>
  <c r="D302" i="115"/>
  <c r="E302" i="115"/>
  <c r="F302" i="115"/>
  <c r="G302" i="115"/>
  <c r="H302" i="115"/>
  <c r="I302" i="115"/>
  <c r="J302" i="115"/>
  <c r="K302" i="115"/>
  <c r="E290" i="115"/>
  <c r="F290" i="115"/>
  <c r="E291" i="115"/>
  <c r="F291" i="115"/>
  <c r="B290" i="115"/>
  <c r="B291" i="115"/>
  <c r="AX42" i="110" l="1"/>
  <c r="BS42" i="110"/>
  <c r="DN42" i="110"/>
  <c r="DR42" i="110"/>
  <c r="DV42" i="110"/>
  <c r="AY42" i="110"/>
  <c r="BT42" i="110"/>
  <c r="DO42" i="110"/>
  <c r="DS42" i="110"/>
  <c r="L89" i="132" l="1"/>
  <c r="G89" i="132"/>
  <c r="D89" i="132"/>
  <c r="AA89" i="132" s="1"/>
  <c r="B89" i="132"/>
  <c r="L88" i="132"/>
  <c r="G88" i="132"/>
  <c r="D88" i="132"/>
  <c r="W88" i="132" s="1"/>
  <c r="B88" i="132"/>
  <c r="D288" i="115"/>
  <c r="C288" i="115"/>
  <c r="D289" i="115"/>
  <c r="C289" i="115"/>
  <c r="D292" i="115"/>
  <c r="C292" i="115"/>
  <c r="L49" i="118" s="1"/>
  <c r="C50" i="118"/>
  <c r="C49" i="118"/>
  <c r="D47" i="126" l="1"/>
  <c r="D47" i="127"/>
  <c r="C49" i="132"/>
  <c r="C49" i="131"/>
  <c r="C49" i="130"/>
  <c r="D47" i="110"/>
  <c r="D48" i="127"/>
  <c r="D48" i="126"/>
  <c r="C50" i="132"/>
  <c r="C50" i="130"/>
  <c r="C50" i="131"/>
  <c r="D48" i="110"/>
  <c r="X89" i="132"/>
  <c r="T88" i="132"/>
  <c r="J49" i="118"/>
  <c r="C290" i="115"/>
  <c r="H49" i="118" s="1"/>
  <c r="C291" i="115"/>
  <c r="F49" i="118" s="1"/>
  <c r="D290" i="115"/>
  <c r="D291" i="115"/>
  <c r="X88" i="132"/>
  <c r="T89" i="132"/>
  <c r="AB89" i="132"/>
  <c r="AA88" i="132"/>
  <c r="W89" i="132"/>
  <c r="AB88" i="132"/>
  <c r="U88" i="132"/>
  <c r="Y88" i="132"/>
  <c r="AC88" i="132"/>
  <c r="U89" i="132"/>
  <c r="Y89" i="132"/>
  <c r="AC89" i="132"/>
  <c r="Z88" i="132"/>
  <c r="AD88" i="132"/>
  <c r="Z89" i="132"/>
  <c r="AD89" i="132"/>
  <c r="L15" i="110"/>
  <c r="L14" i="110"/>
  <c r="L12" i="110"/>
  <c r="L34" i="110"/>
  <c r="L40" i="110"/>
  <c r="L39" i="110"/>
  <c r="L38" i="110"/>
  <c r="L37" i="110"/>
  <c r="L36" i="110"/>
  <c r="L32" i="110"/>
  <c r="L31" i="110"/>
  <c r="L30" i="110"/>
  <c r="L29" i="110"/>
  <c r="L28" i="110"/>
  <c r="L27" i="110"/>
  <c r="L26" i="110"/>
  <c r="L25" i="110"/>
  <c r="B46" i="110"/>
  <c r="M46" i="110" s="1"/>
  <c r="J65" i="118"/>
  <c r="C65" i="118"/>
  <c r="J64" i="118"/>
  <c r="C64" i="118"/>
  <c r="J63" i="118"/>
  <c r="C63" i="118"/>
  <c r="J82" i="118"/>
  <c r="C82" i="118"/>
  <c r="J81" i="118"/>
  <c r="C81" i="118"/>
  <c r="J80" i="118"/>
  <c r="C80" i="118"/>
  <c r="J70" i="118"/>
  <c r="C70" i="118"/>
  <c r="J69" i="118"/>
  <c r="C69" i="118"/>
  <c r="J68" i="118"/>
  <c r="C68" i="118"/>
  <c r="L56" i="118"/>
  <c r="J56" i="118"/>
  <c r="C56" i="118"/>
  <c r="J62" i="118"/>
  <c r="C62" i="118"/>
  <c r="J61" i="118"/>
  <c r="C61" i="118"/>
  <c r="J53" i="118"/>
  <c r="C53" i="118"/>
  <c r="J52" i="118"/>
  <c r="C52" i="118"/>
  <c r="J51" i="118"/>
  <c r="C51" i="118"/>
  <c r="J84" i="118"/>
  <c r="C84" i="118"/>
  <c r="J83" i="118"/>
  <c r="C83" i="118"/>
  <c r="J74" i="118"/>
  <c r="C74" i="118"/>
  <c r="J73" i="118"/>
  <c r="C73" i="118"/>
  <c r="J72" i="118"/>
  <c r="C72" i="118"/>
  <c r="J71" i="118"/>
  <c r="C71" i="118"/>
  <c r="J66" i="118"/>
  <c r="C66" i="118"/>
  <c r="J55" i="118"/>
  <c r="C55" i="118"/>
  <c r="J54" i="118"/>
  <c r="C54" i="118"/>
  <c r="L50" i="118"/>
  <c r="J50" i="118"/>
  <c r="L48" i="118"/>
  <c r="G114" i="118" s="1"/>
  <c r="J48" i="118"/>
  <c r="C48" i="118"/>
  <c r="L79" i="118"/>
  <c r="G117" i="118" s="1"/>
  <c r="J79" i="118"/>
  <c r="C79" i="118"/>
  <c r="J78" i="118"/>
  <c r="C78" i="118"/>
  <c r="J77" i="118"/>
  <c r="C77" i="118"/>
  <c r="J76" i="118"/>
  <c r="C76" i="118"/>
  <c r="J75" i="118"/>
  <c r="C75" i="118"/>
  <c r="K75" i="132" l="1"/>
  <c r="V75" i="132" s="1"/>
  <c r="R75" i="132" s="1"/>
  <c r="O72" i="133"/>
  <c r="L73" i="110" s="1"/>
  <c r="DM73" i="110" s="1"/>
  <c r="AE73" i="110" s="1"/>
  <c r="Q72" i="133"/>
  <c r="L73" i="127" s="1"/>
  <c r="DO73" i="127" s="1"/>
  <c r="AE73" i="127" s="1"/>
  <c r="P72" i="133"/>
  <c r="L73" i="126" s="1"/>
  <c r="DN73" i="126" s="1"/>
  <c r="AE73" i="126" s="1"/>
  <c r="K76" i="132"/>
  <c r="V76" i="132" s="1"/>
  <c r="R76" i="132" s="1"/>
  <c r="P73" i="133"/>
  <c r="L74" i="126" s="1"/>
  <c r="DN74" i="126" s="1"/>
  <c r="AE74" i="126" s="1"/>
  <c r="O73" i="133"/>
  <c r="L74" i="110" s="1"/>
  <c r="DM74" i="110" s="1"/>
  <c r="AE74" i="110" s="1"/>
  <c r="Q73" i="133"/>
  <c r="L74" i="127" s="1"/>
  <c r="DO74" i="127" s="1"/>
  <c r="AE74" i="127" s="1"/>
  <c r="K78" i="132"/>
  <c r="V78" i="132" s="1"/>
  <c r="R78" i="132" s="1"/>
  <c r="O74" i="133"/>
  <c r="L75" i="110" s="1"/>
  <c r="DM75" i="110" s="1"/>
  <c r="AE75" i="110" s="1"/>
  <c r="Q74" i="133"/>
  <c r="L75" i="127" s="1"/>
  <c r="DO75" i="127" s="1"/>
  <c r="AE75" i="127" s="1"/>
  <c r="P74" i="133"/>
  <c r="L75" i="126" s="1"/>
  <c r="DN75" i="126" s="1"/>
  <c r="AE75" i="126" s="1"/>
  <c r="D46" i="127"/>
  <c r="D46" i="126"/>
  <c r="P68" i="133"/>
  <c r="L69" i="126" s="1"/>
  <c r="DN69" i="126" s="1"/>
  <c r="AE69" i="126" s="1"/>
  <c r="K71" i="132"/>
  <c r="V71" i="132" s="1"/>
  <c r="R71" i="132" s="1"/>
  <c r="K71" i="130"/>
  <c r="T71" i="130" s="1"/>
  <c r="R71" i="130" s="1"/>
  <c r="K71" i="131"/>
  <c r="U71" i="131" s="1"/>
  <c r="R71" i="131" s="1"/>
  <c r="O68" i="133"/>
  <c r="L69" i="110" s="1"/>
  <c r="DM69" i="110" s="1"/>
  <c r="AE69" i="110" s="1"/>
  <c r="Q68" i="133"/>
  <c r="L69" i="127" s="1"/>
  <c r="DO69" i="127" s="1"/>
  <c r="AE69" i="127" s="1"/>
  <c r="C75" i="132"/>
  <c r="D73" i="127"/>
  <c r="D73" i="126"/>
  <c r="D73" i="110"/>
  <c r="C76" i="132"/>
  <c r="D74" i="127"/>
  <c r="D74" i="126"/>
  <c r="D74" i="110"/>
  <c r="C77" i="132"/>
  <c r="D76" i="126"/>
  <c r="D76" i="127"/>
  <c r="D76" i="110"/>
  <c r="C78" i="132"/>
  <c r="D75" i="127"/>
  <c r="D75" i="126"/>
  <c r="D75" i="110"/>
  <c r="C79" i="132"/>
  <c r="D77" i="127"/>
  <c r="D77" i="126"/>
  <c r="D77" i="110"/>
  <c r="K50" i="131"/>
  <c r="U50" i="131" s="1"/>
  <c r="R50" i="131" s="1"/>
  <c r="K50" i="130"/>
  <c r="T50" i="130" s="1"/>
  <c r="R50" i="130" s="1"/>
  <c r="K50" i="132"/>
  <c r="V50" i="132" s="1"/>
  <c r="R50" i="132" s="1"/>
  <c r="D52" i="127"/>
  <c r="D52" i="126"/>
  <c r="C54" i="131"/>
  <c r="C54" i="130"/>
  <c r="C54" i="132"/>
  <c r="D52" i="110"/>
  <c r="D53" i="127"/>
  <c r="D53" i="126"/>
  <c r="C55" i="132"/>
  <c r="C55" i="131"/>
  <c r="C55" i="130"/>
  <c r="D53" i="110"/>
  <c r="D64" i="127"/>
  <c r="D64" i="126"/>
  <c r="C66" i="132"/>
  <c r="C66" i="131"/>
  <c r="C66" i="130"/>
  <c r="D64" i="110"/>
  <c r="D69" i="127"/>
  <c r="D69" i="126"/>
  <c r="C71" i="132"/>
  <c r="C71" i="130"/>
  <c r="C71" i="131"/>
  <c r="D69" i="110"/>
  <c r="D70" i="126"/>
  <c r="D70" i="127"/>
  <c r="C72" i="132"/>
  <c r="C72" i="131"/>
  <c r="C72" i="130"/>
  <c r="D70" i="110"/>
  <c r="D71" i="127"/>
  <c r="D71" i="126"/>
  <c r="C73" i="132"/>
  <c r="C73" i="130"/>
  <c r="C73" i="131"/>
  <c r="D71" i="110"/>
  <c r="D72" i="127"/>
  <c r="D72" i="126"/>
  <c r="C74" i="132"/>
  <c r="C74" i="131"/>
  <c r="C74" i="130"/>
  <c r="D72" i="110"/>
  <c r="D81" i="127"/>
  <c r="D81" i="126"/>
  <c r="C83" i="132"/>
  <c r="C83" i="130"/>
  <c r="C83" i="131"/>
  <c r="D81" i="110"/>
  <c r="D82" i="126"/>
  <c r="D82" i="127"/>
  <c r="C84" i="132"/>
  <c r="C84" i="131"/>
  <c r="C84" i="130"/>
  <c r="D82" i="110"/>
  <c r="D49" i="127"/>
  <c r="D49" i="126"/>
  <c r="C51" i="131"/>
  <c r="C51" i="132"/>
  <c r="C51" i="130"/>
  <c r="D49" i="110"/>
  <c r="D50" i="127"/>
  <c r="D50" i="126"/>
  <c r="C52" i="132"/>
  <c r="C52" i="131"/>
  <c r="C52" i="130"/>
  <c r="D50" i="110"/>
  <c r="D51" i="126"/>
  <c r="D51" i="127"/>
  <c r="C53" i="130"/>
  <c r="C53" i="132"/>
  <c r="C53" i="131"/>
  <c r="D51" i="110"/>
  <c r="D59" i="127"/>
  <c r="D59" i="126"/>
  <c r="D59" i="110"/>
  <c r="D60" i="127"/>
  <c r="D60" i="126"/>
  <c r="D60" i="110"/>
  <c r="D54" i="127"/>
  <c r="D54" i="126"/>
  <c r="C56" i="132"/>
  <c r="C56" i="131"/>
  <c r="C56" i="130"/>
  <c r="D54" i="110"/>
  <c r="O65" i="133"/>
  <c r="L66" i="110" s="1"/>
  <c r="DM66" i="110" s="1"/>
  <c r="AE66" i="110" s="1"/>
  <c r="Q65" i="133"/>
  <c r="L66" i="127" s="1"/>
  <c r="DO66" i="127" s="1"/>
  <c r="AE66" i="127" s="1"/>
  <c r="P65" i="133"/>
  <c r="L66" i="126" s="1"/>
  <c r="DN66" i="126" s="1"/>
  <c r="AE66" i="126" s="1"/>
  <c r="O66" i="133"/>
  <c r="L67" i="110" s="1"/>
  <c r="DM67" i="110" s="1"/>
  <c r="AE67" i="110" s="1"/>
  <c r="Q66" i="133"/>
  <c r="L67" i="127" s="1"/>
  <c r="DO67" i="127" s="1"/>
  <c r="AE67" i="127" s="1"/>
  <c r="P66" i="133"/>
  <c r="L67" i="126" s="1"/>
  <c r="DN67" i="126" s="1"/>
  <c r="AE67" i="126" s="1"/>
  <c r="P67" i="133"/>
  <c r="L68" i="126" s="1"/>
  <c r="DN68" i="126" s="1"/>
  <c r="AE68" i="126" s="1"/>
  <c r="O67" i="133"/>
  <c r="L68" i="110" s="1"/>
  <c r="DM68" i="110" s="1"/>
  <c r="AE68" i="110" s="1"/>
  <c r="Q67" i="133"/>
  <c r="L68" i="127" s="1"/>
  <c r="DO68" i="127" s="1"/>
  <c r="AE68" i="127" s="1"/>
  <c r="P77" i="133"/>
  <c r="L78" i="126" s="1"/>
  <c r="DN78" i="126" s="1"/>
  <c r="AE78" i="126" s="1"/>
  <c r="O77" i="133"/>
  <c r="L78" i="110" s="1"/>
  <c r="DM78" i="110" s="1"/>
  <c r="AE78" i="110" s="1"/>
  <c r="Q77" i="133"/>
  <c r="L78" i="127" s="1"/>
  <c r="DO78" i="127" s="1"/>
  <c r="AE78" i="127" s="1"/>
  <c r="P78" i="133"/>
  <c r="L79" i="126" s="1"/>
  <c r="DN79" i="126" s="1"/>
  <c r="AE79" i="126" s="1"/>
  <c r="O78" i="133"/>
  <c r="L79" i="110" s="1"/>
  <c r="DM79" i="110" s="1"/>
  <c r="AE79" i="110" s="1"/>
  <c r="Q78" i="133"/>
  <c r="L79" i="127" s="1"/>
  <c r="DO79" i="127" s="1"/>
  <c r="AE79" i="127" s="1"/>
  <c r="O79" i="133"/>
  <c r="L80" i="110" s="1"/>
  <c r="DM80" i="110" s="1"/>
  <c r="AE80" i="110" s="1"/>
  <c r="Q79" i="133"/>
  <c r="L80" i="127" s="1"/>
  <c r="DO80" i="127" s="1"/>
  <c r="AE80" i="127" s="1"/>
  <c r="P79" i="133"/>
  <c r="L80" i="126" s="1"/>
  <c r="DN80" i="126" s="1"/>
  <c r="AE80" i="126" s="1"/>
  <c r="P60" i="133"/>
  <c r="L61" i="126" s="1"/>
  <c r="DN61" i="126" s="1"/>
  <c r="AE61" i="126" s="1"/>
  <c r="O60" i="133"/>
  <c r="L61" i="110" s="1"/>
  <c r="DM61" i="110" s="1"/>
  <c r="AE61" i="110" s="1"/>
  <c r="Q60" i="133"/>
  <c r="L61" i="127" s="1"/>
  <c r="DO61" i="127" s="1"/>
  <c r="AE61" i="127" s="1"/>
  <c r="O61" i="133"/>
  <c r="L62" i="110" s="1"/>
  <c r="DM62" i="110" s="1"/>
  <c r="AE62" i="110" s="1"/>
  <c r="Q61" i="133"/>
  <c r="L62" i="127" s="1"/>
  <c r="DO62" i="127" s="1"/>
  <c r="AE62" i="127" s="1"/>
  <c r="P61" i="133"/>
  <c r="L62" i="126" s="1"/>
  <c r="DN62" i="126" s="1"/>
  <c r="AE62" i="126" s="1"/>
  <c r="O62" i="133"/>
  <c r="L63" i="110" s="1"/>
  <c r="DM63" i="110" s="1"/>
  <c r="AE63" i="110" s="1"/>
  <c r="Q62" i="133"/>
  <c r="L63" i="127" s="1"/>
  <c r="DO63" i="127" s="1"/>
  <c r="AE63" i="127" s="1"/>
  <c r="P62" i="133"/>
  <c r="L63" i="126" s="1"/>
  <c r="DN63" i="126" s="1"/>
  <c r="AE63" i="126" s="1"/>
  <c r="F49" i="132"/>
  <c r="F49" i="131"/>
  <c r="F49" i="130"/>
  <c r="K49" i="132"/>
  <c r="V49" i="132" s="1"/>
  <c r="R49" i="132" s="1"/>
  <c r="K49" i="131"/>
  <c r="U49" i="131" s="1"/>
  <c r="R49" i="131" s="1"/>
  <c r="K49" i="130"/>
  <c r="T49" i="130" s="1"/>
  <c r="R49" i="130" s="1"/>
  <c r="BM50" i="131"/>
  <c r="AU50" i="131"/>
  <c r="BR50" i="131"/>
  <c r="AW50" i="131"/>
  <c r="BO50" i="131"/>
  <c r="BP50" i="131"/>
  <c r="AR50" i="131"/>
  <c r="BA50" i="131"/>
  <c r="BS50" i="131"/>
  <c r="BQ50" i="131"/>
  <c r="AX50" i="131"/>
  <c r="AS50" i="131"/>
  <c r="BT50" i="131"/>
  <c r="AT50" i="131"/>
  <c r="AY50" i="131"/>
  <c r="AF50" i="131"/>
  <c r="AV50" i="131"/>
  <c r="BN50" i="131"/>
  <c r="BS50" i="132"/>
  <c r="AY50" i="132"/>
  <c r="AG50" i="132"/>
  <c r="BQ50" i="132"/>
  <c r="BA50" i="132"/>
  <c r="AX50" i="132"/>
  <c r="BT50" i="132"/>
  <c r="BB50" i="132"/>
  <c r="BP50" i="132"/>
  <c r="BN50" i="132"/>
  <c r="AT50" i="132"/>
  <c r="AW50" i="132"/>
  <c r="AV50" i="132"/>
  <c r="AF50" i="132"/>
  <c r="AS50" i="132"/>
  <c r="BO50" i="132"/>
  <c r="AU50" i="132"/>
  <c r="BR50" i="132"/>
  <c r="BU48" i="127"/>
  <c r="AZ48" i="127"/>
  <c r="BS48" i="127"/>
  <c r="AW48" i="127"/>
  <c r="AY48" i="127"/>
  <c r="AH48" i="127"/>
  <c r="BB48" i="127"/>
  <c r="BT48" i="127"/>
  <c r="AU48" i="127"/>
  <c r="BQ48" i="127"/>
  <c r="AV48" i="127"/>
  <c r="BC48" i="127"/>
  <c r="AG48" i="127"/>
  <c r="BP48" i="127"/>
  <c r="AT48" i="127"/>
  <c r="BO48" i="127"/>
  <c r="AX48" i="127"/>
  <c r="BR48" i="127"/>
  <c r="BT49" i="130"/>
  <c r="BS49" i="130"/>
  <c r="BP49" i="130"/>
  <c r="BQ49" i="130"/>
  <c r="AU49" i="130"/>
  <c r="AS49" i="130"/>
  <c r="AQ49" i="130"/>
  <c r="BM49" i="130"/>
  <c r="AR49" i="130"/>
  <c r="BN49" i="130"/>
  <c r="AX49" i="130"/>
  <c r="BO49" i="130"/>
  <c r="BL49" i="130"/>
  <c r="AY49" i="130"/>
  <c r="AV49" i="130"/>
  <c r="BR49" i="130"/>
  <c r="AW49" i="130"/>
  <c r="AT49" i="130"/>
  <c r="BB49" i="132"/>
  <c r="AU49" i="132"/>
  <c r="BS49" i="132"/>
  <c r="BQ49" i="132"/>
  <c r="BA49" i="132"/>
  <c r="AX49" i="132"/>
  <c r="BT49" i="132"/>
  <c r="AW49" i="132"/>
  <c r="AY49" i="132"/>
  <c r="BR49" i="132"/>
  <c r="AV49" i="132"/>
  <c r="AF49" i="132"/>
  <c r="AS49" i="132"/>
  <c r="BO49" i="132"/>
  <c r="AG49" i="132"/>
  <c r="BN49" i="132"/>
  <c r="AT49" i="132"/>
  <c r="BP49" i="132"/>
  <c r="BQ47" i="126"/>
  <c r="AV47" i="126"/>
  <c r="BO47" i="126"/>
  <c r="AS47" i="126"/>
  <c r="AY47" i="126"/>
  <c r="BR47" i="126"/>
  <c r="AG47" i="126"/>
  <c r="BP47" i="126"/>
  <c r="AT47" i="126"/>
  <c r="BS47" i="126"/>
  <c r="BU47" i="126"/>
  <c r="AZ47" i="126"/>
  <c r="BT47" i="126"/>
  <c r="AX47" i="126"/>
  <c r="BN47" i="126"/>
  <c r="AU47" i="126"/>
  <c r="BB47" i="126"/>
  <c r="AW47" i="126"/>
  <c r="K77" i="132"/>
  <c r="V77" i="132" s="1"/>
  <c r="R77" i="132" s="1"/>
  <c r="P75" i="133"/>
  <c r="L76" i="126" s="1"/>
  <c r="DN76" i="126" s="1"/>
  <c r="AE76" i="126" s="1"/>
  <c r="O75" i="133"/>
  <c r="L76" i="110" s="1"/>
  <c r="DM76" i="110" s="1"/>
  <c r="AE76" i="110" s="1"/>
  <c r="Q75" i="133"/>
  <c r="L76" i="127" s="1"/>
  <c r="DO76" i="127" s="1"/>
  <c r="AE76" i="127" s="1"/>
  <c r="K79" i="132"/>
  <c r="V79" i="132" s="1"/>
  <c r="R79" i="132" s="1"/>
  <c r="O76" i="133"/>
  <c r="L77" i="110" s="1"/>
  <c r="DM77" i="110" s="1"/>
  <c r="AE77" i="110" s="1"/>
  <c r="Q76" i="133"/>
  <c r="L77" i="127" s="1"/>
  <c r="DO77" i="127" s="1"/>
  <c r="AE77" i="127" s="1"/>
  <c r="P76" i="133"/>
  <c r="L77" i="126" s="1"/>
  <c r="DN77" i="126" s="1"/>
  <c r="AE77" i="126" s="1"/>
  <c r="K54" i="131"/>
  <c r="U54" i="131" s="1"/>
  <c r="R54" i="131" s="1"/>
  <c r="K54" i="130"/>
  <c r="T54" i="130" s="1"/>
  <c r="R54" i="130" s="1"/>
  <c r="K54" i="132"/>
  <c r="V54" i="132" s="1"/>
  <c r="R54" i="132" s="1"/>
  <c r="K55" i="132"/>
  <c r="V55" i="132" s="1"/>
  <c r="R55" i="132" s="1"/>
  <c r="K55" i="131"/>
  <c r="U55" i="131" s="1"/>
  <c r="R55" i="131" s="1"/>
  <c r="K55" i="130"/>
  <c r="T55" i="130" s="1"/>
  <c r="R55" i="130" s="1"/>
  <c r="P63" i="133"/>
  <c r="L64" i="126" s="1"/>
  <c r="DN64" i="126" s="1"/>
  <c r="AE64" i="126" s="1"/>
  <c r="K66" i="132"/>
  <c r="V66" i="132" s="1"/>
  <c r="R66" i="132" s="1"/>
  <c r="O63" i="133"/>
  <c r="L64" i="110" s="1"/>
  <c r="DM64" i="110" s="1"/>
  <c r="AE64" i="110" s="1"/>
  <c r="Q63" i="133"/>
  <c r="L64" i="127" s="1"/>
  <c r="DO64" i="127" s="1"/>
  <c r="AE64" i="127" s="1"/>
  <c r="K66" i="131"/>
  <c r="U66" i="131" s="1"/>
  <c r="R66" i="131" s="1"/>
  <c r="K66" i="130"/>
  <c r="T66" i="130" s="1"/>
  <c r="R66" i="130" s="1"/>
  <c r="O69" i="133"/>
  <c r="L70" i="110" s="1"/>
  <c r="DM70" i="110" s="1"/>
  <c r="AE70" i="110" s="1"/>
  <c r="Q69" i="133"/>
  <c r="L70" i="127" s="1"/>
  <c r="DO70" i="127" s="1"/>
  <c r="AE70" i="127" s="1"/>
  <c r="K72" i="132"/>
  <c r="V72" i="132" s="1"/>
  <c r="R72" i="132" s="1"/>
  <c r="K72" i="131"/>
  <c r="U72" i="131" s="1"/>
  <c r="R72" i="131" s="1"/>
  <c r="K72" i="130"/>
  <c r="T72" i="130" s="1"/>
  <c r="R72" i="130" s="1"/>
  <c r="P69" i="133"/>
  <c r="L70" i="126" s="1"/>
  <c r="DN70" i="126" s="1"/>
  <c r="AE70" i="126" s="1"/>
  <c r="P70" i="133"/>
  <c r="L71" i="126" s="1"/>
  <c r="DN71" i="126" s="1"/>
  <c r="AE71" i="126" s="1"/>
  <c r="K73" i="132"/>
  <c r="V73" i="132" s="1"/>
  <c r="R73" i="132" s="1"/>
  <c r="K73" i="130"/>
  <c r="T73" i="130" s="1"/>
  <c r="R73" i="130" s="1"/>
  <c r="O70" i="133"/>
  <c r="L71" i="110" s="1"/>
  <c r="DM71" i="110" s="1"/>
  <c r="AE71" i="110" s="1"/>
  <c r="Q70" i="133"/>
  <c r="L71" i="127" s="1"/>
  <c r="DO71" i="127" s="1"/>
  <c r="AE71" i="127" s="1"/>
  <c r="K73" i="131"/>
  <c r="U73" i="131" s="1"/>
  <c r="R73" i="131" s="1"/>
  <c r="O71" i="133"/>
  <c r="L72" i="110" s="1"/>
  <c r="DM72" i="110" s="1"/>
  <c r="AE72" i="110" s="1"/>
  <c r="Q71" i="133"/>
  <c r="L72" i="127" s="1"/>
  <c r="DO72" i="127" s="1"/>
  <c r="AE72" i="127" s="1"/>
  <c r="K74" i="132"/>
  <c r="V74" i="132" s="1"/>
  <c r="R74" i="132" s="1"/>
  <c r="K74" i="131"/>
  <c r="U74" i="131" s="1"/>
  <c r="R74" i="131" s="1"/>
  <c r="K74" i="130"/>
  <c r="T74" i="130" s="1"/>
  <c r="R74" i="130" s="1"/>
  <c r="P71" i="133"/>
  <c r="L72" i="126" s="1"/>
  <c r="DN72" i="126" s="1"/>
  <c r="AE72" i="126" s="1"/>
  <c r="O80" i="133"/>
  <c r="L81" i="110" s="1"/>
  <c r="DM81" i="110" s="1"/>
  <c r="AE81" i="110" s="1"/>
  <c r="Q80" i="133"/>
  <c r="L81" i="127" s="1"/>
  <c r="DO81" i="127" s="1"/>
  <c r="AE81" i="127" s="1"/>
  <c r="K83" i="132"/>
  <c r="V83" i="132" s="1"/>
  <c r="R83" i="132" s="1"/>
  <c r="K83" i="130"/>
  <c r="T83" i="130" s="1"/>
  <c r="R83" i="130" s="1"/>
  <c r="P80" i="133"/>
  <c r="L81" i="126" s="1"/>
  <c r="DN81" i="126" s="1"/>
  <c r="AE81" i="126" s="1"/>
  <c r="K83" i="131"/>
  <c r="U83" i="131" s="1"/>
  <c r="R83" i="131" s="1"/>
  <c r="P81" i="133"/>
  <c r="L82" i="126" s="1"/>
  <c r="DN82" i="126" s="1"/>
  <c r="AE82" i="126" s="1"/>
  <c r="K84" i="132"/>
  <c r="V84" i="132" s="1"/>
  <c r="R84" i="132" s="1"/>
  <c r="K84" i="131"/>
  <c r="U84" i="131" s="1"/>
  <c r="R84" i="131" s="1"/>
  <c r="K84" i="130"/>
  <c r="T84" i="130" s="1"/>
  <c r="R84" i="130" s="1"/>
  <c r="O81" i="133"/>
  <c r="L82" i="110" s="1"/>
  <c r="DM82" i="110" s="1"/>
  <c r="AE82" i="110" s="1"/>
  <c r="Q81" i="133"/>
  <c r="L82" i="127" s="1"/>
  <c r="DO82" i="127" s="1"/>
  <c r="AE82" i="127" s="1"/>
  <c r="K51" i="131"/>
  <c r="U51" i="131" s="1"/>
  <c r="R51" i="131" s="1"/>
  <c r="K51" i="130"/>
  <c r="T51" i="130" s="1"/>
  <c r="R51" i="130" s="1"/>
  <c r="K51" i="132"/>
  <c r="V51" i="132" s="1"/>
  <c r="R51" i="132" s="1"/>
  <c r="K52" i="132"/>
  <c r="V52" i="132" s="1"/>
  <c r="R52" i="132" s="1"/>
  <c r="K52" i="131"/>
  <c r="U52" i="131" s="1"/>
  <c r="R52" i="131" s="1"/>
  <c r="K52" i="130"/>
  <c r="T52" i="130" s="1"/>
  <c r="R52" i="130" s="1"/>
  <c r="K53" i="132"/>
  <c r="V53" i="132" s="1"/>
  <c r="R53" i="132" s="1"/>
  <c r="K53" i="130"/>
  <c r="T53" i="130" s="1"/>
  <c r="R53" i="130" s="1"/>
  <c r="K53" i="131"/>
  <c r="U53" i="131" s="1"/>
  <c r="R53" i="131" s="1"/>
  <c r="O58" i="133"/>
  <c r="L59" i="110" s="1"/>
  <c r="DM59" i="110" s="1"/>
  <c r="AE59" i="110" s="1"/>
  <c r="Q58" i="133"/>
  <c r="L59" i="127" s="1"/>
  <c r="DO59" i="127" s="1"/>
  <c r="AE59" i="127" s="1"/>
  <c r="P58" i="133"/>
  <c r="L59" i="126" s="1"/>
  <c r="DN59" i="126" s="1"/>
  <c r="AE59" i="126" s="1"/>
  <c r="P59" i="133"/>
  <c r="L60" i="126" s="1"/>
  <c r="DN60" i="126" s="1"/>
  <c r="AE60" i="126" s="1"/>
  <c r="O59" i="133"/>
  <c r="L60" i="110" s="1"/>
  <c r="DM60" i="110" s="1"/>
  <c r="AE60" i="110" s="1"/>
  <c r="Q59" i="133"/>
  <c r="L60" i="127" s="1"/>
  <c r="DO60" i="127" s="1"/>
  <c r="AE60" i="127" s="1"/>
  <c r="K56" i="132"/>
  <c r="V56" i="132" s="1"/>
  <c r="R56" i="132" s="1"/>
  <c r="K56" i="131"/>
  <c r="U56" i="131" s="1"/>
  <c r="R56" i="131" s="1"/>
  <c r="K56" i="130"/>
  <c r="T56" i="130" s="1"/>
  <c r="R56" i="130" s="1"/>
  <c r="D66" i="126"/>
  <c r="D66" i="127"/>
  <c r="D66" i="110"/>
  <c r="D67" i="126"/>
  <c r="D67" i="127"/>
  <c r="D67" i="110"/>
  <c r="D68" i="127"/>
  <c r="D68" i="126"/>
  <c r="D68" i="110"/>
  <c r="D78" i="127"/>
  <c r="D78" i="126"/>
  <c r="D78" i="110"/>
  <c r="D79" i="126"/>
  <c r="D79" i="127"/>
  <c r="D79" i="110"/>
  <c r="D80" i="126"/>
  <c r="D80" i="127"/>
  <c r="D80" i="110"/>
  <c r="D61" i="127"/>
  <c r="D61" i="126"/>
  <c r="D61" i="110"/>
  <c r="D62" i="126"/>
  <c r="D62" i="127"/>
  <c r="D62" i="110"/>
  <c r="D63" i="127"/>
  <c r="D63" i="126"/>
  <c r="D63" i="110"/>
  <c r="BQ48" i="110"/>
  <c r="AZ48" i="110"/>
  <c r="AR48" i="110"/>
  <c r="AU48" i="110"/>
  <c r="AY48" i="110"/>
  <c r="BT48" i="110"/>
  <c r="AX48" i="110"/>
  <c r="BN48" i="110"/>
  <c r="BU48" i="110"/>
  <c r="BM48" i="110"/>
  <c r="AV48" i="110"/>
  <c r="BR48" i="110"/>
  <c r="BP48" i="110"/>
  <c r="AT48" i="110"/>
  <c r="BO48" i="110"/>
  <c r="AS48" i="110"/>
  <c r="BS48" i="110"/>
  <c r="AW48" i="110"/>
  <c r="AV50" i="130"/>
  <c r="BR50" i="130"/>
  <c r="BQ50" i="130"/>
  <c r="BS50" i="130"/>
  <c r="AY50" i="130"/>
  <c r="AW50" i="130"/>
  <c r="BT50" i="130"/>
  <c r="BL50" i="130"/>
  <c r="AX50" i="130"/>
  <c r="BO50" i="130"/>
  <c r="BM50" i="130"/>
  <c r="AQ50" i="130"/>
  <c r="AR50" i="130"/>
  <c r="BN50" i="130"/>
  <c r="AS50" i="130"/>
  <c r="BP50" i="130"/>
  <c r="AU50" i="130"/>
  <c r="AT50" i="130"/>
  <c r="AX48" i="126"/>
  <c r="BN48" i="126"/>
  <c r="AW48" i="126"/>
  <c r="AG48" i="126"/>
  <c r="BT48" i="126"/>
  <c r="AY48" i="126"/>
  <c r="AT48" i="126"/>
  <c r="AV48" i="126"/>
  <c r="BO48" i="126"/>
  <c r="BR48" i="126"/>
  <c r="BB48" i="126"/>
  <c r="AS48" i="126"/>
  <c r="BP48" i="126"/>
  <c r="AU48" i="126"/>
  <c r="BS48" i="126"/>
  <c r="AZ48" i="126"/>
  <c r="BQ48" i="126"/>
  <c r="BU48" i="126"/>
  <c r="BQ47" i="110"/>
  <c r="AZ47" i="110"/>
  <c r="AR47" i="110"/>
  <c r="AU47" i="110"/>
  <c r="BS47" i="110"/>
  <c r="AX47" i="110"/>
  <c r="BN47" i="110"/>
  <c r="AS47" i="110"/>
  <c r="AY47" i="110"/>
  <c r="BU47" i="110"/>
  <c r="BM47" i="110"/>
  <c r="AV47" i="110"/>
  <c r="BT47" i="110"/>
  <c r="BO47" i="110"/>
  <c r="AT47" i="110"/>
  <c r="BR47" i="110"/>
  <c r="AW47" i="110"/>
  <c r="BP47" i="110"/>
  <c r="AX49" i="131"/>
  <c r="BM49" i="131"/>
  <c r="AV49" i="131"/>
  <c r="AF49" i="131"/>
  <c r="BO49" i="131"/>
  <c r="BN49" i="131"/>
  <c r="AW49" i="131"/>
  <c r="BT49" i="131"/>
  <c r="AY49" i="131"/>
  <c r="AT49" i="131"/>
  <c r="BQ49" i="131"/>
  <c r="BA49" i="131"/>
  <c r="AR49" i="131"/>
  <c r="BP49" i="131"/>
  <c r="AU49" i="131"/>
  <c r="BS49" i="131"/>
  <c r="BR49" i="131"/>
  <c r="AS49" i="131"/>
  <c r="BT47" i="127"/>
  <c r="AY47" i="127"/>
  <c r="BQ47" i="127"/>
  <c r="AT47" i="127"/>
  <c r="BS47" i="127"/>
  <c r="AW47" i="127"/>
  <c r="AH47" i="127"/>
  <c r="AV47" i="127"/>
  <c r="BU47" i="127"/>
  <c r="BP47" i="127"/>
  <c r="AU47" i="127"/>
  <c r="AZ47" i="127"/>
  <c r="BC47" i="127"/>
  <c r="AG47" i="127"/>
  <c r="BO47" i="127"/>
  <c r="BR47" i="127"/>
  <c r="AX47" i="127"/>
  <c r="BB47" i="127"/>
  <c r="C69" i="131"/>
  <c r="AF69" i="131" s="1"/>
  <c r="C69" i="132"/>
  <c r="C82" i="131"/>
  <c r="AF82" i="131" s="1"/>
  <c r="C82" i="132"/>
  <c r="C64" i="131"/>
  <c r="BO64" i="131" s="1"/>
  <c r="C64" i="132"/>
  <c r="K82" i="131"/>
  <c r="U82" i="131" s="1"/>
  <c r="R82" i="131" s="1"/>
  <c r="K82" i="132"/>
  <c r="V82" i="132" s="1"/>
  <c r="R82" i="132" s="1"/>
  <c r="K64" i="131"/>
  <c r="U64" i="131" s="1"/>
  <c r="R64" i="131" s="1"/>
  <c r="K64" i="132"/>
  <c r="V64" i="132" s="1"/>
  <c r="R64" i="132" s="1"/>
  <c r="K61" i="131"/>
  <c r="U61" i="131" s="1"/>
  <c r="R61" i="131" s="1"/>
  <c r="K61" i="132"/>
  <c r="V61" i="132" s="1"/>
  <c r="R61" i="132" s="1"/>
  <c r="C80" i="131"/>
  <c r="BR80" i="131" s="1"/>
  <c r="C80" i="132"/>
  <c r="AG76" i="132"/>
  <c r="AR76" i="132"/>
  <c r="BM76" i="132"/>
  <c r="AQ76" i="132"/>
  <c r="BT76" i="132"/>
  <c r="BS76" i="132"/>
  <c r="AY76" i="132"/>
  <c r="BB76" i="132"/>
  <c r="AF76" i="132"/>
  <c r="AX76" i="132"/>
  <c r="BO76" i="132"/>
  <c r="BN76" i="132"/>
  <c r="BQ76" i="132"/>
  <c r="AW76" i="132"/>
  <c r="BA76" i="132"/>
  <c r="AV76" i="132"/>
  <c r="AU76" i="132"/>
  <c r="BK76" i="132"/>
  <c r="BL76" i="132"/>
  <c r="BP76" i="132"/>
  <c r="AP76" i="132"/>
  <c r="BR76" i="132"/>
  <c r="AS76" i="132"/>
  <c r="AT76" i="132"/>
  <c r="AY78" i="132"/>
  <c r="AW78" i="132"/>
  <c r="AU78" i="132"/>
  <c r="AS78" i="132"/>
  <c r="BQ78" i="132"/>
  <c r="BN78" i="132"/>
  <c r="BL78" i="132"/>
  <c r="BP78" i="132"/>
  <c r="AR78" i="132"/>
  <c r="AP78" i="132"/>
  <c r="AG78" i="132"/>
  <c r="BS78" i="132"/>
  <c r="AX78" i="132"/>
  <c r="AF78" i="132"/>
  <c r="BM78" i="132"/>
  <c r="BA78" i="132"/>
  <c r="AT78" i="132"/>
  <c r="AQ78" i="132"/>
  <c r="BK78" i="132"/>
  <c r="AV78" i="132"/>
  <c r="BO78" i="132"/>
  <c r="BR78" i="132"/>
  <c r="BT78" i="132"/>
  <c r="BB78" i="132"/>
  <c r="C62" i="131"/>
  <c r="BA62" i="131" s="1"/>
  <c r="C62" i="132"/>
  <c r="K69" i="131"/>
  <c r="U69" i="131" s="1"/>
  <c r="R69" i="131" s="1"/>
  <c r="K69" i="132"/>
  <c r="V69" i="132" s="1"/>
  <c r="R69" i="132" s="1"/>
  <c r="K80" i="131"/>
  <c r="U80" i="131" s="1"/>
  <c r="R80" i="131" s="1"/>
  <c r="K80" i="132"/>
  <c r="V80" i="132" s="1"/>
  <c r="R80" i="132" s="1"/>
  <c r="K62" i="131"/>
  <c r="U62" i="131" s="1"/>
  <c r="R62" i="131" s="1"/>
  <c r="K62" i="132"/>
  <c r="V62" i="132" s="1"/>
  <c r="R62" i="132" s="1"/>
  <c r="C68" i="131"/>
  <c r="AF68" i="131" s="1"/>
  <c r="C68" i="132"/>
  <c r="C70" i="131"/>
  <c r="AF70" i="131" s="1"/>
  <c r="C70" i="132"/>
  <c r="C81" i="131"/>
  <c r="AS81" i="131" s="1"/>
  <c r="C81" i="132"/>
  <c r="C63" i="131"/>
  <c r="BT63" i="131" s="1"/>
  <c r="C63" i="132"/>
  <c r="C65" i="131"/>
  <c r="BQ65" i="131" s="1"/>
  <c r="C65" i="132"/>
  <c r="BQ75" i="132"/>
  <c r="AV75" i="132"/>
  <c r="BN75" i="132"/>
  <c r="BB75" i="132"/>
  <c r="BA75" i="132"/>
  <c r="BL75" i="132"/>
  <c r="AG75" i="132"/>
  <c r="AF75" i="132"/>
  <c r="AU75" i="132"/>
  <c r="BP75" i="132"/>
  <c r="AS75" i="132"/>
  <c r="AQ75" i="132"/>
  <c r="BT75" i="132"/>
  <c r="AX75" i="132"/>
  <c r="BO75" i="132"/>
  <c r="BM75" i="132"/>
  <c r="BK75" i="132"/>
  <c r="AT75" i="132"/>
  <c r="BR75" i="132"/>
  <c r="AP75" i="132"/>
  <c r="AR75" i="132"/>
  <c r="AY75" i="132"/>
  <c r="AW75" i="132"/>
  <c r="BS75" i="132"/>
  <c r="AG77" i="132"/>
  <c r="AR77" i="132"/>
  <c r="BR77" i="132"/>
  <c r="AV77" i="132"/>
  <c r="AF77" i="132"/>
  <c r="AU77" i="132"/>
  <c r="BL77" i="132"/>
  <c r="BA77" i="132"/>
  <c r="BQ77" i="132"/>
  <c r="BS77" i="132"/>
  <c r="AX77" i="132"/>
  <c r="BO77" i="132"/>
  <c r="BB77" i="132"/>
  <c r="AY77" i="132"/>
  <c r="AQ77" i="132"/>
  <c r="AT77" i="132"/>
  <c r="AS77" i="132"/>
  <c r="AW77" i="132"/>
  <c r="BN77" i="132"/>
  <c r="BP77" i="132"/>
  <c r="BM77" i="132"/>
  <c r="BT77" i="132"/>
  <c r="AP77" i="132"/>
  <c r="BK77" i="132"/>
  <c r="AF79" i="132"/>
  <c r="BA79" i="132"/>
  <c r="BB79" i="132"/>
  <c r="AG79" i="132"/>
  <c r="BS79" i="132"/>
  <c r="BT79" i="132"/>
  <c r="BR79" i="132"/>
  <c r="AX79" i="132"/>
  <c r="AY79" i="132"/>
  <c r="AW79" i="132"/>
  <c r="C61" i="131"/>
  <c r="AY61" i="131" s="1"/>
  <c r="C61" i="132"/>
  <c r="K68" i="131"/>
  <c r="U68" i="131" s="1"/>
  <c r="R68" i="131" s="1"/>
  <c r="K68" i="132"/>
  <c r="V68" i="132" s="1"/>
  <c r="R68" i="132" s="1"/>
  <c r="K70" i="131"/>
  <c r="U70" i="131" s="1"/>
  <c r="R70" i="131" s="1"/>
  <c r="K70" i="132"/>
  <c r="V70" i="132" s="1"/>
  <c r="R70" i="132" s="1"/>
  <c r="K81" i="131"/>
  <c r="U81" i="131" s="1"/>
  <c r="R81" i="131" s="1"/>
  <c r="K81" i="132"/>
  <c r="V81" i="132" s="1"/>
  <c r="R81" i="132" s="1"/>
  <c r="K63" i="131"/>
  <c r="U63" i="131" s="1"/>
  <c r="R63" i="131" s="1"/>
  <c r="K63" i="132"/>
  <c r="V63" i="132" s="1"/>
  <c r="R63" i="132" s="1"/>
  <c r="K65" i="131"/>
  <c r="U65" i="131" s="1"/>
  <c r="R65" i="131" s="1"/>
  <c r="K65" i="132"/>
  <c r="V65" i="132" s="1"/>
  <c r="R65" i="132" s="1"/>
  <c r="C76" i="130"/>
  <c r="AV76" i="130" s="1"/>
  <c r="C76" i="131"/>
  <c r="C78" i="130"/>
  <c r="AO78" i="130" s="1"/>
  <c r="C78" i="131"/>
  <c r="AF62" i="131"/>
  <c r="K76" i="130"/>
  <c r="T76" i="130" s="1"/>
  <c r="R76" i="130" s="1"/>
  <c r="K76" i="131"/>
  <c r="U76" i="131" s="1"/>
  <c r="R76" i="131" s="1"/>
  <c r="K78" i="130"/>
  <c r="T78" i="130" s="1"/>
  <c r="R78" i="130" s="1"/>
  <c r="K78" i="131"/>
  <c r="U78" i="131" s="1"/>
  <c r="R78" i="131" s="1"/>
  <c r="AY68" i="131"/>
  <c r="C75" i="130"/>
  <c r="BP75" i="130" s="1"/>
  <c r="C75" i="131"/>
  <c r="C79" i="130"/>
  <c r="AX79" i="130" s="1"/>
  <c r="C79" i="131"/>
  <c r="BT61" i="131"/>
  <c r="BN81" i="131"/>
  <c r="AX81" i="131"/>
  <c r="BS81" i="131"/>
  <c r="AQ81" i="131"/>
  <c r="AU81" i="131"/>
  <c r="AF63" i="131"/>
  <c r="BS65" i="131"/>
  <c r="AX65" i="131"/>
  <c r="AY65" i="131"/>
  <c r="AU65" i="131"/>
  <c r="AT65" i="131"/>
  <c r="C77" i="130"/>
  <c r="AV77" i="130" s="1"/>
  <c r="C77" i="131"/>
  <c r="K75" i="130"/>
  <c r="T75" i="130" s="1"/>
  <c r="R75" i="130" s="1"/>
  <c r="K75" i="131"/>
  <c r="U75" i="131" s="1"/>
  <c r="R75" i="131" s="1"/>
  <c r="K77" i="130"/>
  <c r="T77" i="130" s="1"/>
  <c r="R77" i="130" s="1"/>
  <c r="K77" i="131"/>
  <c r="U77" i="131" s="1"/>
  <c r="R77" i="131" s="1"/>
  <c r="K79" i="130"/>
  <c r="T79" i="130" s="1"/>
  <c r="R79" i="130" s="1"/>
  <c r="K79" i="131"/>
  <c r="U79" i="131" s="1"/>
  <c r="R79" i="131" s="1"/>
  <c r="BT69" i="131"/>
  <c r="AX80" i="131"/>
  <c r="AS80" i="131"/>
  <c r="AV82" i="131"/>
  <c r="BQ82" i="131"/>
  <c r="AT82" i="131"/>
  <c r="AV64" i="131"/>
  <c r="AF64" i="131"/>
  <c r="AN75" i="130"/>
  <c r="AW79" i="130"/>
  <c r="C61" i="130"/>
  <c r="K68" i="130"/>
  <c r="T68" i="130" s="1"/>
  <c r="R68" i="130" s="1"/>
  <c r="K70" i="130"/>
  <c r="T70" i="130" s="1"/>
  <c r="R70" i="130" s="1"/>
  <c r="K81" i="130"/>
  <c r="T81" i="130" s="1"/>
  <c r="R81" i="130" s="1"/>
  <c r="K63" i="130"/>
  <c r="T63" i="130" s="1"/>
  <c r="R63" i="130" s="1"/>
  <c r="K65" i="130"/>
  <c r="T65" i="130" s="1"/>
  <c r="R65" i="130" s="1"/>
  <c r="K61" i="130"/>
  <c r="T61" i="130" s="1"/>
  <c r="R61" i="130" s="1"/>
  <c r="C80" i="130"/>
  <c r="C64" i="130"/>
  <c r="C62" i="130"/>
  <c r="K69" i="130"/>
  <c r="T69" i="130" s="1"/>
  <c r="R69" i="130" s="1"/>
  <c r="K82" i="130"/>
  <c r="T82" i="130" s="1"/>
  <c r="R82" i="130" s="1"/>
  <c r="C69" i="130"/>
  <c r="C82" i="130"/>
  <c r="BI76" i="130"/>
  <c r="AO76" i="130"/>
  <c r="AW76" i="130"/>
  <c r="K80" i="130"/>
  <c r="T80" i="130" s="1"/>
  <c r="R80" i="130" s="1"/>
  <c r="K64" i="130"/>
  <c r="T64" i="130" s="1"/>
  <c r="R64" i="130" s="1"/>
  <c r="K62" i="130"/>
  <c r="T62" i="130" s="1"/>
  <c r="R62" i="130" s="1"/>
  <c r="C68" i="130"/>
  <c r="C70" i="130"/>
  <c r="C81" i="130"/>
  <c r="C63" i="130"/>
  <c r="C65" i="130"/>
  <c r="K46" i="133"/>
  <c r="M46" i="133"/>
  <c r="L46" i="133"/>
  <c r="Q51" i="133"/>
  <c r="L52" i="127" s="1"/>
  <c r="DO52" i="127" s="1"/>
  <c r="AE52" i="127" s="1"/>
  <c r="O51" i="133"/>
  <c r="L52" i="110" s="1"/>
  <c r="DM52" i="110" s="1"/>
  <c r="AE52" i="110" s="1"/>
  <c r="P51" i="133"/>
  <c r="L52" i="126" s="1"/>
  <c r="DN52" i="126" s="1"/>
  <c r="AE52" i="126" s="1"/>
  <c r="P49" i="133"/>
  <c r="L50" i="126" s="1"/>
  <c r="DN50" i="126" s="1"/>
  <c r="AE50" i="126" s="1"/>
  <c r="Q49" i="133"/>
  <c r="L50" i="127" s="1"/>
  <c r="O49" i="133"/>
  <c r="L50" i="110" s="1"/>
  <c r="DM50" i="110" s="1"/>
  <c r="AE50" i="110" s="1"/>
  <c r="O53" i="133"/>
  <c r="L54" i="110" s="1"/>
  <c r="DM54" i="110" s="1"/>
  <c r="AE54" i="110" s="1"/>
  <c r="P53" i="133"/>
  <c r="L54" i="126" s="1"/>
  <c r="DN54" i="126" s="1"/>
  <c r="AE54" i="126" s="1"/>
  <c r="Q53" i="133"/>
  <c r="L54" i="127" s="1"/>
  <c r="P45" i="133"/>
  <c r="L46" i="126" s="1"/>
  <c r="DN46" i="126" s="1"/>
  <c r="Q45" i="133"/>
  <c r="L46" i="127" s="1"/>
  <c r="O45" i="133"/>
  <c r="L46" i="110" s="1"/>
  <c r="O46" i="133"/>
  <c r="L47" i="110" s="1"/>
  <c r="DM47" i="110" s="1"/>
  <c r="AE47" i="110" s="1"/>
  <c r="P46" i="133"/>
  <c r="L47" i="126" s="1"/>
  <c r="DN47" i="126" s="1"/>
  <c r="AE47" i="126" s="1"/>
  <c r="Q46" i="133"/>
  <c r="L47" i="127" s="1"/>
  <c r="DO47" i="127" s="1"/>
  <c r="AE47" i="127" s="1"/>
  <c r="O47" i="133"/>
  <c r="L48" i="110" s="1"/>
  <c r="DM48" i="110" s="1"/>
  <c r="AE48" i="110" s="1"/>
  <c r="P47" i="133"/>
  <c r="L48" i="126" s="1"/>
  <c r="DN48" i="126" s="1"/>
  <c r="AE48" i="126" s="1"/>
  <c r="Q47" i="133"/>
  <c r="L48" i="127" s="1"/>
  <c r="DO48" i="127" s="1"/>
  <c r="AE48" i="127" s="1"/>
  <c r="Q52" i="133"/>
  <c r="L53" i="127" s="1"/>
  <c r="DO53" i="127" s="1"/>
  <c r="AE53" i="127" s="1"/>
  <c r="O52" i="133"/>
  <c r="L53" i="110" s="1"/>
  <c r="DM53" i="110" s="1"/>
  <c r="AE53" i="110" s="1"/>
  <c r="P52" i="133"/>
  <c r="L53" i="126" s="1"/>
  <c r="DN53" i="126" s="1"/>
  <c r="AE53" i="126" s="1"/>
  <c r="Q48" i="133"/>
  <c r="L49" i="127" s="1"/>
  <c r="O48" i="133"/>
  <c r="L49" i="110" s="1"/>
  <c r="DM49" i="110" s="1"/>
  <c r="AE49" i="110" s="1"/>
  <c r="P48" i="133"/>
  <c r="L49" i="126" s="1"/>
  <c r="DN49" i="126" s="1"/>
  <c r="AE49" i="126" s="1"/>
  <c r="P50" i="133"/>
  <c r="L51" i="126" s="1"/>
  <c r="DN51" i="126" s="1"/>
  <c r="AE51" i="126" s="1"/>
  <c r="Q50" i="133"/>
  <c r="L51" i="127" s="1"/>
  <c r="DO51" i="127" s="1"/>
  <c r="AE51" i="127" s="1"/>
  <c r="O50" i="133"/>
  <c r="L51" i="110" s="1"/>
  <c r="DM51" i="110" s="1"/>
  <c r="AE51" i="110" s="1"/>
  <c r="I46" i="133"/>
  <c r="G47" i="127" s="1"/>
  <c r="H46" i="133"/>
  <c r="G47" i="126" s="1"/>
  <c r="G46" i="133"/>
  <c r="G47" i="110" s="1"/>
  <c r="G115" i="118"/>
  <c r="F115" i="118"/>
  <c r="F114" i="118"/>
  <c r="F116" i="118"/>
  <c r="F117" i="118"/>
  <c r="D46" i="110"/>
  <c r="E46" i="110"/>
  <c r="DV46" i="110" s="1"/>
  <c r="DV45" i="110" s="1"/>
  <c r="C46" i="110"/>
  <c r="N46" i="110"/>
  <c r="AD46" i="110" s="1"/>
  <c r="BJ75" i="130" l="1"/>
  <c r="AR64" i="131"/>
  <c r="AW64" i="131"/>
  <c r="BP80" i="131"/>
  <c r="AR80" i="131"/>
  <c r="BS63" i="131"/>
  <c r="AQ78" i="130"/>
  <c r="BS77" i="130"/>
  <c r="BM64" i="131"/>
  <c r="AX64" i="131"/>
  <c r="BT64" i="131"/>
  <c r="BS80" i="131"/>
  <c r="BM80" i="131"/>
  <c r="BP63" i="131"/>
  <c r="AP78" i="130"/>
  <c r="BT77" i="130"/>
  <c r="AQ64" i="131"/>
  <c r="BA64" i="131"/>
  <c r="AY64" i="131"/>
  <c r="AQ80" i="131"/>
  <c r="BN80" i="131"/>
  <c r="BA69" i="131"/>
  <c r="AX63" i="131"/>
  <c r="BT70" i="131"/>
  <c r="AR78" i="130"/>
  <c r="AT77" i="130"/>
  <c r="BL75" i="130"/>
  <c r="BA80" i="131"/>
  <c r="AF80" i="131"/>
  <c r="BL63" i="131"/>
  <c r="BN78" i="130"/>
  <c r="BP78" i="130"/>
  <c r="AS78" i="130"/>
  <c r="AS76" i="130"/>
  <c r="AQ76" i="130"/>
  <c r="BL76" i="130"/>
  <c r="AY79" i="130"/>
  <c r="BO77" i="130"/>
  <c r="AN77" i="130"/>
  <c r="AO77" i="130"/>
  <c r="BS75" i="130"/>
  <c r="AO75" i="130"/>
  <c r="AU75" i="130"/>
  <c r="AW65" i="131"/>
  <c r="AQ65" i="131"/>
  <c r="BA65" i="131"/>
  <c r="BO65" i="131"/>
  <c r="AF65" i="131"/>
  <c r="AS63" i="131"/>
  <c r="BM63" i="131"/>
  <c r="BN63" i="131"/>
  <c r="AQ63" i="131"/>
  <c r="BA63" i="131"/>
  <c r="AY81" i="131"/>
  <c r="AV81" i="131"/>
  <c r="AF81" i="131"/>
  <c r="BR81" i="131"/>
  <c r="BA81" i="131"/>
  <c r="AY70" i="131"/>
  <c r="AF61" i="131"/>
  <c r="BT68" i="131"/>
  <c r="AY62" i="131"/>
  <c r="BJ78" i="130"/>
  <c r="AU78" i="130"/>
  <c r="BR78" i="130"/>
  <c r="AV78" i="130"/>
  <c r="BS78" i="130"/>
  <c r="AN78" i="130"/>
  <c r="BR76" i="130"/>
  <c r="AX76" i="130"/>
  <c r="BK76" i="130"/>
  <c r="AY76" i="130"/>
  <c r="BQ76" i="130"/>
  <c r="BM76" i="130"/>
  <c r="AV79" i="130"/>
  <c r="BS79" i="130"/>
  <c r="BQ79" i="130"/>
  <c r="AU77" i="130"/>
  <c r="AX77" i="130"/>
  <c r="BJ77" i="130"/>
  <c r="AY77" i="130"/>
  <c r="BR77" i="130"/>
  <c r="BN77" i="130"/>
  <c r="AW75" i="130"/>
  <c r="BO75" i="130"/>
  <c r="BK75" i="130"/>
  <c r="BQ75" i="130"/>
  <c r="AQ75" i="130"/>
  <c r="AY75" i="130"/>
  <c r="BR64" i="131"/>
  <c r="BQ64" i="131"/>
  <c r="AS64" i="131"/>
  <c r="BP64" i="131"/>
  <c r="BL64" i="131"/>
  <c r="AU64" i="131"/>
  <c r="BS64" i="131"/>
  <c r="BN64" i="131"/>
  <c r="AT64" i="131"/>
  <c r="AU82" i="131"/>
  <c r="AX82" i="131"/>
  <c r="BL80" i="131"/>
  <c r="AT80" i="131"/>
  <c r="AV80" i="131"/>
  <c r="AU80" i="131"/>
  <c r="AY80" i="131"/>
  <c r="BT80" i="131"/>
  <c r="BQ80" i="131"/>
  <c r="BO80" i="131"/>
  <c r="AW80" i="131"/>
  <c r="AY69" i="131"/>
  <c r="BN65" i="131"/>
  <c r="BP65" i="131"/>
  <c r="AV65" i="131"/>
  <c r="BR65" i="131"/>
  <c r="BM65" i="131"/>
  <c r="BT65" i="131"/>
  <c r="AS65" i="131"/>
  <c r="BL65" i="131"/>
  <c r="AR65" i="131"/>
  <c r="BR63" i="131"/>
  <c r="AT63" i="131"/>
  <c r="AR63" i="131"/>
  <c r="AY63" i="131"/>
  <c r="AW63" i="131"/>
  <c r="AV63" i="131"/>
  <c r="BQ63" i="131"/>
  <c r="AU63" i="131"/>
  <c r="BO63" i="131"/>
  <c r="BP81" i="131"/>
  <c r="BL81" i="131"/>
  <c r="BT81" i="131"/>
  <c r="BQ81" i="131"/>
  <c r="AT81" i="131"/>
  <c r="AW81" i="131"/>
  <c r="AR81" i="131"/>
  <c r="BO81" i="131"/>
  <c r="BM81" i="131"/>
  <c r="BA70" i="131"/>
  <c r="BA61" i="131"/>
  <c r="BA68" i="131"/>
  <c r="BT62" i="131"/>
  <c r="BQ63" i="126"/>
  <c r="AZ63" i="126"/>
  <c r="AR63" i="126"/>
  <c r="BB63" i="126"/>
  <c r="BT63" i="126"/>
  <c r="AX63" i="126"/>
  <c r="AT63" i="126"/>
  <c r="BN63" i="126"/>
  <c r="BS63" i="126"/>
  <c r="AY63" i="126"/>
  <c r="BU63" i="126"/>
  <c r="BM63" i="126"/>
  <c r="AV63" i="126"/>
  <c r="BR63" i="126"/>
  <c r="AU63" i="126"/>
  <c r="BO63" i="126"/>
  <c r="AS63" i="126"/>
  <c r="BP63" i="126"/>
  <c r="AG63" i="126"/>
  <c r="AW63" i="126"/>
  <c r="BS62" i="110"/>
  <c r="AT62" i="110"/>
  <c r="BR62" i="110"/>
  <c r="AS62" i="110"/>
  <c r="BT62" i="110"/>
  <c r="BP62" i="110"/>
  <c r="AR62" i="110"/>
  <c r="BU62" i="110"/>
  <c r="AY62" i="110"/>
  <c r="BM62" i="110"/>
  <c r="BO62" i="110"/>
  <c r="AX62" i="110"/>
  <c r="BN62" i="110"/>
  <c r="AW62" i="110"/>
  <c r="BL62" i="110"/>
  <c r="AU62" i="110"/>
  <c r="AZ62" i="110"/>
  <c r="AQ62" i="110"/>
  <c r="BQ62" i="110"/>
  <c r="AV62" i="110"/>
  <c r="AR62" i="126"/>
  <c r="AG62" i="126"/>
  <c r="AW62" i="126"/>
  <c r="AT62" i="126"/>
  <c r="BQ62" i="126"/>
  <c r="BN62" i="126"/>
  <c r="BS62" i="126"/>
  <c r="AZ62" i="126"/>
  <c r="BP62" i="126"/>
  <c r="AU62" i="126"/>
  <c r="BB62" i="126"/>
  <c r="BR62" i="126"/>
  <c r="AS62" i="126"/>
  <c r="BO62" i="126"/>
  <c r="BT62" i="126"/>
  <c r="AY62" i="126"/>
  <c r="AV62" i="126"/>
  <c r="BM62" i="126"/>
  <c r="AX62" i="126"/>
  <c r="BU62" i="126"/>
  <c r="BO61" i="126"/>
  <c r="AT61" i="126"/>
  <c r="BT61" i="126"/>
  <c r="AW61" i="126"/>
  <c r="AG61" i="126"/>
  <c r="BQ61" i="126"/>
  <c r="AU61" i="126"/>
  <c r="BP61" i="126"/>
  <c r="BB61" i="126"/>
  <c r="AY61" i="126"/>
  <c r="AV61" i="126"/>
  <c r="BS61" i="126"/>
  <c r="AX61" i="126"/>
  <c r="BN61" i="126"/>
  <c r="AR61" i="126"/>
  <c r="AZ61" i="126"/>
  <c r="AS61" i="126"/>
  <c r="BM61" i="126"/>
  <c r="BU61" i="126"/>
  <c r="BR61" i="126"/>
  <c r="BN80" i="110"/>
  <c r="AW80" i="110"/>
  <c r="BQ80" i="110"/>
  <c r="AZ80" i="110"/>
  <c r="AR80" i="110"/>
  <c r="BL80" i="110"/>
  <c r="AU80" i="110"/>
  <c r="BS80" i="110"/>
  <c r="AQ80" i="110"/>
  <c r="BP80" i="110"/>
  <c r="AY80" i="110"/>
  <c r="BR80" i="110"/>
  <c r="AS80" i="110"/>
  <c r="BU80" i="110"/>
  <c r="BM80" i="110"/>
  <c r="AV80" i="110"/>
  <c r="BT80" i="110"/>
  <c r="AT80" i="110"/>
  <c r="BO80" i="110"/>
  <c r="AX80" i="110"/>
  <c r="BT80" i="126"/>
  <c r="AY80" i="126"/>
  <c r="BN80" i="126"/>
  <c r="AR80" i="126"/>
  <c r="AZ80" i="126"/>
  <c r="BU80" i="126"/>
  <c r="AS80" i="126"/>
  <c r="BR80" i="126"/>
  <c r="BB80" i="126"/>
  <c r="BP80" i="126"/>
  <c r="AU80" i="126"/>
  <c r="BS80" i="126"/>
  <c r="AW80" i="126"/>
  <c r="AG80" i="126"/>
  <c r="BQ80" i="126"/>
  <c r="AT80" i="126"/>
  <c r="AX80" i="126"/>
  <c r="BO80" i="126"/>
  <c r="AV80" i="126"/>
  <c r="BM80" i="126"/>
  <c r="BS79" i="127"/>
  <c r="AW79" i="127"/>
  <c r="BP79" i="127"/>
  <c r="AU79" i="127"/>
  <c r="BO79" i="127"/>
  <c r="AS79" i="127"/>
  <c r="BN79" i="127"/>
  <c r="BR79" i="127"/>
  <c r="AV79" i="127"/>
  <c r="BB79" i="127"/>
  <c r="AT79" i="127"/>
  <c r="BT79" i="127"/>
  <c r="AY79" i="127"/>
  <c r="BU79" i="127"/>
  <c r="AX79" i="127"/>
  <c r="AH79" i="127"/>
  <c r="AZ79" i="127"/>
  <c r="BC79" i="127"/>
  <c r="AG79" i="127"/>
  <c r="BQ79" i="127"/>
  <c r="BN78" i="110"/>
  <c r="BQ78" i="110"/>
  <c r="AX78" i="110"/>
  <c r="BU78" i="110"/>
  <c r="AS78" i="110"/>
  <c r="BT78" i="110"/>
  <c r="AZ78" i="110"/>
  <c r="BO78" i="110"/>
  <c r="AV78" i="110"/>
  <c r="BS78" i="110"/>
  <c r="BM78" i="110"/>
  <c r="BR78" i="110"/>
  <c r="BL78" i="110"/>
  <c r="AT78" i="110"/>
  <c r="BP78" i="110"/>
  <c r="AW78" i="110"/>
  <c r="AR78" i="110"/>
  <c r="AY78" i="110"/>
  <c r="AQ78" i="110"/>
  <c r="AU78" i="110"/>
  <c r="BS78" i="127"/>
  <c r="BC78" i="127"/>
  <c r="AT78" i="127"/>
  <c r="BN78" i="127"/>
  <c r="AG78" i="127"/>
  <c r="BP78" i="127"/>
  <c r="AS78" i="127"/>
  <c r="AV78" i="127"/>
  <c r="AY78" i="127"/>
  <c r="BU78" i="127"/>
  <c r="AU78" i="127"/>
  <c r="BO78" i="127"/>
  <c r="AX78" i="127"/>
  <c r="AH78" i="127"/>
  <c r="BT78" i="127"/>
  <c r="AW78" i="127"/>
  <c r="AZ78" i="127"/>
  <c r="BR78" i="127"/>
  <c r="BQ78" i="127"/>
  <c r="BB78" i="127"/>
  <c r="BU68" i="126"/>
  <c r="AZ68" i="126"/>
  <c r="BB68" i="126"/>
  <c r="AG68" i="126"/>
  <c r="AY67" i="110"/>
  <c r="BU67" i="110"/>
  <c r="BT67" i="110"/>
  <c r="AZ67" i="110"/>
  <c r="AZ67" i="126"/>
  <c r="BU67" i="126"/>
  <c r="BB67" i="126"/>
  <c r="AG67" i="126"/>
  <c r="BC66" i="127"/>
  <c r="AH66" i="127"/>
  <c r="BB66" i="127"/>
  <c r="AG66" i="127"/>
  <c r="BQ56" i="130"/>
  <c r="BM56" i="130"/>
  <c r="BR56" i="130"/>
  <c r="AR56" i="130"/>
  <c r="BN56" i="130"/>
  <c r="BS56" i="130"/>
  <c r="AN56" i="130"/>
  <c r="AY56" i="130"/>
  <c r="BJ56" i="130"/>
  <c r="AW56" i="130"/>
  <c r="BT56" i="130"/>
  <c r="AU56" i="130"/>
  <c r="AP56" i="130"/>
  <c r="AX56" i="130"/>
  <c r="BG56" i="130"/>
  <c r="BO56" i="130"/>
  <c r="AV56" i="130"/>
  <c r="BH56" i="130"/>
  <c r="AQ56" i="130"/>
  <c r="AS56" i="130"/>
  <c r="BP56" i="130"/>
  <c r="AM56" i="130"/>
  <c r="BI56" i="130"/>
  <c r="AO56" i="130"/>
  <c r="BL56" i="130"/>
  <c r="AL56" i="130"/>
  <c r="AT56" i="130"/>
  <c r="BK56" i="130"/>
  <c r="BP56" i="132"/>
  <c r="BL56" i="132"/>
  <c r="AP56" i="132"/>
  <c r="AY56" i="132"/>
  <c r="BS56" i="132"/>
  <c r="AW56" i="132"/>
  <c r="BQ56" i="132"/>
  <c r="BI56" i="132"/>
  <c r="BA56" i="132"/>
  <c r="AR56" i="132"/>
  <c r="AX56" i="132"/>
  <c r="BJ56" i="132"/>
  <c r="BT56" i="132"/>
  <c r="AT56" i="132"/>
  <c r="BB56" i="132"/>
  <c r="BK56" i="132"/>
  <c r="AO56" i="132"/>
  <c r="BR56" i="132"/>
  <c r="AU56" i="132"/>
  <c r="AG56" i="132"/>
  <c r="AQ56" i="132"/>
  <c r="BN56" i="132"/>
  <c r="BM56" i="132"/>
  <c r="AV56" i="132"/>
  <c r="AN56" i="132"/>
  <c r="AF56" i="132"/>
  <c r="AS56" i="132"/>
  <c r="BO56" i="132"/>
  <c r="BT54" i="127"/>
  <c r="AO54" i="127"/>
  <c r="BL54" i="127"/>
  <c r="BO54" i="127"/>
  <c r="BC54" i="127"/>
  <c r="AT54" i="127"/>
  <c r="AH54" i="127"/>
  <c r="BP54" i="127"/>
  <c r="AY54" i="127"/>
  <c r="BM54" i="127"/>
  <c r="AV54" i="127"/>
  <c r="AG54" i="127"/>
  <c r="BN54" i="127"/>
  <c r="AW54" i="127"/>
  <c r="AZ54" i="127"/>
  <c r="BS54" i="127"/>
  <c r="BK54" i="127"/>
  <c r="AX54" i="127"/>
  <c r="AP54" i="127"/>
  <c r="BU54" i="127"/>
  <c r="BJ54" i="127"/>
  <c r="AS54" i="127"/>
  <c r="BR54" i="127"/>
  <c r="BB54" i="127"/>
  <c r="AQ54" i="127"/>
  <c r="AR54" i="127"/>
  <c r="AU54" i="127"/>
  <c r="BQ54" i="127"/>
  <c r="AZ60" i="126"/>
  <c r="BB60" i="126"/>
  <c r="BU60" i="126"/>
  <c r="AG60" i="126"/>
  <c r="AZ59" i="110"/>
  <c r="BU59" i="110"/>
  <c r="BT59" i="110"/>
  <c r="AY59" i="110"/>
  <c r="BB59" i="127"/>
  <c r="AG59" i="127"/>
  <c r="BC59" i="127"/>
  <c r="AH59" i="127"/>
  <c r="AF53" i="131"/>
  <c r="BT53" i="131"/>
  <c r="AY53" i="131"/>
  <c r="BA53" i="131"/>
  <c r="BT53" i="130"/>
  <c r="BS53" i="130"/>
  <c r="AX53" i="130"/>
  <c r="AY53" i="130"/>
  <c r="BU51" i="126"/>
  <c r="BB51" i="126"/>
  <c r="AG51" i="126"/>
  <c r="AZ51" i="126"/>
  <c r="BS52" i="130"/>
  <c r="AY52" i="130"/>
  <c r="AX52" i="130"/>
  <c r="BT52" i="130"/>
  <c r="AF52" i="132"/>
  <c r="BB52" i="132"/>
  <c r="AG52" i="132"/>
  <c r="BA52" i="132"/>
  <c r="BC50" i="127"/>
  <c r="BB50" i="127"/>
  <c r="AH50" i="127"/>
  <c r="AG50" i="127"/>
  <c r="BT51" i="130"/>
  <c r="BS51" i="130"/>
  <c r="AX51" i="130"/>
  <c r="AY51" i="130"/>
  <c r="AF51" i="131"/>
  <c r="BT51" i="131"/>
  <c r="AY51" i="131"/>
  <c r="BA51" i="131"/>
  <c r="BC49" i="127"/>
  <c r="AH49" i="127"/>
  <c r="BB49" i="127"/>
  <c r="AG49" i="127"/>
  <c r="BR84" i="130"/>
  <c r="AV84" i="130"/>
  <c r="BT84" i="130"/>
  <c r="BS84" i="130"/>
  <c r="AY84" i="130"/>
  <c r="AX84" i="130"/>
  <c r="BQ84" i="130"/>
  <c r="AW84" i="130"/>
  <c r="AF84" i="132"/>
  <c r="BA84" i="132"/>
  <c r="BB84" i="132"/>
  <c r="AG84" i="132"/>
  <c r="AX84" i="132"/>
  <c r="AY84" i="132"/>
  <c r="BT84" i="132"/>
  <c r="BS84" i="132"/>
  <c r="AY82" i="126"/>
  <c r="BU82" i="126"/>
  <c r="BT82" i="126"/>
  <c r="BS82" i="126"/>
  <c r="AG82" i="126"/>
  <c r="AX82" i="126"/>
  <c r="BB82" i="126"/>
  <c r="AZ82" i="126"/>
  <c r="AW83" i="131"/>
  <c r="BA83" i="131"/>
  <c r="BT83" i="131"/>
  <c r="AX83" i="131"/>
  <c r="AF83" i="131"/>
  <c r="BR83" i="131"/>
  <c r="BS83" i="131"/>
  <c r="AY83" i="131"/>
  <c r="BA83" i="132"/>
  <c r="AF83" i="132"/>
  <c r="AG83" i="132"/>
  <c r="BT83" i="132"/>
  <c r="BS83" i="132"/>
  <c r="BB83" i="132"/>
  <c r="AX83" i="132"/>
  <c r="AY83" i="132"/>
  <c r="BC81" i="127"/>
  <c r="BB81" i="127"/>
  <c r="BU81" i="127"/>
  <c r="AZ81" i="127"/>
  <c r="AH81" i="127"/>
  <c r="BT81" i="127"/>
  <c r="AG81" i="127"/>
  <c r="AY81" i="127"/>
  <c r="AY74" i="130"/>
  <c r="BT74" i="130"/>
  <c r="AX74" i="130"/>
  <c r="BS74" i="130"/>
  <c r="AG74" i="132"/>
  <c r="BB74" i="132"/>
  <c r="AF74" i="132"/>
  <c r="BA74" i="132"/>
  <c r="AH72" i="127"/>
  <c r="BC72" i="127"/>
  <c r="BB72" i="127"/>
  <c r="AG72" i="127"/>
  <c r="AF73" i="131"/>
  <c r="BT73" i="131"/>
  <c r="BA73" i="131"/>
  <c r="AY73" i="131"/>
  <c r="BA73" i="132"/>
  <c r="AG73" i="132"/>
  <c r="BB73" i="132"/>
  <c r="AF73" i="132"/>
  <c r="AG71" i="127"/>
  <c r="BC71" i="127"/>
  <c r="BB71" i="127"/>
  <c r="AH71" i="127"/>
  <c r="AX72" i="130"/>
  <c r="AY72" i="130"/>
  <c r="BS72" i="130"/>
  <c r="BT72" i="130"/>
  <c r="AG72" i="132"/>
  <c r="BB72" i="132"/>
  <c r="AF72" i="132"/>
  <c r="BA72" i="132"/>
  <c r="BB70" i="126"/>
  <c r="BU70" i="126"/>
  <c r="AG70" i="126"/>
  <c r="AZ70" i="126"/>
  <c r="BT71" i="131"/>
  <c r="AF71" i="131"/>
  <c r="BA71" i="131"/>
  <c r="AY71" i="131"/>
  <c r="BA71" i="132"/>
  <c r="BB71" i="132"/>
  <c r="AF71" i="132"/>
  <c r="AG71" i="132"/>
  <c r="BB69" i="127"/>
  <c r="BC69" i="127"/>
  <c r="AG69" i="127"/>
  <c r="AH69" i="127"/>
  <c r="BT66" i="130"/>
  <c r="AX66" i="130"/>
  <c r="BS66" i="130"/>
  <c r="AY66" i="130"/>
  <c r="AF66" i="132"/>
  <c r="BB66" i="132"/>
  <c r="AG66" i="132"/>
  <c r="BA66" i="132"/>
  <c r="AG64" i="127"/>
  <c r="BC64" i="127"/>
  <c r="BB64" i="127"/>
  <c r="AH64" i="127"/>
  <c r="BT55" i="130"/>
  <c r="AY55" i="130"/>
  <c r="BS55" i="130"/>
  <c r="AU55" i="130"/>
  <c r="BQ55" i="130"/>
  <c r="AW55" i="130"/>
  <c r="AX55" i="130"/>
  <c r="BP55" i="130"/>
  <c r="AV55" i="130"/>
  <c r="BR55" i="130"/>
  <c r="AF55" i="132"/>
  <c r="AG55" i="132"/>
  <c r="BB55" i="132"/>
  <c r="BT55" i="132"/>
  <c r="AX55" i="132"/>
  <c r="BA55" i="132"/>
  <c r="BS55" i="132"/>
  <c r="AW55" i="132"/>
  <c r="BR55" i="132"/>
  <c r="AY55" i="132"/>
  <c r="BC53" i="127"/>
  <c r="BS53" i="127"/>
  <c r="BU53" i="127"/>
  <c r="AX53" i="127"/>
  <c r="BB53" i="127"/>
  <c r="AZ53" i="127"/>
  <c r="AY53" i="127"/>
  <c r="AH53" i="127"/>
  <c r="BT53" i="127"/>
  <c r="AG53" i="127"/>
  <c r="BS54" i="132"/>
  <c r="BA54" i="132"/>
  <c r="BR54" i="132"/>
  <c r="AF54" i="132"/>
  <c r="BB54" i="132"/>
  <c r="AY54" i="132"/>
  <c r="AX54" i="132"/>
  <c r="BT54" i="132"/>
  <c r="AW54" i="132"/>
  <c r="AG54" i="132"/>
  <c r="BR54" i="131"/>
  <c r="BQ54" i="131"/>
  <c r="BA54" i="131"/>
  <c r="AW54" i="131"/>
  <c r="BS54" i="131"/>
  <c r="AY54" i="131"/>
  <c r="AV54" i="131"/>
  <c r="AF54" i="131"/>
  <c r="AX54" i="131"/>
  <c r="BT54" i="131"/>
  <c r="AZ52" i="127"/>
  <c r="BC52" i="127"/>
  <c r="AY52" i="127"/>
  <c r="BB52" i="127"/>
  <c r="BT52" i="127"/>
  <c r="BU52" i="127"/>
  <c r="BS52" i="127"/>
  <c r="AG52" i="127"/>
  <c r="AH52" i="127"/>
  <c r="AX52" i="127"/>
  <c r="AY77" i="110"/>
  <c r="BS77" i="110"/>
  <c r="BR77" i="110"/>
  <c r="AZ77" i="110"/>
  <c r="BT77" i="110"/>
  <c r="AX77" i="110"/>
  <c r="AW77" i="110"/>
  <c r="BQ77" i="110"/>
  <c r="BU77" i="110"/>
  <c r="AV77" i="110"/>
  <c r="BB77" i="127"/>
  <c r="AY77" i="127"/>
  <c r="BS77" i="127"/>
  <c r="BT77" i="127"/>
  <c r="BC77" i="127"/>
  <c r="AG77" i="127"/>
  <c r="BU77" i="127"/>
  <c r="AH77" i="127"/>
  <c r="AZ77" i="127"/>
  <c r="AX77" i="127"/>
  <c r="BQ75" i="110"/>
  <c r="AZ75" i="110"/>
  <c r="AR75" i="110"/>
  <c r="BR75" i="110"/>
  <c r="AU75" i="110"/>
  <c r="BJ75" i="110"/>
  <c r="BT75" i="110"/>
  <c r="AX75" i="110"/>
  <c r="AY75" i="110"/>
  <c r="BK75" i="110"/>
  <c r="AS75" i="110"/>
  <c r="BS75" i="110"/>
  <c r="BU75" i="110"/>
  <c r="BM75" i="110"/>
  <c r="AV75" i="110"/>
  <c r="BL75" i="110"/>
  <c r="AP75" i="110"/>
  <c r="BP75" i="110"/>
  <c r="AT75" i="110"/>
  <c r="BN75" i="110"/>
  <c r="AQ75" i="110"/>
  <c r="BO75" i="110"/>
  <c r="AW75" i="110"/>
  <c r="AO75" i="110"/>
  <c r="AG75" i="127"/>
  <c r="BN75" i="127"/>
  <c r="BR75" i="127"/>
  <c r="AZ75" i="127"/>
  <c r="AR75" i="127"/>
  <c r="AV75" i="127"/>
  <c r="BC75" i="127"/>
  <c r="BB75" i="127"/>
  <c r="BT75" i="127"/>
  <c r="BL75" i="127"/>
  <c r="AU75" i="127"/>
  <c r="BO75" i="127"/>
  <c r="AS75" i="127"/>
  <c r="AW75" i="127"/>
  <c r="BS75" i="127"/>
  <c r="AT75" i="127"/>
  <c r="BQ75" i="127"/>
  <c r="BP75" i="127"/>
  <c r="AY75" i="127"/>
  <c r="AQ75" i="127"/>
  <c r="BU75" i="127"/>
  <c r="AX75" i="127"/>
  <c r="AH75" i="127"/>
  <c r="BM75" i="127"/>
  <c r="AO76" i="110"/>
  <c r="BM76" i="110"/>
  <c r="AX76" i="110"/>
  <c r="BT76" i="110"/>
  <c r="BR76" i="110"/>
  <c r="AS76" i="110"/>
  <c r="BN76" i="110"/>
  <c r="BQ76" i="110"/>
  <c r="AP76" i="110"/>
  <c r="AU76" i="110"/>
  <c r="AT76" i="110"/>
  <c r="AY76" i="110"/>
  <c r="AV76" i="110"/>
  <c r="BK76" i="110"/>
  <c r="BO76" i="110"/>
  <c r="AQ76" i="110"/>
  <c r="AZ76" i="110"/>
  <c r="BL76" i="110"/>
  <c r="BU76" i="110"/>
  <c r="BJ76" i="110"/>
  <c r="AW76" i="110"/>
  <c r="BP76" i="110"/>
  <c r="AR76" i="110"/>
  <c r="BS76" i="110"/>
  <c r="BT76" i="126"/>
  <c r="BL76" i="126"/>
  <c r="AU76" i="126"/>
  <c r="BS76" i="126"/>
  <c r="AW76" i="126"/>
  <c r="AG76" i="126"/>
  <c r="BQ76" i="126"/>
  <c r="AZ76" i="126"/>
  <c r="AS76" i="126"/>
  <c r="BU76" i="126"/>
  <c r="BB76" i="126"/>
  <c r="BM76" i="126"/>
  <c r="AV76" i="126"/>
  <c r="BR76" i="126"/>
  <c r="BP76" i="126"/>
  <c r="AY76" i="126"/>
  <c r="AQ76" i="126"/>
  <c r="BN76" i="126"/>
  <c r="AR76" i="126"/>
  <c r="BK76" i="126"/>
  <c r="AT76" i="126"/>
  <c r="BO76" i="126"/>
  <c r="AX76" i="126"/>
  <c r="AP76" i="126"/>
  <c r="AO74" i="110"/>
  <c r="BK74" i="110"/>
  <c r="AY74" i="110"/>
  <c r="BR74" i="110"/>
  <c r="AZ74" i="110"/>
  <c r="AT74" i="110"/>
  <c r="BM74" i="110"/>
  <c r="AQ74" i="110"/>
  <c r="AP74" i="110"/>
  <c r="AR74" i="110"/>
  <c r="AS74" i="110"/>
  <c r="BP74" i="110"/>
  <c r="BQ74" i="110"/>
  <c r="AX74" i="110"/>
  <c r="AW74" i="110"/>
  <c r="AV74" i="110"/>
  <c r="BS74" i="110"/>
  <c r="BU74" i="110"/>
  <c r="BL74" i="110"/>
  <c r="BO74" i="110"/>
  <c r="BJ74" i="110"/>
  <c r="AU74" i="110"/>
  <c r="BT74" i="110"/>
  <c r="BN74" i="110"/>
  <c r="BO74" i="127"/>
  <c r="AX74" i="127"/>
  <c r="AH74" i="127"/>
  <c r="BN74" i="127"/>
  <c r="AR74" i="127"/>
  <c r="BU74" i="127"/>
  <c r="AY74" i="127"/>
  <c r="BB74" i="127"/>
  <c r="BR74" i="127"/>
  <c r="BL74" i="127"/>
  <c r="BP74" i="127"/>
  <c r="BS74" i="127"/>
  <c r="BC74" i="127"/>
  <c r="AT74" i="127"/>
  <c r="BT74" i="127"/>
  <c r="AW74" i="127"/>
  <c r="AG74" i="127"/>
  <c r="BM74" i="127"/>
  <c r="AQ74" i="127"/>
  <c r="BQ74" i="127"/>
  <c r="AU74" i="127"/>
  <c r="AV74" i="127"/>
  <c r="AS74" i="127"/>
  <c r="AZ74" i="127"/>
  <c r="AV73" i="110"/>
  <c r="BT73" i="110"/>
  <c r="BM73" i="110"/>
  <c r="AP73" i="110"/>
  <c r="AX73" i="110"/>
  <c r="BO73" i="110"/>
  <c r="BU73" i="110"/>
  <c r="BK73" i="110"/>
  <c r="AQ73" i="110"/>
  <c r="BQ73" i="110"/>
  <c r="AU73" i="110"/>
  <c r="AW73" i="110"/>
  <c r="BS73" i="110"/>
  <c r="AZ73" i="110"/>
  <c r="AS73" i="110"/>
  <c r="AY73" i="110"/>
  <c r="BR73" i="110"/>
  <c r="BJ73" i="110"/>
  <c r="BL73" i="110"/>
  <c r="BN73" i="110"/>
  <c r="AO73" i="110"/>
  <c r="AR73" i="110"/>
  <c r="AT73" i="110"/>
  <c r="BP73" i="110"/>
  <c r="BQ73" i="127"/>
  <c r="BL73" i="127"/>
  <c r="BS73" i="127"/>
  <c r="BO73" i="127"/>
  <c r="AZ73" i="127"/>
  <c r="BC73" i="127"/>
  <c r="AV73" i="127"/>
  <c r="AU73" i="127"/>
  <c r="AH73" i="127"/>
  <c r="AR73" i="127"/>
  <c r="BN73" i="127"/>
  <c r="AW73" i="127"/>
  <c r="AG73" i="127"/>
  <c r="BP73" i="127"/>
  <c r="AT73" i="127"/>
  <c r="AX73" i="127"/>
  <c r="BT73" i="127"/>
  <c r="BR73" i="127"/>
  <c r="BB73" i="127"/>
  <c r="AS73" i="127"/>
  <c r="BU73" i="127"/>
  <c r="AY73" i="127"/>
  <c r="AQ73" i="127"/>
  <c r="BM73" i="127"/>
  <c r="BO46" i="127"/>
  <c r="AX46" i="127"/>
  <c r="AH46" i="127"/>
  <c r="BP46" i="127"/>
  <c r="BB46" i="127"/>
  <c r="AG46" i="127"/>
  <c r="BQ46" i="127"/>
  <c r="BT46" i="127"/>
  <c r="BS46" i="127"/>
  <c r="BC46" i="127"/>
  <c r="AT46" i="127"/>
  <c r="BU46" i="127"/>
  <c r="AY46" i="127"/>
  <c r="BR46" i="127"/>
  <c r="AV46" i="127"/>
  <c r="AU46" i="127"/>
  <c r="AW46" i="127"/>
  <c r="AZ46" i="127"/>
  <c r="U75" i="127"/>
  <c r="Q75" i="127"/>
  <c r="AP74" i="133" s="1"/>
  <c r="S75" i="127"/>
  <c r="T75" i="127"/>
  <c r="U73" i="127"/>
  <c r="S73" i="127"/>
  <c r="T73" i="127"/>
  <c r="Q73" i="127"/>
  <c r="AP72" i="133" s="1"/>
  <c r="BR63" i="110"/>
  <c r="AS63" i="110"/>
  <c r="BU63" i="110"/>
  <c r="BM63" i="110"/>
  <c r="AV63" i="110"/>
  <c r="BS63" i="110"/>
  <c r="BP63" i="110"/>
  <c r="AU63" i="110"/>
  <c r="AY63" i="110"/>
  <c r="AX63" i="110"/>
  <c r="AQ63" i="110"/>
  <c r="BN63" i="110"/>
  <c r="AW63" i="110"/>
  <c r="BQ63" i="110"/>
  <c r="AZ63" i="110"/>
  <c r="AR63" i="110"/>
  <c r="AT63" i="110"/>
  <c r="BL63" i="110"/>
  <c r="BT63" i="110"/>
  <c r="BO63" i="110"/>
  <c r="AX63" i="127"/>
  <c r="BU63" i="127"/>
  <c r="BT63" i="127"/>
  <c r="AY63" i="127"/>
  <c r="BN63" i="127"/>
  <c r="AW63" i="127"/>
  <c r="BO63" i="127"/>
  <c r="AS63" i="127"/>
  <c r="AV63" i="127"/>
  <c r="BB63" i="127"/>
  <c r="BP63" i="127"/>
  <c r="AU63" i="127"/>
  <c r="BS63" i="127"/>
  <c r="BC63" i="127"/>
  <c r="AG63" i="127"/>
  <c r="AZ63" i="127"/>
  <c r="BR63" i="127"/>
  <c r="AH63" i="127"/>
  <c r="BQ63" i="127"/>
  <c r="AT63" i="127"/>
  <c r="AW62" i="127"/>
  <c r="AS62" i="127"/>
  <c r="BT62" i="127"/>
  <c r="BS62" i="127"/>
  <c r="BC62" i="127"/>
  <c r="AT62" i="127"/>
  <c r="BR62" i="127"/>
  <c r="AV62" i="127"/>
  <c r="BN62" i="127"/>
  <c r="AU62" i="127"/>
  <c r="AZ62" i="127"/>
  <c r="BO62" i="127"/>
  <c r="AX62" i="127"/>
  <c r="AH62" i="127"/>
  <c r="BB62" i="127"/>
  <c r="BU62" i="127"/>
  <c r="AY62" i="127"/>
  <c r="BQ62" i="127"/>
  <c r="AG62" i="127"/>
  <c r="BP62" i="127"/>
  <c r="BP61" i="110"/>
  <c r="BT61" i="110"/>
  <c r="BQ61" i="110"/>
  <c r="BN61" i="110"/>
  <c r="AV61" i="110"/>
  <c r="AQ61" i="110"/>
  <c r="BR61" i="110"/>
  <c r="BM61" i="110"/>
  <c r="BS61" i="110"/>
  <c r="AW61" i="110"/>
  <c r="BL61" i="110"/>
  <c r="BO61" i="110"/>
  <c r="AX61" i="110"/>
  <c r="AZ61" i="110"/>
  <c r="AR61" i="110"/>
  <c r="AU61" i="110"/>
  <c r="BU61" i="110"/>
  <c r="AT61" i="110"/>
  <c r="AY61" i="110"/>
  <c r="AS61" i="110"/>
  <c r="AV61" i="127"/>
  <c r="BC61" i="127"/>
  <c r="BS61" i="127"/>
  <c r="AY61" i="127"/>
  <c r="AT61" i="127"/>
  <c r="AX61" i="127"/>
  <c r="BU61" i="127"/>
  <c r="BR61" i="127"/>
  <c r="BB61" i="127"/>
  <c r="AS61" i="127"/>
  <c r="BT61" i="127"/>
  <c r="AZ61" i="127"/>
  <c r="BP61" i="127"/>
  <c r="AH61" i="127"/>
  <c r="BO61" i="127"/>
  <c r="BN61" i="127"/>
  <c r="AW61" i="127"/>
  <c r="AG61" i="127"/>
  <c r="AU61" i="127"/>
  <c r="BQ61" i="127"/>
  <c r="BQ80" i="127"/>
  <c r="AV80" i="127"/>
  <c r="BR80" i="127"/>
  <c r="AU80" i="127"/>
  <c r="BP80" i="127"/>
  <c r="AT80" i="127"/>
  <c r="BT80" i="127"/>
  <c r="AX80" i="127"/>
  <c r="AH80" i="127"/>
  <c r="AS80" i="127"/>
  <c r="BO80" i="127"/>
  <c r="AY80" i="127"/>
  <c r="BU80" i="127"/>
  <c r="AZ80" i="127"/>
  <c r="BB80" i="127"/>
  <c r="BC80" i="127"/>
  <c r="AG80" i="127"/>
  <c r="BN80" i="127"/>
  <c r="AW80" i="127"/>
  <c r="BS80" i="127"/>
  <c r="BO79" i="110"/>
  <c r="AZ79" i="110"/>
  <c r="BS79" i="110"/>
  <c r="AQ79" i="110"/>
  <c r="BT79" i="110"/>
  <c r="BM79" i="110"/>
  <c r="AS79" i="110"/>
  <c r="AY79" i="110"/>
  <c r="BQ79" i="110"/>
  <c r="BR79" i="110"/>
  <c r="BL79" i="110"/>
  <c r="BU79" i="110"/>
  <c r="BN79" i="110"/>
  <c r="BP79" i="110"/>
  <c r="AU79" i="110"/>
  <c r="AR79" i="110"/>
  <c r="AX79" i="110"/>
  <c r="AT79" i="110"/>
  <c r="AV79" i="110"/>
  <c r="AW79" i="110"/>
  <c r="AU79" i="126"/>
  <c r="AZ79" i="126"/>
  <c r="BQ79" i="126"/>
  <c r="BO79" i="126"/>
  <c r="AT79" i="126"/>
  <c r="BM79" i="126"/>
  <c r="AV79" i="126"/>
  <c r="BP79" i="126"/>
  <c r="AS79" i="126"/>
  <c r="AR79" i="126"/>
  <c r="BS79" i="126"/>
  <c r="BR79" i="126"/>
  <c r="BU79" i="126"/>
  <c r="AG79" i="126"/>
  <c r="AW79" i="126"/>
  <c r="AX79" i="126"/>
  <c r="BB79" i="126"/>
  <c r="AY79" i="126"/>
  <c r="BN79" i="126"/>
  <c r="BT79" i="126"/>
  <c r="BU78" i="126"/>
  <c r="AY78" i="126"/>
  <c r="AT78" i="126"/>
  <c r="BP78" i="126"/>
  <c r="BO78" i="126"/>
  <c r="AR78" i="126"/>
  <c r="BS78" i="126"/>
  <c r="BT78" i="126"/>
  <c r="AV78" i="126"/>
  <c r="BN78" i="126"/>
  <c r="AW78" i="126"/>
  <c r="AG78" i="126"/>
  <c r="AZ78" i="126"/>
  <c r="AX78" i="126"/>
  <c r="BM78" i="126"/>
  <c r="BR78" i="126"/>
  <c r="BB78" i="126"/>
  <c r="AS78" i="126"/>
  <c r="AU78" i="126"/>
  <c r="BQ78" i="126"/>
  <c r="BT68" i="110"/>
  <c r="AZ68" i="110"/>
  <c r="AY68" i="110"/>
  <c r="BU68" i="110"/>
  <c r="AH68" i="127"/>
  <c r="BC68" i="127"/>
  <c r="AG68" i="127"/>
  <c r="BB68" i="127"/>
  <c r="AG67" i="127"/>
  <c r="BC67" i="127"/>
  <c r="BB67" i="127"/>
  <c r="AH67" i="127"/>
  <c r="AZ66" i="110"/>
  <c r="BT66" i="110"/>
  <c r="BU66" i="110"/>
  <c r="AY66" i="110"/>
  <c r="AG66" i="126"/>
  <c r="AZ66" i="126"/>
  <c r="BB66" i="126"/>
  <c r="BU66" i="126"/>
  <c r="BQ54" i="110"/>
  <c r="BI54" i="110"/>
  <c r="AV54" i="110"/>
  <c r="AN54" i="110"/>
  <c r="BO54" i="110"/>
  <c r="AX54" i="110"/>
  <c r="AP54" i="110"/>
  <c r="AW54" i="110"/>
  <c r="BL54" i="110"/>
  <c r="AM54" i="110"/>
  <c r="BJ54" i="110"/>
  <c r="BH54" i="110"/>
  <c r="AQ54" i="110"/>
  <c r="BU54" i="110"/>
  <c r="BM54" i="110"/>
  <c r="AZ54" i="110"/>
  <c r="AR54" i="110"/>
  <c r="BS54" i="110"/>
  <c r="BK54" i="110"/>
  <c r="AT54" i="110"/>
  <c r="BN54" i="110"/>
  <c r="AO54" i="110"/>
  <c r="BT54" i="110"/>
  <c r="AU54" i="110"/>
  <c r="BR54" i="110"/>
  <c r="AS54" i="110"/>
  <c r="BP54" i="110"/>
  <c r="AY54" i="110"/>
  <c r="BR56" i="131"/>
  <c r="BN56" i="131"/>
  <c r="AQ56" i="131"/>
  <c r="AU56" i="131"/>
  <c r="BS56" i="131"/>
  <c r="BM56" i="131"/>
  <c r="AV56" i="131"/>
  <c r="AN56" i="131"/>
  <c r="AF56" i="131"/>
  <c r="AM56" i="131"/>
  <c r="AX56" i="131"/>
  <c r="BJ56" i="131"/>
  <c r="BT56" i="131"/>
  <c r="AO56" i="131"/>
  <c r="AY56" i="131"/>
  <c r="BK56" i="131"/>
  <c r="BH56" i="131"/>
  <c r="AP56" i="131"/>
  <c r="BL56" i="131"/>
  <c r="AW56" i="131"/>
  <c r="BQ56" i="131"/>
  <c r="BI56" i="131"/>
  <c r="BA56" i="131"/>
  <c r="AR56" i="131"/>
  <c r="AS56" i="131"/>
  <c r="BO56" i="131"/>
  <c r="AT56" i="131"/>
  <c r="BP56" i="131"/>
  <c r="AG54" i="126"/>
  <c r="AW54" i="126"/>
  <c r="BK54" i="126"/>
  <c r="AT54" i="126"/>
  <c r="AZ54" i="126"/>
  <c r="BQ54" i="126"/>
  <c r="AO54" i="126"/>
  <c r="BI54" i="126"/>
  <c r="BN54" i="126"/>
  <c r="AR54" i="126"/>
  <c r="BS54" i="126"/>
  <c r="BT54" i="126"/>
  <c r="BL54" i="126"/>
  <c r="AU54" i="126"/>
  <c r="AP54" i="126"/>
  <c r="BB54" i="126"/>
  <c r="BR54" i="126"/>
  <c r="AS54" i="126"/>
  <c r="BJ54" i="126"/>
  <c r="BU54" i="126"/>
  <c r="BP54" i="126"/>
  <c r="AY54" i="126"/>
  <c r="AQ54" i="126"/>
  <c r="AV54" i="126"/>
  <c r="BM54" i="126"/>
  <c r="AN54" i="126"/>
  <c r="AX54" i="126"/>
  <c r="BO54" i="126"/>
  <c r="BU60" i="110"/>
  <c r="BT60" i="110"/>
  <c r="AZ60" i="110"/>
  <c r="AY60" i="110"/>
  <c r="BC60" i="127"/>
  <c r="AG60" i="127"/>
  <c r="BB60" i="127"/>
  <c r="AH60" i="127"/>
  <c r="AZ59" i="126"/>
  <c r="BU59" i="126"/>
  <c r="BB59" i="126"/>
  <c r="AG59" i="126"/>
  <c r="BT51" i="110"/>
  <c r="BU51" i="110"/>
  <c r="AZ51" i="110"/>
  <c r="AY51" i="110"/>
  <c r="BA53" i="132"/>
  <c r="AG53" i="132"/>
  <c r="BB53" i="132"/>
  <c r="AF53" i="132"/>
  <c r="AG51" i="127"/>
  <c r="AH51" i="127"/>
  <c r="BC51" i="127"/>
  <c r="BB51" i="127"/>
  <c r="BT50" i="110"/>
  <c r="AZ50" i="110"/>
  <c r="AY50" i="110"/>
  <c r="BU50" i="110"/>
  <c r="AF52" i="131"/>
  <c r="AY52" i="131"/>
  <c r="BA52" i="131"/>
  <c r="BT52" i="131"/>
  <c r="BU50" i="126"/>
  <c r="BB50" i="126"/>
  <c r="AG50" i="126"/>
  <c r="AZ50" i="126"/>
  <c r="AY49" i="110"/>
  <c r="BU49" i="110"/>
  <c r="BT49" i="110"/>
  <c r="AZ49" i="110"/>
  <c r="AF51" i="132"/>
  <c r="BB51" i="132"/>
  <c r="BA51" i="132"/>
  <c r="AG51" i="132"/>
  <c r="AZ49" i="126"/>
  <c r="BU49" i="126"/>
  <c r="BB49" i="126"/>
  <c r="AG49" i="126"/>
  <c r="AY82" i="110"/>
  <c r="BS82" i="110"/>
  <c r="AW82" i="110"/>
  <c r="AZ82" i="110"/>
  <c r="BT82" i="110"/>
  <c r="AX82" i="110"/>
  <c r="BU82" i="110"/>
  <c r="BR82" i="110"/>
  <c r="BA84" i="131"/>
  <c r="AW84" i="131"/>
  <c r="AX84" i="131"/>
  <c r="AF84" i="131"/>
  <c r="BR84" i="131"/>
  <c r="BT84" i="131"/>
  <c r="BS84" i="131"/>
  <c r="AY84" i="131"/>
  <c r="AH82" i="127"/>
  <c r="AY82" i="127"/>
  <c r="AG82" i="127"/>
  <c r="BC82" i="127"/>
  <c r="AZ82" i="127"/>
  <c r="BB82" i="127"/>
  <c r="BU82" i="127"/>
  <c r="BT82" i="127"/>
  <c r="AZ81" i="110"/>
  <c r="AY81" i="110"/>
  <c r="BR81" i="110"/>
  <c r="BT81" i="110"/>
  <c r="AW81" i="110"/>
  <c r="BU81" i="110"/>
  <c r="AX81" i="110"/>
  <c r="BS81" i="110"/>
  <c r="BT83" i="130"/>
  <c r="AY83" i="130"/>
  <c r="BS83" i="130"/>
  <c r="AX83" i="130"/>
  <c r="AV83" i="130"/>
  <c r="BR83" i="130"/>
  <c r="BQ83" i="130"/>
  <c r="AW83" i="130"/>
  <c r="AZ81" i="126"/>
  <c r="BS81" i="126"/>
  <c r="BT81" i="126"/>
  <c r="BB81" i="126"/>
  <c r="BU81" i="126"/>
  <c r="AY81" i="126"/>
  <c r="AG81" i="126"/>
  <c r="AX81" i="126"/>
  <c r="AZ72" i="110"/>
  <c r="AY72" i="110"/>
  <c r="BT72" i="110"/>
  <c r="BU72" i="110"/>
  <c r="AY74" i="131"/>
  <c r="BT74" i="131"/>
  <c r="AF74" i="131"/>
  <c r="BA74" i="131"/>
  <c r="AZ72" i="126"/>
  <c r="BB72" i="126"/>
  <c r="BU72" i="126"/>
  <c r="AG72" i="126"/>
  <c r="AZ71" i="110"/>
  <c r="BT71" i="110"/>
  <c r="BU71" i="110"/>
  <c r="AY71" i="110"/>
  <c r="AY73" i="130"/>
  <c r="AX73" i="130"/>
  <c r="BT73" i="130"/>
  <c r="BS73" i="130"/>
  <c r="AZ71" i="126"/>
  <c r="AG71" i="126"/>
  <c r="BU71" i="126"/>
  <c r="BB71" i="126"/>
  <c r="BU70" i="110"/>
  <c r="AY70" i="110"/>
  <c r="AZ70" i="110"/>
  <c r="BT70" i="110"/>
  <c r="BT72" i="131"/>
  <c r="AF72" i="131"/>
  <c r="BA72" i="131"/>
  <c r="AY72" i="131"/>
  <c r="BC70" i="127"/>
  <c r="AG70" i="127"/>
  <c r="BB70" i="127"/>
  <c r="AH70" i="127"/>
  <c r="AZ69" i="110"/>
  <c r="AY69" i="110"/>
  <c r="BT69" i="110"/>
  <c r="BU69" i="110"/>
  <c r="AY71" i="130"/>
  <c r="BS71" i="130"/>
  <c r="AX71" i="130"/>
  <c r="BT71" i="130"/>
  <c r="AZ69" i="126"/>
  <c r="AG69" i="126"/>
  <c r="BU69" i="126"/>
  <c r="BB69" i="126"/>
  <c r="AY64" i="110"/>
  <c r="BU64" i="110"/>
  <c r="BT64" i="110"/>
  <c r="AZ64" i="110"/>
  <c r="AY66" i="131"/>
  <c r="AF66" i="131"/>
  <c r="BA66" i="131"/>
  <c r="BT66" i="131"/>
  <c r="BB64" i="126"/>
  <c r="BU64" i="126"/>
  <c r="AG64" i="126"/>
  <c r="AZ64" i="126"/>
  <c r="AW53" i="110"/>
  <c r="BS53" i="110"/>
  <c r="AV53" i="110"/>
  <c r="BU53" i="110"/>
  <c r="AZ53" i="110"/>
  <c r="AY53" i="110"/>
  <c r="BR53" i="110"/>
  <c r="BT53" i="110"/>
  <c r="AX53" i="110"/>
  <c r="BQ53" i="110"/>
  <c r="BS55" i="131"/>
  <c r="AV55" i="131"/>
  <c r="AF55" i="131"/>
  <c r="AX55" i="131"/>
  <c r="BT55" i="131"/>
  <c r="BR55" i="131"/>
  <c r="AY55" i="131"/>
  <c r="AW55" i="131"/>
  <c r="BQ55" i="131"/>
  <c r="BA55" i="131"/>
  <c r="AX53" i="126"/>
  <c r="BT53" i="126"/>
  <c r="AG53" i="126"/>
  <c r="AZ53" i="126"/>
  <c r="BB53" i="126"/>
  <c r="AY53" i="126"/>
  <c r="BR53" i="126"/>
  <c r="BS53" i="126"/>
  <c r="AW53" i="126"/>
  <c r="BU53" i="126"/>
  <c r="BS52" i="110"/>
  <c r="BU52" i="110"/>
  <c r="AZ52" i="110"/>
  <c r="BT52" i="110"/>
  <c r="AW52" i="110"/>
  <c r="AX52" i="110"/>
  <c r="BQ52" i="110"/>
  <c r="AV52" i="110"/>
  <c r="BR52" i="110"/>
  <c r="AY52" i="110"/>
  <c r="AV54" i="130"/>
  <c r="BS54" i="130"/>
  <c r="AY54" i="130"/>
  <c r="AX54" i="130"/>
  <c r="BR54" i="130"/>
  <c r="BQ54" i="130"/>
  <c r="AW54" i="130"/>
  <c r="BT54" i="130"/>
  <c r="BP54" i="130"/>
  <c r="AU54" i="130"/>
  <c r="BT52" i="126"/>
  <c r="AX52" i="126"/>
  <c r="AZ52" i="126"/>
  <c r="BR52" i="126"/>
  <c r="AW52" i="126"/>
  <c r="AY52" i="126"/>
  <c r="BB52" i="126"/>
  <c r="AG52" i="126"/>
  <c r="BU52" i="126"/>
  <c r="BS52" i="126"/>
  <c r="AZ77" i="126"/>
  <c r="AY77" i="126"/>
  <c r="AW77" i="126"/>
  <c r="AX77" i="126"/>
  <c r="BB77" i="126"/>
  <c r="BU77" i="126"/>
  <c r="BS77" i="126"/>
  <c r="AG77" i="126"/>
  <c r="BT77" i="126"/>
  <c r="BR77" i="126"/>
  <c r="BQ75" i="126"/>
  <c r="AZ75" i="126"/>
  <c r="AR75" i="126"/>
  <c r="BS75" i="126"/>
  <c r="BK75" i="126"/>
  <c r="AT75" i="126"/>
  <c r="BN75" i="126"/>
  <c r="AG75" i="126"/>
  <c r="BB75" i="126"/>
  <c r="AQ75" i="126"/>
  <c r="AY75" i="126"/>
  <c r="BU75" i="126"/>
  <c r="BM75" i="126"/>
  <c r="AV75" i="126"/>
  <c r="BO75" i="126"/>
  <c r="AX75" i="126"/>
  <c r="AP75" i="126"/>
  <c r="AW75" i="126"/>
  <c r="BR75" i="126"/>
  <c r="AS75" i="126"/>
  <c r="BP75" i="126"/>
  <c r="BL75" i="126"/>
  <c r="BT75" i="126"/>
  <c r="AU75" i="126"/>
  <c r="BU76" i="127"/>
  <c r="BM76" i="127"/>
  <c r="AV76" i="127"/>
  <c r="BL76" i="127"/>
  <c r="AU76" i="127"/>
  <c r="BN76" i="127"/>
  <c r="AQ76" i="127"/>
  <c r="AY76" i="127"/>
  <c r="AT76" i="127"/>
  <c r="AS76" i="127"/>
  <c r="BC76" i="127"/>
  <c r="AW76" i="127"/>
  <c r="BP76" i="127"/>
  <c r="BQ76" i="127"/>
  <c r="AZ76" i="127"/>
  <c r="AR76" i="127"/>
  <c r="BR76" i="127"/>
  <c r="BB76" i="127"/>
  <c r="BT76" i="127"/>
  <c r="AX76" i="127"/>
  <c r="BS76" i="127"/>
  <c r="AG76" i="127"/>
  <c r="BO76" i="127"/>
  <c r="AH76" i="127"/>
  <c r="AR74" i="126"/>
  <c r="BU74" i="126"/>
  <c r="BM74" i="126"/>
  <c r="AV74" i="126"/>
  <c r="BT74" i="126"/>
  <c r="BL74" i="126"/>
  <c r="AU74" i="126"/>
  <c r="BN74" i="126"/>
  <c r="AW74" i="126"/>
  <c r="AG74" i="126"/>
  <c r="AX74" i="126"/>
  <c r="BS74" i="126"/>
  <c r="AT74" i="126"/>
  <c r="BQ74" i="126"/>
  <c r="BP74" i="126"/>
  <c r="AY74" i="126"/>
  <c r="AQ74" i="126"/>
  <c r="BR74" i="126"/>
  <c r="BB74" i="126"/>
  <c r="AS74" i="126"/>
  <c r="BO74" i="126"/>
  <c r="AP74" i="126"/>
  <c r="BK74" i="126"/>
  <c r="AZ74" i="126"/>
  <c r="BO73" i="126"/>
  <c r="AX73" i="126"/>
  <c r="AP73" i="126"/>
  <c r="BQ73" i="126"/>
  <c r="AZ73" i="126"/>
  <c r="AR73" i="126"/>
  <c r="BN73" i="126"/>
  <c r="AG73" i="126"/>
  <c r="BB73" i="126"/>
  <c r="BP73" i="126"/>
  <c r="BS73" i="126"/>
  <c r="BK73" i="126"/>
  <c r="AT73" i="126"/>
  <c r="BU73" i="126"/>
  <c r="BM73" i="126"/>
  <c r="AV73" i="126"/>
  <c r="AW73" i="126"/>
  <c r="BR73" i="126"/>
  <c r="AS73" i="126"/>
  <c r="AQ73" i="126"/>
  <c r="AY73" i="126"/>
  <c r="AU73" i="126"/>
  <c r="BT73" i="126"/>
  <c r="BL73" i="126"/>
  <c r="BP46" i="126"/>
  <c r="AU46" i="126"/>
  <c r="BB46" i="126"/>
  <c r="BS46" i="126"/>
  <c r="BO46" i="126"/>
  <c r="AS46" i="126"/>
  <c r="BN46" i="126"/>
  <c r="AT46" i="126"/>
  <c r="BQ46" i="126"/>
  <c r="AG46" i="126"/>
  <c r="BT46" i="126"/>
  <c r="AY46" i="126"/>
  <c r="BR46" i="126"/>
  <c r="AV46" i="126"/>
  <c r="AW46" i="126"/>
  <c r="AZ46" i="126"/>
  <c r="BU46" i="126"/>
  <c r="AX46" i="126"/>
  <c r="U75" i="126"/>
  <c r="T75" i="126"/>
  <c r="Q75" i="126"/>
  <c r="AO74" i="133" s="1"/>
  <c r="S75" i="126"/>
  <c r="Q75" i="110"/>
  <c r="AN74" i="133" s="1"/>
  <c r="U75" i="110"/>
  <c r="S75" i="110"/>
  <c r="T75" i="110"/>
  <c r="Q73" i="126"/>
  <c r="AO72" i="133" s="1"/>
  <c r="T73" i="126"/>
  <c r="U73" i="126"/>
  <c r="S73" i="126"/>
  <c r="DN49" i="127"/>
  <c r="DO49" i="127"/>
  <c r="DN45" i="126"/>
  <c r="AE46" i="126"/>
  <c r="DN46" i="127"/>
  <c r="DO46" i="127"/>
  <c r="DN54" i="127"/>
  <c r="DO54" i="127"/>
  <c r="DN50" i="127"/>
  <c r="DO50" i="127"/>
  <c r="AF61" i="132"/>
  <c r="AG61" i="132"/>
  <c r="BB61" i="132"/>
  <c r="BA61" i="132"/>
  <c r="BP65" i="132"/>
  <c r="AG65" i="132"/>
  <c r="BS65" i="132"/>
  <c r="AY65" i="132"/>
  <c r="AU65" i="132"/>
  <c r="AW65" i="132"/>
  <c r="BB65" i="132"/>
  <c r="BQ65" i="132"/>
  <c r="BA65" i="132"/>
  <c r="BR65" i="132"/>
  <c r="BN65" i="132"/>
  <c r="AR65" i="132"/>
  <c r="AS65" i="132"/>
  <c r="BT65" i="132"/>
  <c r="AV65" i="132"/>
  <c r="AX65" i="132"/>
  <c r="AT65" i="132"/>
  <c r="BM65" i="132"/>
  <c r="AF65" i="132"/>
  <c r="BO65" i="132"/>
  <c r="AV81" i="132"/>
  <c r="AU81" i="132"/>
  <c r="BP81" i="132"/>
  <c r="AS81" i="132"/>
  <c r="AF81" i="132"/>
  <c r="BS81" i="132"/>
  <c r="AX81" i="132"/>
  <c r="BO81" i="132"/>
  <c r="AY81" i="132"/>
  <c r="AR81" i="132"/>
  <c r="AT81" i="132"/>
  <c r="BT81" i="132"/>
  <c r="AW81" i="132"/>
  <c r="BR81" i="132"/>
  <c r="BQ81" i="132"/>
  <c r="BB81" i="132"/>
  <c r="BM81" i="132"/>
  <c r="BN81" i="132"/>
  <c r="AG81" i="132"/>
  <c r="BA81" i="132"/>
  <c r="BA68" i="132"/>
  <c r="BB68" i="132"/>
  <c r="AG68" i="132"/>
  <c r="AF68" i="132"/>
  <c r="AR80" i="132"/>
  <c r="AG80" i="132"/>
  <c r="AS80" i="132"/>
  <c r="BA80" i="132"/>
  <c r="AY80" i="132"/>
  <c r="BP80" i="132"/>
  <c r="BS80" i="132"/>
  <c r="BN80" i="132"/>
  <c r="BB80" i="132"/>
  <c r="AF80" i="132"/>
  <c r="AU80" i="132"/>
  <c r="BR80" i="132"/>
  <c r="AW80" i="132"/>
  <c r="AX80" i="132"/>
  <c r="BT80" i="132"/>
  <c r="BQ80" i="132"/>
  <c r="BM80" i="132"/>
  <c r="AV80" i="132"/>
  <c r="AT80" i="132"/>
  <c r="BO80" i="132"/>
  <c r="BT82" i="131"/>
  <c r="AQ82" i="131"/>
  <c r="BM82" i="131"/>
  <c r="AR82" i="131"/>
  <c r="BN82" i="131"/>
  <c r="BT64" i="132"/>
  <c r="BR64" i="132"/>
  <c r="AU64" i="132"/>
  <c r="BM64" i="132"/>
  <c r="AV64" i="132"/>
  <c r="AF64" i="132"/>
  <c r="BN64" i="132"/>
  <c r="AT64" i="132"/>
  <c r="BO64" i="132"/>
  <c r="AX64" i="132"/>
  <c r="AG64" i="132"/>
  <c r="AY64" i="132"/>
  <c r="AR64" i="132"/>
  <c r="BS64" i="132"/>
  <c r="AS64" i="132"/>
  <c r="BP64" i="132"/>
  <c r="BQ64" i="132"/>
  <c r="AW64" i="132"/>
  <c r="BA64" i="132"/>
  <c r="BB64" i="132"/>
  <c r="AG69" i="132"/>
  <c r="AF69" i="132"/>
  <c r="BB69" i="132"/>
  <c r="BA69" i="132"/>
  <c r="BP82" i="131"/>
  <c r="BA82" i="131"/>
  <c r="AS82" i="131"/>
  <c r="AW82" i="131"/>
  <c r="BR82" i="131"/>
  <c r="BO63" i="132"/>
  <c r="BN63" i="132"/>
  <c r="AX63" i="132"/>
  <c r="BS63" i="132"/>
  <c r="BB63" i="132"/>
  <c r="AG63" i="132"/>
  <c r="BT63" i="132"/>
  <c r="AW63" i="132"/>
  <c r="AY63" i="132"/>
  <c r="BM63" i="132"/>
  <c r="AV63" i="132"/>
  <c r="AF63" i="132"/>
  <c r="AT63" i="132"/>
  <c r="AS63" i="132"/>
  <c r="AR63" i="132"/>
  <c r="BR63" i="132"/>
  <c r="BP63" i="132"/>
  <c r="BQ63" i="132"/>
  <c r="AU63" i="132"/>
  <c r="BA63" i="132"/>
  <c r="BA70" i="132"/>
  <c r="AG70" i="132"/>
  <c r="BB70" i="132"/>
  <c r="AF70" i="132"/>
  <c r="BA62" i="132"/>
  <c r="AG62" i="132"/>
  <c r="BB62" i="132"/>
  <c r="AF62" i="132"/>
  <c r="AY82" i="131"/>
  <c r="BL82" i="131"/>
  <c r="BS82" i="131"/>
  <c r="BO82" i="131"/>
  <c r="BM82" i="132"/>
  <c r="AW82" i="132"/>
  <c r="BT82" i="132"/>
  <c r="BA82" i="132"/>
  <c r="BQ82" i="132"/>
  <c r="AF82" i="132"/>
  <c r="BR82" i="132"/>
  <c r="BN82" i="132"/>
  <c r="AT82" i="132"/>
  <c r="AV82" i="132"/>
  <c r="BB82" i="132"/>
  <c r="AX82" i="132"/>
  <c r="BS82" i="132"/>
  <c r="AS82" i="132"/>
  <c r="BP82" i="132"/>
  <c r="AG82" i="132"/>
  <c r="AU82" i="132"/>
  <c r="AR82" i="132"/>
  <c r="BO82" i="132"/>
  <c r="AY82" i="132"/>
  <c r="BI78" i="130"/>
  <c r="BO78" i="130"/>
  <c r="BK78" i="130"/>
  <c r="AT78" i="130"/>
  <c r="BM78" i="130"/>
  <c r="AW78" i="130"/>
  <c r="BT76" i="130"/>
  <c r="BJ76" i="130"/>
  <c r="AT76" i="130"/>
  <c r="BS76" i="130"/>
  <c r="AR76" i="130"/>
  <c r="AU76" i="130"/>
  <c r="BR79" i="130"/>
  <c r="BP79" i="130"/>
  <c r="BL77" i="130"/>
  <c r="AQ77" i="130"/>
  <c r="BK77" i="130"/>
  <c r="AW77" i="130"/>
  <c r="AP77" i="130"/>
  <c r="BM77" i="130"/>
  <c r="AP75" i="130"/>
  <c r="BI75" i="130"/>
  <c r="AX75" i="130"/>
  <c r="AT75" i="130"/>
  <c r="AV75" i="130"/>
  <c r="AR75" i="130"/>
  <c r="BL78" i="130"/>
  <c r="AX78" i="130"/>
  <c r="BQ78" i="130"/>
  <c r="BT78" i="130"/>
  <c r="AY78" i="130"/>
  <c r="AP76" i="130"/>
  <c r="BO76" i="130"/>
  <c r="BN76" i="130"/>
  <c r="BP76" i="130"/>
  <c r="AN76" i="130"/>
  <c r="AU79" i="130"/>
  <c r="BT79" i="130"/>
  <c r="AS77" i="130"/>
  <c r="BI77" i="130"/>
  <c r="BQ77" i="130"/>
  <c r="BP77" i="130"/>
  <c r="AR77" i="130"/>
  <c r="BR75" i="130"/>
  <c r="BN75" i="130"/>
  <c r="AS75" i="130"/>
  <c r="BM75" i="130"/>
  <c r="BT75" i="130"/>
  <c r="AW79" i="131"/>
  <c r="BQ79" i="131"/>
  <c r="BT79" i="131"/>
  <c r="AX79" i="131"/>
  <c r="AV79" i="131"/>
  <c r="AF79" i="131"/>
  <c r="BS79" i="131"/>
  <c r="AY79" i="131"/>
  <c r="BA79" i="131"/>
  <c r="BR79" i="131"/>
  <c r="BO78" i="131"/>
  <c r="BK78" i="131"/>
  <c r="AX78" i="131"/>
  <c r="BR78" i="131"/>
  <c r="AY78" i="131"/>
  <c r="AU78" i="131"/>
  <c r="AP78" i="131"/>
  <c r="AT78" i="131"/>
  <c r="BN78" i="131"/>
  <c r="AW78" i="131"/>
  <c r="BQ78" i="131"/>
  <c r="BA78" i="131"/>
  <c r="BS78" i="131"/>
  <c r="AO78" i="131"/>
  <c r="BM78" i="131"/>
  <c r="AF78" i="131"/>
  <c r="BJ78" i="131"/>
  <c r="AQ78" i="131"/>
  <c r="BL78" i="131"/>
  <c r="AV78" i="131"/>
  <c r="BP78" i="131"/>
  <c r="BT78" i="131"/>
  <c r="AS78" i="131"/>
  <c r="AR78" i="131"/>
  <c r="AU77" i="131"/>
  <c r="AO77" i="131"/>
  <c r="AR77" i="131"/>
  <c r="AQ77" i="131"/>
  <c r="BK77" i="131"/>
  <c r="BO77" i="131"/>
  <c r="BR77" i="131"/>
  <c r="AY77" i="131"/>
  <c r="BS77" i="131"/>
  <c r="AP77" i="131"/>
  <c r="AW77" i="131"/>
  <c r="BA77" i="131"/>
  <c r="AX77" i="131"/>
  <c r="AS77" i="131"/>
  <c r="AV77" i="131"/>
  <c r="BP77" i="131"/>
  <c r="AT77" i="131"/>
  <c r="BT77" i="131"/>
  <c r="BL77" i="131"/>
  <c r="BN77" i="131"/>
  <c r="BQ77" i="131"/>
  <c r="BJ77" i="131"/>
  <c r="BM77" i="131"/>
  <c r="AF77" i="131"/>
  <c r="BO75" i="131"/>
  <c r="BA75" i="131"/>
  <c r="AR75" i="131"/>
  <c r="BL75" i="131"/>
  <c r="AQ75" i="131"/>
  <c r="BT75" i="131"/>
  <c r="AY75" i="131"/>
  <c r="AU75" i="131"/>
  <c r="AS75" i="131"/>
  <c r="BJ75" i="131"/>
  <c r="AX75" i="131"/>
  <c r="AF75" i="131"/>
  <c r="AW75" i="131"/>
  <c r="AV75" i="131"/>
  <c r="BN75" i="131"/>
  <c r="BS75" i="131"/>
  <c r="AO75" i="131"/>
  <c r="BQ75" i="131"/>
  <c r="AP75" i="131"/>
  <c r="BP75" i="131"/>
  <c r="BM75" i="131"/>
  <c r="AT75" i="131"/>
  <c r="BR75" i="131"/>
  <c r="BK75" i="131"/>
  <c r="BT76" i="131"/>
  <c r="BL76" i="131"/>
  <c r="AU76" i="131"/>
  <c r="AT76" i="131"/>
  <c r="BR76" i="131"/>
  <c r="AY76" i="131"/>
  <c r="BK76" i="131"/>
  <c r="BN76" i="131"/>
  <c r="AW76" i="131"/>
  <c r="BQ76" i="131"/>
  <c r="BA76" i="131"/>
  <c r="AO76" i="131"/>
  <c r="BM76" i="131"/>
  <c r="AF76" i="131"/>
  <c r="BS76" i="131"/>
  <c r="AP76" i="131"/>
  <c r="BJ76" i="131"/>
  <c r="AQ76" i="131"/>
  <c r="AX76" i="131"/>
  <c r="AV76" i="131"/>
  <c r="BP76" i="131"/>
  <c r="BO76" i="131"/>
  <c r="AS76" i="131"/>
  <c r="AR76" i="131"/>
  <c r="AU65" i="130"/>
  <c r="BL65" i="130"/>
  <c r="BT65" i="130"/>
  <c r="BR65" i="130"/>
  <c r="BQ65" i="130"/>
  <c r="BK65" i="130"/>
  <c r="BO65" i="130"/>
  <c r="AT65" i="130"/>
  <c r="BS65" i="130"/>
  <c r="BM65" i="130"/>
  <c r="AR65" i="130"/>
  <c r="AY65" i="130"/>
  <c r="AX65" i="130"/>
  <c r="BP65" i="130"/>
  <c r="AW65" i="130"/>
  <c r="BN65" i="130"/>
  <c r="AV65" i="130"/>
  <c r="AQ65" i="130"/>
  <c r="AP65" i="130"/>
  <c r="AS65" i="130"/>
  <c r="BN81" i="130"/>
  <c r="BR81" i="130"/>
  <c r="AR81" i="130"/>
  <c r="BT81" i="130"/>
  <c r="AP81" i="130"/>
  <c r="AY81" i="130"/>
  <c r="BP81" i="130"/>
  <c r="BQ81" i="130"/>
  <c r="AT81" i="130"/>
  <c r="BK81" i="130"/>
  <c r="BM81" i="130"/>
  <c r="AV81" i="130"/>
  <c r="BS81" i="130"/>
  <c r="AQ81" i="130"/>
  <c r="AW81" i="130"/>
  <c r="AS81" i="130"/>
  <c r="AX81" i="130"/>
  <c r="AU81" i="130"/>
  <c r="BO81" i="130"/>
  <c r="BL81" i="130"/>
  <c r="AX68" i="130"/>
  <c r="BS68" i="130"/>
  <c r="BT68" i="130"/>
  <c r="AY68" i="130"/>
  <c r="AX64" i="130"/>
  <c r="BR64" i="130"/>
  <c r="BQ64" i="130"/>
  <c r="AT64" i="130"/>
  <c r="AP64" i="130"/>
  <c r="BO64" i="130"/>
  <c r="AW64" i="130"/>
  <c r="BT64" i="130"/>
  <c r="BN64" i="130"/>
  <c r="AS64" i="130"/>
  <c r="AV64" i="130"/>
  <c r="AQ64" i="130"/>
  <c r="BK64" i="130"/>
  <c r="AU64" i="130"/>
  <c r="BM64" i="130"/>
  <c r="AR64" i="130"/>
  <c r="AY64" i="130"/>
  <c r="BS64" i="130"/>
  <c r="BL64" i="130"/>
  <c r="BP64" i="130"/>
  <c r="AY61" i="130"/>
  <c r="BT61" i="130"/>
  <c r="BS61" i="130"/>
  <c r="AX61" i="130"/>
  <c r="AP63" i="130"/>
  <c r="BL63" i="130"/>
  <c r="AQ63" i="130"/>
  <c r="BN63" i="130"/>
  <c r="BT63" i="130"/>
  <c r="BP63" i="130"/>
  <c r="AU63" i="130"/>
  <c r="BK63" i="130"/>
  <c r="AY63" i="130"/>
  <c r="AT63" i="130"/>
  <c r="BS63" i="130"/>
  <c r="BR63" i="130"/>
  <c r="BQ63" i="130"/>
  <c r="AS63" i="130"/>
  <c r="BO63" i="130"/>
  <c r="AW63" i="130"/>
  <c r="BM63" i="130"/>
  <c r="AV63" i="130"/>
  <c r="AX63" i="130"/>
  <c r="AR63" i="130"/>
  <c r="BT70" i="130"/>
  <c r="BS70" i="130"/>
  <c r="AX70" i="130"/>
  <c r="AY70" i="130"/>
  <c r="BS69" i="130"/>
  <c r="BT69" i="130"/>
  <c r="AX69" i="130"/>
  <c r="AY69" i="130"/>
  <c r="BR82" i="130"/>
  <c r="BQ82" i="130"/>
  <c r="BM82" i="130"/>
  <c r="BS82" i="130"/>
  <c r="AY82" i="130"/>
  <c r="BP82" i="130"/>
  <c r="BN82" i="130"/>
  <c r="AV82" i="130"/>
  <c r="BT82" i="130"/>
  <c r="AP82" i="130"/>
  <c r="AS82" i="130"/>
  <c r="AW82" i="130"/>
  <c r="BO82" i="130"/>
  <c r="AU82" i="130"/>
  <c r="AT82" i="130"/>
  <c r="AR82" i="130"/>
  <c r="BK82" i="130"/>
  <c r="AQ82" i="130"/>
  <c r="AX82" i="130"/>
  <c r="BL82" i="130"/>
  <c r="AX62" i="130"/>
  <c r="BT62" i="130"/>
  <c r="BS62" i="130"/>
  <c r="AY62" i="130"/>
  <c r="BM80" i="130"/>
  <c r="AW80" i="130"/>
  <c r="BN80" i="130"/>
  <c r="AT80" i="130"/>
  <c r="BK80" i="130"/>
  <c r="AY80" i="130"/>
  <c r="BP80" i="130"/>
  <c r="AS80" i="130"/>
  <c r="AX80" i="130"/>
  <c r="BO80" i="130"/>
  <c r="AV80" i="130"/>
  <c r="BR80" i="130"/>
  <c r="AR80" i="130"/>
  <c r="AP80" i="130"/>
  <c r="BL80" i="130"/>
  <c r="AQ80" i="130"/>
  <c r="BQ80" i="130"/>
  <c r="BS80" i="130"/>
  <c r="BT80" i="130"/>
  <c r="AU80" i="130"/>
  <c r="DM46" i="110"/>
  <c r="DM45" i="110" s="1"/>
  <c r="BN46" i="110"/>
  <c r="BS46" i="110"/>
  <c r="AZ46" i="110"/>
  <c r="AX46" i="110"/>
  <c r="BT46" i="110"/>
  <c r="AR46" i="110"/>
  <c r="BO46" i="110"/>
  <c r="BP46" i="110"/>
  <c r="DW46" i="110"/>
  <c r="DW45" i="110" s="1"/>
  <c r="DP46" i="110"/>
  <c r="DP45" i="110" s="1"/>
  <c r="AW46" i="110"/>
  <c r="DU46" i="110"/>
  <c r="DU45" i="110" s="1"/>
  <c r="AT46" i="110"/>
  <c r="AU46" i="110"/>
  <c r="DO46" i="110"/>
  <c r="DO45" i="110" s="1"/>
  <c r="BM46" i="110"/>
  <c r="AV46" i="110"/>
  <c r="DT46" i="110"/>
  <c r="DT45" i="110" s="1"/>
  <c r="BR46" i="110"/>
  <c r="DR46" i="110"/>
  <c r="DR45" i="110" s="1"/>
  <c r="DN46" i="110"/>
  <c r="DN45" i="110" s="1"/>
  <c r="AY46" i="110"/>
  <c r="DS46" i="110"/>
  <c r="DS45" i="110" s="1"/>
  <c r="BU46" i="110"/>
  <c r="BQ46" i="110"/>
  <c r="AS46" i="110"/>
  <c r="DQ46" i="110"/>
  <c r="DQ45" i="110" s="1"/>
  <c r="AY45" i="110" l="1"/>
  <c r="BU45" i="110"/>
  <c r="BU45" i="126"/>
  <c r="AZ45" i="126"/>
  <c r="BB45" i="126"/>
  <c r="BT45" i="110"/>
  <c r="AZ45" i="110"/>
  <c r="AG45" i="126"/>
  <c r="AG45" i="127"/>
  <c r="BC45" i="127"/>
  <c r="BB45" i="127"/>
  <c r="AH45" i="127"/>
  <c r="AE50" i="127"/>
  <c r="AE49" i="127"/>
  <c r="AE46" i="127"/>
  <c r="DN45" i="127"/>
  <c r="AE45" i="126"/>
  <c r="AE54" i="127"/>
  <c r="DO45" i="127"/>
  <c r="AE46" i="110"/>
  <c r="AE45" i="127" l="1"/>
  <c r="C96" i="110"/>
  <c r="C95" i="110"/>
  <c r="C93" i="110"/>
  <c r="C92" i="110"/>
  <c r="C90" i="110"/>
  <c r="C88" i="110"/>
  <c r="C87" i="110"/>
  <c r="C19" i="110"/>
  <c r="C18" i="110"/>
  <c r="C17" i="110"/>
  <c r="C15" i="110"/>
  <c r="C14" i="110"/>
  <c r="C12" i="110"/>
  <c r="C11" i="110"/>
  <c r="C10" i="110"/>
  <c r="O90" i="110"/>
  <c r="AC90" i="110" s="1"/>
  <c r="B90" i="110"/>
  <c r="M90" i="110" s="1"/>
  <c r="AC26" i="110"/>
  <c r="B26" i="110"/>
  <c r="M26" i="110" s="1"/>
  <c r="AC19" i="110"/>
  <c r="B19" i="110"/>
  <c r="M19" i="110" s="1"/>
  <c r="E90" i="110" l="1"/>
  <c r="E26" i="110"/>
  <c r="E19" i="110"/>
  <c r="H19" i="110"/>
  <c r="DO26" i="110" l="1"/>
  <c r="DR26" i="110"/>
  <c r="DS26" i="110"/>
  <c r="DN26" i="110"/>
  <c r="DW90" i="110"/>
  <c r="DS90" i="110"/>
  <c r="DO90" i="110"/>
  <c r="DQ90" i="110"/>
  <c r="DV90" i="110"/>
  <c r="DR90" i="110"/>
  <c r="DN90" i="110"/>
  <c r="DU90" i="110"/>
  <c r="DT90" i="110"/>
  <c r="DP90" i="110"/>
  <c r="DV26" i="110"/>
  <c r="DW26" i="110"/>
  <c r="DU26" i="110"/>
  <c r="DP26" i="110"/>
  <c r="DT26" i="110"/>
  <c r="DQ26" i="110"/>
  <c r="DW19" i="110"/>
  <c r="DS19" i="110"/>
  <c r="DO19" i="110"/>
  <c r="DQ19" i="110"/>
  <c r="DV19" i="110"/>
  <c r="DR19" i="110"/>
  <c r="DN19" i="110"/>
  <c r="DU19" i="110"/>
  <c r="DT19" i="110"/>
  <c r="DP19" i="110"/>
  <c r="N15" i="110" l="1"/>
  <c r="N14" i="110"/>
  <c r="N11" i="110"/>
  <c r="N19" i="110"/>
  <c r="AD19" i="110" s="1"/>
  <c r="C67" i="125"/>
  <c r="C68" i="125"/>
  <c r="N90" i="110" l="1"/>
  <c r="AD90" i="110" s="1"/>
  <c r="N10" i="110"/>
  <c r="C26" i="110"/>
  <c r="N26" i="110"/>
  <c r="AD26" i="110" s="1"/>
  <c r="R26" i="110" s="1"/>
  <c r="F108" i="118"/>
  <c r="J98" i="118"/>
  <c r="H98" i="118"/>
  <c r="F98" i="118"/>
  <c r="C98" i="118"/>
  <c r="C394" i="115"/>
  <c r="C99" i="118" s="1"/>
  <c r="C393" i="115"/>
  <c r="J99" i="118" s="1"/>
  <c r="F110" i="118" s="1"/>
  <c r="C104" i="118"/>
  <c r="J103" i="118"/>
  <c r="C103" i="118"/>
  <c r="J102" i="118"/>
  <c r="C102" i="118"/>
  <c r="J101" i="118"/>
  <c r="C101" i="118"/>
  <c r="J100" i="118"/>
  <c r="C100" i="118"/>
  <c r="J97" i="118"/>
  <c r="C97" i="118"/>
  <c r="J96" i="118"/>
  <c r="C96" i="118"/>
  <c r="J95" i="118"/>
  <c r="C95" i="118"/>
  <c r="J94" i="118"/>
  <c r="C94" i="118"/>
  <c r="C93" i="118"/>
  <c r="C92" i="118"/>
  <c r="J91" i="118"/>
  <c r="C91" i="118"/>
  <c r="J90" i="118"/>
  <c r="C90" i="118"/>
  <c r="C89" i="118"/>
  <c r="C89" i="132" s="1"/>
  <c r="C88" i="118"/>
  <c r="C88" i="132" s="1"/>
  <c r="D123" i="115"/>
  <c r="C123" i="115"/>
  <c r="B123" i="115"/>
  <c r="B235" i="115"/>
  <c r="B272" i="115"/>
  <c r="D87" i="126" l="1"/>
  <c r="D87" i="127"/>
  <c r="D88" i="126"/>
  <c r="D88" i="127"/>
  <c r="D89" i="126"/>
  <c r="D89" i="127"/>
  <c r="D92" i="126"/>
  <c r="D92" i="127"/>
  <c r="D93" i="127"/>
  <c r="D93" i="126"/>
  <c r="D95" i="126"/>
  <c r="D95" i="127"/>
  <c r="D96" i="127"/>
  <c r="D96" i="126"/>
  <c r="D89" i="110"/>
  <c r="Q92" i="133"/>
  <c r="L93" i="127" s="1"/>
  <c r="DO93" i="127" s="1"/>
  <c r="AE93" i="127" s="1"/>
  <c r="O92" i="133"/>
  <c r="L93" i="110" s="1"/>
  <c r="P92" i="133"/>
  <c r="L93" i="126" s="1"/>
  <c r="DN93" i="126" s="1"/>
  <c r="AE93" i="126" s="1"/>
  <c r="P95" i="133"/>
  <c r="L96" i="126" s="1"/>
  <c r="DN96" i="126" s="1"/>
  <c r="O95" i="133"/>
  <c r="L96" i="110" s="1"/>
  <c r="Q95" i="133"/>
  <c r="L96" i="127" s="1"/>
  <c r="DO96" i="127" s="1"/>
  <c r="AE96" i="127" s="1"/>
  <c r="Q91" i="133"/>
  <c r="L92" i="127" s="1"/>
  <c r="O91" i="133"/>
  <c r="L92" i="110" s="1"/>
  <c r="P91" i="133"/>
  <c r="L92" i="126" s="1"/>
  <c r="DN92" i="126" s="1"/>
  <c r="O94" i="133"/>
  <c r="L95" i="110" s="1"/>
  <c r="Q94" i="133"/>
  <c r="L95" i="127" s="1"/>
  <c r="P94" i="133"/>
  <c r="L95" i="126" s="1"/>
  <c r="DN95" i="126" s="1"/>
  <c r="AE95" i="126" s="1"/>
  <c r="O88" i="133"/>
  <c r="L89" i="110" s="1"/>
  <c r="DM89" i="110" s="1"/>
  <c r="AE89" i="110" s="1"/>
  <c r="Q88" i="133"/>
  <c r="L89" i="127" s="1"/>
  <c r="DO89" i="127" s="1"/>
  <c r="AE89" i="127" s="1"/>
  <c r="P88" i="133"/>
  <c r="L89" i="126" s="1"/>
  <c r="DN89" i="126" s="1"/>
  <c r="AE89" i="126" s="1"/>
  <c r="AO25" i="133"/>
  <c r="AP25" i="133"/>
  <c r="AW88" i="132"/>
  <c r="AG88" i="132"/>
  <c r="AF88" i="132"/>
  <c r="BA88" i="132"/>
  <c r="BT88" i="132"/>
  <c r="AY88" i="132"/>
  <c r="BR88" i="132"/>
  <c r="AX88" i="132"/>
  <c r="BS88" i="132"/>
  <c r="BB88" i="132"/>
  <c r="BS89" i="132"/>
  <c r="BB89" i="132"/>
  <c r="BA89" i="132"/>
  <c r="AG89" i="132"/>
  <c r="AX89" i="132"/>
  <c r="BT89" i="132"/>
  <c r="AY89" i="132"/>
  <c r="AF89" i="132"/>
  <c r="BR89" i="132"/>
  <c r="AW89" i="132"/>
  <c r="G108" i="118"/>
  <c r="F111" i="118"/>
  <c r="G110" i="118"/>
  <c r="G111" i="118"/>
  <c r="BT96" i="127" l="1"/>
  <c r="BU96" i="127"/>
  <c r="BC96" i="127"/>
  <c r="AZ96" i="127"/>
  <c r="AY96" i="127"/>
  <c r="BB96" i="127"/>
  <c r="AX96" i="127"/>
  <c r="AH96" i="127"/>
  <c r="AG96" i="127"/>
  <c r="BS96" i="127"/>
  <c r="AZ95" i="126"/>
  <c r="BS95" i="126"/>
  <c r="BB95" i="126"/>
  <c r="AG95" i="126"/>
  <c r="AY95" i="126"/>
  <c r="BT95" i="126"/>
  <c r="BU95" i="126"/>
  <c r="AX95" i="126"/>
  <c r="BR95" i="126"/>
  <c r="AW95" i="126"/>
  <c r="AZ93" i="127"/>
  <c r="AG93" i="127"/>
  <c r="BB93" i="127"/>
  <c r="BT93" i="127"/>
  <c r="AX93" i="127"/>
  <c r="BS93" i="127"/>
  <c r="BC93" i="127"/>
  <c r="AY93" i="127"/>
  <c r="BU93" i="127"/>
  <c r="AH93" i="127"/>
  <c r="AW92" i="126"/>
  <c r="BS92" i="126"/>
  <c r="AY92" i="126"/>
  <c r="BB92" i="126"/>
  <c r="AX92" i="126"/>
  <c r="BT92" i="126"/>
  <c r="BR92" i="126"/>
  <c r="AG92" i="126"/>
  <c r="BU92" i="126"/>
  <c r="AZ92" i="126"/>
  <c r="AZ89" i="126"/>
  <c r="AY89" i="126"/>
  <c r="AW89" i="126"/>
  <c r="AX89" i="126"/>
  <c r="BB89" i="126"/>
  <c r="BU89" i="126"/>
  <c r="BS89" i="126"/>
  <c r="AG89" i="126"/>
  <c r="BT89" i="126"/>
  <c r="BR89" i="126"/>
  <c r="BT88" i="126"/>
  <c r="AW88" i="126"/>
  <c r="AX88" i="126"/>
  <c r="AY88" i="126"/>
  <c r="BS88" i="126"/>
  <c r="AG88" i="126"/>
  <c r="AZ88" i="126"/>
  <c r="BU88" i="126"/>
  <c r="BR88" i="126"/>
  <c r="BB88" i="126"/>
  <c r="BU87" i="126"/>
  <c r="BS87" i="126"/>
  <c r="BR87" i="126"/>
  <c r="AG87" i="126"/>
  <c r="AY87" i="126"/>
  <c r="AZ87" i="126"/>
  <c r="AX87" i="126"/>
  <c r="BB87" i="126"/>
  <c r="AW87" i="126"/>
  <c r="BT87" i="126"/>
  <c r="BT96" i="126"/>
  <c r="BS96" i="126"/>
  <c r="BS94" i="126" s="1"/>
  <c r="AW96" i="126"/>
  <c r="BU96" i="126"/>
  <c r="BR96" i="126"/>
  <c r="AY96" i="126"/>
  <c r="AX96" i="126"/>
  <c r="AG96" i="126"/>
  <c r="BB96" i="126"/>
  <c r="AZ96" i="126"/>
  <c r="BS95" i="127"/>
  <c r="AX95" i="127"/>
  <c r="AZ95" i="127"/>
  <c r="BB95" i="127"/>
  <c r="AY95" i="127"/>
  <c r="AY94" i="127" s="1"/>
  <c r="BC95" i="127"/>
  <c r="AH95" i="127"/>
  <c r="BT95" i="127"/>
  <c r="AG95" i="127"/>
  <c r="AG94" i="127" s="1"/>
  <c r="BU95" i="127"/>
  <c r="BU94" i="127" s="1"/>
  <c r="AZ93" i="126"/>
  <c r="BS93" i="126"/>
  <c r="BS91" i="126" s="1"/>
  <c r="BB93" i="126"/>
  <c r="BR93" i="126"/>
  <c r="BT93" i="126"/>
  <c r="BU93" i="126"/>
  <c r="AX93" i="126"/>
  <c r="AG93" i="126"/>
  <c r="AW93" i="126"/>
  <c r="AW91" i="126" s="1"/>
  <c r="AY93" i="126"/>
  <c r="BC92" i="127"/>
  <c r="AH92" i="127"/>
  <c r="AH91" i="127" s="1"/>
  <c r="BT92" i="127"/>
  <c r="BU92" i="127"/>
  <c r="BB92" i="127"/>
  <c r="AZ92" i="127"/>
  <c r="BS92" i="127"/>
  <c r="AX92" i="127"/>
  <c r="AG92" i="127"/>
  <c r="AY92" i="127"/>
  <c r="AX89" i="127"/>
  <c r="AG89" i="127"/>
  <c r="BC89" i="127"/>
  <c r="AZ89" i="127"/>
  <c r="BU89" i="127"/>
  <c r="BT89" i="127"/>
  <c r="AY89" i="127"/>
  <c r="BB89" i="127"/>
  <c r="BS89" i="127"/>
  <c r="AH89" i="127"/>
  <c r="AZ88" i="127"/>
  <c r="AX88" i="127"/>
  <c r="BC88" i="127"/>
  <c r="AY88" i="127"/>
  <c r="BU88" i="127"/>
  <c r="BT88" i="127"/>
  <c r="AH88" i="127"/>
  <c r="BS88" i="127"/>
  <c r="BB88" i="127"/>
  <c r="AG88" i="127"/>
  <c r="AY87" i="127"/>
  <c r="BB87" i="127"/>
  <c r="AG87" i="127"/>
  <c r="AX87" i="127"/>
  <c r="AH87" i="127"/>
  <c r="BT87" i="127"/>
  <c r="BC87" i="127"/>
  <c r="BS87" i="127"/>
  <c r="BU87" i="127"/>
  <c r="AZ87" i="127"/>
  <c r="DN92" i="127"/>
  <c r="DO92" i="127"/>
  <c r="DO91" i="127" s="1"/>
  <c r="DN91" i="126"/>
  <c r="AE91" i="126" s="1"/>
  <c r="AE92" i="126"/>
  <c r="DN95" i="127"/>
  <c r="DO95" i="127"/>
  <c r="DO94" i="127" s="1"/>
  <c r="DN94" i="126"/>
  <c r="AE94" i="126" s="1"/>
  <c r="AE96" i="126"/>
  <c r="AY89" i="110"/>
  <c r="BR89" i="110"/>
  <c r="AV89" i="110"/>
  <c r="BS89" i="110"/>
  <c r="BU89" i="110"/>
  <c r="BQ89" i="110"/>
  <c r="AX89" i="110"/>
  <c r="AW89" i="110"/>
  <c r="AZ89" i="110"/>
  <c r="BT89" i="110"/>
  <c r="J46" i="118"/>
  <c r="F46" i="118"/>
  <c r="C46" i="118"/>
  <c r="J44" i="118"/>
  <c r="K44" i="131" s="1"/>
  <c r="U44" i="131" s="1"/>
  <c r="R44" i="131" s="1"/>
  <c r="C44" i="118"/>
  <c r="C43" i="118"/>
  <c r="J41" i="118"/>
  <c r="C41" i="118"/>
  <c r="J40" i="118"/>
  <c r="C40" i="118"/>
  <c r="J38" i="118"/>
  <c r="C38" i="118"/>
  <c r="C37" i="118"/>
  <c r="C36" i="118"/>
  <c r="C35" i="118"/>
  <c r="C34" i="118"/>
  <c r="J33" i="118"/>
  <c r="C33" i="118"/>
  <c r="C32" i="118"/>
  <c r="C31" i="118"/>
  <c r="C30" i="118"/>
  <c r="C29" i="118"/>
  <c r="C28" i="118"/>
  <c r="C27" i="118"/>
  <c r="J26" i="118"/>
  <c r="C26" i="118"/>
  <c r="B158" i="115"/>
  <c r="H26" i="118" s="1"/>
  <c r="B169" i="115"/>
  <c r="H27" i="118" s="1"/>
  <c r="H30" i="118" s="1"/>
  <c r="C169" i="115"/>
  <c r="H28" i="118" s="1"/>
  <c r="H31" i="118" s="1"/>
  <c r="D169" i="115"/>
  <c r="H29" i="118" s="1"/>
  <c r="H32" i="118" s="1"/>
  <c r="E169" i="115"/>
  <c r="I30" i="118" s="1"/>
  <c r="F169" i="115"/>
  <c r="I31" i="118" s="1"/>
  <c r="G169" i="115"/>
  <c r="I32" i="118" s="1"/>
  <c r="E182" i="115"/>
  <c r="I37" i="118" s="1"/>
  <c r="D182" i="115"/>
  <c r="I36" i="118" s="1"/>
  <c r="C182" i="115"/>
  <c r="H35" i="118" s="1"/>
  <c r="H37" i="118" s="1"/>
  <c r="B182" i="115"/>
  <c r="H34" i="118" s="1"/>
  <c r="C197" i="115"/>
  <c r="H38" i="118" s="1"/>
  <c r="B197" i="115"/>
  <c r="H33" i="118" s="1"/>
  <c r="C25" i="118"/>
  <c r="J24" i="118"/>
  <c r="H24" i="118"/>
  <c r="F24" i="118"/>
  <c r="C24" i="118"/>
  <c r="J23" i="118"/>
  <c r="C23" i="118"/>
  <c r="J22" i="118"/>
  <c r="C22" i="118"/>
  <c r="J21" i="118"/>
  <c r="C21" i="118"/>
  <c r="L18" i="132"/>
  <c r="G18" i="132"/>
  <c r="D18" i="132"/>
  <c r="B18" i="132"/>
  <c r="L18" i="131"/>
  <c r="G18" i="131"/>
  <c r="D18" i="131"/>
  <c r="B18" i="131"/>
  <c r="L18" i="130"/>
  <c r="G18" i="130"/>
  <c r="D18" i="130"/>
  <c r="Z18" i="130" s="1"/>
  <c r="B18" i="130"/>
  <c r="C20" i="118"/>
  <c r="C19" i="118"/>
  <c r="J18" i="118"/>
  <c r="C18" i="118"/>
  <c r="J17" i="118"/>
  <c r="C17" i="118"/>
  <c r="C97" i="115"/>
  <c r="F16" i="118"/>
  <c r="C16" i="118"/>
  <c r="F15" i="118"/>
  <c r="C15" i="118"/>
  <c r="H14" i="118"/>
  <c r="J13" i="118"/>
  <c r="C13" i="118"/>
  <c r="C91" i="115"/>
  <c r="H16" i="118" s="1"/>
  <c r="B91" i="115"/>
  <c r="H15" i="118" s="1"/>
  <c r="J12" i="118"/>
  <c r="C12" i="118"/>
  <c r="J11" i="118"/>
  <c r="C11" i="118"/>
  <c r="J10" i="118"/>
  <c r="C10" i="118"/>
  <c r="J9" i="118"/>
  <c r="C9" i="118"/>
  <c r="J8" i="118"/>
  <c r="C8" i="118"/>
  <c r="C4" i="118"/>
  <c r="J4" i="118"/>
  <c r="C5" i="118"/>
  <c r="J5" i="118"/>
  <c r="C6" i="118"/>
  <c r="J6" i="118"/>
  <c r="C7" i="118"/>
  <c r="J7" i="118"/>
  <c r="B73" i="115"/>
  <c r="F11" i="118" s="1"/>
  <c r="BR94" i="126" l="1"/>
  <c r="BS91" i="127"/>
  <c r="BU91" i="126"/>
  <c r="BB94" i="127"/>
  <c r="AZ94" i="126"/>
  <c r="AY94" i="126"/>
  <c r="AG91" i="127"/>
  <c r="BB91" i="127"/>
  <c r="BC91" i="127"/>
  <c r="AX91" i="126"/>
  <c r="BS94" i="127"/>
  <c r="AY91" i="126"/>
  <c r="BT94" i="127"/>
  <c r="BT91" i="127"/>
  <c r="BT91" i="126"/>
  <c r="AZ91" i="126"/>
  <c r="AH94" i="127"/>
  <c r="AY91" i="127"/>
  <c r="AZ91" i="127"/>
  <c r="BR91" i="126"/>
  <c r="BC94" i="127"/>
  <c r="AX94" i="127"/>
  <c r="BU94" i="126"/>
  <c r="AX91" i="127"/>
  <c r="AG91" i="126"/>
  <c r="AZ94" i="127"/>
  <c r="AX94" i="126"/>
  <c r="AW94" i="126"/>
  <c r="BT94" i="126"/>
  <c r="D22" i="110"/>
  <c r="D22" i="127"/>
  <c r="D22" i="126"/>
  <c r="BU91" i="127"/>
  <c r="D10" i="127"/>
  <c r="D10" i="126"/>
  <c r="D36" i="126"/>
  <c r="D36" i="127"/>
  <c r="D25" i="126"/>
  <c r="D25" i="127"/>
  <c r="D36" i="110"/>
  <c r="D26" i="126"/>
  <c r="D26" i="127"/>
  <c r="D28" i="127"/>
  <c r="D28" i="126"/>
  <c r="D29" i="127"/>
  <c r="D29" i="126"/>
  <c r="D39" i="126"/>
  <c r="D30" i="126"/>
  <c r="D30" i="127"/>
  <c r="D39" i="127"/>
  <c r="D11" i="126"/>
  <c r="D11" i="127"/>
  <c r="D9" i="126"/>
  <c r="D9" i="127"/>
  <c r="D27" i="127"/>
  <c r="D27" i="126"/>
  <c r="D37" i="127"/>
  <c r="D8" i="126"/>
  <c r="D37" i="126"/>
  <c r="D8" i="127"/>
  <c r="D14" i="126"/>
  <c r="D14" i="127"/>
  <c r="D15" i="126"/>
  <c r="D15" i="127"/>
  <c r="C44" i="131"/>
  <c r="AF44" i="131" s="1"/>
  <c r="D19" i="126"/>
  <c r="D19" i="127"/>
  <c r="D90" i="127"/>
  <c r="D90" i="126"/>
  <c r="D31" i="126"/>
  <c r="D31" i="127"/>
  <c r="D40" i="127"/>
  <c r="D40" i="126"/>
  <c r="BB91" i="126"/>
  <c r="AG94" i="126"/>
  <c r="K35" i="133"/>
  <c r="L35" i="133"/>
  <c r="M35" i="133"/>
  <c r="D38" i="127"/>
  <c r="D32" i="126"/>
  <c r="D38" i="126"/>
  <c r="D32" i="127"/>
  <c r="D17" i="127"/>
  <c r="D17" i="126"/>
  <c r="D18" i="126"/>
  <c r="D18" i="127"/>
  <c r="BB94" i="126"/>
  <c r="DN94" i="127"/>
  <c r="AE94" i="127" s="1"/>
  <c r="AE95" i="127"/>
  <c r="AE92" i="127"/>
  <c r="DN91" i="127"/>
  <c r="AY44" i="131"/>
  <c r="AX44" i="131"/>
  <c r="BT44" i="131"/>
  <c r="H13" i="133"/>
  <c r="G14" i="126" s="1"/>
  <c r="I13" i="133"/>
  <c r="G14" i="127" s="1"/>
  <c r="G13" i="133"/>
  <c r="G14" i="110" s="1"/>
  <c r="O18" i="133"/>
  <c r="L19" i="110" s="1"/>
  <c r="DM19" i="110" s="1"/>
  <c r="AE19" i="110" s="1"/>
  <c r="P18" i="133"/>
  <c r="L19" i="126" s="1"/>
  <c r="DN19" i="126" s="1"/>
  <c r="AE19" i="126" s="1"/>
  <c r="P89" i="133"/>
  <c r="L90" i="126" s="1"/>
  <c r="DN90" i="126" s="1"/>
  <c r="AE90" i="126" s="1"/>
  <c r="Q18" i="133"/>
  <c r="L19" i="127" s="1"/>
  <c r="O89" i="133"/>
  <c r="Q89" i="133"/>
  <c r="L90" i="127" s="1"/>
  <c r="DO90" i="127" s="1"/>
  <c r="AE90" i="127" s="1"/>
  <c r="D9" i="110"/>
  <c r="I37" i="133"/>
  <c r="G38" i="127" s="1"/>
  <c r="I31" i="133"/>
  <c r="G32" i="127" s="1"/>
  <c r="H31" i="133"/>
  <c r="G32" i="126" s="1"/>
  <c r="G31" i="133"/>
  <c r="G32" i="110" s="1"/>
  <c r="G37" i="133"/>
  <c r="G38" i="110" s="1"/>
  <c r="H37" i="133"/>
  <c r="G38" i="126" s="1"/>
  <c r="O10" i="133"/>
  <c r="L11" i="110" s="1"/>
  <c r="P10" i="133"/>
  <c r="L11" i="126" s="1"/>
  <c r="DN11" i="126" s="1"/>
  <c r="AE11" i="126" s="1"/>
  <c r="Q10" i="133"/>
  <c r="L11" i="127" s="1"/>
  <c r="DO11" i="127" s="1"/>
  <c r="AE11" i="127" s="1"/>
  <c r="O7" i="133"/>
  <c r="L8" i="110" s="1"/>
  <c r="P7" i="133"/>
  <c r="L8" i="126" s="1"/>
  <c r="DN8" i="126" s="1"/>
  <c r="Q7" i="133"/>
  <c r="L8" i="127" s="1"/>
  <c r="M13" i="133"/>
  <c r="L13" i="133"/>
  <c r="K13" i="133"/>
  <c r="M11" i="133"/>
  <c r="K11" i="133"/>
  <c r="L11" i="133"/>
  <c r="H14" i="133"/>
  <c r="G15" i="126" s="1"/>
  <c r="I14" i="133"/>
  <c r="G15" i="127" s="1"/>
  <c r="G14" i="133"/>
  <c r="G15" i="110" s="1"/>
  <c r="M31" i="133"/>
  <c r="M37" i="133"/>
  <c r="L31" i="133"/>
  <c r="K37" i="133"/>
  <c r="L37" i="133"/>
  <c r="K31" i="133"/>
  <c r="G30" i="133"/>
  <c r="G31" i="110" s="1"/>
  <c r="H39" i="133"/>
  <c r="G40" i="126" s="1"/>
  <c r="I30" i="133"/>
  <c r="G31" i="127" s="1"/>
  <c r="G39" i="133"/>
  <c r="G40" i="110" s="1"/>
  <c r="H30" i="133"/>
  <c r="G31" i="126" s="1"/>
  <c r="I39" i="133"/>
  <c r="G40" i="127" s="1"/>
  <c r="O8" i="133"/>
  <c r="L9" i="110" s="1"/>
  <c r="DM9" i="110" s="1"/>
  <c r="AE9" i="110" s="1"/>
  <c r="P8" i="133"/>
  <c r="L9" i="126" s="1"/>
  <c r="DN9" i="126" s="1"/>
  <c r="AE9" i="126" s="1"/>
  <c r="Q8" i="133"/>
  <c r="L9" i="127" s="1"/>
  <c r="DO9" i="127" s="1"/>
  <c r="AE9" i="127" s="1"/>
  <c r="O9" i="133"/>
  <c r="L10" i="110" s="1"/>
  <c r="P9" i="133"/>
  <c r="L10" i="126" s="1"/>
  <c r="DN10" i="126" s="1"/>
  <c r="AE10" i="126" s="1"/>
  <c r="Q9" i="133"/>
  <c r="L10" i="127" s="1"/>
  <c r="M14" i="133"/>
  <c r="K14" i="133"/>
  <c r="L14" i="133"/>
  <c r="K16" i="133"/>
  <c r="D70" i="138" s="1"/>
  <c r="L16" i="133"/>
  <c r="M16" i="133"/>
  <c r="K18" i="131"/>
  <c r="U18" i="131" s="1"/>
  <c r="DM26" i="110"/>
  <c r="AE26" i="110" s="1"/>
  <c r="D19" i="110"/>
  <c r="D90" i="110"/>
  <c r="C47" i="118"/>
  <c r="C18" i="131"/>
  <c r="BA18" i="131" s="1"/>
  <c r="D26" i="110"/>
  <c r="H36" i="118"/>
  <c r="C18" i="130"/>
  <c r="BT18" i="130" s="1"/>
  <c r="C18" i="132"/>
  <c r="BS18" i="132" s="1"/>
  <c r="K18" i="130"/>
  <c r="T18" i="130" s="1"/>
  <c r="K18" i="132"/>
  <c r="V18" i="132" s="1"/>
  <c r="W18" i="132"/>
  <c r="X18" i="132"/>
  <c r="Z18" i="132"/>
  <c r="AB18" i="132"/>
  <c r="AD18" i="132"/>
  <c r="T18" i="132"/>
  <c r="AA18" i="132"/>
  <c r="W18" i="131"/>
  <c r="X18" i="131"/>
  <c r="AA18" i="131"/>
  <c r="T18" i="131"/>
  <c r="AB18" i="131"/>
  <c r="AA18" i="130"/>
  <c r="W18" i="130"/>
  <c r="AB18" i="130"/>
  <c r="V18" i="130"/>
  <c r="X18" i="130"/>
  <c r="AD18" i="130"/>
  <c r="U18" i="132"/>
  <c r="Y18" i="132"/>
  <c r="AC18" i="132"/>
  <c r="Y18" i="131"/>
  <c r="AC18" i="131"/>
  <c r="V18" i="131"/>
  <c r="Z18" i="131"/>
  <c r="AD18" i="131"/>
  <c r="U18" i="130"/>
  <c r="Y18" i="130"/>
  <c r="AC18" i="130"/>
  <c r="B32" i="125"/>
  <c r="B45" i="125"/>
  <c r="B34" i="125"/>
  <c r="B47" i="125"/>
  <c r="B35" i="125"/>
  <c r="B48" i="125"/>
  <c r="B37" i="125"/>
  <c r="B50" i="125"/>
  <c r="C61" i="125"/>
  <c r="C60" i="125"/>
  <c r="C59" i="125"/>
  <c r="H48" i="118"/>
  <c r="H50" i="118"/>
  <c r="H54" i="118"/>
  <c r="H55" i="118"/>
  <c r="F48" i="118"/>
  <c r="F50" i="118"/>
  <c r="F54" i="118"/>
  <c r="F55" i="118"/>
  <c r="H61" i="118"/>
  <c r="H62" i="118"/>
  <c r="H56" i="118"/>
  <c r="H68" i="118"/>
  <c r="H69" i="118"/>
  <c r="H70" i="118"/>
  <c r="H63" i="118"/>
  <c r="H64" i="118"/>
  <c r="H65" i="118"/>
  <c r="H80" i="118"/>
  <c r="H81" i="118"/>
  <c r="H82" i="118"/>
  <c r="F61" i="118"/>
  <c r="F62" i="118"/>
  <c r="F56" i="118"/>
  <c r="F68" i="118"/>
  <c r="F69" i="118"/>
  <c r="F70" i="118"/>
  <c r="F63" i="118"/>
  <c r="F64" i="118"/>
  <c r="F65" i="118"/>
  <c r="F80" i="118"/>
  <c r="F81" i="118"/>
  <c r="F82" i="118"/>
  <c r="B314" i="115"/>
  <c r="L61" i="118" s="1"/>
  <c r="C314" i="115"/>
  <c r="L62" i="118" s="1"/>
  <c r="E314" i="115"/>
  <c r="L68" i="118" s="1"/>
  <c r="F314" i="115"/>
  <c r="L69" i="118" s="1"/>
  <c r="G314" i="115"/>
  <c r="L70" i="118" s="1"/>
  <c r="K314" i="115"/>
  <c r="L63" i="118" s="1"/>
  <c r="L314" i="115"/>
  <c r="L64" i="118" s="1"/>
  <c r="M314" i="115"/>
  <c r="L65" i="118" s="1"/>
  <c r="H314" i="115"/>
  <c r="L80" i="118" s="1"/>
  <c r="I314" i="115"/>
  <c r="L81" i="118" s="1"/>
  <c r="J314" i="115"/>
  <c r="L82" i="118" s="1"/>
  <c r="H66" i="118"/>
  <c r="H51" i="118"/>
  <c r="H52" i="118"/>
  <c r="H53" i="118"/>
  <c r="H83" i="118"/>
  <c r="H84" i="118"/>
  <c r="H71" i="118"/>
  <c r="H72" i="118"/>
  <c r="H73" i="118"/>
  <c r="H74" i="118"/>
  <c r="F66" i="118"/>
  <c r="F51" i="118"/>
  <c r="F52" i="118"/>
  <c r="F53" i="118"/>
  <c r="F83" i="118"/>
  <c r="F84" i="118"/>
  <c r="F71" i="118"/>
  <c r="F72" i="118"/>
  <c r="F73" i="118"/>
  <c r="F74" i="118"/>
  <c r="H75" i="118"/>
  <c r="H76" i="118"/>
  <c r="H77" i="118"/>
  <c r="H78" i="118"/>
  <c r="F75" i="118"/>
  <c r="F76" i="118"/>
  <c r="F77" i="118"/>
  <c r="F78" i="118"/>
  <c r="H79" i="118"/>
  <c r="B362" i="115"/>
  <c r="H88" i="118" s="1"/>
  <c r="C363" i="115"/>
  <c r="F89" i="118" s="1"/>
  <c r="F89" i="132" s="1"/>
  <c r="D362" i="115"/>
  <c r="H90" i="118" s="1"/>
  <c r="E362" i="115"/>
  <c r="H91" i="118" s="1"/>
  <c r="B374" i="115"/>
  <c r="C374" i="115"/>
  <c r="H93" i="118" s="1"/>
  <c r="D374" i="115"/>
  <c r="H94" i="118" s="1"/>
  <c r="E374" i="115"/>
  <c r="H95" i="118" s="1"/>
  <c r="F374" i="115"/>
  <c r="H96" i="118" s="1"/>
  <c r="D375" i="115"/>
  <c r="F94" i="118" s="1"/>
  <c r="E375" i="115"/>
  <c r="F95" i="118" s="1"/>
  <c r="F375" i="115"/>
  <c r="F96" i="118" s="1"/>
  <c r="H97" i="118"/>
  <c r="F97" i="118"/>
  <c r="B402" i="115"/>
  <c r="H100" i="118" s="1"/>
  <c r="C402" i="115"/>
  <c r="H101" i="118" s="1"/>
  <c r="B403" i="115"/>
  <c r="F100" i="118" s="1"/>
  <c r="C403" i="115"/>
  <c r="F101" i="118" s="1"/>
  <c r="B413" i="115"/>
  <c r="H102" i="118" s="1"/>
  <c r="C413" i="115"/>
  <c r="H103" i="118" s="1"/>
  <c r="B424" i="115"/>
  <c r="H104" i="118" s="1"/>
  <c r="B425" i="115"/>
  <c r="F104" i="118" s="1"/>
  <c r="B426" i="115"/>
  <c r="J104" i="118" s="1"/>
  <c r="E70" i="138" l="1"/>
  <c r="BA44" i="131"/>
  <c r="AW44" i="131"/>
  <c r="BS44" i="131"/>
  <c r="AV44" i="131"/>
  <c r="BQ44" i="131"/>
  <c r="BR44" i="131"/>
  <c r="AZ22" i="126"/>
  <c r="AG22" i="126"/>
  <c r="BU22" i="126"/>
  <c r="BB22" i="126"/>
  <c r="BT22" i="110"/>
  <c r="BU22" i="110"/>
  <c r="AZ22" i="110"/>
  <c r="AY22" i="110"/>
  <c r="AG22" i="127"/>
  <c r="BC22" i="127"/>
  <c r="BB22" i="127"/>
  <c r="AH22" i="127"/>
  <c r="F76" i="132"/>
  <c r="I73" i="133"/>
  <c r="G74" i="127" s="1"/>
  <c r="H73" i="133"/>
  <c r="G74" i="126" s="1"/>
  <c r="G73" i="133"/>
  <c r="G74" i="110" s="1"/>
  <c r="M74" i="133"/>
  <c r="K74" i="133"/>
  <c r="L74" i="133"/>
  <c r="F74" i="132"/>
  <c r="F74" i="131"/>
  <c r="F74" i="130"/>
  <c r="G71" i="133"/>
  <c r="G72" i="110" s="1"/>
  <c r="H71" i="133"/>
  <c r="G72" i="126" s="1"/>
  <c r="I71" i="133"/>
  <c r="G72" i="127" s="1"/>
  <c r="F84" i="132"/>
  <c r="F84" i="131"/>
  <c r="F84" i="130"/>
  <c r="I81" i="133"/>
  <c r="G82" i="127" s="1"/>
  <c r="H81" i="133"/>
  <c r="G82" i="126" s="1"/>
  <c r="G81" i="133"/>
  <c r="G82" i="110" s="1"/>
  <c r="F51" i="131"/>
  <c r="F51" i="132"/>
  <c r="F51" i="130"/>
  <c r="K69" i="133"/>
  <c r="M69" i="133"/>
  <c r="L69" i="133"/>
  <c r="M81" i="133"/>
  <c r="K81" i="133"/>
  <c r="L81" i="133"/>
  <c r="L76" i="133"/>
  <c r="M76" i="133"/>
  <c r="K76" i="133"/>
  <c r="F77" i="132"/>
  <c r="I75" i="133"/>
  <c r="G76" i="127" s="1"/>
  <c r="H75" i="133"/>
  <c r="G76" i="126" s="1"/>
  <c r="G75" i="133"/>
  <c r="G76" i="110" s="1"/>
  <c r="F75" i="132"/>
  <c r="H72" i="133"/>
  <c r="G73" i="126" s="1"/>
  <c r="I72" i="133"/>
  <c r="G73" i="127" s="1"/>
  <c r="G72" i="133"/>
  <c r="G73" i="110" s="1"/>
  <c r="L75" i="133"/>
  <c r="M75" i="133"/>
  <c r="K75" i="133"/>
  <c r="L72" i="133"/>
  <c r="M72" i="133"/>
  <c r="K72" i="133"/>
  <c r="F73" i="132"/>
  <c r="F73" i="130"/>
  <c r="I70" i="133"/>
  <c r="G71" i="127" s="1"/>
  <c r="F73" i="131"/>
  <c r="G70" i="133"/>
  <c r="G71" i="110" s="1"/>
  <c r="H70" i="133"/>
  <c r="G71" i="126" s="1"/>
  <c r="F71" i="132"/>
  <c r="F71" i="130"/>
  <c r="F71" i="131"/>
  <c r="H68" i="133"/>
  <c r="G69" i="126" s="1"/>
  <c r="I68" i="133"/>
  <c r="G69" i="127" s="1"/>
  <c r="G68" i="133"/>
  <c r="G69" i="110" s="1"/>
  <c r="F83" i="132"/>
  <c r="F83" i="130"/>
  <c r="F83" i="131"/>
  <c r="H80" i="133"/>
  <c r="G81" i="126" s="1"/>
  <c r="I80" i="133"/>
  <c r="G81" i="127" s="1"/>
  <c r="G81" i="110"/>
  <c r="F52" i="132"/>
  <c r="F52" i="131"/>
  <c r="F52" i="130"/>
  <c r="F66" i="132"/>
  <c r="F66" i="130"/>
  <c r="F66" i="131"/>
  <c r="I63" i="133"/>
  <c r="G64" i="127" s="1"/>
  <c r="G63" i="133"/>
  <c r="G64" i="110" s="1"/>
  <c r="H63" i="133"/>
  <c r="G64" i="126" s="1"/>
  <c r="L70" i="133"/>
  <c r="K70" i="133"/>
  <c r="M70" i="133"/>
  <c r="L68" i="133"/>
  <c r="M68" i="133"/>
  <c r="K68" i="133"/>
  <c r="L80" i="133"/>
  <c r="M80" i="133"/>
  <c r="M63" i="133"/>
  <c r="K63" i="133"/>
  <c r="L63" i="133"/>
  <c r="G79" i="133"/>
  <c r="G80" i="110" s="1"/>
  <c r="H79" i="133"/>
  <c r="G80" i="126" s="1"/>
  <c r="I79" i="133"/>
  <c r="G80" i="127" s="1"/>
  <c r="I77" i="133"/>
  <c r="G78" i="127" s="1"/>
  <c r="G77" i="133"/>
  <c r="G78" i="110" s="1"/>
  <c r="H77" i="133"/>
  <c r="G78" i="126" s="1"/>
  <c r="G61" i="133"/>
  <c r="G62" i="110" s="1"/>
  <c r="I61" i="133"/>
  <c r="G62" i="127" s="1"/>
  <c r="H61" i="133"/>
  <c r="G62" i="126" s="1"/>
  <c r="G67" i="133"/>
  <c r="G68" i="110" s="1"/>
  <c r="H67" i="133"/>
  <c r="G68" i="126" s="1"/>
  <c r="I67" i="133"/>
  <c r="G68" i="127" s="1"/>
  <c r="I65" i="133"/>
  <c r="G66" i="127" s="1"/>
  <c r="H65" i="133"/>
  <c r="G66" i="126" s="1"/>
  <c r="G65" i="133"/>
  <c r="G66" i="110" s="1"/>
  <c r="I59" i="133"/>
  <c r="G60" i="127" s="1"/>
  <c r="H59" i="133"/>
  <c r="G60" i="126" s="1"/>
  <c r="G60" i="110"/>
  <c r="K79" i="133"/>
  <c r="M79" i="133"/>
  <c r="L79" i="133"/>
  <c r="M77" i="133"/>
  <c r="K77" i="133"/>
  <c r="L77" i="133"/>
  <c r="K61" i="133"/>
  <c r="M61" i="133"/>
  <c r="L61" i="133"/>
  <c r="M67" i="133"/>
  <c r="K67" i="133"/>
  <c r="L67" i="133"/>
  <c r="K65" i="133"/>
  <c r="M65" i="133"/>
  <c r="L65" i="133"/>
  <c r="M59" i="133"/>
  <c r="L59" i="133"/>
  <c r="F55" i="132"/>
  <c r="F55" i="131"/>
  <c r="F55" i="130"/>
  <c r="F50" i="131"/>
  <c r="F50" i="130"/>
  <c r="F50" i="132"/>
  <c r="AG18" i="127"/>
  <c r="AH18" i="127"/>
  <c r="BB18" i="127"/>
  <c r="BC18" i="127"/>
  <c r="BB17" i="126"/>
  <c r="AZ17" i="126"/>
  <c r="AG17" i="126"/>
  <c r="BU17" i="126"/>
  <c r="BJ32" i="127"/>
  <c r="AW32" i="127"/>
  <c r="AG32" i="127"/>
  <c r="AS32" i="127"/>
  <c r="BN32" i="127"/>
  <c r="BU32" i="127"/>
  <c r="BM32" i="127"/>
  <c r="AZ32" i="127"/>
  <c r="AR32" i="127"/>
  <c r="BT32" i="127"/>
  <c r="BL32" i="127"/>
  <c r="AU32" i="127"/>
  <c r="BS32" i="127"/>
  <c r="BK32" i="127"/>
  <c r="AX32" i="127"/>
  <c r="AP32" i="127"/>
  <c r="BB32" i="127"/>
  <c r="AO32" i="127"/>
  <c r="BQ32" i="127"/>
  <c r="BI32" i="127"/>
  <c r="AV32" i="127"/>
  <c r="AN32" i="127"/>
  <c r="BP32" i="127"/>
  <c r="AY32" i="127"/>
  <c r="AQ32" i="127"/>
  <c r="BO32" i="127"/>
  <c r="BC32" i="127"/>
  <c r="AT32" i="127"/>
  <c r="AH32" i="127"/>
  <c r="BR32" i="127"/>
  <c r="AG32" i="126"/>
  <c r="AW32" i="126"/>
  <c r="AQ32" i="126"/>
  <c r="BH32" i="126"/>
  <c r="BS32" i="126"/>
  <c r="BK32" i="126"/>
  <c r="AT32" i="126"/>
  <c r="BU32" i="126"/>
  <c r="BM32" i="126"/>
  <c r="AZ32" i="126"/>
  <c r="AR32" i="126"/>
  <c r="AS32" i="126"/>
  <c r="BJ32" i="126"/>
  <c r="AM32" i="126"/>
  <c r="BL32" i="126"/>
  <c r="AO32" i="126"/>
  <c r="BN32" i="126"/>
  <c r="AY32" i="126"/>
  <c r="BP32" i="126"/>
  <c r="BO32" i="126"/>
  <c r="AX32" i="126"/>
  <c r="AP32" i="126"/>
  <c r="BQ32" i="126"/>
  <c r="BI32" i="126"/>
  <c r="AV32" i="126"/>
  <c r="AN32" i="126"/>
  <c r="BB32" i="126"/>
  <c r="BR32" i="126"/>
  <c r="AU32" i="126"/>
  <c r="BT32" i="126"/>
  <c r="BN40" i="127"/>
  <c r="BF40" i="127"/>
  <c r="AW40" i="127"/>
  <c r="AO40" i="127"/>
  <c r="AG40" i="127"/>
  <c r="BQ40" i="127"/>
  <c r="BG40" i="127"/>
  <c r="AU40" i="127"/>
  <c r="BO40" i="127"/>
  <c r="AX40" i="127"/>
  <c r="AM40" i="127"/>
  <c r="BK40" i="127"/>
  <c r="AN40" i="127"/>
  <c r="BS40" i="127"/>
  <c r="AV40" i="127"/>
  <c r="AT40" i="127"/>
  <c r="BM40" i="127"/>
  <c r="BR40" i="127"/>
  <c r="BJ40" i="127"/>
  <c r="BB40" i="127"/>
  <c r="AS40" i="127"/>
  <c r="AK40" i="127"/>
  <c r="BL40" i="127"/>
  <c r="AZ40" i="127"/>
  <c r="AP40" i="127"/>
  <c r="BT40" i="127"/>
  <c r="BI40" i="127"/>
  <c r="AR40" i="127"/>
  <c r="AH40" i="127"/>
  <c r="BU40" i="127"/>
  <c r="AY40" i="127"/>
  <c r="BH40" i="127"/>
  <c r="AL40" i="127"/>
  <c r="BP40" i="127"/>
  <c r="BC40" i="127"/>
  <c r="AQ40" i="127"/>
  <c r="BN31" i="126"/>
  <c r="AO31" i="126"/>
  <c r="AG31" i="126"/>
  <c r="AW31" i="126"/>
  <c r="BF31" i="126"/>
  <c r="BQ31" i="126"/>
  <c r="BI31" i="126"/>
  <c r="AZ31" i="126"/>
  <c r="AR31" i="126"/>
  <c r="AJ31" i="126"/>
  <c r="BO31" i="126"/>
  <c r="BG31" i="126"/>
  <c r="AT31" i="126"/>
  <c r="AL31" i="126"/>
  <c r="AS31" i="126"/>
  <c r="BJ31" i="126"/>
  <c r="AU31" i="126"/>
  <c r="BT31" i="126"/>
  <c r="AQ31" i="126"/>
  <c r="BH31" i="126"/>
  <c r="BU31" i="126"/>
  <c r="BM31" i="126"/>
  <c r="BE31" i="126"/>
  <c r="AV31" i="126"/>
  <c r="AN31" i="126"/>
  <c r="BS31" i="126"/>
  <c r="BK31" i="126"/>
  <c r="AX31" i="126"/>
  <c r="AP31" i="126"/>
  <c r="AK31" i="126"/>
  <c r="BB31" i="126"/>
  <c r="BR31" i="126"/>
  <c r="AM31" i="126"/>
  <c r="BL31" i="126"/>
  <c r="AY31" i="126"/>
  <c r="BP31" i="126"/>
  <c r="BU90" i="127"/>
  <c r="BU86" i="127" s="1"/>
  <c r="BC90" i="127"/>
  <c r="BC86" i="127" s="1"/>
  <c r="BC44" i="127" s="1"/>
  <c r="BC41" i="127" s="1"/>
  <c r="AH90" i="127"/>
  <c r="AH86" i="127" s="1"/>
  <c r="AH44" i="127" s="1"/>
  <c r="AH41" i="127" s="1"/>
  <c r="AY90" i="127"/>
  <c r="AY86" i="127" s="1"/>
  <c r="BS90" i="127"/>
  <c r="BS86" i="127" s="1"/>
  <c r="AX90" i="127"/>
  <c r="AX86" i="127" s="1"/>
  <c r="AZ90" i="127"/>
  <c r="AZ86" i="127" s="1"/>
  <c r="BB90" i="127"/>
  <c r="BB86" i="127" s="1"/>
  <c r="BB44" i="127" s="1"/>
  <c r="BB41" i="127" s="1"/>
  <c r="AG90" i="127"/>
  <c r="AG86" i="127" s="1"/>
  <c r="AG44" i="127" s="1"/>
  <c r="AG41" i="127" s="1"/>
  <c r="BT90" i="127"/>
  <c r="BT86" i="127" s="1"/>
  <c r="BR19" i="126"/>
  <c r="AW19" i="126"/>
  <c r="AY19" i="126"/>
  <c r="AX19" i="126"/>
  <c r="BS19" i="126"/>
  <c r="BB19" i="126"/>
  <c r="AG19" i="126"/>
  <c r="BT19" i="126"/>
  <c r="AZ19" i="126"/>
  <c r="BU19" i="126"/>
  <c r="BT15" i="127"/>
  <c r="BP15" i="127"/>
  <c r="AQ15" i="127"/>
  <c r="BL15" i="127"/>
  <c r="AW15" i="127"/>
  <c r="AY15" i="127"/>
  <c r="AU15" i="127"/>
  <c r="AG15" i="127"/>
  <c r="BN15" i="127"/>
  <c r="BQ15" i="127"/>
  <c r="AZ15" i="127"/>
  <c r="AR15" i="127"/>
  <c r="BO15" i="127"/>
  <c r="AX15" i="127"/>
  <c r="AH15" i="127"/>
  <c r="BB15" i="127"/>
  <c r="BU15" i="127"/>
  <c r="BM15" i="127"/>
  <c r="AV15" i="127"/>
  <c r="BS15" i="127"/>
  <c r="BC15" i="127"/>
  <c r="AT15" i="127"/>
  <c r="AS15" i="127"/>
  <c r="BR15" i="127"/>
  <c r="BS14" i="127"/>
  <c r="BC14" i="127"/>
  <c r="AT14" i="127"/>
  <c r="BU14" i="127"/>
  <c r="BM14" i="127"/>
  <c r="AV14" i="127"/>
  <c r="AW14" i="127"/>
  <c r="BT14" i="127"/>
  <c r="AU14" i="127"/>
  <c r="BR14" i="127"/>
  <c r="AS14" i="127"/>
  <c r="AY14" i="127"/>
  <c r="BO14" i="127"/>
  <c r="BO13" i="127" s="1"/>
  <c r="AX14" i="127"/>
  <c r="AH14" i="127"/>
  <c r="AH13" i="127" s="1"/>
  <c r="BQ14" i="127"/>
  <c r="AZ14" i="127"/>
  <c r="AR14" i="127"/>
  <c r="BN14" i="127"/>
  <c r="AG14" i="127"/>
  <c r="BL14" i="127"/>
  <c r="BB14" i="127"/>
  <c r="AQ14" i="127"/>
  <c r="BP14" i="127"/>
  <c r="BT8" i="127"/>
  <c r="BL8" i="127"/>
  <c r="AU8" i="127"/>
  <c r="BN8" i="127"/>
  <c r="BB8" i="127"/>
  <c r="AS8" i="127"/>
  <c r="AG8" i="127"/>
  <c r="BO8" i="127"/>
  <c r="AP8" i="127"/>
  <c r="BU8" i="127"/>
  <c r="AZ8" i="127"/>
  <c r="BS8" i="127"/>
  <c r="AV8" i="127"/>
  <c r="AT8" i="127"/>
  <c r="BM8" i="127"/>
  <c r="AR8" i="127"/>
  <c r="BP8" i="127"/>
  <c r="AY8" i="127"/>
  <c r="AQ8" i="127"/>
  <c r="BR8" i="127"/>
  <c r="BJ8" i="127"/>
  <c r="AW8" i="127"/>
  <c r="AO8" i="127"/>
  <c r="AX8" i="127"/>
  <c r="AH8" i="127"/>
  <c r="BK8" i="127"/>
  <c r="AN8" i="127"/>
  <c r="BI8" i="127"/>
  <c r="BQ8" i="127"/>
  <c r="BC8" i="127"/>
  <c r="BR8" i="126"/>
  <c r="BJ8" i="126"/>
  <c r="AW8" i="126"/>
  <c r="AO8" i="126"/>
  <c r="BP8" i="126"/>
  <c r="BH8" i="126"/>
  <c r="AU8" i="126"/>
  <c r="AM8" i="126"/>
  <c r="BU8" i="126"/>
  <c r="AV8" i="126"/>
  <c r="BS8" i="126"/>
  <c r="BQ8" i="126"/>
  <c r="AZ8" i="126"/>
  <c r="BO8" i="126"/>
  <c r="AP8" i="126"/>
  <c r="AT8" i="126"/>
  <c r="BN8" i="126"/>
  <c r="BB8" i="126"/>
  <c r="AS8" i="126"/>
  <c r="AG8" i="126"/>
  <c r="BT8" i="126"/>
  <c r="BL8" i="126"/>
  <c r="AY8" i="126"/>
  <c r="AQ8" i="126"/>
  <c r="BM8" i="126"/>
  <c r="AN8" i="126"/>
  <c r="BI8" i="126"/>
  <c r="AR8" i="126"/>
  <c r="AX8" i="126"/>
  <c r="BK8" i="126"/>
  <c r="AG27" i="126"/>
  <c r="AW27" i="126"/>
  <c r="AY27" i="126"/>
  <c r="BP27" i="126"/>
  <c r="BU27" i="126"/>
  <c r="BM27" i="126"/>
  <c r="AZ27" i="126"/>
  <c r="AR27" i="126"/>
  <c r="BS27" i="126"/>
  <c r="BK27" i="126"/>
  <c r="AT27" i="126"/>
  <c r="AS27" i="126"/>
  <c r="BJ27" i="126"/>
  <c r="AM27" i="126"/>
  <c r="BL27" i="126"/>
  <c r="AO27" i="126"/>
  <c r="BN27" i="126"/>
  <c r="AQ27" i="126"/>
  <c r="BH27" i="126"/>
  <c r="BQ27" i="126"/>
  <c r="BI27" i="126"/>
  <c r="AV27" i="126"/>
  <c r="AN27" i="126"/>
  <c r="BO27" i="126"/>
  <c r="AX27" i="126"/>
  <c r="AP27" i="126"/>
  <c r="BB27" i="126"/>
  <c r="BR27" i="126"/>
  <c r="AU27" i="126"/>
  <c r="BT27" i="126"/>
  <c r="BR9" i="127"/>
  <c r="BB9" i="127"/>
  <c r="AS9" i="127"/>
  <c r="BT9" i="127"/>
  <c r="AY9" i="127"/>
  <c r="AZ9" i="127"/>
  <c r="BS9" i="127"/>
  <c r="AT9" i="127"/>
  <c r="BC9" i="127"/>
  <c r="BU9" i="127"/>
  <c r="BN9" i="127"/>
  <c r="AW9" i="127"/>
  <c r="AG9" i="127"/>
  <c r="BP9" i="127"/>
  <c r="AU9" i="127"/>
  <c r="BQ9" i="127"/>
  <c r="AV9" i="127"/>
  <c r="BO9" i="127"/>
  <c r="AH9" i="127"/>
  <c r="AX9" i="127"/>
  <c r="BR11" i="127"/>
  <c r="BB11" i="127"/>
  <c r="AS11" i="127"/>
  <c r="BT11" i="127"/>
  <c r="BL11" i="127"/>
  <c r="AU11" i="127"/>
  <c r="BU11" i="127"/>
  <c r="AV11" i="127"/>
  <c r="BO11" i="127"/>
  <c r="AR11" i="127"/>
  <c r="AX11" i="127"/>
  <c r="BQ11" i="127"/>
  <c r="BN11" i="127"/>
  <c r="AW11" i="127"/>
  <c r="AG11" i="127"/>
  <c r="BP11" i="127"/>
  <c r="AY11" i="127"/>
  <c r="AQ11" i="127"/>
  <c r="BM11" i="127"/>
  <c r="BC11" i="127"/>
  <c r="AH11" i="127"/>
  <c r="AZ11" i="127"/>
  <c r="BS11" i="127"/>
  <c r="AT11" i="127"/>
  <c r="AY39" i="127"/>
  <c r="BS39" i="127"/>
  <c r="AG39" i="127"/>
  <c r="AZ39" i="127"/>
  <c r="BB39" i="127"/>
  <c r="BU39" i="127"/>
  <c r="BT39" i="127"/>
  <c r="BC39" i="127"/>
  <c r="AH39" i="127"/>
  <c r="AX39" i="127"/>
  <c r="BT30" i="126"/>
  <c r="AY30" i="126"/>
  <c r="BS30" i="126"/>
  <c r="BU30" i="126"/>
  <c r="BB30" i="126"/>
  <c r="AG30" i="126"/>
  <c r="AX30" i="126"/>
  <c r="AZ30" i="126"/>
  <c r="BR30" i="126"/>
  <c r="AW30" i="126"/>
  <c r="BP29" i="126"/>
  <c r="AY29" i="126"/>
  <c r="AU29" i="126"/>
  <c r="BT29" i="126"/>
  <c r="AW29" i="126"/>
  <c r="BQ29" i="126"/>
  <c r="AZ29" i="126"/>
  <c r="AR29" i="126"/>
  <c r="BO29" i="126"/>
  <c r="AT29" i="126"/>
  <c r="BB29" i="126"/>
  <c r="AG29" i="126"/>
  <c r="BN29" i="126"/>
  <c r="BU29" i="126"/>
  <c r="BM29" i="126"/>
  <c r="AV29" i="126"/>
  <c r="BS29" i="126"/>
  <c r="AX29" i="126"/>
  <c r="AS29" i="126"/>
  <c r="BR29" i="126"/>
  <c r="BS28" i="126"/>
  <c r="AX28" i="126"/>
  <c r="BU28" i="126"/>
  <c r="BM28" i="126"/>
  <c r="AV28" i="126"/>
  <c r="AS28" i="126"/>
  <c r="BR28" i="126"/>
  <c r="AU28" i="126"/>
  <c r="BT28" i="126"/>
  <c r="AW28" i="126"/>
  <c r="AY28" i="126"/>
  <c r="BO28" i="126"/>
  <c r="AT28" i="126"/>
  <c r="BQ28" i="126"/>
  <c r="AZ28" i="126"/>
  <c r="AR28" i="126"/>
  <c r="BB28" i="126"/>
  <c r="BL28" i="126"/>
  <c r="AG28" i="126"/>
  <c r="BN28" i="126"/>
  <c r="AQ28" i="126"/>
  <c r="BP28" i="126"/>
  <c r="BU26" i="127"/>
  <c r="BS26" i="127"/>
  <c r="AX26" i="127"/>
  <c r="BT26" i="127"/>
  <c r="AY26" i="127"/>
  <c r="AZ26" i="127"/>
  <c r="BC26" i="127"/>
  <c r="AH26" i="127"/>
  <c r="AG26" i="127"/>
  <c r="BB26" i="127"/>
  <c r="BT25" i="126"/>
  <c r="AW25" i="126"/>
  <c r="AG25" i="126"/>
  <c r="AY25" i="126"/>
  <c r="AZ25" i="126"/>
  <c r="AX25" i="126"/>
  <c r="BR25" i="126"/>
  <c r="BU25" i="126"/>
  <c r="BS25" i="126"/>
  <c r="BB25" i="126"/>
  <c r="BU36" i="126"/>
  <c r="BS36" i="126"/>
  <c r="AY36" i="126"/>
  <c r="BT36" i="126"/>
  <c r="AZ36" i="126"/>
  <c r="AX36" i="126"/>
  <c r="AW36" i="126"/>
  <c r="BR36" i="126"/>
  <c r="AG36" i="126"/>
  <c r="BB36" i="126"/>
  <c r="AY10" i="127"/>
  <c r="BR10" i="127"/>
  <c r="AW10" i="127"/>
  <c r="BC10" i="127"/>
  <c r="BU10" i="127"/>
  <c r="AH10" i="127"/>
  <c r="BT10" i="127"/>
  <c r="BB10" i="127"/>
  <c r="AG10" i="127"/>
  <c r="BS10" i="127"/>
  <c r="AX10" i="127"/>
  <c r="AZ10" i="127"/>
  <c r="F78" i="132"/>
  <c r="G74" i="133"/>
  <c r="G75" i="110" s="1"/>
  <c r="I74" i="133"/>
  <c r="G75" i="127" s="1"/>
  <c r="H74" i="133"/>
  <c r="G75" i="126" s="1"/>
  <c r="M73" i="133"/>
  <c r="K73" i="133"/>
  <c r="L73" i="133"/>
  <c r="F72" i="132"/>
  <c r="F72" i="131"/>
  <c r="F72" i="130"/>
  <c r="I69" i="133"/>
  <c r="G70" i="127" s="1"/>
  <c r="G69" i="133"/>
  <c r="G70" i="110" s="1"/>
  <c r="H69" i="133"/>
  <c r="G70" i="126" s="1"/>
  <c r="F53" i="132"/>
  <c r="F53" i="131"/>
  <c r="F53" i="130"/>
  <c r="K71" i="133"/>
  <c r="M71" i="133"/>
  <c r="L71" i="133"/>
  <c r="G78" i="133"/>
  <c r="G79" i="110" s="1"/>
  <c r="H78" i="133"/>
  <c r="G79" i="126" s="1"/>
  <c r="I78" i="133"/>
  <c r="G79" i="127" s="1"/>
  <c r="H62" i="133"/>
  <c r="G63" i="126" s="1"/>
  <c r="G62" i="133"/>
  <c r="G63" i="110" s="1"/>
  <c r="I62" i="133"/>
  <c r="G63" i="127" s="1"/>
  <c r="I60" i="133"/>
  <c r="G61" i="127" s="1"/>
  <c r="H60" i="133"/>
  <c r="G61" i="126" s="1"/>
  <c r="G60" i="133"/>
  <c r="G61" i="110" s="1"/>
  <c r="H66" i="133"/>
  <c r="G67" i="126" s="1"/>
  <c r="G66" i="133"/>
  <c r="G67" i="110" s="1"/>
  <c r="I66" i="133"/>
  <c r="G67" i="127" s="1"/>
  <c r="F56" i="132"/>
  <c r="F56" i="131"/>
  <c r="F56" i="130"/>
  <c r="H58" i="133"/>
  <c r="G59" i="126" s="1"/>
  <c r="G58" i="133"/>
  <c r="G59" i="110" s="1"/>
  <c r="I58" i="133"/>
  <c r="G59" i="127" s="1"/>
  <c r="L78" i="133"/>
  <c r="K78" i="133"/>
  <c r="M78" i="133"/>
  <c r="L62" i="133"/>
  <c r="M62" i="133"/>
  <c r="K62" i="133"/>
  <c r="L60" i="133"/>
  <c r="K60" i="133"/>
  <c r="M60" i="133"/>
  <c r="L66" i="133"/>
  <c r="M66" i="133"/>
  <c r="K66" i="133"/>
  <c r="L58" i="133"/>
  <c r="M58" i="133"/>
  <c r="K58" i="133"/>
  <c r="F54" i="131"/>
  <c r="F54" i="130"/>
  <c r="F54" i="132"/>
  <c r="AG18" i="126"/>
  <c r="AZ18" i="126"/>
  <c r="BB18" i="126"/>
  <c r="BU18" i="126"/>
  <c r="AG17" i="127"/>
  <c r="BC17" i="127"/>
  <c r="BB17" i="127"/>
  <c r="AH17" i="127"/>
  <c r="BP38" i="126"/>
  <c r="BH38" i="126"/>
  <c r="AU38" i="126"/>
  <c r="AM38" i="126"/>
  <c r="BR38" i="126"/>
  <c r="BJ38" i="126"/>
  <c r="AW38" i="126"/>
  <c r="AO38" i="126"/>
  <c r="BS38" i="126"/>
  <c r="AT38" i="126"/>
  <c r="BQ38" i="126"/>
  <c r="AZ38" i="126"/>
  <c r="BO38" i="126"/>
  <c r="AP38" i="126"/>
  <c r="BU38" i="126"/>
  <c r="AV38" i="126"/>
  <c r="BT38" i="126"/>
  <c r="BL38" i="126"/>
  <c r="AY38" i="126"/>
  <c r="AQ38" i="126"/>
  <c r="BN38" i="126"/>
  <c r="BB38" i="126"/>
  <c r="AS38" i="126"/>
  <c r="AG38" i="126"/>
  <c r="BK38" i="126"/>
  <c r="BI38" i="126"/>
  <c r="AR38" i="126"/>
  <c r="AX38" i="126"/>
  <c r="BM38" i="126"/>
  <c r="AN38" i="126"/>
  <c r="BR38" i="127"/>
  <c r="BJ38" i="127"/>
  <c r="AW38" i="127"/>
  <c r="AO38" i="127"/>
  <c r="BS38" i="127"/>
  <c r="BC38" i="127"/>
  <c r="AQ38" i="127"/>
  <c r="BP38" i="127"/>
  <c r="AY38" i="127"/>
  <c r="AN38" i="127"/>
  <c r="BO38" i="127"/>
  <c r="AH38" i="127"/>
  <c r="AZ38" i="127"/>
  <c r="BI38" i="127"/>
  <c r="BQ38" i="127"/>
  <c r="BN38" i="127"/>
  <c r="BB38" i="127"/>
  <c r="AS38" i="127"/>
  <c r="AG38" i="127"/>
  <c r="BM38" i="127"/>
  <c r="AV38" i="127"/>
  <c r="BU38" i="127"/>
  <c r="BK38" i="127"/>
  <c r="AT38" i="127"/>
  <c r="AR38" i="127"/>
  <c r="BL38" i="127"/>
  <c r="AP38" i="127"/>
  <c r="BT38" i="127"/>
  <c r="AX38" i="127"/>
  <c r="AU38" i="127"/>
  <c r="BP40" i="126"/>
  <c r="BH40" i="126"/>
  <c r="AU40" i="126"/>
  <c r="AM40" i="126"/>
  <c r="BR40" i="126"/>
  <c r="BJ40" i="126"/>
  <c r="BB40" i="126"/>
  <c r="AS40" i="126"/>
  <c r="AK40" i="126"/>
  <c r="BG40" i="126"/>
  <c r="AP40" i="126"/>
  <c r="BM40" i="126"/>
  <c r="AV40" i="126"/>
  <c r="BK40" i="126"/>
  <c r="AL40" i="126"/>
  <c r="BI40" i="126"/>
  <c r="AR40" i="126"/>
  <c r="BT40" i="126"/>
  <c r="BL40" i="126"/>
  <c r="AY40" i="126"/>
  <c r="AQ40" i="126"/>
  <c r="BN40" i="126"/>
  <c r="BF40" i="126"/>
  <c r="AW40" i="126"/>
  <c r="AO40" i="126"/>
  <c r="AG40" i="126"/>
  <c r="BO40" i="126"/>
  <c r="AX40" i="126"/>
  <c r="BU40" i="126"/>
  <c r="BE40" i="126"/>
  <c r="AN40" i="126"/>
  <c r="BS40" i="126"/>
  <c r="AT40" i="126"/>
  <c r="BQ40" i="126"/>
  <c r="AZ40" i="126"/>
  <c r="AJ40" i="126"/>
  <c r="AM31" i="127"/>
  <c r="AQ31" i="127"/>
  <c r="BL31" i="127"/>
  <c r="AY31" i="127"/>
  <c r="BH31" i="127"/>
  <c r="BP31" i="127"/>
  <c r="AU31" i="127"/>
  <c r="BT31" i="127"/>
  <c r="AN31" i="127"/>
  <c r="AV31" i="127"/>
  <c r="BI31" i="127"/>
  <c r="BQ31" i="127"/>
  <c r="AG31" i="127"/>
  <c r="AO31" i="127"/>
  <c r="AW31" i="127"/>
  <c r="BF31" i="127"/>
  <c r="BN31" i="127"/>
  <c r="AL31" i="127"/>
  <c r="AT31" i="127"/>
  <c r="BC31" i="127"/>
  <c r="BK31" i="127"/>
  <c r="BS31" i="127"/>
  <c r="AR31" i="127"/>
  <c r="AZ31" i="127"/>
  <c r="BM31" i="127"/>
  <c r="BU31" i="127"/>
  <c r="AK31" i="127"/>
  <c r="AS31" i="127"/>
  <c r="BB31" i="127"/>
  <c r="BJ31" i="127"/>
  <c r="BR31" i="127"/>
  <c r="AH31" i="127"/>
  <c r="AP31" i="127"/>
  <c r="AX31" i="127"/>
  <c r="BG31" i="127"/>
  <c r="BO31" i="127"/>
  <c r="AY90" i="126"/>
  <c r="AY86" i="126" s="1"/>
  <c r="BU90" i="126"/>
  <c r="BU86" i="126" s="1"/>
  <c r="BU44" i="126" s="1"/>
  <c r="BU41" i="126" s="1"/>
  <c r="BR90" i="126"/>
  <c r="BR86" i="126" s="1"/>
  <c r="AW90" i="126"/>
  <c r="AW86" i="126" s="1"/>
  <c r="AZ90" i="126"/>
  <c r="AZ86" i="126" s="1"/>
  <c r="AZ44" i="126" s="1"/>
  <c r="AZ41" i="126" s="1"/>
  <c r="BT90" i="126"/>
  <c r="BT86" i="126" s="1"/>
  <c r="BS90" i="126"/>
  <c r="BS86" i="126" s="1"/>
  <c r="BB90" i="126"/>
  <c r="BB86" i="126" s="1"/>
  <c r="BB44" i="126" s="1"/>
  <c r="BB41" i="126" s="1"/>
  <c r="AG90" i="126"/>
  <c r="AG86" i="126" s="1"/>
  <c r="AG44" i="126" s="1"/>
  <c r="AG41" i="126" s="1"/>
  <c r="AX90" i="126"/>
  <c r="AX86" i="126" s="1"/>
  <c r="BT19" i="127"/>
  <c r="AG19" i="127"/>
  <c r="BS19" i="127"/>
  <c r="AZ19" i="127"/>
  <c r="BU19" i="127"/>
  <c r="AH19" i="127"/>
  <c r="AY19" i="127"/>
  <c r="BB19" i="127"/>
  <c r="BC19" i="127"/>
  <c r="AX19" i="127"/>
  <c r="AW15" i="126"/>
  <c r="BO15" i="126"/>
  <c r="AX15" i="126"/>
  <c r="AP15" i="126"/>
  <c r="BQ15" i="126"/>
  <c r="AZ15" i="126"/>
  <c r="AR15" i="126"/>
  <c r="BB15" i="126"/>
  <c r="AU15" i="126"/>
  <c r="BT15" i="126"/>
  <c r="AY15" i="126"/>
  <c r="AG15" i="126"/>
  <c r="BN15" i="126"/>
  <c r="BS15" i="126"/>
  <c r="BK15" i="126"/>
  <c r="AT15" i="126"/>
  <c r="BU15" i="126"/>
  <c r="BM15" i="126"/>
  <c r="AV15" i="126"/>
  <c r="AS15" i="126"/>
  <c r="BR15" i="126"/>
  <c r="BL15" i="126"/>
  <c r="AQ15" i="126"/>
  <c r="BP15" i="126"/>
  <c r="AS14" i="126"/>
  <c r="AW14" i="126"/>
  <c r="AY14" i="126"/>
  <c r="BQ14" i="126"/>
  <c r="AZ14" i="126"/>
  <c r="AR14" i="126"/>
  <c r="BO14" i="126"/>
  <c r="AX14" i="126"/>
  <c r="AP14" i="126"/>
  <c r="BR14" i="126"/>
  <c r="AU14" i="126"/>
  <c r="BT14" i="126"/>
  <c r="AG14" i="126"/>
  <c r="BN14" i="126"/>
  <c r="AQ14" i="126"/>
  <c r="AQ13" i="126" s="1"/>
  <c r="BP14" i="126"/>
  <c r="BP13" i="126" s="1"/>
  <c r="BU14" i="126"/>
  <c r="BM14" i="126"/>
  <c r="AV14" i="126"/>
  <c r="AV13" i="126" s="1"/>
  <c r="BS14" i="126"/>
  <c r="BK14" i="126"/>
  <c r="AT14" i="126"/>
  <c r="BB14" i="126"/>
  <c r="BL14" i="126"/>
  <c r="BR37" i="126"/>
  <c r="BJ37" i="126"/>
  <c r="AW37" i="126"/>
  <c r="AO37" i="126"/>
  <c r="BP37" i="126"/>
  <c r="BH37" i="126"/>
  <c r="AU37" i="126"/>
  <c r="AM37" i="126"/>
  <c r="BQ37" i="126"/>
  <c r="AZ37" i="126"/>
  <c r="BO37" i="126"/>
  <c r="AP37" i="126"/>
  <c r="BU37" i="126"/>
  <c r="AV37" i="126"/>
  <c r="BS37" i="126"/>
  <c r="AT37" i="126"/>
  <c r="BN37" i="126"/>
  <c r="BB37" i="126"/>
  <c r="AS37" i="126"/>
  <c r="AG37" i="126"/>
  <c r="BT37" i="126"/>
  <c r="BL37" i="126"/>
  <c r="AY37" i="126"/>
  <c r="AQ37" i="126"/>
  <c r="BI37" i="126"/>
  <c r="AR37" i="126"/>
  <c r="AX37" i="126"/>
  <c r="BM37" i="126"/>
  <c r="AN37" i="126"/>
  <c r="BK37" i="126"/>
  <c r="BT37" i="127"/>
  <c r="BL37" i="127"/>
  <c r="AU37" i="127"/>
  <c r="BM37" i="127"/>
  <c r="AV37" i="127"/>
  <c r="BJ37" i="127"/>
  <c r="AT37" i="127"/>
  <c r="AG37" i="127"/>
  <c r="BI37" i="127"/>
  <c r="AS37" i="127"/>
  <c r="BU37" i="127"/>
  <c r="AX37" i="127"/>
  <c r="BS37" i="127"/>
  <c r="AW37" i="127"/>
  <c r="AH37" i="127"/>
  <c r="BP37" i="127"/>
  <c r="AY37" i="127"/>
  <c r="AQ37" i="127"/>
  <c r="BR37" i="127"/>
  <c r="BB37" i="127"/>
  <c r="AP37" i="127"/>
  <c r="BQ37" i="127"/>
  <c r="BC37" i="127"/>
  <c r="AN37" i="127"/>
  <c r="BO37" i="127"/>
  <c r="AZ37" i="127"/>
  <c r="BN37" i="127"/>
  <c r="AR37" i="127"/>
  <c r="BK37" i="127"/>
  <c r="AO37" i="127"/>
  <c r="BT27" i="127"/>
  <c r="BO27" i="127"/>
  <c r="BC27" i="127"/>
  <c r="AT27" i="127"/>
  <c r="AH27" i="127"/>
  <c r="BQ27" i="127"/>
  <c r="BI27" i="127"/>
  <c r="AV27" i="127"/>
  <c r="AN27" i="127"/>
  <c r="BR27" i="127"/>
  <c r="BB27" i="127"/>
  <c r="BS27" i="127"/>
  <c r="BK27" i="127"/>
  <c r="AX27" i="127"/>
  <c r="AP27" i="127"/>
  <c r="BU27" i="127"/>
  <c r="BM27" i="127"/>
  <c r="AZ27" i="127"/>
  <c r="AR27" i="127"/>
  <c r="BP27" i="127"/>
  <c r="AQ27" i="127"/>
  <c r="AW27" i="127"/>
  <c r="AG27" i="127"/>
  <c r="BJ27" i="127"/>
  <c r="AU27" i="127"/>
  <c r="AY27" i="127"/>
  <c r="BN27" i="127"/>
  <c r="AO27" i="127"/>
  <c r="AS27" i="127"/>
  <c r="BL27" i="127"/>
  <c r="BT9" i="126"/>
  <c r="AY9" i="126"/>
  <c r="BN9" i="126"/>
  <c r="AW9" i="126"/>
  <c r="AG9" i="126"/>
  <c r="BO9" i="126"/>
  <c r="BM9" i="126"/>
  <c r="AT9" i="126"/>
  <c r="AZ9" i="126"/>
  <c r="BU9" i="126"/>
  <c r="BP9" i="126"/>
  <c r="AU9" i="126"/>
  <c r="BR9" i="126"/>
  <c r="BB9" i="126"/>
  <c r="AS9" i="126"/>
  <c r="AX9" i="126"/>
  <c r="AV9" i="126"/>
  <c r="BS9" i="126"/>
  <c r="BQ9" i="126"/>
  <c r="AR9" i="126"/>
  <c r="BT11" i="126"/>
  <c r="BL11" i="126"/>
  <c r="AU11" i="126"/>
  <c r="BN11" i="126"/>
  <c r="AW11" i="126"/>
  <c r="AG11" i="126"/>
  <c r="BK11" i="126"/>
  <c r="BQ11" i="126"/>
  <c r="BO11" i="126"/>
  <c r="AP11" i="126"/>
  <c r="BM11" i="126"/>
  <c r="AR11" i="126"/>
  <c r="BP11" i="126"/>
  <c r="AY11" i="126"/>
  <c r="AQ11" i="126"/>
  <c r="BR11" i="126"/>
  <c r="BB11" i="126"/>
  <c r="AS11" i="126"/>
  <c r="BS11" i="126"/>
  <c r="AT11" i="126"/>
  <c r="AZ11" i="126"/>
  <c r="AX11" i="126"/>
  <c r="BU11" i="126"/>
  <c r="AV11" i="126"/>
  <c r="AG30" i="127"/>
  <c r="BU30" i="127"/>
  <c r="BT30" i="127"/>
  <c r="BS30" i="127"/>
  <c r="AX30" i="127"/>
  <c r="BB30" i="127"/>
  <c r="AZ30" i="127"/>
  <c r="AY30" i="127"/>
  <c r="BC30" i="127"/>
  <c r="AH30" i="127"/>
  <c r="BR39" i="126"/>
  <c r="AW39" i="126"/>
  <c r="AY39" i="126"/>
  <c r="BS39" i="126"/>
  <c r="AX39" i="126"/>
  <c r="BB39" i="126"/>
  <c r="AG39" i="126"/>
  <c r="BT39" i="126"/>
  <c r="BU39" i="126"/>
  <c r="AZ39" i="126"/>
  <c r="AY29" i="127"/>
  <c r="AS29" i="127"/>
  <c r="BP29" i="127"/>
  <c r="BS29" i="127"/>
  <c r="BC29" i="127"/>
  <c r="AT29" i="127"/>
  <c r="BU29" i="127"/>
  <c r="AZ29" i="127"/>
  <c r="BN29" i="127"/>
  <c r="AG29" i="127"/>
  <c r="BT29" i="127"/>
  <c r="BB29" i="127"/>
  <c r="BO29" i="127"/>
  <c r="AX29" i="127"/>
  <c r="AH29" i="127"/>
  <c r="BQ29" i="127"/>
  <c r="AV29" i="127"/>
  <c r="AW29" i="127"/>
  <c r="AU29" i="127"/>
  <c r="BR29" i="127"/>
  <c r="AG28" i="127"/>
  <c r="BN28" i="127"/>
  <c r="BP28" i="127"/>
  <c r="AY28" i="127"/>
  <c r="AW28" i="127"/>
  <c r="BQ28" i="127"/>
  <c r="AZ28" i="127"/>
  <c r="AR28" i="127"/>
  <c r="BO28" i="127"/>
  <c r="AX28" i="127"/>
  <c r="AH28" i="127"/>
  <c r="BB28" i="127"/>
  <c r="BT28" i="127"/>
  <c r="BU28" i="127"/>
  <c r="BM28" i="127"/>
  <c r="AV28" i="127"/>
  <c r="BS28" i="127"/>
  <c r="BC28" i="127"/>
  <c r="AT28" i="127"/>
  <c r="AS28" i="127"/>
  <c r="BR28" i="127"/>
  <c r="AU28" i="127"/>
  <c r="BT26" i="126"/>
  <c r="AY26" i="126"/>
  <c r="AG26" i="126"/>
  <c r="AX26" i="126"/>
  <c r="AZ26" i="126"/>
  <c r="BR26" i="126"/>
  <c r="AW26" i="126"/>
  <c r="BS26" i="126"/>
  <c r="BU26" i="126"/>
  <c r="BB26" i="126"/>
  <c r="AY25" i="127"/>
  <c r="AG25" i="127"/>
  <c r="BT25" i="127"/>
  <c r="BC25" i="127"/>
  <c r="AH25" i="127"/>
  <c r="AZ25" i="127"/>
  <c r="BS25" i="127"/>
  <c r="AX25" i="127"/>
  <c r="BU25" i="127"/>
  <c r="BB25" i="127"/>
  <c r="BU36" i="127"/>
  <c r="BS36" i="127"/>
  <c r="AZ36" i="127"/>
  <c r="AX36" i="127"/>
  <c r="BT36" i="127"/>
  <c r="BC36" i="127"/>
  <c r="AY36" i="127"/>
  <c r="AH36" i="127"/>
  <c r="BB36" i="127"/>
  <c r="AG36" i="127"/>
  <c r="BR10" i="126"/>
  <c r="AW10" i="126"/>
  <c r="AY10" i="126"/>
  <c r="BQ10" i="126"/>
  <c r="AV10" i="126"/>
  <c r="AX10" i="126"/>
  <c r="BB10" i="126"/>
  <c r="AG10" i="126"/>
  <c r="BT10" i="126"/>
  <c r="AZ10" i="126"/>
  <c r="BU10" i="126"/>
  <c r="BS10" i="126"/>
  <c r="D34" i="126"/>
  <c r="D34" i="127"/>
  <c r="DN10" i="127"/>
  <c r="DO10" i="127"/>
  <c r="DN7" i="126"/>
  <c r="AE8" i="126"/>
  <c r="G13" i="126"/>
  <c r="DN19" i="127"/>
  <c r="DO19" i="127"/>
  <c r="DN44" i="127"/>
  <c r="AE91" i="127"/>
  <c r="DN8" i="127"/>
  <c r="DO8" i="127"/>
  <c r="G13" i="127"/>
  <c r="F81" i="131"/>
  <c r="F81" i="132"/>
  <c r="F80" i="131"/>
  <c r="F80" i="132"/>
  <c r="F70" i="131"/>
  <c r="F70" i="132"/>
  <c r="F62" i="131"/>
  <c r="F62" i="132"/>
  <c r="F63" i="131"/>
  <c r="F63" i="132"/>
  <c r="F65" i="131"/>
  <c r="F65" i="132"/>
  <c r="F69" i="131"/>
  <c r="F69" i="132"/>
  <c r="F61" i="131"/>
  <c r="F61" i="132"/>
  <c r="F82" i="131"/>
  <c r="F82" i="132"/>
  <c r="F64" i="131"/>
  <c r="F64" i="132"/>
  <c r="F68" i="131"/>
  <c r="F68" i="132"/>
  <c r="F77" i="130"/>
  <c r="F77" i="131"/>
  <c r="F76" i="130"/>
  <c r="F76" i="131"/>
  <c r="F78" i="130"/>
  <c r="F78" i="131"/>
  <c r="F75" i="130"/>
  <c r="F75" i="131"/>
  <c r="F62" i="130"/>
  <c r="F81" i="130"/>
  <c r="F63" i="130"/>
  <c r="F80" i="130"/>
  <c r="F70" i="130"/>
  <c r="F65" i="130"/>
  <c r="F69" i="130"/>
  <c r="F61" i="130"/>
  <c r="F82" i="130"/>
  <c r="F64" i="130"/>
  <c r="F68" i="130"/>
  <c r="AC32" i="133"/>
  <c r="O33" i="127" s="1"/>
  <c r="AC33" i="127" s="1"/>
  <c r="AC6" i="127" s="1"/>
  <c r="AB32" i="133"/>
  <c r="O33" i="126" s="1"/>
  <c r="AC33" i="126" s="1"/>
  <c r="AC6" i="126" s="1"/>
  <c r="H12" i="133"/>
  <c r="M95" i="133"/>
  <c r="L95" i="133"/>
  <c r="AQ9" i="110"/>
  <c r="AS9" i="110"/>
  <c r="BU9" i="110"/>
  <c r="BP9" i="110"/>
  <c r="AY9" i="110"/>
  <c r="BO9" i="110"/>
  <c r="AX9" i="110"/>
  <c r="BR9" i="110"/>
  <c r="BM9" i="110"/>
  <c r="AV9" i="110"/>
  <c r="AU9" i="110"/>
  <c r="AW9" i="110"/>
  <c r="AZ9" i="110"/>
  <c r="BT9" i="110"/>
  <c r="AR9" i="110"/>
  <c r="BL9" i="110"/>
  <c r="AT9" i="110"/>
  <c r="BN9" i="110"/>
  <c r="BQ9" i="110"/>
  <c r="BS9" i="110"/>
  <c r="L91" i="133"/>
  <c r="M91" i="133"/>
  <c r="H48" i="133"/>
  <c r="G49" i="126" s="1"/>
  <c r="I48" i="133"/>
  <c r="G49" i="127" s="1"/>
  <c r="G48" i="133"/>
  <c r="G49" i="110" s="1"/>
  <c r="K53" i="133"/>
  <c r="L53" i="133"/>
  <c r="M53" i="133"/>
  <c r="K12" i="133"/>
  <c r="L92" i="133"/>
  <c r="K92" i="133"/>
  <c r="M92" i="133"/>
  <c r="I49" i="133"/>
  <c r="G50" i="127" s="1"/>
  <c r="G49" i="133"/>
  <c r="G50" i="110" s="1"/>
  <c r="H49" i="133"/>
  <c r="G50" i="126" s="1"/>
  <c r="H52" i="133"/>
  <c r="G53" i="126" s="1"/>
  <c r="G52" i="133"/>
  <c r="G53" i="110" s="1"/>
  <c r="I52" i="133"/>
  <c r="G53" i="127" s="1"/>
  <c r="L52" i="133"/>
  <c r="M52" i="133"/>
  <c r="K52" i="133"/>
  <c r="L94" i="133"/>
  <c r="M94" i="133"/>
  <c r="L50" i="133"/>
  <c r="K50" i="133"/>
  <c r="M50" i="133"/>
  <c r="I53" i="133"/>
  <c r="G54" i="127" s="1"/>
  <c r="H53" i="133"/>
  <c r="G54" i="126" s="1"/>
  <c r="G53" i="133"/>
  <c r="G54" i="110" s="1"/>
  <c r="G51" i="133"/>
  <c r="G52" i="110" s="1"/>
  <c r="H51" i="133"/>
  <c r="G52" i="126" s="1"/>
  <c r="I51" i="133"/>
  <c r="G52" i="127" s="1"/>
  <c r="K51" i="133"/>
  <c r="M51" i="133"/>
  <c r="L51" i="133"/>
  <c r="G93" i="110"/>
  <c r="I92" i="133"/>
  <c r="G93" i="127" s="1"/>
  <c r="H92" i="133"/>
  <c r="G93" i="126" s="1"/>
  <c r="G88" i="133"/>
  <c r="G89" i="110" s="1"/>
  <c r="I88" i="133"/>
  <c r="G89" i="127" s="1"/>
  <c r="H88" i="133"/>
  <c r="G89" i="126" s="1"/>
  <c r="L87" i="133"/>
  <c r="K87" i="133"/>
  <c r="M87" i="133"/>
  <c r="M49" i="133"/>
  <c r="L49" i="133"/>
  <c r="K49" i="133"/>
  <c r="G47" i="133"/>
  <c r="G48" i="110" s="1"/>
  <c r="H47" i="133"/>
  <c r="G48" i="126" s="1"/>
  <c r="I47" i="133"/>
  <c r="G48" i="127" s="1"/>
  <c r="M47" i="133"/>
  <c r="L47" i="133"/>
  <c r="K47" i="133"/>
  <c r="L17" i="133"/>
  <c r="M17" i="133"/>
  <c r="L12" i="133"/>
  <c r="G12" i="133"/>
  <c r="G92" i="110"/>
  <c r="I91" i="133"/>
  <c r="G92" i="127" s="1"/>
  <c r="H91" i="133"/>
  <c r="G92" i="126" s="1"/>
  <c r="L88" i="133"/>
  <c r="K88" i="133"/>
  <c r="M88" i="133"/>
  <c r="G50" i="133"/>
  <c r="G51" i="110" s="1"/>
  <c r="I50" i="133"/>
  <c r="G51" i="127" s="1"/>
  <c r="H50" i="133"/>
  <c r="G51" i="126" s="1"/>
  <c r="M48" i="133"/>
  <c r="K48" i="133"/>
  <c r="L48" i="133"/>
  <c r="H45" i="133"/>
  <c r="G46" i="126" s="1"/>
  <c r="I45" i="133"/>
  <c r="G46" i="127" s="1"/>
  <c r="G45" i="133"/>
  <c r="G46" i="110" s="1"/>
  <c r="M45" i="133"/>
  <c r="K45" i="133"/>
  <c r="L45" i="133"/>
  <c r="M12" i="133"/>
  <c r="I12" i="133"/>
  <c r="L90" i="110"/>
  <c r="DM90" i="110" s="1"/>
  <c r="AE90" i="110" s="1"/>
  <c r="B375" i="115"/>
  <c r="F92" i="118" s="1"/>
  <c r="D109" i="118" s="1"/>
  <c r="E114" i="118"/>
  <c r="D114" i="118"/>
  <c r="D115" i="118"/>
  <c r="E115" i="118"/>
  <c r="E117" i="118"/>
  <c r="D116" i="118"/>
  <c r="G116" i="118"/>
  <c r="G113" i="118" s="1"/>
  <c r="E116" i="118"/>
  <c r="C32" i="110"/>
  <c r="C25" i="110"/>
  <c r="C28" i="110"/>
  <c r="C29" i="110"/>
  <c r="C31" i="110"/>
  <c r="C27" i="110"/>
  <c r="C30" i="110"/>
  <c r="BR18" i="131"/>
  <c r="AF18" i="131"/>
  <c r="AY18" i="131"/>
  <c r="AW18" i="131"/>
  <c r="AX18" i="131"/>
  <c r="BQ18" i="131"/>
  <c r="E111" i="118"/>
  <c r="BR26" i="110"/>
  <c r="BS26" i="110"/>
  <c r="AX26" i="110"/>
  <c r="AZ26" i="110"/>
  <c r="AY26" i="110"/>
  <c r="BT26" i="110"/>
  <c r="BQ26" i="110"/>
  <c r="AW26" i="110"/>
  <c r="BU26" i="110"/>
  <c r="AV26" i="110"/>
  <c r="AW19" i="110"/>
  <c r="BS19" i="110"/>
  <c r="BR19" i="110"/>
  <c r="BU19" i="110"/>
  <c r="BT19" i="110"/>
  <c r="BQ19" i="110"/>
  <c r="AZ19" i="110"/>
  <c r="AY19" i="110"/>
  <c r="AV19" i="110"/>
  <c r="AX19" i="110"/>
  <c r="BS18" i="131"/>
  <c r="AV18" i="131"/>
  <c r="BT18" i="131"/>
  <c r="AX90" i="110"/>
  <c r="BU90" i="110"/>
  <c r="BT90" i="110"/>
  <c r="BR90" i="110"/>
  <c r="AW90" i="110"/>
  <c r="BQ90" i="110"/>
  <c r="AZ90" i="110"/>
  <c r="AY90" i="110"/>
  <c r="AV90" i="110"/>
  <c r="BS90" i="110"/>
  <c r="N29" i="110"/>
  <c r="N92" i="110"/>
  <c r="N95" i="110"/>
  <c r="N30" i="110"/>
  <c r="N93" i="110"/>
  <c r="N25" i="110"/>
  <c r="N32" i="110"/>
  <c r="N28" i="110"/>
  <c r="N96" i="110"/>
  <c r="N31" i="110"/>
  <c r="N27" i="110"/>
  <c r="B44" i="125"/>
  <c r="B31" i="125"/>
  <c r="D108" i="118"/>
  <c r="E108" i="118"/>
  <c r="B414" i="115"/>
  <c r="F102" i="118" s="1"/>
  <c r="C414" i="115"/>
  <c r="F103" i="118" s="1"/>
  <c r="F79" i="118"/>
  <c r="AY18" i="130"/>
  <c r="AW18" i="130"/>
  <c r="BS18" i="130"/>
  <c r="BQ18" i="130"/>
  <c r="AX18" i="132"/>
  <c r="BR18" i="132"/>
  <c r="AF18" i="132"/>
  <c r="AU18" i="130"/>
  <c r="BT18" i="132"/>
  <c r="AW18" i="132"/>
  <c r="AG18" i="132"/>
  <c r="AY18" i="132"/>
  <c r="BB18" i="132"/>
  <c r="BA18" i="132"/>
  <c r="BP18" i="130"/>
  <c r="AX18" i="130"/>
  <c r="BR18" i="130"/>
  <c r="AV18" i="130"/>
  <c r="R18" i="131"/>
  <c r="R18" i="132"/>
  <c r="R18" i="130"/>
  <c r="E363" i="115"/>
  <c r="F91" i="118" s="1"/>
  <c r="D363" i="115"/>
  <c r="F90" i="118" s="1"/>
  <c r="C362" i="115"/>
  <c r="H89" i="118" s="1"/>
  <c r="H92" i="118"/>
  <c r="J88" i="118"/>
  <c r="K88" i="132" s="1"/>
  <c r="V88" i="132" s="1"/>
  <c r="R88" i="132" s="1"/>
  <c r="B363" i="115"/>
  <c r="F88" i="118" s="1"/>
  <c r="F88" i="132" s="1"/>
  <c r="J93" i="118"/>
  <c r="C375" i="115"/>
  <c r="F93" i="118" s="1"/>
  <c r="J89" i="118"/>
  <c r="K89" i="132" s="1"/>
  <c r="V89" i="132" s="1"/>
  <c r="R89" i="132" s="1"/>
  <c r="J92" i="118"/>
  <c r="BO13" i="126" l="1"/>
  <c r="BP13" i="127"/>
  <c r="BQ13" i="127"/>
  <c r="BN13" i="126"/>
  <c r="BR13" i="126"/>
  <c r="AW13" i="126"/>
  <c r="BT13" i="127"/>
  <c r="BN13" i="127"/>
  <c r="AW13" i="127"/>
  <c r="AY35" i="127"/>
  <c r="AH35" i="127"/>
  <c r="BS35" i="127"/>
  <c r="AR13" i="126"/>
  <c r="BT35" i="127"/>
  <c r="BU35" i="127"/>
  <c r="BK13" i="126"/>
  <c r="AZ13" i="126"/>
  <c r="AS13" i="126"/>
  <c r="BB13" i="127"/>
  <c r="AR13" i="127"/>
  <c r="BR13" i="127"/>
  <c r="AV13" i="127"/>
  <c r="BL13" i="126"/>
  <c r="BS13" i="126"/>
  <c r="BL13" i="127"/>
  <c r="AZ13" i="127"/>
  <c r="BS13" i="127"/>
  <c r="AG13" i="126"/>
  <c r="BC35" i="127"/>
  <c r="AX35" i="127"/>
  <c r="AQ13" i="127"/>
  <c r="AX13" i="127"/>
  <c r="BM13" i="126"/>
  <c r="AP13" i="126"/>
  <c r="BQ13" i="126"/>
  <c r="AG13" i="127"/>
  <c r="AZ35" i="127"/>
  <c r="AT13" i="126"/>
  <c r="BU13" i="126"/>
  <c r="AX13" i="126"/>
  <c r="AU13" i="127"/>
  <c r="BU13" i="127"/>
  <c r="AT13" i="127"/>
  <c r="BC24" i="127"/>
  <c r="AG24" i="127"/>
  <c r="BB13" i="126"/>
  <c r="BT13" i="126"/>
  <c r="AY13" i="126"/>
  <c r="F79" i="132"/>
  <c r="H76" i="133"/>
  <c r="G77" i="126" s="1"/>
  <c r="G45" i="126" s="1"/>
  <c r="I76" i="133"/>
  <c r="G77" i="127" s="1"/>
  <c r="G45" i="127" s="1"/>
  <c r="G76" i="133"/>
  <c r="G77" i="110" s="1"/>
  <c r="AG35" i="127"/>
  <c r="BB24" i="127"/>
  <c r="BB35" i="126"/>
  <c r="BB24" i="126"/>
  <c r="AH24" i="127"/>
  <c r="AU13" i="126"/>
  <c r="AH16" i="127"/>
  <c r="BC16" i="127"/>
  <c r="AG16" i="127"/>
  <c r="AW35" i="126"/>
  <c r="AZ35" i="126"/>
  <c r="BS35" i="126"/>
  <c r="AX7" i="126"/>
  <c r="AY7" i="126"/>
  <c r="BT7" i="126"/>
  <c r="BQ7" i="126"/>
  <c r="BU7" i="126"/>
  <c r="AW7" i="126"/>
  <c r="BR7" i="126"/>
  <c r="AH7" i="127"/>
  <c r="AZ7" i="127"/>
  <c r="AY13" i="127"/>
  <c r="AS13" i="127"/>
  <c r="BM13" i="127"/>
  <c r="BC13" i="127"/>
  <c r="BU16" i="126"/>
  <c r="BB35" i="127"/>
  <c r="AG35" i="126"/>
  <c r="BB16" i="127"/>
  <c r="BR35" i="126"/>
  <c r="AX35" i="126"/>
  <c r="BT35" i="126"/>
  <c r="AY35" i="126"/>
  <c r="BU35" i="126"/>
  <c r="AG24" i="126"/>
  <c r="AG7" i="126"/>
  <c r="BB7" i="126"/>
  <c r="AZ7" i="126"/>
  <c r="BS7" i="126"/>
  <c r="AV7" i="126"/>
  <c r="BC7" i="127"/>
  <c r="AX7" i="127"/>
  <c r="AW7" i="127"/>
  <c r="BR7" i="127"/>
  <c r="AY7" i="127"/>
  <c r="BS7" i="127"/>
  <c r="BU7" i="127"/>
  <c r="AG7" i="127"/>
  <c r="BB7" i="127"/>
  <c r="BT7" i="127"/>
  <c r="AG16" i="126"/>
  <c r="AZ16" i="126"/>
  <c r="BB16" i="126"/>
  <c r="DO7" i="127"/>
  <c r="AE19" i="127"/>
  <c r="DN7" i="127"/>
  <c r="AE8" i="127"/>
  <c r="AE10" i="127"/>
  <c r="G91" i="127"/>
  <c r="DN41" i="127"/>
  <c r="AP34" i="127"/>
  <c r="BT34" i="127"/>
  <c r="AX34" i="127"/>
  <c r="BQ34" i="127"/>
  <c r="AU34" i="127"/>
  <c r="AO34" i="127"/>
  <c r="AQ34" i="127"/>
  <c r="BM34" i="127"/>
  <c r="AY34" i="127"/>
  <c r="BU34" i="127"/>
  <c r="AZ34" i="127"/>
  <c r="BN34" i="127"/>
  <c r="AS34" i="127"/>
  <c r="AV34" i="127"/>
  <c r="BK34" i="127"/>
  <c r="BI34" i="127"/>
  <c r="BL34" i="127"/>
  <c r="BB34" i="127"/>
  <c r="AR34" i="127"/>
  <c r="AW34" i="127"/>
  <c r="BC34" i="127"/>
  <c r="BP34" i="127"/>
  <c r="AH34" i="127"/>
  <c r="BJ34" i="127"/>
  <c r="BS34" i="127"/>
  <c r="AT34" i="127"/>
  <c r="BR34" i="127"/>
  <c r="AN34" i="127"/>
  <c r="BO34" i="127"/>
  <c r="AG34" i="127"/>
  <c r="G91" i="126"/>
  <c r="AE7" i="126"/>
  <c r="BI34" i="126"/>
  <c r="AP34" i="126"/>
  <c r="AZ34" i="126"/>
  <c r="AV34" i="126"/>
  <c r="BU34" i="126"/>
  <c r="BQ34" i="126"/>
  <c r="BO34" i="126"/>
  <c r="BM34" i="126"/>
  <c r="BH34" i="126"/>
  <c r="AQ34" i="126"/>
  <c r="BR34" i="126"/>
  <c r="BB34" i="126"/>
  <c r="AR34" i="126"/>
  <c r="BN34" i="126"/>
  <c r="AS34" i="126"/>
  <c r="AT34" i="126"/>
  <c r="AN34" i="126"/>
  <c r="AY34" i="126"/>
  <c r="BJ34" i="126"/>
  <c r="AG34" i="126"/>
  <c r="BT34" i="126"/>
  <c r="AU34" i="126"/>
  <c r="BP34" i="126"/>
  <c r="AM34" i="126"/>
  <c r="AW34" i="126"/>
  <c r="BK34" i="126"/>
  <c r="AX34" i="126"/>
  <c r="BS34" i="126"/>
  <c r="BL34" i="126"/>
  <c r="AO34" i="126"/>
  <c r="AC5" i="133"/>
  <c r="AJ32" i="133"/>
  <c r="AJ5" i="133" s="1"/>
  <c r="AA5" i="133"/>
  <c r="AK32" i="133"/>
  <c r="AK5" i="133" s="1"/>
  <c r="AB5" i="133"/>
  <c r="K93" i="133"/>
  <c r="D207" i="138" s="1"/>
  <c r="AF76" i="130"/>
  <c r="F79" i="130"/>
  <c r="F79" i="131"/>
  <c r="AF81" i="130"/>
  <c r="AF63" i="130"/>
  <c r="AL32" i="133"/>
  <c r="AC33" i="110"/>
  <c r="E20" i="125"/>
  <c r="I90" i="133"/>
  <c r="L93" i="133"/>
  <c r="G90" i="133"/>
  <c r="D196" i="138" s="1"/>
  <c r="E196" i="138" s="1"/>
  <c r="M93" i="133"/>
  <c r="K90" i="133"/>
  <c r="D208" i="138" s="1"/>
  <c r="E208" i="138" s="1"/>
  <c r="L44" i="133"/>
  <c r="G87" i="133"/>
  <c r="G88" i="110" s="1"/>
  <c r="I87" i="133"/>
  <c r="G88" i="127" s="1"/>
  <c r="H87" i="133"/>
  <c r="G88" i="126" s="1"/>
  <c r="L86" i="133"/>
  <c r="K86" i="133"/>
  <c r="M86" i="133"/>
  <c r="K44" i="133"/>
  <c r="H90" i="133"/>
  <c r="M90" i="133"/>
  <c r="Q87" i="133"/>
  <c r="L88" i="127" s="1"/>
  <c r="DO88" i="127" s="1"/>
  <c r="AE88" i="127" s="1"/>
  <c r="O87" i="133"/>
  <c r="L88" i="110" s="1"/>
  <c r="P87" i="133"/>
  <c r="L88" i="126" s="1"/>
  <c r="DN88" i="126" s="1"/>
  <c r="AE88" i="126" s="1"/>
  <c r="Q86" i="133"/>
  <c r="L87" i="127" s="1"/>
  <c r="DO87" i="127" s="1"/>
  <c r="O86" i="133"/>
  <c r="L87" i="110" s="1"/>
  <c r="P86" i="133"/>
  <c r="L87" i="126" s="1"/>
  <c r="DN87" i="126" s="1"/>
  <c r="I95" i="133"/>
  <c r="G96" i="127" s="1"/>
  <c r="G96" i="110"/>
  <c r="H95" i="133"/>
  <c r="G96" i="126" s="1"/>
  <c r="L90" i="133"/>
  <c r="O41" i="133"/>
  <c r="S41" i="133" s="1"/>
  <c r="W41" i="133" s="1"/>
  <c r="P41" i="133"/>
  <c r="Q41" i="133"/>
  <c r="L42" i="127" s="1"/>
  <c r="DO42" i="127" s="1"/>
  <c r="AE42" i="127" s="1"/>
  <c r="M44" i="133"/>
  <c r="H94" i="133"/>
  <c r="G95" i="126" s="1"/>
  <c r="I94" i="133"/>
  <c r="G95" i="127" s="1"/>
  <c r="G95" i="110"/>
  <c r="G86" i="133"/>
  <c r="G87" i="110" s="1"/>
  <c r="I86" i="133"/>
  <c r="G87" i="127" s="1"/>
  <c r="H86" i="133"/>
  <c r="G87" i="126" s="1"/>
  <c r="AP29" i="133"/>
  <c r="AO31" i="133"/>
  <c r="AO26" i="133"/>
  <c r="AP30" i="133"/>
  <c r="AO30" i="133"/>
  <c r="AO29" i="133"/>
  <c r="AO27" i="133"/>
  <c r="AP31" i="133"/>
  <c r="AO28" i="133"/>
  <c r="AP28" i="133"/>
  <c r="E113" i="118"/>
  <c r="D117" i="118"/>
  <c r="D113" i="118" s="1"/>
  <c r="D111" i="118"/>
  <c r="E109" i="118"/>
  <c r="F109" i="118"/>
  <c r="G109" i="118"/>
  <c r="C7" i="110"/>
  <c r="B17" i="125"/>
  <c r="AD28" i="110"/>
  <c r="C94" i="110"/>
  <c r="B97" i="115"/>
  <c r="H4" i="118"/>
  <c r="C127" i="115"/>
  <c r="F22" i="118" s="1"/>
  <c r="C22" i="131"/>
  <c r="D127" i="115"/>
  <c r="F23" i="118" s="1"/>
  <c r="C23" i="132"/>
  <c r="B148" i="115"/>
  <c r="F25" i="118" s="1"/>
  <c r="C25" i="130"/>
  <c r="B265" i="115"/>
  <c r="H46" i="118" s="1"/>
  <c r="C46" i="131"/>
  <c r="B204" i="115"/>
  <c r="H40" i="118" s="1"/>
  <c r="AD30" i="110"/>
  <c r="AD31" i="110"/>
  <c r="AD32" i="110"/>
  <c r="AC24" i="110"/>
  <c r="B5" i="115"/>
  <c r="B205" i="115"/>
  <c r="F40" i="118" s="1"/>
  <c r="B19" i="125"/>
  <c r="B149" i="115"/>
  <c r="J25" i="118" s="1"/>
  <c r="C109" i="115"/>
  <c r="D183" i="115"/>
  <c r="G36" i="118" s="1"/>
  <c r="M179" i="115"/>
  <c r="J36" i="118" s="1"/>
  <c r="B6" i="109"/>
  <c r="I33" i="132" s="1"/>
  <c r="B183" i="115"/>
  <c r="F34" i="118" s="1"/>
  <c r="AC32" i="110"/>
  <c r="B32" i="110"/>
  <c r="AC31" i="110"/>
  <c r="B31" i="110"/>
  <c r="AC30" i="110"/>
  <c r="B30" i="110"/>
  <c r="AC29" i="110"/>
  <c r="B29" i="110"/>
  <c r="AC28" i="110"/>
  <c r="B28" i="110"/>
  <c r="AC27" i="110"/>
  <c r="B27" i="110"/>
  <c r="AC25" i="110"/>
  <c r="B25" i="110"/>
  <c r="AC18" i="110"/>
  <c r="B18" i="110"/>
  <c r="D14" i="109"/>
  <c r="D15" i="109"/>
  <c r="M178" i="115"/>
  <c r="K36" i="118" s="1"/>
  <c r="D9" i="109"/>
  <c r="AF79" i="130" s="1"/>
  <c r="D10" i="109"/>
  <c r="D11" i="109"/>
  <c r="BB74" i="110" s="1"/>
  <c r="C38" i="130"/>
  <c r="C198" i="115"/>
  <c r="F38" i="118" s="1"/>
  <c r="C20" i="130"/>
  <c r="G108" i="115"/>
  <c r="K17" i="130"/>
  <c r="T17" i="130" s="1"/>
  <c r="O96" i="110"/>
  <c r="AC96" i="110" s="1"/>
  <c r="B96" i="110"/>
  <c r="O95" i="110"/>
  <c r="AC95" i="110" s="1"/>
  <c r="B95" i="110"/>
  <c r="K102" i="131"/>
  <c r="U102" i="131" s="1"/>
  <c r="O94" i="110"/>
  <c r="AC94" i="110" s="1"/>
  <c r="B94" i="110"/>
  <c r="O93" i="110"/>
  <c r="AC93" i="110" s="1"/>
  <c r="B93" i="110"/>
  <c r="O92" i="110"/>
  <c r="AC92" i="110" s="1"/>
  <c r="B92" i="110"/>
  <c r="O91" i="110"/>
  <c r="AC91" i="110" s="1"/>
  <c r="B91" i="110"/>
  <c r="O88" i="110"/>
  <c r="AC88" i="110" s="1"/>
  <c r="B88" i="110"/>
  <c r="O87" i="110"/>
  <c r="AC87" i="110" s="1"/>
  <c r="B87" i="110"/>
  <c r="O86" i="110"/>
  <c r="AC86" i="110" s="1"/>
  <c r="C86" i="110"/>
  <c r="B86" i="110"/>
  <c r="O45" i="110"/>
  <c r="AC45" i="110" s="1"/>
  <c r="C45" i="110"/>
  <c r="B45" i="110"/>
  <c r="B44" i="110"/>
  <c r="DW43" i="110"/>
  <c r="DV43" i="110"/>
  <c r="DU43" i="110"/>
  <c r="DT43" i="110"/>
  <c r="DS43" i="110"/>
  <c r="DR43" i="110"/>
  <c r="DQ43" i="110"/>
  <c r="DP43" i="110"/>
  <c r="DN43" i="110"/>
  <c r="D16" i="109"/>
  <c r="E16" i="109" s="1"/>
  <c r="F16" i="109" s="1"/>
  <c r="G16" i="109" s="1"/>
  <c r="H16" i="109" s="1"/>
  <c r="I16" i="109" s="1"/>
  <c r="J16" i="109" s="1"/>
  <c r="K16" i="109" s="1"/>
  <c r="L16" i="109" s="1"/>
  <c r="M16" i="109" s="1"/>
  <c r="N16" i="109" s="1"/>
  <c r="D17" i="109"/>
  <c r="BU43" i="110"/>
  <c r="BT43" i="110"/>
  <c r="BS43" i="110"/>
  <c r="AZ43" i="110"/>
  <c r="AY43" i="110"/>
  <c r="AX43" i="110"/>
  <c r="C43" i="110"/>
  <c r="B43" i="110"/>
  <c r="AC40" i="110"/>
  <c r="B40" i="110"/>
  <c r="AC39" i="110"/>
  <c r="B39" i="110"/>
  <c r="AC38" i="110"/>
  <c r="B38" i="110"/>
  <c r="AC37" i="110"/>
  <c r="B37" i="110"/>
  <c r="AC36" i="110"/>
  <c r="B36" i="110"/>
  <c r="C35" i="110"/>
  <c r="B35" i="110"/>
  <c r="C34" i="110"/>
  <c r="B34" i="110"/>
  <c r="C24" i="110"/>
  <c r="B24" i="110"/>
  <c r="AC17" i="110"/>
  <c r="B17" i="110"/>
  <c r="B16" i="110"/>
  <c r="AC15" i="110"/>
  <c r="B15" i="110"/>
  <c r="AC14" i="110"/>
  <c r="B14" i="110"/>
  <c r="B13" i="110"/>
  <c r="AC12" i="110"/>
  <c r="B12" i="110"/>
  <c r="AC11" i="110"/>
  <c r="B11" i="110"/>
  <c r="B10" i="110"/>
  <c r="C8" i="110"/>
  <c r="B8" i="110"/>
  <c r="B7" i="110"/>
  <c r="B5" i="110"/>
  <c r="K92" i="130"/>
  <c r="T92" i="130" s="1"/>
  <c r="D104" i="132"/>
  <c r="AD104" i="132" s="1"/>
  <c r="C104" i="130"/>
  <c r="F104" i="132"/>
  <c r="L104" i="132"/>
  <c r="K104" i="132"/>
  <c r="V104" i="132" s="1"/>
  <c r="G104" i="132"/>
  <c r="B104" i="132"/>
  <c r="D103" i="132"/>
  <c r="Z103" i="132" s="1"/>
  <c r="L103" i="132"/>
  <c r="G103" i="132"/>
  <c r="F103" i="132"/>
  <c r="C103" i="132"/>
  <c r="B103" i="132"/>
  <c r="D102" i="132"/>
  <c r="W102" i="132" s="1"/>
  <c r="C102" i="132"/>
  <c r="F102" i="132"/>
  <c r="L102" i="132"/>
  <c r="G102" i="132"/>
  <c r="B102" i="132"/>
  <c r="D101" i="132"/>
  <c r="L101" i="132"/>
  <c r="K101" i="132"/>
  <c r="V101" i="132" s="1"/>
  <c r="G101" i="132"/>
  <c r="C101" i="132"/>
  <c r="B101" i="132"/>
  <c r="D100" i="132"/>
  <c r="F100" i="132"/>
  <c r="L100" i="132"/>
  <c r="G100" i="132"/>
  <c r="B100" i="132"/>
  <c r="D99" i="132"/>
  <c r="Z99" i="132" s="1"/>
  <c r="L99" i="132"/>
  <c r="K99" i="132"/>
  <c r="V99" i="132" s="1"/>
  <c r="G99" i="132"/>
  <c r="C99" i="130"/>
  <c r="B99" i="132"/>
  <c r="D98" i="132"/>
  <c r="Z98" i="132" s="1"/>
  <c r="C98" i="132"/>
  <c r="F98" i="132"/>
  <c r="L98" i="132"/>
  <c r="K98" i="130"/>
  <c r="T98" i="130" s="1"/>
  <c r="G98" i="132"/>
  <c r="B98" i="132"/>
  <c r="D97" i="132"/>
  <c r="AB97" i="132" s="1"/>
  <c r="C97" i="132"/>
  <c r="F97" i="132"/>
  <c r="L97" i="132"/>
  <c r="K97" i="132"/>
  <c r="V97" i="132" s="1"/>
  <c r="G97" i="132"/>
  <c r="B97" i="132"/>
  <c r="D96" i="132"/>
  <c r="AC96" i="132" s="1"/>
  <c r="L96" i="132"/>
  <c r="K96" i="132"/>
  <c r="V96" i="132" s="1"/>
  <c r="G96" i="132"/>
  <c r="F96" i="132"/>
  <c r="C96" i="132"/>
  <c r="B96" i="132"/>
  <c r="D95" i="132"/>
  <c r="AD95" i="132" s="1"/>
  <c r="L95" i="132"/>
  <c r="K95" i="132"/>
  <c r="V95" i="132" s="1"/>
  <c r="G95" i="132"/>
  <c r="F95" i="132"/>
  <c r="C95" i="132"/>
  <c r="B95" i="132"/>
  <c r="D94" i="132"/>
  <c r="AA94" i="132" s="1"/>
  <c r="L94" i="132"/>
  <c r="K94" i="132"/>
  <c r="V94" i="132" s="1"/>
  <c r="G94" i="132"/>
  <c r="F94" i="132"/>
  <c r="C94" i="132"/>
  <c r="B94" i="132"/>
  <c r="D93" i="132"/>
  <c r="Z93" i="132" s="1"/>
  <c r="L93" i="132"/>
  <c r="K93" i="132"/>
  <c r="V93" i="132" s="1"/>
  <c r="G93" i="132"/>
  <c r="F93" i="132"/>
  <c r="C93" i="132"/>
  <c r="B93" i="132"/>
  <c r="D92" i="132"/>
  <c r="Y92" i="132" s="1"/>
  <c r="C92" i="132"/>
  <c r="F92" i="132"/>
  <c r="L92" i="132"/>
  <c r="G92" i="132"/>
  <c r="B92" i="132"/>
  <c r="D91" i="132"/>
  <c r="L91" i="132"/>
  <c r="K91" i="132"/>
  <c r="V91" i="132" s="1"/>
  <c r="G91" i="132"/>
  <c r="F91" i="132"/>
  <c r="C91" i="132"/>
  <c r="B91" i="132"/>
  <c r="D90" i="132"/>
  <c r="AB90" i="132" s="1"/>
  <c r="C90" i="132"/>
  <c r="F90" i="132"/>
  <c r="L90" i="132"/>
  <c r="K90" i="132"/>
  <c r="V90" i="132" s="1"/>
  <c r="G90" i="132"/>
  <c r="B90" i="132"/>
  <c r="D48" i="132"/>
  <c r="AC48" i="132" s="1"/>
  <c r="L48" i="132"/>
  <c r="G48" i="132"/>
  <c r="F48" i="132"/>
  <c r="C48" i="132"/>
  <c r="B48" i="132"/>
  <c r="D47" i="132"/>
  <c r="C47" i="132"/>
  <c r="L47" i="132"/>
  <c r="K47" i="132"/>
  <c r="V47" i="132" s="1"/>
  <c r="G47" i="132"/>
  <c r="B47" i="132"/>
  <c r="D46" i="132"/>
  <c r="Y46" i="132" s="1"/>
  <c r="L46" i="132"/>
  <c r="G46" i="132"/>
  <c r="B46" i="132"/>
  <c r="D44" i="132"/>
  <c r="X44" i="132" s="1"/>
  <c r="C44" i="132"/>
  <c r="L44" i="132"/>
  <c r="K44" i="132"/>
  <c r="V44" i="132" s="1"/>
  <c r="G44" i="132"/>
  <c r="B44" i="132"/>
  <c r="D43" i="132"/>
  <c r="L43" i="132"/>
  <c r="K43" i="132"/>
  <c r="V43" i="132" s="1"/>
  <c r="H43" i="118"/>
  <c r="G43" i="132"/>
  <c r="C43" i="132"/>
  <c r="B43" i="132"/>
  <c r="D42" i="132"/>
  <c r="AD42" i="132" s="1"/>
  <c r="C42" i="132"/>
  <c r="L42" i="132"/>
  <c r="K42" i="132"/>
  <c r="V42" i="132" s="1"/>
  <c r="G42" i="132"/>
  <c r="B42" i="132"/>
  <c r="D41" i="132"/>
  <c r="L41" i="132"/>
  <c r="K41" i="132"/>
  <c r="V41" i="132" s="1"/>
  <c r="H41" i="118"/>
  <c r="G41" i="132"/>
  <c r="F41" i="118"/>
  <c r="C41" i="132"/>
  <c r="B41" i="132"/>
  <c r="D40" i="132"/>
  <c r="X40" i="132" s="1"/>
  <c r="L40" i="132"/>
  <c r="G40" i="132"/>
  <c r="B40" i="132"/>
  <c r="D38" i="132"/>
  <c r="AB38" i="132" s="1"/>
  <c r="L38" i="132"/>
  <c r="G38" i="132"/>
  <c r="B38" i="132"/>
  <c r="D37" i="132"/>
  <c r="AB37" i="132" s="1"/>
  <c r="C37" i="132"/>
  <c r="C183" i="115"/>
  <c r="F35" i="118" s="1"/>
  <c r="F37" i="118" s="1"/>
  <c r="E183" i="115"/>
  <c r="G37" i="118" s="1"/>
  <c r="N178" i="115"/>
  <c r="K37" i="118" s="1"/>
  <c r="N179" i="115"/>
  <c r="J37" i="118" s="1"/>
  <c r="B37" i="132"/>
  <c r="D36" i="132"/>
  <c r="AA36" i="132" s="1"/>
  <c r="B36" i="132"/>
  <c r="D35" i="132"/>
  <c r="C35" i="132"/>
  <c r="L35" i="132"/>
  <c r="N177" i="115"/>
  <c r="J35" i="118" s="1"/>
  <c r="G35" i="132"/>
  <c r="B35" i="132"/>
  <c r="D34" i="132"/>
  <c r="AB34" i="132" s="1"/>
  <c r="L34" i="132"/>
  <c r="M177" i="115"/>
  <c r="J34" i="118" s="1"/>
  <c r="G34" i="132"/>
  <c r="C34" i="130"/>
  <c r="B34" i="132"/>
  <c r="D33" i="132"/>
  <c r="U33" i="132" s="1"/>
  <c r="L33" i="132"/>
  <c r="K33" i="132"/>
  <c r="V33" i="132" s="1"/>
  <c r="G33" i="132"/>
  <c r="B198" i="115"/>
  <c r="F33" i="118" s="1"/>
  <c r="C33" i="132"/>
  <c r="B33" i="132"/>
  <c r="D32" i="132"/>
  <c r="Z32" i="132" s="1"/>
  <c r="C32" i="132"/>
  <c r="G170" i="115"/>
  <c r="G32" i="118" s="1"/>
  <c r="L178" i="115"/>
  <c r="K32" i="118" s="1"/>
  <c r="L179" i="115"/>
  <c r="J32" i="118" s="1"/>
  <c r="D170" i="115"/>
  <c r="F29" i="118" s="1"/>
  <c r="F32" i="118" s="1"/>
  <c r="B32" i="132"/>
  <c r="D31" i="132"/>
  <c r="K178" i="115"/>
  <c r="K31" i="118" s="1"/>
  <c r="K179" i="115"/>
  <c r="J31" i="118" s="1"/>
  <c r="F170" i="115"/>
  <c r="G31" i="118" s="1"/>
  <c r="C170" i="115"/>
  <c r="F28" i="118" s="1"/>
  <c r="F31" i="118" s="1"/>
  <c r="C31" i="132"/>
  <c r="B31" i="132"/>
  <c r="D30" i="132"/>
  <c r="AA30" i="132" s="1"/>
  <c r="C30" i="132"/>
  <c r="E170" i="115"/>
  <c r="G30" i="118" s="1"/>
  <c r="J178" i="115"/>
  <c r="K30" i="118" s="1"/>
  <c r="J179" i="115"/>
  <c r="J30" i="118" s="1"/>
  <c r="B170" i="115"/>
  <c r="F27" i="118" s="1"/>
  <c r="F30" i="118" s="1"/>
  <c r="B30" i="132"/>
  <c r="D29" i="132"/>
  <c r="Y29" i="132" s="1"/>
  <c r="L29" i="132"/>
  <c r="L177" i="115"/>
  <c r="J29" i="118" s="1"/>
  <c r="G29" i="132"/>
  <c r="C29" i="132"/>
  <c r="B29" i="132"/>
  <c r="D28" i="132"/>
  <c r="AB28" i="132" s="1"/>
  <c r="L28" i="132"/>
  <c r="K177" i="115"/>
  <c r="J28" i="118" s="1"/>
  <c r="G28" i="132"/>
  <c r="C28" i="132"/>
  <c r="B28" i="132"/>
  <c r="D27" i="132"/>
  <c r="L27" i="132"/>
  <c r="J177" i="115"/>
  <c r="J27" i="118" s="1"/>
  <c r="G27" i="132"/>
  <c r="B27" i="132"/>
  <c r="D26" i="132"/>
  <c r="AB26" i="132" s="1"/>
  <c r="L26" i="132"/>
  <c r="G26" i="132"/>
  <c r="B159" i="115"/>
  <c r="F26" i="118" s="1"/>
  <c r="C26" i="132"/>
  <c r="B26" i="132"/>
  <c r="D25" i="132"/>
  <c r="AB25" i="132" s="1"/>
  <c r="L25" i="132"/>
  <c r="G25" i="132"/>
  <c r="B25" i="132"/>
  <c r="D24" i="132"/>
  <c r="L24" i="132"/>
  <c r="G24" i="132"/>
  <c r="B24" i="132"/>
  <c r="D23" i="132"/>
  <c r="AD23" i="132" s="1"/>
  <c r="L23" i="132"/>
  <c r="G23" i="132"/>
  <c r="B23" i="132"/>
  <c r="D22" i="132"/>
  <c r="L22" i="132"/>
  <c r="G22" i="132"/>
  <c r="B22" i="132"/>
  <c r="D21" i="132"/>
  <c r="AB21" i="132" s="1"/>
  <c r="L21" i="132"/>
  <c r="K21" i="132"/>
  <c r="V21" i="132" s="1"/>
  <c r="B127" i="115"/>
  <c r="F21" i="118" s="1"/>
  <c r="G21" i="132"/>
  <c r="B21" i="132"/>
  <c r="D20" i="132"/>
  <c r="L20" i="132"/>
  <c r="G20" i="132"/>
  <c r="B20" i="132"/>
  <c r="D19" i="132"/>
  <c r="U19" i="132" s="1"/>
  <c r="L19" i="132"/>
  <c r="B112" i="115"/>
  <c r="J19" i="118" s="1"/>
  <c r="G19" i="132"/>
  <c r="C19" i="132"/>
  <c r="AF19" i="132" s="1"/>
  <c r="B19" i="132"/>
  <c r="D17" i="132"/>
  <c r="AB17" i="132" s="1"/>
  <c r="L17" i="132"/>
  <c r="G17" i="132"/>
  <c r="C17" i="132"/>
  <c r="B17" i="132"/>
  <c r="D16" i="132"/>
  <c r="C16" i="132"/>
  <c r="L16" i="132"/>
  <c r="K16" i="132"/>
  <c r="V16" i="132" s="1"/>
  <c r="I16" i="132"/>
  <c r="G16" i="132"/>
  <c r="B16" i="132"/>
  <c r="D15" i="132"/>
  <c r="L15" i="132"/>
  <c r="K15" i="132"/>
  <c r="V15" i="132" s="1"/>
  <c r="G15" i="132"/>
  <c r="C15" i="132"/>
  <c r="BQ15" i="132" s="1"/>
  <c r="B15" i="132"/>
  <c r="D14" i="132"/>
  <c r="C14" i="132"/>
  <c r="F14" i="132"/>
  <c r="L14" i="132"/>
  <c r="K14" i="132"/>
  <c r="V14" i="132" s="1"/>
  <c r="G14" i="132"/>
  <c r="B14" i="132"/>
  <c r="D13" i="132"/>
  <c r="L13" i="132"/>
  <c r="K13" i="132"/>
  <c r="V13" i="132" s="1"/>
  <c r="B84" i="115"/>
  <c r="H13" i="118" s="1"/>
  <c r="G13" i="132"/>
  <c r="B85" i="115"/>
  <c r="C13" i="132"/>
  <c r="B13" i="132"/>
  <c r="D12" i="132"/>
  <c r="C12" i="132"/>
  <c r="C73" i="115"/>
  <c r="F12" i="118" s="1"/>
  <c r="L12" i="132"/>
  <c r="K12" i="132"/>
  <c r="V12" i="132" s="1"/>
  <c r="G12" i="132"/>
  <c r="B12" i="132"/>
  <c r="D11" i="132"/>
  <c r="Y11" i="132" s="1"/>
  <c r="L11" i="132"/>
  <c r="K11" i="132"/>
  <c r="V11" i="132" s="1"/>
  <c r="B72" i="115"/>
  <c r="H11" i="118" s="1"/>
  <c r="G11" i="132"/>
  <c r="C11" i="132"/>
  <c r="B11" i="132"/>
  <c r="D10" i="132"/>
  <c r="C10" i="132"/>
  <c r="C61" i="115"/>
  <c r="F10" i="118" s="1"/>
  <c r="L10" i="132"/>
  <c r="K10" i="132"/>
  <c r="V10" i="132" s="1"/>
  <c r="G10" i="132"/>
  <c r="B10" i="132"/>
  <c r="D9" i="132"/>
  <c r="T9" i="132" s="1"/>
  <c r="L9" i="132"/>
  <c r="K9" i="132"/>
  <c r="V9" i="132" s="1"/>
  <c r="B61" i="115"/>
  <c r="F9" i="118" s="1"/>
  <c r="G9" i="132"/>
  <c r="C9" i="132"/>
  <c r="B9" i="132"/>
  <c r="D8" i="132"/>
  <c r="C8" i="132"/>
  <c r="B51" i="115"/>
  <c r="F8" i="118" s="1"/>
  <c r="L8" i="132"/>
  <c r="K8" i="132"/>
  <c r="V8" i="132" s="1"/>
  <c r="G8" i="132"/>
  <c r="B8" i="132"/>
  <c r="D7" i="132"/>
  <c r="L7" i="132"/>
  <c r="K7" i="132"/>
  <c r="V7" i="132" s="1"/>
  <c r="B34" i="115"/>
  <c r="F7" i="118" s="1"/>
  <c r="G7" i="132"/>
  <c r="C7" i="132"/>
  <c r="B7" i="132"/>
  <c r="D6" i="132"/>
  <c r="X6" i="132" s="1"/>
  <c r="C6" i="132"/>
  <c r="B21" i="115"/>
  <c r="H6" i="118" s="1"/>
  <c r="B18" i="115"/>
  <c r="B22" i="115" s="1"/>
  <c r="F6" i="118" s="1"/>
  <c r="AC6" i="132"/>
  <c r="L6" i="132"/>
  <c r="G6" i="132"/>
  <c r="B6" i="132"/>
  <c r="D5" i="132"/>
  <c r="L5" i="132"/>
  <c r="K5" i="132"/>
  <c r="V5" i="132" s="1"/>
  <c r="G5" i="132"/>
  <c r="C5" i="115"/>
  <c r="C5" i="132"/>
  <c r="B5" i="132"/>
  <c r="D4" i="132"/>
  <c r="AA4" i="132" s="1"/>
  <c r="C4" i="132"/>
  <c r="L4" i="132"/>
  <c r="K4" i="132"/>
  <c r="V4" i="132" s="1"/>
  <c r="G4" i="132"/>
  <c r="B4" i="132"/>
  <c r="D104" i="131"/>
  <c r="L104" i="131"/>
  <c r="G104" i="131"/>
  <c r="B104" i="131"/>
  <c r="D103" i="131"/>
  <c r="AD103" i="131" s="1"/>
  <c r="L103" i="131"/>
  <c r="G103" i="131"/>
  <c r="B103" i="131"/>
  <c r="D102" i="131"/>
  <c r="L102" i="131"/>
  <c r="G102" i="131"/>
  <c r="B102" i="131"/>
  <c r="D101" i="131"/>
  <c r="L101" i="131"/>
  <c r="G101" i="131"/>
  <c r="B101" i="131"/>
  <c r="D100" i="131"/>
  <c r="T100" i="131" s="1"/>
  <c r="L100" i="131"/>
  <c r="G100" i="131"/>
  <c r="B100" i="131"/>
  <c r="D99" i="131"/>
  <c r="Z99" i="131" s="1"/>
  <c r="L99" i="131"/>
  <c r="G99" i="131"/>
  <c r="B99" i="131"/>
  <c r="D98" i="131"/>
  <c r="AB98" i="131" s="1"/>
  <c r="L98" i="131"/>
  <c r="G98" i="131"/>
  <c r="B98" i="131"/>
  <c r="D97" i="131"/>
  <c r="T97" i="131" s="1"/>
  <c r="L97" i="131"/>
  <c r="G97" i="131"/>
  <c r="B97" i="131"/>
  <c r="D96" i="131"/>
  <c r="AC96" i="131" s="1"/>
  <c r="L96" i="131"/>
  <c r="G96" i="131"/>
  <c r="B96" i="131"/>
  <c r="D95" i="131"/>
  <c r="T95" i="131" s="1"/>
  <c r="L95" i="131"/>
  <c r="G95" i="131"/>
  <c r="B95" i="131"/>
  <c r="D94" i="131"/>
  <c r="AC94" i="131" s="1"/>
  <c r="L94" i="131"/>
  <c r="G94" i="131"/>
  <c r="B94" i="131"/>
  <c r="D93" i="131"/>
  <c r="T93" i="131" s="1"/>
  <c r="L93" i="131"/>
  <c r="G93" i="131"/>
  <c r="B93" i="131"/>
  <c r="D92" i="131"/>
  <c r="W92" i="131" s="1"/>
  <c r="L92" i="131"/>
  <c r="G92" i="131"/>
  <c r="B92" i="131"/>
  <c r="D91" i="131"/>
  <c r="Y91" i="131" s="1"/>
  <c r="L91" i="131"/>
  <c r="G91" i="131"/>
  <c r="B91" i="131"/>
  <c r="D90" i="131"/>
  <c r="AD90" i="131" s="1"/>
  <c r="L90" i="131"/>
  <c r="G90" i="131"/>
  <c r="B90" i="131"/>
  <c r="D89" i="131"/>
  <c r="Y89" i="131" s="1"/>
  <c r="L89" i="131"/>
  <c r="G89" i="131"/>
  <c r="B89" i="131"/>
  <c r="D88" i="131"/>
  <c r="X88" i="131" s="1"/>
  <c r="L88" i="131"/>
  <c r="G88" i="131"/>
  <c r="B88" i="131"/>
  <c r="D48" i="131"/>
  <c r="L48" i="131"/>
  <c r="G48" i="131"/>
  <c r="B48" i="131"/>
  <c r="D47" i="131"/>
  <c r="K47" i="131"/>
  <c r="U47" i="131" s="1"/>
  <c r="L47" i="131"/>
  <c r="I47" i="131"/>
  <c r="G47" i="131"/>
  <c r="B47" i="131"/>
  <c r="D46" i="131"/>
  <c r="L46" i="131"/>
  <c r="G46" i="131"/>
  <c r="B46" i="131"/>
  <c r="D43" i="131"/>
  <c r="AB43" i="131" s="1"/>
  <c r="L43" i="131"/>
  <c r="G43" i="131"/>
  <c r="B43" i="131"/>
  <c r="D42" i="131"/>
  <c r="L42" i="131"/>
  <c r="G42" i="131"/>
  <c r="B42" i="131"/>
  <c r="D41" i="131"/>
  <c r="V41" i="131" s="1"/>
  <c r="L41" i="131"/>
  <c r="G41" i="131"/>
  <c r="B41" i="131"/>
  <c r="D40" i="131"/>
  <c r="AB40" i="131" s="1"/>
  <c r="L40" i="131"/>
  <c r="G40" i="131"/>
  <c r="B40" i="131"/>
  <c r="D38" i="131"/>
  <c r="L38" i="131"/>
  <c r="G38" i="131"/>
  <c r="B38" i="131"/>
  <c r="D37" i="131"/>
  <c r="B37" i="131"/>
  <c r="D36" i="131"/>
  <c r="V36" i="131" s="1"/>
  <c r="B36" i="131"/>
  <c r="D35" i="131"/>
  <c r="L35" i="131"/>
  <c r="G35" i="131"/>
  <c r="B35" i="131"/>
  <c r="D34" i="131"/>
  <c r="Y34" i="131" s="1"/>
  <c r="L34" i="131"/>
  <c r="G34" i="131"/>
  <c r="B34" i="131"/>
  <c r="D33" i="131"/>
  <c r="Z33" i="131" s="1"/>
  <c r="L33" i="131"/>
  <c r="G33" i="131"/>
  <c r="B33" i="131"/>
  <c r="D32" i="131"/>
  <c r="B32" i="131"/>
  <c r="D31" i="131"/>
  <c r="W31" i="131" s="1"/>
  <c r="B31" i="131"/>
  <c r="D30" i="131"/>
  <c r="B30" i="131"/>
  <c r="D29" i="131"/>
  <c r="AC29" i="131" s="1"/>
  <c r="L29" i="131"/>
  <c r="G29" i="131"/>
  <c r="B29" i="131"/>
  <c r="D28" i="131"/>
  <c r="Z28" i="131" s="1"/>
  <c r="L28" i="131"/>
  <c r="G28" i="131"/>
  <c r="B28" i="131"/>
  <c r="D27" i="131"/>
  <c r="AA27" i="131" s="1"/>
  <c r="L27" i="131"/>
  <c r="G27" i="131"/>
  <c r="B27" i="131"/>
  <c r="D26" i="131"/>
  <c r="AB26" i="131" s="1"/>
  <c r="L26" i="131"/>
  <c r="G26" i="131"/>
  <c r="B26" i="131"/>
  <c r="D25" i="131"/>
  <c r="X25" i="131" s="1"/>
  <c r="L25" i="131"/>
  <c r="G25" i="131"/>
  <c r="B25" i="131"/>
  <c r="D24" i="131"/>
  <c r="L24" i="131"/>
  <c r="G24" i="131"/>
  <c r="B24" i="131"/>
  <c r="D23" i="131"/>
  <c r="Z23" i="131" s="1"/>
  <c r="L23" i="131"/>
  <c r="G23" i="131"/>
  <c r="B23" i="131"/>
  <c r="D22" i="131"/>
  <c r="T22" i="131" s="1"/>
  <c r="L22" i="131"/>
  <c r="G22" i="131"/>
  <c r="B22" i="131"/>
  <c r="D21" i="131"/>
  <c r="V21" i="131" s="1"/>
  <c r="L21" i="131"/>
  <c r="G21" i="131"/>
  <c r="B21" i="131"/>
  <c r="D20" i="131"/>
  <c r="T20" i="131" s="1"/>
  <c r="L20" i="131"/>
  <c r="G20" i="131"/>
  <c r="B20" i="131"/>
  <c r="D19" i="131"/>
  <c r="W19" i="131" s="1"/>
  <c r="L19" i="131"/>
  <c r="G19" i="131"/>
  <c r="B19" i="131"/>
  <c r="D17" i="131"/>
  <c r="T17" i="131" s="1"/>
  <c r="L17" i="131"/>
  <c r="G17" i="131"/>
  <c r="C17" i="131"/>
  <c r="B17" i="131"/>
  <c r="D16" i="131"/>
  <c r="AB16" i="131" s="1"/>
  <c r="L16" i="131"/>
  <c r="K16" i="131"/>
  <c r="U16" i="131" s="1"/>
  <c r="G16" i="131"/>
  <c r="B16" i="131"/>
  <c r="D15" i="131"/>
  <c r="Z15" i="131" s="1"/>
  <c r="K15" i="131"/>
  <c r="U15" i="131" s="1"/>
  <c r="L15" i="131"/>
  <c r="G15" i="131"/>
  <c r="B15" i="131"/>
  <c r="D14" i="131"/>
  <c r="T14" i="131" s="1"/>
  <c r="L14" i="131"/>
  <c r="K14" i="131"/>
  <c r="U14" i="131" s="1"/>
  <c r="G14" i="131"/>
  <c r="F14" i="131"/>
  <c r="C14" i="131"/>
  <c r="B14" i="131"/>
  <c r="D13" i="131"/>
  <c r="Z13" i="131" s="1"/>
  <c r="L13" i="131"/>
  <c r="G13" i="131"/>
  <c r="B13" i="131"/>
  <c r="D12" i="131"/>
  <c r="L12" i="131"/>
  <c r="G12" i="131"/>
  <c r="B12" i="131"/>
  <c r="D11" i="131"/>
  <c r="AB11" i="131" s="1"/>
  <c r="L11" i="131"/>
  <c r="G11" i="131"/>
  <c r="B11" i="131"/>
  <c r="D10" i="131"/>
  <c r="T10" i="131" s="1"/>
  <c r="L10" i="131"/>
  <c r="G10" i="131"/>
  <c r="B10" i="131"/>
  <c r="D9" i="131"/>
  <c r="AC9" i="131" s="1"/>
  <c r="L9" i="131"/>
  <c r="G9" i="131"/>
  <c r="B9" i="131"/>
  <c r="D8" i="131"/>
  <c r="T8" i="131" s="1"/>
  <c r="L8" i="131"/>
  <c r="G8" i="131"/>
  <c r="B8" i="131"/>
  <c r="D7" i="131"/>
  <c r="W7" i="131" s="1"/>
  <c r="L7" i="131"/>
  <c r="G7" i="131"/>
  <c r="B7" i="131"/>
  <c r="D6" i="131"/>
  <c r="T6" i="131" s="1"/>
  <c r="L6" i="131"/>
  <c r="G6" i="131"/>
  <c r="B6" i="131"/>
  <c r="D5" i="131"/>
  <c r="W5" i="131" s="1"/>
  <c r="L5" i="131"/>
  <c r="G5" i="131"/>
  <c r="B5" i="131"/>
  <c r="D4" i="131"/>
  <c r="V4" i="131" s="1"/>
  <c r="K4" i="131"/>
  <c r="U4" i="131" s="1"/>
  <c r="L4" i="131"/>
  <c r="G4" i="131"/>
  <c r="C4" i="131"/>
  <c r="BI4" i="131" s="1"/>
  <c r="B4" i="131"/>
  <c r="I22" i="130"/>
  <c r="I93" i="130"/>
  <c r="H5" i="118"/>
  <c r="AV43" i="110"/>
  <c r="BQ43" i="110"/>
  <c r="AW43" i="110"/>
  <c r="BR43" i="110"/>
  <c r="L26" i="130"/>
  <c r="G26" i="130"/>
  <c r="D26" i="130"/>
  <c r="AC26" i="130" s="1"/>
  <c r="B26" i="130"/>
  <c r="B5" i="130"/>
  <c r="D5" i="130"/>
  <c r="G5" i="130"/>
  <c r="L5" i="130"/>
  <c r="B6" i="130"/>
  <c r="D6" i="130"/>
  <c r="AA6" i="130" s="1"/>
  <c r="G6" i="130"/>
  <c r="L6" i="130"/>
  <c r="B7" i="130"/>
  <c r="D7" i="130"/>
  <c r="W7" i="130" s="1"/>
  <c r="G7" i="130"/>
  <c r="L7" i="130"/>
  <c r="B8" i="130"/>
  <c r="D8" i="130"/>
  <c r="G8" i="130"/>
  <c r="L8" i="130"/>
  <c r="B9" i="130"/>
  <c r="D9" i="130"/>
  <c r="Y9" i="130" s="1"/>
  <c r="G9" i="130"/>
  <c r="L9" i="130"/>
  <c r="B10" i="130"/>
  <c r="D10" i="130"/>
  <c r="Z10" i="130" s="1"/>
  <c r="G10" i="130"/>
  <c r="L10" i="130"/>
  <c r="B11" i="130"/>
  <c r="D11" i="130"/>
  <c r="AB11" i="130" s="1"/>
  <c r="G11" i="130"/>
  <c r="L11" i="130"/>
  <c r="B12" i="130"/>
  <c r="D12" i="130"/>
  <c r="V12" i="130" s="1"/>
  <c r="G12" i="130"/>
  <c r="L12" i="130"/>
  <c r="B13" i="130"/>
  <c r="D13" i="130"/>
  <c r="AA13" i="130" s="1"/>
  <c r="G13" i="130"/>
  <c r="L13" i="130"/>
  <c r="B14" i="130"/>
  <c r="C14" i="130"/>
  <c r="D14" i="130"/>
  <c r="Z14" i="130" s="1"/>
  <c r="F14" i="130"/>
  <c r="G14" i="130"/>
  <c r="K14" i="130"/>
  <c r="T14" i="130" s="1"/>
  <c r="L14" i="130"/>
  <c r="B15" i="130"/>
  <c r="D15" i="130"/>
  <c r="AB15" i="130" s="1"/>
  <c r="G15" i="130"/>
  <c r="K15" i="130"/>
  <c r="T15" i="130" s="1"/>
  <c r="L15" i="130"/>
  <c r="B16" i="130"/>
  <c r="D16" i="130"/>
  <c r="U16" i="130" s="1"/>
  <c r="G16" i="130"/>
  <c r="K16" i="130"/>
  <c r="T16" i="130" s="1"/>
  <c r="L16" i="130"/>
  <c r="B17" i="130"/>
  <c r="D17" i="130"/>
  <c r="V17" i="130" s="1"/>
  <c r="G17" i="130"/>
  <c r="L17" i="130"/>
  <c r="B19" i="130"/>
  <c r="D19" i="130"/>
  <c r="U19" i="130" s="1"/>
  <c r="G19" i="130"/>
  <c r="L19" i="130"/>
  <c r="B20" i="130"/>
  <c r="D20" i="130"/>
  <c r="Z20" i="130" s="1"/>
  <c r="G20" i="130"/>
  <c r="L20" i="130"/>
  <c r="B21" i="130"/>
  <c r="D21" i="130"/>
  <c r="AA21" i="130" s="1"/>
  <c r="G21" i="130"/>
  <c r="L21" i="130"/>
  <c r="B22" i="130"/>
  <c r="D22" i="130"/>
  <c r="W22" i="130" s="1"/>
  <c r="G22" i="130"/>
  <c r="L22" i="130"/>
  <c r="B23" i="130"/>
  <c r="D23" i="130"/>
  <c r="X23" i="130" s="1"/>
  <c r="G23" i="130"/>
  <c r="L23" i="130"/>
  <c r="B24" i="130"/>
  <c r="D24" i="130"/>
  <c r="W24" i="130" s="1"/>
  <c r="G24" i="130"/>
  <c r="L24" i="130"/>
  <c r="B25" i="130"/>
  <c r="D25" i="130"/>
  <c r="G25" i="130"/>
  <c r="L25" i="130"/>
  <c r="B27" i="130"/>
  <c r="D27" i="130"/>
  <c r="G27" i="130"/>
  <c r="L27" i="130"/>
  <c r="B28" i="130"/>
  <c r="D28" i="130"/>
  <c r="G28" i="130"/>
  <c r="L28" i="130"/>
  <c r="B29" i="130"/>
  <c r="D29" i="130"/>
  <c r="AD29" i="130" s="1"/>
  <c r="G29" i="130"/>
  <c r="L29" i="130"/>
  <c r="B30" i="130"/>
  <c r="D30" i="130"/>
  <c r="B31" i="130"/>
  <c r="D31" i="130"/>
  <c r="X31" i="130" s="1"/>
  <c r="B32" i="130"/>
  <c r="D32" i="130"/>
  <c r="B33" i="130"/>
  <c r="D33" i="130"/>
  <c r="G33" i="130"/>
  <c r="L33" i="130"/>
  <c r="B34" i="130"/>
  <c r="D34" i="130"/>
  <c r="AC34" i="130" s="1"/>
  <c r="G34" i="130"/>
  <c r="L34" i="130"/>
  <c r="B35" i="130"/>
  <c r="D35" i="130"/>
  <c r="Y35" i="130" s="1"/>
  <c r="G35" i="130"/>
  <c r="L35" i="130"/>
  <c r="B36" i="130"/>
  <c r="D36" i="130"/>
  <c r="B37" i="130"/>
  <c r="D37" i="130"/>
  <c r="AC37" i="130" s="1"/>
  <c r="B38" i="130"/>
  <c r="D38" i="130"/>
  <c r="AB38" i="130" s="1"/>
  <c r="G38" i="130"/>
  <c r="L38" i="130"/>
  <c r="B40" i="130"/>
  <c r="D40" i="130"/>
  <c r="G40" i="130"/>
  <c r="L40" i="130"/>
  <c r="B41" i="130"/>
  <c r="D41" i="130"/>
  <c r="Z41" i="130" s="1"/>
  <c r="G41" i="130"/>
  <c r="L41" i="130"/>
  <c r="B42" i="130"/>
  <c r="D42" i="130"/>
  <c r="G42" i="130"/>
  <c r="L42" i="130"/>
  <c r="B43" i="130"/>
  <c r="D43" i="130"/>
  <c r="AA43" i="130" s="1"/>
  <c r="G43" i="130"/>
  <c r="L43" i="130"/>
  <c r="B44" i="130"/>
  <c r="D44" i="130"/>
  <c r="G44" i="130"/>
  <c r="L44" i="130"/>
  <c r="B46" i="130"/>
  <c r="D46" i="130"/>
  <c r="Z46" i="130" s="1"/>
  <c r="G46" i="130"/>
  <c r="L46" i="130"/>
  <c r="B47" i="130"/>
  <c r="D47" i="130"/>
  <c r="W47" i="130" s="1"/>
  <c r="G47" i="130"/>
  <c r="K47" i="130"/>
  <c r="T47" i="130" s="1"/>
  <c r="L47" i="130"/>
  <c r="AC47" i="130"/>
  <c r="B48" i="130"/>
  <c r="D48" i="130"/>
  <c r="G48" i="130"/>
  <c r="L48" i="130"/>
  <c r="B88" i="130"/>
  <c r="D88" i="130"/>
  <c r="G88" i="130"/>
  <c r="L88" i="130"/>
  <c r="B89" i="130"/>
  <c r="D89" i="130"/>
  <c r="G89" i="130"/>
  <c r="L89" i="130"/>
  <c r="B90" i="130"/>
  <c r="D90" i="130"/>
  <c r="G90" i="130"/>
  <c r="L90" i="130"/>
  <c r="B91" i="130"/>
  <c r="D91" i="130"/>
  <c r="G91" i="130"/>
  <c r="L91" i="130"/>
  <c r="B92" i="130"/>
  <c r="D92" i="130"/>
  <c r="G92" i="130"/>
  <c r="L92" i="130"/>
  <c r="B93" i="130"/>
  <c r="D93" i="130"/>
  <c r="AD93" i="130" s="1"/>
  <c r="G93" i="130"/>
  <c r="L93" i="130"/>
  <c r="B94" i="130"/>
  <c r="D94" i="130"/>
  <c r="X94" i="130" s="1"/>
  <c r="G94" i="130"/>
  <c r="L94" i="130"/>
  <c r="B95" i="130"/>
  <c r="D95" i="130"/>
  <c r="AB95" i="130" s="1"/>
  <c r="G95" i="130"/>
  <c r="L95" i="130"/>
  <c r="B96" i="130"/>
  <c r="D96" i="130"/>
  <c r="Y96" i="130" s="1"/>
  <c r="G96" i="130"/>
  <c r="L96" i="130"/>
  <c r="B97" i="130"/>
  <c r="D97" i="130"/>
  <c r="Z97" i="130" s="1"/>
  <c r="G97" i="130"/>
  <c r="L97" i="130"/>
  <c r="B98" i="130"/>
  <c r="D98" i="130"/>
  <c r="V98" i="130" s="1"/>
  <c r="G98" i="130"/>
  <c r="L98" i="130"/>
  <c r="B99" i="130"/>
  <c r="D99" i="130"/>
  <c r="G99" i="130"/>
  <c r="L99" i="130"/>
  <c r="B100" i="130"/>
  <c r="D100" i="130"/>
  <c r="W100" i="130" s="1"/>
  <c r="G100" i="130"/>
  <c r="L100" i="130"/>
  <c r="B101" i="130"/>
  <c r="D101" i="130"/>
  <c r="G101" i="130"/>
  <c r="L101" i="130"/>
  <c r="B102" i="130"/>
  <c r="D102" i="130"/>
  <c r="AC102" i="130" s="1"/>
  <c r="G102" i="130"/>
  <c r="L102" i="130"/>
  <c r="B103" i="130"/>
  <c r="D103" i="130"/>
  <c r="AA103" i="130" s="1"/>
  <c r="G103" i="130"/>
  <c r="L103" i="130"/>
  <c r="B104" i="130"/>
  <c r="D104" i="130"/>
  <c r="AB104" i="130" s="1"/>
  <c r="G104" i="130"/>
  <c r="L104" i="130"/>
  <c r="AD25" i="110"/>
  <c r="L4" i="130"/>
  <c r="G4" i="130"/>
  <c r="D4" i="130"/>
  <c r="C4" i="130"/>
  <c r="B4" i="130"/>
  <c r="B24" i="125"/>
  <c r="B22" i="125"/>
  <c r="B21" i="125"/>
  <c r="C91" i="110"/>
  <c r="AD15" i="110"/>
  <c r="AD14" i="110"/>
  <c r="N34" i="110"/>
  <c r="AD34" i="110" s="1"/>
  <c r="AD11" i="110"/>
  <c r="AC34" i="110"/>
  <c r="F13" i="107"/>
  <c r="F4" i="107"/>
  <c r="AD93" i="110"/>
  <c r="AD95" i="110"/>
  <c r="AD96" i="110"/>
  <c r="K10" i="130"/>
  <c r="T10" i="130" s="1"/>
  <c r="C46" i="130"/>
  <c r="K9" i="130"/>
  <c r="T9" i="130" s="1"/>
  <c r="C8" i="130"/>
  <c r="C9" i="130"/>
  <c r="K8" i="130"/>
  <c r="T8" i="130" s="1"/>
  <c r="C5" i="130"/>
  <c r="K5" i="130"/>
  <c r="T5" i="130" s="1"/>
  <c r="K4" i="130"/>
  <c r="T4" i="130" s="1"/>
  <c r="C15" i="130"/>
  <c r="K21" i="130"/>
  <c r="T21" i="130" s="1"/>
  <c r="C17" i="130"/>
  <c r="C16" i="130"/>
  <c r="K11" i="130"/>
  <c r="T11" i="130" s="1"/>
  <c r="C7" i="130"/>
  <c r="C11" i="130"/>
  <c r="K13" i="130"/>
  <c r="T13" i="130" s="1"/>
  <c r="C12" i="130"/>
  <c r="K6" i="130"/>
  <c r="T6" i="130" s="1"/>
  <c r="C19" i="130"/>
  <c r="K12" i="130"/>
  <c r="T12" i="130" s="1"/>
  <c r="C13" i="130"/>
  <c r="K7" i="130"/>
  <c r="T7" i="130" s="1"/>
  <c r="C6" i="130"/>
  <c r="N87" i="110"/>
  <c r="N88" i="110"/>
  <c r="DO43" i="110"/>
  <c r="E8" i="109"/>
  <c r="F8" i="109" s="1"/>
  <c r="G8" i="109" s="1"/>
  <c r="H8" i="109" s="1"/>
  <c r="I8" i="109" s="1"/>
  <c r="J8" i="109" s="1"/>
  <c r="K8" i="109" s="1"/>
  <c r="L8" i="109" s="1"/>
  <c r="M8" i="109" s="1"/>
  <c r="N8" i="109" s="1"/>
  <c r="O8" i="109" s="1"/>
  <c r="P8" i="109" s="1"/>
  <c r="Q8" i="109" s="1"/>
  <c r="R8" i="109" s="1"/>
  <c r="S8" i="109" s="1"/>
  <c r="T8" i="109" s="1"/>
  <c r="U8" i="109" s="1"/>
  <c r="V8" i="109" s="1"/>
  <c r="W8" i="109" s="1"/>
  <c r="M13" i="107"/>
  <c r="L13" i="107"/>
  <c r="K13" i="107"/>
  <c r="J13" i="107"/>
  <c r="I13" i="107"/>
  <c r="M4" i="107"/>
  <c r="L4" i="107"/>
  <c r="K4" i="107"/>
  <c r="J4" i="107"/>
  <c r="I4" i="107"/>
  <c r="I24" i="107" s="1"/>
  <c r="E13" i="107"/>
  <c r="D13" i="107"/>
  <c r="C13" i="107"/>
  <c r="B13" i="107"/>
  <c r="C4" i="107"/>
  <c r="E4" i="107"/>
  <c r="D4" i="107"/>
  <c r="B4" i="107"/>
  <c r="B24" i="107" s="1"/>
  <c r="D213" i="138" l="1"/>
  <c r="E213" i="138" s="1"/>
  <c r="E207" i="138"/>
  <c r="H44" i="133"/>
  <c r="BC6" i="127"/>
  <c r="BC5" i="127" s="1"/>
  <c r="L24" i="107"/>
  <c r="I102" i="130"/>
  <c r="I44" i="130"/>
  <c r="I14" i="130"/>
  <c r="H90" i="132"/>
  <c r="I92" i="132"/>
  <c r="I102" i="132"/>
  <c r="I44" i="133"/>
  <c r="I87" i="110"/>
  <c r="I99" i="130"/>
  <c r="I40" i="130"/>
  <c r="I6" i="130"/>
  <c r="I88" i="131"/>
  <c r="I29" i="132"/>
  <c r="I34" i="132"/>
  <c r="I93" i="132"/>
  <c r="H94" i="132"/>
  <c r="I87" i="126"/>
  <c r="AH87" i="126" s="1"/>
  <c r="I95" i="130"/>
  <c r="I25" i="130"/>
  <c r="I40" i="131"/>
  <c r="I93" i="131"/>
  <c r="BB51" i="110"/>
  <c r="BA58" i="130"/>
  <c r="BA55" i="130"/>
  <c r="BA56" i="130"/>
  <c r="BW23" i="126"/>
  <c r="BW23" i="110"/>
  <c r="BW23" i="127"/>
  <c r="BW33" i="127"/>
  <c r="BW33" i="126"/>
  <c r="BW42" i="127"/>
  <c r="BW42" i="126"/>
  <c r="BW12" i="126"/>
  <c r="BW12" i="127"/>
  <c r="BW20" i="127"/>
  <c r="BW20" i="126"/>
  <c r="BW20" i="110"/>
  <c r="BW22" i="110"/>
  <c r="BW21" i="126"/>
  <c r="BW21" i="127"/>
  <c r="BW21" i="110"/>
  <c r="BW31" i="126"/>
  <c r="BW14" i="127"/>
  <c r="BW8" i="127"/>
  <c r="BW8" i="126"/>
  <c r="BW9" i="127"/>
  <c r="BW29" i="126"/>
  <c r="BW25" i="126"/>
  <c r="BW38" i="126"/>
  <c r="BW31" i="127"/>
  <c r="BW37" i="126"/>
  <c r="BW26" i="126"/>
  <c r="BW10" i="126"/>
  <c r="BW22" i="127"/>
  <c r="BW32" i="127"/>
  <c r="BW32" i="126"/>
  <c r="BW15" i="127"/>
  <c r="BW27" i="126"/>
  <c r="BW11" i="127"/>
  <c r="BW39" i="127"/>
  <c r="BW28" i="126"/>
  <c r="BW26" i="127"/>
  <c r="BW36" i="126"/>
  <c r="BW38" i="127"/>
  <c r="BW19" i="127"/>
  <c r="BW14" i="126"/>
  <c r="BW30" i="126"/>
  <c r="BW10" i="127"/>
  <c r="BW37" i="127"/>
  <c r="BW27" i="127"/>
  <c r="BW30" i="127"/>
  <c r="BW29" i="127"/>
  <c r="BW25" i="127"/>
  <c r="BW22" i="126"/>
  <c r="BW40" i="127"/>
  <c r="BW40" i="126"/>
  <c r="BW15" i="126"/>
  <c r="BW9" i="126"/>
  <c r="BW28" i="127"/>
  <c r="BW11" i="126"/>
  <c r="BW36" i="127"/>
  <c r="BW18" i="127"/>
  <c r="BW17" i="126"/>
  <c r="BW18" i="126"/>
  <c r="BW39" i="126"/>
  <c r="BW19" i="126"/>
  <c r="BW17" i="127"/>
  <c r="AF82" i="130"/>
  <c r="AF68" i="130"/>
  <c r="AF65" i="130"/>
  <c r="AF77" i="130"/>
  <c r="BW34" i="126"/>
  <c r="BW34" i="127"/>
  <c r="BB76" i="110"/>
  <c r="AF70" i="130"/>
  <c r="AF61" i="130"/>
  <c r="BA80" i="130"/>
  <c r="AF64" i="130"/>
  <c r="AF75" i="130"/>
  <c r="BB50" i="110"/>
  <c r="BB54" i="110"/>
  <c r="BB23" i="110"/>
  <c r="BB58" i="110"/>
  <c r="BB65" i="110"/>
  <c r="BB83" i="110"/>
  <c r="BB56" i="110"/>
  <c r="BB55" i="110"/>
  <c r="BB57" i="110"/>
  <c r="BB85" i="110"/>
  <c r="BB84" i="110"/>
  <c r="BB20" i="110"/>
  <c r="BB22" i="110"/>
  <c r="BB21" i="110"/>
  <c r="BB47" i="110"/>
  <c r="BB75" i="110"/>
  <c r="BB66" i="110"/>
  <c r="BB59" i="110"/>
  <c r="BB67" i="110"/>
  <c r="BB61" i="110"/>
  <c r="BB63" i="110"/>
  <c r="BB60" i="110"/>
  <c r="BB71" i="110"/>
  <c r="BB62" i="110"/>
  <c r="BB78" i="110"/>
  <c r="BB80" i="110"/>
  <c r="BB79" i="110"/>
  <c r="BB70" i="110"/>
  <c r="BB68" i="110"/>
  <c r="BB82" i="110"/>
  <c r="BB64" i="110"/>
  <c r="BB69" i="110"/>
  <c r="BB73" i="110"/>
  <c r="BB72" i="110"/>
  <c r="BB48" i="110"/>
  <c r="BB49" i="110"/>
  <c r="CR23" i="110"/>
  <c r="CR23" i="126"/>
  <c r="CR23" i="127"/>
  <c r="CR42" i="126"/>
  <c r="CR33" i="127"/>
  <c r="CR42" i="127"/>
  <c r="CR33" i="126"/>
  <c r="CR12" i="127"/>
  <c r="CR12" i="126"/>
  <c r="CR20" i="110"/>
  <c r="CR20" i="127"/>
  <c r="CR20" i="126"/>
  <c r="CR21" i="127"/>
  <c r="CR21" i="126"/>
  <c r="CR22" i="110"/>
  <c r="CR21" i="110"/>
  <c r="CR40" i="127"/>
  <c r="CR9" i="127"/>
  <c r="CR11" i="127"/>
  <c r="CR30" i="126"/>
  <c r="CR28" i="126"/>
  <c r="CR26" i="127"/>
  <c r="CR17" i="127"/>
  <c r="CR9" i="126"/>
  <c r="CR30" i="127"/>
  <c r="CR28" i="127"/>
  <c r="CR32" i="126"/>
  <c r="CR14" i="127"/>
  <c r="CR27" i="126"/>
  <c r="CR39" i="127"/>
  <c r="CR10" i="127"/>
  <c r="CR40" i="126"/>
  <c r="CR22" i="126"/>
  <c r="CR22" i="127"/>
  <c r="CR18" i="127"/>
  <c r="CR32" i="127"/>
  <c r="CR31" i="126"/>
  <c r="CR19" i="126"/>
  <c r="CR15" i="127"/>
  <c r="CR8" i="127"/>
  <c r="CR8" i="126"/>
  <c r="CR29" i="126"/>
  <c r="CR25" i="126"/>
  <c r="CR36" i="126"/>
  <c r="CR18" i="126"/>
  <c r="CR38" i="126"/>
  <c r="CR37" i="126"/>
  <c r="CR19" i="127"/>
  <c r="CR15" i="126"/>
  <c r="CR29" i="127"/>
  <c r="CR11" i="126"/>
  <c r="CR31" i="127"/>
  <c r="CR39" i="126"/>
  <c r="CR26" i="126"/>
  <c r="CR25" i="127"/>
  <c r="CR36" i="127"/>
  <c r="CR37" i="127"/>
  <c r="CR27" i="127"/>
  <c r="CR10" i="126"/>
  <c r="CR38" i="127"/>
  <c r="CR17" i="126"/>
  <c r="CR14" i="126"/>
  <c r="CR34" i="126"/>
  <c r="BB53" i="110"/>
  <c r="CR34" i="127"/>
  <c r="BB81" i="110"/>
  <c r="J24" i="107"/>
  <c r="AF39" i="130"/>
  <c r="AF58" i="130"/>
  <c r="AF57" i="130"/>
  <c r="AF59" i="130"/>
  <c r="AF87" i="130"/>
  <c r="AF85" i="130"/>
  <c r="AF86" i="130"/>
  <c r="AF67" i="130"/>
  <c r="AF60" i="130"/>
  <c r="AF45" i="130"/>
  <c r="AF49" i="130"/>
  <c r="AF54" i="130"/>
  <c r="AF50" i="130"/>
  <c r="AF55" i="130"/>
  <c r="AF52" i="130"/>
  <c r="AF84" i="130"/>
  <c r="AF66" i="130"/>
  <c r="AF56" i="130"/>
  <c r="AF78" i="130"/>
  <c r="AF74" i="130"/>
  <c r="AF72" i="130"/>
  <c r="AF51" i="130"/>
  <c r="AF83" i="130"/>
  <c r="AF53" i="130"/>
  <c r="AF71" i="130"/>
  <c r="C24" i="107"/>
  <c r="J21" i="127"/>
  <c r="J23" i="127"/>
  <c r="J23" i="126"/>
  <c r="J23" i="110"/>
  <c r="J21" i="126"/>
  <c r="J21" i="110"/>
  <c r="I39" i="132"/>
  <c r="I39" i="130"/>
  <c r="I39" i="131"/>
  <c r="H39" i="130"/>
  <c r="BA39" i="130" s="1"/>
  <c r="H39" i="131"/>
  <c r="H39" i="132"/>
  <c r="I23" i="127"/>
  <c r="I23" i="126"/>
  <c r="I23" i="110"/>
  <c r="AG23" i="110" s="1"/>
  <c r="J17" i="127"/>
  <c r="J20" i="127"/>
  <c r="J19" i="126"/>
  <c r="J19" i="127"/>
  <c r="J17" i="126"/>
  <c r="J20" i="126"/>
  <c r="I86" i="132"/>
  <c r="I82" i="132"/>
  <c r="I78" i="132"/>
  <c r="I74" i="132"/>
  <c r="I70" i="132"/>
  <c r="I67" i="132"/>
  <c r="I64" i="132"/>
  <c r="I59" i="132"/>
  <c r="I56" i="132"/>
  <c r="I52" i="132"/>
  <c r="I87" i="131"/>
  <c r="I83" i="131"/>
  <c r="I79" i="131"/>
  <c r="I75" i="131"/>
  <c r="I71" i="131"/>
  <c r="I65" i="131"/>
  <c r="I61" i="131"/>
  <c r="I58" i="131"/>
  <c r="I53" i="131"/>
  <c r="I49" i="131"/>
  <c r="I84" i="130"/>
  <c r="I80" i="130"/>
  <c r="I76" i="130"/>
  <c r="I72" i="130"/>
  <c r="I68" i="130"/>
  <c r="I66" i="130"/>
  <c r="I62" i="130"/>
  <c r="I57" i="130"/>
  <c r="I54" i="130"/>
  <c r="I50" i="130"/>
  <c r="I87" i="132"/>
  <c r="I83" i="132"/>
  <c r="I79" i="132"/>
  <c r="I71" i="132"/>
  <c r="I65" i="132"/>
  <c r="I61" i="132"/>
  <c r="I53" i="132"/>
  <c r="I84" i="131"/>
  <c r="I80" i="131"/>
  <c r="I54" i="131"/>
  <c r="I50" i="131"/>
  <c r="I77" i="130"/>
  <c r="I73" i="130"/>
  <c r="I69" i="130"/>
  <c r="I63" i="130"/>
  <c r="I51" i="130"/>
  <c r="I85" i="132"/>
  <c r="I81" i="132"/>
  <c r="I77" i="132"/>
  <c r="I73" i="132"/>
  <c r="I69" i="132"/>
  <c r="I63" i="132"/>
  <c r="I60" i="132"/>
  <c r="I55" i="132"/>
  <c r="I51" i="132"/>
  <c r="I86" i="131"/>
  <c r="I82" i="131"/>
  <c r="I78" i="131"/>
  <c r="I74" i="131"/>
  <c r="I70" i="131"/>
  <c r="I67" i="131"/>
  <c r="I64" i="131"/>
  <c r="I59" i="131"/>
  <c r="I56" i="131"/>
  <c r="I52" i="131"/>
  <c r="I87" i="130"/>
  <c r="I83" i="130"/>
  <c r="I79" i="130"/>
  <c r="I75" i="130"/>
  <c r="I71" i="130"/>
  <c r="I65" i="130"/>
  <c r="I61" i="130"/>
  <c r="I58" i="130"/>
  <c r="I53" i="130"/>
  <c r="I49" i="130"/>
  <c r="I75" i="132"/>
  <c r="I58" i="132"/>
  <c r="I76" i="131"/>
  <c r="I68" i="131"/>
  <c r="I57" i="131"/>
  <c r="I85" i="130"/>
  <c r="I81" i="130"/>
  <c r="I60" i="130"/>
  <c r="I84" i="132"/>
  <c r="I80" i="132"/>
  <c r="I76" i="132"/>
  <c r="I72" i="132"/>
  <c r="I68" i="132"/>
  <c r="I66" i="132"/>
  <c r="I62" i="132"/>
  <c r="I57" i="132"/>
  <c r="I54" i="132"/>
  <c r="I50" i="132"/>
  <c r="I85" i="131"/>
  <c r="I81" i="131"/>
  <c r="I77" i="131"/>
  <c r="I73" i="131"/>
  <c r="I69" i="131"/>
  <c r="I63" i="131"/>
  <c r="I60" i="131"/>
  <c r="I55" i="131"/>
  <c r="I51" i="131"/>
  <c r="I86" i="130"/>
  <c r="I82" i="130"/>
  <c r="I78" i="130"/>
  <c r="I74" i="130"/>
  <c r="I70" i="130"/>
  <c r="I67" i="130"/>
  <c r="I64" i="130"/>
  <c r="I59" i="130"/>
  <c r="I56" i="130"/>
  <c r="I52" i="130"/>
  <c r="I49" i="132"/>
  <c r="I72" i="131"/>
  <c r="I66" i="131"/>
  <c r="I62" i="131"/>
  <c r="I55" i="130"/>
  <c r="I85" i="126"/>
  <c r="H60" i="132"/>
  <c r="H59" i="132"/>
  <c r="I58" i="110"/>
  <c r="AG58" i="110" s="1"/>
  <c r="H67" i="132"/>
  <c r="H57" i="132"/>
  <c r="H58" i="130"/>
  <c r="H57" i="131"/>
  <c r="H67" i="130"/>
  <c r="BA67" i="130" s="1"/>
  <c r="H57" i="130"/>
  <c r="BA57" i="130" s="1"/>
  <c r="H59" i="131"/>
  <c r="H85" i="132"/>
  <c r="H67" i="131"/>
  <c r="H60" i="131"/>
  <c r="H86" i="132"/>
  <c r="H85" i="130"/>
  <c r="H58" i="131"/>
  <c r="H59" i="130"/>
  <c r="BA59" i="130" s="1"/>
  <c r="H87" i="132"/>
  <c r="H86" i="131"/>
  <c r="H85" i="131"/>
  <c r="I56" i="127"/>
  <c r="H87" i="130"/>
  <c r="H86" i="130"/>
  <c r="H87" i="131"/>
  <c r="H60" i="130"/>
  <c r="BA60" i="130" s="1"/>
  <c r="H58" i="132"/>
  <c r="I55" i="126"/>
  <c r="I56" i="126"/>
  <c r="I85" i="110"/>
  <c r="AG85" i="110" s="1"/>
  <c r="I85" i="127"/>
  <c r="I57" i="110"/>
  <c r="AG57" i="110" s="1"/>
  <c r="I58" i="126"/>
  <c r="I65" i="110"/>
  <c r="AG65" i="110" s="1"/>
  <c r="I83" i="110"/>
  <c r="AG83" i="110" s="1"/>
  <c r="I65" i="127"/>
  <c r="I56" i="110"/>
  <c r="AG56" i="110" s="1"/>
  <c r="I65" i="126"/>
  <c r="I83" i="127"/>
  <c r="I57" i="127"/>
  <c r="I84" i="127"/>
  <c r="I58" i="127"/>
  <c r="I55" i="110"/>
  <c r="AG55" i="110" s="1"/>
  <c r="I57" i="126"/>
  <c r="I84" i="126"/>
  <c r="I83" i="126"/>
  <c r="I55" i="127"/>
  <c r="I84" i="110"/>
  <c r="AG84" i="110" s="1"/>
  <c r="I44" i="131"/>
  <c r="I45" i="132"/>
  <c r="I45" i="130"/>
  <c r="I45" i="131"/>
  <c r="J20" i="110"/>
  <c r="I20" i="126"/>
  <c r="H45" i="131"/>
  <c r="H45" i="130"/>
  <c r="BA45" i="130" s="1"/>
  <c r="H45" i="132"/>
  <c r="I20" i="127"/>
  <c r="I20" i="110"/>
  <c r="AG20" i="110" s="1"/>
  <c r="J22" i="127"/>
  <c r="J22" i="126"/>
  <c r="J22" i="110"/>
  <c r="D75" i="138" s="1"/>
  <c r="E75" i="138" s="1"/>
  <c r="I21" i="110"/>
  <c r="AG21" i="110" s="1"/>
  <c r="I21" i="127"/>
  <c r="I21" i="126"/>
  <c r="H49" i="131"/>
  <c r="H49" i="130"/>
  <c r="BA49" i="130" s="1"/>
  <c r="H49" i="132"/>
  <c r="I47" i="127"/>
  <c r="I47" i="110"/>
  <c r="AG47" i="110" s="1"/>
  <c r="I47" i="126"/>
  <c r="J18" i="127"/>
  <c r="J18" i="126"/>
  <c r="I15" i="126"/>
  <c r="I15" i="110"/>
  <c r="I36" i="110"/>
  <c r="I12" i="127"/>
  <c r="I32" i="127"/>
  <c r="I14" i="110"/>
  <c r="H72" i="131"/>
  <c r="H51" i="130"/>
  <c r="BA51" i="130" s="1"/>
  <c r="H71" i="130"/>
  <c r="BA71" i="130" s="1"/>
  <c r="H83" i="132"/>
  <c r="H52" i="130"/>
  <c r="BA52" i="130" s="1"/>
  <c r="H66" i="131"/>
  <c r="H50" i="132"/>
  <c r="H53" i="131"/>
  <c r="H56" i="131"/>
  <c r="H54" i="131"/>
  <c r="I12" i="126"/>
  <c r="I38" i="110"/>
  <c r="I17" i="126"/>
  <c r="I17" i="110"/>
  <c r="H84" i="132"/>
  <c r="H79" i="132"/>
  <c r="H77" i="132"/>
  <c r="H75" i="132"/>
  <c r="H73" i="132"/>
  <c r="H71" i="131"/>
  <c r="H83" i="130"/>
  <c r="BA83" i="130" s="1"/>
  <c r="H66" i="130"/>
  <c r="BA66" i="130" s="1"/>
  <c r="H55" i="132"/>
  <c r="H50" i="131"/>
  <c r="H74" i="132"/>
  <c r="H56" i="130"/>
  <c r="H54" i="130"/>
  <c r="BA54" i="130" s="1"/>
  <c r="I14" i="126"/>
  <c r="I12" i="110"/>
  <c r="I15" i="127"/>
  <c r="I32" i="110"/>
  <c r="I36" i="126"/>
  <c r="H72" i="130"/>
  <c r="BA72" i="130" s="1"/>
  <c r="H84" i="131"/>
  <c r="H51" i="131"/>
  <c r="H73" i="130"/>
  <c r="BA73" i="130" s="1"/>
  <c r="H52" i="132"/>
  <c r="H66" i="132"/>
  <c r="H55" i="131"/>
  <c r="H50" i="130"/>
  <c r="BA50" i="130" s="1"/>
  <c r="H74" i="131"/>
  <c r="H53" i="130"/>
  <c r="BA53" i="130" s="1"/>
  <c r="H54" i="132"/>
  <c r="I17" i="127"/>
  <c r="H78" i="132"/>
  <c r="H72" i="132"/>
  <c r="H84" i="130"/>
  <c r="BA84" i="130" s="1"/>
  <c r="H70" i="132"/>
  <c r="H61" i="132"/>
  <c r="H82" i="131"/>
  <c r="H68" i="131"/>
  <c r="H76" i="130"/>
  <c r="H75" i="130"/>
  <c r="H61" i="130"/>
  <c r="BA61" i="130" s="1"/>
  <c r="I14" i="127"/>
  <c r="I38" i="126"/>
  <c r="I36" i="127"/>
  <c r="H73" i="131"/>
  <c r="H71" i="132"/>
  <c r="H83" i="131"/>
  <c r="H53" i="132"/>
  <c r="H63" i="131"/>
  <c r="H80" i="131"/>
  <c r="H62" i="131"/>
  <c r="H69" i="131"/>
  <c r="H81" i="131"/>
  <c r="H82" i="132"/>
  <c r="H68" i="132"/>
  <c r="H76" i="131"/>
  <c r="H77" i="131"/>
  <c r="H79" i="131"/>
  <c r="H75" i="131"/>
  <c r="H64" i="130"/>
  <c r="BA64" i="130" s="1"/>
  <c r="H63" i="132"/>
  <c r="H80" i="132"/>
  <c r="H62" i="132"/>
  <c r="H81" i="132"/>
  <c r="H64" i="131"/>
  <c r="H78" i="130"/>
  <c r="BA78" i="130" s="1"/>
  <c r="H80" i="130"/>
  <c r="H81" i="130"/>
  <c r="BA81" i="130" s="1"/>
  <c r="H70" i="130"/>
  <c r="BA70" i="130" s="1"/>
  <c r="H65" i="130"/>
  <c r="BA65" i="130" s="1"/>
  <c r="H68" i="130"/>
  <c r="I32" i="126"/>
  <c r="I38" i="127"/>
  <c r="H55" i="130"/>
  <c r="H74" i="130"/>
  <c r="BA74" i="130" s="1"/>
  <c r="H69" i="132"/>
  <c r="H52" i="131"/>
  <c r="H76" i="132"/>
  <c r="H77" i="130"/>
  <c r="H79" i="130"/>
  <c r="H82" i="130"/>
  <c r="BA82" i="130" s="1"/>
  <c r="H51" i="132"/>
  <c r="H70" i="131"/>
  <c r="H65" i="131"/>
  <c r="H61" i="131"/>
  <c r="H64" i="132"/>
  <c r="H78" i="131"/>
  <c r="H62" i="130"/>
  <c r="BA62" i="130" s="1"/>
  <c r="H63" i="130"/>
  <c r="BA63" i="130" s="1"/>
  <c r="H69" i="130"/>
  <c r="BA69" i="130" s="1"/>
  <c r="H56" i="132"/>
  <c r="H65" i="132"/>
  <c r="I95" i="110"/>
  <c r="I62" i="110"/>
  <c r="AG62" i="110" s="1"/>
  <c r="I88" i="127"/>
  <c r="I73" i="127"/>
  <c r="I68" i="110"/>
  <c r="AG68" i="110" s="1"/>
  <c r="I51" i="126"/>
  <c r="I88" i="110"/>
  <c r="I59" i="127"/>
  <c r="I48" i="127"/>
  <c r="I93" i="127"/>
  <c r="I89" i="126"/>
  <c r="I52" i="127"/>
  <c r="I93" i="110"/>
  <c r="I48" i="110"/>
  <c r="AG48" i="110" s="1"/>
  <c r="I63" i="127"/>
  <c r="I67" i="110"/>
  <c r="AG67" i="110" s="1"/>
  <c r="I60" i="126"/>
  <c r="I80" i="127"/>
  <c r="I69" i="126"/>
  <c r="I70" i="110"/>
  <c r="AG70" i="110" s="1"/>
  <c r="I72" i="126"/>
  <c r="I66" i="110"/>
  <c r="AG66" i="110" s="1"/>
  <c r="I64" i="127"/>
  <c r="I70" i="127"/>
  <c r="I63" i="110"/>
  <c r="AG63" i="110" s="1"/>
  <c r="I74" i="127"/>
  <c r="I60" i="127"/>
  <c r="I81" i="127"/>
  <c r="I76" i="110"/>
  <c r="AG76" i="110" s="1"/>
  <c r="I75" i="127"/>
  <c r="I89" i="127"/>
  <c r="I96" i="110"/>
  <c r="I54" i="110"/>
  <c r="AG54" i="110" s="1"/>
  <c r="I49" i="127"/>
  <c r="I46" i="110"/>
  <c r="AG46" i="110" s="1"/>
  <c r="I70" i="126"/>
  <c r="I95" i="127"/>
  <c r="I92" i="126"/>
  <c r="I46" i="127"/>
  <c r="I50" i="126"/>
  <c r="I95" i="126"/>
  <c r="I96" i="126"/>
  <c r="I77" i="127"/>
  <c r="I93" i="126"/>
  <c r="I76" i="127"/>
  <c r="I63" i="126"/>
  <c r="I68" i="127"/>
  <c r="I81" i="126"/>
  <c r="I76" i="126"/>
  <c r="I61" i="126"/>
  <c r="I78" i="110"/>
  <c r="AG78" i="110" s="1"/>
  <c r="I71" i="127"/>
  <c r="I59" i="110"/>
  <c r="AG59" i="110" s="1"/>
  <c r="I72" i="127"/>
  <c r="I62" i="127"/>
  <c r="I71" i="126"/>
  <c r="I82" i="110"/>
  <c r="AG82" i="110" s="1"/>
  <c r="I92" i="110"/>
  <c r="I53" i="110"/>
  <c r="AG53" i="110" s="1"/>
  <c r="I69" i="110"/>
  <c r="AG69" i="110" s="1"/>
  <c r="I48" i="126"/>
  <c r="I53" i="127"/>
  <c r="I49" i="126"/>
  <c r="I53" i="126"/>
  <c r="I50" i="127"/>
  <c r="I61" i="110"/>
  <c r="AG61" i="110" s="1"/>
  <c r="I64" i="126"/>
  <c r="I75" i="126"/>
  <c r="I67" i="127"/>
  <c r="I60" i="110"/>
  <c r="AG60" i="110" s="1"/>
  <c r="I82" i="126"/>
  <c r="I72" i="110"/>
  <c r="AG72" i="110" s="1"/>
  <c r="I68" i="126"/>
  <c r="I77" i="110"/>
  <c r="AG77" i="110" s="1"/>
  <c r="I80" i="126"/>
  <c r="I61" i="127"/>
  <c r="I89" i="110"/>
  <c r="AG89" i="110" s="1"/>
  <c r="I18" i="126"/>
  <c r="I88" i="126"/>
  <c r="AH88" i="126" s="1"/>
  <c r="I66" i="126"/>
  <c r="I66" i="127"/>
  <c r="I73" i="126"/>
  <c r="I74" i="110"/>
  <c r="AG74" i="110" s="1"/>
  <c r="I80" i="110"/>
  <c r="AG80" i="110" s="1"/>
  <c r="I67" i="126"/>
  <c r="I71" i="110"/>
  <c r="AG71" i="110" s="1"/>
  <c r="I52" i="110"/>
  <c r="AG52" i="110" s="1"/>
  <c r="I52" i="126"/>
  <c r="I54" i="127"/>
  <c r="I54" i="126"/>
  <c r="I74" i="126"/>
  <c r="I79" i="110"/>
  <c r="AG79" i="110" s="1"/>
  <c r="I78" i="127"/>
  <c r="I79" i="126"/>
  <c r="I51" i="110"/>
  <c r="AG51" i="110" s="1"/>
  <c r="I49" i="110"/>
  <c r="AG49" i="110" s="1"/>
  <c r="I78" i="126"/>
  <c r="I62" i="126"/>
  <c r="I73" i="110"/>
  <c r="AG73" i="110" s="1"/>
  <c r="I18" i="127"/>
  <c r="I46" i="126"/>
  <c r="I64" i="110"/>
  <c r="AG64" i="110" s="1"/>
  <c r="I18" i="110"/>
  <c r="I96" i="127"/>
  <c r="I69" i="127"/>
  <c r="I81" i="110"/>
  <c r="AG81" i="110" s="1"/>
  <c r="I82" i="127"/>
  <c r="I50" i="110"/>
  <c r="AG50" i="110" s="1"/>
  <c r="I75" i="110"/>
  <c r="AG75" i="110" s="1"/>
  <c r="I51" i="127"/>
  <c r="I59" i="126"/>
  <c r="I92" i="127"/>
  <c r="I77" i="126"/>
  <c r="I79" i="127"/>
  <c r="I87" i="127"/>
  <c r="I86" i="127" s="1"/>
  <c r="BA68" i="130"/>
  <c r="AF62" i="130"/>
  <c r="AF80" i="130"/>
  <c r="AF69" i="130"/>
  <c r="BA76" i="130"/>
  <c r="BB52" i="110"/>
  <c r="AF73" i="130"/>
  <c r="M18" i="127"/>
  <c r="DW18" i="127" s="1"/>
  <c r="DW16" i="127" s="1"/>
  <c r="DW6" i="127" s="1"/>
  <c r="DW5" i="127" s="1"/>
  <c r="M18" i="126"/>
  <c r="DV18" i="126" s="1"/>
  <c r="DV16" i="126" s="1"/>
  <c r="DV6" i="126" s="1"/>
  <c r="DV5" i="126" s="1"/>
  <c r="H18" i="127"/>
  <c r="H18" i="126"/>
  <c r="I42" i="126"/>
  <c r="I42" i="127"/>
  <c r="G42" i="127"/>
  <c r="G42" i="126"/>
  <c r="BC77" i="110"/>
  <c r="BB77" i="110"/>
  <c r="AH77" i="126"/>
  <c r="T41" i="133"/>
  <c r="X41" i="133" s="1"/>
  <c r="AB41" i="133" s="1"/>
  <c r="L42" i="126"/>
  <c r="DN42" i="126" s="1"/>
  <c r="AE42" i="126" s="1"/>
  <c r="AG6" i="126"/>
  <c r="G86" i="127"/>
  <c r="BD87" i="127"/>
  <c r="DN86" i="126"/>
  <c r="AE87" i="126"/>
  <c r="BC96" i="126"/>
  <c r="BB6" i="126"/>
  <c r="AG6" i="127"/>
  <c r="BB6" i="127"/>
  <c r="G86" i="126"/>
  <c r="BC87" i="126"/>
  <c r="G94" i="127"/>
  <c r="DO86" i="127"/>
  <c r="AE87" i="127"/>
  <c r="G94" i="126"/>
  <c r="BD95" i="126"/>
  <c r="AE7" i="127"/>
  <c r="E33" i="125"/>
  <c r="E46" i="125"/>
  <c r="AL5" i="133"/>
  <c r="AG79" i="131"/>
  <c r="G44" i="133"/>
  <c r="H93" i="133"/>
  <c r="AP27" i="133"/>
  <c r="I93" i="133"/>
  <c r="E11" i="109"/>
  <c r="BC77" i="126" s="1"/>
  <c r="BB89" i="110"/>
  <c r="H10" i="133"/>
  <c r="G11" i="126" s="1"/>
  <c r="I10" i="133"/>
  <c r="G11" i="127" s="1"/>
  <c r="G10" i="133"/>
  <c r="G11" i="110" s="1"/>
  <c r="O16" i="133"/>
  <c r="L17" i="110" s="1"/>
  <c r="DM17" i="110" s="1"/>
  <c r="P16" i="133"/>
  <c r="L17" i="126" s="1"/>
  <c r="DN17" i="126" s="1"/>
  <c r="Q16" i="133"/>
  <c r="L17" i="127" s="1"/>
  <c r="E10" i="109"/>
  <c r="E14" i="109"/>
  <c r="I89" i="132"/>
  <c r="I88" i="132"/>
  <c r="J19" i="110"/>
  <c r="I18" i="131"/>
  <c r="I18" i="132"/>
  <c r="I18" i="130"/>
  <c r="H88" i="132"/>
  <c r="H89" i="132"/>
  <c r="I91" i="132"/>
  <c r="I20" i="132"/>
  <c r="I101" i="131"/>
  <c r="I48" i="131"/>
  <c r="I41" i="131"/>
  <c r="I27" i="131"/>
  <c r="I11" i="131"/>
  <c r="I17" i="130"/>
  <c r="I35" i="130"/>
  <c r="I89" i="130"/>
  <c r="I97" i="130"/>
  <c r="I104" i="130"/>
  <c r="I38" i="133"/>
  <c r="G39" i="127" s="1"/>
  <c r="I29" i="133"/>
  <c r="G30" i="127" s="1"/>
  <c r="G38" i="133"/>
  <c r="G39" i="110" s="1"/>
  <c r="H29" i="133"/>
  <c r="G30" i="126" s="1"/>
  <c r="H38" i="133"/>
  <c r="G39" i="126" s="1"/>
  <c r="G29" i="133"/>
  <c r="G30" i="110" s="1"/>
  <c r="I27" i="133"/>
  <c r="G28" i="127" s="1"/>
  <c r="H27" i="133"/>
  <c r="G28" i="126" s="1"/>
  <c r="G27" i="133"/>
  <c r="G28" i="110" s="1"/>
  <c r="L21" i="133"/>
  <c r="I22" i="126" s="1"/>
  <c r="M21" i="133"/>
  <c r="I22" i="127" s="1"/>
  <c r="K21" i="133"/>
  <c r="I22" i="110" s="1"/>
  <c r="E15" i="109"/>
  <c r="I16" i="133"/>
  <c r="H16" i="133"/>
  <c r="G16" i="133"/>
  <c r="D57" i="138" s="1"/>
  <c r="H41" i="133"/>
  <c r="C36" i="125" s="1"/>
  <c r="I41" i="133"/>
  <c r="C49" i="125" s="1"/>
  <c r="G41" i="133"/>
  <c r="C23" i="125" s="1"/>
  <c r="P42" i="133"/>
  <c r="Q42" i="133"/>
  <c r="W4" i="133"/>
  <c r="U41" i="133"/>
  <c r="Y41" i="133" s="1"/>
  <c r="M10" i="133"/>
  <c r="I11" i="127" s="1"/>
  <c r="K10" i="133"/>
  <c r="I11" i="110" s="1"/>
  <c r="L10" i="133"/>
  <c r="I11" i="126" s="1"/>
  <c r="H9" i="133"/>
  <c r="G10" i="126" s="1"/>
  <c r="I9" i="133"/>
  <c r="G10" i="127" s="1"/>
  <c r="G9" i="133"/>
  <c r="G10" i="110" s="1"/>
  <c r="M8" i="133"/>
  <c r="I9" i="127" s="1"/>
  <c r="K8" i="133"/>
  <c r="I9" i="110" s="1"/>
  <c r="L8" i="133"/>
  <c r="I9" i="126" s="1"/>
  <c r="I100" i="130"/>
  <c r="I91" i="130"/>
  <c r="I29" i="130"/>
  <c r="I10" i="130"/>
  <c r="I46" i="131"/>
  <c r="I92" i="131"/>
  <c r="K30" i="133"/>
  <c r="I31" i="110" s="1"/>
  <c r="L30" i="133"/>
  <c r="I31" i="126" s="1"/>
  <c r="M30" i="133"/>
  <c r="I31" i="127" s="1"/>
  <c r="K39" i="133"/>
  <c r="I40" i="110" s="1"/>
  <c r="M39" i="133"/>
  <c r="I40" i="127" s="1"/>
  <c r="L39" i="133"/>
  <c r="I40" i="126" s="1"/>
  <c r="H28" i="133"/>
  <c r="G29" i="126" s="1"/>
  <c r="G28" i="133"/>
  <c r="G29" i="110" s="1"/>
  <c r="I28" i="133"/>
  <c r="G29" i="127" s="1"/>
  <c r="E9" i="109"/>
  <c r="O17" i="133"/>
  <c r="L18" i="110" s="1"/>
  <c r="DM18" i="110" s="1"/>
  <c r="P17" i="133"/>
  <c r="L18" i="126" s="1"/>
  <c r="DN18" i="126" s="1"/>
  <c r="Q17" i="133"/>
  <c r="L18" i="127" s="1"/>
  <c r="M7" i="133"/>
  <c r="I8" i="127" s="1"/>
  <c r="K7" i="133"/>
  <c r="I8" i="110" s="1"/>
  <c r="L7" i="133"/>
  <c r="I8" i="126" s="1"/>
  <c r="L36" i="133"/>
  <c r="I37" i="126" s="1"/>
  <c r="L26" i="133"/>
  <c r="I27" i="126" s="1"/>
  <c r="K36" i="133"/>
  <c r="I37" i="110" s="1"/>
  <c r="K26" i="133"/>
  <c r="I27" i="110" s="1"/>
  <c r="M26" i="133"/>
  <c r="I27" i="127" s="1"/>
  <c r="M36" i="133"/>
  <c r="I37" i="127" s="1"/>
  <c r="M41" i="133"/>
  <c r="D49" i="125" s="1"/>
  <c r="L41" i="133"/>
  <c r="D36" i="125" s="1"/>
  <c r="K41" i="133"/>
  <c r="D23" i="125" s="1"/>
  <c r="AA41" i="133"/>
  <c r="G93" i="133"/>
  <c r="D195" i="138" s="1"/>
  <c r="AO24" i="133"/>
  <c r="AP24" i="133"/>
  <c r="AC8" i="110"/>
  <c r="AP26" i="133"/>
  <c r="B11" i="115"/>
  <c r="F4" i="118" s="1"/>
  <c r="C11" i="115"/>
  <c r="F5" i="118" s="1"/>
  <c r="I42" i="110"/>
  <c r="G42" i="110"/>
  <c r="L42" i="110"/>
  <c r="DM42" i="110" s="1"/>
  <c r="F11" i="109"/>
  <c r="BC46" i="110"/>
  <c r="F10" i="109"/>
  <c r="F14" i="109"/>
  <c r="G14" i="109" s="1"/>
  <c r="BB46" i="110"/>
  <c r="F15" i="109"/>
  <c r="C40" i="110"/>
  <c r="C36" i="110"/>
  <c r="C37" i="110"/>
  <c r="C39" i="110"/>
  <c r="C38" i="110"/>
  <c r="AC35" i="110"/>
  <c r="DM88" i="110"/>
  <c r="M12" i="110"/>
  <c r="DM12" i="110"/>
  <c r="D12" i="110"/>
  <c r="E12" i="110"/>
  <c r="M87" i="110"/>
  <c r="E87" i="110"/>
  <c r="D87" i="110"/>
  <c r="M93" i="110"/>
  <c r="E93" i="110"/>
  <c r="DQ93" i="110" s="1"/>
  <c r="DM93" i="110"/>
  <c r="D93" i="110"/>
  <c r="M14" i="110"/>
  <c r="DM14" i="110"/>
  <c r="E14" i="110"/>
  <c r="DN14" i="110" s="1"/>
  <c r="D14" i="110"/>
  <c r="M96" i="110"/>
  <c r="E96" i="110"/>
  <c r="DM96" i="110"/>
  <c r="D96" i="110"/>
  <c r="E18" i="110"/>
  <c r="DP18" i="110" s="1"/>
  <c r="J18" i="110"/>
  <c r="D71" i="138" s="1"/>
  <c r="D18" i="110"/>
  <c r="E27" i="110"/>
  <c r="DQ27" i="110" s="1"/>
  <c r="M27" i="110"/>
  <c r="D27" i="110"/>
  <c r="E29" i="110"/>
  <c r="M29" i="110"/>
  <c r="D29" i="110"/>
  <c r="E31" i="110"/>
  <c r="DO31" i="110" s="1"/>
  <c r="M31" i="110"/>
  <c r="D31" i="110"/>
  <c r="DM31" i="110"/>
  <c r="M38" i="110"/>
  <c r="E38" i="110"/>
  <c r="DO38" i="110" s="1"/>
  <c r="D38" i="110"/>
  <c r="E8" i="110"/>
  <c r="DU8" i="110" s="1"/>
  <c r="M8" i="110"/>
  <c r="DM8" i="110"/>
  <c r="D8" i="110"/>
  <c r="M15" i="110"/>
  <c r="DM15" i="110"/>
  <c r="E15" i="110"/>
  <c r="D15" i="110"/>
  <c r="M95" i="110"/>
  <c r="E95" i="110"/>
  <c r="DT95" i="110" s="1"/>
  <c r="DM95" i="110"/>
  <c r="D95" i="110"/>
  <c r="E25" i="110"/>
  <c r="M25" i="110"/>
  <c r="DM25" i="110"/>
  <c r="D25" i="110"/>
  <c r="M28" i="110"/>
  <c r="E28" i="110"/>
  <c r="D28" i="110"/>
  <c r="M30" i="110"/>
  <c r="E30" i="110"/>
  <c r="DP30" i="110" s="1"/>
  <c r="D30" i="110"/>
  <c r="M32" i="110"/>
  <c r="E32" i="110"/>
  <c r="DM32" i="110"/>
  <c r="D32" i="110"/>
  <c r="M10" i="110"/>
  <c r="E10" i="110"/>
  <c r="DQ10" i="110" s="1"/>
  <c r="D10" i="110"/>
  <c r="DM10" i="110"/>
  <c r="M17" i="110"/>
  <c r="E17" i="110"/>
  <c r="DO17" i="110" s="1"/>
  <c r="J17" i="110"/>
  <c r="H17" i="110"/>
  <c r="D17" i="110"/>
  <c r="M36" i="110"/>
  <c r="M40" i="110"/>
  <c r="E40" i="110"/>
  <c r="D40" i="110"/>
  <c r="M11" i="110"/>
  <c r="E11" i="110"/>
  <c r="DP11" i="110" s="1"/>
  <c r="DM11" i="110"/>
  <c r="D11" i="110"/>
  <c r="E37" i="110"/>
  <c r="DS37" i="110" s="1"/>
  <c r="M37" i="110"/>
  <c r="D37" i="110"/>
  <c r="E39" i="110"/>
  <c r="M39" i="110"/>
  <c r="D39" i="110"/>
  <c r="M88" i="110"/>
  <c r="E88" i="110"/>
  <c r="DW88" i="110" s="1"/>
  <c r="D88" i="110"/>
  <c r="M92" i="110"/>
  <c r="E92" i="110"/>
  <c r="DO92" i="110" s="1"/>
  <c r="DM92" i="110"/>
  <c r="D92" i="110"/>
  <c r="DM87" i="110"/>
  <c r="F6" i="130"/>
  <c r="M18" i="110"/>
  <c r="F36" i="118"/>
  <c r="G18" i="110" s="1"/>
  <c r="DM30" i="110"/>
  <c r="V102" i="130"/>
  <c r="B43" i="125"/>
  <c r="B30" i="125"/>
  <c r="B29" i="125"/>
  <c r="N8" i="110"/>
  <c r="AD8" i="110" s="1"/>
  <c r="B42" i="125"/>
  <c r="AB92" i="132"/>
  <c r="X104" i="132"/>
  <c r="AB98" i="132"/>
  <c r="V96" i="131"/>
  <c r="V100" i="131"/>
  <c r="AA44" i="132"/>
  <c r="AB41" i="131"/>
  <c r="F41" i="130"/>
  <c r="F43" i="130"/>
  <c r="AB27" i="131"/>
  <c r="F42" i="132"/>
  <c r="F40" i="130"/>
  <c r="AA100" i="131"/>
  <c r="X99" i="131"/>
  <c r="V90" i="131"/>
  <c r="Y41" i="131"/>
  <c r="X41" i="131"/>
  <c r="AD89" i="131"/>
  <c r="AA32" i="132"/>
  <c r="W36" i="131"/>
  <c r="Y14" i="131"/>
  <c r="K34" i="132"/>
  <c r="V34" i="132" s="1"/>
  <c r="L36" i="132"/>
  <c r="AD36" i="132" s="1"/>
  <c r="K35" i="130"/>
  <c r="T35" i="130" s="1"/>
  <c r="L37" i="130"/>
  <c r="AB37" i="130" s="1"/>
  <c r="F38" i="132"/>
  <c r="G36" i="131"/>
  <c r="G37" i="131"/>
  <c r="AB94" i="131"/>
  <c r="W100" i="131"/>
  <c r="X37" i="132"/>
  <c r="AD100" i="131"/>
  <c r="AB89" i="131"/>
  <c r="AA38" i="132"/>
  <c r="AX9" i="132"/>
  <c r="H26" i="132"/>
  <c r="AB9" i="131"/>
  <c r="X14" i="131"/>
  <c r="K27" i="132"/>
  <c r="V27" i="132" s="1"/>
  <c r="I30" i="132"/>
  <c r="F32" i="130"/>
  <c r="Z43" i="131"/>
  <c r="X31" i="131"/>
  <c r="Y43" i="131"/>
  <c r="AB36" i="131"/>
  <c r="F26" i="130"/>
  <c r="K29" i="130"/>
  <c r="T29" i="130" s="1"/>
  <c r="F30" i="131"/>
  <c r="G31" i="130"/>
  <c r="AF31" i="130" s="1"/>
  <c r="L31" i="132"/>
  <c r="AD31" i="132" s="1"/>
  <c r="G32" i="132"/>
  <c r="K30" i="130"/>
  <c r="T30" i="130" s="1"/>
  <c r="L32" i="130"/>
  <c r="AB32" i="130" s="1"/>
  <c r="F33" i="130"/>
  <c r="L30" i="130"/>
  <c r="AB30" i="130" s="1"/>
  <c r="K31" i="130"/>
  <c r="T31" i="130" s="1"/>
  <c r="AC41" i="131"/>
  <c r="X29" i="131"/>
  <c r="AC43" i="131"/>
  <c r="AD14" i="131"/>
  <c r="K28" i="130"/>
  <c r="T28" i="130" s="1"/>
  <c r="H30" i="130"/>
  <c r="G30" i="131"/>
  <c r="K32" i="131"/>
  <c r="U32" i="131" s="1"/>
  <c r="X100" i="131"/>
  <c r="X94" i="131"/>
  <c r="AD95" i="131"/>
  <c r="AA97" i="131"/>
  <c r="Y93" i="131"/>
  <c r="Z96" i="131"/>
  <c r="Z95" i="131"/>
  <c r="AB93" i="131"/>
  <c r="Z93" i="131"/>
  <c r="BG46" i="131"/>
  <c r="U94" i="132"/>
  <c r="AD4" i="132"/>
  <c r="AP98" i="132"/>
  <c r="AB93" i="132"/>
  <c r="Z21" i="132"/>
  <c r="V7" i="131"/>
  <c r="V8" i="131"/>
  <c r="Y8" i="131"/>
  <c r="AB4" i="131"/>
  <c r="Y26" i="131"/>
  <c r="Y6" i="131"/>
  <c r="AD7" i="131"/>
  <c r="Z10" i="131"/>
  <c r="Y10" i="131"/>
  <c r="X8" i="131"/>
  <c r="X96" i="132"/>
  <c r="Z9" i="132"/>
  <c r="X94" i="132"/>
  <c r="W9" i="132"/>
  <c r="AD9" i="131"/>
  <c r="X7" i="131"/>
  <c r="Z14" i="131"/>
  <c r="AD6" i="131"/>
  <c r="W10" i="131"/>
  <c r="W6" i="131"/>
  <c r="AB8" i="131"/>
  <c r="V9" i="131"/>
  <c r="V10" i="131"/>
  <c r="W14" i="131"/>
  <c r="W8" i="131"/>
  <c r="AB14" i="131"/>
  <c r="AD4" i="131"/>
  <c r="AA16" i="131"/>
  <c r="K42" i="130"/>
  <c r="T42" i="130" s="1"/>
  <c r="K99" i="130"/>
  <c r="T99" i="130" s="1"/>
  <c r="V20" i="131"/>
  <c r="AC17" i="131"/>
  <c r="BT4" i="131"/>
  <c r="X23" i="131"/>
  <c r="AD22" i="131"/>
  <c r="AC22" i="131"/>
  <c r="AC19" i="132"/>
  <c r="Y20" i="131"/>
  <c r="AB22" i="131"/>
  <c r="AB19" i="132"/>
  <c r="AD20" i="131"/>
  <c r="AR4" i="131"/>
  <c r="BP46" i="131"/>
  <c r="AD16" i="131"/>
  <c r="Y16" i="131"/>
  <c r="C103" i="130"/>
  <c r="AU103" i="130" s="1"/>
  <c r="F102" i="130"/>
  <c r="K91" i="130"/>
  <c r="T91" i="130" s="1"/>
  <c r="W22" i="131"/>
  <c r="X22" i="131"/>
  <c r="BQ4" i="131"/>
  <c r="F92" i="130"/>
  <c r="C97" i="130"/>
  <c r="AX97" i="130" s="1"/>
  <c r="AB97" i="131"/>
  <c r="AA95" i="131"/>
  <c r="X92" i="131"/>
  <c r="V98" i="131"/>
  <c r="V95" i="131"/>
  <c r="W98" i="131"/>
  <c r="AC93" i="131"/>
  <c r="AB19" i="131"/>
  <c r="Z9" i="131"/>
  <c r="AB7" i="131"/>
  <c r="AB5" i="131"/>
  <c r="Z22" i="131"/>
  <c r="Z17" i="131"/>
  <c r="V14" i="131"/>
  <c r="AD8" i="131"/>
  <c r="Z6" i="131"/>
  <c r="Y22" i="131"/>
  <c r="AC20" i="131"/>
  <c r="AA14" i="131"/>
  <c r="AA10" i="131"/>
  <c r="AA8" i="131"/>
  <c r="AA6" i="131"/>
  <c r="AB20" i="131"/>
  <c r="AB10" i="131"/>
  <c r="AB6" i="131"/>
  <c r="X4" i="131"/>
  <c r="AA23" i="132"/>
  <c r="Z4" i="132"/>
  <c r="X9" i="132"/>
  <c r="AA9" i="132"/>
  <c r="AW93" i="132"/>
  <c r="F91" i="130"/>
  <c r="C90" i="130"/>
  <c r="AY90" i="130" s="1"/>
  <c r="C42" i="130"/>
  <c r="AY42" i="130" s="1"/>
  <c r="AB99" i="131"/>
  <c r="AD96" i="131"/>
  <c r="W95" i="131"/>
  <c r="Z97" i="131"/>
  <c r="W97" i="131"/>
  <c r="X19" i="131"/>
  <c r="X9" i="131"/>
  <c r="Z7" i="131"/>
  <c r="V22" i="131"/>
  <c r="AD10" i="131"/>
  <c r="Z8" i="131"/>
  <c r="V6" i="131"/>
  <c r="AA22" i="131"/>
  <c r="Y17" i="131"/>
  <c r="AC14" i="131"/>
  <c r="AC10" i="131"/>
  <c r="AC8" i="131"/>
  <c r="AC6" i="131"/>
  <c r="AB17" i="131"/>
  <c r="X10" i="131"/>
  <c r="X6" i="131"/>
  <c r="BT95" i="132"/>
  <c r="BB96" i="132"/>
  <c r="V92" i="131"/>
  <c r="X48" i="132"/>
  <c r="AD48" i="132"/>
  <c r="X17" i="132"/>
  <c r="AD92" i="131"/>
  <c r="AA48" i="132"/>
  <c r="K25" i="132"/>
  <c r="V25" i="132" s="1"/>
  <c r="F104" i="130"/>
  <c r="AG104" i="130" s="1"/>
  <c r="F48" i="130"/>
  <c r="AD19" i="131"/>
  <c r="V19" i="131"/>
  <c r="Z20" i="131"/>
  <c r="V17" i="131"/>
  <c r="W20" i="131"/>
  <c r="W17" i="131"/>
  <c r="X17" i="131"/>
  <c r="BR15" i="132"/>
  <c r="Z19" i="131"/>
  <c r="AD17" i="131"/>
  <c r="BP4" i="131"/>
  <c r="AA20" i="131"/>
  <c r="AA17" i="131"/>
  <c r="X20" i="131"/>
  <c r="BS17" i="131"/>
  <c r="Z17" i="132"/>
  <c r="BK15" i="132"/>
  <c r="AV17" i="130"/>
  <c r="AD99" i="131"/>
  <c r="V99" i="131"/>
  <c r="AB100" i="131"/>
  <c r="X97" i="131"/>
  <c r="X96" i="131"/>
  <c r="Y95" i="131"/>
  <c r="Z94" i="131"/>
  <c r="AD98" i="131"/>
  <c r="V97" i="131"/>
  <c r="X95" i="131"/>
  <c r="Y100" i="131"/>
  <c r="AA98" i="131"/>
  <c r="AC97" i="131"/>
  <c r="AD93" i="131"/>
  <c r="W93" i="131"/>
  <c r="V43" i="131"/>
  <c r="W41" i="131"/>
  <c r="Z31" i="131"/>
  <c r="V29" i="131"/>
  <c r="AA43" i="131"/>
  <c r="Z41" i="131"/>
  <c r="Z36" i="131"/>
  <c r="X4" i="132"/>
  <c r="AB9" i="132"/>
  <c r="AD9" i="132"/>
  <c r="U9" i="132"/>
  <c r="AC9" i="132"/>
  <c r="BN48" i="132"/>
  <c r="F13" i="118"/>
  <c r="F13" i="130" s="1"/>
  <c r="K33" i="130"/>
  <c r="T33" i="130" s="1"/>
  <c r="AB96" i="131"/>
  <c r="AC95" i="131"/>
  <c r="AD94" i="131"/>
  <c r="V94" i="131"/>
  <c r="Z100" i="131"/>
  <c r="AD97" i="131"/>
  <c r="AB95" i="131"/>
  <c r="AC100" i="131"/>
  <c r="Y97" i="131"/>
  <c r="X93" i="131"/>
  <c r="V93" i="131"/>
  <c r="AA93" i="131"/>
  <c r="AD43" i="131"/>
  <c r="AA41" i="131"/>
  <c r="Y36" i="131"/>
  <c r="AD29" i="131"/>
  <c r="Z27" i="131"/>
  <c r="W43" i="131"/>
  <c r="AD41" i="131"/>
  <c r="AB4" i="132"/>
  <c r="AY15" i="132"/>
  <c r="Y9" i="132"/>
  <c r="BB37" i="132"/>
  <c r="C35" i="130"/>
  <c r="L31" i="130"/>
  <c r="AB31" i="130" s="1"/>
  <c r="X15" i="131"/>
  <c r="AD17" i="132"/>
  <c r="AS14" i="131"/>
  <c r="AG14" i="131"/>
  <c r="BO14" i="131"/>
  <c r="AV14" i="131"/>
  <c r="AF14" i="131"/>
  <c r="AY14" i="131"/>
  <c r="AW14" i="131"/>
  <c r="BM14" i="131"/>
  <c r="AT14" i="131"/>
  <c r="BL14" i="131"/>
  <c r="BN14" i="131"/>
  <c r="BS14" i="131"/>
  <c r="BA14" i="131"/>
  <c r="AR14" i="131"/>
  <c r="AQ14" i="131"/>
  <c r="BP14" i="131"/>
  <c r="W37" i="131"/>
  <c r="AB37" i="131"/>
  <c r="V37" i="131"/>
  <c r="AD37" i="131"/>
  <c r="X37" i="131"/>
  <c r="V103" i="131"/>
  <c r="Z103" i="131"/>
  <c r="K100" i="132"/>
  <c r="V100" i="132" s="1"/>
  <c r="K40" i="130"/>
  <c r="T40" i="130" s="1"/>
  <c r="K40" i="131"/>
  <c r="U40" i="131" s="1"/>
  <c r="K23" i="131"/>
  <c r="U23" i="131" s="1"/>
  <c r="K23" i="132"/>
  <c r="V23" i="132" s="1"/>
  <c r="F46" i="132"/>
  <c r="F88" i="130"/>
  <c r="C93" i="130"/>
  <c r="AU93" i="130" s="1"/>
  <c r="K100" i="130"/>
  <c r="T100" i="130" s="1"/>
  <c r="X34" i="131"/>
  <c r="BT14" i="131"/>
  <c r="AX14" i="131"/>
  <c r="BR14" i="131"/>
  <c r="AA88" i="131"/>
  <c r="Z88" i="131"/>
  <c r="AB88" i="131"/>
  <c r="V88" i="131"/>
  <c r="AD88" i="131"/>
  <c r="T89" i="131"/>
  <c r="W89" i="131"/>
  <c r="AC89" i="131"/>
  <c r="V89" i="131"/>
  <c r="AA89" i="131"/>
  <c r="Z89" i="131"/>
  <c r="X89" i="131"/>
  <c r="AC90" i="131"/>
  <c r="X90" i="131"/>
  <c r="Z90" i="131"/>
  <c r="AB90" i="131"/>
  <c r="T91" i="131"/>
  <c r="W91" i="131"/>
  <c r="V91" i="131"/>
  <c r="X91" i="131"/>
  <c r="AC91" i="131"/>
  <c r="Z91" i="131"/>
  <c r="AB91" i="131"/>
  <c r="AA91" i="131"/>
  <c r="AD91" i="131"/>
  <c r="Y30" i="131"/>
  <c r="X30" i="131"/>
  <c r="V32" i="131"/>
  <c r="Y32" i="131"/>
  <c r="X32" i="131"/>
  <c r="AD32" i="131"/>
  <c r="AC35" i="131"/>
  <c r="Z35" i="131"/>
  <c r="AB35" i="131"/>
  <c r="V35" i="131"/>
  <c r="AD35" i="131"/>
  <c r="AC101" i="131"/>
  <c r="Z101" i="131"/>
  <c r="Z104" i="131"/>
  <c r="Y104" i="131"/>
  <c r="X90" i="132"/>
  <c r="AC90" i="132"/>
  <c r="U90" i="132"/>
  <c r="Z90" i="132"/>
  <c r="AA90" i="132"/>
  <c r="AD90" i="132"/>
  <c r="Y90" i="132"/>
  <c r="BS93" i="132"/>
  <c r="BA93" i="132"/>
  <c r="C100" i="132"/>
  <c r="AF100" i="132" s="1"/>
  <c r="C100" i="130"/>
  <c r="AY100" i="130" s="1"/>
  <c r="K23" i="130"/>
  <c r="T23" i="130" s="1"/>
  <c r="X35" i="131"/>
  <c r="W30" i="131"/>
  <c r="Z30" i="131"/>
  <c r="AU14" i="131"/>
  <c r="BQ14" i="131"/>
  <c r="T23" i="132"/>
  <c r="X23" i="132"/>
  <c r="AU23" i="132"/>
  <c r="U23" i="132"/>
  <c r="AC23" i="132"/>
  <c r="Z23" i="132"/>
  <c r="W23" i="132"/>
  <c r="AB23" i="132"/>
  <c r="Y23" i="132"/>
  <c r="AD26" i="132"/>
  <c r="X26" i="132"/>
  <c r="Z26" i="132"/>
  <c r="AC28" i="132"/>
  <c r="AD28" i="132"/>
  <c r="X28" i="132"/>
  <c r="Z28" i="132"/>
  <c r="W32" i="132"/>
  <c r="AB32" i="132"/>
  <c r="X32" i="132"/>
  <c r="AC34" i="132"/>
  <c r="AD34" i="132"/>
  <c r="X34" i="132"/>
  <c r="Z34" i="132"/>
  <c r="T36" i="132"/>
  <c r="Y36" i="132"/>
  <c r="W36" i="132"/>
  <c r="X36" i="132"/>
  <c r="AC36" i="132"/>
  <c r="U36" i="132"/>
  <c r="Z36" i="132"/>
  <c r="AB36" i="132"/>
  <c r="K40" i="132"/>
  <c r="V40" i="132" s="1"/>
  <c r="Y38" i="131"/>
  <c r="AB38" i="131"/>
  <c r="T102" i="131"/>
  <c r="AB102" i="131"/>
  <c r="Y102" i="131"/>
  <c r="X97" i="132"/>
  <c r="Y97" i="132"/>
  <c r="Z97" i="132"/>
  <c r="AF97" i="132"/>
  <c r="W97" i="132"/>
  <c r="AD97" i="132"/>
  <c r="AC97" i="132"/>
  <c r="U97" i="132"/>
  <c r="F101" i="132"/>
  <c r="F101" i="130"/>
  <c r="AA103" i="132"/>
  <c r="AX103" i="132"/>
  <c r="AB103" i="132"/>
  <c r="BT103" i="132"/>
  <c r="BS103" i="132"/>
  <c r="AD103" i="132"/>
  <c r="X103" i="132"/>
  <c r="AW103" i="132"/>
  <c r="F46" i="130"/>
  <c r="AF46" i="130" s="1"/>
  <c r="F103" i="130"/>
  <c r="Z37" i="131"/>
  <c r="W32" i="131"/>
  <c r="BB103" i="132"/>
  <c r="AA97" i="132"/>
  <c r="W90" i="132"/>
  <c r="F46" i="131"/>
  <c r="AG46" i="131" s="1"/>
  <c r="AD48" i="131"/>
  <c r="Y48" i="131"/>
  <c r="AR14" i="132"/>
  <c r="W14" i="132"/>
  <c r="AA92" i="131"/>
  <c r="K19" i="130"/>
  <c r="T19" i="130" s="1"/>
  <c r="BS22" i="131"/>
  <c r="BB17" i="132"/>
  <c r="BN14" i="132"/>
  <c r="AR15" i="132"/>
  <c r="BA97" i="132"/>
  <c r="BA103" i="132"/>
  <c r="AC91" i="132"/>
  <c r="Z91" i="132"/>
  <c r="AD91" i="132"/>
  <c r="AB91" i="132"/>
  <c r="AC100" i="132"/>
  <c r="U100" i="132"/>
  <c r="Y100" i="132"/>
  <c r="Z100" i="132"/>
  <c r="AA100" i="132"/>
  <c r="AA101" i="132"/>
  <c r="Z101" i="132"/>
  <c r="AD101" i="132"/>
  <c r="AX101" i="132"/>
  <c r="AB101" i="132"/>
  <c r="Z31" i="132"/>
  <c r="Y31" i="132"/>
  <c r="AA31" i="132"/>
  <c r="X35" i="132"/>
  <c r="Z35" i="132"/>
  <c r="AG43" i="132"/>
  <c r="AA43" i="132"/>
  <c r="Y43" i="132"/>
  <c r="Z43" i="132"/>
  <c r="X98" i="132"/>
  <c r="BI98" i="132"/>
  <c r="AF98" i="132"/>
  <c r="W98" i="132"/>
  <c r="AD98" i="132"/>
  <c r="BP98" i="132"/>
  <c r="AT98" i="132"/>
  <c r="AA98" i="132"/>
  <c r="AU98" i="132"/>
  <c r="AX98" i="132"/>
  <c r="AC98" i="132"/>
  <c r="U98" i="132"/>
  <c r="AM98" i="132"/>
  <c r="BQ98" i="132"/>
  <c r="W99" i="132"/>
  <c r="AB99" i="132"/>
  <c r="X99" i="132"/>
  <c r="AD99" i="132"/>
  <c r="AG101" i="132"/>
  <c r="AD100" i="132"/>
  <c r="X91" i="132"/>
  <c r="W100" i="132"/>
  <c r="BM98" i="132"/>
  <c r="X101" i="132"/>
  <c r="Z40" i="132"/>
  <c r="X31" i="132"/>
  <c r="W25" i="131"/>
  <c r="AA25" i="131"/>
  <c r="Z25" i="131"/>
  <c r="V25" i="131"/>
  <c r="AB25" i="131"/>
  <c r="AD25" i="131"/>
  <c r="AN46" i="131"/>
  <c r="AI46" i="131"/>
  <c r="W46" i="131"/>
  <c r="BQ14" i="132"/>
  <c r="BH98" i="132"/>
  <c r="Y98" i="132"/>
  <c r="AS13" i="130"/>
  <c r="K38" i="130"/>
  <c r="T38" i="130" s="1"/>
  <c r="AB92" i="131"/>
  <c r="AD31" i="131"/>
  <c r="V31" i="131"/>
  <c r="AB29" i="131"/>
  <c r="AA28" i="131"/>
  <c r="X27" i="131"/>
  <c r="X36" i="131"/>
  <c r="Z16" i="131"/>
  <c r="AA21" i="132"/>
  <c r="W19" i="132"/>
  <c r="AU14" i="132"/>
  <c r="Z19" i="132"/>
  <c r="AW15" i="132"/>
  <c r="AD11" i="132"/>
  <c r="AC15" i="132"/>
  <c r="BR101" i="132"/>
  <c r="BO46" i="131"/>
  <c r="Z92" i="131"/>
  <c r="AA36" i="131"/>
  <c r="AB31" i="131"/>
  <c r="Z29" i="131"/>
  <c r="AD27" i="131"/>
  <c r="V27" i="131"/>
  <c r="AD36" i="131"/>
  <c r="Y21" i="132"/>
  <c r="BL15" i="132"/>
  <c r="AO47" i="132"/>
  <c r="BS98" i="132"/>
  <c r="AW17" i="130"/>
  <c r="BK12" i="130"/>
  <c r="C44" i="130"/>
  <c r="BR17" i="131"/>
  <c r="BT17" i="132"/>
  <c r="C94" i="130"/>
  <c r="AX94" i="130" s="1"/>
  <c r="F93" i="130"/>
  <c r="F90" i="130"/>
  <c r="K88" i="130"/>
  <c r="T88" i="130" s="1"/>
  <c r="K95" i="130"/>
  <c r="T95" i="130" s="1"/>
  <c r="AX15" i="130"/>
  <c r="BM15" i="130"/>
  <c r="Y12" i="131"/>
  <c r="Z12" i="131"/>
  <c r="BQ17" i="131"/>
  <c r="AF17" i="131"/>
  <c r="AY17" i="131"/>
  <c r="BQ8" i="132"/>
  <c r="AY8" i="132"/>
  <c r="BN11" i="132"/>
  <c r="BA11" i="132"/>
  <c r="AG11" i="132"/>
  <c r="AS12" i="132"/>
  <c r="BT12" i="132"/>
  <c r="Z12" i="132"/>
  <c r="Y13" i="132"/>
  <c r="X13" i="132"/>
  <c r="F15" i="132"/>
  <c r="F15" i="130"/>
  <c r="AF15" i="130" s="1"/>
  <c r="C43" i="125"/>
  <c r="F16" i="132"/>
  <c r="F16" i="130"/>
  <c r="C21" i="132"/>
  <c r="BL21" i="132" s="1"/>
  <c r="C21" i="130"/>
  <c r="AY21" i="130" s="1"/>
  <c r="K26" i="132"/>
  <c r="V26" i="132" s="1"/>
  <c r="K26" i="130"/>
  <c r="T26" i="130" s="1"/>
  <c r="C27" i="132"/>
  <c r="BB27" i="132" s="1"/>
  <c r="C27" i="130"/>
  <c r="K37" i="132"/>
  <c r="V37" i="132" s="1"/>
  <c r="K37" i="130"/>
  <c r="T37" i="130" s="1"/>
  <c r="C32" i="130"/>
  <c r="BS32" i="130" s="1"/>
  <c r="C26" i="130"/>
  <c r="BR26" i="130" s="1"/>
  <c r="AB13" i="131"/>
  <c r="AW17" i="132"/>
  <c r="BS11" i="132"/>
  <c r="AV15" i="130"/>
  <c r="AX38" i="130"/>
  <c r="AW38" i="130"/>
  <c r="C33" i="130"/>
  <c r="AP33" i="130" s="1"/>
  <c r="AD11" i="131"/>
  <c r="AB12" i="131"/>
  <c r="BB12" i="132"/>
  <c r="AV12" i="132"/>
  <c r="AY15" i="130"/>
  <c r="C29" i="130"/>
  <c r="V11" i="131"/>
  <c r="AD12" i="131"/>
  <c r="AV17" i="131"/>
  <c r="AA12" i="131"/>
  <c r="AB8" i="132"/>
  <c r="AX17" i="132"/>
  <c r="K103" i="131"/>
  <c r="U103" i="131" s="1"/>
  <c r="AX13" i="132"/>
  <c r="K102" i="132"/>
  <c r="V102" i="132" s="1"/>
  <c r="C23" i="130"/>
  <c r="AV23" i="130" s="1"/>
  <c r="C41" i="130"/>
  <c r="AX41" i="130" s="1"/>
  <c r="C43" i="130"/>
  <c r="BS43" i="130" s="1"/>
  <c r="K103" i="130"/>
  <c r="T103" i="130" s="1"/>
  <c r="C98" i="130"/>
  <c r="BS98" i="130" s="1"/>
  <c r="C37" i="130"/>
  <c r="AY46" i="131"/>
  <c r="AV46" i="131"/>
  <c r="BR103" i="132"/>
  <c r="AG103" i="132"/>
  <c r="AF103" i="132"/>
  <c r="BT98" i="132"/>
  <c r="AY98" i="132"/>
  <c r="AR98" i="132"/>
  <c r="BA98" i="132"/>
  <c r="BO98" i="132"/>
  <c r="C23" i="131"/>
  <c r="BP23" i="131" s="1"/>
  <c r="C46" i="132"/>
  <c r="AG46" i="132" s="1"/>
  <c r="AF95" i="132"/>
  <c r="K104" i="130"/>
  <c r="T104" i="130" s="1"/>
  <c r="K43" i="130"/>
  <c r="T43" i="130" s="1"/>
  <c r="C28" i="130"/>
  <c r="K41" i="130"/>
  <c r="T41" i="130" s="1"/>
  <c r="K102" i="130"/>
  <c r="T102" i="130" s="1"/>
  <c r="AF46" i="131"/>
  <c r="AY103" i="132"/>
  <c r="BL98" i="132"/>
  <c r="AQ98" i="132"/>
  <c r="AN98" i="132"/>
  <c r="AV98" i="132"/>
  <c r="BK98" i="132"/>
  <c r="AU25" i="130"/>
  <c r="BQ25" i="130"/>
  <c r="AV9" i="132"/>
  <c r="BT9" i="132"/>
  <c r="BS9" i="132"/>
  <c r="BR9" i="132"/>
  <c r="AC10" i="132"/>
  <c r="BA10" i="132"/>
  <c r="AD10" i="132"/>
  <c r="BQ10" i="132"/>
  <c r="X10" i="132"/>
  <c r="AU10" i="132"/>
  <c r="Z10" i="132"/>
  <c r="W16" i="132"/>
  <c r="AD16" i="132"/>
  <c r="X16" i="132"/>
  <c r="AB16" i="132"/>
  <c r="AC20" i="132"/>
  <c r="X20" i="132"/>
  <c r="Z20" i="132"/>
  <c r="AB20" i="132"/>
  <c r="C36" i="132"/>
  <c r="BA36" i="132" s="1"/>
  <c r="C36" i="131"/>
  <c r="AY36" i="131" s="1"/>
  <c r="AD102" i="131"/>
  <c r="Y104" i="132"/>
  <c r="Z92" i="132"/>
  <c r="T38" i="132"/>
  <c r="W38" i="132"/>
  <c r="AD38" i="132"/>
  <c r="AC38" i="132"/>
  <c r="U38" i="132"/>
  <c r="Y38" i="132"/>
  <c r="Z38" i="132"/>
  <c r="X38" i="132"/>
  <c r="T46" i="132"/>
  <c r="W46" i="132"/>
  <c r="AD46" i="132"/>
  <c r="AB46" i="132"/>
  <c r="AC46" i="132"/>
  <c r="U46" i="132"/>
  <c r="X46" i="132"/>
  <c r="AA46" i="132"/>
  <c r="T96" i="132"/>
  <c r="AB96" i="132"/>
  <c r="W96" i="132"/>
  <c r="AX96" i="132"/>
  <c r="AD96" i="132"/>
  <c r="Y96" i="132"/>
  <c r="BA96" i="132"/>
  <c r="C99" i="132"/>
  <c r="C99" i="131"/>
  <c r="AN16" i="130"/>
  <c r="K101" i="130"/>
  <c r="T101" i="130" s="1"/>
  <c r="K97" i="130"/>
  <c r="T97" i="130" s="1"/>
  <c r="C101" i="130"/>
  <c r="BP101" i="130" s="1"/>
  <c r="AD101" i="131"/>
  <c r="V101" i="131"/>
  <c r="X102" i="131"/>
  <c r="AC102" i="131"/>
  <c r="AA96" i="132"/>
  <c r="AB95" i="132"/>
  <c r="BT93" i="132"/>
  <c r="AY96" i="132"/>
  <c r="AB10" i="132"/>
  <c r="AA11" i="131"/>
  <c r="X11" i="131"/>
  <c r="Z11" i="131"/>
  <c r="T12" i="131"/>
  <c r="W12" i="131"/>
  <c r="X12" i="131"/>
  <c r="AC12" i="131"/>
  <c r="V12" i="131"/>
  <c r="AC13" i="131"/>
  <c r="V13" i="131"/>
  <c r="AD13" i="131"/>
  <c r="X13" i="131"/>
  <c r="AC15" i="131"/>
  <c r="AB15" i="131"/>
  <c r="V15" i="131"/>
  <c r="AD15" i="131"/>
  <c r="BA17" i="131"/>
  <c r="BT17" i="131"/>
  <c r="AW17" i="131"/>
  <c r="AX17" i="131"/>
  <c r="W23" i="131"/>
  <c r="AB23" i="131"/>
  <c r="V23" i="131"/>
  <c r="AD23" i="131"/>
  <c r="AB30" i="131"/>
  <c r="AA30" i="131"/>
  <c r="V30" i="131"/>
  <c r="AD30" i="131"/>
  <c r="T32" i="131"/>
  <c r="Z32" i="131"/>
  <c r="AA32" i="131"/>
  <c r="AB32" i="131"/>
  <c r="W5" i="132"/>
  <c r="Z5" i="132"/>
  <c r="K22" i="132"/>
  <c r="V22" i="132" s="1"/>
  <c r="K22" i="131"/>
  <c r="U22" i="131" s="1"/>
  <c r="F95" i="130"/>
  <c r="X101" i="131"/>
  <c r="V102" i="131"/>
  <c r="AA102" i="131"/>
  <c r="Z16" i="132"/>
  <c r="BB10" i="132"/>
  <c r="BP13" i="132"/>
  <c r="BA90" i="132"/>
  <c r="AX90" i="132"/>
  <c r="BS90" i="132"/>
  <c r="AY90" i="132"/>
  <c r="AF90" i="132"/>
  <c r="BT90" i="132"/>
  <c r="AC93" i="132"/>
  <c r="AX93" i="132"/>
  <c r="AF93" i="132"/>
  <c r="AD93" i="132"/>
  <c r="BB93" i="132"/>
  <c r="X93" i="132"/>
  <c r="AG93" i="132"/>
  <c r="BR93" i="132"/>
  <c r="T94" i="132"/>
  <c r="Z94" i="132"/>
  <c r="W94" i="132"/>
  <c r="AB94" i="132"/>
  <c r="Y94" i="132"/>
  <c r="AC95" i="132"/>
  <c r="BS95" i="132"/>
  <c r="X95" i="132"/>
  <c r="AW95" i="132"/>
  <c r="Z95" i="132"/>
  <c r="AY95" i="132"/>
  <c r="AF101" i="132"/>
  <c r="BS101" i="132"/>
  <c r="AW101" i="132"/>
  <c r="BT101" i="132"/>
  <c r="BA101" i="132"/>
  <c r="AY101" i="132"/>
  <c r="K38" i="132"/>
  <c r="V38" i="132" s="1"/>
  <c r="K38" i="131"/>
  <c r="U38" i="131" s="1"/>
  <c r="BQ11" i="130"/>
  <c r="AQ6" i="130"/>
  <c r="C91" i="130"/>
  <c r="AU91" i="130" s="1"/>
  <c r="K22" i="130"/>
  <c r="T22" i="130" s="1"/>
  <c r="F96" i="130"/>
  <c r="C22" i="130"/>
  <c r="AS22" i="130" s="1"/>
  <c r="BO5" i="130"/>
  <c r="F98" i="130"/>
  <c r="AO46" i="130"/>
  <c r="C88" i="130"/>
  <c r="BP88" i="130" s="1"/>
  <c r="AV25" i="130"/>
  <c r="AB101" i="131"/>
  <c r="Z102" i="131"/>
  <c r="W102" i="131"/>
  <c r="BB101" i="132"/>
  <c r="U96" i="132"/>
  <c r="AC94" i="132"/>
  <c r="AY93" i="132"/>
  <c r="Z96" i="132"/>
  <c r="AD94" i="132"/>
  <c r="AD20" i="132"/>
  <c r="Z46" i="132"/>
  <c r="T16" i="131"/>
  <c r="W16" i="131"/>
  <c r="X16" i="131"/>
  <c r="AC16" i="131"/>
  <c r="V16" i="131"/>
  <c r="T31" i="132"/>
  <c r="AB31" i="132"/>
  <c r="U31" i="132"/>
  <c r="AC31" i="132"/>
  <c r="W31" i="132"/>
  <c r="Y35" i="132"/>
  <c r="AB35" i="132"/>
  <c r="AD35" i="132"/>
  <c r="AC40" i="132"/>
  <c r="AB40" i="132"/>
  <c r="AD40" i="132"/>
  <c r="X43" i="132"/>
  <c r="AB43" i="132"/>
  <c r="U48" i="132"/>
  <c r="AU48" i="132"/>
  <c r="AB48" i="132"/>
  <c r="AS48" i="132"/>
  <c r="AA99" i="131"/>
  <c r="W99" i="131"/>
  <c r="BA6" i="132"/>
  <c r="AS10" i="132"/>
  <c r="AR11" i="132"/>
  <c r="AU11" i="132"/>
  <c r="AA11" i="132"/>
  <c r="AB14" i="132"/>
  <c r="AD14" i="132"/>
  <c r="BA15" i="132"/>
  <c r="AA15" i="132"/>
  <c r="Z15" i="132"/>
  <c r="X15" i="132"/>
  <c r="BS15" i="132"/>
  <c r="AT15" i="132"/>
  <c r="U15" i="132"/>
  <c r="AD15" i="132"/>
  <c r="AS15" i="132"/>
  <c r="T19" i="132"/>
  <c r="AD19" i="132"/>
  <c r="Y19" i="132"/>
  <c r="X19" i="132"/>
  <c r="AA19" i="132"/>
  <c r="T21" i="132"/>
  <c r="AD21" i="132"/>
  <c r="U21" i="132"/>
  <c r="AC21" i="132"/>
  <c r="X21" i="132"/>
  <c r="W21" i="132"/>
  <c r="BB29" i="132"/>
  <c r="BA31" i="132"/>
  <c r="BR44" i="132"/>
  <c r="BA41" i="132"/>
  <c r="B240" i="115"/>
  <c r="BH4" i="130"/>
  <c r="C47" i="130"/>
  <c r="AM47" i="130" s="1"/>
  <c r="U44" i="130"/>
  <c r="Z44" i="130"/>
  <c r="AC5" i="130"/>
  <c r="AD5" i="130"/>
  <c r="BS91" i="132"/>
  <c r="AY91" i="132"/>
  <c r="BA91" i="132"/>
  <c r="AG91" i="132"/>
  <c r="BR91" i="132"/>
  <c r="AF91" i="132"/>
  <c r="AX91" i="132"/>
  <c r="BT91" i="132"/>
  <c r="AW91" i="132"/>
  <c r="AA92" i="132"/>
  <c r="AF92" i="132"/>
  <c r="W92" i="132"/>
  <c r="AD92" i="132"/>
  <c r="U92" i="132"/>
  <c r="AC92" i="132"/>
  <c r="AY92" i="132"/>
  <c r="AB102" i="132"/>
  <c r="AC102" i="132"/>
  <c r="U102" i="132"/>
  <c r="BA102" i="132"/>
  <c r="Y102" i="132"/>
  <c r="AA102" i="132"/>
  <c r="AD102" i="132"/>
  <c r="BS102" i="132"/>
  <c r="AA104" i="132"/>
  <c r="Z104" i="132"/>
  <c r="AC104" i="132"/>
  <c r="W104" i="132"/>
  <c r="K48" i="131"/>
  <c r="U48" i="131" s="1"/>
  <c r="K48" i="130"/>
  <c r="T48" i="130" s="1"/>
  <c r="K17" i="132"/>
  <c r="V17" i="132" s="1"/>
  <c r="K17" i="131"/>
  <c r="U17" i="131" s="1"/>
  <c r="C24" i="131"/>
  <c r="AR24" i="131" s="1"/>
  <c r="C24" i="132"/>
  <c r="BL24" i="132" s="1"/>
  <c r="C25" i="132"/>
  <c r="AW25" i="132" s="1"/>
  <c r="C25" i="131"/>
  <c r="BS25" i="131" s="1"/>
  <c r="BK22" i="131"/>
  <c r="AQ22" i="131"/>
  <c r="AU13" i="130"/>
  <c r="F89" i="130"/>
  <c r="BR16" i="130"/>
  <c r="AY25" i="130"/>
  <c r="AU17" i="130"/>
  <c r="AW11" i="130"/>
  <c r="F94" i="130"/>
  <c r="AY16" i="130"/>
  <c r="K90" i="130"/>
  <c r="T90" i="130" s="1"/>
  <c r="F100" i="130"/>
  <c r="K36" i="130"/>
  <c r="T36" i="130" s="1"/>
  <c r="BP22" i="131"/>
  <c r="AV22" i="131"/>
  <c r="U104" i="132"/>
  <c r="Z102" i="132"/>
  <c r="C22" i="132"/>
  <c r="BN22" i="132" s="1"/>
  <c r="AX6" i="130"/>
  <c r="AD44" i="132"/>
  <c r="Z44" i="132"/>
  <c r="AB44" i="132"/>
  <c r="W47" i="132"/>
  <c r="Z47" i="132"/>
  <c r="AW47" i="132"/>
  <c r="AD47" i="132"/>
  <c r="AB47" i="132"/>
  <c r="BN47" i="132"/>
  <c r="C20" i="132"/>
  <c r="C20" i="131"/>
  <c r="F24" i="132"/>
  <c r="C40" i="132"/>
  <c r="BB40" i="132" s="1"/>
  <c r="C40" i="131"/>
  <c r="AF40" i="131" s="1"/>
  <c r="AV38" i="130"/>
  <c r="AX25" i="130"/>
  <c r="BQ17" i="130"/>
  <c r="BR17" i="130"/>
  <c r="BR7" i="130"/>
  <c r="C24" i="130"/>
  <c r="AU24" i="130" s="1"/>
  <c r="F42" i="130"/>
  <c r="BQ7" i="130"/>
  <c r="BR8" i="130"/>
  <c r="BB91" i="132"/>
  <c r="AF102" i="132"/>
  <c r="AX92" i="132"/>
  <c r="X47" i="132"/>
  <c r="AN47" i="132"/>
  <c r="T98" i="131"/>
  <c r="AC98" i="131"/>
  <c r="Z98" i="131"/>
  <c r="X98" i="131"/>
  <c r="Y98" i="131"/>
  <c r="AC103" i="131"/>
  <c r="X103" i="131"/>
  <c r="AB103" i="131"/>
  <c r="BT7" i="132"/>
  <c r="AT7" i="132"/>
  <c r="AC4" i="131"/>
  <c r="AP4" i="131"/>
  <c r="Z4" i="131"/>
  <c r="AS4" i="131"/>
  <c r="AC8" i="132"/>
  <c r="AV8" i="132"/>
  <c r="X8" i="132"/>
  <c r="AG8" i="132"/>
  <c r="BR8" i="132"/>
  <c r="BA8" i="132"/>
  <c r="Z8" i="132"/>
  <c r="AW8" i="132"/>
  <c r="BT8" i="132"/>
  <c r="AA8" i="132"/>
  <c r="AF8" i="132"/>
  <c r="AD8" i="132"/>
  <c r="BB8" i="132"/>
  <c r="B60" i="115"/>
  <c r="C60" i="115"/>
  <c r="BM11" i="132"/>
  <c r="AS11" i="132"/>
  <c r="AT11" i="132"/>
  <c r="BT11" i="132"/>
  <c r="BR11" i="132"/>
  <c r="W12" i="132"/>
  <c r="AF12" i="132"/>
  <c r="BM12" i="132"/>
  <c r="AD12" i="132"/>
  <c r="AW12" i="132"/>
  <c r="BP12" i="132"/>
  <c r="AR12" i="132"/>
  <c r="BQ12" i="132"/>
  <c r="X12" i="132"/>
  <c r="AG12" i="132"/>
  <c r="AY12" i="132"/>
  <c r="BR12" i="132"/>
  <c r="BA12" i="132"/>
  <c r="AU12" i="132"/>
  <c r="AB12" i="132"/>
  <c r="BN12" i="132"/>
  <c r="T13" i="132"/>
  <c r="AV13" i="132"/>
  <c r="W13" i="132"/>
  <c r="Z13" i="132"/>
  <c r="BT13" i="132"/>
  <c r="BB13" i="132"/>
  <c r="AC13" i="132"/>
  <c r="U13" i="132"/>
  <c r="AD13" i="132"/>
  <c r="AA13" i="132"/>
  <c r="AU13" i="132"/>
  <c r="BO13" i="132"/>
  <c r="AB13" i="132"/>
  <c r="AV14" i="132"/>
  <c r="AW14" i="132"/>
  <c r="BP14" i="132"/>
  <c r="BA17" i="132"/>
  <c r="AG17" i="132"/>
  <c r="BR17" i="132"/>
  <c r="AY17" i="132"/>
  <c r="Y37" i="132"/>
  <c r="AC37" i="132"/>
  <c r="Z37" i="132"/>
  <c r="AG37" i="132"/>
  <c r="AC17" i="132"/>
  <c r="BS17" i="132"/>
  <c r="AF17" i="132"/>
  <c r="AC26" i="132"/>
  <c r="AF26" i="132"/>
  <c r="AX26" i="132"/>
  <c r="T43" i="132"/>
  <c r="AF43" i="132"/>
  <c r="W43" i="132"/>
  <c r="AD43" i="132"/>
  <c r="AC43" i="132"/>
  <c r="U43" i="132"/>
  <c r="AW44" i="132"/>
  <c r="T48" i="132"/>
  <c r="BA48" i="132"/>
  <c r="Y48" i="132"/>
  <c r="BT48" i="132"/>
  <c r="AT48" i="132"/>
  <c r="W48" i="132"/>
  <c r="Z48" i="132"/>
  <c r="K98" i="132"/>
  <c r="V98" i="132" s="1"/>
  <c r="K98" i="131"/>
  <c r="U98" i="131" s="1"/>
  <c r="G112" i="115"/>
  <c r="B33" i="115"/>
  <c r="T11" i="132"/>
  <c r="BQ11" i="132"/>
  <c r="AX11" i="132"/>
  <c r="AF11" i="132"/>
  <c r="W11" i="132"/>
  <c r="AY11" i="132"/>
  <c r="X11" i="132"/>
  <c r="AW11" i="132"/>
  <c r="BO11" i="132"/>
  <c r="AV11" i="132"/>
  <c r="AC11" i="132"/>
  <c r="U11" i="132"/>
  <c r="Z11" i="132"/>
  <c r="BP11" i="132"/>
  <c r="AB11" i="132"/>
  <c r="BB11" i="132"/>
  <c r="BA14" i="132"/>
  <c r="X14" i="132"/>
  <c r="AG14" i="132"/>
  <c r="AY14" i="132"/>
  <c r="BR14" i="132"/>
  <c r="AF14" i="132"/>
  <c r="BM14" i="132"/>
  <c r="Z14" i="132"/>
  <c r="AS14" i="132"/>
  <c r="BB14" i="132"/>
  <c r="BT14" i="132"/>
  <c r="T15" i="132"/>
  <c r="BO15" i="132"/>
  <c r="AX15" i="132"/>
  <c r="AP15" i="132"/>
  <c r="Y15" i="132"/>
  <c r="AQ15" i="132"/>
  <c r="BP15" i="132"/>
  <c r="AB15" i="132"/>
  <c r="BB15" i="132"/>
  <c r="BM15" i="132"/>
  <c r="AV15" i="132"/>
  <c r="AF15" i="132"/>
  <c r="W15" i="132"/>
  <c r="AU15" i="132"/>
  <c r="BT15" i="132"/>
  <c r="AG15" i="132"/>
  <c r="BN15" i="132"/>
  <c r="C38" i="132"/>
  <c r="C38" i="131"/>
  <c r="AT38" i="131" s="1"/>
  <c r="C72" i="115"/>
  <c r="H12" i="118" s="1"/>
  <c r="H5" i="130"/>
  <c r="H4" i="130"/>
  <c r="BB4" i="130" s="1"/>
  <c r="BS92" i="132"/>
  <c r="AX95" i="132"/>
  <c r="AG96" i="132"/>
  <c r="AX102" i="132"/>
  <c r="AV99" i="130"/>
  <c r="AQ38" i="130"/>
  <c r="BS48" i="132"/>
  <c r="AX48" i="132"/>
  <c r="AY48" i="132"/>
  <c r="AW48" i="132"/>
  <c r="BQ48" i="132"/>
  <c r="AV48" i="132"/>
  <c r="BP48" i="132"/>
  <c r="BB48" i="132"/>
  <c r="K46" i="132"/>
  <c r="V46" i="132" s="1"/>
  <c r="K46" i="131"/>
  <c r="U46" i="131" s="1"/>
  <c r="K24" i="132"/>
  <c r="V24" i="132" s="1"/>
  <c r="K24" i="131"/>
  <c r="U24" i="131" s="1"/>
  <c r="AP38" i="130"/>
  <c r="BS38" i="130"/>
  <c r="AS38" i="130"/>
  <c r="K93" i="130"/>
  <c r="T93" i="130" s="1"/>
  <c r="AS16" i="130"/>
  <c r="K89" i="130"/>
  <c r="T89" i="130" s="1"/>
  <c r="K96" i="130"/>
  <c r="T96" i="130" s="1"/>
  <c r="C89" i="130"/>
  <c r="C95" i="130"/>
  <c r="AY95" i="130" s="1"/>
  <c r="AU46" i="130"/>
  <c r="C10" i="130"/>
  <c r="AT10" i="130" s="1"/>
  <c r="F97" i="130"/>
  <c r="F24" i="130"/>
  <c r="C48" i="130"/>
  <c r="C36" i="130"/>
  <c r="C40" i="130"/>
  <c r="AY102" i="132"/>
  <c r="BR95" i="132"/>
  <c r="AG95" i="132"/>
  <c r="BR102" i="132"/>
  <c r="BT96" i="132"/>
  <c r="AW96" i="132"/>
  <c r="BA95" i="132"/>
  <c r="BA92" i="132"/>
  <c r="AG48" i="132"/>
  <c r="BT10" i="132"/>
  <c r="BO48" i="132"/>
  <c r="F24" i="131"/>
  <c r="F97" i="131"/>
  <c r="BQ9" i="132"/>
  <c r="AF9" i="132"/>
  <c r="AG9" i="132"/>
  <c r="BA9" i="132"/>
  <c r="AW9" i="132"/>
  <c r="BM13" i="132"/>
  <c r="AT13" i="132"/>
  <c r="AY13" i="132"/>
  <c r="AG13" i="132"/>
  <c r="BN13" i="132"/>
  <c r="BS13" i="132"/>
  <c r="BA13" i="132"/>
  <c r="AR13" i="132"/>
  <c r="BL13" i="132"/>
  <c r="AS13" i="132"/>
  <c r="BR13" i="132"/>
  <c r="AG19" i="132"/>
  <c r="BA19" i="132"/>
  <c r="BB19" i="132"/>
  <c r="BP38" i="130"/>
  <c r="AT38" i="130"/>
  <c r="C30" i="130"/>
  <c r="AY30" i="130" s="1"/>
  <c r="AF10" i="132"/>
  <c r="AW10" i="132"/>
  <c r="BP10" i="132"/>
  <c r="AV10" i="132"/>
  <c r="AG10" i="132"/>
  <c r="AY10" i="132"/>
  <c r="BR10" i="132"/>
  <c r="BL38" i="130"/>
  <c r="BT16" i="130"/>
  <c r="K94" i="130"/>
  <c r="T94" i="130" s="1"/>
  <c r="C96" i="130"/>
  <c r="K24" i="130"/>
  <c r="T24" i="130" s="1"/>
  <c r="C92" i="130"/>
  <c r="K44" i="130"/>
  <c r="T44" i="130" s="1"/>
  <c r="K46" i="130"/>
  <c r="T46" i="130" s="1"/>
  <c r="C102" i="130"/>
  <c r="BS102" i="130" s="1"/>
  <c r="C31" i="130"/>
  <c r="AY31" i="130" s="1"/>
  <c r="BS96" i="132"/>
  <c r="AF96" i="132"/>
  <c r="BB95" i="132"/>
  <c r="BT102" i="132"/>
  <c r="BR96" i="132"/>
  <c r="BT92" i="132"/>
  <c r="BR48" i="132"/>
  <c r="BN10" i="132"/>
  <c r="AF48" i="132"/>
  <c r="AW13" i="132"/>
  <c r="BB9" i="132"/>
  <c r="AQ13" i="132"/>
  <c r="AY9" i="132"/>
  <c r="AF13" i="132"/>
  <c r="BQ13" i="132"/>
  <c r="BQ26" i="132"/>
  <c r="AS26" i="132"/>
  <c r="BL26" i="132"/>
  <c r="AF35" i="132"/>
  <c r="AG35" i="132"/>
  <c r="BA35" i="132"/>
  <c r="BB35" i="132"/>
  <c r="H103" i="132"/>
  <c r="H92" i="132"/>
  <c r="AD88" i="110"/>
  <c r="N91" i="110"/>
  <c r="AD91" i="110" s="1"/>
  <c r="E21" i="125"/>
  <c r="C13" i="110"/>
  <c r="M34" i="110"/>
  <c r="D34" i="110"/>
  <c r="I103" i="132"/>
  <c r="I99" i="132"/>
  <c r="I97" i="132"/>
  <c r="I94" i="132"/>
  <c r="I90" i="132"/>
  <c r="I48" i="132"/>
  <c r="I46" i="132"/>
  <c r="I44" i="132"/>
  <c r="I40" i="132"/>
  <c r="I35" i="132"/>
  <c r="I28" i="132"/>
  <c r="I21" i="132"/>
  <c r="I12" i="132"/>
  <c r="I10" i="132"/>
  <c r="I4" i="132"/>
  <c r="I104" i="131"/>
  <c r="I102" i="131"/>
  <c r="I98" i="131"/>
  <c r="I97" i="131"/>
  <c r="I94" i="131"/>
  <c r="I91" i="131"/>
  <c r="I33" i="131"/>
  <c r="I28" i="131"/>
  <c r="H24" i="131"/>
  <c r="I22" i="131"/>
  <c r="I16" i="131"/>
  <c r="I14" i="131"/>
  <c r="I12" i="131"/>
  <c r="I8" i="131"/>
  <c r="I5" i="131"/>
  <c r="I5" i="130"/>
  <c r="I9" i="130"/>
  <c r="I13" i="130"/>
  <c r="I21" i="130"/>
  <c r="I24" i="130"/>
  <c r="I28" i="130"/>
  <c r="I34" i="130"/>
  <c r="H40" i="130"/>
  <c r="I43" i="130"/>
  <c r="I48" i="130"/>
  <c r="I101" i="132"/>
  <c r="I100" i="132"/>
  <c r="I96" i="132"/>
  <c r="I47" i="132"/>
  <c r="I43" i="132"/>
  <c r="I38" i="132"/>
  <c r="I26" i="132"/>
  <c r="I25" i="132"/>
  <c r="H24" i="132"/>
  <c r="I23" i="132"/>
  <c r="I19" i="132"/>
  <c r="I15" i="132"/>
  <c r="I11" i="132"/>
  <c r="I9" i="132"/>
  <c r="I103" i="131"/>
  <c r="I100" i="131"/>
  <c r="I99" i="131"/>
  <c r="I96" i="131"/>
  <c r="I89" i="131"/>
  <c r="I42" i="131"/>
  <c r="H40" i="131"/>
  <c r="I34" i="131"/>
  <c r="I26" i="131"/>
  <c r="I23" i="131"/>
  <c r="I21" i="131"/>
  <c r="I15" i="131"/>
  <c r="I10" i="131"/>
  <c r="I7" i="131"/>
  <c r="I4" i="131"/>
  <c r="I7" i="130"/>
  <c r="I11" i="130"/>
  <c r="I15" i="130"/>
  <c r="I19" i="130"/>
  <c r="I23" i="130"/>
  <c r="I26" i="130"/>
  <c r="I33" i="130"/>
  <c r="I36" i="130"/>
  <c r="I41" i="130"/>
  <c r="I46" i="130"/>
  <c r="I4" i="130"/>
  <c r="I101" i="130"/>
  <c r="I98" i="130"/>
  <c r="I96" i="130"/>
  <c r="I92" i="130"/>
  <c r="I88" i="130"/>
  <c r="I42" i="130"/>
  <c r="H34" i="130"/>
  <c r="H24" i="130"/>
  <c r="I16" i="130"/>
  <c r="I8" i="130"/>
  <c r="I6" i="131"/>
  <c r="I13" i="131"/>
  <c r="I17" i="131"/>
  <c r="I20" i="131"/>
  <c r="I24" i="131"/>
  <c r="I43" i="131"/>
  <c r="I6" i="132"/>
  <c r="I7" i="132"/>
  <c r="I14" i="132"/>
  <c r="I17" i="132"/>
  <c r="I24" i="132"/>
  <c r="I27" i="132"/>
  <c r="I37" i="130"/>
  <c r="I42" i="132"/>
  <c r="H97" i="132"/>
  <c r="I104" i="132"/>
  <c r="I103" i="130"/>
  <c r="H100" i="130"/>
  <c r="I94" i="130"/>
  <c r="I90" i="130"/>
  <c r="I47" i="130"/>
  <c r="I38" i="130"/>
  <c r="I27" i="130"/>
  <c r="I20" i="130"/>
  <c r="I12" i="130"/>
  <c r="H4" i="131"/>
  <c r="BB4" i="131" s="1"/>
  <c r="I9" i="131"/>
  <c r="I19" i="131"/>
  <c r="I25" i="131"/>
  <c r="I29" i="131"/>
  <c r="I35" i="131"/>
  <c r="I38" i="131"/>
  <c r="I90" i="131"/>
  <c r="I95" i="131"/>
  <c r="H98" i="131"/>
  <c r="H100" i="131"/>
  <c r="H4" i="132"/>
  <c r="I5" i="132"/>
  <c r="I8" i="132"/>
  <c r="H11" i="132"/>
  <c r="I13" i="132"/>
  <c r="I22" i="132"/>
  <c r="H40" i="132"/>
  <c r="I41" i="132"/>
  <c r="H48" i="132"/>
  <c r="I95" i="132"/>
  <c r="H96" i="132"/>
  <c r="I98" i="132"/>
  <c r="H101" i="132"/>
  <c r="H6" i="132"/>
  <c r="H14" i="132"/>
  <c r="I32" i="132"/>
  <c r="BC32" i="132" s="1"/>
  <c r="H41" i="132"/>
  <c r="H42" i="132"/>
  <c r="H93" i="132"/>
  <c r="H100" i="132"/>
  <c r="H104" i="132"/>
  <c r="H16" i="132"/>
  <c r="H32" i="130"/>
  <c r="H37" i="132"/>
  <c r="H91" i="132"/>
  <c r="H95" i="132"/>
  <c r="H98" i="132"/>
  <c r="H102" i="132"/>
  <c r="BC102" i="132" s="1"/>
  <c r="AD29" i="110"/>
  <c r="R29" i="110" s="1"/>
  <c r="R25" i="110"/>
  <c r="R28" i="110"/>
  <c r="AD10" i="110"/>
  <c r="E47" i="125"/>
  <c r="AD27" i="110"/>
  <c r="R27" i="110" s="1"/>
  <c r="B16" i="125"/>
  <c r="DM34" i="110"/>
  <c r="E34" i="110"/>
  <c r="DQ34" i="110" s="1"/>
  <c r="E34" i="125"/>
  <c r="X90" i="130"/>
  <c r="W90" i="130"/>
  <c r="U89" i="130"/>
  <c r="AA89" i="130"/>
  <c r="AD48" i="130"/>
  <c r="U25" i="130"/>
  <c r="AD25" i="130"/>
  <c r="E24" i="107"/>
  <c r="K24" i="107"/>
  <c r="BS15" i="130"/>
  <c r="BM38" i="130"/>
  <c r="BT38" i="130"/>
  <c r="AR38" i="130"/>
  <c r="BK38" i="130"/>
  <c r="BO38" i="130"/>
  <c r="BO13" i="130"/>
  <c r="AR13" i="130"/>
  <c r="BQ16" i="130"/>
  <c r="BT25" i="130"/>
  <c r="AW25" i="130"/>
  <c r="BT17" i="130"/>
  <c r="BP17" i="130"/>
  <c r="BS17" i="130"/>
  <c r="AT7" i="130"/>
  <c r="AU11" i="130"/>
  <c r="AW12" i="130"/>
  <c r="AU6" i="130"/>
  <c r="AT11" i="130"/>
  <c r="U4" i="130"/>
  <c r="BO9" i="130"/>
  <c r="BH46" i="130"/>
  <c r="N94" i="110"/>
  <c r="AD94" i="110" s="1"/>
  <c r="AD92" i="110"/>
  <c r="X37" i="130"/>
  <c r="AB48" i="130"/>
  <c r="Y8" i="130"/>
  <c r="AA8" i="130"/>
  <c r="D24" i="107"/>
  <c r="M24" i="107"/>
  <c r="AT15" i="130"/>
  <c r="AY38" i="130"/>
  <c r="AU38" i="130"/>
  <c r="BR38" i="130"/>
  <c r="BN38" i="130"/>
  <c r="BQ38" i="130"/>
  <c r="AT13" i="130"/>
  <c r="AP16" i="130"/>
  <c r="BO16" i="130"/>
  <c r="BS25" i="130"/>
  <c r="BP25" i="130"/>
  <c r="BR25" i="130"/>
  <c r="AY17" i="130"/>
  <c r="AX17" i="130"/>
  <c r="AX11" i="130"/>
  <c r="BM12" i="130"/>
  <c r="BT12" i="130"/>
  <c r="AB6" i="130"/>
  <c r="F24" i="107"/>
  <c r="T21" i="131"/>
  <c r="AA21" i="131"/>
  <c r="X21" i="131"/>
  <c r="AB21" i="131"/>
  <c r="Z21" i="131"/>
  <c r="AD21" i="131"/>
  <c r="X24" i="131"/>
  <c r="Y24" i="131"/>
  <c r="Z24" i="131"/>
  <c r="AC24" i="131"/>
  <c r="AA24" i="131"/>
  <c r="V24" i="131"/>
  <c r="AB24" i="131"/>
  <c r="W24" i="131"/>
  <c r="AD24" i="131"/>
  <c r="Z26" i="131"/>
  <c r="W26" i="131"/>
  <c r="V26" i="131"/>
  <c r="AD26" i="131"/>
  <c r="AA26" i="131"/>
  <c r="X26" i="131"/>
  <c r="AC26" i="131"/>
  <c r="T34" i="131"/>
  <c r="Z34" i="131"/>
  <c r="AA34" i="131"/>
  <c r="V34" i="131"/>
  <c r="AD34" i="131"/>
  <c r="W34" i="131"/>
  <c r="AB34" i="131"/>
  <c r="AC34" i="131"/>
  <c r="AA42" i="131"/>
  <c r="Z42" i="131"/>
  <c r="V42" i="131"/>
  <c r="AD42" i="131"/>
  <c r="AB42" i="131"/>
  <c r="X42" i="131"/>
  <c r="AC47" i="131"/>
  <c r="V47" i="131"/>
  <c r="AD47" i="131"/>
  <c r="Z47" i="131"/>
  <c r="AB47" i="131"/>
  <c r="X47" i="131"/>
  <c r="AR4" i="132"/>
  <c r="AS4" i="132"/>
  <c r="BN4" i="132"/>
  <c r="BI4" i="132"/>
  <c r="AG4" i="132"/>
  <c r="BB4" i="132"/>
  <c r="BA4" i="132"/>
  <c r="BR4" i="132"/>
  <c r="AW4" i="132"/>
  <c r="BQ4" i="132"/>
  <c r="BJ4" i="132"/>
  <c r="AO4" i="132"/>
  <c r="AA6" i="132"/>
  <c r="BQ6" i="132"/>
  <c r="Z6" i="132"/>
  <c r="AU6" i="132"/>
  <c r="BT6" i="132"/>
  <c r="AR6" i="132"/>
  <c r="AD6" i="132"/>
  <c r="BL6" i="132"/>
  <c r="AY6" i="132"/>
  <c r="AB6" i="132"/>
  <c r="AQ6" i="132"/>
  <c r="BP6" i="132"/>
  <c r="T7" i="132"/>
  <c r="BA7" i="132"/>
  <c r="AF7" i="132"/>
  <c r="W7" i="132"/>
  <c r="Z7" i="132"/>
  <c r="BP7" i="132"/>
  <c r="AW7" i="132"/>
  <c r="BQ7" i="132"/>
  <c r="AV7" i="132"/>
  <c r="AA7" i="132"/>
  <c r="AU7" i="132"/>
  <c r="AB7" i="132"/>
  <c r="BR7" i="132"/>
  <c r="BS7" i="132"/>
  <c r="AC7" i="132"/>
  <c r="AY7" i="132"/>
  <c r="X7" i="132"/>
  <c r="AX7" i="132"/>
  <c r="U7" i="132"/>
  <c r="BB7" i="132"/>
  <c r="Y7" i="132"/>
  <c r="AD7" i="132"/>
  <c r="BO7" i="132"/>
  <c r="AG7" i="132"/>
  <c r="AS23" i="132"/>
  <c r="BB23" i="132"/>
  <c r="BT23" i="132"/>
  <c r="AR23" i="132"/>
  <c r="BA23" i="132"/>
  <c r="BS23" i="132"/>
  <c r="AW23" i="132"/>
  <c r="BP23" i="132"/>
  <c r="AV23" i="132"/>
  <c r="BO23" i="132"/>
  <c r="AY23" i="132"/>
  <c r="AF23" i="132"/>
  <c r="BQ23" i="132"/>
  <c r="AG23" i="132"/>
  <c r="BR23" i="132"/>
  <c r="AX23" i="132"/>
  <c r="BM23" i="132"/>
  <c r="BN23" i="132"/>
  <c r="AT23" i="132"/>
  <c r="T25" i="132"/>
  <c r="Z25" i="132"/>
  <c r="Y25" i="132"/>
  <c r="AD25" i="132"/>
  <c r="U25" i="132"/>
  <c r="AC25" i="132"/>
  <c r="W25" i="132"/>
  <c r="X25" i="132"/>
  <c r="AA25" i="132"/>
  <c r="T27" i="132"/>
  <c r="X27" i="132"/>
  <c r="Y27" i="132"/>
  <c r="AB27" i="132"/>
  <c r="U27" i="132"/>
  <c r="AC27" i="132"/>
  <c r="AD27" i="132"/>
  <c r="W27" i="132"/>
  <c r="Z27" i="132"/>
  <c r="AA27" i="132"/>
  <c r="W30" i="132"/>
  <c r="AB30" i="132"/>
  <c r="X30" i="132"/>
  <c r="AG30" i="132"/>
  <c r="BB30" i="132"/>
  <c r="Z30" i="132"/>
  <c r="T33" i="132"/>
  <c r="AD33" i="132"/>
  <c r="AW33" i="132"/>
  <c r="BP33" i="132"/>
  <c r="W33" i="132"/>
  <c r="AF33" i="132"/>
  <c r="AX33" i="132"/>
  <c r="BQ33" i="132"/>
  <c r="Z33" i="132"/>
  <c r="AS33" i="132"/>
  <c r="BB33" i="132"/>
  <c r="BT33" i="132"/>
  <c r="AA33" i="132"/>
  <c r="AT33" i="132"/>
  <c r="BM33" i="132"/>
  <c r="AU33" i="132"/>
  <c r="Y33" i="132"/>
  <c r="BA33" i="132"/>
  <c r="AB33" i="132"/>
  <c r="BN33" i="132"/>
  <c r="AR33" i="132"/>
  <c r="BS33" i="132"/>
  <c r="AY33" i="132"/>
  <c r="BO33" i="132"/>
  <c r="X33" i="132"/>
  <c r="AC33" i="132"/>
  <c r="AG33" i="132"/>
  <c r="BR33" i="132"/>
  <c r="AV33" i="132"/>
  <c r="AC42" i="132"/>
  <c r="BA42" i="132"/>
  <c r="X42" i="132"/>
  <c r="AG42" i="132"/>
  <c r="AF42" i="132"/>
  <c r="AB42" i="132"/>
  <c r="BB42" i="132"/>
  <c r="Z42" i="132"/>
  <c r="BS4" i="131"/>
  <c r="BK4" i="131"/>
  <c r="AL4" i="131"/>
  <c r="BL4" i="131"/>
  <c r="AM4" i="131"/>
  <c r="AU4" i="131"/>
  <c r="BJ4" i="131"/>
  <c r="AN4" i="131"/>
  <c r="BH4" i="131"/>
  <c r="BO4" i="131"/>
  <c r="BG4" i="131"/>
  <c r="AT4" i="131"/>
  <c r="AQ4" i="131"/>
  <c r="AY4" i="131"/>
  <c r="BR4" i="131"/>
  <c r="AV4" i="131"/>
  <c r="AF4" i="131"/>
  <c r="AW4" i="131"/>
  <c r="BA4" i="131"/>
  <c r="BM4" i="131"/>
  <c r="AX4" i="131"/>
  <c r="AO4" i="131"/>
  <c r="BN4" i="131"/>
  <c r="BN22" i="131"/>
  <c r="BM22" i="131"/>
  <c r="AX22" i="131"/>
  <c r="AP22" i="131"/>
  <c r="BL22" i="131"/>
  <c r="AW22" i="131"/>
  <c r="BQ22" i="131"/>
  <c r="AT22" i="131"/>
  <c r="AF22" i="131"/>
  <c r="AU22" i="131"/>
  <c r="BT22" i="131"/>
  <c r="AS22" i="131"/>
  <c r="BO22" i="131"/>
  <c r="AR22" i="131"/>
  <c r="BR22" i="131"/>
  <c r="BA22" i="131"/>
  <c r="AY22" i="131"/>
  <c r="T28" i="131"/>
  <c r="X28" i="131"/>
  <c r="AC28" i="131"/>
  <c r="AB28" i="131"/>
  <c r="Y28" i="131"/>
  <c r="V28" i="131"/>
  <c r="W28" i="131"/>
  <c r="AD28" i="131"/>
  <c r="AA33" i="131"/>
  <c r="AB33" i="131"/>
  <c r="X33" i="131"/>
  <c r="AD33" i="131"/>
  <c r="V33" i="131"/>
  <c r="T38" i="131"/>
  <c r="Z38" i="131"/>
  <c r="AA38" i="131"/>
  <c r="V38" i="131"/>
  <c r="AD38" i="131"/>
  <c r="W38" i="131"/>
  <c r="AC38" i="131"/>
  <c r="X38" i="131"/>
  <c r="AC40" i="131"/>
  <c r="V40" i="131"/>
  <c r="AD40" i="131"/>
  <c r="Z40" i="131"/>
  <c r="X40" i="131"/>
  <c r="AB46" i="131"/>
  <c r="BM46" i="131"/>
  <c r="BE46" i="131"/>
  <c r="AT46" i="131"/>
  <c r="AL46" i="131"/>
  <c r="AC46" i="131"/>
  <c r="AD46" i="131"/>
  <c r="AU46" i="131"/>
  <c r="BL46" i="131"/>
  <c r="BQ46" i="131"/>
  <c r="BI46" i="131"/>
  <c r="AX46" i="131"/>
  <c r="AP46" i="131"/>
  <c r="Y46" i="131"/>
  <c r="V46" i="131"/>
  <c r="AM46" i="131"/>
  <c r="BD46" i="131"/>
  <c r="BT46" i="131"/>
  <c r="BS46" i="131"/>
  <c r="BA46" i="131"/>
  <c r="AJ46" i="131"/>
  <c r="AQ46" i="131"/>
  <c r="BK46" i="131"/>
  <c r="AR46" i="131"/>
  <c r="AA46" i="131"/>
  <c r="Z46" i="131"/>
  <c r="BH46" i="131"/>
  <c r="X48" i="131"/>
  <c r="W48" i="131"/>
  <c r="Z48" i="131"/>
  <c r="AA48" i="131"/>
  <c r="AC48" i="131"/>
  <c r="V48" i="131"/>
  <c r="T104" i="131"/>
  <c r="W104" i="131"/>
  <c r="V104" i="131"/>
  <c r="AA104" i="131"/>
  <c r="AD104" i="131"/>
  <c r="AC104" i="131"/>
  <c r="T5" i="132"/>
  <c r="AC5" i="132"/>
  <c r="U5" i="132"/>
  <c r="X5" i="132"/>
  <c r="Y5" i="132"/>
  <c r="AD5" i="132"/>
  <c r="AA5" i="132"/>
  <c r="AB5" i="132"/>
  <c r="K6" i="132"/>
  <c r="V6" i="132" s="1"/>
  <c r="AC22" i="132"/>
  <c r="AB22" i="132"/>
  <c r="X22" i="132"/>
  <c r="AD22" i="132"/>
  <c r="Z22" i="132"/>
  <c r="AC24" i="132"/>
  <c r="AB24" i="132"/>
  <c r="X24" i="132"/>
  <c r="Z24" i="132"/>
  <c r="AD24" i="132"/>
  <c r="AN26" i="132"/>
  <c r="AV26" i="132"/>
  <c r="BG26" i="132"/>
  <c r="BO26" i="132"/>
  <c r="AG26" i="132"/>
  <c r="AQ26" i="132"/>
  <c r="AY26" i="132"/>
  <c r="BJ26" i="132"/>
  <c r="BR26" i="132"/>
  <c r="AJ26" i="132"/>
  <c r="AR26" i="132"/>
  <c r="BA26" i="132"/>
  <c r="BK26" i="132"/>
  <c r="BS26" i="132"/>
  <c r="AM26" i="132"/>
  <c r="AU26" i="132"/>
  <c r="BF26" i="132"/>
  <c r="BN26" i="132"/>
  <c r="AL26" i="132"/>
  <c r="BE26" i="132"/>
  <c r="AW26" i="132"/>
  <c r="BP26" i="132"/>
  <c r="AT26" i="132"/>
  <c r="BM26" i="132"/>
  <c r="AO26" i="132"/>
  <c r="BH26" i="132"/>
  <c r="BI26" i="132"/>
  <c r="BB26" i="132"/>
  <c r="AP26" i="132"/>
  <c r="AK26" i="132"/>
  <c r="BT26" i="132"/>
  <c r="AF28" i="132"/>
  <c r="BB28" i="132"/>
  <c r="BA28" i="132"/>
  <c r="AG28" i="132"/>
  <c r="T29" i="132"/>
  <c r="X29" i="132"/>
  <c r="AG29" i="132"/>
  <c r="W29" i="132"/>
  <c r="AF29" i="132"/>
  <c r="AB29" i="132"/>
  <c r="AA29" i="132"/>
  <c r="AC29" i="132"/>
  <c r="AD29" i="132"/>
  <c r="U29" i="132"/>
  <c r="Z29" i="132"/>
  <c r="BA29" i="132"/>
  <c r="AG31" i="132"/>
  <c r="BB31" i="132"/>
  <c r="AF31" i="132"/>
  <c r="C34" i="132"/>
  <c r="T41" i="132"/>
  <c r="AF41" i="132"/>
  <c r="W41" i="132"/>
  <c r="BB41" i="132"/>
  <c r="AA41" i="132"/>
  <c r="Z41" i="132"/>
  <c r="AB41" i="132"/>
  <c r="AC41" i="132"/>
  <c r="X41" i="132"/>
  <c r="U41" i="132"/>
  <c r="AD41" i="132"/>
  <c r="Y41" i="132"/>
  <c r="AG41" i="132"/>
  <c r="BA43" i="132"/>
  <c r="BB43" i="132"/>
  <c r="AF44" i="132"/>
  <c r="AY44" i="132"/>
  <c r="BT44" i="132"/>
  <c r="BB44" i="132"/>
  <c r="BA44" i="132"/>
  <c r="AG44" i="132"/>
  <c r="E17" i="109"/>
  <c r="D19" i="109"/>
  <c r="C126" i="115"/>
  <c r="H22" i="118" s="1"/>
  <c r="C104" i="132"/>
  <c r="BB104" i="132" s="1"/>
  <c r="C104" i="131"/>
  <c r="BA104" i="131" s="1"/>
  <c r="B50" i="115"/>
  <c r="H8" i="118" s="1"/>
  <c r="AC35" i="132"/>
  <c r="G111" i="115"/>
  <c r="O16" i="109"/>
  <c r="G10" i="109"/>
  <c r="AP15" i="130"/>
  <c r="AQ15" i="130"/>
  <c r="AS15" i="130"/>
  <c r="BJ15" i="130"/>
  <c r="BP15" i="130"/>
  <c r="BS13" i="130"/>
  <c r="AY13" i="130"/>
  <c r="BM13" i="130"/>
  <c r="AO13" i="130"/>
  <c r="BQ13" i="130"/>
  <c r="AQ16" i="130"/>
  <c r="BN16" i="130"/>
  <c r="AW16" i="130"/>
  <c r="BS16" i="130"/>
  <c r="AX16" i="130"/>
  <c r="AT16" i="130"/>
  <c r="BK16" i="130"/>
  <c r="AU7" i="130"/>
  <c r="AY7" i="130"/>
  <c r="AR6" i="130"/>
  <c r="K42" i="131"/>
  <c r="U42" i="131" s="1"/>
  <c r="C93" i="131"/>
  <c r="F94" i="131"/>
  <c r="H94" i="131"/>
  <c r="F96" i="131"/>
  <c r="H96" i="131"/>
  <c r="V26" i="130"/>
  <c r="H102" i="130"/>
  <c r="H94" i="130"/>
  <c r="K9" i="131"/>
  <c r="U9" i="131" s="1"/>
  <c r="K21" i="131"/>
  <c r="U21" i="131" s="1"/>
  <c r="C21" i="131"/>
  <c r="AX21" i="131" s="1"/>
  <c r="K92" i="131"/>
  <c r="U92" i="131" s="1"/>
  <c r="H92" i="131"/>
  <c r="C95" i="131"/>
  <c r="F104" i="131"/>
  <c r="W95" i="132"/>
  <c r="K103" i="132"/>
  <c r="V103" i="132" s="1"/>
  <c r="AS46" i="130"/>
  <c r="AJ46" i="130"/>
  <c r="AC20" i="130"/>
  <c r="AD89" i="130"/>
  <c r="U90" i="130"/>
  <c r="Y16" i="130"/>
  <c r="Z48" i="130"/>
  <c r="Z7" i="130"/>
  <c r="W103" i="130"/>
  <c r="AA95" i="130"/>
  <c r="BQ5" i="130"/>
  <c r="U15" i="130"/>
  <c r="AB14" i="130"/>
  <c r="V15" i="130"/>
  <c r="AN46" i="130"/>
  <c r="BD46" i="130"/>
  <c r="BT46" i="130"/>
  <c r="AL46" i="130"/>
  <c r="BI46" i="130"/>
  <c r="W15" i="130"/>
  <c r="X14" i="130"/>
  <c r="BN14" i="130"/>
  <c r="H16" i="130"/>
  <c r="BB16" i="130" s="1"/>
  <c r="C5" i="131"/>
  <c r="AV5" i="131" s="1"/>
  <c r="F16" i="131"/>
  <c r="H16" i="131"/>
  <c r="AA37" i="131"/>
  <c r="W40" i="131"/>
  <c r="C90" i="131"/>
  <c r="AX90" i="131" s="1"/>
  <c r="F103" i="131"/>
  <c r="H103" i="131"/>
  <c r="X101" i="130"/>
  <c r="AA101" i="130"/>
  <c r="V99" i="130"/>
  <c r="AB99" i="130"/>
  <c r="V92" i="130"/>
  <c r="Z92" i="130"/>
  <c r="W91" i="130"/>
  <c r="AA91" i="130"/>
  <c r="U88" i="130"/>
  <c r="AC88" i="130"/>
  <c r="AB46" i="130"/>
  <c r="AA46" i="130"/>
  <c r="U46" i="130"/>
  <c r="AC43" i="130"/>
  <c r="V43" i="130"/>
  <c r="U43" i="130"/>
  <c r="V42" i="130"/>
  <c r="AC42" i="130"/>
  <c r="AC40" i="130"/>
  <c r="U36" i="130"/>
  <c r="Z36" i="130"/>
  <c r="Y33" i="130"/>
  <c r="U33" i="130"/>
  <c r="Y32" i="130"/>
  <c r="X32" i="130"/>
  <c r="V30" i="130"/>
  <c r="Z29" i="130"/>
  <c r="Y29" i="130"/>
  <c r="Z28" i="130"/>
  <c r="W28" i="130"/>
  <c r="AC27" i="130"/>
  <c r="X27" i="130"/>
  <c r="U6" i="130"/>
  <c r="AD6" i="130"/>
  <c r="AC6" i="130"/>
  <c r="Y5" i="130"/>
  <c r="V5" i="130"/>
  <c r="AA5" i="130"/>
  <c r="AB5" i="130"/>
  <c r="BR15" i="130"/>
  <c r="BI15" i="130"/>
  <c r="AU15" i="130"/>
  <c r="BL15" i="130"/>
  <c r="AR15" i="130"/>
  <c r="AW15" i="130"/>
  <c r="AN15" i="130"/>
  <c r="BN15" i="130"/>
  <c r="BQ15" i="130"/>
  <c r="AO15" i="130"/>
  <c r="BT15" i="130"/>
  <c r="BK15" i="130"/>
  <c r="BO15" i="130"/>
  <c r="AV13" i="130"/>
  <c r="BT13" i="130"/>
  <c r="AX13" i="130"/>
  <c r="BP13" i="130"/>
  <c r="BK13" i="130"/>
  <c r="AQ13" i="130"/>
  <c r="BL13" i="130"/>
  <c r="AP13" i="130"/>
  <c r="BN13" i="130"/>
  <c r="BJ13" i="130"/>
  <c r="AW13" i="130"/>
  <c r="BR13" i="130"/>
  <c r="BL16" i="130"/>
  <c r="BM16" i="130"/>
  <c r="BJ16" i="130"/>
  <c r="AV16" i="130"/>
  <c r="AU16" i="130"/>
  <c r="AO16" i="130"/>
  <c r="BI16" i="130"/>
  <c r="BP16" i="130"/>
  <c r="AR16" i="130"/>
  <c r="AS7" i="130"/>
  <c r="BN7" i="130"/>
  <c r="BM7" i="130"/>
  <c r="AV7" i="130"/>
  <c r="BN6" i="130"/>
  <c r="BI6" i="130"/>
  <c r="BL6" i="130"/>
  <c r="AM46" i="130"/>
  <c r="AH46" i="130"/>
  <c r="BO46" i="130"/>
  <c r="BP46" i="130"/>
  <c r="BK46" i="130"/>
  <c r="BS46" i="130"/>
  <c r="BR46" i="130"/>
  <c r="BF46" i="130"/>
  <c r="H96" i="130"/>
  <c r="H27" i="130"/>
  <c r="H26" i="130"/>
  <c r="C10" i="131"/>
  <c r="C29" i="131"/>
  <c r="H37" i="131"/>
  <c r="K41" i="131"/>
  <c r="U41" i="131" s="1"/>
  <c r="C89" i="131"/>
  <c r="F91" i="131"/>
  <c r="W101" i="131"/>
  <c r="AB104" i="131"/>
  <c r="W40" i="132"/>
  <c r="BS11" i="130"/>
  <c r="BP11" i="130"/>
  <c r="BR11" i="130"/>
  <c r="BM11" i="130"/>
  <c r="BK11" i="130"/>
  <c r="BR12" i="130"/>
  <c r="X5" i="130"/>
  <c r="U5" i="130"/>
  <c r="W5" i="130"/>
  <c r="Z5" i="130"/>
  <c r="Y13" i="130"/>
  <c r="Y21" i="130"/>
  <c r="W34" i="130"/>
  <c r="AB22" i="130"/>
  <c r="AD27" i="130"/>
  <c r="X33" i="130"/>
  <c r="W46" i="130"/>
  <c r="AD42" i="130"/>
  <c r="U42" i="130"/>
  <c r="AC46" i="130"/>
  <c r="Y48" i="130"/>
  <c r="X88" i="130"/>
  <c r="AD92" i="130"/>
  <c r="V89" i="130"/>
  <c r="Y104" i="130"/>
  <c r="W88" i="130"/>
  <c r="W92" i="130"/>
  <c r="AC92" i="130"/>
  <c r="AA19" i="130"/>
  <c r="Y44" i="130"/>
  <c r="AB28" i="130"/>
  <c r="V10" i="130"/>
  <c r="AB35" i="130"/>
  <c r="Y43" i="130"/>
  <c r="Y103" i="130"/>
  <c r="X41" i="130"/>
  <c r="AC35" i="130"/>
  <c r="Y95" i="130"/>
  <c r="X16" i="130"/>
  <c r="AD44" i="130"/>
  <c r="AA24" i="130"/>
  <c r="AB93" i="130"/>
  <c r="AC31" i="130"/>
  <c r="V91" i="130"/>
  <c r="X13" i="130"/>
  <c r="AA16" i="130"/>
  <c r="Y6" i="130"/>
  <c r="AC38" i="130"/>
  <c r="AA88" i="130"/>
  <c r="W6" i="130"/>
  <c r="Z32" i="130"/>
  <c r="X6" i="130"/>
  <c r="V6" i="130"/>
  <c r="Z6" i="130"/>
  <c r="X12" i="130"/>
  <c r="H103" i="130"/>
  <c r="H93" i="130"/>
  <c r="H90" i="130"/>
  <c r="H89" i="130"/>
  <c r="H41" i="130"/>
  <c r="W4" i="131"/>
  <c r="K12" i="131"/>
  <c r="U12" i="131" s="1"/>
  <c r="C28" i="131"/>
  <c r="K43" i="131"/>
  <c r="U43" i="131" s="1"/>
  <c r="F43" i="131"/>
  <c r="H90" i="131"/>
  <c r="C91" i="131"/>
  <c r="F92" i="131"/>
  <c r="C92" i="131"/>
  <c r="F93" i="131"/>
  <c r="K101" i="131"/>
  <c r="U101" i="131" s="1"/>
  <c r="F101" i="131"/>
  <c r="H104" i="131"/>
  <c r="U6" i="132"/>
  <c r="K92" i="132"/>
  <c r="V92" i="132" s="1"/>
  <c r="AA90" i="130"/>
  <c r="X92" i="130"/>
  <c r="Z88" i="130"/>
  <c r="Z89" i="130"/>
  <c r="AC90" i="130"/>
  <c r="Z99" i="130"/>
  <c r="Y99" i="130"/>
  <c r="AC89" i="130"/>
  <c r="Z90" i="130"/>
  <c r="AB92" i="130"/>
  <c r="AD103" i="130"/>
  <c r="U92" i="130"/>
  <c r="Y100" i="130"/>
  <c r="AA92" i="130"/>
  <c r="V103" i="130"/>
  <c r="AB91" i="130"/>
  <c r="AD104" i="130"/>
  <c r="AD91" i="130"/>
  <c r="AA97" i="130"/>
  <c r="Y89" i="130"/>
  <c r="AB89" i="130"/>
  <c r="Y97" i="130"/>
  <c r="AB97" i="130"/>
  <c r="W89" i="130"/>
  <c r="Y91" i="130"/>
  <c r="AD13" i="130"/>
  <c r="BS14" i="130"/>
  <c r="AD21" i="130"/>
  <c r="U24" i="130"/>
  <c r="W31" i="130"/>
  <c r="AC25" i="130"/>
  <c r="Y22" i="130"/>
  <c r="Z22" i="130"/>
  <c r="Z27" i="130"/>
  <c r="AA27" i="130"/>
  <c r="AD30" i="130"/>
  <c r="Z33" i="130"/>
  <c r="U37" i="130"/>
  <c r="AB13" i="130"/>
  <c r="X24" i="130"/>
  <c r="Y28" i="130"/>
  <c r="Y34" i="130"/>
  <c r="AB29" i="130"/>
  <c r="W35" i="130"/>
  <c r="W23" i="130"/>
  <c r="X20" i="130"/>
  <c r="AA23" i="130"/>
  <c r="V23" i="130"/>
  <c r="AD28" i="130"/>
  <c r="AA40" i="131"/>
  <c r="W103" i="131"/>
  <c r="X26" i="130"/>
  <c r="C12" i="131"/>
  <c r="C15" i="131"/>
  <c r="BK15" i="131" s="1"/>
  <c r="C27" i="131"/>
  <c r="C35" i="131"/>
  <c r="C37" i="131"/>
  <c r="C42" i="131"/>
  <c r="AC88" i="131"/>
  <c r="K90" i="131"/>
  <c r="U90" i="131" s="1"/>
  <c r="K93" i="131"/>
  <c r="U93" i="131" s="1"/>
  <c r="F95" i="131"/>
  <c r="H95" i="131"/>
  <c r="K96" i="131"/>
  <c r="U96" i="131" s="1"/>
  <c r="C98" i="131"/>
  <c r="F100" i="131"/>
  <c r="K100" i="131"/>
  <c r="U100" i="131" s="1"/>
  <c r="C102" i="131"/>
  <c r="BQ99" i="130"/>
  <c r="AX99" i="130"/>
  <c r="W47" i="131"/>
  <c r="T96" i="131"/>
  <c r="T103" i="131"/>
  <c r="AA103" i="131"/>
  <c r="T95" i="132"/>
  <c r="AA95" i="132"/>
  <c r="T97" i="132"/>
  <c r="T98" i="132"/>
  <c r="W101" i="132"/>
  <c r="AU99" i="130"/>
  <c r="BS99" i="130"/>
  <c r="AW99" i="130"/>
  <c r="Y92" i="130"/>
  <c r="X89" i="130"/>
  <c r="X91" i="130"/>
  <c r="W44" i="130"/>
  <c r="Z91" i="130"/>
  <c r="AB47" i="130"/>
  <c r="X36" i="130"/>
  <c r="X46" i="130"/>
  <c r="Y12" i="130"/>
  <c r="AC91" i="130"/>
  <c r="U91" i="130"/>
  <c r="T40" i="131"/>
  <c r="Y40" i="131"/>
  <c r="W26" i="132"/>
  <c r="W93" i="132"/>
  <c r="X99" i="130"/>
  <c r="Z100" i="130"/>
  <c r="U101" i="130"/>
  <c r="AA104" i="130"/>
  <c r="AA99" i="130"/>
  <c r="AC103" i="130"/>
  <c r="U104" i="130"/>
  <c r="Z98" i="130"/>
  <c r="AA100" i="130"/>
  <c r="U103" i="130"/>
  <c r="AU14" i="130"/>
  <c r="AA26" i="130"/>
  <c r="H104" i="130"/>
  <c r="H101" i="130"/>
  <c r="H98" i="130"/>
  <c r="H97" i="130"/>
  <c r="H95" i="130"/>
  <c r="H92" i="130"/>
  <c r="H91" i="130"/>
  <c r="H88" i="130"/>
  <c r="H48" i="130"/>
  <c r="H42" i="130"/>
  <c r="I32" i="130"/>
  <c r="H6" i="130"/>
  <c r="BA6" i="130" s="1"/>
  <c r="T4" i="131"/>
  <c r="AA4" i="131"/>
  <c r="K5" i="131"/>
  <c r="U5" i="131" s="1"/>
  <c r="H6" i="131"/>
  <c r="K6" i="131"/>
  <c r="U6" i="131" s="1"/>
  <c r="T7" i="131"/>
  <c r="K7" i="131"/>
  <c r="U7" i="131" s="1"/>
  <c r="C7" i="131"/>
  <c r="BS7" i="131" s="1"/>
  <c r="K8" i="131"/>
  <c r="U8" i="131" s="1"/>
  <c r="C16" i="131"/>
  <c r="H27" i="131"/>
  <c r="K33" i="131"/>
  <c r="U33" i="131" s="1"/>
  <c r="C41" i="131"/>
  <c r="W42" i="131"/>
  <c r="C43" i="131"/>
  <c r="T88" i="131"/>
  <c r="K88" i="131"/>
  <c r="U88" i="131" s="1"/>
  <c r="H88" i="131"/>
  <c r="C96" i="131"/>
  <c r="H97" i="131"/>
  <c r="K97" i="131"/>
  <c r="U97" i="131" s="1"/>
  <c r="C100" i="131"/>
  <c r="H101" i="131"/>
  <c r="Y6" i="132"/>
  <c r="T26" i="132"/>
  <c r="AA26" i="132"/>
  <c r="W28" i="132"/>
  <c r="T30" i="132"/>
  <c r="U35" i="132"/>
  <c r="T40" i="132"/>
  <c r="AA40" i="132"/>
  <c r="T93" i="132"/>
  <c r="AA93" i="132"/>
  <c r="U95" i="132"/>
  <c r="Y95" i="132"/>
  <c r="BN98" i="132"/>
  <c r="T102" i="132"/>
  <c r="W103" i="132"/>
  <c r="BO8" i="130"/>
  <c r="BJ46" i="130"/>
  <c r="BL46" i="130"/>
  <c r="AX46" i="130"/>
  <c r="BG46" i="130"/>
  <c r="AV46" i="130"/>
  <c r="AI46" i="130"/>
  <c r="AT46" i="130"/>
  <c r="BM46" i="130"/>
  <c r="BE46" i="130"/>
  <c r="AY46" i="130"/>
  <c r="AP46" i="130"/>
  <c r="AQ46" i="130"/>
  <c r="BC46" i="130"/>
  <c r="AK46" i="130"/>
  <c r="AW46" i="130"/>
  <c r="BN46" i="130"/>
  <c r="BQ46" i="130"/>
  <c r="AR46" i="130"/>
  <c r="V8" i="130"/>
  <c r="W13" i="130"/>
  <c r="V13" i="130"/>
  <c r="Z17" i="130"/>
  <c r="AA17" i="130"/>
  <c r="V21" i="130"/>
  <c r="AC24" i="130"/>
  <c r="AC29" i="130"/>
  <c r="U29" i="130"/>
  <c r="AB25" i="130"/>
  <c r="V25" i="130"/>
  <c r="AC22" i="130"/>
  <c r="AB27" i="130"/>
  <c r="V27" i="130"/>
  <c r="U27" i="130"/>
  <c r="Y27" i="130"/>
  <c r="W27" i="130"/>
  <c r="AA94" i="130"/>
  <c r="AD99" i="130"/>
  <c r="V93" i="130"/>
  <c r="AD100" i="130"/>
  <c r="V100" i="130"/>
  <c r="AC104" i="130"/>
  <c r="AC99" i="130"/>
  <c r="U99" i="130"/>
  <c r="AC100" i="130"/>
  <c r="Z103" i="130"/>
  <c r="W104" i="130"/>
  <c r="Y23" i="130"/>
  <c r="AB19" i="130"/>
  <c r="AC28" i="130"/>
  <c r="U28" i="130"/>
  <c r="X28" i="130"/>
  <c r="V29" i="130"/>
  <c r="X29" i="130"/>
  <c r="W29" i="130"/>
  <c r="X100" i="130"/>
  <c r="AB102" i="130"/>
  <c r="Z104" i="130"/>
  <c r="W99" i="130"/>
  <c r="X103" i="130"/>
  <c r="X104" i="130"/>
  <c r="Z12" i="130"/>
  <c r="W20" i="130"/>
  <c r="W12" i="130"/>
  <c r="AA28" i="130"/>
  <c r="W98" i="130"/>
  <c r="AB103" i="130"/>
  <c r="X17" i="130"/>
  <c r="AC19" i="130"/>
  <c r="V28" i="130"/>
  <c r="U100" i="130"/>
  <c r="Y19" i="130"/>
  <c r="Z19" i="130"/>
  <c r="U98" i="130"/>
  <c r="AA29" i="130"/>
  <c r="AC12" i="130"/>
  <c r="V104" i="130"/>
  <c r="AD26" i="130"/>
  <c r="W26" i="130"/>
  <c r="W29" i="131"/>
  <c r="T42" i="131"/>
  <c r="Y88" i="131"/>
  <c r="T20" i="132"/>
  <c r="W20" i="132"/>
  <c r="W22" i="132"/>
  <c r="U40" i="132"/>
  <c r="Y40" i="132"/>
  <c r="AV8" i="130"/>
  <c r="AX4" i="130"/>
  <c r="AB100" i="130"/>
  <c r="BC90" i="132"/>
  <c r="AG94" i="132"/>
  <c r="AW94" i="132"/>
  <c r="BB94" i="132"/>
  <c r="BR94" i="132"/>
  <c r="AX94" i="132"/>
  <c r="BC94" i="132"/>
  <c r="BS94" i="132"/>
  <c r="AY94" i="132"/>
  <c r="BT94" i="132"/>
  <c r="AF94" i="132"/>
  <c r="BA94" i="132"/>
  <c r="H35" i="130"/>
  <c r="H29" i="130"/>
  <c r="C8" i="131"/>
  <c r="Y9" i="131"/>
  <c r="K11" i="131"/>
  <c r="U11" i="131" s="1"/>
  <c r="H11" i="131"/>
  <c r="C19" i="131"/>
  <c r="C26" i="131"/>
  <c r="C31" i="131"/>
  <c r="AF31" i="131" s="1"/>
  <c r="H41" i="131"/>
  <c r="T46" i="131"/>
  <c r="H48" i="131"/>
  <c r="W88" i="131"/>
  <c r="F88" i="131"/>
  <c r="C88" i="131"/>
  <c r="F89" i="131"/>
  <c r="H89" i="131"/>
  <c r="K89" i="131"/>
  <c r="U89" i="131" s="1"/>
  <c r="F90" i="131"/>
  <c r="H91" i="131"/>
  <c r="K91" i="131"/>
  <c r="U91" i="131" s="1"/>
  <c r="T92" i="131"/>
  <c r="H93" i="131"/>
  <c r="C94" i="131"/>
  <c r="K94" i="131"/>
  <c r="U94" i="131" s="1"/>
  <c r="K95" i="131"/>
  <c r="U95" i="131" s="1"/>
  <c r="C97" i="131"/>
  <c r="F98" i="131"/>
  <c r="K99" i="131"/>
  <c r="U99" i="131" s="1"/>
  <c r="T101" i="131"/>
  <c r="AA101" i="131"/>
  <c r="C101" i="131"/>
  <c r="F102" i="131"/>
  <c r="H102" i="131"/>
  <c r="C103" i="131"/>
  <c r="K104" i="131"/>
  <c r="U104" i="131" s="1"/>
  <c r="W4" i="132"/>
  <c r="W10" i="132"/>
  <c r="BO14" i="132"/>
  <c r="AA20" i="132"/>
  <c r="T22" i="132"/>
  <c r="AA22" i="132"/>
  <c r="U37" i="132"/>
  <c r="W42" i="132"/>
  <c r="T90" i="132"/>
  <c r="BB102" i="132"/>
  <c r="T103" i="132"/>
  <c r="BT5" i="130"/>
  <c r="AX5" i="130"/>
  <c r="X4" i="130"/>
  <c r="AY4" i="130"/>
  <c r="Z9" i="130"/>
  <c r="X9" i="130"/>
  <c r="W10" i="130"/>
  <c r="Y14" i="130"/>
  <c r="Y15" i="130"/>
  <c r="BK14" i="130"/>
  <c r="BT14" i="130"/>
  <c r="AD34" i="130"/>
  <c r="AA40" i="130"/>
  <c r="U30" i="130"/>
  <c r="Z38" i="130"/>
  <c r="W33" i="130"/>
  <c r="AC33" i="130"/>
  <c r="W42" i="130"/>
  <c r="Z37" i="130"/>
  <c r="Z42" i="130"/>
  <c r="X42" i="130"/>
  <c r="Y42" i="130"/>
  <c r="AD46" i="130"/>
  <c r="V46" i="130"/>
  <c r="Y46" i="130"/>
  <c r="AB96" i="130"/>
  <c r="AA36" i="130"/>
  <c r="AC44" i="130"/>
  <c r="Z43" i="130"/>
  <c r="AD43" i="130"/>
  <c r="W43" i="130"/>
  <c r="X93" i="130"/>
  <c r="AB7" i="130"/>
  <c r="AC41" i="130"/>
  <c r="AD35" i="130"/>
  <c r="Z35" i="130"/>
  <c r="W41" i="130"/>
  <c r="AC9" i="130"/>
  <c r="X44" i="130"/>
  <c r="AB42" i="130"/>
  <c r="AB44" i="130"/>
  <c r="Z31" i="130"/>
  <c r="AB43" i="130"/>
  <c r="AC32" i="130"/>
  <c r="V44" i="130"/>
  <c r="AA42" i="130"/>
  <c r="Y36" i="130"/>
  <c r="AA44" i="130"/>
  <c r="H37" i="130"/>
  <c r="T9" i="131"/>
  <c r="W35" i="131"/>
  <c r="BN46" i="131"/>
  <c r="W94" i="131"/>
  <c r="T4" i="132"/>
  <c r="W8" i="132"/>
  <c r="AX14" i="132"/>
  <c r="W24" i="132"/>
  <c r="U26" i="132"/>
  <c r="Y26" i="132"/>
  <c r="T28" i="132"/>
  <c r="AA28" i="132"/>
  <c r="W34" i="132"/>
  <c r="BA37" i="132"/>
  <c r="AX44" i="132"/>
  <c r="W91" i="132"/>
  <c r="X96" i="130"/>
  <c r="Z96" i="130"/>
  <c r="U94" i="130"/>
  <c r="AA94" i="131"/>
  <c r="W96" i="131"/>
  <c r="AA91" i="132"/>
  <c r="BR92" i="132"/>
  <c r="C48" i="131"/>
  <c r="K48" i="132"/>
  <c r="V48" i="132" s="1"/>
  <c r="BS16" i="132"/>
  <c r="BO16" i="132"/>
  <c r="BK16" i="132"/>
  <c r="BA16" i="132"/>
  <c r="AV16" i="132"/>
  <c r="AR16" i="132"/>
  <c r="AG16" i="132"/>
  <c r="AS16" i="132"/>
  <c r="AW16" i="132"/>
  <c r="BB16" i="132"/>
  <c r="BL16" i="132"/>
  <c r="BP16" i="132"/>
  <c r="BT16" i="132"/>
  <c r="BQ16" i="132"/>
  <c r="BM16" i="132"/>
  <c r="AX16" i="132"/>
  <c r="AF16" i="132"/>
  <c r="AQ16" i="132"/>
  <c r="AU16" i="132"/>
  <c r="AY16" i="132"/>
  <c r="BN16" i="132"/>
  <c r="BR16" i="132"/>
  <c r="AT5" i="130"/>
  <c r="AS5" i="130"/>
  <c r="BM5" i="130"/>
  <c r="AT8" i="130"/>
  <c r="BP99" i="130"/>
  <c r="AY99" i="130"/>
  <c r="BR99" i="130"/>
  <c r="BT99" i="130"/>
  <c r="AS12" i="130"/>
  <c r="AX12" i="130"/>
  <c r="AR12" i="130"/>
  <c r="AQ12" i="130"/>
  <c r="AV12" i="130"/>
  <c r="BS6" i="130"/>
  <c r="AT6" i="130"/>
  <c r="BR6" i="130"/>
  <c r="BO6" i="130"/>
  <c r="BQ6" i="130"/>
  <c r="BT6" i="130"/>
  <c r="BP8" i="130"/>
  <c r="BS8" i="130"/>
  <c r="BQ8" i="130"/>
  <c r="BQ5" i="132"/>
  <c r="BM5" i="132"/>
  <c r="AX5" i="132"/>
  <c r="AT5" i="132"/>
  <c r="AF5" i="132"/>
  <c r="AY5" i="132"/>
  <c r="BT5" i="132"/>
  <c r="AS5" i="132"/>
  <c r="BB5" i="132"/>
  <c r="BN5" i="132"/>
  <c r="BS5" i="132"/>
  <c r="BO5" i="132"/>
  <c r="BA5" i="132"/>
  <c r="AV5" i="132"/>
  <c r="AR5" i="132"/>
  <c r="AU5" i="132"/>
  <c r="BP5" i="132"/>
  <c r="AG5" i="132"/>
  <c r="AW5" i="132"/>
  <c r="BR5" i="132"/>
  <c r="F6" i="132"/>
  <c r="F6" i="131"/>
  <c r="H13" i="132"/>
  <c r="H13" i="130"/>
  <c r="H13" i="131"/>
  <c r="F33" i="132"/>
  <c r="F33" i="131"/>
  <c r="F38" i="131"/>
  <c r="B147" i="115"/>
  <c r="H25" i="118" s="1"/>
  <c r="AF32" i="132"/>
  <c r="BB32" i="132"/>
  <c r="AG32" i="132"/>
  <c r="H38" i="132"/>
  <c r="H38" i="131"/>
  <c r="H38" i="130"/>
  <c r="K36" i="132"/>
  <c r="V36" i="132" s="1"/>
  <c r="K36" i="131"/>
  <c r="U36" i="131" s="1"/>
  <c r="H11" i="130"/>
  <c r="H5" i="131"/>
  <c r="C6" i="131"/>
  <c r="AS6" i="131" s="1"/>
  <c r="C9" i="131"/>
  <c r="K10" i="131"/>
  <c r="U10" i="131" s="1"/>
  <c r="C11" i="131"/>
  <c r="K13" i="131"/>
  <c r="U13" i="131" s="1"/>
  <c r="C13" i="131"/>
  <c r="AX13" i="131" s="1"/>
  <c r="F15" i="131"/>
  <c r="H26" i="131"/>
  <c r="K26" i="131"/>
  <c r="U26" i="131" s="1"/>
  <c r="H29" i="131"/>
  <c r="C30" i="131"/>
  <c r="C32" i="131"/>
  <c r="C33" i="131"/>
  <c r="C34" i="131"/>
  <c r="F42" i="131"/>
  <c r="C47" i="131"/>
  <c r="F48" i="131"/>
  <c r="AW98" i="132"/>
  <c r="H15" i="132"/>
  <c r="H15" i="130"/>
  <c r="H15" i="131"/>
  <c r="F26" i="132"/>
  <c r="F26" i="131"/>
  <c r="K29" i="131"/>
  <c r="U29" i="131" s="1"/>
  <c r="I31" i="132"/>
  <c r="I31" i="131"/>
  <c r="I31" i="130"/>
  <c r="H33" i="132"/>
  <c r="H33" i="131"/>
  <c r="H33" i="130"/>
  <c r="D126" i="115"/>
  <c r="H23" i="118" s="1"/>
  <c r="K30" i="131"/>
  <c r="U30" i="131" s="1"/>
  <c r="G37" i="132"/>
  <c r="H43" i="132"/>
  <c r="H43" i="131"/>
  <c r="H43" i="130"/>
  <c r="H46" i="131"/>
  <c r="H46" i="130"/>
  <c r="H46" i="132"/>
  <c r="B126" i="115"/>
  <c r="H21" i="118" s="1"/>
  <c r="F41" i="132"/>
  <c r="BA30" i="132"/>
  <c r="AF30" i="132"/>
  <c r="H32" i="132"/>
  <c r="H32" i="131"/>
  <c r="L37" i="131"/>
  <c r="AC37" i="131" s="1"/>
  <c r="I37" i="132"/>
  <c r="BC37" i="132" s="1"/>
  <c r="I37" i="131"/>
  <c r="H34" i="132"/>
  <c r="H34" i="131"/>
  <c r="I36" i="132"/>
  <c r="I36" i="131"/>
  <c r="G36" i="132"/>
  <c r="C112" i="115"/>
  <c r="J20" i="118" s="1"/>
  <c r="H28" i="131"/>
  <c r="I30" i="131"/>
  <c r="I32" i="131"/>
  <c r="H35" i="131"/>
  <c r="K37" i="131"/>
  <c r="U37" i="131" s="1"/>
  <c r="H42" i="131"/>
  <c r="AW92" i="132"/>
  <c r="AS46" i="131"/>
  <c r="BF46" i="131"/>
  <c r="AA47" i="131"/>
  <c r="X43" i="131"/>
  <c r="AA42" i="132"/>
  <c r="AA41" i="130"/>
  <c r="U41" i="130"/>
  <c r="T27" i="131"/>
  <c r="W27" i="131"/>
  <c r="AA29" i="131"/>
  <c r="T33" i="131"/>
  <c r="W33" i="131"/>
  <c r="AA35" i="131"/>
  <c r="BA32" i="132"/>
  <c r="T34" i="132"/>
  <c r="AA34" i="132"/>
  <c r="Y31" i="130"/>
  <c r="Z34" i="130"/>
  <c r="AA35" i="130"/>
  <c r="AA34" i="130"/>
  <c r="Y30" i="130"/>
  <c r="AB33" i="130"/>
  <c r="AA33" i="130"/>
  <c r="AD33" i="130"/>
  <c r="V33" i="130"/>
  <c r="AB34" i="130"/>
  <c r="W36" i="130"/>
  <c r="V34" i="130"/>
  <c r="X35" i="130"/>
  <c r="V35" i="130"/>
  <c r="U35" i="130"/>
  <c r="X34" i="130"/>
  <c r="U34" i="130"/>
  <c r="AD36" i="130"/>
  <c r="V36" i="130"/>
  <c r="AC36" i="130"/>
  <c r="AA25" i="130"/>
  <c r="Y25" i="130"/>
  <c r="X25" i="130"/>
  <c r="W25" i="130"/>
  <c r="Z25" i="130"/>
  <c r="W21" i="131"/>
  <c r="AA23" i="131"/>
  <c r="T24" i="132"/>
  <c r="AA24" i="132"/>
  <c r="AD17" i="130"/>
  <c r="W17" i="130"/>
  <c r="X19" i="130"/>
  <c r="W19" i="130"/>
  <c r="Y17" i="130"/>
  <c r="AB17" i="130"/>
  <c r="U17" i="130"/>
  <c r="AC17" i="130"/>
  <c r="V19" i="130"/>
  <c r="AD19" i="130"/>
  <c r="AA19" i="131"/>
  <c r="W17" i="132"/>
  <c r="H14" i="130"/>
  <c r="H14" i="131"/>
  <c r="Y15" i="131"/>
  <c r="AP16" i="132"/>
  <c r="Z13" i="130"/>
  <c r="AC13" i="130"/>
  <c r="U13" i="130"/>
  <c r="BR14" i="130"/>
  <c r="AX14" i="130"/>
  <c r="BL14" i="130"/>
  <c r="AC16" i="130"/>
  <c r="AD16" i="130"/>
  <c r="W16" i="130"/>
  <c r="Z16" i="130"/>
  <c r="AB16" i="130"/>
  <c r="AD12" i="130"/>
  <c r="AA12" i="130"/>
  <c r="U12" i="130"/>
  <c r="T11" i="131"/>
  <c r="W11" i="131"/>
  <c r="BS12" i="132"/>
  <c r="W9" i="131"/>
  <c r="AA9" i="131"/>
  <c r="T10" i="132"/>
  <c r="AA10" i="132"/>
  <c r="AX9" i="130"/>
  <c r="W9" i="130"/>
  <c r="Y10" i="130"/>
  <c r="BT8" i="130"/>
  <c r="AX8" i="130"/>
  <c r="AY8" i="130"/>
  <c r="AW8" i="130"/>
  <c r="AU8" i="130"/>
  <c r="AD8" i="130"/>
  <c r="Y7" i="130"/>
  <c r="AC7" i="130"/>
  <c r="AA7" i="131"/>
  <c r="AC5" i="131"/>
  <c r="Y5" i="131"/>
  <c r="T5" i="131"/>
  <c r="V5" i="131"/>
  <c r="Z5" i="131"/>
  <c r="AD5" i="131"/>
  <c r="AA5" i="131"/>
  <c r="X5" i="131"/>
  <c r="AP47" i="132"/>
  <c r="AF47" i="132"/>
  <c r="AR47" i="132"/>
  <c r="BA47" i="132"/>
  <c r="BI47" i="132"/>
  <c r="BQ47" i="132"/>
  <c r="AG47" i="132"/>
  <c r="AM47" i="132"/>
  <c r="AQ47" i="132"/>
  <c r="AU47" i="132"/>
  <c r="AY47" i="132"/>
  <c r="BH47" i="132"/>
  <c r="BL47" i="132"/>
  <c r="BP47" i="132"/>
  <c r="BT47" i="132"/>
  <c r="AV47" i="132"/>
  <c r="BM47" i="132"/>
  <c r="AS47" i="132"/>
  <c r="BB47" i="132"/>
  <c r="BJ47" i="132"/>
  <c r="BR47" i="132"/>
  <c r="W4" i="130"/>
  <c r="BP4" i="130"/>
  <c r="AK4" i="130"/>
  <c r="BO4" i="132"/>
  <c r="AF4" i="132"/>
  <c r="AN4" i="132"/>
  <c r="AV4" i="132"/>
  <c r="BM4" i="132"/>
  <c r="AM4" i="132"/>
  <c r="AQ4" i="132"/>
  <c r="AU4" i="132"/>
  <c r="AY4" i="132"/>
  <c r="BH4" i="132"/>
  <c r="BL4" i="132"/>
  <c r="BP4" i="132"/>
  <c r="BT4" i="132"/>
  <c r="AF6" i="132"/>
  <c r="AV6" i="132"/>
  <c r="BM6" i="132"/>
  <c r="AG6" i="132"/>
  <c r="AS6" i="132"/>
  <c r="AW6" i="132"/>
  <c r="BB6" i="132"/>
  <c r="BN6" i="132"/>
  <c r="BR6" i="132"/>
  <c r="AT4" i="132"/>
  <c r="T6" i="132"/>
  <c r="W6" i="132"/>
  <c r="T8" i="132"/>
  <c r="U8" i="132"/>
  <c r="Y8" i="132"/>
  <c r="U10" i="132"/>
  <c r="Y10" i="132"/>
  <c r="AA12" i="132"/>
  <c r="AT12" i="132"/>
  <c r="T14" i="132"/>
  <c r="AA14" i="132"/>
  <c r="T16" i="132"/>
  <c r="AA16" i="132"/>
  <c r="T17" i="132"/>
  <c r="AA17" i="132"/>
  <c r="U22" i="132"/>
  <c r="Y22" i="132"/>
  <c r="U24" i="132"/>
  <c r="Y24" i="132"/>
  <c r="T32" i="132"/>
  <c r="U32" i="132"/>
  <c r="Y32" i="132"/>
  <c r="AC32" i="132"/>
  <c r="U34" i="132"/>
  <c r="Y34" i="132"/>
  <c r="T42" i="132"/>
  <c r="U42" i="132"/>
  <c r="Y42" i="132"/>
  <c r="W44" i="132"/>
  <c r="BO47" i="132"/>
  <c r="T92" i="132"/>
  <c r="U93" i="132"/>
  <c r="Y93" i="132"/>
  <c r="AG98" i="132"/>
  <c r="X102" i="132"/>
  <c r="T104" i="132"/>
  <c r="AB104" i="132"/>
  <c r="AT16" i="132"/>
  <c r="Y7" i="131"/>
  <c r="AC7" i="131"/>
  <c r="Y13" i="131"/>
  <c r="T19" i="131"/>
  <c r="Y19" i="131"/>
  <c r="AC19" i="131"/>
  <c r="T23" i="131"/>
  <c r="Y23" i="131"/>
  <c r="AC23" i="131"/>
  <c r="T25" i="131"/>
  <c r="Y25" i="131"/>
  <c r="AC25" i="131"/>
  <c r="T29" i="131"/>
  <c r="Y29" i="131"/>
  <c r="T35" i="131"/>
  <c r="Y35" i="131"/>
  <c r="T43" i="131"/>
  <c r="X46" i="131"/>
  <c r="AK46" i="131"/>
  <c r="T47" i="131"/>
  <c r="Y47" i="131"/>
  <c r="Y90" i="131"/>
  <c r="T94" i="131"/>
  <c r="Y94" i="131"/>
  <c r="AA96" i="131"/>
  <c r="T99" i="131"/>
  <c r="Y99" i="131"/>
  <c r="AC99" i="131"/>
  <c r="BF4" i="130"/>
  <c r="BJ4" i="130"/>
  <c r="AP4" i="130"/>
  <c r="BK4" i="130"/>
  <c r="AQ4" i="130"/>
  <c r="AA102" i="130"/>
  <c r="X102" i="130"/>
  <c r="U102" i="130"/>
  <c r="W102" i="130"/>
  <c r="AB101" i="130"/>
  <c r="Y101" i="130"/>
  <c r="AD101" i="130"/>
  <c r="Z101" i="130"/>
  <c r="AC101" i="130"/>
  <c r="W101" i="130"/>
  <c r="W96" i="130"/>
  <c r="V96" i="130"/>
  <c r="U96" i="130"/>
  <c r="AC96" i="130"/>
  <c r="AD96" i="130"/>
  <c r="X95" i="130"/>
  <c r="V95" i="130"/>
  <c r="Z95" i="130"/>
  <c r="U95" i="130"/>
  <c r="AC95" i="130"/>
  <c r="W95" i="130"/>
  <c r="Y94" i="130"/>
  <c r="AD94" i="130"/>
  <c r="Z94" i="130"/>
  <c r="AC94" i="130"/>
  <c r="W94" i="130"/>
  <c r="AA93" i="130"/>
  <c r="U93" i="130"/>
  <c r="Y93" i="130"/>
  <c r="AC93" i="130"/>
  <c r="Z93" i="130"/>
  <c r="AA48" i="130"/>
  <c r="W48" i="130"/>
  <c r="X48" i="130"/>
  <c r="U48" i="130"/>
  <c r="AC48" i="130"/>
  <c r="X47" i="130"/>
  <c r="Z47" i="130"/>
  <c r="U32" i="130"/>
  <c r="W32" i="130"/>
  <c r="V32" i="130"/>
  <c r="AD32" i="130"/>
  <c r="V31" i="130"/>
  <c r="U31" i="130"/>
  <c r="AA31" i="130"/>
  <c r="AD31" i="130"/>
  <c r="X30" i="130"/>
  <c r="Z30" i="130"/>
  <c r="W30" i="130"/>
  <c r="AA30" i="130"/>
  <c r="AC30" i="130"/>
  <c r="X11" i="130"/>
  <c r="U11" i="130"/>
  <c r="Z11" i="130"/>
  <c r="AD11" i="130"/>
  <c r="AB10" i="130"/>
  <c r="AD10" i="130"/>
  <c r="U10" i="130"/>
  <c r="AC10" i="130"/>
  <c r="AA10" i="130"/>
  <c r="X10" i="130"/>
  <c r="AB9" i="130"/>
  <c r="U9" i="130"/>
  <c r="V9" i="130"/>
  <c r="AD9" i="130"/>
  <c r="AA9" i="130"/>
  <c r="AB8" i="130"/>
  <c r="W8" i="130"/>
  <c r="X8" i="130"/>
  <c r="U8" i="130"/>
  <c r="AC8" i="130"/>
  <c r="Z8" i="130"/>
  <c r="X7" i="130"/>
  <c r="V7" i="130"/>
  <c r="AD7" i="130"/>
  <c r="AA7" i="130"/>
  <c r="U7" i="130"/>
  <c r="X97" i="130"/>
  <c r="W97" i="130"/>
  <c r="U97" i="130"/>
  <c r="AC97" i="130"/>
  <c r="V97" i="130"/>
  <c r="AD97" i="130"/>
  <c r="V88" i="130"/>
  <c r="Y88" i="130"/>
  <c r="AB88" i="130"/>
  <c r="AD88" i="130"/>
  <c r="V41" i="130"/>
  <c r="AD41" i="130"/>
  <c r="AB41" i="130"/>
  <c r="Y41" i="130"/>
  <c r="V40" i="130"/>
  <c r="Y40" i="130"/>
  <c r="AD40" i="130"/>
  <c r="Z40" i="130"/>
  <c r="U40" i="130"/>
  <c r="X40" i="130"/>
  <c r="AB40" i="130"/>
  <c r="W40" i="130"/>
  <c r="X38" i="130"/>
  <c r="U38" i="130"/>
  <c r="V38" i="130"/>
  <c r="AD38" i="130"/>
  <c r="Y38" i="130"/>
  <c r="AA37" i="130"/>
  <c r="Y37" i="130"/>
  <c r="W37" i="130"/>
  <c r="AD37" i="130"/>
  <c r="Z24" i="130"/>
  <c r="V24" i="130"/>
  <c r="AB24" i="130"/>
  <c r="AD24" i="130"/>
  <c r="Y24" i="130"/>
  <c r="U23" i="130"/>
  <c r="Z23" i="130"/>
  <c r="AD23" i="130"/>
  <c r="AB23" i="130"/>
  <c r="AC23" i="130"/>
  <c r="V22" i="130"/>
  <c r="AD22" i="130"/>
  <c r="AA22" i="130"/>
  <c r="U22" i="130"/>
  <c r="X22" i="130"/>
  <c r="X21" i="130"/>
  <c r="W21" i="130"/>
  <c r="AB21" i="130"/>
  <c r="U21" i="130"/>
  <c r="AC21" i="130"/>
  <c r="Z21" i="130"/>
  <c r="U20" i="130"/>
  <c r="V20" i="130"/>
  <c r="AA20" i="130"/>
  <c r="AD20" i="130"/>
  <c r="AB20" i="130"/>
  <c r="Y20" i="130"/>
  <c r="X15" i="130"/>
  <c r="AC15" i="130"/>
  <c r="AA15" i="130"/>
  <c r="AD15" i="130"/>
  <c r="Z15" i="130"/>
  <c r="U14" i="130"/>
  <c r="AR14" i="130"/>
  <c r="BM14" i="130"/>
  <c r="AP14" i="130"/>
  <c r="V14" i="130"/>
  <c r="AD14" i="130"/>
  <c r="AQ14" i="130"/>
  <c r="AY14" i="130"/>
  <c r="BP14" i="130"/>
  <c r="W14" i="130"/>
  <c r="AS14" i="130"/>
  <c r="BO14" i="130"/>
  <c r="AC14" i="130"/>
  <c r="AT14" i="130"/>
  <c r="BQ14" i="130"/>
  <c r="AW14" i="130"/>
  <c r="AA14" i="130"/>
  <c r="AV14" i="130"/>
  <c r="BR9" i="130"/>
  <c r="AT9" i="130"/>
  <c r="AA4" i="130"/>
  <c r="AB4" i="130"/>
  <c r="AV4" i="130"/>
  <c r="BL4" i="130"/>
  <c r="AS4" i="130"/>
  <c r="BM4" i="130"/>
  <c r="BS4" i="130"/>
  <c r="BR4" i="130"/>
  <c r="AD95" i="130"/>
  <c r="V94" i="130"/>
  <c r="AA96" i="130"/>
  <c r="W11" i="130"/>
  <c r="AW7" i="130"/>
  <c r="BO7" i="130"/>
  <c r="BT7" i="130"/>
  <c r="AX7" i="130"/>
  <c r="BS7" i="130"/>
  <c r="AR7" i="130"/>
  <c r="BP7" i="130"/>
  <c r="AR11" i="130"/>
  <c r="BT11" i="130"/>
  <c r="AV11" i="130"/>
  <c r="AY11" i="130"/>
  <c r="AP11" i="130"/>
  <c r="BL11" i="130"/>
  <c r="AS11" i="130"/>
  <c r="BO11" i="130"/>
  <c r="BN11" i="130"/>
  <c r="AQ11" i="130"/>
  <c r="AT12" i="130"/>
  <c r="BN12" i="130"/>
  <c r="AP12" i="130"/>
  <c r="BQ12" i="130"/>
  <c r="AY12" i="130"/>
  <c r="BP12" i="130"/>
  <c r="BL12" i="130"/>
  <c r="BO12" i="130"/>
  <c r="BS12" i="130"/>
  <c r="AU12" i="130"/>
  <c r="BK6" i="130"/>
  <c r="AW6" i="130"/>
  <c r="AO6" i="130"/>
  <c r="BJ6" i="130"/>
  <c r="AS6" i="130"/>
  <c r="AP6" i="130"/>
  <c r="BM6" i="130"/>
  <c r="AV6" i="130"/>
  <c r="AN6" i="130"/>
  <c r="BP6" i="130"/>
  <c r="AY6" i="130"/>
  <c r="AW5" i="130"/>
  <c r="BP5" i="130"/>
  <c r="BN5" i="130"/>
  <c r="BL5" i="130"/>
  <c r="AQ5" i="130"/>
  <c r="AP5" i="130"/>
  <c r="AU9" i="130"/>
  <c r="AY9" i="130"/>
  <c r="AX34" i="130"/>
  <c r="AC4" i="130"/>
  <c r="Y4" i="130"/>
  <c r="AD4" i="130"/>
  <c r="Z4" i="130"/>
  <c r="V4" i="130"/>
  <c r="AR4" i="130"/>
  <c r="AN4" i="130"/>
  <c r="BT4" i="130"/>
  <c r="AW4" i="130"/>
  <c r="AO4" i="130"/>
  <c r="BQ4" i="130"/>
  <c r="BI4" i="130"/>
  <c r="AU4" i="130"/>
  <c r="AM4" i="130"/>
  <c r="BO4" i="130"/>
  <c r="BG4" i="130"/>
  <c r="AT4" i="130"/>
  <c r="AL4" i="130"/>
  <c r="BN4" i="130"/>
  <c r="Y102" i="130"/>
  <c r="AD90" i="130"/>
  <c r="AD98" i="130"/>
  <c r="AB94" i="130"/>
  <c r="AA98" i="130"/>
  <c r="W93" i="130"/>
  <c r="V90" i="130"/>
  <c r="V47" i="130"/>
  <c r="AD47" i="130"/>
  <c r="AB90" i="130"/>
  <c r="V101" i="130"/>
  <c r="AA47" i="130"/>
  <c r="Y98" i="130"/>
  <c r="AB98" i="130"/>
  <c r="W38" i="130"/>
  <c r="Y90" i="130"/>
  <c r="AC98" i="130"/>
  <c r="AA38" i="130"/>
  <c r="X43" i="130"/>
  <c r="V37" i="130"/>
  <c r="X98" i="130"/>
  <c r="Z102" i="130"/>
  <c r="AD102" i="130"/>
  <c r="V48" i="130"/>
  <c r="U47" i="130"/>
  <c r="V16" i="130"/>
  <c r="AB12" i="130"/>
  <c r="AB26" i="130"/>
  <c r="Z26" i="130"/>
  <c r="U26" i="130"/>
  <c r="Y26" i="130"/>
  <c r="BS5" i="130"/>
  <c r="AY5" i="130"/>
  <c r="BK5" i="130"/>
  <c r="AU5" i="130"/>
  <c r="AR5" i="130"/>
  <c r="BR5" i="130"/>
  <c r="AV5" i="130"/>
  <c r="BT9" i="130"/>
  <c r="AW9" i="130"/>
  <c r="BP9" i="130"/>
  <c r="BS9" i="130"/>
  <c r="AV9" i="130"/>
  <c r="BQ9" i="130"/>
  <c r="BT34" i="130"/>
  <c r="AY34" i="130"/>
  <c r="BS34" i="130"/>
  <c r="T24" i="131"/>
  <c r="T26" i="131"/>
  <c r="AC27" i="131"/>
  <c r="Y27" i="131"/>
  <c r="T30" i="131"/>
  <c r="AC33" i="131"/>
  <c r="Y33" i="131"/>
  <c r="T36" i="131"/>
  <c r="Y37" i="131"/>
  <c r="T37" i="131"/>
  <c r="T41" i="131"/>
  <c r="AC42" i="131"/>
  <c r="Y42" i="131"/>
  <c r="BR46" i="131"/>
  <c r="BJ46" i="131"/>
  <c r="AW46" i="131"/>
  <c r="AO46" i="131"/>
  <c r="AB48" i="131"/>
  <c r="T48" i="131"/>
  <c r="Y47" i="130"/>
  <c r="AA32" i="130"/>
  <c r="AC11" i="130"/>
  <c r="AA11" i="130"/>
  <c r="Y11" i="130"/>
  <c r="V11" i="130"/>
  <c r="Y4" i="131"/>
  <c r="Y11" i="131"/>
  <c r="AC11" i="131"/>
  <c r="T13" i="131"/>
  <c r="W13" i="131"/>
  <c r="AA13" i="131"/>
  <c r="T15" i="131"/>
  <c r="W15" i="131"/>
  <c r="AA15" i="131"/>
  <c r="Y21" i="131"/>
  <c r="AC21" i="131"/>
  <c r="AA31" i="131"/>
  <c r="Y31" i="131"/>
  <c r="T31" i="131"/>
  <c r="BS6" i="132"/>
  <c r="BK6" i="132"/>
  <c r="AT6" i="132"/>
  <c r="BO6" i="132"/>
  <c r="AX6" i="132"/>
  <c r="AP6" i="132"/>
  <c r="BS8" i="132"/>
  <c r="AX8" i="132"/>
  <c r="BO10" i="132"/>
  <c r="AX10" i="132"/>
  <c r="BS10" i="132"/>
  <c r="AT10" i="132"/>
  <c r="BS44" i="132"/>
  <c r="AC44" i="132"/>
  <c r="Y44" i="132"/>
  <c r="U44" i="132"/>
  <c r="T44" i="132"/>
  <c r="T90" i="131"/>
  <c r="W90" i="131"/>
  <c r="AA90" i="131"/>
  <c r="Y92" i="131"/>
  <c r="AC92" i="131"/>
  <c r="Y96" i="131"/>
  <c r="Y101" i="131"/>
  <c r="Y103" i="131"/>
  <c r="X104" i="131"/>
  <c r="U4" i="132"/>
  <c r="Y4" i="132"/>
  <c r="AC4" i="132"/>
  <c r="AP4" i="132"/>
  <c r="AX4" i="132"/>
  <c r="BK4" i="132"/>
  <c r="BS4" i="132"/>
  <c r="T12" i="132"/>
  <c r="U12" i="132"/>
  <c r="Y12" i="132"/>
  <c r="AC12" i="132"/>
  <c r="AX12" i="132"/>
  <c r="BO12" i="132"/>
  <c r="U14" i="132"/>
  <c r="Y14" i="132"/>
  <c r="AC14" i="132"/>
  <c r="AT14" i="132"/>
  <c r="BS14" i="132"/>
  <c r="U16" i="132"/>
  <c r="Y16" i="132"/>
  <c r="AC16" i="132"/>
  <c r="U17" i="132"/>
  <c r="Y17" i="132"/>
  <c r="U20" i="132"/>
  <c r="Y20" i="132"/>
  <c r="F27" i="132"/>
  <c r="H27" i="132"/>
  <c r="U28" i="132"/>
  <c r="Y28" i="132"/>
  <c r="H29" i="132"/>
  <c r="U30" i="132"/>
  <c r="Y30" i="132"/>
  <c r="AC30" i="132"/>
  <c r="T35" i="132"/>
  <c r="W35" i="132"/>
  <c r="AA35" i="132"/>
  <c r="H35" i="132"/>
  <c r="T37" i="132"/>
  <c r="W37" i="132"/>
  <c r="AA37" i="132"/>
  <c r="AF37" i="132"/>
  <c r="T47" i="132"/>
  <c r="AA47" i="132"/>
  <c r="AX47" i="132"/>
  <c r="BS47" i="132"/>
  <c r="BK47" i="132"/>
  <c r="AT47" i="132"/>
  <c r="AC47" i="132"/>
  <c r="Y47" i="132"/>
  <c r="U47" i="132"/>
  <c r="BR90" i="132"/>
  <c r="BB90" i="132"/>
  <c r="AW90" i="132"/>
  <c r="AG90" i="132"/>
  <c r="BB97" i="132"/>
  <c r="BR98" i="132"/>
  <c r="BJ98" i="132"/>
  <c r="BB98" i="132"/>
  <c r="AS98" i="132"/>
  <c r="AC99" i="132"/>
  <c r="Y99" i="132"/>
  <c r="U99" i="132"/>
  <c r="T99" i="132"/>
  <c r="AB100" i="132"/>
  <c r="T100" i="132"/>
  <c r="AC101" i="132"/>
  <c r="Y101" i="132"/>
  <c r="U101" i="132"/>
  <c r="T101" i="132"/>
  <c r="AW102" i="132"/>
  <c r="AG102" i="132"/>
  <c r="AC103" i="132"/>
  <c r="Y103" i="132"/>
  <c r="U103" i="132"/>
  <c r="T91" i="132"/>
  <c r="U91" i="132"/>
  <c r="Y91" i="132"/>
  <c r="X92" i="132"/>
  <c r="AG92" i="132"/>
  <c r="BB92" i="132"/>
  <c r="AG97" i="132"/>
  <c r="AO98" i="132"/>
  <c r="AA99" i="132"/>
  <c r="X100" i="132"/>
  <c r="AF14" i="130"/>
  <c r="AG14" i="130"/>
  <c r="D201" i="138" l="1"/>
  <c r="E201" i="138" s="1"/>
  <c r="E195" i="138"/>
  <c r="AG22" i="110"/>
  <c r="I86" i="126"/>
  <c r="E71" i="138"/>
  <c r="E57" i="138"/>
  <c r="I13" i="126"/>
  <c r="I94" i="126"/>
  <c r="AH95" i="126"/>
  <c r="I91" i="127"/>
  <c r="BW16" i="126"/>
  <c r="AE18" i="126"/>
  <c r="J16" i="127"/>
  <c r="BW16" i="127"/>
  <c r="BW35" i="126"/>
  <c r="AG45" i="110"/>
  <c r="BC36" i="130"/>
  <c r="BC61" i="131"/>
  <c r="BC45" i="132"/>
  <c r="CR24" i="127"/>
  <c r="CR24" i="126"/>
  <c r="BZ23" i="110"/>
  <c r="BZ23" i="126"/>
  <c r="BZ23" i="127"/>
  <c r="BZ20" i="127"/>
  <c r="BZ20" i="126"/>
  <c r="BZ20" i="110"/>
  <c r="BZ12" i="126"/>
  <c r="BZ12" i="127"/>
  <c r="BZ22" i="110"/>
  <c r="BZ22" i="127"/>
  <c r="BZ22" i="126"/>
  <c r="BZ21" i="127"/>
  <c r="BZ21" i="126"/>
  <c r="BZ21" i="110"/>
  <c r="BZ40" i="126"/>
  <c r="BZ31" i="126"/>
  <c r="BZ14" i="126"/>
  <c r="BZ14" i="127"/>
  <c r="BZ38" i="126"/>
  <c r="BZ38" i="127"/>
  <c r="BZ15" i="127"/>
  <c r="BZ31" i="127"/>
  <c r="BZ32" i="127"/>
  <c r="BZ32" i="126"/>
  <c r="BZ40" i="127"/>
  <c r="BZ15" i="126"/>
  <c r="BD39" i="132"/>
  <c r="BD39" i="131"/>
  <c r="BD39" i="130"/>
  <c r="BD58" i="132"/>
  <c r="BD57" i="132"/>
  <c r="BD85" i="132"/>
  <c r="BD86" i="131"/>
  <c r="BD86" i="130"/>
  <c r="BD67" i="130"/>
  <c r="BD67" i="131"/>
  <c r="BD59" i="131"/>
  <c r="BD60" i="131"/>
  <c r="BD87" i="132"/>
  <c r="BD58" i="131"/>
  <c r="BD57" i="131"/>
  <c r="BD67" i="132"/>
  <c r="BD60" i="132"/>
  <c r="BD59" i="130"/>
  <c r="BD57" i="130"/>
  <c r="BD60" i="130"/>
  <c r="BD58" i="130"/>
  <c r="BD59" i="132"/>
  <c r="BD87" i="131"/>
  <c r="BD85" i="130"/>
  <c r="BD87" i="130"/>
  <c r="BD85" i="131"/>
  <c r="BD86" i="132"/>
  <c r="BD45" i="130"/>
  <c r="BD45" i="132"/>
  <c r="BD45" i="131"/>
  <c r="BD49" i="131"/>
  <c r="BD49" i="130"/>
  <c r="BD49" i="132"/>
  <c r="BD76" i="132"/>
  <c r="BD78" i="132"/>
  <c r="BD70" i="131"/>
  <c r="BD77" i="132"/>
  <c r="BD61" i="131"/>
  <c r="BD79" i="132"/>
  <c r="BD75" i="132"/>
  <c r="BD65" i="131"/>
  <c r="BD54" i="132"/>
  <c r="BD53" i="130"/>
  <c r="BD56" i="131"/>
  <c r="BD54" i="131"/>
  <c r="BD53" i="131"/>
  <c r="BD50" i="131"/>
  <c r="BD55" i="132"/>
  <c r="BD52" i="131"/>
  <c r="BD83" i="131"/>
  <c r="BD83" i="130"/>
  <c r="BD73" i="132"/>
  <c r="BD76" i="130"/>
  <c r="BD68" i="131"/>
  <c r="BD55" i="130"/>
  <c r="BD71" i="131"/>
  <c r="BD84" i="130"/>
  <c r="BD53" i="132"/>
  <c r="BD74" i="132"/>
  <c r="BD66" i="130"/>
  <c r="BD71" i="132"/>
  <c r="BD84" i="132"/>
  <c r="BD56" i="132"/>
  <c r="BD74" i="130"/>
  <c r="BD74" i="131"/>
  <c r="BD54" i="130"/>
  <c r="BD56" i="130"/>
  <c r="BD66" i="132"/>
  <c r="BD52" i="130"/>
  <c r="BD50" i="130"/>
  <c r="BD73" i="131"/>
  <c r="BD72" i="132"/>
  <c r="BD51" i="132"/>
  <c r="BD55" i="131"/>
  <c r="BD52" i="132"/>
  <c r="BD81" i="131"/>
  <c r="BD66" i="131"/>
  <c r="BD84" i="131"/>
  <c r="BD72" i="131"/>
  <c r="BD63" i="131"/>
  <c r="BD50" i="132"/>
  <c r="BD83" i="132"/>
  <c r="BD73" i="130"/>
  <c r="BD51" i="131"/>
  <c r="BD51" i="130"/>
  <c r="BD75" i="130"/>
  <c r="BD70" i="132"/>
  <c r="BD77" i="131"/>
  <c r="BD61" i="130"/>
  <c r="BD71" i="130"/>
  <c r="BD80" i="131"/>
  <c r="BD69" i="132"/>
  <c r="BD65" i="132"/>
  <c r="BD78" i="131"/>
  <c r="BD70" i="130"/>
  <c r="BD63" i="130"/>
  <c r="BD62" i="130"/>
  <c r="BD62" i="131"/>
  <c r="BD80" i="132"/>
  <c r="BD64" i="131"/>
  <c r="BD63" i="132"/>
  <c r="BD78" i="130"/>
  <c r="BD64" i="132"/>
  <c r="BD75" i="131"/>
  <c r="BD79" i="131"/>
  <c r="BD76" i="131"/>
  <c r="BD64" i="130"/>
  <c r="BD72" i="130"/>
  <c r="BD79" i="130"/>
  <c r="BD77" i="130"/>
  <c r="BD82" i="132"/>
  <c r="BD81" i="132"/>
  <c r="BD62" i="132"/>
  <c r="BD61" i="132"/>
  <c r="BD81" i="130"/>
  <c r="BD80" i="130"/>
  <c r="BD82" i="130"/>
  <c r="BD68" i="130"/>
  <c r="BD68" i="132"/>
  <c r="BD65" i="130"/>
  <c r="BD69" i="130"/>
  <c r="CR43" i="126"/>
  <c r="CR43" i="127"/>
  <c r="BW43" i="127"/>
  <c r="BW43" i="126"/>
  <c r="BW58" i="126"/>
  <c r="CR58" i="127"/>
  <c r="CR65" i="127"/>
  <c r="CR57" i="127"/>
  <c r="BW56" i="126"/>
  <c r="CR56" i="126"/>
  <c r="BW57" i="127"/>
  <c r="CR58" i="126"/>
  <c r="BW58" i="127"/>
  <c r="BW65" i="127"/>
  <c r="CR56" i="127"/>
  <c r="BW65" i="126"/>
  <c r="BW57" i="126"/>
  <c r="CR55" i="126"/>
  <c r="CR65" i="126"/>
  <c r="BW55" i="126"/>
  <c r="BW56" i="127"/>
  <c r="BW55" i="127"/>
  <c r="CR55" i="127"/>
  <c r="CR57" i="126"/>
  <c r="BW84" i="127"/>
  <c r="CR83" i="127"/>
  <c r="BW83" i="126"/>
  <c r="BW85" i="126"/>
  <c r="BW84" i="126"/>
  <c r="CR84" i="126"/>
  <c r="CR85" i="127"/>
  <c r="BW83" i="127"/>
  <c r="CR85" i="126"/>
  <c r="CR57" i="110"/>
  <c r="BW85" i="110"/>
  <c r="CR65" i="110"/>
  <c r="CR56" i="110"/>
  <c r="CR58" i="110"/>
  <c r="BW65" i="110"/>
  <c r="CR83" i="126"/>
  <c r="BW85" i="127"/>
  <c r="BW83" i="110"/>
  <c r="CR84" i="110"/>
  <c r="CR85" i="110"/>
  <c r="CR84" i="127"/>
  <c r="BW84" i="110"/>
  <c r="CR83" i="110"/>
  <c r="BW55" i="110"/>
  <c r="CR55" i="110"/>
  <c r="BW57" i="110"/>
  <c r="BW58" i="110"/>
  <c r="BW56" i="110"/>
  <c r="CR47" i="126"/>
  <c r="BW48" i="126"/>
  <c r="CR47" i="127"/>
  <c r="CR48" i="126"/>
  <c r="BW47" i="127"/>
  <c r="BW48" i="127"/>
  <c r="CR48" i="127"/>
  <c r="BW47" i="126"/>
  <c r="CR62" i="126"/>
  <c r="BW61" i="126"/>
  <c r="BW80" i="126"/>
  <c r="CR79" i="127"/>
  <c r="BW67" i="126"/>
  <c r="BW66" i="127"/>
  <c r="CR66" i="127"/>
  <c r="CR54" i="127"/>
  <c r="BW54" i="127"/>
  <c r="CR60" i="126"/>
  <c r="BW59" i="127"/>
  <c r="CR50" i="127"/>
  <c r="BW49" i="127"/>
  <c r="CR81" i="127"/>
  <c r="BW72" i="127"/>
  <c r="CR64" i="127"/>
  <c r="BW52" i="127"/>
  <c r="CR52" i="127"/>
  <c r="CR74" i="127"/>
  <c r="BW74" i="127"/>
  <c r="BW73" i="127"/>
  <c r="BW46" i="127"/>
  <c r="CR62" i="127"/>
  <c r="BW80" i="127"/>
  <c r="BW79" i="126"/>
  <c r="BW67" i="127"/>
  <c r="BW66" i="126"/>
  <c r="BW54" i="126"/>
  <c r="BW60" i="127"/>
  <c r="CR59" i="126"/>
  <c r="CR81" i="126"/>
  <c r="BW71" i="126"/>
  <c r="CR70" i="127"/>
  <c r="CR52" i="126"/>
  <c r="BW63" i="126"/>
  <c r="BW62" i="126"/>
  <c r="BW79" i="127"/>
  <c r="BW68" i="126"/>
  <c r="CR68" i="126"/>
  <c r="CR59" i="127"/>
  <c r="CR51" i="126"/>
  <c r="CR49" i="127"/>
  <c r="BW71" i="127"/>
  <c r="BW69" i="127"/>
  <c r="BW64" i="127"/>
  <c r="BW77" i="127"/>
  <c r="CR73" i="127"/>
  <c r="CR46" i="127"/>
  <c r="CR63" i="126"/>
  <c r="CR80" i="126"/>
  <c r="CR67" i="126"/>
  <c r="BW60" i="126"/>
  <c r="BW82" i="126"/>
  <c r="BW81" i="127"/>
  <c r="CR71" i="127"/>
  <c r="CR77" i="127"/>
  <c r="BW75" i="127"/>
  <c r="CR75" i="127"/>
  <c r="CR76" i="126"/>
  <c r="BW62" i="127"/>
  <c r="BW50" i="127"/>
  <c r="CR53" i="127"/>
  <c r="CR80" i="127"/>
  <c r="CR79" i="126"/>
  <c r="CR68" i="127"/>
  <c r="BW68" i="127"/>
  <c r="CR67" i="127"/>
  <c r="BW51" i="127"/>
  <c r="CR51" i="127"/>
  <c r="CR82" i="127"/>
  <c r="CR72" i="126"/>
  <c r="BW70" i="127"/>
  <c r="BW69" i="126"/>
  <c r="CR64" i="126"/>
  <c r="BW64" i="126"/>
  <c r="BW52" i="126"/>
  <c r="CR77" i="126"/>
  <c r="BW74" i="126"/>
  <c r="BW46" i="126"/>
  <c r="CR61" i="126"/>
  <c r="BW51" i="126"/>
  <c r="CR82" i="126"/>
  <c r="CR69" i="127"/>
  <c r="BW76" i="126"/>
  <c r="CR61" i="127"/>
  <c r="CR66" i="126"/>
  <c r="CR49" i="126"/>
  <c r="BW75" i="126"/>
  <c r="CR73" i="126"/>
  <c r="BW53" i="126"/>
  <c r="BW76" i="127"/>
  <c r="CR78" i="127"/>
  <c r="BW70" i="126"/>
  <c r="BW53" i="127"/>
  <c r="BW63" i="127"/>
  <c r="BW61" i="127"/>
  <c r="BW78" i="126"/>
  <c r="CR60" i="127"/>
  <c r="BW50" i="126"/>
  <c r="BW49" i="126"/>
  <c r="BW82" i="127"/>
  <c r="CR71" i="126"/>
  <c r="CR53" i="126"/>
  <c r="CR76" i="127"/>
  <c r="CR74" i="126"/>
  <c r="CR46" i="126"/>
  <c r="CR47" i="110"/>
  <c r="BW47" i="110"/>
  <c r="BW78" i="127"/>
  <c r="CR72" i="127"/>
  <c r="CR70" i="126"/>
  <c r="CR63" i="127"/>
  <c r="CR78" i="126"/>
  <c r="CR54" i="126"/>
  <c r="BW59" i="126"/>
  <c r="CR50" i="126"/>
  <c r="BW81" i="126"/>
  <c r="BW72" i="126"/>
  <c r="CR69" i="126"/>
  <c r="BW77" i="126"/>
  <c r="CR75" i="126"/>
  <c r="BW73" i="126"/>
  <c r="CR96" i="127"/>
  <c r="CR95" i="126"/>
  <c r="CR93" i="127"/>
  <c r="BW92" i="126"/>
  <c r="BW89" i="126"/>
  <c r="BW88" i="126"/>
  <c r="BW87" i="126"/>
  <c r="CR96" i="126"/>
  <c r="CR95" i="127"/>
  <c r="CR93" i="126"/>
  <c r="BW87" i="127"/>
  <c r="CR87" i="127"/>
  <c r="BW95" i="126"/>
  <c r="BW93" i="127"/>
  <c r="CR89" i="126"/>
  <c r="CR88" i="126"/>
  <c r="CR87" i="126"/>
  <c r="BW96" i="126"/>
  <c r="BW95" i="127"/>
  <c r="BW93" i="126"/>
  <c r="BW89" i="127"/>
  <c r="CR88" i="127"/>
  <c r="BW88" i="127"/>
  <c r="BW96" i="127"/>
  <c r="CR92" i="126"/>
  <c r="BW92" i="127"/>
  <c r="CR92" i="127"/>
  <c r="CR89" i="127"/>
  <c r="CR90" i="126"/>
  <c r="CR90" i="127"/>
  <c r="BW90" i="126"/>
  <c r="BW90" i="127"/>
  <c r="BW75" i="110"/>
  <c r="CR75" i="110"/>
  <c r="BW78" i="110"/>
  <c r="CR78" i="110"/>
  <c r="CR80" i="110"/>
  <c r="BW71" i="110"/>
  <c r="CR61" i="110"/>
  <c r="CR63" i="110"/>
  <c r="CR60" i="110"/>
  <c r="BW60" i="110"/>
  <c r="BW68" i="110"/>
  <c r="BW62" i="110"/>
  <c r="BW80" i="110"/>
  <c r="CR71" i="110"/>
  <c r="BW59" i="110"/>
  <c r="BW61" i="110"/>
  <c r="CR66" i="110"/>
  <c r="CR79" i="110"/>
  <c r="CR68" i="110"/>
  <c r="CR64" i="110"/>
  <c r="BW67" i="110"/>
  <c r="BW63" i="110"/>
  <c r="BW79" i="110"/>
  <c r="CR70" i="110"/>
  <c r="CR62" i="110"/>
  <c r="CR59" i="110"/>
  <c r="CR67" i="110"/>
  <c r="BW70" i="110"/>
  <c r="CR81" i="110"/>
  <c r="BW81" i="110"/>
  <c r="BW72" i="110"/>
  <c r="CR72" i="110"/>
  <c r="CR48" i="110"/>
  <c r="BW48" i="110"/>
  <c r="CR49" i="110"/>
  <c r="CR52" i="110"/>
  <c r="BW52" i="110"/>
  <c r="CR51" i="110"/>
  <c r="CR54" i="110"/>
  <c r="BW50" i="110"/>
  <c r="BW66" i="110"/>
  <c r="CR69" i="110"/>
  <c r="BW69" i="110"/>
  <c r="BW73" i="110"/>
  <c r="CR76" i="110"/>
  <c r="CR74" i="110"/>
  <c r="BW49" i="110"/>
  <c r="BW64" i="110"/>
  <c r="BW82" i="110"/>
  <c r="BW76" i="110"/>
  <c r="BW51" i="110"/>
  <c r="BW54" i="110"/>
  <c r="CR50" i="110"/>
  <c r="BW53" i="110"/>
  <c r="CR73" i="110"/>
  <c r="CR82" i="110"/>
  <c r="CR53" i="110"/>
  <c r="BW74" i="110"/>
  <c r="BW77" i="110"/>
  <c r="CR77" i="110"/>
  <c r="BY23" i="126"/>
  <c r="BY23" i="110"/>
  <c r="BY23" i="127"/>
  <c r="BY20" i="110"/>
  <c r="BY20" i="127"/>
  <c r="BY20" i="126"/>
  <c r="BY12" i="126"/>
  <c r="BY12" i="127"/>
  <c r="BY22" i="127"/>
  <c r="BY22" i="110"/>
  <c r="BY22" i="126"/>
  <c r="BY21" i="127"/>
  <c r="BY21" i="110"/>
  <c r="BY21" i="126"/>
  <c r="BY38" i="126"/>
  <c r="BY14" i="126"/>
  <c r="BY40" i="126"/>
  <c r="BY38" i="127"/>
  <c r="BY31" i="126"/>
  <c r="BY32" i="127"/>
  <c r="BY40" i="127"/>
  <c r="BY15" i="126"/>
  <c r="BY15" i="127"/>
  <c r="BY14" i="127"/>
  <c r="BY32" i="126"/>
  <c r="BY31" i="127"/>
  <c r="BB45" i="110"/>
  <c r="BD23" i="127"/>
  <c r="BD23" i="110"/>
  <c r="BD23" i="126"/>
  <c r="BD85" i="126"/>
  <c r="BD58" i="127"/>
  <c r="BD57" i="126"/>
  <c r="BD84" i="127"/>
  <c r="BD55" i="126"/>
  <c r="BD83" i="126"/>
  <c r="BD56" i="127"/>
  <c r="BD57" i="110"/>
  <c r="BD55" i="127"/>
  <c r="BD83" i="127"/>
  <c r="BD57" i="127"/>
  <c r="BD56" i="110"/>
  <c r="BD65" i="126"/>
  <c r="BD65" i="127"/>
  <c r="BD85" i="110"/>
  <c r="BD58" i="126"/>
  <c r="BD56" i="126"/>
  <c r="BD84" i="110"/>
  <c r="BD65" i="110"/>
  <c r="BD85" i="127"/>
  <c r="BD55" i="110"/>
  <c r="BD83" i="110"/>
  <c r="BD84" i="126"/>
  <c r="BD58" i="110"/>
  <c r="BD20" i="127"/>
  <c r="BD20" i="126"/>
  <c r="BD20" i="110"/>
  <c r="BD12" i="127"/>
  <c r="BD12" i="126"/>
  <c r="BD22" i="126"/>
  <c r="BD22" i="127"/>
  <c r="BD22" i="110"/>
  <c r="BD21" i="126"/>
  <c r="BD21" i="127"/>
  <c r="BD21" i="110"/>
  <c r="BD47" i="126"/>
  <c r="BD47" i="110"/>
  <c r="BD47" i="127"/>
  <c r="BD32" i="126"/>
  <c r="BD14" i="126"/>
  <c r="BD40" i="127"/>
  <c r="BD38" i="127"/>
  <c r="BD15" i="127"/>
  <c r="BD31" i="127"/>
  <c r="BD38" i="126"/>
  <c r="BD15" i="126"/>
  <c r="BD31" i="126"/>
  <c r="BD32" i="127"/>
  <c r="BD40" i="126"/>
  <c r="BD14" i="127"/>
  <c r="BD79" i="126"/>
  <c r="BD59" i="126"/>
  <c r="BD75" i="110"/>
  <c r="BD60" i="126"/>
  <c r="BD67" i="127"/>
  <c r="BD61" i="126"/>
  <c r="BD75" i="126"/>
  <c r="BD80" i="127"/>
  <c r="BD64" i="127"/>
  <c r="BD59" i="127"/>
  <c r="BD63" i="127"/>
  <c r="BD67" i="126"/>
  <c r="BD63" i="126"/>
  <c r="BD70" i="127"/>
  <c r="BD78" i="110"/>
  <c r="BD69" i="127"/>
  <c r="BD61" i="110"/>
  <c r="BD61" i="127"/>
  <c r="BD70" i="110"/>
  <c r="BD60" i="110"/>
  <c r="BD60" i="127"/>
  <c r="BD62" i="127"/>
  <c r="BD78" i="126"/>
  <c r="BD78" i="127"/>
  <c r="BD70" i="126"/>
  <c r="BD66" i="110"/>
  <c r="BD66" i="127"/>
  <c r="BD80" i="110"/>
  <c r="BD74" i="126"/>
  <c r="BD63" i="110"/>
  <c r="BD68" i="126"/>
  <c r="BD62" i="126"/>
  <c r="BD62" i="110"/>
  <c r="BD82" i="126"/>
  <c r="BD68" i="110"/>
  <c r="BD81" i="110"/>
  <c r="BD71" i="126"/>
  <c r="BD64" i="126"/>
  <c r="BD76" i="126"/>
  <c r="BD72" i="126"/>
  <c r="BD59" i="110"/>
  <c r="BD67" i="110"/>
  <c r="BD79" i="110"/>
  <c r="BD75" i="127"/>
  <c r="BD68" i="127"/>
  <c r="BD66" i="126"/>
  <c r="BD79" i="127"/>
  <c r="BD80" i="126"/>
  <c r="BD73" i="126"/>
  <c r="BD76" i="110"/>
  <c r="BD74" i="127"/>
  <c r="BD54" i="126"/>
  <c r="BD46" i="126"/>
  <c r="BD51" i="127"/>
  <c r="BD93" i="126"/>
  <c r="BD52" i="127"/>
  <c r="BD92" i="126"/>
  <c r="BD81" i="127"/>
  <c r="BD73" i="127"/>
  <c r="BD64" i="110"/>
  <c r="BD73" i="110"/>
  <c r="BD72" i="110"/>
  <c r="BD74" i="110"/>
  <c r="BD54" i="127"/>
  <c r="BD92" i="127"/>
  <c r="BD49" i="110"/>
  <c r="BD48" i="127"/>
  <c r="BD69" i="126"/>
  <c r="BD76" i="127"/>
  <c r="BD51" i="126"/>
  <c r="BD52" i="126"/>
  <c r="BD49" i="127"/>
  <c r="BD50" i="127"/>
  <c r="BD50" i="126"/>
  <c r="BD71" i="110"/>
  <c r="BD72" i="127"/>
  <c r="BD49" i="126"/>
  <c r="BD51" i="110"/>
  <c r="BD48" i="126"/>
  <c r="BD53" i="127"/>
  <c r="BD81" i="126"/>
  <c r="BD82" i="110"/>
  <c r="BD54" i="110"/>
  <c r="BD89" i="127"/>
  <c r="BD46" i="127"/>
  <c r="BD52" i="110"/>
  <c r="BD53" i="110"/>
  <c r="BD89" i="126"/>
  <c r="BD93" i="127"/>
  <c r="BD69" i="110"/>
  <c r="BD82" i="127"/>
  <c r="BD53" i="126"/>
  <c r="BD48" i="110"/>
  <c r="BD50" i="110"/>
  <c r="BD71" i="127"/>
  <c r="BD95" i="127"/>
  <c r="BD96" i="126"/>
  <c r="BD94" i="126" s="1"/>
  <c r="BD96" i="127"/>
  <c r="BD77" i="110"/>
  <c r="I45" i="126"/>
  <c r="I94" i="127"/>
  <c r="BD82" i="131"/>
  <c r="J16" i="126"/>
  <c r="CR35" i="127"/>
  <c r="CR35" i="126"/>
  <c r="CR7" i="127"/>
  <c r="CR13" i="127"/>
  <c r="BW24" i="126"/>
  <c r="BW7" i="127"/>
  <c r="BA79" i="130"/>
  <c r="BD69" i="131"/>
  <c r="CR16" i="127"/>
  <c r="BW13" i="127"/>
  <c r="BA86" i="130"/>
  <c r="BC39" i="131"/>
  <c r="BC39" i="130"/>
  <c r="BC39" i="132"/>
  <c r="BC67" i="131"/>
  <c r="BC67" i="132"/>
  <c r="BC57" i="132"/>
  <c r="BC85" i="132"/>
  <c r="BC58" i="131"/>
  <c r="BC60" i="131"/>
  <c r="BC85" i="130"/>
  <c r="BC86" i="131"/>
  <c r="BC57" i="131"/>
  <c r="BC58" i="132"/>
  <c r="BC60" i="132"/>
  <c r="BC87" i="132"/>
  <c r="BC59" i="131"/>
  <c r="BC59" i="132"/>
  <c r="BC57" i="130"/>
  <c r="BC59" i="130"/>
  <c r="BC67" i="130"/>
  <c r="BC58" i="130"/>
  <c r="BC60" i="130"/>
  <c r="BC87" i="130"/>
  <c r="BC86" i="130"/>
  <c r="BC85" i="131"/>
  <c r="BC87" i="131"/>
  <c r="BC86" i="132"/>
  <c r="BC45" i="130"/>
  <c r="BC45" i="131"/>
  <c r="BC49" i="130"/>
  <c r="BC49" i="131"/>
  <c r="BC49" i="132"/>
  <c r="BC78" i="132"/>
  <c r="BC76" i="132"/>
  <c r="BC79" i="132"/>
  <c r="BC70" i="131"/>
  <c r="BC65" i="131"/>
  <c r="BC75" i="132"/>
  <c r="BC77" i="132"/>
  <c r="BC79" i="130"/>
  <c r="BC78" i="130"/>
  <c r="BC54" i="131"/>
  <c r="BC53" i="130"/>
  <c r="BC55" i="130"/>
  <c r="BC74" i="131"/>
  <c r="BC50" i="131"/>
  <c r="BC56" i="131"/>
  <c r="BC53" i="131"/>
  <c r="BC66" i="130"/>
  <c r="BC52" i="131"/>
  <c r="BC73" i="132"/>
  <c r="BC82" i="131"/>
  <c r="BC54" i="132"/>
  <c r="BC68" i="131"/>
  <c r="BC83" i="131"/>
  <c r="BC71" i="132"/>
  <c r="BC51" i="132"/>
  <c r="BC84" i="132"/>
  <c r="BC56" i="130"/>
  <c r="BC55" i="131"/>
  <c r="BC84" i="130"/>
  <c r="BC53" i="132"/>
  <c r="BC73" i="131"/>
  <c r="BC66" i="131"/>
  <c r="BC52" i="132"/>
  <c r="BC83" i="130"/>
  <c r="BC54" i="130"/>
  <c r="BC56" i="132"/>
  <c r="BC74" i="130"/>
  <c r="BC74" i="132"/>
  <c r="BC50" i="130"/>
  <c r="BC50" i="132"/>
  <c r="BC55" i="132"/>
  <c r="BC71" i="131"/>
  <c r="BC72" i="132"/>
  <c r="BC73" i="130"/>
  <c r="BC51" i="130"/>
  <c r="BC51" i="131"/>
  <c r="BC72" i="130"/>
  <c r="BC72" i="131"/>
  <c r="BC80" i="131"/>
  <c r="BC63" i="131"/>
  <c r="BC83" i="132"/>
  <c r="BC84" i="131"/>
  <c r="BC62" i="131"/>
  <c r="BC71" i="130"/>
  <c r="BC62" i="132"/>
  <c r="BC63" i="132"/>
  <c r="BC75" i="130"/>
  <c r="BC64" i="132"/>
  <c r="BC81" i="130"/>
  <c r="BC69" i="130"/>
  <c r="BC63" i="130"/>
  <c r="BC64" i="130"/>
  <c r="BC82" i="132"/>
  <c r="BC79" i="131"/>
  <c r="BC62" i="130"/>
  <c r="BC66" i="132"/>
  <c r="BC69" i="132"/>
  <c r="BC80" i="132"/>
  <c r="BC68" i="132"/>
  <c r="BC61" i="132"/>
  <c r="BC77" i="131"/>
  <c r="BC65" i="130"/>
  <c r="BC70" i="130"/>
  <c r="BC52" i="130"/>
  <c r="BC81" i="131"/>
  <c r="BC76" i="130"/>
  <c r="BC64" i="131"/>
  <c r="BC81" i="132"/>
  <c r="BC65" i="132"/>
  <c r="BC70" i="132"/>
  <c r="BC78" i="131"/>
  <c r="BC61" i="130"/>
  <c r="BC82" i="130"/>
  <c r="BC68" i="130"/>
  <c r="BC69" i="131"/>
  <c r="BC75" i="131"/>
  <c r="BC76" i="131"/>
  <c r="BC80" i="130"/>
  <c r="BX23" i="110"/>
  <c r="BX23" i="126"/>
  <c r="BX23" i="127"/>
  <c r="BX42" i="127"/>
  <c r="BX33" i="127"/>
  <c r="BX12" i="127"/>
  <c r="BX20" i="126"/>
  <c r="BX20" i="110"/>
  <c r="BX20" i="127"/>
  <c r="BX12" i="126"/>
  <c r="BX21" i="127"/>
  <c r="BX22" i="126"/>
  <c r="BX22" i="110"/>
  <c r="BX21" i="126"/>
  <c r="BX21" i="110"/>
  <c r="BX18" i="127"/>
  <c r="BX9" i="127"/>
  <c r="BX39" i="127"/>
  <c r="BX19" i="127"/>
  <c r="BX30" i="127"/>
  <c r="BX14" i="126"/>
  <c r="BX15" i="127"/>
  <c r="BX14" i="127"/>
  <c r="BX8" i="127"/>
  <c r="BX17" i="127"/>
  <c r="BX32" i="127"/>
  <c r="BX11" i="127"/>
  <c r="BX10" i="127"/>
  <c r="BX37" i="127"/>
  <c r="BX40" i="127"/>
  <c r="BX31" i="127"/>
  <c r="BX29" i="127"/>
  <c r="BX25" i="127"/>
  <c r="BX31" i="126"/>
  <c r="BX26" i="127"/>
  <c r="BX28" i="127"/>
  <c r="BX32" i="126"/>
  <c r="BX40" i="126"/>
  <c r="BX22" i="127"/>
  <c r="BX38" i="127"/>
  <c r="BX27" i="127"/>
  <c r="BX38" i="126"/>
  <c r="BX36" i="127"/>
  <c r="BX15" i="126"/>
  <c r="BX34" i="127"/>
  <c r="BC95" i="126"/>
  <c r="BC94" i="126" s="1"/>
  <c r="BC88" i="126"/>
  <c r="BD88" i="126"/>
  <c r="BD77" i="126"/>
  <c r="I45" i="127"/>
  <c r="BC77" i="130"/>
  <c r="BA77" i="130"/>
  <c r="BB62" i="131"/>
  <c r="BB58" i="130"/>
  <c r="CR13" i="126"/>
  <c r="BA75" i="130"/>
  <c r="BW13" i="126"/>
  <c r="BA87" i="130"/>
  <c r="CT23" i="110"/>
  <c r="CT23" i="126"/>
  <c r="CT23" i="127"/>
  <c r="CT20" i="126"/>
  <c r="CT20" i="110"/>
  <c r="CT20" i="127"/>
  <c r="CT12" i="126"/>
  <c r="CT12" i="127"/>
  <c r="CT22" i="127"/>
  <c r="CT22" i="126"/>
  <c r="CT22" i="110"/>
  <c r="CT21" i="126"/>
  <c r="CT21" i="127"/>
  <c r="CT21" i="110"/>
  <c r="CT31" i="127"/>
  <c r="CT32" i="126"/>
  <c r="CT40" i="127"/>
  <c r="CT15" i="127"/>
  <c r="CT14" i="127"/>
  <c r="CT38" i="126"/>
  <c r="CT32" i="127"/>
  <c r="CT15" i="126"/>
  <c r="CT14" i="126"/>
  <c r="CT40" i="126"/>
  <c r="CT38" i="127"/>
  <c r="CT31" i="126"/>
  <c r="AG39" i="131"/>
  <c r="AG39" i="130"/>
  <c r="AH23" i="110"/>
  <c r="AH23" i="126"/>
  <c r="AH57" i="126"/>
  <c r="AG59" i="131"/>
  <c r="AG85" i="131"/>
  <c r="AG58" i="131"/>
  <c r="AG86" i="130"/>
  <c r="AG86" i="131"/>
  <c r="AG87" i="131"/>
  <c r="AG57" i="131"/>
  <c r="AH83" i="126"/>
  <c r="AG87" i="130"/>
  <c r="AG67" i="131"/>
  <c r="AG60" i="130"/>
  <c r="AG59" i="130"/>
  <c r="AG67" i="130"/>
  <c r="AG85" i="130"/>
  <c r="AG58" i="130"/>
  <c r="AG57" i="130"/>
  <c r="AG60" i="131"/>
  <c r="AH65" i="126"/>
  <c r="AH85" i="126"/>
  <c r="AH84" i="110"/>
  <c r="AH83" i="110"/>
  <c r="AH65" i="110"/>
  <c r="AH57" i="110"/>
  <c r="AH55" i="110"/>
  <c r="AH84" i="126"/>
  <c r="AH85" i="110"/>
  <c r="AH58" i="126"/>
  <c r="AH56" i="126"/>
  <c r="AH55" i="126"/>
  <c r="AH56" i="110"/>
  <c r="AH58" i="110"/>
  <c r="AH20" i="126"/>
  <c r="AG45" i="131"/>
  <c r="AG45" i="130"/>
  <c r="AH20" i="110"/>
  <c r="AH22" i="126"/>
  <c r="AH22" i="110"/>
  <c r="AH21" i="110"/>
  <c r="AH21" i="126"/>
  <c r="AG49" i="131"/>
  <c r="AG49" i="130"/>
  <c r="AH47" i="126"/>
  <c r="AH47" i="110"/>
  <c r="AH12" i="126"/>
  <c r="AG81" i="131"/>
  <c r="AH15" i="126"/>
  <c r="AG62" i="131"/>
  <c r="AH32" i="126"/>
  <c r="AH38" i="126"/>
  <c r="AG80" i="131"/>
  <c r="AH14" i="126"/>
  <c r="AH59" i="126"/>
  <c r="AH61" i="126"/>
  <c r="AG53" i="131"/>
  <c r="AG55" i="130"/>
  <c r="AH60" i="126"/>
  <c r="AH79" i="126"/>
  <c r="AH75" i="110"/>
  <c r="AH68" i="126"/>
  <c r="AG54" i="130"/>
  <c r="AH63" i="126"/>
  <c r="AG72" i="131"/>
  <c r="AH75" i="126"/>
  <c r="AG83" i="131"/>
  <c r="AH62" i="126"/>
  <c r="AH62" i="110"/>
  <c r="AG56" i="131"/>
  <c r="AG51" i="130"/>
  <c r="AG51" i="131"/>
  <c r="AG84" i="130"/>
  <c r="AH72" i="126"/>
  <c r="AH59" i="110"/>
  <c r="AG56" i="130"/>
  <c r="AH67" i="110"/>
  <c r="AH79" i="110"/>
  <c r="AG53" i="130"/>
  <c r="AG65" i="131"/>
  <c r="AH78" i="110"/>
  <c r="AH82" i="126"/>
  <c r="AG54" i="131"/>
  <c r="AH67" i="126"/>
  <c r="AH70" i="126"/>
  <c r="AG50" i="130"/>
  <c r="AH60" i="110"/>
  <c r="AH80" i="126"/>
  <c r="AH64" i="110"/>
  <c r="AG83" i="130"/>
  <c r="AG71" i="130"/>
  <c r="AH66" i="110"/>
  <c r="AH71" i="110"/>
  <c r="AH61" i="110"/>
  <c r="AH68" i="110"/>
  <c r="AH80" i="110"/>
  <c r="AG66" i="130"/>
  <c r="AG52" i="130"/>
  <c r="AG71" i="131"/>
  <c r="AH76" i="126"/>
  <c r="AH63" i="110"/>
  <c r="AH70" i="110"/>
  <c r="AG50" i="131"/>
  <c r="AH66" i="126"/>
  <c r="AH74" i="126"/>
  <c r="AH81" i="126"/>
  <c r="AG73" i="130"/>
  <c r="AH73" i="110"/>
  <c r="AH82" i="110"/>
  <c r="AH74" i="110"/>
  <c r="AH53" i="126"/>
  <c r="AH48" i="110"/>
  <c r="AH93" i="126"/>
  <c r="AH53" i="110"/>
  <c r="AH48" i="126"/>
  <c r="AH54" i="110"/>
  <c r="AG66" i="131"/>
  <c r="AH71" i="126"/>
  <c r="AH76" i="110"/>
  <c r="AH72" i="110"/>
  <c r="AG61" i="131"/>
  <c r="AG70" i="131"/>
  <c r="AG63" i="131"/>
  <c r="AH52" i="110"/>
  <c r="AG74" i="130"/>
  <c r="AG55" i="131"/>
  <c r="AH78" i="126"/>
  <c r="AH69" i="126"/>
  <c r="AG84" i="131"/>
  <c r="AG74" i="131"/>
  <c r="AG69" i="131"/>
  <c r="AH54" i="126"/>
  <c r="AH46" i="126"/>
  <c r="AH49" i="110"/>
  <c r="AH69" i="110"/>
  <c r="AG73" i="131"/>
  <c r="AH73" i="126"/>
  <c r="AH50" i="110"/>
  <c r="AG77" i="131"/>
  <c r="AG70" i="130"/>
  <c r="AG79" i="130"/>
  <c r="AG68" i="131"/>
  <c r="AG75" i="130"/>
  <c r="AH49" i="126"/>
  <c r="AH92" i="126"/>
  <c r="AH89" i="126"/>
  <c r="AG78" i="130"/>
  <c r="AG65" i="130"/>
  <c r="AG63" i="130"/>
  <c r="AG82" i="130"/>
  <c r="AH64" i="126"/>
  <c r="AG52" i="131"/>
  <c r="AH51" i="110"/>
  <c r="AG75" i="131"/>
  <c r="AG64" i="131"/>
  <c r="AG72" i="130"/>
  <c r="AH51" i="126"/>
  <c r="AH52" i="126"/>
  <c r="AG82" i="131"/>
  <c r="AG77" i="130"/>
  <c r="AG76" i="130"/>
  <c r="AG78" i="131"/>
  <c r="AG64" i="130"/>
  <c r="AG80" i="130"/>
  <c r="AG81" i="130"/>
  <c r="AG68" i="130"/>
  <c r="AH81" i="110"/>
  <c r="AH50" i="126"/>
  <c r="AG76" i="131"/>
  <c r="AG69" i="130"/>
  <c r="AG61" i="130"/>
  <c r="AG62" i="130"/>
  <c r="CS23" i="110"/>
  <c r="CS23" i="126"/>
  <c r="CS23" i="127"/>
  <c r="CS42" i="127"/>
  <c r="CS12" i="127"/>
  <c r="CS20" i="126"/>
  <c r="CS20" i="127"/>
  <c r="CS20" i="110"/>
  <c r="CS12" i="126"/>
  <c r="CS21" i="127"/>
  <c r="CS22" i="110"/>
  <c r="CS22" i="126"/>
  <c r="CS21" i="126"/>
  <c r="CS21" i="110"/>
  <c r="CS32" i="127"/>
  <c r="CS14" i="127"/>
  <c r="CS31" i="127"/>
  <c r="CS36" i="127"/>
  <c r="CS38" i="126"/>
  <c r="CS32" i="126"/>
  <c r="CS22" i="127"/>
  <c r="CS18" i="127"/>
  <c r="CS8" i="127"/>
  <c r="CS9" i="127"/>
  <c r="CS11" i="127"/>
  <c r="CS10" i="127"/>
  <c r="CS19" i="127"/>
  <c r="CS37" i="127"/>
  <c r="CS40" i="127"/>
  <c r="CS26" i="127"/>
  <c r="CS38" i="127"/>
  <c r="CS27" i="127"/>
  <c r="CS28" i="127"/>
  <c r="CS14" i="126"/>
  <c r="CS40" i="126"/>
  <c r="CS15" i="126"/>
  <c r="CS15" i="127"/>
  <c r="CS30" i="127"/>
  <c r="CS29" i="127"/>
  <c r="CS25" i="127"/>
  <c r="CS39" i="127"/>
  <c r="CS17" i="127"/>
  <c r="CS31" i="126"/>
  <c r="CS34" i="127"/>
  <c r="BB39" i="130"/>
  <c r="BB39" i="131"/>
  <c r="BB67" i="130"/>
  <c r="BB58" i="131"/>
  <c r="BB67" i="131"/>
  <c r="BB60" i="131"/>
  <c r="BB86" i="131"/>
  <c r="BB57" i="131"/>
  <c r="BB60" i="130"/>
  <c r="BB59" i="131"/>
  <c r="BB59" i="130"/>
  <c r="BB57" i="130"/>
  <c r="BB86" i="130"/>
  <c r="BB87" i="130"/>
  <c r="BB85" i="130"/>
  <c r="BB87" i="131"/>
  <c r="BB85" i="131"/>
  <c r="BB45" i="131"/>
  <c r="BB45" i="130"/>
  <c r="BB49" i="131"/>
  <c r="BB49" i="130"/>
  <c r="BB65" i="131"/>
  <c r="BB70" i="131"/>
  <c r="BB61" i="131"/>
  <c r="BB68" i="131"/>
  <c r="BB54" i="131"/>
  <c r="BB50" i="131"/>
  <c r="BB82" i="131"/>
  <c r="BB76" i="130"/>
  <c r="BB53" i="131"/>
  <c r="BB74" i="131"/>
  <c r="BB64" i="131"/>
  <c r="BB53" i="130"/>
  <c r="BB56" i="130"/>
  <c r="BB55" i="130"/>
  <c r="BB52" i="131"/>
  <c r="BB71" i="131"/>
  <c r="BB73" i="131"/>
  <c r="BB83" i="131"/>
  <c r="BB55" i="131"/>
  <c r="BB84" i="130"/>
  <c r="BB56" i="131"/>
  <c r="BB66" i="130"/>
  <c r="BB83" i="130"/>
  <c r="BB54" i="130"/>
  <c r="BB50" i="130"/>
  <c r="BB71" i="130"/>
  <c r="BB73" i="130"/>
  <c r="BB69" i="131"/>
  <c r="BB63" i="131"/>
  <c r="BB52" i="130"/>
  <c r="BB51" i="130"/>
  <c r="BB84" i="131"/>
  <c r="BB72" i="131"/>
  <c r="BB81" i="131"/>
  <c r="BB74" i="130"/>
  <c r="BB79" i="130"/>
  <c r="BB78" i="130"/>
  <c r="BB75" i="131"/>
  <c r="BB77" i="131"/>
  <c r="BB82" i="130"/>
  <c r="BB62" i="130"/>
  <c r="BB66" i="131"/>
  <c r="BB51" i="131"/>
  <c r="BB77" i="130"/>
  <c r="BB61" i="130"/>
  <c r="BB70" i="130"/>
  <c r="BB81" i="130"/>
  <c r="BB72" i="130"/>
  <c r="BB76" i="131"/>
  <c r="BB78" i="131"/>
  <c r="BB80" i="130"/>
  <c r="BB69" i="130"/>
  <c r="BB64" i="130"/>
  <c r="BB75" i="130"/>
  <c r="BB79" i="131"/>
  <c r="BB65" i="130"/>
  <c r="BB63" i="130"/>
  <c r="BB68" i="130"/>
  <c r="BC23" i="126"/>
  <c r="BC23" i="110"/>
  <c r="BC85" i="126"/>
  <c r="BC57" i="126"/>
  <c r="BC83" i="126"/>
  <c r="BC55" i="126"/>
  <c r="BC65" i="126"/>
  <c r="BC83" i="110"/>
  <c r="BC85" i="110"/>
  <c r="BC56" i="110"/>
  <c r="BC57" i="110"/>
  <c r="BC84" i="126"/>
  <c r="BC84" i="110"/>
  <c r="BC65" i="110"/>
  <c r="BC58" i="126"/>
  <c r="BC55" i="110"/>
  <c r="BC56" i="126"/>
  <c r="BC58" i="110"/>
  <c r="BC20" i="126"/>
  <c r="BC20" i="110"/>
  <c r="BC12" i="126"/>
  <c r="BC22" i="126"/>
  <c r="BC22" i="110"/>
  <c r="BC21" i="126"/>
  <c r="BC21" i="110"/>
  <c r="BC47" i="126"/>
  <c r="BC47" i="110"/>
  <c r="BC38" i="126"/>
  <c r="BC31" i="126"/>
  <c r="BC40" i="126"/>
  <c r="BC15" i="126"/>
  <c r="BC14" i="126"/>
  <c r="BC32" i="126"/>
  <c r="BC59" i="126"/>
  <c r="BC67" i="126"/>
  <c r="BC61" i="126"/>
  <c r="BC79" i="126"/>
  <c r="BC75" i="126"/>
  <c r="BC63" i="126"/>
  <c r="BC66" i="110"/>
  <c r="BC75" i="110"/>
  <c r="BC62" i="126"/>
  <c r="BC62" i="110"/>
  <c r="BC60" i="126"/>
  <c r="BC68" i="126"/>
  <c r="BC74" i="126"/>
  <c r="BC63" i="110"/>
  <c r="BC60" i="110"/>
  <c r="BC66" i="126"/>
  <c r="BC78" i="126"/>
  <c r="BC71" i="110"/>
  <c r="BC82" i="126"/>
  <c r="BC59" i="110"/>
  <c r="BC67" i="110"/>
  <c r="BC70" i="126"/>
  <c r="BC80" i="110"/>
  <c r="BC78" i="110"/>
  <c r="BC76" i="126"/>
  <c r="BC72" i="126"/>
  <c r="BC68" i="110"/>
  <c r="BC81" i="126"/>
  <c r="BC61" i="110"/>
  <c r="BC73" i="110"/>
  <c r="BC53" i="126"/>
  <c r="BC79" i="110"/>
  <c r="BC73" i="126"/>
  <c r="BC76" i="110"/>
  <c r="BC46" i="126"/>
  <c r="BC51" i="126"/>
  <c r="BC93" i="126"/>
  <c r="BC64" i="110"/>
  <c r="BC81" i="110"/>
  <c r="BC69" i="126"/>
  <c r="BC71" i="126"/>
  <c r="BC72" i="110"/>
  <c r="BC74" i="110"/>
  <c r="BC54" i="126"/>
  <c r="BC52" i="126"/>
  <c r="BC52" i="110"/>
  <c r="BC82" i="110"/>
  <c r="BC49" i="126"/>
  <c r="BC50" i="110"/>
  <c r="BC80" i="126"/>
  <c r="BC69" i="110"/>
  <c r="BC50" i="126"/>
  <c r="BC53" i="110"/>
  <c r="BC51" i="110"/>
  <c r="BC54" i="110"/>
  <c r="BC48" i="110"/>
  <c r="BC64" i="126"/>
  <c r="BC49" i="110"/>
  <c r="BC92" i="126"/>
  <c r="BC48" i="126"/>
  <c r="BC89" i="126"/>
  <c r="BC70" i="110"/>
  <c r="BD88" i="127"/>
  <c r="BD87" i="126"/>
  <c r="AH96" i="126"/>
  <c r="AH77" i="110"/>
  <c r="BD77" i="127"/>
  <c r="I91" i="126"/>
  <c r="BB80" i="131"/>
  <c r="I13" i="127"/>
  <c r="CR16" i="126"/>
  <c r="CR7" i="126"/>
  <c r="BW35" i="127"/>
  <c r="BW24" i="127"/>
  <c r="BW7" i="126"/>
  <c r="BA85" i="130"/>
  <c r="G17" i="110"/>
  <c r="BX17" i="110" s="1"/>
  <c r="G17" i="127"/>
  <c r="BY17" i="127" s="1"/>
  <c r="G17" i="126"/>
  <c r="CS17" i="126" s="1"/>
  <c r="AI42" i="127"/>
  <c r="CT42" i="127"/>
  <c r="BZ42" i="127"/>
  <c r="BD42" i="127"/>
  <c r="BY42" i="127"/>
  <c r="H16" i="127"/>
  <c r="CT18" i="127"/>
  <c r="BY18" i="127"/>
  <c r="BD18" i="127"/>
  <c r="BZ18" i="127"/>
  <c r="BC42" i="126"/>
  <c r="CT42" i="126"/>
  <c r="BD42" i="126"/>
  <c r="CS42" i="126"/>
  <c r="BZ42" i="126"/>
  <c r="BY42" i="126"/>
  <c r="AI42" i="126"/>
  <c r="BX42" i="126"/>
  <c r="AH42" i="126"/>
  <c r="BX18" i="126"/>
  <c r="AH18" i="126"/>
  <c r="BZ18" i="126"/>
  <c r="CT18" i="126"/>
  <c r="BY18" i="126"/>
  <c r="BD18" i="126"/>
  <c r="CS18" i="126"/>
  <c r="BC18" i="126"/>
  <c r="H16" i="126"/>
  <c r="T42" i="133"/>
  <c r="X42" i="133" s="1"/>
  <c r="X4" i="133" s="1"/>
  <c r="L43" i="126"/>
  <c r="DN43" i="126" s="1"/>
  <c r="AE43" i="126" s="1"/>
  <c r="N42" i="126"/>
  <c r="AD42" i="126" s="1"/>
  <c r="X40" i="133"/>
  <c r="O42" i="126"/>
  <c r="AC42" i="126" s="1"/>
  <c r="N42" i="127"/>
  <c r="AD42" i="127" s="1"/>
  <c r="U42" i="133"/>
  <c r="Y42" i="133" s="1"/>
  <c r="Y40" i="133" s="1"/>
  <c r="L43" i="127"/>
  <c r="DO43" i="127" s="1"/>
  <c r="AE43" i="127" s="1"/>
  <c r="W40" i="133"/>
  <c r="AW24" i="126"/>
  <c r="BY10" i="127"/>
  <c r="CU10" i="127"/>
  <c r="CT10" i="127"/>
  <c r="BZ10" i="127"/>
  <c r="BD10" i="127"/>
  <c r="BY30" i="126"/>
  <c r="BZ30" i="126"/>
  <c r="CT30" i="126"/>
  <c r="CS30" i="126"/>
  <c r="BX30" i="126"/>
  <c r="BC30" i="126"/>
  <c r="BD30" i="126"/>
  <c r="DN16" i="126"/>
  <c r="AE17" i="126"/>
  <c r="DN18" i="127"/>
  <c r="DO18" i="127"/>
  <c r="AI40" i="126"/>
  <c r="AH40" i="126"/>
  <c r="AH31" i="126"/>
  <c r="AZ24" i="127"/>
  <c r="AX24" i="127"/>
  <c r="BU24" i="127"/>
  <c r="BT24" i="127"/>
  <c r="AY24" i="127"/>
  <c r="BS24" i="127"/>
  <c r="BY10" i="126"/>
  <c r="BZ10" i="126"/>
  <c r="BX10" i="126"/>
  <c r="BD10" i="126"/>
  <c r="CS10" i="126"/>
  <c r="BC10" i="126"/>
  <c r="CU10" i="126"/>
  <c r="CT10" i="126"/>
  <c r="BY17" i="126"/>
  <c r="BE28" i="127"/>
  <c r="CT28" i="127"/>
  <c r="BZ28" i="127"/>
  <c r="BD28" i="127"/>
  <c r="BY28" i="127"/>
  <c r="BB5" i="127"/>
  <c r="BB5" i="126"/>
  <c r="AE86" i="126"/>
  <c r="DN44" i="126"/>
  <c r="BD29" i="126"/>
  <c r="BY29" i="126"/>
  <c r="BX29" i="126"/>
  <c r="CT29" i="126"/>
  <c r="BZ29" i="126"/>
  <c r="CS29" i="126"/>
  <c r="BC29" i="126"/>
  <c r="BZ28" i="126"/>
  <c r="CT28" i="126"/>
  <c r="BY28" i="126"/>
  <c r="CS28" i="126"/>
  <c r="BX28" i="126"/>
  <c r="CU28" i="126"/>
  <c r="BC28" i="126"/>
  <c r="BD28" i="126"/>
  <c r="CT11" i="126"/>
  <c r="BZ11" i="126"/>
  <c r="BE11" i="126"/>
  <c r="BY11" i="126"/>
  <c r="BX11" i="126"/>
  <c r="BD11" i="126"/>
  <c r="CS11" i="126"/>
  <c r="AH11" i="126"/>
  <c r="BC11" i="126"/>
  <c r="BZ29" i="127"/>
  <c r="CT29" i="127"/>
  <c r="BY29" i="127"/>
  <c r="BD29" i="127"/>
  <c r="CU29" i="127"/>
  <c r="CT30" i="127"/>
  <c r="BY30" i="127"/>
  <c r="BD30" i="127"/>
  <c r="BZ30" i="127"/>
  <c r="AG5" i="126"/>
  <c r="DO44" i="127"/>
  <c r="AE86" i="127"/>
  <c r="AY24" i="126"/>
  <c r="BT24" i="126"/>
  <c r="AX24" i="126"/>
  <c r="BU24" i="126"/>
  <c r="BU6" i="126" s="1"/>
  <c r="BU5" i="126" s="1"/>
  <c r="AZ24" i="126"/>
  <c r="AZ6" i="126" s="1"/>
  <c r="AZ5" i="126" s="1"/>
  <c r="BR24" i="126"/>
  <c r="BS24" i="126"/>
  <c r="BC39" i="126"/>
  <c r="BZ39" i="126"/>
  <c r="BX39" i="126"/>
  <c r="CT39" i="126"/>
  <c r="BY39" i="126"/>
  <c r="BD39" i="126"/>
  <c r="CS39" i="126"/>
  <c r="BD39" i="127"/>
  <c r="CT39" i="127"/>
  <c r="BY39" i="127"/>
  <c r="BZ39" i="127"/>
  <c r="DN17" i="127"/>
  <c r="DO17" i="127"/>
  <c r="BY11" i="127"/>
  <c r="BZ11" i="127"/>
  <c r="CT11" i="127"/>
  <c r="BD11" i="127"/>
  <c r="CU11" i="127"/>
  <c r="AG5" i="127"/>
  <c r="AH46" i="110"/>
  <c r="L38" i="133"/>
  <c r="I39" i="126" s="1"/>
  <c r="L29" i="133"/>
  <c r="I30" i="126" s="1"/>
  <c r="K29" i="133"/>
  <c r="I30" i="110" s="1"/>
  <c r="K38" i="133"/>
  <c r="I39" i="110" s="1"/>
  <c r="I35" i="110" s="1"/>
  <c r="M29" i="133"/>
  <c r="I30" i="127" s="1"/>
  <c r="M38" i="133"/>
  <c r="I39" i="127" s="1"/>
  <c r="I35" i="127" s="1"/>
  <c r="M27" i="133"/>
  <c r="I28" i="127" s="1"/>
  <c r="L27" i="133"/>
  <c r="I28" i="126" s="1"/>
  <c r="K27" i="133"/>
  <c r="I28" i="110" s="1"/>
  <c r="BD89" i="110"/>
  <c r="H8" i="133"/>
  <c r="G9" i="126" s="1"/>
  <c r="I8" i="133"/>
  <c r="G9" i="127" s="1"/>
  <c r="G8" i="133"/>
  <c r="G9" i="110" s="1"/>
  <c r="AH9" i="110" s="1"/>
  <c r="F9" i="109"/>
  <c r="AI18" i="127" s="1"/>
  <c r="AH89" i="110"/>
  <c r="AJ42" i="133"/>
  <c r="AH101" i="132"/>
  <c r="H7" i="133"/>
  <c r="G8" i="126" s="1"/>
  <c r="I7" i="133"/>
  <c r="G8" i="127" s="1"/>
  <c r="G7" i="133"/>
  <c r="G8" i="110" s="1"/>
  <c r="BZ8" i="110" s="1"/>
  <c r="I36" i="133"/>
  <c r="G37" i="127" s="1"/>
  <c r="I26" i="133"/>
  <c r="G27" i="127" s="1"/>
  <c r="H36" i="133"/>
  <c r="G37" i="126" s="1"/>
  <c r="G26" i="133"/>
  <c r="G27" i="110" s="1"/>
  <c r="H26" i="133"/>
  <c r="G27" i="126" s="1"/>
  <c r="G36" i="133"/>
  <c r="G37" i="110" s="1"/>
  <c r="BD88" i="132"/>
  <c r="BD89" i="132"/>
  <c r="BW89" i="110"/>
  <c r="CR46" i="110"/>
  <c r="BW46" i="110"/>
  <c r="CR89" i="110"/>
  <c r="K28" i="133"/>
  <c r="I29" i="110" s="1"/>
  <c r="M28" i="133"/>
  <c r="I29" i="127" s="1"/>
  <c r="L28" i="133"/>
  <c r="I29" i="126" s="1"/>
  <c r="I17" i="133"/>
  <c r="G18" i="127" s="1"/>
  <c r="H17" i="133"/>
  <c r="G18" i="126" s="1"/>
  <c r="BC88" i="132"/>
  <c r="BC89" i="132"/>
  <c r="AJ41" i="133"/>
  <c r="AJ40" i="133" s="1"/>
  <c r="AK41" i="133"/>
  <c r="AC41" i="133"/>
  <c r="BC89" i="110"/>
  <c r="DM86" i="110"/>
  <c r="AP39" i="133"/>
  <c r="AP38" i="133"/>
  <c r="AO37" i="133"/>
  <c r="AO39" i="133"/>
  <c r="AO36" i="133"/>
  <c r="AP37" i="133"/>
  <c r="AO38" i="133"/>
  <c r="AP36" i="133"/>
  <c r="F5" i="130"/>
  <c r="F5" i="132"/>
  <c r="F5" i="131"/>
  <c r="AG5" i="131" s="1"/>
  <c r="F47" i="118"/>
  <c r="F4" i="132"/>
  <c r="AE42" i="110"/>
  <c r="N42" i="110"/>
  <c r="AD42" i="110" s="1"/>
  <c r="BZ42" i="110"/>
  <c r="CR42" i="110"/>
  <c r="BW42" i="110"/>
  <c r="AG42" i="110"/>
  <c r="BB42" i="110"/>
  <c r="CS42" i="110"/>
  <c r="BC42" i="110"/>
  <c r="BX42" i="110"/>
  <c r="AH42" i="110"/>
  <c r="BD42" i="110"/>
  <c r="BY42" i="110"/>
  <c r="CT42" i="110"/>
  <c r="BC37" i="131"/>
  <c r="BC46" i="131"/>
  <c r="BC31" i="131"/>
  <c r="BD94" i="132"/>
  <c r="BD90" i="132"/>
  <c r="BC98" i="132"/>
  <c r="BD93" i="132"/>
  <c r="BC14" i="132"/>
  <c r="BC96" i="132"/>
  <c r="BC103" i="132"/>
  <c r="BC30" i="132"/>
  <c r="G15" i="109"/>
  <c r="CU30" i="126" s="1"/>
  <c r="BD95" i="132"/>
  <c r="BC42" i="132"/>
  <c r="BC6" i="132"/>
  <c r="BD4" i="132"/>
  <c r="BD92" i="132"/>
  <c r="BD104" i="130"/>
  <c r="BC41" i="132"/>
  <c r="BC101" i="132"/>
  <c r="BC11" i="132"/>
  <c r="BC97" i="132"/>
  <c r="BC26" i="132"/>
  <c r="G11" i="109"/>
  <c r="BE42" i="126" s="1"/>
  <c r="BD46" i="110"/>
  <c r="AC7" i="110"/>
  <c r="AC10" i="110"/>
  <c r="CS38" i="110"/>
  <c r="DM7" i="110"/>
  <c r="DM16" i="110"/>
  <c r="DM13" i="110"/>
  <c r="BW40" i="110"/>
  <c r="L43" i="110"/>
  <c r="N38" i="110"/>
  <c r="AD38" i="110" s="1"/>
  <c r="R38" i="110" s="1"/>
  <c r="N39" i="110"/>
  <c r="AD39" i="110" s="1"/>
  <c r="R39" i="110" s="1"/>
  <c r="DU92" i="110"/>
  <c r="AF6" i="130"/>
  <c r="AG6" i="130"/>
  <c r="DR11" i="110"/>
  <c r="DO11" i="110"/>
  <c r="DW11" i="110"/>
  <c r="DV92" i="110"/>
  <c r="BQ36" i="110"/>
  <c r="AV12" i="110"/>
  <c r="DR92" i="110"/>
  <c r="DQ11" i="110"/>
  <c r="DP92" i="110"/>
  <c r="DT92" i="110"/>
  <c r="DS11" i="110"/>
  <c r="BN11" i="110"/>
  <c r="DW92" i="110"/>
  <c r="DN92" i="110"/>
  <c r="DN11" i="110"/>
  <c r="DQ92" i="110"/>
  <c r="DQ91" i="110" s="1"/>
  <c r="DU11" i="110"/>
  <c r="DV11" i="110"/>
  <c r="DS92" i="110"/>
  <c r="BR92" i="110"/>
  <c r="DO30" i="110"/>
  <c r="DV30" i="110"/>
  <c r="DT11" i="110"/>
  <c r="AY30" i="110"/>
  <c r="DW30" i="110"/>
  <c r="DN30" i="110"/>
  <c r="DS30" i="110"/>
  <c r="DQ30" i="110"/>
  <c r="DT30" i="110"/>
  <c r="DU30" i="110"/>
  <c r="DR30" i="110"/>
  <c r="N37" i="110"/>
  <c r="AD37" i="110" s="1"/>
  <c r="R37" i="110" s="1"/>
  <c r="N36" i="110"/>
  <c r="AD36" i="110" s="1"/>
  <c r="R36" i="110" s="1"/>
  <c r="N40" i="110"/>
  <c r="AD40" i="110" s="1"/>
  <c r="R40" i="110" s="1"/>
  <c r="N18" i="110"/>
  <c r="AD18" i="110" s="1"/>
  <c r="N17" i="110"/>
  <c r="AD17" i="110" s="1"/>
  <c r="N12" i="110"/>
  <c r="AD12" i="110" s="1"/>
  <c r="N7" i="110"/>
  <c r="DM39" i="110"/>
  <c r="DM37" i="110"/>
  <c r="DM40" i="110"/>
  <c r="DO12" i="110"/>
  <c r="F44" i="118"/>
  <c r="F44" i="131" s="1"/>
  <c r="C392" i="115"/>
  <c r="F99" i="118" s="1"/>
  <c r="D110" i="118" s="1"/>
  <c r="D107" i="118" s="1"/>
  <c r="H47" i="118"/>
  <c r="F40" i="131"/>
  <c r="AG40" i="131" s="1"/>
  <c r="F40" i="132"/>
  <c r="AG40" i="130"/>
  <c r="F41" i="131"/>
  <c r="AG41" i="131" s="1"/>
  <c r="F43" i="132"/>
  <c r="B239" i="115"/>
  <c r="F35" i="132"/>
  <c r="K35" i="132"/>
  <c r="V35" i="132" s="1"/>
  <c r="R35" i="132" s="1"/>
  <c r="F38" i="130"/>
  <c r="AF38" i="130" s="1"/>
  <c r="K35" i="131"/>
  <c r="U35" i="131" s="1"/>
  <c r="R35" i="131" s="1"/>
  <c r="F35" i="131"/>
  <c r="G37" i="130"/>
  <c r="K34" i="131"/>
  <c r="U34" i="131" s="1"/>
  <c r="R34" i="131" s="1"/>
  <c r="K34" i="130"/>
  <c r="T34" i="130" s="1"/>
  <c r="R34" i="130" s="1"/>
  <c r="F34" i="131"/>
  <c r="L37" i="132"/>
  <c r="AD37" i="132" s="1"/>
  <c r="R37" i="132" s="1"/>
  <c r="L36" i="131"/>
  <c r="AC36" i="131" s="1"/>
  <c r="R36" i="131" s="1"/>
  <c r="F34" i="132"/>
  <c r="F34" i="130"/>
  <c r="G36" i="130"/>
  <c r="L36" i="130"/>
  <c r="AB36" i="130" s="1"/>
  <c r="R36" i="130" s="1"/>
  <c r="L31" i="131"/>
  <c r="AC31" i="131" s="1"/>
  <c r="F35" i="130"/>
  <c r="AF35" i="130" s="1"/>
  <c r="K31" i="131"/>
  <c r="U31" i="131" s="1"/>
  <c r="H30" i="131"/>
  <c r="H30" i="132"/>
  <c r="F28" i="132"/>
  <c r="G31" i="131"/>
  <c r="K30" i="132"/>
  <c r="V30" i="132" s="1"/>
  <c r="L32" i="132"/>
  <c r="AD32" i="132" s="1"/>
  <c r="L32" i="131"/>
  <c r="AC32" i="131" s="1"/>
  <c r="R32" i="131" s="1"/>
  <c r="F30" i="132"/>
  <c r="I30" i="130"/>
  <c r="BA30" i="130" s="1"/>
  <c r="F29" i="132"/>
  <c r="H28" i="132"/>
  <c r="F27" i="131"/>
  <c r="F27" i="130"/>
  <c r="AG27" i="130" s="1"/>
  <c r="F30" i="130"/>
  <c r="K32" i="132"/>
  <c r="V32" i="132" s="1"/>
  <c r="F28" i="131"/>
  <c r="K28" i="131"/>
  <c r="U28" i="131" s="1"/>
  <c r="R28" i="131" s="1"/>
  <c r="F32" i="131"/>
  <c r="K31" i="132"/>
  <c r="V31" i="132" s="1"/>
  <c r="R31" i="132" s="1"/>
  <c r="K28" i="132"/>
  <c r="V28" i="132" s="1"/>
  <c r="R28" i="132" s="1"/>
  <c r="G30" i="130"/>
  <c r="AG30" i="130" s="1"/>
  <c r="K27" i="130"/>
  <c r="T27" i="130" s="1"/>
  <c r="R27" i="130" s="1"/>
  <c r="G30" i="132"/>
  <c r="L30" i="132"/>
  <c r="AD30" i="132" s="1"/>
  <c r="F32" i="132"/>
  <c r="K29" i="132"/>
  <c r="V29" i="132" s="1"/>
  <c r="R29" i="132" s="1"/>
  <c r="K27" i="131"/>
  <c r="U27" i="131" s="1"/>
  <c r="R27" i="131" s="1"/>
  <c r="G32" i="131"/>
  <c r="F29" i="130"/>
  <c r="AG29" i="130" s="1"/>
  <c r="G32" i="130"/>
  <c r="G31" i="132"/>
  <c r="K32" i="130"/>
  <c r="T32" i="130" s="1"/>
  <c r="R32" i="130" s="1"/>
  <c r="L30" i="131"/>
  <c r="AC30" i="131" s="1"/>
  <c r="R30" i="131" s="1"/>
  <c r="F29" i="131"/>
  <c r="H28" i="130"/>
  <c r="BC28" i="130" s="1"/>
  <c r="F28" i="130"/>
  <c r="R14" i="131"/>
  <c r="C100" i="115"/>
  <c r="H18" i="118" s="1"/>
  <c r="C101" i="115"/>
  <c r="F18" i="118" s="1"/>
  <c r="B101" i="115"/>
  <c r="F17" i="118" s="1"/>
  <c r="AG46" i="130"/>
  <c r="P46" i="130" s="1"/>
  <c r="B100" i="115"/>
  <c r="BP103" i="130"/>
  <c r="AX103" i="130"/>
  <c r="AG103" i="130"/>
  <c r="AW103" i="130"/>
  <c r="BQ103" i="130"/>
  <c r="AV103" i="130"/>
  <c r="BS103" i="130"/>
  <c r="AX42" i="130"/>
  <c r="AF22" i="132"/>
  <c r="R22" i="131"/>
  <c r="BT103" i="130"/>
  <c r="AY103" i="130"/>
  <c r="AG31" i="130"/>
  <c r="BT97" i="130"/>
  <c r="BR103" i="130"/>
  <c r="BA97" i="130"/>
  <c r="AY97" i="130"/>
  <c r="BQ90" i="130"/>
  <c r="AG90" i="130"/>
  <c r="AX90" i="130"/>
  <c r="AV44" i="130"/>
  <c r="C111" i="115"/>
  <c r="F20" i="118" s="1"/>
  <c r="BS90" i="130"/>
  <c r="AU90" i="130"/>
  <c r="BS97" i="130"/>
  <c r="BS47" i="130"/>
  <c r="BT93" i="130"/>
  <c r="BT42" i="130"/>
  <c r="BC27" i="132"/>
  <c r="BL47" i="130"/>
  <c r="K25" i="131"/>
  <c r="U25" i="131" s="1"/>
  <c r="R25" i="131" s="1"/>
  <c r="AF104" i="130"/>
  <c r="BR90" i="130"/>
  <c r="BP90" i="130"/>
  <c r="R8" i="131"/>
  <c r="R6" i="131"/>
  <c r="AW90" i="130"/>
  <c r="BS42" i="130"/>
  <c r="BQ93" i="130"/>
  <c r="K25" i="130"/>
  <c r="T25" i="130" s="1"/>
  <c r="R25" i="130" s="1"/>
  <c r="AN47" i="130"/>
  <c r="R10" i="131"/>
  <c r="BT90" i="130"/>
  <c r="AV90" i="130"/>
  <c r="BB104" i="131"/>
  <c r="F13" i="132"/>
  <c r="AG48" i="130"/>
  <c r="BA100" i="132"/>
  <c r="H25" i="130"/>
  <c r="BI26" i="130"/>
  <c r="R17" i="131"/>
  <c r="BR100" i="130"/>
  <c r="BN21" i="132"/>
  <c r="BS30" i="110"/>
  <c r="BJ47" i="130"/>
  <c r="BA40" i="131"/>
  <c r="AX100" i="132"/>
  <c r="AG13" i="130"/>
  <c r="F13" i="131"/>
  <c r="AX35" i="130"/>
  <c r="AX43" i="130"/>
  <c r="BS100" i="132"/>
  <c r="BT100" i="132"/>
  <c r="BR44" i="130"/>
  <c r="BS44" i="130"/>
  <c r="BT38" i="131"/>
  <c r="AR24" i="132"/>
  <c r="BO21" i="132"/>
  <c r="AF43" i="130"/>
  <c r="AG43" i="130"/>
  <c r="AF13" i="130"/>
  <c r="R97" i="131"/>
  <c r="AG24" i="132"/>
  <c r="AG27" i="132"/>
  <c r="BA21" i="132"/>
  <c r="AY43" i="130"/>
  <c r="R9" i="132"/>
  <c r="R95" i="131"/>
  <c r="BT43" i="130"/>
  <c r="AX48" i="130"/>
  <c r="AV94" i="130"/>
  <c r="AQ21" i="132"/>
  <c r="BR22" i="130"/>
  <c r="AW44" i="130"/>
  <c r="AU44" i="130"/>
  <c r="AV93" i="130"/>
  <c r="BQ21" i="132"/>
  <c r="AW21" i="132"/>
  <c r="BT44" i="130"/>
  <c r="AK98" i="130"/>
  <c r="BT35" i="130"/>
  <c r="AF103" i="130"/>
  <c r="R93" i="131"/>
  <c r="BP44" i="130"/>
  <c r="AW24" i="132"/>
  <c r="AF27" i="132"/>
  <c r="BA27" i="132"/>
  <c r="BP93" i="130"/>
  <c r="BQ44" i="130"/>
  <c r="BP21" i="132"/>
  <c r="AX21" i="132"/>
  <c r="AG21" i="132"/>
  <c r="BT32" i="130"/>
  <c r="AW93" i="130"/>
  <c r="AS21" i="132"/>
  <c r="AX10" i="130"/>
  <c r="AY35" i="130"/>
  <c r="AX44" i="130"/>
  <c r="BS35" i="130"/>
  <c r="AR21" i="132"/>
  <c r="AY93" i="130"/>
  <c r="AX93" i="130"/>
  <c r="BR21" i="132"/>
  <c r="BR93" i="130"/>
  <c r="BS100" i="130"/>
  <c r="AY32" i="130"/>
  <c r="AX32" i="130"/>
  <c r="AY44" i="130"/>
  <c r="R100" i="131"/>
  <c r="AX24" i="132"/>
  <c r="BP100" i="130"/>
  <c r="BR94" i="130"/>
  <c r="BS93" i="130"/>
  <c r="BT94" i="130"/>
  <c r="BS21" i="132"/>
  <c r="AY21" i="132"/>
  <c r="AF21" i="132"/>
  <c r="AT21" i="132"/>
  <c r="AH93" i="130"/>
  <c r="AT24" i="132"/>
  <c r="BH24" i="132"/>
  <c r="AO24" i="132"/>
  <c r="AQ24" i="132"/>
  <c r="BP24" i="132"/>
  <c r="AP24" i="132"/>
  <c r="AV24" i="132"/>
  <c r="AX22" i="130"/>
  <c r="BI24" i="132"/>
  <c r="AV22" i="130"/>
  <c r="BB100" i="132"/>
  <c r="AX15" i="131"/>
  <c r="AP21" i="131"/>
  <c r="BS22" i="130"/>
  <c r="BT24" i="132"/>
  <c r="BN24" i="132"/>
  <c r="AN24" i="132"/>
  <c r="BA24" i="132"/>
  <c r="BQ100" i="130"/>
  <c r="AY101" i="130"/>
  <c r="AV100" i="130"/>
  <c r="BQ94" i="130"/>
  <c r="BP94" i="130"/>
  <c r="BC92" i="132"/>
  <c r="AW100" i="132"/>
  <c r="BR100" i="132"/>
  <c r="AU100" i="130"/>
  <c r="AW100" i="130"/>
  <c r="BS101" i="130"/>
  <c r="AX99" i="131"/>
  <c r="BR101" i="130"/>
  <c r="AG100" i="132"/>
  <c r="R89" i="131"/>
  <c r="BB101" i="130"/>
  <c r="AX100" i="130"/>
  <c r="AU101" i="130"/>
  <c r="BQ24" i="132"/>
  <c r="AU24" i="132"/>
  <c r="AM24" i="132"/>
  <c r="BB24" i="132"/>
  <c r="BS24" i="132"/>
  <c r="BR24" i="132"/>
  <c r="BR25" i="132"/>
  <c r="BB100" i="130"/>
  <c r="BS94" i="130"/>
  <c r="AG100" i="130"/>
  <c r="R16" i="131"/>
  <c r="AY100" i="132"/>
  <c r="AG101" i="130"/>
  <c r="R23" i="132"/>
  <c r="BT100" i="130"/>
  <c r="AV101" i="130"/>
  <c r="AG42" i="130"/>
  <c r="AW94" i="130"/>
  <c r="AY94" i="130"/>
  <c r="AU94" i="130"/>
  <c r="AG94" i="130"/>
  <c r="AF90" i="130"/>
  <c r="BT101" i="130"/>
  <c r="BQ101" i="130"/>
  <c r="AT23" i="130"/>
  <c r="AX101" i="130"/>
  <c r="BF24" i="130"/>
  <c r="BS23" i="130"/>
  <c r="AY24" i="132"/>
  <c r="BM24" i="132"/>
  <c r="AS24" i="132"/>
  <c r="BK24" i="132"/>
  <c r="BJ24" i="132"/>
  <c r="BO24" i="132"/>
  <c r="BC100" i="132"/>
  <c r="BC24" i="132"/>
  <c r="AF24" i="132"/>
  <c r="AW101" i="130"/>
  <c r="BS88" i="130"/>
  <c r="R90" i="132"/>
  <c r="AW88" i="130"/>
  <c r="BR88" i="130"/>
  <c r="BT88" i="130"/>
  <c r="BB24" i="131"/>
  <c r="K19" i="132"/>
  <c r="V19" i="132" s="1"/>
  <c r="R19" i="132" s="1"/>
  <c r="AW23" i="130"/>
  <c r="AR22" i="130"/>
  <c r="AF101" i="130"/>
  <c r="AT22" i="130"/>
  <c r="K19" i="131"/>
  <c r="U19" i="131" s="1"/>
  <c r="R19" i="131" s="1"/>
  <c r="BK26" i="130"/>
  <c r="BP22" i="130"/>
  <c r="BN22" i="130"/>
  <c r="R91" i="131"/>
  <c r="AG33" i="130"/>
  <c r="BQ98" i="130"/>
  <c r="AU88" i="130"/>
  <c r="BG98" i="130"/>
  <c r="AS21" i="130"/>
  <c r="BO21" i="130"/>
  <c r="AP22" i="130"/>
  <c r="AS33" i="130"/>
  <c r="AF93" i="130"/>
  <c r="R24" i="131"/>
  <c r="AN98" i="130"/>
  <c r="AF26" i="130"/>
  <c r="BI98" i="130"/>
  <c r="BL22" i="130"/>
  <c r="BT22" i="130"/>
  <c r="BQ21" i="130"/>
  <c r="BC15" i="131"/>
  <c r="AH15" i="131"/>
  <c r="BD27" i="130"/>
  <c r="AU22" i="130"/>
  <c r="R97" i="132"/>
  <c r="AH100" i="130"/>
  <c r="BD100" i="130"/>
  <c r="AF5" i="131"/>
  <c r="BC26" i="131"/>
  <c r="AF98" i="130"/>
  <c r="AF100" i="130"/>
  <c r="AG93" i="130"/>
  <c r="AQ98" i="130"/>
  <c r="AQ26" i="130"/>
  <c r="BQ88" i="130"/>
  <c r="AT98" i="130"/>
  <c r="AX21" i="130"/>
  <c r="BN5" i="131"/>
  <c r="BO21" i="131"/>
  <c r="AO22" i="130"/>
  <c r="BO22" i="130"/>
  <c r="AP21" i="130"/>
  <c r="BT26" i="130"/>
  <c r="AY22" i="130"/>
  <c r="BO26" i="130"/>
  <c r="BQ22" i="130"/>
  <c r="AF88" i="130"/>
  <c r="AN24" i="131"/>
  <c r="BN24" i="131"/>
  <c r="BK47" i="130"/>
  <c r="BC40" i="132"/>
  <c r="H9" i="118"/>
  <c r="AF91" i="130"/>
  <c r="AY5" i="131"/>
  <c r="AT21" i="131"/>
  <c r="BP98" i="130"/>
  <c r="BN98" i="130"/>
  <c r="BC26" i="130"/>
  <c r="BH26" i="130"/>
  <c r="AK26" i="130"/>
  <c r="AX88" i="130"/>
  <c r="AV102" i="130"/>
  <c r="AK47" i="130"/>
  <c r="AY28" i="130"/>
  <c r="BJ22" i="130"/>
  <c r="BK22" i="130"/>
  <c r="AO21" i="130"/>
  <c r="AW22" i="130"/>
  <c r="H10" i="118"/>
  <c r="H10" i="130" s="1"/>
  <c r="BA10" i="130" s="1"/>
  <c r="AX28" i="130"/>
  <c r="AX47" i="130"/>
  <c r="AS38" i="131"/>
  <c r="BT25" i="131"/>
  <c r="BT28" i="130"/>
  <c r="AL47" i="130"/>
  <c r="BI47" i="130"/>
  <c r="BC6" i="130"/>
  <c r="DT27" i="110"/>
  <c r="BG47" i="130"/>
  <c r="AV47" i="130"/>
  <c r="BB104" i="130"/>
  <c r="AY47" i="130"/>
  <c r="AQ38" i="131"/>
  <c r="BQ91" i="130"/>
  <c r="R96" i="132"/>
  <c r="BO47" i="130"/>
  <c r="BM10" i="130"/>
  <c r="BR30" i="110"/>
  <c r="AX7" i="131"/>
  <c r="AX25" i="131"/>
  <c r="BS28" i="130"/>
  <c r="BR47" i="130"/>
  <c r="BB46" i="131"/>
  <c r="BT30" i="110"/>
  <c r="AQ10" i="130"/>
  <c r="AP47" i="130"/>
  <c r="BT91" i="130"/>
  <c r="AT5" i="131"/>
  <c r="AQ47" i="130"/>
  <c r="AU47" i="130"/>
  <c r="AY10" i="130"/>
  <c r="AF40" i="130"/>
  <c r="AV30" i="110"/>
  <c r="BM47" i="130"/>
  <c r="BD6" i="130"/>
  <c r="BS91" i="130"/>
  <c r="AV38" i="131"/>
  <c r="AX38" i="131"/>
  <c r="AT24" i="130"/>
  <c r="AG24" i="130"/>
  <c r="BH24" i="130"/>
  <c r="BP24" i="130"/>
  <c r="AX24" i="130"/>
  <c r="AM24" i="130"/>
  <c r="BS24" i="130"/>
  <c r="AT46" i="132"/>
  <c r="BA46" i="132"/>
  <c r="BN46" i="132"/>
  <c r="BI46" i="132"/>
  <c r="BF46" i="132"/>
  <c r="AV46" i="132"/>
  <c r="AO46" i="132"/>
  <c r="BB46" i="132"/>
  <c r="BT46" i="132"/>
  <c r="AR46" i="132"/>
  <c r="AU46" i="132"/>
  <c r="AF46" i="132"/>
  <c r="BG46" i="132"/>
  <c r="AN46" i="132"/>
  <c r="AS46" i="132"/>
  <c r="AM46" i="132"/>
  <c r="AQ46" i="132"/>
  <c r="BS37" i="130"/>
  <c r="BT37" i="130"/>
  <c r="AX37" i="130"/>
  <c r="AY37" i="130"/>
  <c r="AP98" i="130"/>
  <c r="BH98" i="130"/>
  <c r="BO98" i="130"/>
  <c r="AW98" i="130"/>
  <c r="BL98" i="130"/>
  <c r="BJ98" i="130"/>
  <c r="AR98" i="130"/>
  <c r="AM98" i="130"/>
  <c r="AP23" i="130"/>
  <c r="AS23" i="130"/>
  <c r="AX23" i="130"/>
  <c r="BL23" i="130"/>
  <c r="BN23" i="130"/>
  <c r="BM23" i="130"/>
  <c r="BR23" i="130"/>
  <c r="BK23" i="130"/>
  <c r="BS33" i="130"/>
  <c r="BT33" i="130"/>
  <c r="AV33" i="130"/>
  <c r="BK33" i="130"/>
  <c r="BP33" i="130"/>
  <c r="BN33" i="130"/>
  <c r="AQ33" i="130"/>
  <c r="AU33" i="130"/>
  <c r="AR33" i="130"/>
  <c r="AP26" i="130"/>
  <c r="AU26" i="130"/>
  <c r="AW26" i="130"/>
  <c r="BD26" i="130"/>
  <c r="BF26" i="130"/>
  <c r="BQ26" i="130"/>
  <c r="BP26" i="130"/>
  <c r="BE26" i="130"/>
  <c r="BG26" i="130"/>
  <c r="AG26" i="130"/>
  <c r="BB27" i="130"/>
  <c r="BT27" i="130"/>
  <c r="BC27" i="130"/>
  <c r="AY27" i="130"/>
  <c r="BS27" i="130"/>
  <c r="BM21" i="130"/>
  <c r="BP21" i="130"/>
  <c r="AR21" i="130"/>
  <c r="AW21" i="130"/>
  <c r="BK21" i="130"/>
  <c r="BT21" i="130"/>
  <c r="AF24" i="130"/>
  <c r="BT98" i="130"/>
  <c r="BF98" i="130"/>
  <c r="AT26" i="130"/>
  <c r="AI26" i="130"/>
  <c r="AV26" i="130"/>
  <c r="AS26" i="130"/>
  <c r="AO98" i="130"/>
  <c r="AX98" i="130"/>
  <c r="AV21" i="130"/>
  <c r="BN24" i="130"/>
  <c r="BS21" i="130"/>
  <c r="BO23" i="130"/>
  <c r="AR26" i="130"/>
  <c r="AJ26" i="130"/>
  <c r="AV98" i="130"/>
  <c r="BK21" i="131"/>
  <c r="BS21" i="131"/>
  <c r="AT33" i="130"/>
  <c r="BJ46" i="132"/>
  <c r="AX46" i="132"/>
  <c r="BJ26" i="130"/>
  <c r="AX27" i="130"/>
  <c r="BL26" i="130"/>
  <c r="BO33" i="130"/>
  <c r="BL33" i="130"/>
  <c r="AK46" i="132"/>
  <c r="AY89" i="130"/>
  <c r="BT89" i="130"/>
  <c r="BE46" i="132"/>
  <c r="AW25" i="131"/>
  <c r="AF25" i="131"/>
  <c r="BR25" i="131"/>
  <c r="BH47" i="130"/>
  <c r="BN47" i="130"/>
  <c r="AW47" i="130"/>
  <c r="AT47" i="130"/>
  <c r="BQ47" i="130"/>
  <c r="AR47" i="130"/>
  <c r="AO47" i="130"/>
  <c r="BF47" i="130"/>
  <c r="BP47" i="130"/>
  <c r="BT47" i="130"/>
  <c r="AS47" i="130"/>
  <c r="AX30" i="110"/>
  <c r="BQ30" i="110"/>
  <c r="AZ30" i="110"/>
  <c r="AW30" i="110"/>
  <c r="BU30" i="110"/>
  <c r="BS9" i="131"/>
  <c r="AX9" i="131"/>
  <c r="AP46" i="132"/>
  <c r="AG98" i="130"/>
  <c r="R46" i="132"/>
  <c r="AT7" i="131"/>
  <c r="BA104" i="130"/>
  <c r="C110" i="115"/>
  <c r="H20" i="118" s="1"/>
  <c r="C30" i="125"/>
  <c r="BA37" i="131"/>
  <c r="AF37" i="131"/>
  <c r="AV92" i="130"/>
  <c r="BT92" i="130"/>
  <c r="AY23" i="131"/>
  <c r="AR23" i="131"/>
  <c r="AQ23" i="131"/>
  <c r="BQ23" i="131"/>
  <c r="AF23" i="131"/>
  <c r="BT23" i="131"/>
  <c r="BM23" i="131"/>
  <c r="BN23" i="131"/>
  <c r="AV23" i="131"/>
  <c r="AS23" i="131"/>
  <c r="AU23" i="131"/>
  <c r="AH102" i="130"/>
  <c r="AW23" i="131"/>
  <c r="AX31" i="130"/>
  <c r="BS31" i="130"/>
  <c r="BT31" i="130"/>
  <c r="H12" i="132"/>
  <c r="BC12" i="132" s="1"/>
  <c r="H12" i="131"/>
  <c r="R13" i="132"/>
  <c r="BS41" i="130"/>
  <c r="BT41" i="130"/>
  <c r="AF41" i="130"/>
  <c r="AY41" i="130"/>
  <c r="AF16" i="130"/>
  <c r="BT29" i="130"/>
  <c r="BS29" i="130"/>
  <c r="AX23" i="131"/>
  <c r="BS23" i="131"/>
  <c r="BC91" i="132"/>
  <c r="BD91" i="132"/>
  <c r="BB34" i="130"/>
  <c r="BC34" i="130"/>
  <c r="BN48" i="131"/>
  <c r="AW48" i="131"/>
  <c r="AY29" i="130"/>
  <c r="BD48" i="132"/>
  <c r="BC48" i="132"/>
  <c r="BB36" i="130"/>
  <c r="BD36" i="130"/>
  <c r="AG15" i="130"/>
  <c r="AF102" i="130"/>
  <c r="BR48" i="131"/>
  <c r="BO23" i="131"/>
  <c r="AT23" i="131"/>
  <c r="BS30" i="130"/>
  <c r="H12" i="130"/>
  <c r="BC12" i="130" s="1"/>
  <c r="AX102" i="130"/>
  <c r="BC92" i="131"/>
  <c r="AX92" i="131"/>
  <c r="BC103" i="130"/>
  <c r="BD103" i="130"/>
  <c r="AG41" i="130"/>
  <c r="BA23" i="131"/>
  <c r="AU10" i="130"/>
  <c r="BS10" i="130"/>
  <c r="AR10" i="130"/>
  <c r="BR10" i="130"/>
  <c r="AF36" i="132"/>
  <c r="R43" i="132"/>
  <c r="BR23" i="131"/>
  <c r="AX30" i="130"/>
  <c r="AY102" i="130"/>
  <c r="BD101" i="130"/>
  <c r="BL10" i="130"/>
  <c r="AX29" i="130"/>
  <c r="BS88" i="131"/>
  <c r="AX88" i="131"/>
  <c r="AP15" i="131"/>
  <c r="AT15" i="131"/>
  <c r="AG16" i="130"/>
  <c r="BL23" i="131"/>
  <c r="BS36" i="130"/>
  <c r="BT36" i="130"/>
  <c r="AY36" i="130"/>
  <c r="AS48" i="130"/>
  <c r="BR48" i="130"/>
  <c r="D30" i="125"/>
  <c r="R98" i="131"/>
  <c r="AT24" i="131"/>
  <c r="AX24" i="131"/>
  <c r="R21" i="132"/>
  <c r="BP46" i="132"/>
  <c r="BM46" i="132"/>
  <c r="AY46" i="132"/>
  <c r="BS46" i="132"/>
  <c r="AJ46" i="132"/>
  <c r="AW46" i="132"/>
  <c r="BR46" i="132"/>
  <c r="BO46" i="132"/>
  <c r="AQ23" i="130"/>
  <c r="BT23" i="130"/>
  <c r="BP23" i="130"/>
  <c r="AR23" i="130"/>
  <c r="AW33" i="130"/>
  <c r="AY33" i="130"/>
  <c r="BR33" i="130"/>
  <c r="AU21" i="130"/>
  <c r="AQ21" i="130"/>
  <c r="AF33" i="130"/>
  <c r="AY98" i="130"/>
  <c r="AU98" i="130"/>
  <c r="AL98" i="130"/>
  <c r="BR98" i="130"/>
  <c r="BA27" i="130"/>
  <c r="AL26" i="130"/>
  <c r="BS26" i="130"/>
  <c r="AY26" i="130"/>
  <c r="AN26" i="130"/>
  <c r="BN26" i="130"/>
  <c r="AS98" i="130"/>
  <c r="BK98" i="130"/>
  <c r="BM98" i="130"/>
  <c r="AK24" i="130"/>
  <c r="BR24" i="130"/>
  <c r="AT21" i="130"/>
  <c r="BN21" i="130"/>
  <c r="BL21" i="130"/>
  <c r="AY23" i="130"/>
  <c r="AU23" i="130"/>
  <c r="AM26" i="130"/>
  <c r="BM26" i="130"/>
  <c r="AX26" i="130"/>
  <c r="AO26" i="130"/>
  <c r="AH26" i="130"/>
  <c r="BJ21" i="130"/>
  <c r="BM33" i="130"/>
  <c r="BQ33" i="130"/>
  <c r="BA26" i="130"/>
  <c r="BQ23" i="130"/>
  <c r="AX33" i="130"/>
  <c r="BH46" i="132"/>
  <c r="BK46" i="132"/>
  <c r="AL46" i="132"/>
  <c r="BR21" i="130"/>
  <c r="BA25" i="131"/>
  <c r="BQ25" i="131"/>
  <c r="AY88" i="130"/>
  <c r="AV88" i="130"/>
  <c r="AG88" i="130"/>
  <c r="AQ22" i="130"/>
  <c r="BM22" i="130"/>
  <c r="R102" i="131"/>
  <c r="BL46" i="132"/>
  <c r="BQ46" i="132"/>
  <c r="R38" i="132"/>
  <c r="AG104" i="131"/>
  <c r="BT21" i="132"/>
  <c r="AV21" i="132"/>
  <c r="AU21" i="132"/>
  <c r="BB21" i="132"/>
  <c r="BM21" i="132"/>
  <c r="R102" i="132"/>
  <c r="AW24" i="130"/>
  <c r="BQ24" i="130"/>
  <c r="BM24" i="130"/>
  <c r="AL24" i="130"/>
  <c r="BI24" i="130"/>
  <c r="AR24" i="130"/>
  <c r="AO24" i="130"/>
  <c r="AP24" i="130"/>
  <c r="AQ24" i="130"/>
  <c r="BO22" i="132"/>
  <c r="AQ22" i="132"/>
  <c r="AS22" i="132"/>
  <c r="AG22" i="132"/>
  <c r="BL22" i="132"/>
  <c r="BQ22" i="132"/>
  <c r="BM22" i="132"/>
  <c r="BS22" i="132"/>
  <c r="AY22" i="132"/>
  <c r="BS24" i="131"/>
  <c r="BK24" i="131"/>
  <c r="BP24" i="131"/>
  <c r="AQ24" i="131"/>
  <c r="BG24" i="131"/>
  <c r="AW24" i="131"/>
  <c r="BI24" i="131"/>
  <c r="AG97" i="130"/>
  <c r="AF89" i="130"/>
  <c r="AY24" i="130"/>
  <c r="BK24" i="130"/>
  <c r="AV24" i="130"/>
  <c r="AN24" i="130"/>
  <c r="BG24" i="130"/>
  <c r="BB43" i="131"/>
  <c r="BD103" i="132"/>
  <c r="BB24" i="130"/>
  <c r="BJ24" i="130"/>
  <c r="AM24" i="131"/>
  <c r="BP102" i="130"/>
  <c r="BQ102" i="130"/>
  <c r="BP92" i="130"/>
  <c r="AU92" i="130"/>
  <c r="AY92" i="130"/>
  <c r="BO24" i="130"/>
  <c r="BP91" i="130"/>
  <c r="BR91" i="130"/>
  <c r="AG91" i="130"/>
  <c r="AY91" i="130"/>
  <c r="AX91" i="130"/>
  <c r="AV91" i="130"/>
  <c r="AW91" i="130"/>
  <c r="R94" i="132"/>
  <c r="AF99" i="131"/>
  <c r="AW99" i="131"/>
  <c r="BT99" i="131"/>
  <c r="BQ99" i="131"/>
  <c r="AV99" i="131"/>
  <c r="AY99" i="131"/>
  <c r="BA99" i="131"/>
  <c r="BR99" i="131"/>
  <c r="BS99" i="131"/>
  <c r="BB36" i="132"/>
  <c r="AG36" i="132"/>
  <c r="AV96" i="130"/>
  <c r="AF96" i="130"/>
  <c r="BC24" i="131"/>
  <c r="BD37" i="130"/>
  <c r="BB37" i="130"/>
  <c r="AF38" i="131"/>
  <c r="BR38" i="131"/>
  <c r="AY38" i="131"/>
  <c r="BL38" i="131"/>
  <c r="BM38" i="131"/>
  <c r="BP38" i="131"/>
  <c r="BQ38" i="131"/>
  <c r="BO38" i="131"/>
  <c r="R16" i="130"/>
  <c r="BL24" i="130"/>
  <c r="BD24" i="130"/>
  <c r="BC24" i="130"/>
  <c r="BA24" i="130"/>
  <c r="AS24" i="130"/>
  <c r="BT24" i="130"/>
  <c r="AU22" i="132"/>
  <c r="BR22" i="132"/>
  <c r="AW38" i="131"/>
  <c r="BJ24" i="131"/>
  <c r="AW89" i="130"/>
  <c r="BD16" i="132"/>
  <c r="BC16" i="132"/>
  <c r="BA100" i="130"/>
  <c r="BC100" i="130"/>
  <c r="R15" i="132"/>
  <c r="H7" i="118"/>
  <c r="H7" i="131" s="1"/>
  <c r="BC7" i="131" s="1"/>
  <c r="BT25" i="132"/>
  <c r="BS25" i="132"/>
  <c r="AY25" i="132"/>
  <c r="R12" i="131"/>
  <c r="DM28" i="110"/>
  <c r="BB40" i="131"/>
  <c r="BC40" i="130"/>
  <c r="AG95" i="130"/>
  <c r="R11" i="132"/>
  <c r="R48" i="132"/>
  <c r="BA36" i="131"/>
  <c r="BT36" i="131"/>
  <c r="AF36" i="131"/>
  <c r="R98" i="132"/>
  <c r="AF99" i="132"/>
  <c r="BS99" i="132"/>
  <c r="AW99" i="132"/>
  <c r="BR99" i="132"/>
  <c r="AY99" i="132"/>
  <c r="BT99" i="132"/>
  <c r="AX99" i="132"/>
  <c r="BB99" i="132"/>
  <c r="AG99" i="132"/>
  <c r="BA99" i="132"/>
  <c r="DW36" i="110"/>
  <c r="BT5" i="131"/>
  <c r="BS5" i="131"/>
  <c r="BP5" i="131"/>
  <c r="AQ5" i="131"/>
  <c r="BM5" i="131"/>
  <c r="AX5" i="131"/>
  <c r="AW5" i="131"/>
  <c r="AU5" i="131"/>
  <c r="BO5" i="131"/>
  <c r="BA5" i="131"/>
  <c r="BL5" i="131"/>
  <c r="BD5" i="131"/>
  <c r="BJ40" i="110"/>
  <c r="AZ12" i="110"/>
  <c r="DV12" i="110"/>
  <c r="DU12" i="110"/>
  <c r="AZ15" i="110"/>
  <c r="R37" i="130"/>
  <c r="R5" i="131"/>
  <c r="AG40" i="132"/>
  <c r="AF40" i="132"/>
  <c r="BA40" i="132"/>
  <c r="AG20" i="132"/>
  <c r="BA20" i="132"/>
  <c r="BB20" i="132"/>
  <c r="AF20" i="132"/>
  <c r="AG102" i="130"/>
  <c r="BO15" i="131"/>
  <c r="R41" i="131"/>
  <c r="BT102" i="130"/>
  <c r="BA101" i="130"/>
  <c r="BQ10" i="130"/>
  <c r="AV10" i="130"/>
  <c r="BO10" i="130"/>
  <c r="BD102" i="130"/>
  <c r="AX36" i="130"/>
  <c r="BC6" i="131"/>
  <c r="BB26" i="130"/>
  <c r="AW102" i="130"/>
  <c r="BP10" i="130"/>
  <c r="BQ92" i="130"/>
  <c r="AF42" i="130"/>
  <c r="BR92" i="130"/>
  <c r="BR96" i="130"/>
  <c r="BT22" i="132"/>
  <c r="AW22" i="132"/>
  <c r="AT22" i="132"/>
  <c r="BA25" i="132"/>
  <c r="AX25" i="132"/>
  <c r="BT24" i="131"/>
  <c r="AO24" i="131"/>
  <c r="BR24" i="131"/>
  <c r="BH24" i="131"/>
  <c r="AV24" i="131"/>
  <c r="AG24" i="131"/>
  <c r="AF94" i="130"/>
  <c r="AF92" i="130"/>
  <c r="AU95" i="130"/>
  <c r="H5" i="132"/>
  <c r="D43" i="125"/>
  <c r="BS92" i="130"/>
  <c r="BA4" i="130"/>
  <c r="BC4" i="130"/>
  <c r="AU38" i="131"/>
  <c r="BS38" i="131"/>
  <c r="AR38" i="131"/>
  <c r="BA38" i="131"/>
  <c r="BN38" i="131"/>
  <c r="BP22" i="132"/>
  <c r="BS38" i="132"/>
  <c r="BA38" i="132"/>
  <c r="AR38" i="132"/>
  <c r="BP38" i="132"/>
  <c r="BQ38" i="132"/>
  <c r="AX38" i="132"/>
  <c r="AF38" i="132"/>
  <c r="BT38" i="132"/>
  <c r="BM38" i="132"/>
  <c r="AY38" i="132"/>
  <c r="AG38" i="132"/>
  <c r="BN38" i="132"/>
  <c r="AT38" i="132"/>
  <c r="AW38" i="132"/>
  <c r="BO38" i="132"/>
  <c r="BR38" i="132"/>
  <c r="AS38" i="132"/>
  <c r="AV38" i="132"/>
  <c r="AU38" i="132"/>
  <c r="BB38" i="132"/>
  <c r="AF24" i="131"/>
  <c r="AP24" i="131"/>
  <c r="AG96" i="130"/>
  <c r="R101" i="131"/>
  <c r="R96" i="131"/>
  <c r="BS90" i="131"/>
  <c r="BR102" i="130"/>
  <c r="BC102" i="130"/>
  <c r="BC101" i="130"/>
  <c r="BT10" i="130"/>
  <c r="BN10" i="130"/>
  <c r="AW12" i="110"/>
  <c r="AS10" i="130"/>
  <c r="BS15" i="131"/>
  <c r="AU102" i="130"/>
  <c r="AW10" i="130"/>
  <c r="AG43" i="131"/>
  <c r="BC37" i="130"/>
  <c r="H8" i="132"/>
  <c r="AV22" i="132"/>
  <c r="BA22" i="132"/>
  <c r="AR22" i="132"/>
  <c r="BB22" i="132"/>
  <c r="AX22" i="132"/>
  <c r="R5" i="132"/>
  <c r="AF25" i="132"/>
  <c r="AG25" i="132"/>
  <c r="BB25" i="132"/>
  <c r="BQ24" i="131"/>
  <c r="AY24" i="131"/>
  <c r="AL24" i="131"/>
  <c r="BL24" i="131"/>
  <c r="BM24" i="131"/>
  <c r="BO24" i="131"/>
  <c r="AU24" i="131"/>
  <c r="BA24" i="131"/>
  <c r="AS24" i="131"/>
  <c r="BP12" i="110"/>
  <c r="F4" i="131"/>
  <c r="F4" i="130"/>
  <c r="AF20" i="131"/>
  <c r="BA20" i="131"/>
  <c r="AV25" i="131"/>
  <c r="AY25" i="131"/>
  <c r="BM48" i="130"/>
  <c r="BO48" i="130"/>
  <c r="BS48" i="130"/>
  <c r="AR48" i="130"/>
  <c r="AV48" i="130"/>
  <c r="BN48" i="130"/>
  <c r="R25" i="132"/>
  <c r="R89" i="130"/>
  <c r="AU96" i="130"/>
  <c r="DT38" i="110"/>
  <c r="BQ96" i="130"/>
  <c r="BP48" i="130"/>
  <c r="BL48" i="130"/>
  <c r="DU38" i="110"/>
  <c r="BS89" i="130"/>
  <c r="AX89" i="130"/>
  <c r="BQ89" i="130"/>
  <c r="BP89" i="130"/>
  <c r="BR89" i="130"/>
  <c r="BC5" i="131"/>
  <c r="R104" i="131"/>
  <c r="BO7" i="131"/>
  <c r="AS48" i="131"/>
  <c r="R43" i="130"/>
  <c r="AF97" i="130"/>
  <c r="BT30" i="130"/>
  <c r="R43" i="131"/>
  <c r="H22" i="132"/>
  <c r="BD22" i="132" s="1"/>
  <c r="BC95" i="132"/>
  <c r="BC11" i="131"/>
  <c r="BA36" i="130"/>
  <c r="BT96" i="130"/>
  <c r="DS38" i="110"/>
  <c r="AT48" i="130"/>
  <c r="AU48" i="130"/>
  <c r="AU89" i="130"/>
  <c r="AQ48" i="130"/>
  <c r="AW92" i="130"/>
  <c r="AX92" i="130"/>
  <c r="AG92" i="130"/>
  <c r="F36" i="131"/>
  <c r="F36" i="132"/>
  <c r="F36" i="130"/>
  <c r="AY96" i="130"/>
  <c r="BP96" i="130"/>
  <c r="BP95" i="130"/>
  <c r="AV95" i="130"/>
  <c r="BR95" i="130"/>
  <c r="BQ95" i="130"/>
  <c r="BT95" i="130"/>
  <c r="BB5" i="131"/>
  <c r="BC4" i="131"/>
  <c r="BC90" i="131"/>
  <c r="R41" i="132"/>
  <c r="BS95" i="130"/>
  <c r="AW96" i="130"/>
  <c r="AW95" i="130"/>
  <c r="BQ48" i="130"/>
  <c r="AV92" i="110"/>
  <c r="AF48" i="130"/>
  <c r="BB48" i="131"/>
  <c r="H23" i="132"/>
  <c r="BC23" i="132" s="1"/>
  <c r="AG48" i="131"/>
  <c r="BC13" i="131"/>
  <c r="BC88" i="131"/>
  <c r="R6" i="130"/>
  <c r="R31" i="130"/>
  <c r="AG89" i="130"/>
  <c r="BS96" i="130"/>
  <c r="AX96" i="130"/>
  <c r="BB40" i="130"/>
  <c r="AF104" i="131"/>
  <c r="BC40" i="131"/>
  <c r="AW48" i="130"/>
  <c r="AV89" i="130"/>
  <c r="AH95" i="130"/>
  <c r="BT48" i="130"/>
  <c r="AX95" i="130"/>
  <c r="AY48" i="130"/>
  <c r="AF95" i="130"/>
  <c r="AU14" i="110"/>
  <c r="AS12" i="110"/>
  <c r="DS36" i="110"/>
  <c r="DP12" i="110"/>
  <c r="BU36" i="110"/>
  <c r="BQ12" i="110"/>
  <c r="BL12" i="110"/>
  <c r="DN27" i="110"/>
  <c r="DQ12" i="110"/>
  <c r="BY40" i="110"/>
  <c r="AV25" i="110"/>
  <c r="AU12" i="110"/>
  <c r="BG27" i="110"/>
  <c r="BM27" i="110"/>
  <c r="BL27" i="110"/>
  <c r="AY12" i="110"/>
  <c r="BN12" i="110"/>
  <c r="DN12" i="110"/>
  <c r="DP38" i="110"/>
  <c r="BO12" i="110"/>
  <c r="BR12" i="110"/>
  <c r="DS12" i="110"/>
  <c r="DT12" i="110"/>
  <c r="BT12" i="110"/>
  <c r="DR12" i="110"/>
  <c r="DW12" i="110"/>
  <c r="BM12" i="110"/>
  <c r="DN38" i="110"/>
  <c r="AQ12" i="110"/>
  <c r="BS12" i="110"/>
  <c r="AX12" i="110"/>
  <c r="BU12" i="110"/>
  <c r="AT12" i="110"/>
  <c r="AR12" i="110"/>
  <c r="AY40" i="110"/>
  <c r="DS8" i="110"/>
  <c r="AT27" i="110"/>
  <c r="BN27" i="110"/>
  <c r="BJ27" i="110"/>
  <c r="DV27" i="110"/>
  <c r="AO27" i="110"/>
  <c r="DP37" i="110"/>
  <c r="G94" i="110"/>
  <c r="DO37" i="110"/>
  <c r="DR8" i="110"/>
  <c r="DR38" i="110"/>
  <c r="DV37" i="110"/>
  <c r="DQ38" i="110"/>
  <c r="DV8" i="110"/>
  <c r="DO8" i="110"/>
  <c r="DW38" i="110"/>
  <c r="BQ32" i="110"/>
  <c r="DW37" i="110"/>
  <c r="DV38" i="110"/>
  <c r="DQ95" i="110"/>
  <c r="DV93" i="110"/>
  <c r="DP14" i="110"/>
  <c r="DP40" i="110"/>
  <c r="DW95" i="110"/>
  <c r="DS95" i="110"/>
  <c r="DT36" i="110"/>
  <c r="DO95" i="110"/>
  <c r="AZ95" i="110"/>
  <c r="DR95" i="110"/>
  <c r="AZ36" i="110"/>
  <c r="DV95" i="110"/>
  <c r="DN95" i="110"/>
  <c r="DO36" i="110"/>
  <c r="AY93" i="110"/>
  <c r="BT38" i="110"/>
  <c r="BR38" i="110"/>
  <c r="AO38" i="110"/>
  <c r="BO29" i="110"/>
  <c r="DU29" i="110"/>
  <c r="AV27" i="110"/>
  <c r="DO27" i="110"/>
  <c r="BP27" i="110"/>
  <c r="AQ27" i="110"/>
  <c r="DW27" i="110"/>
  <c r="DT31" i="110"/>
  <c r="DW8" i="110"/>
  <c r="AX27" i="110"/>
  <c r="AR27" i="110"/>
  <c r="BI27" i="110"/>
  <c r="AS27" i="110"/>
  <c r="DW29" i="110"/>
  <c r="BI37" i="110"/>
  <c r="BU88" i="110"/>
  <c r="DP95" i="110"/>
  <c r="DU95" i="110"/>
  <c r="AX39" i="110"/>
  <c r="AY95" i="110"/>
  <c r="BQ95" i="110"/>
  <c r="BB95" i="110"/>
  <c r="AV95" i="110"/>
  <c r="DN17" i="110"/>
  <c r="DQ17" i="110"/>
  <c r="DR17" i="110"/>
  <c r="DU17" i="110"/>
  <c r="DT17" i="110"/>
  <c r="BR95" i="110"/>
  <c r="DW31" i="110"/>
  <c r="DN31" i="110"/>
  <c r="DR31" i="110"/>
  <c r="AO37" i="110"/>
  <c r="BK37" i="110"/>
  <c r="DU93" i="110"/>
  <c r="DS93" i="110"/>
  <c r="DT93" i="110"/>
  <c r="DP93" i="110"/>
  <c r="DO93" i="110"/>
  <c r="DO91" i="110" s="1"/>
  <c r="AZ93" i="110"/>
  <c r="BT92" i="110"/>
  <c r="BS92" i="110"/>
  <c r="AY92" i="110"/>
  <c r="BU92" i="110"/>
  <c r="AZ92" i="110"/>
  <c r="AX92" i="110"/>
  <c r="BW92" i="110"/>
  <c r="DS17" i="110"/>
  <c r="BS95" i="110"/>
  <c r="DR93" i="110"/>
  <c r="AW92" i="110"/>
  <c r="BQ92" i="110"/>
  <c r="BQ8" i="110"/>
  <c r="AW8" i="110"/>
  <c r="BH8" i="110"/>
  <c r="DN36" i="110"/>
  <c r="DP36" i="110"/>
  <c r="BT36" i="110"/>
  <c r="DU36" i="110"/>
  <c r="AX36" i="110"/>
  <c r="AW36" i="110"/>
  <c r="AW27" i="110"/>
  <c r="DP27" i="110"/>
  <c r="DS27" i="110"/>
  <c r="BH27" i="110"/>
  <c r="AU27" i="110"/>
  <c r="BR27" i="110"/>
  <c r="AL27" i="110"/>
  <c r="AN27" i="110"/>
  <c r="BO27" i="110"/>
  <c r="AM27" i="110"/>
  <c r="DR27" i="110"/>
  <c r="BT27" i="110"/>
  <c r="AY27" i="110"/>
  <c r="AP27" i="110"/>
  <c r="DU27" i="110"/>
  <c r="BK27" i="110"/>
  <c r="BQ27" i="110"/>
  <c r="AZ27" i="110"/>
  <c r="BU27" i="110"/>
  <c r="BS27" i="110"/>
  <c r="BQ29" i="110"/>
  <c r="BP34" i="110"/>
  <c r="DR34" i="110"/>
  <c r="DS34" i="110"/>
  <c r="DO34" i="110"/>
  <c r="DW34" i="110"/>
  <c r="BD92" i="110"/>
  <c r="CR92" i="110"/>
  <c r="BB92" i="110"/>
  <c r="BC92" i="110"/>
  <c r="DS28" i="110"/>
  <c r="BM28" i="110"/>
  <c r="AW87" i="110"/>
  <c r="AV87" i="110"/>
  <c r="DR87" i="110"/>
  <c r="BS15" i="110"/>
  <c r="BN15" i="110"/>
  <c r="DO15" i="110"/>
  <c r="BP15" i="110"/>
  <c r="BJ11" i="110"/>
  <c r="AR11" i="110"/>
  <c r="AV11" i="110"/>
  <c r="AO11" i="110"/>
  <c r="BM11" i="110"/>
  <c r="AX11" i="110"/>
  <c r="AY11" i="110"/>
  <c r="BK11" i="110"/>
  <c r="BL11" i="110"/>
  <c r="AP11" i="110"/>
  <c r="AQ11" i="110"/>
  <c r="AU11" i="110"/>
  <c r="BU11" i="110"/>
  <c r="AW11" i="110"/>
  <c r="BO11" i="110"/>
  <c r="BP11" i="110"/>
  <c r="BS11" i="110"/>
  <c r="BT11" i="110"/>
  <c r="AT11" i="110"/>
  <c r="AV39" i="110"/>
  <c r="BT39" i="110"/>
  <c r="AQ28" i="110"/>
  <c r="AQ34" i="110"/>
  <c r="AT29" i="110"/>
  <c r="DW93" i="110"/>
  <c r="AX93" i="110"/>
  <c r="DN93" i="110"/>
  <c r="BS93" i="110"/>
  <c r="CT31" i="110"/>
  <c r="BM31" i="110"/>
  <c r="AW96" i="110"/>
  <c r="BT96" i="110"/>
  <c r="DQ96" i="110"/>
  <c r="BK38" i="110"/>
  <c r="AU38" i="110"/>
  <c r="AS38" i="110"/>
  <c r="AQ38" i="110"/>
  <c r="BJ38" i="110"/>
  <c r="AW95" i="110"/>
  <c r="BR93" i="110"/>
  <c r="BY11" i="110"/>
  <c r="B3" i="125"/>
  <c r="BK8" i="110"/>
  <c r="DM38" i="110"/>
  <c r="AU34" i="110"/>
  <c r="BH32" i="110"/>
  <c r="AG32" i="110"/>
  <c r="BO32" i="110"/>
  <c r="AU40" i="110"/>
  <c r="BR14" i="110"/>
  <c r="BP14" i="110"/>
  <c r="DV25" i="110"/>
  <c r="DS25" i="110"/>
  <c r="DO25" i="110"/>
  <c r="DR25" i="110"/>
  <c r="DQ25" i="110"/>
  <c r="DP25" i="110"/>
  <c r="BU15" i="110"/>
  <c r="AS40" i="110"/>
  <c r="AW14" i="110"/>
  <c r="DO29" i="110"/>
  <c r="AO40" i="110"/>
  <c r="BP40" i="110"/>
  <c r="BU14" i="110"/>
  <c r="AH92" i="110"/>
  <c r="AG92" i="110"/>
  <c r="AY14" i="110"/>
  <c r="DW96" i="110"/>
  <c r="BT40" i="110"/>
  <c r="BD15" i="110"/>
  <c r="AV15" i="110"/>
  <c r="DQ15" i="110"/>
  <c r="AG14" i="110"/>
  <c r="AZ29" i="110"/>
  <c r="DW25" i="110"/>
  <c r="AY25" i="110"/>
  <c r="DT25" i="110"/>
  <c r="AY36" i="110"/>
  <c r="DQ36" i="110"/>
  <c r="AV36" i="110"/>
  <c r="DR36" i="110"/>
  <c r="BS36" i="110"/>
  <c r="DV36" i="110"/>
  <c r="BR36" i="110"/>
  <c r="BO15" i="110"/>
  <c r="BR15" i="110"/>
  <c r="DR40" i="110"/>
  <c r="DW14" i="110"/>
  <c r="BK40" i="110"/>
  <c r="DT15" i="110"/>
  <c r="BX14" i="110"/>
  <c r="DU10" i="110"/>
  <c r="DP10" i="110"/>
  <c r="BT29" i="110"/>
  <c r="BN29" i="110"/>
  <c r="AS29" i="110"/>
  <c r="DS29" i="110"/>
  <c r="BR29" i="110"/>
  <c r="AU29" i="110"/>
  <c r="BL29" i="110"/>
  <c r="BU29" i="110"/>
  <c r="DP29" i="110"/>
  <c r="DS40" i="110"/>
  <c r="DO96" i="110"/>
  <c r="AV40" i="110"/>
  <c r="AU15" i="110"/>
  <c r="AR15" i="110"/>
  <c r="BT15" i="110"/>
  <c r="AY29" i="110"/>
  <c r="BU25" i="110"/>
  <c r="DU25" i="110"/>
  <c r="DN25" i="110"/>
  <c r="AX29" i="110"/>
  <c r="AU31" i="110"/>
  <c r="BY31" i="110"/>
  <c r="AM31" i="110"/>
  <c r="BF31" i="110"/>
  <c r="BQ37" i="110"/>
  <c r="AS37" i="110"/>
  <c r="AT37" i="110"/>
  <c r="BP37" i="110"/>
  <c r="DM27" i="110"/>
  <c r="BC96" i="110"/>
  <c r="G86" i="110"/>
  <c r="DN18" i="110"/>
  <c r="BT18" i="110"/>
  <c r="DQ18" i="110"/>
  <c r="DV18" i="110"/>
  <c r="DT18" i="110"/>
  <c r="DS18" i="110"/>
  <c r="AY18" i="110"/>
  <c r="AV88" i="110"/>
  <c r="BQ88" i="110"/>
  <c r="AY88" i="110"/>
  <c r="CR88" i="110"/>
  <c r="DS88" i="110"/>
  <c r="DT88" i="110"/>
  <c r="DN88" i="110"/>
  <c r="AW88" i="110"/>
  <c r="BC88" i="110"/>
  <c r="DQ88" i="110"/>
  <c r="DP88" i="110"/>
  <c r="AZ88" i="110"/>
  <c r="DR88" i="110"/>
  <c r="DU88" i="110"/>
  <c r="DO88" i="110"/>
  <c r="AX88" i="110"/>
  <c r="BT88" i="110"/>
  <c r="BD88" i="110"/>
  <c r="DV88" i="110"/>
  <c r="BB88" i="110"/>
  <c r="DW28" i="110"/>
  <c r="DQ28" i="110"/>
  <c r="AU28" i="110"/>
  <c r="DU28" i="110"/>
  <c r="AX28" i="110"/>
  <c r="AY28" i="110"/>
  <c r="DN28" i="110"/>
  <c r="BL28" i="110"/>
  <c r="BN28" i="110"/>
  <c r="DP28" i="110"/>
  <c r="BP28" i="110"/>
  <c r="AP28" i="110"/>
  <c r="DV28" i="110"/>
  <c r="DT28" i="110"/>
  <c r="AZ28" i="110"/>
  <c r="BK28" i="110"/>
  <c r="DO28" i="110"/>
  <c r="BS88" i="110"/>
  <c r="CT12" i="110"/>
  <c r="BW12" i="110"/>
  <c r="BB12" i="110"/>
  <c r="AG12" i="110"/>
  <c r="AH12" i="110"/>
  <c r="BX12" i="110"/>
  <c r="BR28" i="110"/>
  <c r="BR88" i="110"/>
  <c r="BQ93" i="110"/>
  <c r="AW93" i="110"/>
  <c r="BU93" i="110"/>
  <c r="BC93" i="110"/>
  <c r="DU18" i="110"/>
  <c r="BT93" i="110"/>
  <c r="AW15" i="110"/>
  <c r="AT15" i="110"/>
  <c r="AX15" i="110"/>
  <c r="BK15" i="110"/>
  <c r="AO15" i="110"/>
  <c r="BY15" i="110"/>
  <c r="BM15" i="110"/>
  <c r="DV15" i="110"/>
  <c r="BL15" i="110"/>
  <c r="AQ15" i="110"/>
  <c r="BS39" i="110"/>
  <c r="BU39" i="110"/>
  <c r="AW39" i="110"/>
  <c r="AD87" i="110"/>
  <c r="N86" i="110"/>
  <c r="AD86" i="110" s="1"/>
  <c r="AV93" i="110"/>
  <c r="BL34" i="110"/>
  <c r="DM29" i="110"/>
  <c r="AL31" i="110"/>
  <c r="BT31" i="110"/>
  <c r="AS31" i="110"/>
  <c r="DU31" i="110"/>
  <c r="AH88" i="110"/>
  <c r="BS87" i="110"/>
  <c r="DU87" i="110"/>
  <c r="AV37" i="110"/>
  <c r="BH37" i="110"/>
  <c r="BR37" i="110"/>
  <c r="BU37" i="110"/>
  <c r="BM29" i="110"/>
  <c r="AR29" i="110"/>
  <c r="BS29" i="110"/>
  <c r="DN29" i="110"/>
  <c r="AV29" i="110"/>
  <c r="AQ29" i="110"/>
  <c r="DQ29" i="110"/>
  <c r="AK40" i="110"/>
  <c r="AJ40" i="110"/>
  <c r="DV40" i="110"/>
  <c r="DP17" i="110"/>
  <c r="DV17" i="110"/>
  <c r="AX95" i="110"/>
  <c r="BT95" i="110"/>
  <c r="BW93" i="110"/>
  <c r="DT29" i="110"/>
  <c r="BE40" i="110"/>
  <c r="BS40" i="110"/>
  <c r="AY15" i="110"/>
  <c r="DN15" i="110"/>
  <c r="DN13" i="110" s="1"/>
  <c r="BQ15" i="110"/>
  <c r="DU15" i="110"/>
  <c r="BW96" i="110"/>
  <c r="DP31" i="110"/>
  <c r="BP29" i="110"/>
  <c r="AW29" i="110"/>
  <c r="DR29" i="110"/>
  <c r="BQ31" i="110"/>
  <c r="DN10" i="110"/>
  <c r="DN87" i="110"/>
  <c r="AH32" i="110"/>
  <c r="DV29" i="110"/>
  <c r="AY37" i="110"/>
  <c r="DW17" i="110"/>
  <c r="AN37" i="110"/>
  <c r="BJ15" i="110"/>
  <c r="DW15" i="110"/>
  <c r="BR39" i="110"/>
  <c r="BU95" i="110"/>
  <c r="AZ32" i="110"/>
  <c r="AZ18" i="110"/>
  <c r="BB93" i="110"/>
  <c r="AG87" i="110"/>
  <c r="BD14" i="110"/>
  <c r="BC97" i="130"/>
  <c r="BB26" i="131"/>
  <c r="CR14" i="110"/>
  <c r="BC11" i="110"/>
  <c r="AG88" i="110"/>
  <c r="BC4" i="132"/>
  <c r="BA40" i="130"/>
  <c r="BC93" i="132"/>
  <c r="BD40" i="130"/>
  <c r="BA37" i="130"/>
  <c r="BA34" i="130"/>
  <c r="CT14" i="110"/>
  <c r="BZ12" i="110"/>
  <c r="BB87" i="110"/>
  <c r="BD11" i="110"/>
  <c r="J16" i="110"/>
  <c r="AY10" i="110"/>
  <c r="CR12" i="110"/>
  <c r="AX38" i="110"/>
  <c r="AZ11" i="110"/>
  <c r="BR11" i="110"/>
  <c r="I91" i="110"/>
  <c r="AY38" i="110"/>
  <c r="AZ38" i="110"/>
  <c r="AS11" i="110"/>
  <c r="AT38" i="110"/>
  <c r="AP38" i="110"/>
  <c r="DO39" i="110"/>
  <c r="DV39" i="110"/>
  <c r="DN39" i="110"/>
  <c r="DU39" i="110"/>
  <c r="DT39" i="110"/>
  <c r="BQ39" i="110"/>
  <c r="DS39" i="110"/>
  <c r="DR39" i="110"/>
  <c r="AZ39" i="110"/>
  <c r="DQ39" i="110"/>
  <c r="DP39" i="110"/>
  <c r="AY39" i="110"/>
  <c r="DW39" i="110"/>
  <c r="DT37" i="110"/>
  <c r="BO37" i="110"/>
  <c r="AX37" i="110"/>
  <c r="DU37" i="110"/>
  <c r="BL37" i="110"/>
  <c r="AQ37" i="110"/>
  <c r="DR37" i="110"/>
  <c r="BM37" i="110"/>
  <c r="AR37" i="110"/>
  <c r="DQ37" i="110"/>
  <c r="BJ37" i="110"/>
  <c r="AM37" i="110"/>
  <c r="DN37" i="110"/>
  <c r="BG37" i="110"/>
  <c r="AP37" i="110"/>
  <c r="BT37" i="110"/>
  <c r="AW37" i="110"/>
  <c r="AZ37" i="110"/>
  <c r="BN37" i="110"/>
  <c r="AL37" i="110"/>
  <c r="BS37" i="110"/>
  <c r="AU37" i="110"/>
  <c r="BQ11" i="110"/>
  <c r="AP32" i="110"/>
  <c r="BU28" i="110"/>
  <c r="BI38" i="110"/>
  <c r="BS38" i="110"/>
  <c r="DS15" i="110"/>
  <c r="AS15" i="110"/>
  <c r="DP15" i="110"/>
  <c r="DR15" i="110"/>
  <c r="AP15" i="110"/>
  <c r="BC95" i="110"/>
  <c r="BP8" i="110"/>
  <c r="AR8" i="110"/>
  <c r="BM8" i="110"/>
  <c r="BC87" i="110"/>
  <c r="BZ15" i="110"/>
  <c r="CT15" i="110"/>
  <c r="AW32" i="110"/>
  <c r="BX32" i="110"/>
  <c r="BQ25" i="110"/>
  <c r="CR32" i="110"/>
  <c r="AW10" i="110"/>
  <c r="AT8" i="110"/>
  <c r="AM40" i="110"/>
  <c r="AT40" i="110"/>
  <c r="BQ40" i="110"/>
  <c r="BI40" i="110"/>
  <c r="AI40" i="110"/>
  <c r="BG40" i="110"/>
  <c r="BD40" i="110"/>
  <c r="AZ40" i="110"/>
  <c r="BO40" i="110"/>
  <c r="CT40" i="110"/>
  <c r="AL40" i="110"/>
  <c r="AR40" i="110"/>
  <c r="BO28" i="110"/>
  <c r="BU18" i="110"/>
  <c r="BN40" i="110"/>
  <c r="DO40" i="110"/>
  <c r="BT28" i="110"/>
  <c r="AS28" i="110"/>
  <c r="AR28" i="110"/>
  <c r="AV28" i="110"/>
  <c r="AQ40" i="110"/>
  <c r="DT40" i="110"/>
  <c r="DW40" i="110"/>
  <c r="BD95" i="110"/>
  <c r="AY8" i="110"/>
  <c r="BI8" i="110"/>
  <c r="AQ8" i="110"/>
  <c r="BT8" i="110"/>
  <c r="AV8" i="110"/>
  <c r="BM14" i="110"/>
  <c r="BK14" i="110"/>
  <c r="BY14" i="110"/>
  <c r="BT14" i="110"/>
  <c r="BD87" i="110"/>
  <c r="DU14" i="110"/>
  <c r="DR96" i="110"/>
  <c r="DT96" i="110"/>
  <c r="DT94" i="110" s="1"/>
  <c r="AN40" i="110"/>
  <c r="BU40" i="110"/>
  <c r="AX40" i="110"/>
  <c r="DQ40" i="110"/>
  <c r="BH40" i="110"/>
  <c r="BX15" i="110"/>
  <c r="BQ96" i="110"/>
  <c r="BN31" i="110"/>
  <c r="AV31" i="110"/>
  <c r="BO31" i="110"/>
  <c r="BD31" i="110"/>
  <c r="AZ31" i="110"/>
  <c r="CT32" i="110"/>
  <c r="BG32" i="110"/>
  <c r="DR32" i="110"/>
  <c r="AW25" i="110"/>
  <c r="DM91" i="110"/>
  <c r="BR10" i="110"/>
  <c r="BN8" i="110"/>
  <c r="BR40" i="110"/>
  <c r="AH93" i="110"/>
  <c r="DQ87" i="110"/>
  <c r="AI32" i="110"/>
  <c r="BR32" i="110"/>
  <c r="BS25" i="110"/>
  <c r="DV34" i="110"/>
  <c r="BS34" i="110"/>
  <c r="AX34" i="110"/>
  <c r="BJ34" i="110"/>
  <c r="BU34" i="110"/>
  <c r="AZ34" i="110"/>
  <c r="AM34" i="110"/>
  <c r="BO34" i="110"/>
  <c r="AP34" i="110"/>
  <c r="BR34" i="110"/>
  <c r="AO34" i="110"/>
  <c r="BQ34" i="110"/>
  <c r="AR34" i="110"/>
  <c r="DN34" i="110"/>
  <c r="BK34" i="110"/>
  <c r="AS34" i="110"/>
  <c r="AN34" i="110"/>
  <c r="AY34" i="110"/>
  <c r="BT34" i="110"/>
  <c r="BH34" i="110"/>
  <c r="AL34" i="110"/>
  <c r="AW34" i="110"/>
  <c r="AV34" i="110"/>
  <c r="DU34" i="110"/>
  <c r="BG34" i="110"/>
  <c r="BN34" i="110"/>
  <c r="BI34" i="110"/>
  <c r="AT34" i="110"/>
  <c r="DT34" i="110"/>
  <c r="BM34" i="110"/>
  <c r="DP34" i="110"/>
  <c r="BQ38" i="110"/>
  <c r="AR38" i="110"/>
  <c r="BL38" i="110"/>
  <c r="AW38" i="110"/>
  <c r="AM38" i="110"/>
  <c r="BO38" i="110"/>
  <c r="AL38" i="110"/>
  <c r="BD12" i="110"/>
  <c r="AV38" i="110"/>
  <c r="BM38" i="110"/>
  <c r="BP38" i="110"/>
  <c r="BH38" i="110"/>
  <c r="AU32" i="110"/>
  <c r="BR25" i="110"/>
  <c r="DO87" i="110"/>
  <c r="DT87" i="110"/>
  <c r="AX87" i="110"/>
  <c r="AY87" i="110"/>
  <c r="DW87" i="110"/>
  <c r="DW86" i="110" s="1"/>
  <c r="DP87" i="110"/>
  <c r="BT87" i="110"/>
  <c r="DS87" i="110"/>
  <c r="BQ87" i="110"/>
  <c r="BU87" i="110"/>
  <c r="BQ28" i="110"/>
  <c r="BF40" i="110"/>
  <c r="DU40" i="110"/>
  <c r="DN40" i="110"/>
  <c r="AH95" i="110"/>
  <c r="AS8" i="110"/>
  <c r="AZ8" i="110"/>
  <c r="BL8" i="110"/>
  <c r="AN8" i="110"/>
  <c r="BU8" i="110"/>
  <c r="AO14" i="110"/>
  <c r="AV14" i="110"/>
  <c r="AT14" i="110"/>
  <c r="BN14" i="110"/>
  <c r="AH14" i="110"/>
  <c r="BL14" i="110"/>
  <c r="AG93" i="110"/>
  <c r="AH87" i="110"/>
  <c r="I86" i="110"/>
  <c r="DP96" i="110"/>
  <c r="BM40" i="110"/>
  <c r="AP40" i="110"/>
  <c r="AW40" i="110"/>
  <c r="BL40" i="110"/>
  <c r="AK31" i="110"/>
  <c r="AX31" i="110"/>
  <c r="BL31" i="110"/>
  <c r="AJ31" i="110"/>
  <c r="BS31" i="110"/>
  <c r="BL32" i="110"/>
  <c r="BN32" i="110"/>
  <c r="AX32" i="110"/>
  <c r="AX25" i="110"/>
  <c r="AU8" i="110"/>
  <c r="BR87" i="110"/>
  <c r="AZ87" i="110"/>
  <c r="DV87" i="110"/>
  <c r="AZ25" i="110"/>
  <c r="B25" i="125"/>
  <c r="C44" i="110"/>
  <c r="DR18" i="110"/>
  <c r="DO18" i="110"/>
  <c r="DW18" i="110"/>
  <c r="CS12" i="110"/>
  <c r="BY12" i="110"/>
  <c r="BC12" i="110"/>
  <c r="BG38" i="110"/>
  <c r="AN38" i="110"/>
  <c r="BN38" i="110"/>
  <c r="BU38" i="110"/>
  <c r="AW6" i="131"/>
  <c r="BK6" i="131"/>
  <c r="AP6" i="131"/>
  <c r="BP6" i="131"/>
  <c r="BA6" i="131"/>
  <c r="BT6" i="131"/>
  <c r="BS6" i="131"/>
  <c r="AX6" i="131"/>
  <c r="AQ6" i="131"/>
  <c r="BJ6" i="131"/>
  <c r="AG6" i="131"/>
  <c r="F8" i="132"/>
  <c r="AH8" i="132" s="1"/>
  <c r="F8" i="130"/>
  <c r="F8" i="131"/>
  <c r="BA104" i="132"/>
  <c r="AF104" i="132"/>
  <c r="AG104" i="132"/>
  <c r="BC104" i="132"/>
  <c r="BC31" i="110"/>
  <c r="CR31" i="110"/>
  <c r="BW31" i="110"/>
  <c r="BB31" i="110"/>
  <c r="N13" i="110"/>
  <c r="AD13" i="110" s="1"/>
  <c r="DM36" i="110"/>
  <c r="CS11" i="110"/>
  <c r="AH11" i="110"/>
  <c r="BX11" i="110"/>
  <c r="AH90" i="131"/>
  <c r="R4" i="131"/>
  <c r="BD6" i="131"/>
  <c r="AY6" i="131"/>
  <c r="BO6" i="131"/>
  <c r="BA102" i="130"/>
  <c r="BB102" i="130"/>
  <c r="CS31" i="110"/>
  <c r="R38" i="131"/>
  <c r="BW95" i="110"/>
  <c r="CR95" i="110"/>
  <c r="AG95" i="110"/>
  <c r="DN8" i="110"/>
  <c r="AX8" i="110"/>
  <c r="AO8" i="110"/>
  <c r="BO8" i="110"/>
  <c r="BJ8" i="110"/>
  <c r="BR8" i="110"/>
  <c r="BG8" i="110"/>
  <c r="DT8" i="110"/>
  <c r="DQ8" i="110"/>
  <c r="AP8" i="110"/>
  <c r="DP8" i="110"/>
  <c r="AM8" i="110"/>
  <c r="BS8" i="110"/>
  <c r="AL8" i="110"/>
  <c r="R7" i="132"/>
  <c r="BS11" i="131"/>
  <c r="AX11" i="131"/>
  <c r="BO11" i="131"/>
  <c r="AT11" i="131"/>
  <c r="BX31" i="110"/>
  <c r="AR6" i="131"/>
  <c r="AF6" i="131"/>
  <c r="BN6" i="131"/>
  <c r="F37" i="130"/>
  <c r="F37" i="132"/>
  <c r="AT13" i="131"/>
  <c r="AP13" i="131"/>
  <c r="BO13" i="131"/>
  <c r="H22" i="131"/>
  <c r="H22" i="130"/>
  <c r="CT11" i="110"/>
  <c r="F37" i="131"/>
  <c r="R26" i="131"/>
  <c r="BQ6" i="131"/>
  <c r="AT6" i="131"/>
  <c r="AO6" i="131"/>
  <c r="BA103" i="130"/>
  <c r="B110" i="115"/>
  <c r="H19" i="118" s="1"/>
  <c r="B111" i="115"/>
  <c r="F19" i="118" s="1"/>
  <c r="AV32" i="110"/>
  <c r="AS32" i="110"/>
  <c r="AY32" i="110"/>
  <c r="DT32" i="110"/>
  <c r="AN32" i="110"/>
  <c r="DW32" i="110"/>
  <c r="BJ32" i="110"/>
  <c r="BU32" i="110"/>
  <c r="BP32" i="110"/>
  <c r="DU32" i="110"/>
  <c r="DP32" i="110"/>
  <c r="DO32" i="110"/>
  <c r="BB32" i="110"/>
  <c r="BM32" i="110"/>
  <c r="BI32" i="110"/>
  <c r="DN32" i="110"/>
  <c r="BS32" i="110"/>
  <c r="BC32" i="110"/>
  <c r="AL32" i="110"/>
  <c r="BW32" i="110"/>
  <c r="AO32" i="110"/>
  <c r="BT32" i="110"/>
  <c r="AM32" i="110"/>
  <c r="AQ32" i="110"/>
  <c r="AR32" i="110"/>
  <c r="BY32" i="110"/>
  <c r="BZ32" i="110"/>
  <c r="DV32" i="110"/>
  <c r="CS32" i="110"/>
  <c r="BK32" i="110"/>
  <c r="AT32" i="110"/>
  <c r="DQ32" i="110"/>
  <c r="DS32" i="110"/>
  <c r="BD32" i="110"/>
  <c r="BW87" i="110"/>
  <c r="BW88" i="110"/>
  <c r="CR87" i="110"/>
  <c r="BT17" i="110"/>
  <c r="BU17" i="110"/>
  <c r="AZ17" i="110"/>
  <c r="AY17" i="110"/>
  <c r="AZ96" i="110"/>
  <c r="AG96" i="110"/>
  <c r="BS96" i="110"/>
  <c r="BD96" i="110"/>
  <c r="BQ14" i="110"/>
  <c r="BB14" i="110"/>
  <c r="BS14" i="110"/>
  <c r="AP14" i="110"/>
  <c r="AR14" i="110"/>
  <c r="BW14" i="110"/>
  <c r="BC14" i="110"/>
  <c r="DT14" i="110"/>
  <c r="AZ14" i="110"/>
  <c r="DV14" i="110"/>
  <c r="AX14" i="110"/>
  <c r="BO14" i="110"/>
  <c r="BJ14" i="110"/>
  <c r="CS14" i="110"/>
  <c r="AS14" i="110"/>
  <c r="DQ14" i="110"/>
  <c r="AQ14" i="110"/>
  <c r="DR14" i="110"/>
  <c r="DS14" i="110"/>
  <c r="DO14" i="110"/>
  <c r="R33" i="132"/>
  <c r="R27" i="132"/>
  <c r="R92" i="132"/>
  <c r="R103" i="131"/>
  <c r="R36" i="132"/>
  <c r="BS28" i="110"/>
  <c r="AT28" i="110"/>
  <c r="DR28" i="110"/>
  <c r="AW28" i="110"/>
  <c r="BT25" i="110"/>
  <c r="F22" i="132"/>
  <c r="F22" i="131"/>
  <c r="F22" i="130"/>
  <c r="DQ31" i="110"/>
  <c r="BI31" i="110"/>
  <c r="AY31" i="110"/>
  <c r="AN31" i="110"/>
  <c r="BR31" i="110"/>
  <c r="DS31" i="110"/>
  <c r="BK31" i="110"/>
  <c r="AR31" i="110"/>
  <c r="BH31" i="110"/>
  <c r="BG31" i="110"/>
  <c r="AO31" i="110"/>
  <c r="BJ31" i="110"/>
  <c r="AQ31" i="110"/>
  <c r="BE31" i="110"/>
  <c r="BP31" i="110"/>
  <c r="AW31" i="110"/>
  <c r="DV31" i="110"/>
  <c r="AT31" i="110"/>
  <c r="AP31" i="110"/>
  <c r="AI31" i="110"/>
  <c r="BU31" i="110"/>
  <c r="F17" i="109"/>
  <c r="E19" i="109"/>
  <c r="CS15" i="110"/>
  <c r="BB15" i="110"/>
  <c r="AG15" i="110"/>
  <c r="CR15" i="110"/>
  <c r="CU15" i="110"/>
  <c r="BC15" i="110"/>
  <c r="AH15" i="110"/>
  <c r="BW15" i="110"/>
  <c r="BA34" i="132"/>
  <c r="BB34" i="132"/>
  <c r="AF34" i="132"/>
  <c r="AG34" i="132"/>
  <c r="DS96" i="110"/>
  <c r="AX96" i="110"/>
  <c r="AY96" i="110"/>
  <c r="AV96" i="110"/>
  <c r="CR96" i="110"/>
  <c r="DV96" i="110"/>
  <c r="BU96" i="110"/>
  <c r="BR96" i="110"/>
  <c r="AH96" i="110"/>
  <c r="DN96" i="110"/>
  <c r="DU96" i="110"/>
  <c r="BB96" i="110"/>
  <c r="I94" i="110"/>
  <c r="G13" i="110"/>
  <c r="DR10" i="110"/>
  <c r="DS10" i="110"/>
  <c r="DV10" i="110"/>
  <c r="BU10" i="110"/>
  <c r="AU10" i="110"/>
  <c r="AX10" i="110"/>
  <c r="DW10" i="110"/>
  <c r="AZ10" i="110"/>
  <c r="BQ10" i="110"/>
  <c r="BP10" i="110"/>
  <c r="DT10" i="110"/>
  <c r="BT10" i="110"/>
  <c r="DO10" i="110"/>
  <c r="BS10" i="110"/>
  <c r="AV10" i="110"/>
  <c r="R12" i="130"/>
  <c r="R46" i="131"/>
  <c r="B18" i="125"/>
  <c r="C16" i="110"/>
  <c r="DM94" i="110"/>
  <c r="BD93" i="110"/>
  <c r="CR93" i="110"/>
  <c r="G91" i="110"/>
  <c r="BD11" i="132"/>
  <c r="BD41" i="132"/>
  <c r="H10" i="109"/>
  <c r="BE64" i="131" s="1"/>
  <c r="BD6" i="132"/>
  <c r="BD14" i="132"/>
  <c r="BD26" i="132"/>
  <c r="BD24" i="132"/>
  <c r="BD30" i="132"/>
  <c r="BD32" i="132"/>
  <c r="BD40" i="132"/>
  <c r="BD42" i="132"/>
  <c r="BD102" i="132"/>
  <c r="BD97" i="132"/>
  <c r="BD100" i="132"/>
  <c r="BD101" i="132"/>
  <c r="BD4" i="131"/>
  <c r="BD24" i="131"/>
  <c r="BD96" i="132"/>
  <c r="BD98" i="132"/>
  <c r="BD104" i="132"/>
  <c r="BD40" i="131"/>
  <c r="BD34" i="130"/>
  <c r="BD4" i="130"/>
  <c r="P16" i="109"/>
  <c r="BZ31" i="110"/>
  <c r="H14" i="109"/>
  <c r="CA29" i="126" s="1"/>
  <c r="BZ14" i="110"/>
  <c r="BZ40" i="110"/>
  <c r="R30" i="130"/>
  <c r="BB103" i="130"/>
  <c r="BS93" i="131"/>
  <c r="BA93" i="131"/>
  <c r="AV93" i="131"/>
  <c r="BT93" i="131"/>
  <c r="BQ93" i="131"/>
  <c r="AX93" i="131"/>
  <c r="AF93" i="131"/>
  <c r="BR93" i="131"/>
  <c r="AY93" i="131"/>
  <c r="AW93" i="131"/>
  <c r="AF21" i="131"/>
  <c r="AV21" i="131"/>
  <c r="BM21" i="131"/>
  <c r="AS21" i="131"/>
  <c r="AW21" i="131"/>
  <c r="BL21" i="131"/>
  <c r="BP21" i="131"/>
  <c r="BT21" i="131"/>
  <c r="AR21" i="131"/>
  <c r="BA21" i="131"/>
  <c r="BQ21" i="131"/>
  <c r="AQ21" i="131"/>
  <c r="AU21" i="131"/>
  <c r="AY21" i="131"/>
  <c r="BN21" i="131"/>
  <c r="BR21" i="131"/>
  <c r="BD94" i="130"/>
  <c r="BB94" i="130"/>
  <c r="BC94" i="130"/>
  <c r="BA94" i="130"/>
  <c r="AH104" i="131"/>
  <c r="AW95" i="131"/>
  <c r="BR95" i="131"/>
  <c r="AV95" i="131"/>
  <c r="BA95" i="131"/>
  <c r="BS95" i="131"/>
  <c r="AY95" i="131"/>
  <c r="BT95" i="131"/>
  <c r="AF95" i="131"/>
  <c r="AX95" i="131"/>
  <c r="BQ95" i="131"/>
  <c r="AG30" i="131"/>
  <c r="AF90" i="131"/>
  <c r="BA90" i="131"/>
  <c r="AW90" i="131"/>
  <c r="BR90" i="131"/>
  <c r="AV90" i="131"/>
  <c r="BQ90" i="131"/>
  <c r="AY90" i="131"/>
  <c r="BT90" i="131"/>
  <c r="BD16" i="130"/>
  <c r="BA16" i="130"/>
  <c r="BC16" i="130"/>
  <c r="AR5" i="131"/>
  <c r="AS5" i="131"/>
  <c r="BQ5" i="131"/>
  <c r="BR5" i="131"/>
  <c r="AF29" i="131"/>
  <c r="BA29" i="131"/>
  <c r="BT29" i="131"/>
  <c r="AY29" i="131"/>
  <c r="BC96" i="130"/>
  <c r="BB96" i="130"/>
  <c r="BA96" i="130"/>
  <c r="R5" i="130"/>
  <c r="BD96" i="130"/>
  <c r="BS89" i="131"/>
  <c r="BA89" i="131"/>
  <c r="AV89" i="131"/>
  <c r="BT89" i="131"/>
  <c r="AW89" i="131"/>
  <c r="BQ89" i="131"/>
  <c r="AX89" i="131"/>
  <c r="AF89" i="131"/>
  <c r="AY89" i="131"/>
  <c r="BR89" i="131"/>
  <c r="AS10" i="131"/>
  <c r="BN10" i="131"/>
  <c r="BQ10" i="131"/>
  <c r="BM10" i="131"/>
  <c r="AX10" i="131"/>
  <c r="AT10" i="131"/>
  <c r="AF10" i="131"/>
  <c r="AY10" i="131"/>
  <c r="BT10" i="131"/>
  <c r="AW10" i="131"/>
  <c r="BR10" i="131"/>
  <c r="BS10" i="131"/>
  <c r="BO10" i="131"/>
  <c r="BA10" i="131"/>
  <c r="AV10" i="131"/>
  <c r="AR10" i="131"/>
  <c r="AU10" i="131"/>
  <c r="BP10" i="131"/>
  <c r="BC104" i="131"/>
  <c r="BD104" i="131"/>
  <c r="BS92" i="131"/>
  <c r="AF92" i="131"/>
  <c r="AV92" i="131"/>
  <c r="AY92" i="131"/>
  <c r="BD92" i="131"/>
  <c r="BT92" i="131"/>
  <c r="BA92" i="131"/>
  <c r="BQ92" i="131"/>
  <c r="AG92" i="131"/>
  <c r="AW92" i="131"/>
  <c r="BB92" i="131"/>
  <c r="BR92" i="131"/>
  <c r="BS91" i="131"/>
  <c r="BA91" i="131"/>
  <c r="AV91" i="131"/>
  <c r="AF91" i="131"/>
  <c r="AY91" i="131"/>
  <c r="AG91" i="131"/>
  <c r="AW91" i="131"/>
  <c r="BQ91" i="131"/>
  <c r="AX91" i="131"/>
  <c r="BT91" i="131"/>
  <c r="BR91" i="131"/>
  <c r="BA41" i="130"/>
  <c r="BC41" i="130"/>
  <c r="BD41" i="130"/>
  <c r="BB89" i="130"/>
  <c r="BC89" i="130"/>
  <c r="BD89" i="130"/>
  <c r="BA89" i="130"/>
  <c r="BD93" i="130"/>
  <c r="BA93" i="130"/>
  <c r="BB93" i="130"/>
  <c r="BC93" i="130"/>
  <c r="BB90" i="130"/>
  <c r="AG93" i="131"/>
  <c r="BB90" i="131"/>
  <c r="BD90" i="131"/>
  <c r="AY28" i="131"/>
  <c r="AF28" i="131"/>
  <c r="BT28" i="131"/>
  <c r="BA28" i="131"/>
  <c r="BC90" i="130"/>
  <c r="BA90" i="130"/>
  <c r="BD90" i="130"/>
  <c r="BB41" i="130"/>
  <c r="R101" i="130"/>
  <c r="R93" i="130"/>
  <c r="R88" i="131"/>
  <c r="R100" i="130"/>
  <c r="R92" i="130"/>
  <c r="AG95" i="131"/>
  <c r="AF42" i="131"/>
  <c r="BT42" i="131"/>
  <c r="BA42" i="131"/>
  <c r="AY42" i="131"/>
  <c r="BA35" i="131"/>
  <c r="AY35" i="131"/>
  <c r="AF35" i="131"/>
  <c r="BT35" i="131"/>
  <c r="AR15" i="131"/>
  <c r="BA15" i="131"/>
  <c r="BQ15" i="131"/>
  <c r="AQ15" i="131"/>
  <c r="AU15" i="131"/>
  <c r="AY15" i="131"/>
  <c r="BL15" i="131"/>
  <c r="BP15" i="131"/>
  <c r="BT15" i="131"/>
  <c r="AF15" i="131"/>
  <c r="AV15" i="131"/>
  <c r="BM15" i="131"/>
  <c r="AO15" i="131"/>
  <c r="AS15" i="131"/>
  <c r="AW15" i="131"/>
  <c r="BJ15" i="131"/>
  <c r="BN15" i="131"/>
  <c r="BR15" i="131"/>
  <c r="R104" i="130"/>
  <c r="BS102" i="131"/>
  <c r="BA102" i="131"/>
  <c r="AV102" i="131"/>
  <c r="BR102" i="131"/>
  <c r="AW102" i="131"/>
  <c r="BQ102" i="131"/>
  <c r="AX102" i="131"/>
  <c r="AF102" i="131"/>
  <c r="BT102" i="131"/>
  <c r="AY102" i="131"/>
  <c r="BS98" i="131"/>
  <c r="BO98" i="131"/>
  <c r="BK98" i="131"/>
  <c r="BG98" i="131"/>
  <c r="BC98" i="131"/>
  <c r="AX98" i="131"/>
  <c r="AT98" i="131"/>
  <c r="AP98" i="131"/>
  <c r="AL98" i="131"/>
  <c r="AQ98" i="131"/>
  <c r="AY98" i="131"/>
  <c r="BH98" i="131"/>
  <c r="BP98" i="131"/>
  <c r="AO98" i="131"/>
  <c r="AW98" i="131"/>
  <c r="BN98" i="131"/>
  <c r="BQ98" i="131"/>
  <c r="BM98" i="131"/>
  <c r="BI98" i="131"/>
  <c r="BA98" i="131"/>
  <c r="AV98" i="131"/>
  <c r="AR98" i="131"/>
  <c r="AN98" i="131"/>
  <c r="AF98" i="131"/>
  <c r="AM98" i="131"/>
  <c r="AU98" i="131"/>
  <c r="BD98" i="131"/>
  <c r="BL98" i="131"/>
  <c r="BT98" i="131"/>
  <c r="AS98" i="131"/>
  <c r="BB98" i="131"/>
  <c r="BJ98" i="131"/>
  <c r="BR98" i="131"/>
  <c r="BD95" i="131"/>
  <c r="BC95" i="131"/>
  <c r="BB95" i="131"/>
  <c r="BE95" i="131"/>
  <c r="AY37" i="131"/>
  <c r="BT37" i="131"/>
  <c r="AY27" i="131"/>
  <c r="AF27" i="131"/>
  <c r="BA27" i="131"/>
  <c r="BT27" i="131"/>
  <c r="AW12" i="131"/>
  <c r="BN12" i="131"/>
  <c r="BQ12" i="131"/>
  <c r="BM12" i="131"/>
  <c r="BA12" i="131"/>
  <c r="AV12" i="131"/>
  <c r="AR12" i="131"/>
  <c r="AQ12" i="131"/>
  <c r="AY12" i="131"/>
  <c r="BP12" i="131"/>
  <c r="AS12" i="131"/>
  <c r="BR12" i="131"/>
  <c r="BS12" i="131"/>
  <c r="BO12" i="131"/>
  <c r="AX12" i="131"/>
  <c r="AT12" i="131"/>
  <c r="AF12" i="131"/>
  <c r="AU12" i="131"/>
  <c r="BL12" i="131"/>
  <c r="BT12" i="131"/>
  <c r="R40" i="131"/>
  <c r="R91" i="130"/>
  <c r="R95" i="132"/>
  <c r="BS100" i="131"/>
  <c r="BC100" i="131"/>
  <c r="AX100" i="131"/>
  <c r="AY100" i="131"/>
  <c r="BB100" i="131"/>
  <c r="BR100" i="131"/>
  <c r="BQ100" i="131"/>
  <c r="BA100" i="131"/>
  <c r="AV100" i="131"/>
  <c r="AF100" i="131"/>
  <c r="BD100" i="131"/>
  <c r="BT100" i="131"/>
  <c r="AG100" i="131"/>
  <c r="AW100" i="131"/>
  <c r="BB6" i="130"/>
  <c r="BC32" i="130"/>
  <c r="BA32" i="130"/>
  <c r="BB32" i="130"/>
  <c r="BD32" i="130"/>
  <c r="BA48" i="130"/>
  <c r="BB48" i="130"/>
  <c r="BC48" i="130"/>
  <c r="BD48" i="130"/>
  <c r="BD88" i="130"/>
  <c r="BA88" i="130"/>
  <c r="BB88" i="130"/>
  <c r="BC88" i="130"/>
  <c r="BC92" i="130"/>
  <c r="BA92" i="130"/>
  <c r="BB92" i="130"/>
  <c r="BD92" i="130"/>
  <c r="BB97" i="130"/>
  <c r="BD97" i="130"/>
  <c r="R28" i="130"/>
  <c r="R99" i="130"/>
  <c r="R29" i="130"/>
  <c r="AF96" i="131"/>
  <c r="AV96" i="131"/>
  <c r="BA96" i="131"/>
  <c r="BQ96" i="131"/>
  <c r="AY96" i="131"/>
  <c r="BD96" i="131"/>
  <c r="BT96" i="131"/>
  <c r="AX96" i="131"/>
  <c r="BC96" i="131"/>
  <c r="BS96" i="131"/>
  <c r="AG96" i="131"/>
  <c r="AW96" i="131"/>
  <c r="BB96" i="131"/>
  <c r="BR96" i="131"/>
  <c r="BT43" i="131"/>
  <c r="BA43" i="131"/>
  <c r="AF43" i="131"/>
  <c r="AY43" i="131"/>
  <c r="BT41" i="131"/>
  <c r="BA41" i="131"/>
  <c r="AY41" i="131"/>
  <c r="AF41" i="131"/>
  <c r="BC27" i="131"/>
  <c r="BD27" i="131"/>
  <c r="BB27" i="131"/>
  <c r="AS16" i="131"/>
  <c r="BB16" i="131"/>
  <c r="BJ16" i="131"/>
  <c r="BR16" i="131"/>
  <c r="BQ16" i="131"/>
  <c r="BM16" i="131"/>
  <c r="BA16" i="131"/>
  <c r="AV16" i="131"/>
  <c r="AR16" i="131"/>
  <c r="AF16" i="131"/>
  <c r="AQ16" i="131"/>
  <c r="AY16" i="131"/>
  <c r="BP16" i="131"/>
  <c r="AG16" i="131"/>
  <c r="AW16" i="131"/>
  <c r="BN16" i="131"/>
  <c r="BS16" i="131"/>
  <c r="BK16" i="131"/>
  <c r="BC16" i="131"/>
  <c r="AT16" i="131"/>
  <c r="AU16" i="131"/>
  <c r="BL16" i="131"/>
  <c r="AO16" i="131"/>
  <c r="BO16" i="131"/>
  <c r="AX16" i="131"/>
  <c r="AP16" i="131"/>
  <c r="AH16" i="131"/>
  <c r="BD16" i="131"/>
  <c r="BT16" i="131"/>
  <c r="AF7" i="131"/>
  <c r="BA7" i="131"/>
  <c r="BQ7" i="131"/>
  <c r="AU7" i="131"/>
  <c r="AY7" i="131"/>
  <c r="BP7" i="131"/>
  <c r="BT7" i="131"/>
  <c r="AW7" i="131"/>
  <c r="BN7" i="131"/>
  <c r="AV7" i="131"/>
  <c r="AS7" i="131"/>
  <c r="BR7" i="131"/>
  <c r="BC42" i="130"/>
  <c r="BA42" i="130"/>
  <c r="BB42" i="130"/>
  <c r="BD42" i="130"/>
  <c r="BE42" i="130"/>
  <c r="BD91" i="130"/>
  <c r="BA91" i="130"/>
  <c r="BC91" i="130"/>
  <c r="BB91" i="130"/>
  <c r="BD95" i="130"/>
  <c r="BA95" i="130"/>
  <c r="BC95" i="130"/>
  <c r="BB95" i="130"/>
  <c r="BA98" i="130"/>
  <c r="BC98" i="130"/>
  <c r="BD98" i="130"/>
  <c r="BB98" i="130"/>
  <c r="BC104" i="130"/>
  <c r="R103" i="130"/>
  <c r="R40" i="132"/>
  <c r="BC102" i="131"/>
  <c r="BB102" i="131"/>
  <c r="BD102" i="131"/>
  <c r="AX101" i="131"/>
  <c r="AF101" i="131"/>
  <c r="BA101" i="131"/>
  <c r="BQ101" i="131"/>
  <c r="BC101" i="131"/>
  <c r="BS101" i="131"/>
  <c r="AV101" i="131"/>
  <c r="AY101" i="131"/>
  <c r="BD101" i="131"/>
  <c r="BT101" i="131"/>
  <c r="BB101" i="131"/>
  <c r="BR101" i="131"/>
  <c r="AG101" i="131"/>
  <c r="AW101" i="131"/>
  <c r="AF94" i="131"/>
  <c r="AV94" i="131"/>
  <c r="BA94" i="131"/>
  <c r="BQ94" i="131"/>
  <c r="AG94" i="131"/>
  <c r="AW94" i="131"/>
  <c r="BB94" i="131"/>
  <c r="BR94" i="131"/>
  <c r="AH94" i="131"/>
  <c r="AX94" i="131"/>
  <c r="BC94" i="131"/>
  <c r="BS94" i="131"/>
  <c r="AY94" i="131"/>
  <c r="BD94" i="131"/>
  <c r="BT94" i="131"/>
  <c r="BC91" i="131"/>
  <c r="BD91" i="131"/>
  <c r="BB91" i="131"/>
  <c r="AG89" i="131"/>
  <c r="BD41" i="131"/>
  <c r="BB41" i="131"/>
  <c r="BC41" i="131"/>
  <c r="AI26" i="131"/>
  <c r="AM26" i="131"/>
  <c r="AQ26" i="131"/>
  <c r="AU26" i="131"/>
  <c r="AY26" i="131"/>
  <c r="BF26" i="131"/>
  <c r="BJ26" i="131"/>
  <c r="BN26" i="131"/>
  <c r="BR26" i="131"/>
  <c r="AF26" i="131"/>
  <c r="AL26" i="131"/>
  <c r="AP26" i="131"/>
  <c r="AT26" i="131"/>
  <c r="AX26" i="131"/>
  <c r="BE26" i="131"/>
  <c r="BI26" i="131"/>
  <c r="BM26" i="131"/>
  <c r="BQ26" i="131"/>
  <c r="AK26" i="131"/>
  <c r="AS26" i="131"/>
  <c r="BD26" i="131"/>
  <c r="BL26" i="131"/>
  <c r="BT26" i="131"/>
  <c r="AJ26" i="131"/>
  <c r="AR26" i="131"/>
  <c r="BA26" i="131"/>
  <c r="BK26" i="131"/>
  <c r="BS26" i="131"/>
  <c r="AO26" i="131"/>
  <c r="AW26" i="131"/>
  <c r="BH26" i="131"/>
  <c r="BP26" i="131"/>
  <c r="AN26" i="131"/>
  <c r="AV26" i="131"/>
  <c r="BG26" i="131"/>
  <c r="BO26" i="131"/>
  <c r="AW8" i="131"/>
  <c r="BQ8" i="131"/>
  <c r="AX8" i="131"/>
  <c r="AY8" i="131"/>
  <c r="BT8" i="131"/>
  <c r="BR8" i="131"/>
  <c r="BA8" i="131"/>
  <c r="BP8" i="131"/>
  <c r="BS8" i="131"/>
  <c r="AV8" i="131"/>
  <c r="AF8" i="131"/>
  <c r="AU8" i="131"/>
  <c r="BB35" i="130"/>
  <c r="BA35" i="130"/>
  <c r="BD35" i="130"/>
  <c r="BC35" i="130"/>
  <c r="R44" i="130"/>
  <c r="AF103" i="131"/>
  <c r="AX103" i="131"/>
  <c r="BC103" i="131"/>
  <c r="AV103" i="131"/>
  <c r="BA103" i="131"/>
  <c r="BQ103" i="131"/>
  <c r="AG103" i="131"/>
  <c r="AW103" i="131"/>
  <c r="BB103" i="131"/>
  <c r="BR103" i="131"/>
  <c r="AY103" i="131"/>
  <c r="BS103" i="131"/>
  <c r="BD103" i="131"/>
  <c r="BT103" i="131"/>
  <c r="AG102" i="131"/>
  <c r="AG98" i="131"/>
  <c r="BA97" i="131"/>
  <c r="AF97" i="131"/>
  <c r="AY97" i="131"/>
  <c r="AG97" i="131"/>
  <c r="BC97" i="131"/>
  <c r="BD97" i="131"/>
  <c r="BT97" i="131"/>
  <c r="BB97" i="131"/>
  <c r="BC93" i="131"/>
  <c r="BD93" i="131"/>
  <c r="BB93" i="131"/>
  <c r="AG90" i="131"/>
  <c r="BD89" i="131"/>
  <c r="BC89" i="131"/>
  <c r="BB89" i="131"/>
  <c r="AF88" i="131"/>
  <c r="AV88" i="131"/>
  <c r="AY88" i="131"/>
  <c r="BD88" i="131"/>
  <c r="BT88" i="131"/>
  <c r="BA88" i="131"/>
  <c r="BQ88" i="131"/>
  <c r="AG88" i="131"/>
  <c r="AW88" i="131"/>
  <c r="BB88" i="131"/>
  <c r="BR88" i="131"/>
  <c r="BA31" i="131"/>
  <c r="AY31" i="131"/>
  <c r="BT31" i="131"/>
  <c r="AF19" i="131"/>
  <c r="BA19" i="131"/>
  <c r="BC29" i="130"/>
  <c r="BB29" i="130"/>
  <c r="BA29" i="130"/>
  <c r="BD29" i="130"/>
  <c r="R14" i="130"/>
  <c r="R15" i="130"/>
  <c r="R46" i="130"/>
  <c r="R42" i="130"/>
  <c r="R47" i="130"/>
  <c r="N47" i="130" s="1"/>
  <c r="N47" i="118" s="1"/>
  <c r="R94" i="130"/>
  <c r="R96" i="130"/>
  <c r="R95" i="130"/>
  <c r="R24" i="130"/>
  <c r="R41" i="130"/>
  <c r="R26" i="132"/>
  <c r="BS48" i="131"/>
  <c r="BO48" i="131"/>
  <c r="BC48" i="131"/>
  <c r="AX48" i="131"/>
  <c r="AT48" i="131"/>
  <c r="AF48" i="131"/>
  <c r="AY48" i="131"/>
  <c r="BP48" i="131"/>
  <c r="BQ48" i="131"/>
  <c r="BM48" i="131"/>
  <c r="BA48" i="131"/>
  <c r="AV48" i="131"/>
  <c r="AR48" i="131"/>
  <c r="AU48" i="131"/>
  <c r="BD48" i="131"/>
  <c r="BT48" i="131"/>
  <c r="R48" i="130"/>
  <c r="R22" i="130"/>
  <c r="R35" i="130"/>
  <c r="R33" i="130"/>
  <c r="F9" i="132"/>
  <c r="F9" i="131"/>
  <c r="F9" i="130"/>
  <c r="AF47" i="131"/>
  <c r="AR47" i="131"/>
  <c r="BA47" i="131"/>
  <c r="BM47" i="131"/>
  <c r="AP47" i="131"/>
  <c r="AX47" i="131"/>
  <c r="BK47" i="131"/>
  <c r="BS47" i="131"/>
  <c r="AM47" i="131"/>
  <c r="AQ47" i="131"/>
  <c r="AU47" i="131"/>
  <c r="AY47" i="131"/>
  <c r="BJ47" i="131"/>
  <c r="BN47" i="131"/>
  <c r="BR47" i="131"/>
  <c r="AN47" i="131"/>
  <c r="AV47" i="131"/>
  <c r="BI47" i="131"/>
  <c r="BQ47" i="131"/>
  <c r="AL47" i="131"/>
  <c r="AT47" i="131"/>
  <c r="BG47" i="131"/>
  <c r="BO47" i="131"/>
  <c r="AO47" i="131"/>
  <c r="AS47" i="131"/>
  <c r="AW47" i="131"/>
  <c r="BH47" i="131"/>
  <c r="BL47" i="131"/>
  <c r="BP47" i="131"/>
  <c r="BT47" i="131"/>
  <c r="AG42" i="131"/>
  <c r="AY34" i="131"/>
  <c r="AF34" i="131"/>
  <c r="BA34" i="131"/>
  <c r="BT34" i="131"/>
  <c r="BT32" i="131"/>
  <c r="BA32" i="131"/>
  <c r="AY32" i="131"/>
  <c r="AF32" i="131"/>
  <c r="BT30" i="131"/>
  <c r="BA30" i="131"/>
  <c r="AY30" i="131"/>
  <c r="AF30" i="131"/>
  <c r="AG15" i="131"/>
  <c r="BA9" i="131"/>
  <c r="BQ9" i="131"/>
  <c r="AU9" i="131"/>
  <c r="AY9" i="131"/>
  <c r="BP9" i="131"/>
  <c r="BT9" i="131"/>
  <c r="AF9" i="131"/>
  <c r="AV9" i="131"/>
  <c r="AW9" i="131"/>
  <c r="BR9" i="131"/>
  <c r="BD38" i="131"/>
  <c r="BB38" i="131"/>
  <c r="BC38" i="131"/>
  <c r="BC13" i="132"/>
  <c r="BD13" i="132"/>
  <c r="F10" i="132"/>
  <c r="F10" i="131"/>
  <c r="F10" i="130"/>
  <c r="AH33" i="131"/>
  <c r="AT33" i="131"/>
  <c r="AX33" i="131"/>
  <c r="BM33" i="131"/>
  <c r="BQ33" i="131"/>
  <c r="AG33" i="131"/>
  <c r="AS33" i="131"/>
  <c r="AW33" i="131"/>
  <c r="BL33" i="131"/>
  <c r="BP33" i="131"/>
  <c r="BT33" i="131"/>
  <c r="AF33" i="131"/>
  <c r="AR33" i="131"/>
  <c r="AV33" i="131"/>
  <c r="BA33" i="131"/>
  <c r="BO33" i="131"/>
  <c r="BS33" i="131"/>
  <c r="AQ33" i="131"/>
  <c r="AU33" i="131"/>
  <c r="AY33" i="131"/>
  <c r="BN33" i="131"/>
  <c r="BR33" i="131"/>
  <c r="BD29" i="131"/>
  <c r="BC29" i="131"/>
  <c r="BB29" i="131"/>
  <c r="BS13" i="131"/>
  <c r="AF13" i="131"/>
  <c r="AV13" i="131"/>
  <c r="BM13" i="131"/>
  <c r="AQ13" i="131"/>
  <c r="AU13" i="131"/>
  <c r="AY13" i="131"/>
  <c r="BD13" i="131"/>
  <c r="BL13" i="131"/>
  <c r="BP13" i="131"/>
  <c r="BT13" i="131"/>
  <c r="AR13" i="131"/>
  <c r="BA13" i="131"/>
  <c r="BQ13" i="131"/>
  <c r="AS13" i="131"/>
  <c r="AW13" i="131"/>
  <c r="BB13" i="131"/>
  <c r="BN13" i="131"/>
  <c r="BR13" i="131"/>
  <c r="AR11" i="131"/>
  <c r="BA11" i="131"/>
  <c r="BQ11" i="131"/>
  <c r="AQ11" i="131"/>
  <c r="AU11" i="131"/>
  <c r="AY11" i="131"/>
  <c r="BD11" i="131"/>
  <c r="BL11" i="131"/>
  <c r="BP11" i="131"/>
  <c r="BT11" i="131"/>
  <c r="AF11" i="131"/>
  <c r="AV11" i="131"/>
  <c r="BM11" i="131"/>
  <c r="AS11" i="131"/>
  <c r="AW11" i="131"/>
  <c r="BB11" i="131"/>
  <c r="BN11" i="131"/>
  <c r="BR11" i="131"/>
  <c r="BB6" i="131"/>
  <c r="BM6" i="131"/>
  <c r="AV6" i="131"/>
  <c r="BL6" i="131"/>
  <c r="BR6" i="131"/>
  <c r="AU6" i="131"/>
  <c r="BB5" i="130"/>
  <c r="BA5" i="130"/>
  <c r="BC5" i="130"/>
  <c r="BD5" i="130"/>
  <c r="BB11" i="130"/>
  <c r="BC11" i="130"/>
  <c r="BA11" i="130"/>
  <c r="BD11" i="130"/>
  <c r="BB38" i="130"/>
  <c r="BA38" i="130"/>
  <c r="BC38" i="130"/>
  <c r="BD38" i="130"/>
  <c r="BD38" i="132"/>
  <c r="BC38" i="132"/>
  <c r="F25" i="132"/>
  <c r="F25" i="131"/>
  <c r="F25" i="130"/>
  <c r="AG38" i="131"/>
  <c r="AH38" i="132"/>
  <c r="BC13" i="130"/>
  <c r="BA13" i="130"/>
  <c r="BD13" i="130"/>
  <c r="BB13" i="130"/>
  <c r="BZ11" i="110"/>
  <c r="CR11" i="110"/>
  <c r="BB11" i="110"/>
  <c r="BW11" i="110"/>
  <c r="AG11" i="110"/>
  <c r="R40" i="130"/>
  <c r="R88" i="130"/>
  <c r="R97" i="130"/>
  <c r="R9" i="131"/>
  <c r="R19" i="130"/>
  <c r="BK13" i="131"/>
  <c r="AG31" i="110"/>
  <c r="AH31" i="110"/>
  <c r="BD43" i="130"/>
  <c r="BA43" i="130"/>
  <c r="BB43" i="130"/>
  <c r="BC43" i="130"/>
  <c r="BD43" i="132"/>
  <c r="BC43" i="132"/>
  <c r="F23" i="132"/>
  <c r="F23" i="131"/>
  <c r="F23" i="130"/>
  <c r="BB33" i="130"/>
  <c r="BD33" i="130"/>
  <c r="BC33" i="130"/>
  <c r="BA33" i="130"/>
  <c r="BD33" i="132"/>
  <c r="BC33" i="132"/>
  <c r="BD31" i="131"/>
  <c r="BB31" i="131"/>
  <c r="AG26" i="131"/>
  <c r="AH26" i="131"/>
  <c r="BD15" i="131"/>
  <c r="BB15" i="131"/>
  <c r="BC15" i="132"/>
  <c r="BD15" i="132"/>
  <c r="R98" i="130"/>
  <c r="R4" i="130"/>
  <c r="F12" i="132"/>
  <c r="F12" i="131"/>
  <c r="F12" i="130"/>
  <c r="BC46" i="132"/>
  <c r="BD46" i="132"/>
  <c r="BA46" i="130"/>
  <c r="BB46" i="130"/>
  <c r="BD43" i="131"/>
  <c r="BC43" i="131"/>
  <c r="AG37" i="131"/>
  <c r="H23" i="130"/>
  <c r="H23" i="131"/>
  <c r="BD33" i="131"/>
  <c r="BC33" i="131"/>
  <c r="BB33" i="131"/>
  <c r="BC31" i="130"/>
  <c r="BA31" i="130"/>
  <c r="BD31" i="130"/>
  <c r="BB31" i="130"/>
  <c r="BD31" i="132"/>
  <c r="BC31" i="132"/>
  <c r="I13" i="110"/>
  <c r="BD15" i="130"/>
  <c r="BC15" i="130"/>
  <c r="BA15" i="130"/>
  <c r="BB15" i="130"/>
  <c r="F7" i="132"/>
  <c r="F7" i="131"/>
  <c r="F7" i="130"/>
  <c r="BD32" i="131"/>
  <c r="BB32" i="131"/>
  <c r="BC32" i="131"/>
  <c r="BD28" i="131"/>
  <c r="BB28" i="131"/>
  <c r="BC28" i="131"/>
  <c r="K20" i="132"/>
  <c r="V20" i="132" s="1"/>
  <c r="R20" i="132" s="1"/>
  <c r="K20" i="131"/>
  <c r="U20" i="131" s="1"/>
  <c r="R20" i="131" s="1"/>
  <c r="K20" i="130"/>
  <c r="T20" i="130" s="1"/>
  <c r="R20" i="130" s="1"/>
  <c r="AG36" i="131"/>
  <c r="BX18" i="110"/>
  <c r="AH18" i="110"/>
  <c r="BD18" i="110"/>
  <c r="BY18" i="110"/>
  <c r="CT18" i="110"/>
  <c r="BZ18" i="110"/>
  <c r="CS18" i="110"/>
  <c r="BC18" i="110"/>
  <c r="AG18" i="110"/>
  <c r="BB18" i="110"/>
  <c r="BW18" i="110"/>
  <c r="CR18" i="110"/>
  <c r="H16" i="110"/>
  <c r="BD36" i="132"/>
  <c r="BC36" i="132"/>
  <c r="BB34" i="131"/>
  <c r="BD34" i="131"/>
  <c r="BC34" i="131"/>
  <c r="H36" i="132"/>
  <c r="H36" i="131"/>
  <c r="H36" i="130"/>
  <c r="BD37" i="132"/>
  <c r="AH41" i="132"/>
  <c r="H31" i="132"/>
  <c r="H31" i="131"/>
  <c r="H31" i="130"/>
  <c r="F31" i="132"/>
  <c r="F31" i="131"/>
  <c r="F31" i="130"/>
  <c r="H21" i="132"/>
  <c r="H21" i="131"/>
  <c r="H21" i="130"/>
  <c r="R44" i="132"/>
  <c r="F11" i="132"/>
  <c r="F11" i="131"/>
  <c r="F11" i="130"/>
  <c r="BB42" i="131"/>
  <c r="BD42" i="131"/>
  <c r="BC42" i="131"/>
  <c r="BC35" i="131"/>
  <c r="BD35" i="131"/>
  <c r="BB35" i="131"/>
  <c r="BD30" i="131"/>
  <c r="BB30" i="131"/>
  <c r="BC30" i="131"/>
  <c r="BB36" i="131"/>
  <c r="BC36" i="131"/>
  <c r="BD36" i="131"/>
  <c r="BC34" i="132"/>
  <c r="BD34" i="132"/>
  <c r="BD37" i="131"/>
  <c r="BB37" i="131"/>
  <c r="F21" i="132"/>
  <c r="F21" i="131"/>
  <c r="F21" i="130"/>
  <c r="R9" i="130"/>
  <c r="R10" i="130"/>
  <c r="R94" i="131"/>
  <c r="R10" i="132"/>
  <c r="R13" i="130"/>
  <c r="R17" i="130"/>
  <c r="R42" i="131"/>
  <c r="R37" i="131"/>
  <c r="R33" i="131"/>
  <c r="R26" i="130"/>
  <c r="R23" i="130"/>
  <c r="R24" i="132"/>
  <c r="R22" i="132"/>
  <c r="R21" i="130"/>
  <c r="R23" i="131"/>
  <c r="BB14" i="131"/>
  <c r="BD14" i="131"/>
  <c r="BC14" i="131"/>
  <c r="BB14" i="130"/>
  <c r="BD14" i="130"/>
  <c r="BC14" i="130"/>
  <c r="BA14" i="130"/>
  <c r="R11" i="130"/>
  <c r="R8" i="130"/>
  <c r="R7" i="130"/>
  <c r="R42" i="132"/>
  <c r="R104" i="132"/>
  <c r="R93" i="132"/>
  <c r="R34" i="132"/>
  <c r="R8" i="132"/>
  <c r="R6" i="132"/>
  <c r="R99" i="131"/>
  <c r="R47" i="131"/>
  <c r="N47" i="131" s="1"/>
  <c r="O47" i="118" s="1"/>
  <c r="R29" i="131"/>
  <c r="R7" i="131"/>
  <c r="R90" i="130"/>
  <c r="R102" i="130"/>
  <c r="R38" i="130"/>
  <c r="BD29" i="132"/>
  <c r="BC29" i="132"/>
  <c r="BD27" i="132"/>
  <c r="R91" i="132"/>
  <c r="R103" i="132"/>
  <c r="R101" i="132"/>
  <c r="R100" i="132"/>
  <c r="R99" i="132"/>
  <c r="R47" i="132"/>
  <c r="R17" i="132"/>
  <c r="R14" i="132"/>
  <c r="R12" i="132"/>
  <c r="R92" i="131"/>
  <c r="R90" i="131"/>
  <c r="R21" i="131"/>
  <c r="R15" i="131"/>
  <c r="R11" i="131"/>
  <c r="R48" i="131"/>
  <c r="BC35" i="132"/>
  <c r="BD35" i="132"/>
  <c r="R16" i="132"/>
  <c r="R4" i="132"/>
  <c r="R13" i="131"/>
  <c r="BC17" i="126" l="1"/>
  <c r="AH94" i="126"/>
  <c r="BX13" i="127"/>
  <c r="BD17" i="127"/>
  <c r="BW94" i="126"/>
  <c r="BZ13" i="127"/>
  <c r="BD94" i="127"/>
  <c r="BY13" i="126"/>
  <c r="BD91" i="126"/>
  <c r="CR86" i="126"/>
  <c r="DO16" i="127"/>
  <c r="DO6" i="127" s="1"/>
  <c r="BZ17" i="127"/>
  <c r="CR17" i="110"/>
  <c r="CT17" i="127"/>
  <c r="Z40" i="126"/>
  <c r="BZ17" i="110"/>
  <c r="CS17" i="110"/>
  <c r="AG17" i="110"/>
  <c r="CA17" i="127"/>
  <c r="CA28" i="126"/>
  <c r="Z31" i="126"/>
  <c r="BE15" i="130"/>
  <c r="AH17" i="110"/>
  <c r="AH24" i="131"/>
  <c r="AH33" i="130"/>
  <c r="BW45" i="110"/>
  <c r="Y4" i="133"/>
  <c r="CA11" i="127"/>
  <c r="BE39" i="126"/>
  <c r="AI17" i="127"/>
  <c r="AI18" i="126"/>
  <c r="CA18" i="126"/>
  <c r="CA42" i="126"/>
  <c r="CS7" i="127"/>
  <c r="BX16" i="127"/>
  <c r="BW94" i="127"/>
  <c r="CA10" i="126"/>
  <c r="BW6" i="127"/>
  <c r="BD17" i="110"/>
  <c r="CT17" i="110"/>
  <c r="CA39" i="126"/>
  <c r="CA30" i="127"/>
  <c r="CA29" i="127"/>
  <c r="AI31" i="127"/>
  <c r="CS13" i="126"/>
  <c r="BD13" i="126"/>
  <c r="BE11" i="130"/>
  <c r="BE28" i="126"/>
  <c r="BE30" i="126"/>
  <c r="BC17" i="110"/>
  <c r="BW17" i="110"/>
  <c r="BB17" i="110"/>
  <c r="BY17" i="110"/>
  <c r="BE75" i="130"/>
  <c r="CS57" i="127"/>
  <c r="CS65" i="127"/>
  <c r="BX43" i="127"/>
  <c r="CS58" i="127"/>
  <c r="BX65" i="127"/>
  <c r="CS43" i="127"/>
  <c r="BX58" i="127"/>
  <c r="BX57" i="127"/>
  <c r="BX55" i="127"/>
  <c r="CS56" i="127"/>
  <c r="BX56" i="127"/>
  <c r="CS55" i="127"/>
  <c r="CS57" i="126"/>
  <c r="BX55" i="126"/>
  <c r="BX85" i="126"/>
  <c r="CS85" i="126"/>
  <c r="BX57" i="126"/>
  <c r="CS83" i="126"/>
  <c r="CS55" i="126"/>
  <c r="BX83" i="126"/>
  <c r="BX84" i="127"/>
  <c r="CS83" i="127"/>
  <c r="CS85" i="127"/>
  <c r="CS65" i="126"/>
  <c r="CS84" i="127"/>
  <c r="BX65" i="126"/>
  <c r="BX85" i="127"/>
  <c r="BX83" i="127"/>
  <c r="CS56" i="126"/>
  <c r="CS84" i="110"/>
  <c r="BX84" i="110"/>
  <c r="CS65" i="110"/>
  <c r="BX57" i="110"/>
  <c r="CS56" i="110"/>
  <c r="CS58" i="110"/>
  <c r="CS55" i="110"/>
  <c r="CS57" i="110"/>
  <c r="BX58" i="126"/>
  <c r="CS84" i="126"/>
  <c r="CS83" i="110"/>
  <c r="BX83" i="110"/>
  <c r="BX85" i="110"/>
  <c r="BX65" i="110"/>
  <c r="BX56" i="110"/>
  <c r="CS58" i="126"/>
  <c r="BX55" i="110"/>
  <c r="BX56" i="126"/>
  <c r="BX84" i="126"/>
  <c r="CS85" i="110"/>
  <c r="BX58" i="110"/>
  <c r="CS47" i="127"/>
  <c r="CS48" i="127"/>
  <c r="BX48" i="127"/>
  <c r="BX47" i="127"/>
  <c r="CS79" i="127"/>
  <c r="BX79" i="127"/>
  <c r="CS54" i="127"/>
  <c r="CS72" i="127"/>
  <c r="CS71" i="127"/>
  <c r="BX53" i="127"/>
  <c r="BX74" i="127"/>
  <c r="BX46" i="127"/>
  <c r="CS46" i="127"/>
  <c r="BX63" i="127"/>
  <c r="CS61" i="127"/>
  <c r="CS67" i="127"/>
  <c r="CS60" i="127"/>
  <c r="CS51" i="127"/>
  <c r="CS70" i="127"/>
  <c r="BX66" i="127"/>
  <c r="CS81" i="127"/>
  <c r="BX69" i="127"/>
  <c r="BX64" i="127"/>
  <c r="CS77" i="127"/>
  <c r="BX77" i="127"/>
  <c r="BX73" i="127"/>
  <c r="CS73" i="127"/>
  <c r="CS63" i="127"/>
  <c r="BX62" i="127"/>
  <c r="BX80" i="127"/>
  <c r="CS78" i="127"/>
  <c r="CS50" i="127"/>
  <c r="CS49" i="127"/>
  <c r="BX49" i="127"/>
  <c r="BX81" i="127"/>
  <c r="CS69" i="127"/>
  <c r="CS53" i="127"/>
  <c r="BX52" i="127"/>
  <c r="CS75" i="127"/>
  <c r="CS62" i="127"/>
  <c r="BX78" i="127"/>
  <c r="CS66" i="127"/>
  <c r="BX59" i="127"/>
  <c r="BX72" i="127"/>
  <c r="BX82" i="127"/>
  <c r="BX70" i="127"/>
  <c r="CS76" i="127"/>
  <c r="CS47" i="110"/>
  <c r="BX54" i="127"/>
  <c r="BX71" i="127"/>
  <c r="BX75" i="127"/>
  <c r="CS80" i="127"/>
  <c r="CS68" i="127"/>
  <c r="BX60" i="127"/>
  <c r="BX47" i="110"/>
  <c r="CS47" i="126"/>
  <c r="CS82" i="127"/>
  <c r="BX47" i="126"/>
  <c r="CS64" i="127"/>
  <c r="CS74" i="127"/>
  <c r="BX61" i="127"/>
  <c r="BX68" i="127"/>
  <c r="CS59" i="127"/>
  <c r="BX50" i="127"/>
  <c r="CS52" i="127"/>
  <c r="BX67" i="127"/>
  <c r="BX51" i="127"/>
  <c r="BX76" i="127"/>
  <c r="CS96" i="127"/>
  <c r="BX93" i="127"/>
  <c r="CS92" i="127"/>
  <c r="CS88" i="127"/>
  <c r="CS95" i="127"/>
  <c r="CS94" i="127" s="1"/>
  <c r="BX92" i="127"/>
  <c r="BX91" i="127" s="1"/>
  <c r="BX87" i="127"/>
  <c r="CS89" i="127"/>
  <c r="BX89" i="127"/>
  <c r="BX96" i="127"/>
  <c r="CS93" i="127"/>
  <c r="BX95" i="127"/>
  <c r="CS87" i="127"/>
  <c r="BX88" i="127"/>
  <c r="BX90" i="127"/>
  <c r="CS90" i="127"/>
  <c r="BX59" i="126"/>
  <c r="CS67" i="126"/>
  <c r="CS63" i="126"/>
  <c r="BX70" i="126"/>
  <c r="CS70" i="126"/>
  <c r="CS75" i="126"/>
  <c r="BX75" i="110"/>
  <c r="CS60" i="126"/>
  <c r="CS59" i="126"/>
  <c r="BX67" i="126"/>
  <c r="BX60" i="126"/>
  <c r="CS66" i="110"/>
  <c r="BX66" i="110"/>
  <c r="CS61" i="126"/>
  <c r="BX68" i="126"/>
  <c r="CS68" i="126"/>
  <c r="CS62" i="126"/>
  <c r="BX78" i="110"/>
  <c r="BX80" i="110"/>
  <c r="CS80" i="110"/>
  <c r="CS64" i="126"/>
  <c r="BX64" i="126"/>
  <c r="BX79" i="126"/>
  <c r="BX75" i="126"/>
  <c r="CS75" i="110"/>
  <c r="BX62" i="110"/>
  <c r="CS62" i="110"/>
  <c r="CS78" i="110"/>
  <c r="CS79" i="126"/>
  <c r="BX62" i="126"/>
  <c r="BX82" i="126"/>
  <c r="CS82" i="126"/>
  <c r="BX74" i="126"/>
  <c r="CS63" i="110"/>
  <c r="CS79" i="110"/>
  <c r="CS70" i="110"/>
  <c r="CS66" i="126"/>
  <c r="BX68" i="110"/>
  <c r="CS78" i="126"/>
  <c r="BX80" i="126"/>
  <c r="BX61" i="126"/>
  <c r="BX76" i="126"/>
  <c r="CS72" i="126"/>
  <c r="BX61" i="110"/>
  <c r="BX63" i="126"/>
  <c r="BX71" i="110"/>
  <c r="CS59" i="110"/>
  <c r="CS67" i="110"/>
  <c r="CS60" i="110"/>
  <c r="CS68" i="110"/>
  <c r="CS80" i="126"/>
  <c r="CS81" i="126"/>
  <c r="CS76" i="126"/>
  <c r="BX59" i="110"/>
  <c r="BX66" i="126"/>
  <c r="CS71" i="110"/>
  <c r="BX72" i="126"/>
  <c r="BX79" i="110"/>
  <c r="BX70" i="110"/>
  <c r="CS64" i="110"/>
  <c r="BX69" i="110"/>
  <c r="BX69" i="126"/>
  <c r="BX76" i="110"/>
  <c r="BX46" i="126"/>
  <c r="CS53" i="126"/>
  <c r="BX50" i="126"/>
  <c r="CS49" i="126"/>
  <c r="CS53" i="110"/>
  <c r="BX51" i="110"/>
  <c r="BX92" i="126"/>
  <c r="CS89" i="126"/>
  <c r="BX89" i="126"/>
  <c r="BX50" i="110"/>
  <c r="CS74" i="126"/>
  <c r="BX63" i="110"/>
  <c r="BX64" i="110"/>
  <c r="CS81" i="110"/>
  <c r="BX81" i="110"/>
  <c r="BX81" i="126"/>
  <c r="CS73" i="110"/>
  <c r="CS73" i="126"/>
  <c r="CS82" i="110"/>
  <c r="BX82" i="110"/>
  <c r="BX74" i="110"/>
  <c r="BX54" i="126"/>
  <c r="BX48" i="110"/>
  <c r="BX78" i="126"/>
  <c r="CS69" i="110"/>
  <c r="CS69" i="126"/>
  <c r="CS71" i="126"/>
  <c r="BX72" i="110"/>
  <c r="CS74" i="110"/>
  <c r="BX51" i="126"/>
  <c r="BX52" i="126"/>
  <c r="CS93" i="126"/>
  <c r="BX67" i="110"/>
  <c r="BX60" i="110"/>
  <c r="CS54" i="126"/>
  <c r="BX93" i="126"/>
  <c r="BX48" i="126"/>
  <c r="CS50" i="110"/>
  <c r="BX73" i="126"/>
  <c r="CS46" i="126"/>
  <c r="BX53" i="126"/>
  <c r="CS54" i="110"/>
  <c r="CS61" i="110"/>
  <c r="BX71" i="126"/>
  <c r="BX73" i="110"/>
  <c r="CS51" i="126"/>
  <c r="CS52" i="126"/>
  <c r="CS48" i="110"/>
  <c r="BX49" i="110"/>
  <c r="BX53" i="110"/>
  <c r="CS48" i="126"/>
  <c r="CS49" i="110"/>
  <c r="CS52" i="110"/>
  <c r="CS76" i="110"/>
  <c r="CS72" i="110"/>
  <c r="BX52" i="110"/>
  <c r="CS50" i="126"/>
  <c r="BX49" i="126"/>
  <c r="CS51" i="110"/>
  <c r="CS92" i="126"/>
  <c r="CS91" i="126" s="1"/>
  <c r="BX54" i="110"/>
  <c r="CS77" i="110"/>
  <c r="CS77" i="126"/>
  <c r="CS95" i="126"/>
  <c r="BX95" i="126"/>
  <c r="CS96" i="126"/>
  <c r="BX96" i="126"/>
  <c r="CS87" i="126"/>
  <c r="BX88" i="126"/>
  <c r="BX77" i="126"/>
  <c r="BX87" i="126"/>
  <c r="BX77" i="110"/>
  <c r="CS88" i="126"/>
  <c r="BC91" i="126"/>
  <c r="BC45" i="126"/>
  <c r="BC13" i="126"/>
  <c r="CR91" i="126"/>
  <c r="CR94" i="127"/>
  <c r="BW45" i="126"/>
  <c r="BE39" i="132"/>
  <c r="BE39" i="130"/>
  <c r="BE39" i="131"/>
  <c r="BE67" i="132"/>
  <c r="BE58" i="132"/>
  <c r="BE60" i="132"/>
  <c r="BE85" i="132"/>
  <c r="BE57" i="132"/>
  <c r="BE59" i="130"/>
  <c r="BE86" i="131"/>
  <c r="BE59" i="132"/>
  <c r="BE59" i="131"/>
  <c r="BE58" i="131"/>
  <c r="BE57" i="130"/>
  <c r="BE58" i="130"/>
  <c r="BE60" i="131"/>
  <c r="BE60" i="130"/>
  <c r="BE67" i="130"/>
  <c r="BE87" i="132"/>
  <c r="BE57" i="131"/>
  <c r="BE67" i="131"/>
  <c r="BE85" i="130"/>
  <c r="BE87" i="131"/>
  <c r="BE87" i="130"/>
  <c r="BE86" i="130"/>
  <c r="BE86" i="132"/>
  <c r="BE45" i="130"/>
  <c r="BE45" i="132"/>
  <c r="BE49" i="132"/>
  <c r="BE49" i="131"/>
  <c r="BE49" i="130"/>
  <c r="BE78" i="132"/>
  <c r="BE77" i="132"/>
  <c r="BE61" i="131"/>
  <c r="BE70" i="131"/>
  <c r="BE76" i="132"/>
  <c r="BE79" i="132"/>
  <c r="BE75" i="132"/>
  <c r="BE80" i="131"/>
  <c r="BE74" i="131"/>
  <c r="BE78" i="130"/>
  <c r="BE54" i="131"/>
  <c r="BE56" i="131"/>
  <c r="BE53" i="131"/>
  <c r="BE53" i="130"/>
  <c r="BE55" i="130"/>
  <c r="BE55" i="132"/>
  <c r="BE68" i="131"/>
  <c r="BE50" i="131"/>
  <c r="BE84" i="132"/>
  <c r="BE56" i="132"/>
  <c r="BE74" i="130"/>
  <c r="BE74" i="132"/>
  <c r="BE50" i="130"/>
  <c r="BE82" i="131"/>
  <c r="BE52" i="131"/>
  <c r="BE83" i="130"/>
  <c r="BE73" i="131"/>
  <c r="BE51" i="132"/>
  <c r="BE56" i="130"/>
  <c r="BE54" i="132"/>
  <c r="BE83" i="131"/>
  <c r="BE73" i="132"/>
  <c r="BE84" i="130"/>
  <c r="BE52" i="132"/>
  <c r="BE73" i="130"/>
  <c r="BE50" i="132"/>
  <c r="BE55" i="131"/>
  <c r="BE51" i="130"/>
  <c r="BE72" i="131"/>
  <c r="BE69" i="131"/>
  <c r="BE62" i="131"/>
  <c r="BE66" i="130"/>
  <c r="BE71" i="131"/>
  <c r="BE54" i="130"/>
  <c r="BE53" i="132"/>
  <c r="BE83" i="132"/>
  <c r="BE71" i="132"/>
  <c r="BE72" i="132"/>
  <c r="BE77" i="130"/>
  <c r="BE66" i="131"/>
  <c r="BE52" i="130"/>
  <c r="BE71" i="130"/>
  <c r="BE51" i="131"/>
  <c r="BE72" i="130"/>
  <c r="BE65" i="131"/>
  <c r="BE63" i="131"/>
  <c r="BE63" i="132"/>
  <c r="BE65" i="130"/>
  <c r="BE82" i="130"/>
  <c r="BE68" i="130"/>
  <c r="BE64" i="130"/>
  <c r="BE64" i="132"/>
  <c r="BE75" i="131"/>
  <c r="BE81" i="130"/>
  <c r="BE63" i="130"/>
  <c r="BE84" i="131"/>
  <c r="BE80" i="132"/>
  <c r="BE82" i="132"/>
  <c r="BE81" i="132"/>
  <c r="BE77" i="131"/>
  <c r="BE78" i="131"/>
  <c r="BE61" i="130"/>
  <c r="BE66" i="132"/>
  <c r="BE81" i="131"/>
  <c r="BE69" i="132"/>
  <c r="BE68" i="132"/>
  <c r="BE62" i="132"/>
  <c r="BE76" i="130"/>
  <c r="BE61" i="132"/>
  <c r="BE65" i="132"/>
  <c r="BE70" i="132"/>
  <c r="BE76" i="131"/>
  <c r="BE70" i="130"/>
  <c r="BE80" i="130"/>
  <c r="BE69" i="130"/>
  <c r="BE79" i="131"/>
  <c r="BE62" i="130"/>
  <c r="BE85" i="131"/>
  <c r="BE45" i="131"/>
  <c r="BE79" i="130"/>
  <c r="BE13" i="131"/>
  <c r="BE31" i="132"/>
  <c r="BE42" i="131"/>
  <c r="BE35" i="131"/>
  <c r="BE90" i="131"/>
  <c r="BE94" i="130"/>
  <c r="BE14" i="130"/>
  <c r="BE23" i="127"/>
  <c r="BE23" i="126"/>
  <c r="BE23" i="110"/>
  <c r="BE85" i="126"/>
  <c r="BE84" i="127"/>
  <c r="BE58" i="127"/>
  <c r="BE56" i="127"/>
  <c r="BE55" i="126"/>
  <c r="BE83" i="126"/>
  <c r="BE57" i="126"/>
  <c r="BE55" i="127"/>
  <c r="BE83" i="127"/>
  <c r="BE83" i="110"/>
  <c r="BE65" i="126"/>
  <c r="BE57" i="127"/>
  <c r="BE58" i="126"/>
  <c r="BE56" i="110"/>
  <c r="BE65" i="110"/>
  <c r="BE84" i="126"/>
  <c r="BE85" i="127"/>
  <c r="BE56" i="126"/>
  <c r="BE65" i="127"/>
  <c r="BE84" i="110"/>
  <c r="BE85" i="110"/>
  <c r="BE58" i="110"/>
  <c r="BE57" i="110"/>
  <c r="BE55" i="110"/>
  <c r="BE20" i="110"/>
  <c r="BE20" i="126"/>
  <c r="BE20" i="127"/>
  <c r="BE12" i="127"/>
  <c r="BE12" i="126"/>
  <c r="BE22" i="110"/>
  <c r="BE22" i="127"/>
  <c r="BE22" i="126"/>
  <c r="BE21" i="110"/>
  <c r="BE21" i="126"/>
  <c r="BE21" i="127"/>
  <c r="BE47" i="126"/>
  <c r="BE47" i="127"/>
  <c r="BE47" i="110"/>
  <c r="BE14" i="126"/>
  <c r="BE38" i="127"/>
  <c r="BE15" i="126"/>
  <c r="BE15" i="127"/>
  <c r="BE14" i="127"/>
  <c r="BE38" i="126"/>
  <c r="BE32" i="127"/>
  <c r="BE32" i="126"/>
  <c r="BE31" i="127"/>
  <c r="Z31" i="127" s="1"/>
  <c r="BE40" i="127"/>
  <c r="Z40" i="127" s="1"/>
  <c r="BE59" i="127"/>
  <c r="BE67" i="126"/>
  <c r="BE70" i="127"/>
  <c r="BE75" i="110"/>
  <c r="BE60" i="126"/>
  <c r="BE61" i="126"/>
  <c r="BE63" i="126"/>
  <c r="BE75" i="126"/>
  <c r="BE66" i="110"/>
  <c r="BE68" i="126"/>
  <c r="BE67" i="127"/>
  <c r="BE66" i="127"/>
  <c r="BE62" i="126"/>
  <c r="BE62" i="110"/>
  <c r="BE79" i="126"/>
  <c r="BE70" i="126"/>
  <c r="BE71" i="110"/>
  <c r="BE82" i="126"/>
  <c r="BE72" i="126"/>
  <c r="BE79" i="127"/>
  <c r="BE62" i="127"/>
  <c r="BE80" i="126"/>
  <c r="BE59" i="126"/>
  <c r="BE63" i="127"/>
  <c r="BE64" i="126"/>
  <c r="BE81" i="127"/>
  <c r="BE74" i="126"/>
  <c r="BE61" i="127"/>
  <c r="BE79" i="110"/>
  <c r="BE76" i="126"/>
  <c r="BE63" i="110"/>
  <c r="BE70" i="110"/>
  <c r="BE78" i="110"/>
  <c r="BE64" i="127"/>
  <c r="BE71" i="127"/>
  <c r="BE73" i="127"/>
  <c r="BE67" i="110"/>
  <c r="BE68" i="127"/>
  <c r="BE78" i="126"/>
  <c r="BE80" i="127"/>
  <c r="BE69" i="127"/>
  <c r="BE75" i="127"/>
  <c r="BE60" i="110"/>
  <c r="BE60" i="127"/>
  <c r="BE68" i="110"/>
  <c r="BE78" i="127"/>
  <c r="BE64" i="110"/>
  <c r="BE71" i="126"/>
  <c r="BE73" i="110"/>
  <c r="BE53" i="126"/>
  <c r="BE52" i="110"/>
  <c r="BE53" i="110"/>
  <c r="BE89" i="126"/>
  <c r="BE53" i="127"/>
  <c r="BE59" i="110"/>
  <c r="BE61" i="110"/>
  <c r="BE81" i="110"/>
  <c r="BE81" i="126"/>
  <c r="BE69" i="110"/>
  <c r="BE73" i="126"/>
  <c r="BE76" i="110"/>
  <c r="BE76" i="127"/>
  <c r="BE82" i="110"/>
  <c r="BE82" i="127"/>
  <c r="BE74" i="110"/>
  <c r="BE51" i="126"/>
  <c r="BE52" i="126"/>
  <c r="BE50" i="127"/>
  <c r="BE51" i="127"/>
  <c r="BE93" i="126"/>
  <c r="BE69" i="126"/>
  <c r="BE72" i="110"/>
  <c r="BE74" i="127"/>
  <c r="BE89" i="127"/>
  <c r="BE54" i="127"/>
  <c r="BE46" i="127"/>
  <c r="BE92" i="127"/>
  <c r="BE49" i="110"/>
  <c r="BE72" i="127"/>
  <c r="BE49" i="127"/>
  <c r="BE48" i="127"/>
  <c r="BE50" i="126"/>
  <c r="BE49" i="126"/>
  <c r="BE52" i="127"/>
  <c r="BE92" i="126"/>
  <c r="BE50" i="110"/>
  <c r="BE48" i="110"/>
  <c r="BE51" i="110"/>
  <c r="BE93" i="127"/>
  <c r="BE54" i="126"/>
  <c r="BE46" i="126"/>
  <c r="BE48" i="126"/>
  <c r="BE80" i="110"/>
  <c r="BE66" i="126"/>
  <c r="BE54" i="110"/>
  <c r="BE77" i="110"/>
  <c r="BE96" i="127"/>
  <c r="BE95" i="126"/>
  <c r="BE87" i="127"/>
  <c r="BE77" i="126"/>
  <c r="BE87" i="126"/>
  <c r="BE88" i="126"/>
  <c r="BE77" i="127"/>
  <c r="BE96" i="126"/>
  <c r="BE88" i="127"/>
  <c r="BE95" i="127"/>
  <c r="BE18" i="127"/>
  <c r="BE29" i="126"/>
  <c r="BE39" i="127"/>
  <c r="BE93" i="110"/>
  <c r="BE42" i="127"/>
  <c r="BE10" i="127"/>
  <c r="BE10" i="126"/>
  <c r="BE29" i="127"/>
  <c r="BE17" i="127"/>
  <c r="BE30" i="127"/>
  <c r="BE11" i="127"/>
  <c r="CU23" i="110"/>
  <c r="CU23" i="126"/>
  <c r="CU23" i="127"/>
  <c r="CU20" i="127"/>
  <c r="CU20" i="110"/>
  <c r="CU20" i="126"/>
  <c r="CU12" i="127"/>
  <c r="CU12" i="126"/>
  <c r="CU22" i="127"/>
  <c r="CU22" i="110"/>
  <c r="CU22" i="126"/>
  <c r="CU21" i="126"/>
  <c r="CU21" i="110"/>
  <c r="CU21" i="127"/>
  <c r="CU38" i="126"/>
  <c r="CU15" i="126"/>
  <c r="CU14" i="127"/>
  <c r="CU31" i="126"/>
  <c r="CU40" i="126"/>
  <c r="CU32" i="126"/>
  <c r="CU31" i="127"/>
  <c r="CU14" i="126"/>
  <c r="CU40" i="127"/>
  <c r="CU38" i="127"/>
  <c r="CU15" i="127"/>
  <c r="CU32" i="127"/>
  <c r="CU42" i="127"/>
  <c r="CU28" i="127"/>
  <c r="CU17" i="127"/>
  <c r="CU30" i="127"/>
  <c r="CU39" i="126"/>
  <c r="CU39" i="127"/>
  <c r="CU18" i="126"/>
  <c r="CU29" i="126"/>
  <c r="CU11" i="126"/>
  <c r="BE17" i="126"/>
  <c r="BE18" i="126"/>
  <c r="CU42" i="126"/>
  <c r="CU18" i="127"/>
  <c r="BX24" i="127"/>
  <c r="BX13" i="126"/>
  <c r="BW6" i="126"/>
  <c r="AH91" i="126"/>
  <c r="AH45" i="126"/>
  <c r="BX35" i="127"/>
  <c r="CA23" i="110"/>
  <c r="CA23" i="126"/>
  <c r="CA23" i="127"/>
  <c r="CA20" i="110"/>
  <c r="CA20" i="126"/>
  <c r="CA20" i="127"/>
  <c r="CA12" i="127"/>
  <c r="CA12" i="126"/>
  <c r="CA22" i="126"/>
  <c r="CA22" i="127"/>
  <c r="CA22" i="110"/>
  <c r="CA21" i="127"/>
  <c r="CA21" i="126"/>
  <c r="CA21" i="110"/>
  <c r="CA32" i="126"/>
  <c r="CA38" i="127"/>
  <c r="CA15" i="127"/>
  <c r="CA31" i="126"/>
  <c r="CA31" i="127"/>
  <c r="CA40" i="127"/>
  <c r="CA38" i="126"/>
  <c r="CA32" i="127"/>
  <c r="CA40" i="126"/>
  <c r="CA14" i="126"/>
  <c r="CA15" i="126"/>
  <c r="CA14" i="127"/>
  <c r="AH88" i="130"/>
  <c r="AH40" i="130"/>
  <c r="AH29" i="131"/>
  <c r="AH34" i="132"/>
  <c r="BD45" i="110"/>
  <c r="AH45" i="110"/>
  <c r="AI11" i="126"/>
  <c r="CA28" i="127"/>
  <c r="CU17" i="126"/>
  <c r="BD17" i="126"/>
  <c r="CA17" i="126"/>
  <c r="AI31" i="126"/>
  <c r="Y31" i="126" s="1"/>
  <c r="CA30" i="126"/>
  <c r="CA10" i="127"/>
  <c r="CS24" i="127"/>
  <c r="CS13" i="127"/>
  <c r="CR6" i="127"/>
  <c r="CR86" i="127"/>
  <c r="BW91" i="127"/>
  <c r="CR94" i="126"/>
  <c r="CR45" i="127"/>
  <c r="CR45" i="110"/>
  <c r="AH39" i="131"/>
  <c r="AI23" i="127"/>
  <c r="AH39" i="130"/>
  <c r="AH39" i="132"/>
  <c r="AI23" i="110"/>
  <c r="AI23" i="126"/>
  <c r="AI58" i="127"/>
  <c r="AI57" i="126"/>
  <c r="AI85" i="126"/>
  <c r="AH67" i="132"/>
  <c r="AI83" i="126"/>
  <c r="AI56" i="127"/>
  <c r="AH58" i="132"/>
  <c r="AH60" i="132"/>
  <c r="AH86" i="132"/>
  <c r="AH86" i="131"/>
  <c r="AH87" i="131"/>
  <c r="AH57" i="131"/>
  <c r="AH87" i="130"/>
  <c r="AH67" i="130"/>
  <c r="AH59" i="132"/>
  <c r="AH57" i="132"/>
  <c r="AH87" i="132"/>
  <c r="AH67" i="131"/>
  <c r="AH85" i="131"/>
  <c r="AH58" i="131"/>
  <c r="AH85" i="132"/>
  <c r="AH85" i="130"/>
  <c r="AH86" i="130"/>
  <c r="AH58" i="130"/>
  <c r="AH60" i="130"/>
  <c r="AH57" i="130"/>
  <c r="AH59" i="130"/>
  <c r="AI84" i="127"/>
  <c r="AH59" i="131"/>
  <c r="AH60" i="131"/>
  <c r="AI57" i="127"/>
  <c r="AI83" i="127"/>
  <c r="AI58" i="126"/>
  <c r="AI55" i="126"/>
  <c r="AI56" i="126"/>
  <c r="AI56" i="110"/>
  <c r="AI65" i="126"/>
  <c r="AI85" i="127"/>
  <c r="AI84" i="126"/>
  <c r="AI55" i="127"/>
  <c r="AI65" i="127"/>
  <c r="AI83" i="110"/>
  <c r="AI84" i="110"/>
  <c r="AI58" i="110"/>
  <c r="AI65" i="110"/>
  <c r="AI55" i="110"/>
  <c r="AI85" i="110"/>
  <c r="AI57" i="110"/>
  <c r="AH45" i="132"/>
  <c r="AH45" i="130"/>
  <c r="AI20" i="126"/>
  <c r="AH45" i="131"/>
  <c r="AI20" i="110"/>
  <c r="AI20" i="127"/>
  <c r="AI22" i="110"/>
  <c r="AI22" i="127"/>
  <c r="AI22" i="126"/>
  <c r="AI21" i="127"/>
  <c r="AI21" i="126"/>
  <c r="AI21" i="110"/>
  <c r="AH49" i="132"/>
  <c r="AH49" i="130"/>
  <c r="AH49" i="131"/>
  <c r="AI47" i="110"/>
  <c r="AI47" i="126"/>
  <c r="AI47" i="127"/>
  <c r="AI32" i="127"/>
  <c r="AI14" i="126"/>
  <c r="AI38" i="127"/>
  <c r="AH77" i="132"/>
  <c r="AH69" i="131"/>
  <c r="AH81" i="131"/>
  <c r="AH76" i="132"/>
  <c r="AH63" i="131"/>
  <c r="AH80" i="131"/>
  <c r="AH75" i="132"/>
  <c r="AH62" i="131"/>
  <c r="AI12" i="126"/>
  <c r="AI15" i="126"/>
  <c r="AI15" i="127"/>
  <c r="AI12" i="127"/>
  <c r="AI14" i="127"/>
  <c r="AI38" i="126"/>
  <c r="AI32" i="126"/>
  <c r="AH78" i="132"/>
  <c r="AH76" i="130"/>
  <c r="AI70" i="126"/>
  <c r="AH55" i="130"/>
  <c r="AH54" i="130"/>
  <c r="AI59" i="127"/>
  <c r="AI59" i="126"/>
  <c r="AI67" i="127"/>
  <c r="AI70" i="127"/>
  <c r="AI75" i="126"/>
  <c r="AI60" i="126"/>
  <c r="AI66" i="127"/>
  <c r="AI68" i="126"/>
  <c r="AH53" i="131"/>
  <c r="AI75" i="110"/>
  <c r="AH55" i="132"/>
  <c r="AI61" i="126"/>
  <c r="AI66" i="110"/>
  <c r="AI62" i="110"/>
  <c r="AI78" i="110"/>
  <c r="AI67" i="126"/>
  <c r="AI80" i="127"/>
  <c r="AI80" i="110"/>
  <c r="AH52" i="130"/>
  <c r="AH52" i="132"/>
  <c r="AI81" i="127"/>
  <c r="AI69" i="127"/>
  <c r="AI71" i="110"/>
  <c r="AI71" i="127"/>
  <c r="AH73" i="132"/>
  <c r="AI76" i="126"/>
  <c r="AH84" i="132"/>
  <c r="AI72" i="126"/>
  <c r="AH74" i="130"/>
  <c r="AH64" i="131"/>
  <c r="AI79" i="110"/>
  <c r="AH53" i="132"/>
  <c r="AI70" i="110"/>
  <c r="AH50" i="132"/>
  <c r="AH50" i="131"/>
  <c r="AI60" i="110"/>
  <c r="AI60" i="127"/>
  <c r="AI68" i="127"/>
  <c r="AH82" i="131"/>
  <c r="AH56" i="131"/>
  <c r="AI63" i="127"/>
  <c r="AI63" i="126"/>
  <c r="AI79" i="126"/>
  <c r="AH50" i="130"/>
  <c r="AH71" i="131"/>
  <c r="AI82" i="126"/>
  <c r="AH74" i="132"/>
  <c r="AI79" i="127"/>
  <c r="AH53" i="130"/>
  <c r="AH72" i="131"/>
  <c r="AH83" i="131"/>
  <c r="AH83" i="132"/>
  <c r="AH51" i="131"/>
  <c r="AH54" i="132"/>
  <c r="AI59" i="110"/>
  <c r="AI63" i="110"/>
  <c r="AH72" i="130"/>
  <c r="AI68" i="110"/>
  <c r="AI64" i="110"/>
  <c r="AH66" i="132"/>
  <c r="AH52" i="131"/>
  <c r="AI81" i="126"/>
  <c r="AI69" i="126"/>
  <c r="AH71" i="132"/>
  <c r="AI73" i="127"/>
  <c r="AH51" i="130"/>
  <c r="AI74" i="126"/>
  <c r="AH54" i="131"/>
  <c r="AI75" i="127"/>
  <c r="AH55" i="131"/>
  <c r="AI64" i="127"/>
  <c r="AH84" i="130"/>
  <c r="AH56" i="132"/>
  <c r="AI67" i="110"/>
  <c r="AI61" i="127"/>
  <c r="AH72" i="132"/>
  <c r="AI62" i="127"/>
  <c r="AI78" i="126"/>
  <c r="AI64" i="126"/>
  <c r="AH56" i="130"/>
  <c r="AI61" i="110"/>
  <c r="AI78" i="127"/>
  <c r="AH71" i="130"/>
  <c r="AI82" i="110"/>
  <c r="AH70" i="131"/>
  <c r="AH61" i="131"/>
  <c r="AI54" i="126"/>
  <c r="AI53" i="126"/>
  <c r="AI49" i="127"/>
  <c r="AI49" i="110"/>
  <c r="AI51" i="110"/>
  <c r="AI92" i="126"/>
  <c r="AI48" i="126"/>
  <c r="AI93" i="127"/>
  <c r="AI50" i="110"/>
  <c r="AH66" i="130"/>
  <c r="AI80" i="126"/>
  <c r="AH73" i="130"/>
  <c r="AI72" i="127"/>
  <c r="AI74" i="110"/>
  <c r="AH65" i="131"/>
  <c r="AI48" i="110"/>
  <c r="AI51" i="127"/>
  <c r="AI48" i="127"/>
  <c r="AI62" i="126"/>
  <c r="AI81" i="110"/>
  <c r="AH83" i="130"/>
  <c r="AH73" i="131"/>
  <c r="AI73" i="110"/>
  <c r="AI76" i="110"/>
  <c r="AI76" i="127"/>
  <c r="AH51" i="132"/>
  <c r="AH84" i="131"/>
  <c r="AI74" i="127"/>
  <c r="AI89" i="127"/>
  <c r="AI52" i="126"/>
  <c r="AI46" i="127"/>
  <c r="AI50" i="126"/>
  <c r="AH66" i="131"/>
  <c r="AI72" i="110"/>
  <c r="AH74" i="131"/>
  <c r="AI46" i="126"/>
  <c r="AI52" i="110"/>
  <c r="AI52" i="127"/>
  <c r="AI54" i="110"/>
  <c r="AH70" i="132"/>
  <c r="AH81" i="132"/>
  <c r="AH78" i="130"/>
  <c r="AH80" i="130"/>
  <c r="AH62" i="130"/>
  <c r="AH62" i="132"/>
  <c r="AH80" i="132"/>
  <c r="AH65" i="130"/>
  <c r="AI71" i="126"/>
  <c r="AI73" i="126"/>
  <c r="AI82" i="127"/>
  <c r="AI51" i="126"/>
  <c r="AI54" i="127"/>
  <c r="AI92" i="127"/>
  <c r="AI53" i="110"/>
  <c r="AH64" i="132"/>
  <c r="AH69" i="132"/>
  <c r="AH68" i="132"/>
  <c r="AH78" i="131"/>
  <c r="AH77" i="130"/>
  <c r="AH69" i="130"/>
  <c r="AH81" i="130"/>
  <c r="AH61" i="130"/>
  <c r="AH70" i="130"/>
  <c r="AH68" i="130"/>
  <c r="AI66" i="126"/>
  <c r="AH65" i="132"/>
  <c r="AH79" i="132"/>
  <c r="AH77" i="131"/>
  <c r="AI50" i="127"/>
  <c r="AI93" i="126"/>
  <c r="AI49" i="126"/>
  <c r="AI89" i="126"/>
  <c r="AI53" i="127"/>
  <c r="AH61" i="132"/>
  <c r="AH68" i="131"/>
  <c r="AH82" i="132"/>
  <c r="AH75" i="130"/>
  <c r="AH75" i="131"/>
  <c r="AH76" i="131"/>
  <c r="AI69" i="110"/>
  <c r="AH63" i="132"/>
  <c r="AH64" i="130"/>
  <c r="AH63" i="130"/>
  <c r="AH79" i="130"/>
  <c r="AH82" i="130"/>
  <c r="AI77" i="127"/>
  <c r="AI77" i="110"/>
  <c r="AI95" i="127"/>
  <c r="AI96" i="127"/>
  <c r="AI87" i="126"/>
  <c r="AH79" i="131"/>
  <c r="AI77" i="126"/>
  <c r="AI87" i="127"/>
  <c r="AI96" i="126"/>
  <c r="AI88" i="126"/>
  <c r="AI95" i="126"/>
  <c r="AI88" i="127"/>
  <c r="AI30" i="126"/>
  <c r="AI11" i="127"/>
  <c r="CA39" i="127"/>
  <c r="AI40" i="127"/>
  <c r="CA11" i="126"/>
  <c r="AH17" i="126"/>
  <c r="BZ17" i="126"/>
  <c r="CT17" i="126"/>
  <c r="BX17" i="126"/>
  <c r="AI17" i="126"/>
  <c r="CA18" i="127"/>
  <c r="CA42" i="127"/>
  <c r="CR6" i="126"/>
  <c r="CS16" i="127"/>
  <c r="CS35" i="127"/>
  <c r="AH13" i="126"/>
  <c r="BC45" i="110"/>
  <c r="CT13" i="126"/>
  <c r="CT13" i="127"/>
  <c r="BX7" i="127"/>
  <c r="BD45" i="127"/>
  <c r="BD91" i="127"/>
  <c r="BD45" i="126"/>
  <c r="BY13" i="127"/>
  <c r="BW86" i="127"/>
  <c r="BW91" i="126"/>
  <c r="CR45" i="126"/>
  <c r="BW45" i="127"/>
  <c r="BZ13" i="126"/>
  <c r="BD13" i="127"/>
  <c r="BW86" i="126"/>
  <c r="CR91" i="127"/>
  <c r="I24" i="133"/>
  <c r="G25" i="127" s="1"/>
  <c r="H24" i="133"/>
  <c r="G25" i="126" s="1"/>
  <c r="G35" i="133"/>
  <c r="G36" i="110" s="1"/>
  <c r="G35" i="110" s="1"/>
  <c r="H35" i="133"/>
  <c r="G36" i="126" s="1"/>
  <c r="G35" i="126" s="1"/>
  <c r="I35" i="133"/>
  <c r="G36" i="127" s="1"/>
  <c r="G35" i="127" s="1"/>
  <c r="AC42" i="133"/>
  <c r="AC40" i="133" s="1"/>
  <c r="N43" i="127"/>
  <c r="AD43" i="127" s="1"/>
  <c r="AD41" i="127" s="1"/>
  <c r="AD5" i="127" s="1"/>
  <c r="AB42" i="133"/>
  <c r="N43" i="126"/>
  <c r="AD43" i="126" s="1"/>
  <c r="AD41" i="126" s="1"/>
  <c r="AD5" i="126" s="1"/>
  <c r="AA40" i="133"/>
  <c r="O42" i="127"/>
  <c r="AC42" i="127" s="1"/>
  <c r="CS37" i="110"/>
  <c r="Y40" i="126"/>
  <c r="AE18" i="127"/>
  <c r="AH39" i="126"/>
  <c r="I33" i="127"/>
  <c r="AH33" i="127" s="1"/>
  <c r="I33" i="126"/>
  <c r="DN16" i="127"/>
  <c r="AE17" i="127"/>
  <c r="AH28" i="126"/>
  <c r="AH29" i="126"/>
  <c r="DN41" i="126"/>
  <c r="AE41" i="126" s="1"/>
  <c r="AE44" i="126"/>
  <c r="AI28" i="127"/>
  <c r="AE16" i="126"/>
  <c r="DN6" i="126"/>
  <c r="G33" i="126"/>
  <c r="G33" i="127"/>
  <c r="AJ39" i="126"/>
  <c r="AI29" i="127"/>
  <c r="AI28" i="126"/>
  <c r="AI29" i="126"/>
  <c r="AJ28" i="127"/>
  <c r="I35" i="126"/>
  <c r="AH30" i="126"/>
  <c r="G7" i="127"/>
  <c r="AI8" i="127"/>
  <c r="CA8" i="127"/>
  <c r="BZ8" i="127"/>
  <c r="CU8" i="127"/>
  <c r="CT8" i="127"/>
  <c r="BY8" i="127"/>
  <c r="BE8" i="127"/>
  <c r="AJ8" i="127"/>
  <c r="BD8" i="127"/>
  <c r="CA9" i="127"/>
  <c r="BY9" i="127"/>
  <c r="BZ9" i="127"/>
  <c r="BE9" i="127"/>
  <c r="CT9" i="127"/>
  <c r="BD9" i="127"/>
  <c r="AI9" i="127"/>
  <c r="CU9" i="127"/>
  <c r="BF9" i="127"/>
  <c r="G7" i="126"/>
  <c r="CT8" i="126"/>
  <c r="BE8" i="126"/>
  <c r="BC8" i="126"/>
  <c r="AJ8" i="126"/>
  <c r="CS8" i="126"/>
  <c r="CU8" i="126"/>
  <c r="CA8" i="126"/>
  <c r="BY8" i="126"/>
  <c r="AH8" i="126"/>
  <c r="BD8" i="126"/>
  <c r="BX8" i="126"/>
  <c r="AI8" i="126"/>
  <c r="BZ8" i="126"/>
  <c r="I34" i="126"/>
  <c r="I34" i="127"/>
  <c r="G34" i="126"/>
  <c r="G34" i="127"/>
  <c r="AI27" i="126"/>
  <c r="BZ27" i="126"/>
  <c r="AH27" i="126"/>
  <c r="CU27" i="126"/>
  <c r="CS27" i="126"/>
  <c r="CA27" i="126"/>
  <c r="BD27" i="126"/>
  <c r="BE27" i="126"/>
  <c r="BX27" i="126"/>
  <c r="CT27" i="126"/>
  <c r="BY27" i="126"/>
  <c r="BC27" i="126"/>
  <c r="BD37" i="127"/>
  <c r="CT37" i="127"/>
  <c r="BY37" i="127"/>
  <c r="AI37" i="127"/>
  <c r="CA37" i="127"/>
  <c r="BE37" i="127"/>
  <c r="BF37" i="127"/>
  <c r="CU37" i="127"/>
  <c r="BZ37" i="127"/>
  <c r="AI39" i="127"/>
  <c r="AI39" i="126"/>
  <c r="AJ30" i="127"/>
  <c r="CA37" i="126"/>
  <c r="BY37" i="126"/>
  <c r="BZ37" i="126"/>
  <c r="AH37" i="126"/>
  <c r="CU37" i="126"/>
  <c r="BC37" i="126"/>
  <c r="BF37" i="126"/>
  <c r="BD37" i="126"/>
  <c r="BE37" i="126"/>
  <c r="AI37" i="126"/>
  <c r="CT37" i="126"/>
  <c r="BX37" i="126"/>
  <c r="CS37" i="126"/>
  <c r="AI27" i="127"/>
  <c r="BE27" i="127"/>
  <c r="CA27" i="127"/>
  <c r="CT27" i="127"/>
  <c r="BY27" i="127"/>
  <c r="BZ27" i="127"/>
  <c r="CU27" i="127"/>
  <c r="BD27" i="127"/>
  <c r="AI9" i="126"/>
  <c r="CA9" i="126"/>
  <c r="BC9" i="126"/>
  <c r="BZ9" i="126"/>
  <c r="CT9" i="126"/>
  <c r="BF9" i="126"/>
  <c r="BX9" i="126"/>
  <c r="BY9" i="126"/>
  <c r="BD9" i="126"/>
  <c r="BE9" i="126"/>
  <c r="CU9" i="126"/>
  <c r="AH9" i="126"/>
  <c r="CS9" i="126"/>
  <c r="DO41" i="127"/>
  <c r="AE41" i="127" s="1"/>
  <c r="AE44" i="127"/>
  <c r="AI30" i="127"/>
  <c r="AJ29" i="127"/>
  <c r="AJ28" i="126"/>
  <c r="I33" i="110"/>
  <c r="K32" i="133"/>
  <c r="D20" i="125" s="1"/>
  <c r="L32" i="133"/>
  <c r="D33" i="125" s="1"/>
  <c r="AJ4" i="133"/>
  <c r="M32" i="133"/>
  <c r="D46" i="125" s="1"/>
  <c r="AA4" i="133"/>
  <c r="L33" i="133"/>
  <c r="M33" i="133"/>
  <c r="K33" i="133"/>
  <c r="D141" i="138" s="1"/>
  <c r="E141" i="138" s="1"/>
  <c r="I33" i="133"/>
  <c r="G33" i="133"/>
  <c r="D140" i="138" s="1"/>
  <c r="E140" i="138" s="1"/>
  <c r="H33" i="133"/>
  <c r="C34" i="125" s="1"/>
  <c r="I32" i="133"/>
  <c r="C46" i="125" s="1"/>
  <c r="C20" i="125"/>
  <c r="H32" i="133"/>
  <c r="C33" i="125" s="1"/>
  <c r="G33" i="110"/>
  <c r="AG44" i="131"/>
  <c r="AH44" i="131"/>
  <c r="G6" i="133"/>
  <c r="D11" i="138" s="1"/>
  <c r="E11" i="138" s="1"/>
  <c r="I6" i="133"/>
  <c r="BW8" i="110"/>
  <c r="BC9" i="110"/>
  <c r="H6" i="133"/>
  <c r="Q26" i="132"/>
  <c r="K25" i="133"/>
  <c r="I26" i="110" s="1"/>
  <c r="L25" i="133"/>
  <c r="I26" i="126" s="1"/>
  <c r="M25" i="133"/>
  <c r="I26" i="127" s="1"/>
  <c r="AI89" i="110"/>
  <c r="AI9" i="110"/>
  <c r="AH89" i="132"/>
  <c r="AH88" i="132"/>
  <c r="AH98" i="132"/>
  <c r="AH103" i="132"/>
  <c r="AH97" i="132"/>
  <c r="AH96" i="132"/>
  <c r="AH102" i="132"/>
  <c r="AH48" i="132"/>
  <c r="AH94" i="132"/>
  <c r="AH14" i="132"/>
  <c r="AH92" i="132"/>
  <c r="AH14" i="131"/>
  <c r="AH91" i="132"/>
  <c r="AH93" i="132"/>
  <c r="AH95" i="132"/>
  <c r="AH14" i="130"/>
  <c r="G9" i="109"/>
  <c r="AJ37" i="126" s="1"/>
  <c r="AH90" i="132"/>
  <c r="AH43" i="131"/>
  <c r="AI96" i="110"/>
  <c r="BX89" i="110"/>
  <c r="CS89" i="110"/>
  <c r="AI11" i="110"/>
  <c r="AI95" i="110"/>
  <c r="AH104" i="132"/>
  <c r="BE87" i="110"/>
  <c r="AI87" i="110"/>
  <c r="BE15" i="110"/>
  <c r="CU31" i="110"/>
  <c r="AI92" i="110"/>
  <c r="BE92" i="110"/>
  <c r="AH88" i="131"/>
  <c r="AH24" i="130"/>
  <c r="AH16" i="130"/>
  <c r="AH41" i="130"/>
  <c r="AH24" i="132"/>
  <c r="AH98" i="130"/>
  <c r="AH101" i="130"/>
  <c r="AH90" i="130"/>
  <c r="AH31" i="130"/>
  <c r="AI13" i="131"/>
  <c r="AH42" i="130"/>
  <c r="AH97" i="130"/>
  <c r="AH43" i="132"/>
  <c r="BE42" i="110"/>
  <c r="AH5" i="132"/>
  <c r="AH6" i="130"/>
  <c r="BX9" i="110"/>
  <c r="CR9" i="110"/>
  <c r="CS9" i="110"/>
  <c r="BW9" i="110"/>
  <c r="CA9" i="110"/>
  <c r="CU9" i="110"/>
  <c r="CT9" i="110"/>
  <c r="BY9" i="110"/>
  <c r="BZ9" i="110"/>
  <c r="BB9" i="110"/>
  <c r="AG9" i="110"/>
  <c r="BD9" i="110"/>
  <c r="I18" i="133"/>
  <c r="I15" i="133" s="1"/>
  <c r="H18" i="133"/>
  <c r="H15" i="133" s="1"/>
  <c r="H89" i="133"/>
  <c r="G18" i="133"/>
  <c r="D59" i="138" s="1"/>
  <c r="G89" i="133"/>
  <c r="G90" i="110" s="1"/>
  <c r="I89" i="133"/>
  <c r="BE89" i="110"/>
  <c r="BE9" i="110"/>
  <c r="AH33" i="132"/>
  <c r="AH102" i="131"/>
  <c r="AH96" i="131"/>
  <c r="AI18" i="110"/>
  <c r="BE11" i="110"/>
  <c r="AH103" i="131"/>
  <c r="AH30" i="131"/>
  <c r="BE95" i="110"/>
  <c r="AH101" i="131"/>
  <c r="AI14" i="110"/>
  <c r="CU14" i="110"/>
  <c r="CU13" i="110" s="1"/>
  <c r="AH92" i="130"/>
  <c r="AH48" i="130"/>
  <c r="AH100" i="132"/>
  <c r="G34" i="133"/>
  <c r="D157" i="138" s="1"/>
  <c r="E157" i="138" s="1"/>
  <c r="G24" i="133"/>
  <c r="G25" i="110" s="1"/>
  <c r="AH28" i="131"/>
  <c r="AI36" i="130"/>
  <c r="CU42" i="110"/>
  <c r="CA42" i="110"/>
  <c r="F47" i="132"/>
  <c r="AH47" i="132" s="1"/>
  <c r="AI5" i="130"/>
  <c r="AH6" i="132"/>
  <c r="AH42" i="132"/>
  <c r="AH26" i="132"/>
  <c r="AI32" i="130"/>
  <c r="AI40" i="132"/>
  <c r="AH16" i="132"/>
  <c r="AH15" i="132"/>
  <c r="AH27" i="132"/>
  <c r="AH98" i="131"/>
  <c r="AH91" i="131"/>
  <c r="BE18" i="110"/>
  <c r="AH38" i="131"/>
  <c r="AH100" i="131"/>
  <c r="AH93" i="131"/>
  <c r="BX93" i="110"/>
  <c r="BE17" i="110"/>
  <c r="AH6" i="131"/>
  <c r="AH8" i="131"/>
  <c r="BE12" i="110"/>
  <c r="AI15" i="110"/>
  <c r="AH92" i="131"/>
  <c r="AH89" i="130"/>
  <c r="AH46" i="132"/>
  <c r="AH91" i="130"/>
  <c r="AH28" i="130"/>
  <c r="AI27" i="131"/>
  <c r="AH31" i="131"/>
  <c r="AI37" i="130"/>
  <c r="AI46" i="110"/>
  <c r="AH36" i="132"/>
  <c r="CA18" i="110"/>
  <c r="AH36" i="131"/>
  <c r="AH37" i="131"/>
  <c r="AH48" i="131"/>
  <c r="AH42" i="131"/>
  <c r="AH97" i="131"/>
  <c r="AH89" i="131"/>
  <c r="AH95" i="131"/>
  <c r="BE88" i="132"/>
  <c r="BE89" i="132"/>
  <c r="BE96" i="110"/>
  <c r="AI17" i="110"/>
  <c r="AI8" i="130"/>
  <c r="AI88" i="110"/>
  <c r="CU32" i="110"/>
  <c r="AI93" i="110"/>
  <c r="BE88" i="110"/>
  <c r="CU40" i="110"/>
  <c r="AI12" i="110"/>
  <c r="AH96" i="130"/>
  <c r="AH94" i="130"/>
  <c r="AH15" i="130"/>
  <c r="M9" i="133"/>
  <c r="K9" i="133"/>
  <c r="L9" i="133"/>
  <c r="AH46" i="131"/>
  <c r="P46" i="131" s="1"/>
  <c r="AH103" i="130"/>
  <c r="AH43" i="130"/>
  <c r="AH13" i="130"/>
  <c r="AI13" i="132"/>
  <c r="AH104" i="130"/>
  <c r="H25" i="133"/>
  <c r="G26" i="126" s="1"/>
  <c r="I25" i="133"/>
  <c r="G26" i="127" s="1"/>
  <c r="G25" i="133"/>
  <c r="G26" i="110" s="1"/>
  <c r="AH31" i="132"/>
  <c r="AH30" i="132"/>
  <c r="AH28" i="132"/>
  <c r="AI34" i="130"/>
  <c r="AH34" i="131"/>
  <c r="AH35" i="131"/>
  <c r="AH35" i="132"/>
  <c r="C24" i="125"/>
  <c r="I42" i="133"/>
  <c r="G43" i="127" s="1"/>
  <c r="H42" i="133"/>
  <c r="G43" i="126" s="1"/>
  <c r="AI42" i="110"/>
  <c r="AL41" i="133"/>
  <c r="AH37" i="132"/>
  <c r="AH32" i="132"/>
  <c r="DN86" i="110"/>
  <c r="AP35" i="133"/>
  <c r="AO35" i="133"/>
  <c r="AI5" i="131"/>
  <c r="F47" i="131"/>
  <c r="AG47" i="131" s="1"/>
  <c r="F47" i="130"/>
  <c r="AH47" i="130" s="1"/>
  <c r="G34" i="110"/>
  <c r="AH5" i="131"/>
  <c r="CT37" i="110"/>
  <c r="BC37" i="110"/>
  <c r="BX37" i="110"/>
  <c r="BB37" i="110"/>
  <c r="BY37" i="110"/>
  <c r="BD37" i="110"/>
  <c r="BW37" i="110"/>
  <c r="CR37" i="110"/>
  <c r="BZ37" i="110"/>
  <c r="CU37" i="110"/>
  <c r="AJ37" i="110"/>
  <c r="AH4" i="132"/>
  <c r="AI5" i="132"/>
  <c r="BC8" i="110"/>
  <c r="BB8" i="110"/>
  <c r="BY8" i="110"/>
  <c r="BD8" i="110"/>
  <c r="AH8" i="110"/>
  <c r="CR8" i="110"/>
  <c r="AJ8" i="110"/>
  <c r="BX8" i="110"/>
  <c r="CS8" i="110"/>
  <c r="AG8" i="110"/>
  <c r="AI8" i="110"/>
  <c r="CT8" i="110"/>
  <c r="AH5" i="130"/>
  <c r="AG5" i="130"/>
  <c r="AF5" i="130"/>
  <c r="R30" i="132"/>
  <c r="AC42" i="110"/>
  <c r="E36" i="125"/>
  <c r="E23" i="125"/>
  <c r="DS13" i="110"/>
  <c r="AX86" i="110"/>
  <c r="AP13" i="110"/>
  <c r="AQ13" i="110"/>
  <c r="AR13" i="110"/>
  <c r="BR86" i="110"/>
  <c r="DT13" i="110"/>
  <c r="BU13" i="110"/>
  <c r="DR13" i="110"/>
  <c r="BE46" i="110"/>
  <c r="H11" i="109"/>
  <c r="BF27" i="126" s="1"/>
  <c r="H15" i="109"/>
  <c r="CV8" i="127" s="1"/>
  <c r="BE34" i="132"/>
  <c r="CU18" i="110"/>
  <c r="BE28" i="131"/>
  <c r="BE43" i="132"/>
  <c r="BE38" i="131"/>
  <c r="BE93" i="131"/>
  <c r="BE102" i="131"/>
  <c r="BE91" i="130"/>
  <c r="BE88" i="130"/>
  <c r="BE41" i="130"/>
  <c r="BE89" i="130"/>
  <c r="CU17" i="110"/>
  <c r="BE14" i="110"/>
  <c r="CU8" i="110"/>
  <c r="BE28" i="132"/>
  <c r="BE12" i="131"/>
  <c r="BE29" i="132"/>
  <c r="BE15" i="132"/>
  <c r="BE33" i="132"/>
  <c r="BE33" i="130"/>
  <c r="CU11" i="110"/>
  <c r="BE5" i="130"/>
  <c r="BE89" i="131"/>
  <c r="BE91" i="131"/>
  <c r="BE32" i="130"/>
  <c r="BE93" i="130"/>
  <c r="BE96" i="130"/>
  <c r="BX46" i="110"/>
  <c r="CS46" i="110"/>
  <c r="BE32" i="110"/>
  <c r="CU12" i="110"/>
  <c r="BE8" i="110"/>
  <c r="BE37" i="110"/>
  <c r="Q46" i="131"/>
  <c r="E42" i="125"/>
  <c r="DO13" i="110"/>
  <c r="BS13" i="110"/>
  <c r="DP7" i="110"/>
  <c r="BU86" i="110"/>
  <c r="DU7" i="110"/>
  <c r="BP13" i="110"/>
  <c r="BT86" i="110"/>
  <c r="DQ86" i="110"/>
  <c r="DV13" i="110"/>
  <c r="BN13" i="110"/>
  <c r="DT86" i="110"/>
  <c r="AZ13" i="110"/>
  <c r="AS13" i="110"/>
  <c r="BL13" i="110"/>
  <c r="AY86" i="110"/>
  <c r="DU86" i="110"/>
  <c r="DO16" i="110"/>
  <c r="AO13" i="110"/>
  <c r="BT94" i="110"/>
  <c r="BS86" i="110"/>
  <c r="BJ13" i="110"/>
  <c r="BW94" i="110"/>
  <c r="DP86" i="110"/>
  <c r="BD13" i="110"/>
  <c r="BC91" i="110"/>
  <c r="CS13" i="110"/>
  <c r="CT13" i="110"/>
  <c r="BD91" i="110"/>
  <c r="DP94" i="110"/>
  <c r="AG94" i="110"/>
  <c r="DR86" i="110"/>
  <c r="BB91" i="110"/>
  <c r="BT35" i="110"/>
  <c r="BB94" i="110"/>
  <c r="DO35" i="110"/>
  <c r="DR94" i="110"/>
  <c r="DS94" i="110"/>
  <c r="DS35" i="110"/>
  <c r="DW35" i="110"/>
  <c r="DU24" i="110"/>
  <c r="DT24" i="110"/>
  <c r="BW13" i="110"/>
  <c r="AW13" i="110"/>
  <c r="BR7" i="110"/>
  <c r="BU7" i="110"/>
  <c r="AW7" i="110"/>
  <c r="DV7" i="110"/>
  <c r="DR7" i="110"/>
  <c r="DM24" i="110"/>
  <c r="BS94" i="110"/>
  <c r="DV94" i="110"/>
  <c r="DO7" i="110"/>
  <c r="DS91" i="110"/>
  <c r="DR91" i="110"/>
  <c r="DM35" i="110"/>
  <c r="AZ7" i="110"/>
  <c r="CR13" i="110"/>
  <c r="DW16" i="110"/>
  <c r="BB13" i="110"/>
  <c r="DR16" i="110"/>
  <c r="DV91" i="110"/>
  <c r="BZ13" i="110"/>
  <c r="DQ13" i="110"/>
  <c r="BO13" i="110"/>
  <c r="BQ13" i="110"/>
  <c r="DQ7" i="110"/>
  <c r="AX7" i="110"/>
  <c r="CR94" i="110"/>
  <c r="AU7" i="110"/>
  <c r="AT13" i="110"/>
  <c r="BQ86" i="110"/>
  <c r="DO86" i="110"/>
  <c r="BK13" i="110"/>
  <c r="AV7" i="110"/>
  <c r="BC94" i="110"/>
  <c r="BX13" i="110"/>
  <c r="DW13" i="110"/>
  <c r="BR35" i="110"/>
  <c r="AV35" i="110"/>
  <c r="AG13" i="110"/>
  <c r="AY13" i="110"/>
  <c r="DP24" i="110"/>
  <c r="DS24" i="110"/>
  <c r="BR13" i="110"/>
  <c r="AV86" i="110"/>
  <c r="AW35" i="110"/>
  <c r="DP35" i="110"/>
  <c r="BQ7" i="110"/>
  <c r="BS91" i="110"/>
  <c r="BR94" i="110"/>
  <c r="DQ16" i="110"/>
  <c r="BQ94" i="110"/>
  <c r="DW7" i="110"/>
  <c r="DN94" i="110"/>
  <c r="DW94" i="110"/>
  <c r="DQ94" i="110"/>
  <c r="DN91" i="110"/>
  <c r="DT91" i="110"/>
  <c r="BQ35" i="110"/>
  <c r="DM44" i="110"/>
  <c r="BD94" i="110"/>
  <c r="DR35" i="110"/>
  <c r="DO24" i="110"/>
  <c r="BW91" i="110"/>
  <c r="AX13" i="110"/>
  <c r="DN7" i="110"/>
  <c r="DV86" i="110"/>
  <c r="AV13" i="110"/>
  <c r="DS86" i="110"/>
  <c r="DU13" i="110"/>
  <c r="BT13" i="110"/>
  <c r="BM13" i="110"/>
  <c r="BT7" i="110"/>
  <c r="AY7" i="110"/>
  <c r="BU94" i="110"/>
  <c r="DV16" i="110"/>
  <c r="DV35" i="110"/>
  <c r="DQ35" i="110"/>
  <c r="AG91" i="110"/>
  <c r="DQ24" i="110"/>
  <c r="DV24" i="110"/>
  <c r="AW86" i="110"/>
  <c r="CR91" i="110"/>
  <c r="AX35" i="110"/>
  <c r="DN35" i="110"/>
  <c r="BQ91" i="110"/>
  <c r="BT91" i="110"/>
  <c r="DT16" i="110"/>
  <c r="DN16" i="110"/>
  <c r="DU94" i="110"/>
  <c r="DO94" i="110"/>
  <c r="DS7" i="110"/>
  <c r="BU35" i="110"/>
  <c r="AU13" i="110"/>
  <c r="DW91" i="110"/>
  <c r="DW44" i="110" s="1"/>
  <c r="DW41" i="110" s="1"/>
  <c r="DP91" i="110"/>
  <c r="DU91" i="110"/>
  <c r="BC13" i="110"/>
  <c r="BS7" i="110"/>
  <c r="DT7" i="110"/>
  <c r="AZ86" i="110"/>
  <c r="AH13" i="110"/>
  <c r="BY13" i="110"/>
  <c r="BP7" i="110"/>
  <c r="DP16" i="110"/>
  <c r="DN24" i="110"/>
  <c r="BS35" i="110"/>
  <c r="AY35" i="110"/>
  <c r="DW24" i="110"/>
  <c r="DR24" i="110"/>
  <c r="DU35" i="110"/>
  <c r="DS16" i="110"/>
  <c r="BU91" i="110"/>
  <c r="DU16" i="110"/>
  <c r="AZ35" i="110"/>
  <c r="DT35" i="110"/>
  <c r="DP13" i="110"/>
  <c r="BR91" i="110"/>
  <c r="N35" i="110"/>
  <c r="AD35" i="110" s="1"/>
  <c r="AE11" i="110"/>
  <c r="AI35" i="131"/>
  <c r="C17" i="125"/>
  <c r="AE92" i="110"/>
  <c r="D17" i="125"/>
  <c r="AE30" i="110"/>
  <c r="H9" i="131"/>
  <c r="BC9" i="131" s="1"/>
  <c r="E16" i="125"/>
  <c r="N16" i="110"/>
  <c r="AD16" i="110" s="1"/>
  <c r="BX40" i="110"/>
  <c r="CR40" i="110"/>
  <c r="AH40" i="110"/>
  <c r="BC40" i="110"/>
  <c r="AG40" i="110"/>
  <c r="CS40" i="110"/>
  <c r="BB40" i="110"/>
  <c r="AD7" i="110"/>
  <c r="E29" i="125"/>
  <c r="AH37" i="110"/>
  <c r="AG37" i="110"/>
  <c r="AI37" i="110"/>
  <c r="BC28" i="132"/>
  <c r="AI40" i="131"/>
  <c r="H44" i="118"/>
  <c r="H44" i="131" s="1"/>
  <c r="C391" i="115"/>
  <c r="H99" i="118" s="1"/>
  <c r="E110" i="118" s="1"/>
  <c r="E107" i="118" s="1"/>
  <c r="F99" i="132"/>
  <c r="F99" i="130"/>
  <c r="F99" i="131"/>
  <c r="AH40" i="131"/>
  <c r="AI35" i="132"/>
  <c r="AG35" i="131"/>
  <c r="AG34" i="131"/>
  <c r="AI34" i="131"/>
  <c r="AH34" i="130"/>
  <c r="AH41" i="131"/>
  <c r="AI41" i="131"/>
  <c r="AI43" i="132"/>
  <c r="AH40" i="132"/>
  <c r="AI30" i="132"/>
  <c r="AG38" i="130"/>
  <c r="AI38" i="130"/>
  <c r="BC10" i="130"/>
  <c r="AI28" i="131"/>
  <c r="AH27" i="131"/>
  <c r="AH38" i="130"/>
  <c r="AI34" i="132"/>
  <c r="AI31" i="131"/>
  <c r="AF34" i="130"/>
  <c r="AG34" i="130"/>
  <c r="AF37" i="130"/>
  <c r="AH37" i="130"/>
  <c r="AG37" i="130"/>
  <c r="AH35" i="130"/>
  <c r="AG35" i="130"/>
  <c r="AI35" i="130"/>
  <c r="R31" i="131"/>
  <c r="AI28" i="132"/>
  <c r="BC30" i="130"/>
  <c r="AF36" i="130"/>
  <c r="AH36" i="130"/>
  <c r="AG36" i="130"/>
  <c r="AG27" i="131"/>
  <c r="BD30" i="130"/>
  <c r="BB30" i="130"/>
  <c r="AG32" i="131"/>
  <c r="AH29" i="132"/>
  <c r="AG28" i="131"/>
  <c r="AF27" i="130"/>
  <c r="AI29" i="132"/>
  <c r="AG31" i="131"/>
  <c r="AI27" i="130"/>
  <c r="AF28" i="130"/>
  <c r="AH27" i="130"/>
  <c r="AF29" i="130"/>
  <c r="AI29" i="131"/>
  <c r="AI28" i="130"/>
  <c r="AG29" i="131"/>
  <c r="BD28" i="132"/>
  <c r="AG28" i="130"/>
  <c r="AI30" i="130"/>
  <c r="BB28" i="130"/>
  <c r="R32" i="132"/>
  <c r="AH32" i="131"/>
  <c r="AI31" i="132"/>
  <c r="AI29" i="130"/>
  <c r="AF30" i="130"/>
  <c r="AI32" i="131"/>
  <c r="AH29" i="130"/>
  <c r="BA28" i="130"/>
  <c r="BD28" i="130"/>
  <c r="AH30" i="130"/>
  <c r="AG32" i="130"/>
  <c r="AF32" i="130"/>
  <c r="AH32" i="130"/>
  <c r="F18" i="131"/>
  <c r="F18" i="132"/>
  <c r="F18" i="130"/>
  <c r="H18" i="131"/>
  <c r="H18" i="132"/>
  <c r="H18" i="130"/>
  <c r="AG13" i="131"/>
  <c r="H17" i="118"/>
  <c r="H25" i="132"/>
  <c r="BD25" i="132" s="1"/>
  <c r="H25" i="131"/>
  <c r="BB25" i="131" s="1"/>
  <c r="H20" i="132"/>
  <c r="BE20" i="132" s="1"/>
  <c r="F20" i="132"/>
  <c r="BB10" i="130"/>
  <c r="F17" i="131"/>
  <c r="AI17" i="131" s="1"/>
  <c r="AH13" i="131"/>
  <c r="F20" i="131"/>
  <c r="AI20" i="131" s="1"/>
  <c r="F44" i="132"/>
  <c r="AH13" i="132"/>
  <c r="BD12" i="131"/>
  <c r="F17" i="130"/>
  <c r="AF17" i="130" s="1"/>
  <c r="F17" i="132"/>
  <c r="F44" i="130"/>
  <c r="BD12" i="130"/>
  <c r="BC12" i="131"/>
  <c r="BB12" i="131"/>
  <c r="BD10" i="130"/>
  <c r="H10" i="132"/>
  <c r="H9" i="130"/>
  <c r="AI8" i="131"/>
  <c r="H10" i="131"/>
  <c r="BE10" i="131" s="1"/>
  <c r="H9" i="132"/>
  <c r="BE9" i="132" s="1"/>
  <c r="Q26" i="130"/>
  <c r="BD12" i="132"/>
  <c r="P26" i="130"/>
  <c r="BB12" i="130"/>
  <c r="BA12" i="130"/>
  <c r="H47" i="131"/>
  <c r="BB47" i="131" s="1"/>
  <c r="BD7" i="131"/>
  <c r="BB7" i="131"/>
  <c r="H7" i="130"/>
  <c r="BD7" i="130" s="1"/>
  <c r="BC8" i="132"/>
  <c r="BD8" i="132"/>
  <c r="AI8" i="132"/>
  <c r="H7" i="132"/>
  <c r="BE7" i="132" s="1"/>
  <c r="BD23" i="132"/>
  <c r="AV91" i="110"/>
  <c r="AH4" i="130"/>
  <c r="AG4" i="130"/>
  <c r="AF4" i="130"/>
  <c r="BC5" i="132"/>
  <c r="BD5" i="132"/>
  <c r="AI4" i="130"/>
  <c r="AG4" i="131"/>
  <c r="AH4" i="131"/>
  <c r="AI4" i="131"/>
  <c r="H8" i="130"/>
  <c r="H8" i="131"/>
  <c r="BE8" i="131" s="1"/>
  <c r="AG8" i="131"/>
  <c r="BC22" i="132"/>
  <c r="AE12" i="110"/>
  <c r="AX91" i="110"/>
  <c r="AE38" i="110"/>
  <c r="AZ94" i="110"/>
  <c r="AY91" i="110"/>
  <c r="E22" i="125"/>
  <c r="N24" i="110"/>
  <c r="AD24" i="110" s="1"/>
  <c r="CR38" i="110"/>
  <c r="AG38" i="110"/>
  <c r="BX38" i="110"/>
  <c r="CU38" i="110"/>
  <c r="AJ38" i="110"/>
  <c r="CT38" i="110"/>
  <c r="BW38" i="110"/>
  <c r="BZ38" i="110"/>
  <c r="BC38" i="110"/>
  <c r="AW94" i="110"/>
  <c r="AE95" i="110"/>
  <c r="AE27" i="110"/>
  <c r="AE36" i="110"/>
  <c r="AV94" i="110"/>
  <c r="AC16" i="110"/>
  <c r="AW91" i="110"/>
  <c r="AZ91" i="110"/>
  <c r="AE17" i="110"/>
  <c r="AE93" i="110"/>
  <c r="AX94" i="110"/>
  <c r="BY38" i="110"/>
  <c r="AI38" i="110"/>
  <c r="CV38" i="110"/>
  <c r="AH38" i="110"/>
  <c r="BE38" i="110"/>
  <c r="AE25" i="110"/>
  <c r="AY94" i="110"/>
  <c r="E19" i="125"/>
  <c r="BB38" i="110"/>
  <c r="BD38" i="110"/>
  <c r="E43" i="125"/>
  <c r="AE34" i="110"/>
  <c r="U34" i="110" s="1"/>
  <c r="AE88" i="110"/>
  <c r="AE29" i="110"/>
  <c r="AH91" i="110"/>
  <c r="AE37" i="110"/>
  <c r="AE39" i="110"/>
  <c r="AH94" i="110"/>
  <c r="AG9" i="131"/>
  <c r="AI9" i="131"/>
  <c r="BE16" i="130"/>
  <c r="BE104" i="131"/>
  <c r="BE103" i="130"/>
  <c r="BE98" i="131"/>
  <c r="BE100" i="131"/>
  <c r="BE96" i="131"/>
  <c r="BE7" i="131"/>
  <c r="BE95" i="130"/>
  <c r="BE98" i="130"/>
  <c r="Q98" i="130" s="1"/>
  <c r="BE101" i="131"/>
  <c r="BE41" i="131"/>
  <c r="BE103" i="131"/>
  <c r="BE97" i="131"/>
  <c r="BE29" i="130"/>
  <c r="BE12" i="130"/>
  <c r="BE13" i="132"/>
  <c r="BE38" i="132"/>
  <c r="BE13" i="130"/>
  <c r="BE8" i="132"/>
  <c r="BE15" i="131"/>
  <c r="BE31" i="130"/>
  <c r="BE32" i="131"/>
  <c r="BE34" i="131"/>
  <c r="BE30" i="131"/>
  <c r="BE22" i="132"/>
  <c r="BE14" i="131"/>
  <c r="AJ27" i="110"/>
  <c r="Q26" i="131"/>
  <c r="CS96" i="110"/>
  <c r="AE18" i="110"/>
  <c r="AE15" i="110"/>
  <c r="AE87" i="110"/>
  <c r="AE28" i="110"/>
  <c r="AC13" i="110"/>
  <c r="E17" i="125"/>
  <c r="AE40" i="110"/>
  <c r="N45" i="110"/>
  <c r="AD45" i="110" s="1"/>
  <c r="AE96" i="110"/>
  <c r="AE8" i="110"/>
  <c r="Z31" i="110"/>
  <c r="CS27" i="110"/>
  <c r="BF27" i="110"/>
  <c r="BE27" i="110"/>
  <c r="BZ27" i="110"/>
  <c r="BD27" i="110"/>
  <c r="BW27" i="110"/>
  <c r="AH27" i="110"/>
  <c r="BB27" i="110"/>
  <c r="CU27" i="110"/>
  <c r="BX27" i="110"/>
  <c r="CT27" i="110"/>
  <c r="AG27" i="110"/>
  <c r="BC27" i="110"/>
  <c r="AI27" i="110"/>
  <c r="BY27" i="110"/>
  <c r="CV27" i="110"/>
  <c r="CR27" i="110"/>
  <c r="E48" i="125"/>
  <c r="BB22" i="130"/>
  <c r="BA22" i="130"/>
  <c r="BC22" i="130"/>
  <c r="BD22" i="130"/>
  <c r="CA11" i="110"/>
  <c r="AE14" i="110"/>
  <c r="AE32" i="110"/>
  <c r="AE10" i="110"/>
  <c r="AH22" i="131"/>
  <c r="AG22" i="131"/>
  <c r="AI22" i="131"/>
  <c r="E30" i="125"/>
  <c r="BB22" i="131"/>
  <c r="BC22" i="131"/>
  <c r="E32" i="125"/>
  <c r="BD22" i="131"/>
  <c r="G45" i="110"/>
  <c r="BD28" i="110"/>
  <c r="BX28" i="110"/>
  <c r="BB28" i="110"/>
  <c r="BE28" i="110"/>
  <c r="AH28" i="110"/>
  <c r="AG28" i="110"/>
  <c r="CS28" i="110"/>
  <c r="BY28" i="110"/>
  <c r="BZ28" i="110"/>
  <c r="BC28" i="110"/>
  <c r="BW28" i="110"/>
  <c r="CT28" i="110"/>
  <c r="AI28" i="110"/>
  <c r="CR28" i="110"/>
  <c r="CU28" i="110"/>
  <c r="AJ28" i="110"/>
  <c r="AH22" i="132"/>
  <c r="AI22" i="132"/>
  <c r="BE35" i="132"/>
  <c r="BE37" i="131"/>
  <c r="BE36" i="131"/>
  <c r="BE23" i="132"/>
  <c r="BE36" i="132"/>
  <c r="BE33" i="131"/>
  <c r="BE43" i="131"/>
  <c r="BE43" i="130"/>
  <c r="BE38" i="130"/>
  <c r="BE6" i="131"/>
  <c r="BE11" i="131"/>
  <c r="BE29" i="131"/>
  <c r="BE10" i="130"/>
  <c r="BE48" i="131"/>
  <c r="BE88" i="131"/>
  <c r="BE35" i="130"/>
  <c r="BE94" i="131"/>
  <c r="BE16" i="131"/>
  <c r="BE27" i="131"/>
  <c r="BE92" i="130"/>
  <c r="BE48" i="130"/>
  <c r="BE92" i="131"/>
  <c r="E35" i="125"/>
  <c r="G17" i="109"/>
  <c r="F19" i="109"/>
  <c r="H19" i="131"/>
  <c r="H19" i="132"/>
  <c r="H19" i="130"/>
  <c r="AF8" i="130"/>
  <c r="AG8" i="130"/>
  <c r="AH8" i="130"/>
  <c r="I45" i="110"/>
  <c r="CS88" i="110"/>
  <c r="BX88" i="110"/>
  <c r="CS93" i="110"/>
  <c r="BX87" i="110"/>
  <c r="CS92" i="110"/>
  <c r="CS95" i="110"/>
  <c r="BX95" i="110"/>
  <c r="BX96" i="110"/>
  <c r="CS87" i="110"/>
  <c r="BX92" i="110"/>
  <c r="AE31" i="110"/>
  <c r="AH22" i="130"/>
  <c r="AG22" i="130"/>
  <c r="AF22" i="130"/>
  <c r="F19" i="132"/>
  <c r="F19" i="130"/>
  <c r="F19" i="131"/>
  <c r="E45" i="125"/>
  <c r="AI22" i="130"/>
  <c r="I14" i="109"/>
  <c r="CB17" i="126" s="1"/>
  <c r="CA8" i="110"/>
  <c r="CA17" i="110"/>
  <c r="CA15" i="110"/>
  <c r="CA14" i="110"/>
  <c r="CA32" i="110"/>
  <c r="CA37" i="110"/>
  <c r="CA38" i="110"/>
  <c r="CA31" i="110"/>
  <c r="CA28" i="110"/>
  <c r="CA12" i="110"/>
  <c r="CA27" i="110"/>
  <c r="CA40" i="110"/>
  <c r="Q16" i="109"/>
  <c r="I10" i="109"/>
  <c r="BE12" i="132"/>
  <c r="BE14" i="132"/>
  <c r="BE41" i="132"/>
  <c r="BE24" i="132"/>
  <c r="BE11" i="132"/>
  <c r="BE40" i="132"/>
  <c r="BE42" i="132"/>
  <c r="BE92" i="132"/>
  <c r="BE101" i="132"/>
  <c r="BE98" i="132"/>
  <c r="BE102" i="132"/>
  <c r="BE96" i="132"/>
  <c r="BE104" i="132"/>
  <c r="BE100" i="132"/>
  <c r="BE4" i="131"/>
  <c r="BE24" i="131"/>
  <c r="BE97" i="132"/>
  <c r="BE22" i="131"/>
  <c r="BE40" i="131"/>
  <c r="BE36" i="130"/>
  <c r="BE28" i="130"/>
  <c r="BE22" i="130"/>
  <c r="BE4" i="130"/>
  <c r="Q4" i="130" s="1"/>
  <c r="BE30" i="130"/>
  <c r="BE34" i="130"/>
  <c r="BE37" i="130"/>
  <c r="BE90" i="132"/>
  <c r="BE91" i="132"/>
  <c r="BE90" i="130"/>
  <c r="BE104" i="130"/>
  <c r="BE97" i="130"/>
  <c r="BE5" i="132"/>
  <c r="BE24" i="130"/>
  <c r="Q24" i="130" s="1"/>
  <c r="BE40" i="130"/>
  <c r="BE93" i="132"/>
  <c r="BE94" i="132"/>
  <c r="BE27" i="130"/>
  <c r="BE101" i="130"/>
  <c r="BE48" i="132"/>
  <c r="BE103" i="132"/>
  <c r="BE4" i="132"/>
  <c r="BE6" i="132"/>
  <c r="BE6" i="130"/>
  <c r="BE100" i="130"/>
  <c r="BE31" i="131"/>
  <c r="BE30" i="132"/>
  <c r="BE5" i="131"/>
  <c r="BE102" i="130"/>
  <c r="BE37" i="132"/>
  <c r="BE27" i="132"/>
  <c r="BE16" i="132"/>
  <c r="BE95" i="132"/>
  <c r="BE32" i="132"/>
  <c r="H47" i="130"/>
  <c r="I34" i="110"/>
  <c r="H47" i="132"/>
  <c r="Y31" i="110"/>
  <c r="Q46" i="130"/>
  <c r="N46" i="130" s="1"/>
  <c r="N46" i="118" s="1"/>
  <c r="Q46" i="132"/>
  <c r="AG25" i="130"/>
  <c r="AI25" i="130"/>
  <c r="AF25" i="130"/>
  <c r="AH25" i="130"/>
  <c r="AI25" i="132"/>
  <c r="AH25" i="132"/>
  <c r="AI10" i="130"/>
  <c r="AF10" i="130"/>
  <c r="AH10" i="130"/>
  <c r="AG10" i="130"/>
  <c r="AI10" i="132"/>
  <c r="AH10" i="132"/>
  <c r="BC25" i="130"/>
  <c r="BB25" i="130"/>
  <c r="BA25" i="130"/>
  <c r="BD25" i="130"/>
  <c r="BE25" i="130"/>
  <c r="AI9" i="130"/>
  <c r="AG9" i="130"/>
  <c r="AH9" i="130"/>
  <c r="AF9" i="130"/>
  <c r="BB10" i="110"/>
  <c r="CU10" i="110"/>
  <c r="BY10" i="110"/>
  <c r="BD10" i="110"/>
  <c r="CA10" i="110"/>
  <c r="BE10" i="110"/>
  <c r="CS10" i="110"/>
  <c r="BX10" i="110"/>
  <c r="G7" i="110"/>
  <c r="CT10" i="110"/>
  <c r="BZ10" i="110"/>
  <c r="BW10" i="110"/>
  <c r="CR10" i="110"/>
  <c r="BC10" i="110"/>
  <c r="BF10" i="110"/>
  <c r="AH9" i="132"/>
  <c r="AI9" i="132"/>
  <c r="BW39" i="110"/>
  <c r="BX39" i="110"/>
  <c r="BC39" i="110"/>
  <c r="CR39" i="110"/>
  <c r="CU39" i="110"/>
  <c r="BD39" i="110"/>
  <c r="CT39" i="110"/>
  <c r="CA39" i="110"/>
  <c r="BE39" i="110"/>
  <c r="AJ39" i="110"/>
  <c r="AH39" i="110"/>
  <c r="CS39" i="110"/>
  <c r="BB39" i="110"/>
  <c r="BZ39" i="110"/>
  <c r="BY39" i="110"/>
  <c r="AG39" i="110"/>
  <c r="AI39" i="110"/>
  <c r="AI25" i="131"/>
  <c r="AG25" i="131"/>
  <c r="AH25" i="131"/>
  <c r="AJ30" i="110"/>
  <c r="AI30" i="110"/>
  <c r="CU30" i="110"/>
  <c r="BX30" i="110"/>
  <c r="CA30" i="110"/>
  <c r="BY30" i="110"/>
  <c r="BW30" i="110"/>
  <c r="AG30" i="110"/>
  <c r="AH30" i="110"/>
  <c r="BZ30" i="110"/>
  <c r="BE30" i="110"/>
  <c r="CR30" i="110"/>
  <c r="CS30" i="110"/>
  <c r="CT30" i="110"/>
  <c r="BD30" i="110"/>
  <c r="BC30" i="110"/>
  <c r="BB30" i="110"/>
  <c r="AG10" i="131"/>
  <c r="AI10" i="131"/>
  <c r="AH10" i="131"/>
  <c r="AH9" i="131"/>
  <c r="BE23" i="130"/>
  <c r="BD23" i="130"/>
  <c r="BB23" i="130"/>
  <c r="BC23" i="130"/>
  <c r="BA23" i="130"/>
  <c r="AF12" i="130"/>
  <c r="AG12" i="130"/>
  <c r="AH12" i="130"/>
  <c r="AI12" i="130"/>
  <c r="AI12" i="132"/>
  <c r="AH12" i="132"/>
  <c r="AH23" i="130"/>
  <c r="AG23" i="130"/>
  <c r="AI23" i="130"/>
  <c r="AF23" i="130"/>
  <c r="AI23" i="132"/>
  <c r="AH23" i="132"/>
  <c r="P26" i="131"/>
  <c r="BE23" i="131"/>
  <c r="BD23" i="131"/>
  <c r="BB23" i="131"/>
  <c r="BF23" i="131"/>
  <c r="BC23" i="131"/>
  <c r="AH12" i="131"/>
  <c r="AI12" i="131"/>
  <c r="AG12" i="131"/>
  <c r="BE29" i="110"/>
  <c r="BB29" i="110"/>
  <c r="CR29" i="110"/>
  <c r="CU29" i="110"/>
  <c r="AG29" i="110"/>
  <c r="BW29" i="110"/>
  <c r="BZ29" i="110"/>
  <c r="CT29" i="110"/>
  <c r="AI29" i="110"/>
  <c r="BY29" i="110"/>
  <c r="BX29" i="110"/>
  <c r="AH29" i="110"/>
  <c r="BC29" i="110"/>
  <c r="BF29" i="110"/>
  <c r="CA29" i="110"/>
  <c r="CV29" i="110"/>
  <c r="AJ29" i="110"/>
  <c r="CS29" i="110"/>
  <c r="BD29" i="110"/>
  <c r="AI23" i="131"/>
  <c r="AG23" i="131"/>
  <c r="AH23" i="131"/>
  <c r="AG21" i="130"/>
  <c r="AH21" i="130"/>
  <c r="AI21" i="130"/>
  <c r="AF21" i="130"/>
  <c r="AI21" i="132"/>
  <c r="AH21" i="132"/>
  <c r="AI11" i="130"/>
  <c r="AH11" i="130"/>
  <c r="AG11" i="130"/>
  <c r="AF11" i="130"/>
  <c r="AH11" i="132"/>
  <c r="AI11" i="132"/>
  <c r="BE21" i="131"/>
  <c r="BD21" i="131"/>
  <c r="BB21" i="131"/>
  <c r="BC21" i="131"/>
  <c r="AF7" i="130"/>
  <c r="AI7" i="130"/>
  <c r="AH7" i="130"/>
  <c r="AG7" i="130"/>
  <c r="AI7" i="132"/>
  <c r="AH7" i="132"/>
  <c r="AI21" i="131"/>
  <c r="AG21" i="131"/>
  <c r="AH21" i="131"/>
  <c r="AG11" i="131"/>
  <c r="AI11" i="131"/>
  <c r="AH11" i="131"/>
  <c r="BE21" i="130"/>
  <c r="BC21" i="130"/>
  <c r="BB21" i="130"/>
  <c r="BA21" i="130"/>
  <c r="BD21" i="130"/>
  <c r="BC21" i="132"/>
  <c r="BE21" i="132"/>
  <c r="BD21" i="132"/>
  <c r="AH7" i="131"/>
  <c r="AG7" i="131"/>
  <c r="AI7" i="131"/>
  <c r="N47" i="132"/>
  <c r="P47" i="118" s="1"/>
  <c r="E59" i="138" l="1"/>
  <c r="D64" i="138"/>
  <c r="E64" i="138" s="1"/>
  <c r="BE91" i="110"/>
  <c r="BE91" i="126"/>
  <c r="BE45" i="110"/>
  <c r="AI13" i="126"/>
  <c r="CA13" i="127"/>
  <c r="I34" i="133"/>
  <c r="C48" i="125" s="1"/>
  <c r="AC4" i="133"/>
  <c r="BX6" i="127"/>
  <c r="BF27" i="127"/>
  <c r="AJ27" i="127"/>
  <c r="CV37" i="127"/>
  <c r="AJ9" i="127"/>
  <c r="CS45" i="126"/>
  <c r="BX86" i="127"/>
  <c r="H34" i="133"/>
  <c r="BW44" i="126"/>
  <c r="BW41" i="126" s="1"/>
  <c r="BW5" i="126" s="1"/>
  <c r="CV37" i="126"/>
  <c r="CV9" i="127"/>
  <c r="CU13" i="126"/>
  <c r="BE45" i="126"/>
  <c r="BE13" i="127"/>
  <c r="BE13" i="126"/>
  <c r="CS45" i="110"/>
  <c r="CB9" i="126"/>
  <c r="CB37" i="126"/>
  <c r="CB37" i="127"/>
  <c r="CB8" i="126"/>
  <c r="CB8" i="127"/>
  <c r="BW44" i="127"/>
  <c r="BW41" i="127" s="1"/>
  <c r="BW5" i="127" s="1"/>
  <c r="AI91" i="127"/>
  <c r="CR44" i="127"/>
  <c r="CR41" i="127" s="1"/>
  <c r="CR5" i="127" s="1"/>
  <c r="CV17" i="126"/>
  <c r="CU13" i="127"/>
  <c r="BE94" i="127"/>
  <c r="BE94" i="126"/>
  <c r="BX91" i="126"/>
  <c r="AI91" i="126"/>
  <c r="CS91" i="127"/>
  <c r="BY85" i="126"/>
  <c r="BY58" i="127"/>
  <c r="BY57" i="126"/>
  <c r="CT58" i="127"/>
  <c r="BY83" i="126"/>
  <c r="CT57" i="126"/>
  <c r="BY55" i="126"/>
  <c r="CT56" i="127"/>
  <c r="CT85" i="126"/>
  <c r="CT55" i="126"/>
  <c r="BY84" i="127"/>
  <c r="CT83" i="126"/>
  <c r="BY56" i="127"/>
  <c r="BY57" i="127"/>
  <c r="BY83" i="127"/>
  <c r="CT83" i="127"/>
  <c r="CT84" i="110"/>
  <c r="BY65" i="126"/>
  <c r="BY58" i="126"/>
  <c r="CT85" i="127"/>
  <c r="CT56" i="126"/>
  <c r="CT55" i="127"/>
  <c r="CT65" i="126"/>
  <c r="CT57" i="127"/>
  <c r="BY55" i="127"/>
  <c r="BY85" i="127"/>
  <c r="BY84" i="126"/>
  <c r="CT83" i="110"/>
  <c r="BY84" i="110"/>
  <c r="BY85" i="110"/>
  <c r="BY55" i="110"/>
  <c r="CT58" i="126"/>
  <c r="CT65" i="127"/>
  <c r="BY65" i="127"/>
  <c r="BY65" i="110"/>
  <c r="CT84" i="126"/>
  <c r="BY83" i="110"/>
  <c r="CT85" i="110"/>
  <c r="CT56" i="110"/>
  <c r="BY56" i="126"/>
  <c r="BY57" i="110"/>
  <c r="CT84" i="127"/>
  <c r="CT58" i="110"/>
  <c r="BY58" i="110"/>
  <c r="CT55" i="110"/>
  <c r="CT65" i="110"/>
  <c r="BY56" i="110"/>
  <c r="CT57" i="110"/>
  <c r="BY47" i="127"/>
  <c r="CT47" i="110"/>
  <c r="BY47" i="126"/>
  <c r="CT47" i="127"/>
  <c r="BY47" i="110"/>
  <c r="CT47" i="126"/>
  <c r="BY59" i="126"/>
  <c r="BY67" i="127"/>
  <c r="BY79" i="126"/>
  <c r="CT70" i="126"/>
  <c r="CT70" i="127"/>
  <c r="CT75" i="110"/>
  <c r="CT66" i="110"/>
  <c r="CT59" i="126"/>
  <c r="CT67" i="127"/>
  <c r="CT61" i="126"/>
  <c r="CT63" i="127"/>
  <c r="BY63" i="127"/>
  <c r="BY63" i="126"/>
  <c r="CT79" i="126"/>
  <c r="BY67" i="126"/>
  <c r="BY61" i="126"/>
  <c r="CT63" i="126"/>
  <c r="BY75" i="126"/>
  <c r="BY60" i="126"/>
  <c r="BY66" i="110"/>
  <c r="BY66" i="127"/>
  <c r="CT66" i="127"/>
  <c r="BY68" i="126"/>
  <c r="BY80" i="127"/>
  <c r="CT80" i="110"/>
  <c r="BY64" i="126"/>
  <c r="BY70" i="127"/>
  <c r="CT60" i="126"/>
  <c r="BY62" i="126"/>
  <c r="CT62" i="110"/>
  <c r="BY78" i="110"/>
  <c r="CT59" i="127"/>
  <c r="CT68" i="126"/>
  <c r="CT64" i="126"/>
  <c r="BY81" i="127"/>
  <c r="BY71" i="110"/>
  <c r="CT73" i="127"/>
  <c r="BY76" i="126"/>
  <c r="CT82" i="126"/>
  <c r="BY59" i="110"/>
  <c r="CT59" i="110"/>
  <c r="BY61" i="110"/>
  <c r="BY79" i="127"/>
  <c r="BY75" i="127"/>
  <c r="BY60" i="127"/>
  <c r="BY68" i="110"/>
  <c r="CT62" i="127"/>
  <c r="BY78" i="127"/>
  <c r="CT67" i="126"/>
  <c r="CT62" i="126"/>
  <c r="BY62" i="110"/>
  <c r="CT80" i="127"/>
  <c r="CT69" i="127"/>
  <c r="BY69" i="127"/>
  <c r="BY82" i="126"/>
  <c r="CT74" i="126"/>
  <c r="BY74" i="126"/>
  <c r="CT61" i="110"/>
  <c r="BY61" i="127"/>
  <c r="CT61" i="127"/>
  <c r="CT63" i="110"/>
  <c r="BY79" i="110"/>
  <c r="BY59" i="127"/>
  <c r="CT75" i="126"/>
  <c r="CT78" i="110"/>
  <c r="CT64" i="127"/>
  <c r="BY71" i="127"/>
  <c r="BY63" i="110"/>
  <c r="CT79" i="127"/>
  <c r="CT79" i="110"/>
  <c r="BY68" i="127"/>
  <c r="BY80" i="126"/>
  <c r="CT64" i="110"/>
  <c r="BY64" i="110"/>
  <c r="BY81" i="110"/>
  <c r="CT81" i="110"/>
  <c r="BY69" i="126"/>
  <c r="BY70" i="126"/>
  <c r="BY75" i="110"/>
  <c r="BY64" i="127"/>
  <c r="CT71" i="110"/>
  <c r="CT72" i="126"/>
  <c r="CT75" i="127"/>
  <c r="BY60" i="110"/>
  <c r="CT66" i="126"/>
  <c r="BY66" i="126"/>
  <c r="CT68" i="127"/>
  <c r="CT68" i="110"/>
  <c r="BY62" i="127"/>
  <c r="BY80" i="110"/>
  <c r="CT71" i="127"/>
  <c r="BY73" i="127"/>
  <c r="BY72" i="126"/>
  <c r="BY67" i="110"/>
  <c r="CT70" i="110"/>
  <c r="BY70" i="110"/>
  <c r="CT60" i="110"/>
  <c r="BY78" i="126"/>
  <c r="CT73" i="110"/>
  <c r="CT73" i="126"/>
  <c r="CT76" i="110"/>
  <c r="BY76" i="127"/>
  <c r="BY82" i="127"/>
  <c r="CT72" i="127"/>
  <c r="BY72" i="110"/>
  <c r="CT74" i="110"/>
  <c r="CT74" i="127"/>
  <c r="BY74" i="127"/>
  <c r="CT89" i="127"/>
  <c r="BY46" i="126"/>
  <c r="BY52" i="126"/>
  <c r="BY54" i="127"/>
  <c r="BY53" i="126"/>
  <c r="CT48" i="110"/>
  <c r="BY50" i="127"/>
  <c r="BY51" i="127"/>
  <c r="BY48" i="127"/>
  <c r="CT52" i="110"/>
  <c r="CT52" i="127"/>
  <c r="BY51" i="110"/>
  <c r="BY92" i="126"/>
  <c r="BY53" i="127"/>
  <c r="BY50" i="110"/>
  <c r="CT67" i="110"/>
  <c r="CT78" i="126"/>
  <c r="CT80" i="126"/>
  <c r="CT81" i="126"/>
  <c r="CT69" i="126"/>
  <c r="CT71" i="126"/>
  <c r="CT82" i="127"/>
  <c r="BY74" i="110"/>
  <c r="CT52" i="126"/>
  <c r="BY46" i="127"/>
  <c r="BY92" i="127"/>
  <c r="BY48" i="110"/>
  <c r="BY49" i="110"/>
  <c r="CT48" i="127"/>
  <c r="CT81" i="127"/>
  <c r="CT76" i="126"/>
  <c r="CT78" i="127"/>
  <c r="BY81" i="126"/>
  <c r="BY69" i="110"/>
  <c r="BY73" i="110"/>
  <c r="BY73" i="126"/>
  <c r="BY82" i="110"/>
  <c r="BY72" i="127"/>
  <c r="CT72" i="110"/>
  <c r="BY89" i="127"/>
  <c r="CT54" i="126"/>
  <c r="CT51" i="126"/>
  <c r="BY51" i="126"/>
  <c r="CT53" i="126"/>
  <c r="CT49" i="127"/>
  <c r="CT46" i="127"/>
  <c r="CT92" i="127"/>
  <c r="CT93" i="126"/>
  <c r="BY71" i="126"/>
  <c r="CT82" i="110"/>
  <c r="CT54" i="127"/>
  <c r="CT50" i="127"/>
  <c r="BY49" i="126"/>
  <c r="BY53" i="110"/>
  <c r="CT53" i="110"/>
  <c r="CT51" i="110"/>
  <c r="CT54" i="110"/>
  <c r="CT60" i="127"/>
  <c r="CT69" i="110"/>
  <c r="BY54" i="126"/>
  <c r="CT49" i="110"/>
  <c r="CT51" i="127"/>
  <c r="BY93" i="126"/>
  <c r="CT50" i="126"/>
  <c r="BY48" i="126"/>
  <c r="BY89" i="126"/>
  <c r="CT50" i="110"/>
  <c r="CT76" i="127"/>
  <c r="CT46" i="126"/>
  <c r="BY49" i="127"/>
  <c r="BY52" i="110"/>
  <c r="BY50" i="126"/>
  <c r="BY52" i="127"/>
  <c r="CT92" i="126"/>
  <c r="CT48" i="126"/>
  <c r="BY93" i="127"/>
  <c r="CT93" i="127"/>
  <c r="BY54" i="110"/>
  <c r="CT53" i="127"/>
  <c r="BY76" i="110"/>
  <c r="CT49" i="126"/>
  <c r="CT89" i="126"/>
  <c r="BY96" i="127"/>
  <c r="BY96" i="126"/>
  <c r="BY95" i="127"/>
  <c r="BY88" i="127"/>
  <c r="CT87" i="127"/>
  <c r="CT87" i="126"/>
  <c r="CT77" i="127"/>
  <c r="BY77" i="110"/>
  <c r="BY87" i="127"/>
  <c r="CT96" i="127"/>
  <c r="BY87" i="126"/>
  <c r="BY77" i="127"/>
  <c r="CT77" i="110"/>
  <c r="CT77" i="126"/>
  <c r="BY77" i="126"/>
  <c r="CT96" i="126"/>
  <c r="CT88" i="126"/>
  <c r="BY95" i="126"/>
  <c r="BY94" i="126" s="1"/>
  <c r="CT95" i="126"/>
  <c r="CT88" i="127"/>
  <c r="CT95" i="127"/>
  <c r="BY88" i="126"/>
  <c r="BX45" i="110"/>
  <c r="CV9" i="126"/>
  <c r="CV8" i="126"/>
  <c r="AI94" i="126"/>
  <c r="AI94" i="127"/>
  <c r="AI45" i="126"/>
  <c r="BE91" i="127"/>
  <c r="CS45" i="127"/>
  <c r="CS94" i="126"/>
  <c r="BF39" i="130"/>
  <c r="BF39" i="132"/>
  <c r="BF39" i="131"/>
  <c r="BF85" i="132"/>
  <c r="BF87" i="132"/>
  <c r="BF86" i="131"/>
  <c r="BF58" i="131"/>
  <c r="BF59" i="130"/>
  <c r="BF86" i="130"/>
  <c r="BF67" i="131"/>
  <c r="BF67" i="132"/>
  <c r="BF57" i="131"/>
  <c r="BF59" i="131"/>
  <c r="BF59" i="132"/>
  <c r="BF58" i="132"/>
  <c r="BF60" i="131"/>
  <c r="BF87" i="130"/>
  <c r="BF58" i="130"/>
  <c r="BF67" i="130"/>
  <c r="BF60" i="130"/>
  <c r="BF57" i="130"/>
  <c r="BF57" i="132"/>
  <c r="BF85" i="131"/>
  <c r="BF60" i="132"/>
  <c r="BF87" i="131"/>
  <c r="BF86" i="132"/>
  <c r="BF45" i="131"/>
  <c r="BF45" i="130"/>
  <c r="BF45" i="132"/>
  <c r="BF49" i="130"/>
  <c r="BF49" i="131"/>
  <c r="BF49" i="132"/>
  <c r="BF77" i="132"/>
  <c r="BF70" i="131"/>
  <c r="BF65" i="131"/>
  <c r="BF78" i="132"/>
  <c r="BF76" i="132"/>
  <c r="BF79" i="132"/>
  <c r="BF75" i="132"/>
  <c r="BF61" i="131"/>
  <c r="BF68" i="131"/>
  <c r="BF54" i="132"/>
  <c r="BF50" i="131"/>
  <c r="BF55" i="132"/>
  <c r="BF75" i="130"/>
  <c r="BF73" i="131"/>
  <c r="BF56" i="131"/>
  <c r="BF82" i="131"/>
  <c r="BF53" i="131"/>
  <c r="BF83" i="130"/>
  <c r="BF71" i="131"/>
  <c r="BF54" i="130"/>
  <c r="BF77" i="130"/>
  <c r="BF54" i="131"/>
  <c r="BF83" i="131"/>
  <c r="BF56" i="130"/>
  <c r="Q56" i="130" s="1"/>
  <c r="BF53" i="132"/>
  <c r="BF74" i="132"/>
  <c r="BF53" i="130"/>
  <c r="BF55" i="130"/>
  <c r="BF52" i="131"/>
  <c r="BF71" i="132"/>
  <c r="BF84" i="130"/>
  <c r="BF72" i="132"/>
  <c r="BF56" i="132"/>
  <c r="BF74" i="130"/>
  <c r="BF50" i="130"/>
  <c r="BF50" i="132"/>
  <c r="BF83" i="132"/>
  <c r="BF71" i="130"/>
  <c r="BF74" i="131"/>
  <c r="BF66" i="130"/>
  <c r="BF51" i="132"/>
  <c r="BF84" i="132"/>
  <c r="BF73" i="132"/>
  <c r="BF55" i="131"/>
  <c r="BF62" i="131"/>
  <c r="BF66" i="132"/>
  <c r="BF73" i="130"/>
  <c r="BF51" i="130"/>
  <c r="BF84" i="131"/>
  <c r="BF80" i="131"/>
  <c r="BF52" i="132"/>
  <c r="BF69" i="131"/>
  <c r="BF52" i="130"/>
  <c r="BF80" i="132"/>
  <c r="BF63" i="132"/>
  <c r="BF61" i="132"/>
  <c r="BF76" i="131"/>
  <c r="BF80" i="130"/>
  <c r="BF68" i="130"/>
  <c r="BF68" i="132"/>
  <c r="BF65" i="132"/>
  <c r="BF64" i="131"/>
  <c r="BF78" i="131"/>
  <c r="BF61" i="130"/>
  <c r="BF65" i="130"/>
  <c r="BF69" i="130"/>
  <c r="BF51" i="131"/>
  <c r="BF72" i="130"/>
  <c r="BF72" i="131"/>
  <c r="BF69" i="132"/>
  <c r="BF79" i="130"/>
  <c r="BF81" i="132"/>
  <c r="BF62" i="132"/>
  <c r="BF70" i="132"/>
  <c r="BF79" i="131"/>
  <c r="BF82" i="130"/>
  <c r="BF63" i="130"/>
  <c r="BF64" i="130"/>
  <c r="BF66" i="131"/>
  <c r="BF82" i="132"/>
  <c r="BF64" i="132"/>
  <c r="BF75" i="131"/>
  <c r="BF70" i="130"/>
  <c r="BF81" i="130"/>
  <c r="BF62" i="130"/>
  <c r="BF77" i="131"/>
  <c r="BF78" i="130"/>
  <c r="BF81" i="131"/>
  <c r="BF76" i="130"/>
  <c r="BF63" i="131"/>
  <c r="BF85" i="130"/>
  <c r="CV23" i="127"/>
  <c r="CV23" i="110"/>
  <c r="CV23" i="126"/>
  <c r="CV20" i="126"/>
  <c r="CV20" i="127"/>
  <c r="CV20" i="110"/>
  <c r="CV12" i="127"/>
  <c r="CV12" i="126"/>
  <c r="CV22" i="127"/>
  <c r="CV22" i="126"/>
  <c r="CV22" i="110"/>
  <c r="CV21" i="127"/>
  <c r="CV21" i="110"/>
  <c r="CV21" i="126"/>
  <c r="CV40" i="127"/>
  <c r="CV40" i="126"/>
  <c r="CV15" i="127"/>
  <c r="CV31" i="127"/>
  <c r="CV32" i="127"/>
  <c r="CV32" i="126"/>
  <c r="CV31" i="126"/>
  <c r="CV38" i="126"/>
  <c r="CV14" i="127"/>
  <c r="CV14" i="126"/>
  <c r="CV38" i="127"/>
  <c r="CV15" i="126"/>
  <c r="CV18" i="126"/>
  <c r="CV10" i="126"/>
  <c r="CV28" i="126"/>
  <c r="CV29" i="127"/>
  <c r="CV17" i="127"/>
  <c r="CV39" i="126"/>
  <c r="CV11" i="127"/>
  <c r="CV42" i="127"/>
  <c r="CV30" i="126"/>
  <c r="CV30" i="127"/>
  <c r="CV18" i="127"/>
  <c r="CV10" i="127"/>
  <c r="CV42" i="126"/>
  <c r="CV39" i="127"/>
  <c r="CV28" i="127"/>
  <c r="CV11" i="126"/>
  <c r="CV29" i="126"/>
  <c r="CB9" i="110"/>
  <c r="CB23" i="110"/>
  <c r="CB23" i="126"/>
  <c r="CB23" i="127"/>
  <c r="CB33" i="110"/>
  <c r="CB20" i="126"/>
  <c r="CB20" i="127"/>
  <c r="CB20" i="110"/>
  <c r="CB12" i="126"/>
  <c r="CB12" i="127"/>
  <c r="CB22" i="126"/>
  <c r="CB22" i="127"/>
  <c r="CB22" i="110"/>
  <c r="CB21" i="127"/>
  <c r="CB21" i="126"/>
  <c r="CB21" i="110"/>
  <c r="CB40" i="127"/>
  <c r="CB31" i="126"/>
  <c r="CB31" i="127"/>
  <c r="CB14" i="127"/>
  <c r="CB32" i="126"/>
  <c r="CB40" i="126"/>
  <c r="CB32" i="127"/>
  <c r="CB14" i="126"/>
  <c r="CB15" i="126"/>
  <c r="CB38" i="127"/>
  <c r="CB38" i="126"/>
  <c r="CB15" i="127"/>
  <c r="CB42" i="127"/>
  <c r="CB29" i="126"/>
  <c r="CB28" i="126"/>
  <c r="CB11" i="126"/>
  <c r="CB18" i="126"/>
  <c r="CB28" i="127"/>
  <c r="CB17" i="127"/>
  <c r="CB11" i="127"/>
  <c r="CB18" i="127"/>
  <c r="CB42" i="126"/>
  <c r="CB10" i="127"/>
  <c r="CB39" i="126"/>
  <c r="CB30" i="126"/>
  <c r="CB29" i="127"/>
  <c r="CB30" i="127"/>
  <c r="CB39" i="127"/>
  <c r="CB10" i="126"/>
  <c r="BF23" i="110"/>
  <c r="BF23" i="126"/>
  <c r="BF23" i="127"/>
  <c r="BF85" i="126"/>
  <c r="BF57" i="126"/>
  <c r="BF84" i="127"/>
  <c r="BF58" i="127"/>
  <c r="BF55" i="126"/>
  <c r="BF56" i="127"/>
  <c r="BF83" i="126"/>
  <c r="BF57" i="127"/>
  <c r="BF55" i="127"/>
  <c r="BF65" i="126"/>
  <c r="BF83" i="127"/>
  <c r="BF85" i="127"/>
  <c r="BF56" i="126"/>
  <c r="BF84" i="110"/>
  <c r="BF58" i="126"/>
  <c r="BF65" i="127"/>
  <c r="BF58" i="110"/>
  <c r="BF57" i="110"/>
  <c r="BF84" i="126"/>
  <c r="BF83" i="110"/>
  <c r="BF56" i="110"/>
  <c r="BF65" i="110"/>
  <c r="BF85" i="110"/>
  <c r="BF55" i="110"/>
  <c r="BF20" i="127"/>
  <c r="BF20" i="126"/>
  <c r="BF20" i="110"/>
  <c r="BF12" i="127"/>
  <c r="BF12" i="126"/>
  <c r="BF22" i="110"/>
  <c r="BF22" i="127"/>
  <c r="BF22" i="126"/>
  <c r="BF21" i="110"/>
  <c r="BF21" i="126"/>
  <c r="BF21" i="127"/>
  <c r="BF47" i="126"/>
  <c r="BF47" i="127"/>
  <c r="BF47" i="110"/>
  <c r="BF38" i="127"/>
  <c r="BF15" i="126"/>
  <c r="BF38" i="126"/>
  <c r="BF14" i="126"/>
  <c r="BF15" i="127"/>
  <c r="BF14" i="127"/>
  <c r="BF32" i="127"/>
  <c r="BF32" i="126"/>
  <c r="BF67" i="126"/>
  <c r="BF70" i="126"/>
  <c r="BF60" i="126"/>
  <c r="BF66" i="110"/>
  <c r="BF59" i="127"/>
  <c r="BF63" i="127"/>
  <c r="BF63" i="126"/>
  <c r="BF79" i="126"/>
  <c r="BF67" i="127"/>
  <c r="BF62" i="110"/>
  <c r="BF62" i="126"/>
  <c r="BF64" i="127"/>
  <c r="BF61" i="127"/>
  <c r="BF63" i="110"/>
  <c r="BF59" i="126"/>
  <c r="BF70" i="127"/>
  <c r="BF75" i="126"/>
  <c r="BF75" i="110"/>
  <c r="BF78" i="110"/>
  <c r="BF64" i="126"/>
  <c r="BF81" i="127"/>
  <c r="BF71" i="127"/>
  <c r="BF73" i="127"/>
  <c r="BF76" i="126"/>
  <c r="BF72" i="126"/>
  <c r="BF61" i="110"/>
  <c r="BF79" i="127"/>
  <c r="BF79" i="110"/>
  <c r="BF61" i="126"/>
  <c r="BF68" i="126"/>
  <c r="BF80" i="127"/>
  <c r="BF80" i="110"/>
  <c r="BF67" i="110"/>
  <c r="BF70" i="110"/>
  <c r="BF66" i="126"/>
  <c r="BF68" i="110"/>
  <c r="BF81" i="126"/>
  <c r="BF69" i="110"/>
  <c r="BF60" i="127"/>
  <c r="BF69" i="127"/>
  <c r="BF71" i="110"/>
  <c r="BF82" i="126"/>
  <c r="BF74" i="126"/>
  <c r="BF60" i="110"/>
  <c r="BF62" i="127"/>
  <c r="BF78" i="126"/>
  <c r="BF69" i="126"/>
  <c r="BF71" i="126"/>
  <c r="BF49" i="127"/>
  <c r="BF46" i="127"/>
  <c r="BF92" i="127"/>
  <c r="BF48" i="110"/>
  <c r="BF50" i="127"/>
  <c r="BF49" i="110"/>
  <c r="BF52" i="110"/>
  <c r="BF50" i="126"/>
  <c r="BF52" i="127"/>
  <c r="BF53" i="110"/>
  <c r="BF92" i="126"/>
  <c r="BF50" i="110"/>
  <c r="BF75" i="127"/>
  <c r="BF78" i="127"/>
  <c r="BF73" i="126"/>
  <c r="BF76" i="110"/>
  <c r="BF82" i="110"/>
  <c r="BF72" i="110"/>
  <c r="BF46" i="126"/>
  <c r="BF51" i="126"/>
  <c r="BF52" i="126"/>
  <c r="BF48" i="127"/>
  <c r="BF66" i="127"/>
  <c r="BF68" i="127"/>
  <c r="BF80" i="126"/>
  <c r="BF73" i="110"/>
  <c r="BF82" i="127"/>
  <c r="BF72" i="127"/>
  <c r="BF54" i="127"/>
  <c r="BF51" i="127"/>
  <c r="BF93" i="126"/>
  <c r="BF76" i="127"/>
  <c r="BF74" i="110"/>
  <c r="BF53" i="126"/>
  <c r="BF93" i="127"/>
  <c r="BF64" i="110"/>
  <c r="BF49" i="126"/>
  <c r="BF89" i="127"/>
  <c r="BF51" i="110"/>
  <c r="BF48" i="126"/>
  <c r="BF89" i="126"/>
  <c r="BF54" i="110"/>
  <c r="BF59" i="110"/>
  <c r="BF81" i="110"/>
  <c r="BF74" i="127"/>
  <c r="BF54" i="126"/>
  <c r="BF53" i="127"/>
  <c r="BF87" i="127"/>
  <c r="BF95" i="127"/>
  <c r="BF96" i="126"/>
  <c r="BF95" i="126"/>
  <c r="BF77" i="110"/>
  <c r="BF77" i="126"/>
  <c r="BF77" i="127"/>
  <c r="BF96" i="127"/>
  <c r="BF87" i="126"/>
  <c r="BF88" i="126"/>
  <c r="BF88" i="127"/>
  <c r="BF28" i="127"/>
  <c r="BF39" i="127"/>
  <c r="BF42" i="127"/>
  <c r="BF18" i="126"/>
  <c r="BF10" i="126"/>
  <c r="BF28" i="126"/>
  <c r="BF11" i="126"/>
  <c r="BF17" i="127"/>
  <c r="BF30" i="127"/>
  <c r="BF39" i="126"/>
  <c r="BF11" i="127"/>
  <c r="BF30" i="126"/>
  <c r="BF29" i="126"/>
  <c r="BF18" i="127"/>
  <c r="BF10" i="127"/>
  <c r="BF29" i="127"/>
  <c r="BF42" i="126"/>
  <c r="BF17" i="126"/>
  <c r="AI45" i="110"/>
  <c r="CV9" i="110"/>
  <c r="AI4" i="132"/>
  <c r="AI39" i="132"/>
  <c r="AI39" i="131"/>
  <c r="AI39" i="130"/>
  <c r="AJ23" i="127"/>
  <c r="AJ23" i="110"/>
  <c r="AJ23" i="126"/>
  <c r="AI57" i="130"/>
  <c r="AJ57" i="126"/>
  <c r="AJ85" i="126"/>
  <c r="AJ58" i="127"/>
  <c r="AJ84" i="127"/>
  <c r="AJ83" i="126"/>
  <c r="AI60" i="132"/>
  <c r="AI67" i="132"/>
  <c r="AJ56" i="127"/>
  <c r="AI59" i="132"/>
  <c r="AI57" i="132"/>
  <c r="AI58" i="131"/>
  <c r="AI60" i="131"/>
  <c r="AI86" i="130"/>
  <c r="AI58" i="130"/>
  <c r="AI58" i="132"/>
  <c r="AI87" i="132"/>
  <c r="AI85" i="131"/>
  <c r="AI67" i="131"/>
  <c r="AI57" i="131"/>
  <c r="AI86" i="132"/>
  <c r="AI59" i="131"/>
  <c r="AI85" i="130"/>
  <c r="AI87" i="130"/>
  <c r="AI60" i="130"/>
  <c r="AI59" i="130"/>
  <c r="AI85" i="132"/>
  <c r="AI86" i="131"/>
  <c r="AI67" i="130"/>
  <c r="AI87" i="131"/>
  <c r="AJ65" i="126"/>
  <c r="AJ55" i="127"/>
  <c r="AJ57" i="127"/>
  <c r="AJ56" i="126"/>
  <c r="AJ84" i="126"/>
  <c r="AJ84" i="110"/>
  <c r="AJ83" i="127"/>
  <c r="AJ65" i="127"/>
  <c r="AJ58" i="110"/>
  <c r="AJ55" i="110"/>
  <c r="AJ56" i="110"/>
  <c r="AJ55" i="126"/>
  <c r="AJ85" i="110"/>
  <c r="AJ83" i="110"/>
  <c r="AJ65" i="110"/>
  <c r="AJ58" i="126"/>
  <c r="AJ85" i="127"/>
  <c r="AJ57" i="110"/>
  <c r="AI45" i="130"/>
  <c r="AJ20" i="126"/>
  <c r="AI45" i="132"/>
  <c r="AI45" i="131"/>
  <c r="AJ20" i="110"/>
  <c r="AJ20" i="127"/>
  <c r="AJ22" i="126"/>
  <c r="AJ22" i="110"/>
  <c r="AJ22" i="127"/>
  <c r="AJ21" i="110"/>
  <c r="AJ21" i="127"/>
  <c r="AJ21" i="126"/>
  <c r="AI49" i="132"/>
  <c r="AI49" i="131"/>
  <c r="AI49" i="130"/>
  <c r="AJ47" i="110"/>
  <c r="AJ47" i="126"/>
  <c r="AJ47" i="127"/>
  <c r="AJ38" i="126"/>
  <c r="AJ32" i="127"/>
  <c r="AJ14" i="126"/>
  <c r="AJ38" i="127"/>
  <c r="AJ15" i="127"/>
  <c r="AJ14" i="127"/>
  <c r="AI78" i="132"/>
  <c r="AI63" i="131"/>
  <c r="AI76" i="132"/>
  <c r="AJ12" i="126"/>
  <c r="AJ15" i="126"/>
  <c r="AJ12" i="127"/>
  <c r="AI69" i="131"/>
  <c r="AI75" i="132"/>
  <c r="AI81" i="131"/>
  <c r="AI80" i="131"/>
  <c r="AI62" i="131"/>
  <c r="AJ32" i="126"/>
  <c r="AI77" i="132"/>
  <c r="AI64" i="131"/>
  <c r="AJ59" i="127"/>
  <c r="AJ67" i="127"/>
  <c r="AJ61" i="126"/>
  <c r="AJ63" i="126"/>
  <c r="AJ79" i="126"/>
  <c r="AJ75" i="126"/>
  <c r="AI50" i="130"/>
  <c r="AI55" i="132"/>
  <c r="AI54" i="130"/>
  <c r="AJ59" i="126"/>
  <c r="AJ75" i="110"/>
  <c r="AJ60" i="126"/>
  <c r="AJ63" i="127"/>
  <c r="AJ70" i="126"/>
  <c r="AJ70" i="127"/>
  <c r="AI72" i="131"/>
  <c r="AI66" i="130"/>
  <c r="AI52" i="130"/>
  <c r="AI56" i="131"/>
  <c r="AJ67" i="126"/>
  <c r="AJ66" i="110"/>
  <c r="AJ68" i="126"/>
  <c r="AI55" i="130"/>
  <c r="AJ80" i="110"/>
  <c r="AI71" i="132"/>
  <c r="AJ71" i="110"/>
  <c r="AI84" i="132"/>
  <c r="AI82" i="131"/>
  <c r="AI54" i="131"/>
  <c r="AJ61" i="110"/>
  <c r="AJ70" i="110"/>
  <c r="AJ75" i="127"/>
  <c r="AI50" i="132"/>
  <c r="AJ66" i="126"/>
  <c r="AJ68" i="110"/>
  <c r="AI53" i="131"/>
  <c r="AJ64" i="126"/>
  <c r="AI52" i="132"/>
  <c r="AI83" i="131"/>
  <c r="AJ71" i="127"/>
  <c r="AJ76" i="126"/>
  <c r="AI51" i="130"/>
  <c r="AI84" i="130"/>
  <c r="AJ72" i="126"/>
  <c r="AI74" i="130"/>
  <c r="AI74" i="132"/>
  <c r="AI56" i="130"/>
  <c r="AI56" i="132"/>
  <c r="AJ67" i="110"/>
  <c r="AJ62" i="110"/>
  <c r="AJ80" i="127"/>
  <c r="AJ66" i="127"/>
  <c r="AI83" i="132"/>
  <c r="AJ69" i="127"/>
  <c r="AJ73" i="127"/>
  <c r="AJ82" i="126"/>
  <c r="AJ74" i="126"/>
  <c r="AJ59" i="110"/>
  <c r="AI53" i="130"/>
  <c r="AI72" i="130"/>
  <c r="AI66" i="132"/>
  <c r="AI83" i="130"/>
  <c r="AJ81" i="127"/>
  <c r="AJ63" i="110"/>
  <c r="AI53" i="132"/>
  <c r="AI72" i="132"/>
  <c r="AJ60" i="110"/>
  <c r="AJ60" i="127"/>
  <c r="AJ68" i="127"/>
  <c r="AJ62" i="127"/>
  <c r="AJ78" i="126"/>
  <c r="AJ62" i="126"/>
  <c r="AI71" i="131"/>
  <c r="AI73" i="132"/>
  <c r="AI54" i="132"/>
  <c r="AJ61" i="127"/>
  <c r="AJ79" i="127"/>
  <c r="AI55" i="131"/>
  <c r="AJ78" i="110"/>
  <c r="AJ64" i="127"/>
  <c r="AJ64" i="110"/>
  <c r="AJ69" i="110"/>
  <c r="AI73" i="131"/>
  <c r="AJ73" i="126"/>
  <c r="AI84" i="131"/>
  <c r="AJ74" i="110"/>
  <c r="AI61" i="131"/>
  <c r="AI70" i="131"/>
  <c r="AJ52" i="126"/>
  <c r="AJ48" i="110"/>
  <c r="AJ48" i="127"/>
  <c r="AJ51" i="110"/>
  <c r="AJ54" i="110"/>
  <c r="AI50" i="131"/>
  <c r="AI66" i="131"/>
  <c r="AI52" i="131"/>
  <c r="AJ76" i="110"/>
  <c r="AI51" i="132"/>
  <c r="AJ72" i="110"/>
  <c r="AJ74" i="127"/>
  <c r="AI65" i="131"/>
  <c r="AJ89" i="127"/>
  <c r="AJ54" i="126"/>
  <c r="AJ46" i="126"/>
  <c r="AJ92" i="127"/>
  <c r="AJ51" i="127"/>
  <c r="AI51" i="131"/>
  <c r="AJ80" i="126"/>
  <c r="AI71" i="130"/>
  <c r="AJ82" i="110"/>
  <c r="AJ82" i="127"/>
  <c r="AI74" i="131"/>
  <c r="AJ51" i="126"/>
  <c r="AJ54" i="127"/>
  <c r="AJ53" i="126"/>
  <c r="AJ49" i="110"/>
  <c r="AJ93" i="126"/>
  <c r="AJ50" i="126"/>
  <c r="AJ81" i="126"/>
  <c r="AJ71" i="126"/>
  <c r="AJ93" i="127"/>
  <c r="AJ50" i="110"/>
  <c r="AI64" i="132"/>
  <c r="AI61" i="132"/>
  <c r="AI63" i="132"/>
  <c r="AI80" i="132"/>
  <c r="AI82" i="132"/>
  <c r="AI78" i="130"/>
  <c r="AI76" i="131"/>
  <c r="AI78" i="131"/>
  <c r="AI69" i="130"/>
  <c r="AI81" i="130"/>
  <c r="AI68" i="130"/>
  <c r="AJ78" i="127"/>
  <c r="AJ76" i="127"/>
  <c r="AJ53" i="110"/>
  <c r="AJ48" i="126"/>
  <c r="AI64" i="130"/>
  <c r="AJ69" i="126"/>
  <c r="AI73" i="130"/>
  <c r="AJ52" i="110"/>
  <c r="AJ52" i="127"/>
  <c r="AI65" i="132"/>
  <c r="AI70" i="132"/>
  <c r="AI68" i="131"/>
  <c r="AI69" i="132"/>
  <c r="AI79" i="132"/>
  <c r="AI75" i="131"/>
  <c r="AI77" i="131"/>
  <c r="AI80" i="130"/>
  <c r="AI70" i="130"/>
  <c r="AI63" i="130"/>
  <c r="AI82" i="130"/>
  <c r="AJ79" i="110"/>
  <c r="AJ49" i="126"/>
  <c r="AJ89" i="126"/>
  <c r="AI77" i="130"/>
  <c r="AJ81" i="110"/>
  <c r="AJ72" i="127"/>
  <c r="AJ49" i="127"/>
  <c r="AJ50" i="127"/>
  <c r="AJ92" i="126"/>
  <c r="AJ53" i="127"/>
  <c r="AI62" i="132"/>
  <c r="AI81" i="132"/>
  <c r="AI68" i="132"/>
  <c r="AI75" i="130"/>
  <c r="AI76" i="130"/>
  <c r="AI61" i="130"/>
  <c r="AI62" i="130"/>
  <c r="AJ73" i="110"/>
  <c r="AJ46" i="127"/>
  <c r="AI65" i="130"/>
  <c r="AI79" i="130"/>
  <c r="AJ88" i="126"/>
  <c r="AJ88" i="127"/>
  <c r="AJ87" i="127"/>
  <c r="AJ77" i="127"/>
  <c r="AJ96" i="127"/>
  <c r="AJ95" i="127"/>
  <c r="AJ95" i="126"/>
  <c r="AI79" i="131"/>
  <c r="AJ77" i="110"/>
  <c r="AJ77" i="126"/>
  <c r="AJ96" i="126"/>
  <c r="AJ87" i="126"/>
  <c r="AJ18" i="127"/>
  <c r="AJ11" i="126"/>
  <c r="AJ42" i="127"/>
  <c r="AJ18" i="126"/>
  <c r="AJ31" i="127"/>
  <c r="Y31" i="127" s="1"/>
  <c r="AJ17" i="127"/>
  <c r="AJ17" i="126"/>
  <c r="AJ11" i="127"/>
  <c r="AJ40" i="127"/>
  <c r="Y40" i="127" s="1"/>
  <c r="AJ42" i="126"/>
  <c r="AI44" i="131"/>
  <c r="AJ9" i="126"/>
  <c r="CB27" i="127"/>
  <c r="CV27" i="127"/>
  <c r="AJ30" i="126"/>
  <c r="AJ37" i="127"/>
  <c r="CV27" i="126"/>
  <c r="AJ27" i="126"/>
  <c r="CB27" i="126"/>
  <c r="BF8" i="126"/>
  <c r="CB9" i="127"/>
  <c r="BF8" i="127"/>
  <c r="AJ29" i="126"/>
  <c r="AJ39" i="127"/>
  <c r="AI45" i="127"/>
  <c r="AI13" i="127"/>
  <c r="CA13" i="126"/>
  <c r="BE45" i="127"/>
  <c r="CR44" i="126"/>
  <c r="CR41" i="126" s="1"/>
  <c r="CR5" i="126" s="1"/>
  <c r="BX94" i="126"/>
  <c r="BX45" i="126"/>
  <c r="CS86" i="127"/>
  <c r="BX94" i="127"/>
  <c r="BX45" i="127"/>
  <c r="G19" i="110"/>
  <c r="CV19" i="110" s="1"/>
  <c r="G15" i="133"/>
  <c r="CV36" i="126"/>
  <c r="BY36" i="126"/>
  <c r="BY35" i="126" s="1"/>
  <c r="AI36" i="126"/>
  <c r="AI35" i="126" s="1"/>
  <c r="BE36" i="126"/>
  <c r="BE35" i="126" s="1"/>
  <c r="BD36" i="126"/>
  <c r="BD35" i="126" s="1"/>
  <c r="BC36" i="126"/>
  <c r="BC35" i="126" s="1"/>
  <c r="CU36" i="126"/>
  <c r="CU35" i="126" s="1"/>
  <c r="AH36" i="126"/>
  <c r="CT36" i="126"/>
  <c r="CT35" i="126" s="1"/>
  <c r="CB36" i="126"/>
  <c r="BF36" i="126"/>
  <c r="CA36" i="126"/>
  <c r="CA35" i="126" s="1"/>
  <c r="CS36" i="126"/>
  <c r="CS35" i="126" s="1"/>
  <c r="AJ36" i="126"/>
  <c r="BX36" i="126"/>
  <c r="BX35" i="126" s="1"/>
  <c r="BZ36" i="126"/>
  <c r="BZ35" i="126" s="1"/>
  <c r="CA25" i="126"/>
  <c r="BC25" i="126"/>
  <c r="BG25" i="126"/>
  <c r="BD25" i="126"/>
  <c r="BE25" i="126"/>
  <c r="BX25" i="126"/>
  <c r="BY25" i="126"/>
  <c r="CU25" i="126"/>
  <c r="CT25" i="126"/>
  <c r="CS25" i="126"/>
  <c r="BZ25" i="126"/>
  <c r="CV25" i="126"/>
  <c r="CB25" i="126"/>
  <c r="BF25" i="126"/>
  <c r="CT36" i="127"/>
  <c r="CT35" i="127" s="1"/>
  <c r="CV36" i="127"/>
  <c r="CU36" i="127"/>
  <c r="CU35" i="127" s="1"/>
  <c r="AJ36" i="127"/>
  <c r="AI36" i="127"/>
  <c r="AI35" i="127" s="1"/>
  <c r="BD36" i="127"/>
  <c r="BD35" i="127" s="1"/>
  <c r="CA36" i="127"/>
  <c r="CA35" i="127" s="1"/>
  <c r="BZ36" i="127"/>
  <c r="BF36" i="127"/>
  <c r="BY36" i="127"/>
  <c r="BY35" i="127" s="1"/>
  <c r="CB36" i="127"/>
  <c r="BE36" i="127"/>
  <c r="BE35" i="127" s="1"/>
  <c r="AK36" i="127"/>
  <c r="BY25" i="127"/>
  <c r="CA25" i="127"/>
  <c r="BE25" i="127"/>
  <c r="BF25" i="127"/>
  <c r="CV25" i="127"/>
  <c r="CT25" i="127"/>
  <c r="BZ25" i="127"/>
  <c r="CB25" i="127"/>
  <c r="BD25" i="127"/>
  <c r="CU25" i="127"/>
  <c r="BZ35" i="127"/>
  <c r="BZ43" i="127"/>
  <c r="BF43" i="127"/>
  <c r="CT43" i="127"/>
  <c r="BY43" i="127"/>
  <c r="BD43" i="127"/>
  <c r="BE43" i="127"/>
  <c r="AK42" i="133"/>
  <c r="O43" i="126"/>
  <c r="AC43" i="126" s="1"/>
  <c r="AB4" i="133"/>
  <c r="AB40" i="133"/>
  <c r="AL42" i="133"/>
  <c r="AL40" i="133" s="1"/>
  <c r="O43" i="127"/>
  <c r="AC43" i="127" s="1"/>
  <c r="AC41" i="127" s="1"/>
  <c r="AC5" i="127" s="1"/>
  <c r="BF43" i="126"/>
  <c r="BC43" i="126"/>
  <c r="CT43" i="126"/>
  <c r="BD43" i="126"/>
  <c r="CS43" i="126"/>
  <c r="BX43" i="126"/>
  <c r="BZ43" i="126"/>
  <c r="BE43" i="126"/>
  <c r="BY43" i="126"/>
  <c r="AC6" i="110"/>
  <c r="AD6" i="110"/>
  <c r="DR6" i="110"/>
  <c r="DO6" i="110"/>
  <c r="CA7" i="126"/>
  <c r="BE7" i="126"/>
  <c r="BZ7" i="127"/>
  <c r="BY26" i="126"/>
  <c r="CT26" i="126"/>
  <c r="BD26" i="126"/>
  <c r="BF26" i="126"/>
  <c r="CV26" i="126"/>
  <c r="BC26" i="126"/>
  <c r="CU26" i="126"/>
  <c r="CS26" i="126"/>
  <c r="BX26" i="126"/>
  <c r="AH26" i="126"/>
  <c r="CA26" i="126"/>
  <c r="AI26" i="126"/>
  <c r="BZ26" i="126"/>
  <c r="BE26" i="126"/>
  <c r="AJ26" i="126"/>
  <c r="CB26" i="126"/>
  <c r="G24" i="126"/>
  <c r="H85" i="133"/>
  <c r="H43" i="133" s="1"/>
  <c r="G90" i="126"/>
  <c r="BY34" i="126"/>
  <c r="BC34" i="126"/>
  <c r="BZ34" i="126"/>
  <c r="AI34" i="126"/>
  <c r="BE34" i="126"/>
  <c r="CT34" i="126"/>
  <c r="CA34" i="126"/>
  <c r="BF34" i="126"/>
  <c r="AJ34" i="126"/>
  <c r="BD34" i="126"/>
  <c r="CU34" i="126"/>
  <c r="CB34" i="126"/>
  <c r="BX34" i="126"/>
  <c r="CS34" i="126"/>
  <c r="AH34" i="126"/>
  <c r="CV34" i="126"/>
  <c r="CS33" i="127"/>
  <c r="CS6" i="127" s="1"/>
  <c r="BD33" i="127"/>
  <c r="BZ33" i="127"/>
  <c r="CT33" i="127"/>
  <c r="CB33" i="127"/>
  <c r="CV33" i="127"/>
  <c r="BF33" i="127"/>
  <c r="CU33" i="127"/>
  <c r="BY33" i="127"/>
  <c r="CA33" i="127"/>
  <c r="BE33" i="127"/>
  <c r="AK33" i="127"/>
  <c r="AJ33" i="127"/>
  <c r="AI33" i="127"/>
  <c r="AE16" i="127"/>
  <c r="DN6" i="127"/>
  <c r="K6" i="133"/>
  <c r="I10" i="110"/>
  <c r="AG10" i="110" s="1"/>
  <c r="AG7" i="110" s="1"/>
  <c r="DN6" i="110"/>
  <c r="M6" i="133"/>
  <c r="D42" i="125" s="1"/>
  <c r="I10" i="127"/>
  <c r="I85" i="133"/>
  <c r="I43" i="133" s="1"/>
  <c r="G90" i="127"/>
  <c r="G19" i="126"/>
  <c r="AI26" i="127"/>
  <c r="DO5" i="127"/>
  <c r="BX7" i="126"/>
  <c r="CT7" i="126"/>
  <c r="BD7" i="127"/>
  <c r="BY7" i="127"/>
  <c r="CA7" i="127"/>
  <c r="CU33" i="126"/>
  <c r="BY33" i="126"/>
  <c r="CV33" i="126"/>
  <c r="CS33" i="126"/>
  <c r="BC33" i="126"/>
  <c r="BZ33" i="126"/>
  <c r="BF33" i="126"/>
  <c r="AI33" i="126"/>
  <c r="CB33" i="126"/>
  <c r="BE33" i="126"/>
  <c r="BD33" i="126"/>
  <c r="CT33" i="126"/>
  <c r="BX33" i="126"/>
  <c r="CA33" i="126"/>
  <c r="AH33" i="126"/>
  <c r="AJ33" i="126"/>
  <c r="DN5" i="126"/>
  <c r="AE5" i="126" s="1"/>
  <c r="AE6" i="126"/>
  <c r="CS7" i="126"/>
  <c r="CU7" i="127"/>
  <c r="DV6" i="110"/>
  <c r="G19" i="127"/>
  <c r="AH35" i="126"/>
  <c r="BD7" i="126"/>
  <c r="CU7" i="126"/>
  <c r="AH6" i="127"/>
  <c r="BZ26" i="127"/>
  <c r="CV26" i="127"/>
  <c r="CT26" i="127"/>
  <c r="BY26" i="127"/>
  <c r="BF26" i="127"/>
  <c r="CU26" i="127"/>
  <c r="CA26" i="127"/>
  <c r="AJ26" i="127"/>
  <c r="BD26" i="127"/>
  <c r="BE26" i="127"/>
  <c r="CB26" i="127"/>
  <c r="G24" i="127"/>
  <c r="L6" i="133"/>
  <c r="D29" i="125" s="1"/>
  <c r="I10" i="126"/>
  <c r="BF34" i="127"/>
  <c r="BY34" i="127"/>
  <c r="CA34" i="127"/>
  <c r="CB34" i="127"/>
  <c r="AI34" i="127"/>
  <c r="BZ34" i="127"/>
  <c r="CU34" i="127"/>
  <c r="BE34" i="127"/>
  <c r="CT34" i="127"/>
  <c r="AJ34" i="127"/>
  <c r="CV34" i="127"/>
  <c r="BD34" i="127"/>
  <c r="BZ7" i="126"/>
  <c r="BY7" i="126"/>
  <c r="BC7" i="126"/>
  <c r="BE7" i="127"/>
  <c r="CT7" i="127"/>
  <c r="DP6" i="110"/>
  <c r="DW6" i="110"/>
  <c r="DW5" i="110" s="1"/>
  <c r="DM6" i="110"/>
  <c r="DT6" i="110"/>
  <c r="DQ6" i="110"/>
  <c r="DU6" i="110"/>
  <c r="DS6" i="110"/>
  <c r="G85" i="133"/>
  <c r="BE94" i="110"/>
  <c r="C42" i="125"/>
  <c r="C29" i="125"/>
  <c r="C16" i="125"/>
  <c r="CT33" i="110"/>
  <c r="BX33" i="110"/>
  <c r="CV33" i="110"/>
  <c r="BZ33" i="110"/>
  <c r="BD33" i="110"/>
  <c r="BW33" i="110"/>
  <c r="AJ33" i="110"/>
  <c r="AG33" i="110"/>
  <c r="CS33" i="110"/>
  <c r="BY33" i="110"/>
  <c r="BC33" i="110"/>
  <c r="CR33" i="110"/>
  <c r="CA33" i="110"/>
  <c r="BF33" i="110"/>
  <c r="BE33" i="110"/>
  <c r="AH33" i="110"/>
  <c r="BB33" i="110"/>
  <c r="AI33" i="110"/>
  <c r="CU33" i="110"/>
  <c r="AI47" i="131"/>
  <c r="BZ7" i="110"/>
  <c r="AI91" i="110"/>
  <c r="AI94" i="110"/>
  <c r="BF44" i="131"/>
  <c r="BB44" i="131"/>
  <c r="BE44" i="131"/>
  <c r="BD44" i="131"/>
  <c r="BC44" i="131"/>
  <c r="E49" i="125"/>
  <c r="BX91" i="110"/>
  <c r="AI47" i="130"/>
  <c r="AI13" i="110"/>
  <c r="AI47" i="132"/>
  <c r="BE13" i="110"/>
  <c r="BF88" i="132"/>
  <c r="BF89" i="132"/>
  <c r="BF89" i="110"/>
  <c r="BF9" i="110"/>
  <c r="BF42" i="110"/>
  <c r="BF28" i="110"/>
  <c r="M24" i="133"/>
  <c r="K24" i="133"/>
  <c r="M34" i="133"/>
  <c r="L34" i="133"/>
  <c r="K34" i="133"/>
  <c r="D158" i="138" s="1"/>
  <c r="E158" i="138" s="1"/>
  <c r="L24" i="133"/>
  <c r="L42" i="133"/>
  <c r="I43" i="126" s="1"/>
  <c r="M42" i="133"/>
  <c r="I43" i="127" s="1"/>
  <c r="CT89" i="110"/>
  <c r="BY89" i="110"/>
  <c r="G23" i="133"/>
  <c r="D106" i="138" s="1"/>
  <c r="E106" i="138" s="1"/>
  <c r="K18" i="133"/>
  <c r="K89" i="133"/>
  <c r="L18" i="133"/>
  <c r="L15" i="133" s="1"/>
  <c r="M18" i="133"/>
  <c r="M15" i="133" s="1"/>
  <c r="M89" i="133"/>
  <c r="L89" i="133"/>
  <c r="H23" i="133"/>
  <c r="CB42" i="110"/>
  <c r="BF30" i="110"/>
  <c r="BF39" i="110"/>
  <c r="BW7" i="110"/>
  <c r="BF38" i="110"/>
  <c r="Z38" i="110" s="1"/>
  <c r="N46" i="131"/>
  <c r="O46" i="118" s="1"/>
  <c r="CV28" i="110"/>
  <c r="CV42" i="110"/>
  <c r="I23" i="133"/>
  <c r="AJ89" i="110"/>
  <c r="AJ9" i="110"/>
  <c r="AI89" i="132"/>
  <c r="AI88" i="132"/>
  <c r="AJ46" i="110"/>
  <c r="AI42" i="130"/>
  <c r="AJ95" i="110"/>
  <c r="AJ87" i="110"/>
  <c r="AI88" i="130"/>
  <c r="AI43" i="130"/>
  <c r="AI96" i="130"/>
  <c r="AI90" i="130"/>
  <c r="AI102" i="130"/>
  <c r="AJ92" i="110"/>
  <c r="AI13" i="130"/>
  <c r="AJ96" i="110"/>
  <c r="AI89" i="130"/>
  <c r="AI94" i="132"/>
  <c r="AI46" i="132"/>
  <c r="P46" i="132" s="1"/>
  <c r="N46" i="132" s="1"/>
  <c r="P46" i="118" s="1"/>
  <c r="AI24" i="132"/>
  <c r="AI102" i="132"/>
  <c r="AJ17" i="110"/>
  <c r="AI103" i="132"/>
  <c r="AI94" i="130"/>
  <c r="AI104" i="131"/>
  <c r="AI91" i="131"/>
  <c r="AI97" i="131"/>
  <c r="AI90" i="131"/>
  <c r="AI38" i="132"/>
  <c r="AI41" i="132"/>
  <c r="AI101" i="130"/>
  <c r="AI93" i="130"/>
  <c r="AI6" i="131"/>
  <c r="AI100" i="130"/>
  <c r="AI24" i="130"/>
  <c r="AI31" i="130"/>
  <c r="AJ88" i="110"/>
  <c r="AI91" i="132"/>
  <c r="AI95" i="132"/>
  <c r="AI92" i="131"/>
  <c r="AI89" i="131"/>
  <c r="AI103" i="131"/>
  <c r="AI102" i="131"/>
  <c r="AI42" i="131"/>
  <c r="AI33" i="131"/>
  <c r="AJ11" i="110"/>
  <c r="AI36" i="132"/>
  <c r="AI27" i="132"/>
  <c r="AI93" i="131"/>
  <c r="AI100" i="131"/>
  <c r="AI96" i="131"/>
  <c r="AI16" i="131"/>
  <c r="AI38" i="131"/>
  <c r="AJ18" i="110"/>
  <c r="AI15" i="130"/>
  <c r="AI92" i="132"/>
  <c r="AI6" i="130"/>
  <c r="AI14" i="130"/>
  <c r="H9" i="109"/>
  <c r="AK36" i="126" s="1"/>
  <c r="AI14" i="132"/>
  <c r="AI14" i="131"/>
  <c r="AI101" i="132"/>
  <c r="AI95" i="131"/>
  <c r="AI43" i="131"/>
  <c r="AI94" i="131"/>
  <c r="AI48" i="131"/>
  <c r="AJ42" i="110"/>
  <c r="AI16" i="130"/>
  <c r="AJ93" i="110"/>
  <c r="AI90" i="132"/>
  <c r="AI103" i="130"/>
  <c r="AI15" i="132"/>
  <c r="AI96" i="132"/>
  <c r="AI95" i="130"/>
  <c r="AI98" i="131"/>
  <c r="AI33" i="132"/>
  <c r="AI37" i="131"/>
  <c r="AI36" i="131"/>
  <c r="AI88" i="131"/>
  <c r="AI104" i="130"/>
  <c r="AI104" i="132"/>
  <c r="AI41" i="130"/>
  <c r="AI15" i="131"/>
  <c r="AI98" i="130"/>
  <c r="AI16" i="132"/>
  <c r="AI91" i="130"/>
  <c r="AJ15" i="110"/>
  <c r="AI42" i="132"/>
  <c r="AI26" i="132"/>
  <c r="P26" i="132" s="1"/>
  <c r="N26" i="132" s="1"/>
  <c r="P26" i="118" s="1"/>
  <c r="AJ32" i="110"/>
  <c r="AI97" i="130"/>
  <c r="AI48" i="132"/>
  <c r="AI93" i="132"/>
  <c r="AI100" i="132"/>
  <c r="AI97" i="132"/>
  <c r="AI24" i="131"/>
  <c r="AI92" i="130"/>
  <c r="AI30" i="131"/>
  <c r="AI37" i="132"/>
  <c r="AI33" i="130"/>
  <c r="AI40" i="130"/>
  <c r="AJ12" i="110"/>
  <c r="AI98" i="132"/>
  <c r="AI48" i="130"/>
  <c r="AI101" i="131"/>
  <c r="AI6" i="132"/>
  <c r="AI32" i="132"/>
  <c r="AJ14" i="110"/>
  <c r="DS44" i="110"/>
  <c r="DS41" i="110" s="1"/>
  <c r="DV44" i="110"/>
  <c r="DV41" i="110" s="1"/>
  <c r="AZ44" i="110"/>
  <c r="AZ41" i="110" s="1"/>
  <c r="DP44" i="110"/>
  <c r="DP41" i="110" s="1"/>
  <c r="AY44" i="110"/>
  <c r="AY41" i="110" s="1"/>
  <c r="DT44" i="110"/>
  <c r="DT41" i="110" s="1"/>
  <c r="BT44" i="110"/>
  <c r="BT41" i="110" s="1"/>
  <c r="DN44" i="110"/>
  <c r="DN41" i="110" s="1"/>
  <c r="DO44" i="110"/>
  <c r="DO41" i="110" s="1"/>
  <c r="DR44" i="110"/>
  <c r="DR41" i="110" s="1"/>
  <c r="DU44" i="110"/>
  <c r="DU41" i="110" s="1"/>
  <c r="DQ44" i="110"/>
  <c r="DQ41" i="110" s="1"/>
  <c r="BU44" i="110"/>
  <c r="BU41" i="110" s="1"/>
  <c r="AJ47" i="130"/>
  <c r="AH47" i="131"/>
  <c r="AF47" i="130"/>
  <c r="AG47" i="130"/>
  <c r="CR34" i="110"/>
  <c r="CT34" i="110"/>
  <c r="BW34" i="110"/>
  <c r="BZ34" i="110"/>
  <c r="BX34" i="110"/>
  <c r="C21" i="125"/>
  <c r="BE34" i="110"/>
  <c r="BB34" i="110"/>
  <c r="CU34" i="110"/>
  <c r="BC34" i="110"/>
  <c r="CA34" i="110"/>
  <c r="BD34" i="110"/>
  <c r="C47" i="125"/>
  <c r="CV34" i="110"/>
  <c r="BY34" i="110"/>
  <c r="BF34" i="110"/>
  <c r="CS34" i="110"/>
  <c r="BY7" i="110"/>
  <c r="BX7" i="110"/>
  <c r="CS7" i="110"/>
  <c r="BD7" i="110"/>
  <c r="CT7" i="110"/>
  <c r="BB7" i="110"/>
  <c r="BC7" i="110"/>
  <c r="CR7" i="110"/>
  <c r="BE7" i="110"/>
  <c r="CV39" i="110"/>
  <c r="CV10" i="110"/>
  <c r="BF46" i="110"/>
  <c r="BF12" i="110"/>
  <c r="BF93" i="110"/>
  <c r="BF15" i="110"/>
  <c r="BF11" i="110"/>
  <c r="BF92" i="110"/>
  <c r="BF37" i="110"/>
  <c r="Z37" i="110" s="1"/>
  <c r="BF8" i="110"/>
  <c r="BF32" i="110"/>
  <c r="Z32" i="110" s="1"/>
  <c r="BF88" i="110"/>
  <c r="I11" i="109"/>
  <c r="BG34" i="126" s="1"/>
  <c r="BF18" i="110"/>
  <c r="BF95" i="110"/>
  <c r="BF14" i="110"/>
  <c r="BF87" i="110"/>
  <c r="BF96" i="110"/>
  <c r="BF17" i="110"/>
  <c r="CT46" i="110"/>
  <c r="BY46" i="110"/>
  <c r="I15" i="109"/>
  <c r="CV15" i="110"/>
  <c r="CV18" i="110"/>
  <c r="CV12" i="110"/>
  <c r="CV31" i="110"/>
  <c r="CV8" i="110"/>
  <c r="CV17" i="110"/>
  <c r="CV40" i="110"/>
  <c r="CV32" i="110"/>
  <c r="CV11" i="110"/>
  <c r="CV37" i="110"/>
  <c r="CV14" i="110"/>
  <c r="CV30" i="110"/>
  <c r="CU7" i="110"/>
  <c r="CS94" i="110"/>
  <c r="O46" i="110"/>
  <c r="AC46" i="110" s="1"/>
  <c r="CA13" i="110"/>
  <c r="CS91" i="110"/>
  <c r="BX94" i="110"/>
  <c r="D34" i="125"/>
  <c r="D47" i="125"/>
  <c r="CA7" i="110"/>
  <c r="BE9" i="131"/>
  <c r="AE91" i="110"/>
  <c r="C22" i="125"/>
  <c r="CS90" i="110"/>
  <c r="CS86" i="110" s="1"/>
  <c r="BB90" i="110"/>
  <c r="BB86" i="110" s="1"/>
  <c r="BC90" i="110"/>
  <c r="BC86" i="110" s="1"/>
  <c r="BD90" i="110"/>
  <c r="BD86" i="110" s="1"/>
  <c r="BY90" i="110"/>
  <c r="BF90" i="110"/>
  <c r="BE90" i="110"/>
  <c r="BE86" i="110" s="1"/>
  <c r="CR90" i="110"/>
  <c r="CR86" i="110" s="1"/>
  <c r="CT90" i="110"/>
  <c r="BX90" i="110"/>
  <c r="BX86" i="110" s="1"/>
  <c r="BW90" i="110"/>
  <c r="BW86" i="110" s="1"/>
  <c r="BD9" i="131"/>
  <c r="BC36" i="110"/>
  <c r="BC35" i="110" s="1"/>
  <c r="H17" i="132"/>
  <c r="BD17" i="132" s="1"/>
  <c r="C35" i="125"/>
  <c r="BF26" i="110"/>
  <c r="BC26" i="110"/>
  <c r="BD26" i="110"/>
  <c r="BY26" i="110"/>
  <c r="AJ26" i="110"/>
  <c r="CU26" i="110"/>
  <c r="CS26" i="110"/>
  <c r="AK26" i="110"/>
  <c r="CB26" i="110"/>
  <c r="CT26" i="110"/>
  <c r="BZ26" i="110"/>
  <c r="AH26" i="110"/>
  <c r="BW26" i="110"/>
  <c r="CR26" i="110"/>
  <c r="AI26" i="110"/>
  <c r="AG26" i="110"/>
  <c r="CA26" i="110"/>
  <c r="BE26" i="110"/>
  <c r="BB26" i="110"/>
  <c r="CV26" i="110"/>
  <c r="BX26" i="110"/>
  <c r="BB9" i="131"/>
  <c r="BC25" i="110"/>
  <c r="AJ34" i="110"/>
  <c r="D21" i="125"/>
  <c r="Y40" i="110"/>
  <c r="Q40" i="110" s="1"/>
  <c r="AN39" i="133" s="1"/>
  <c r="Z40" i="110"/>
  <c r="DM43" i="110"/>
  <c r="DM41" i="110" s="1"/>
  <c r="CU36" i="110"/>
  <c r="CU35" i="110" s="1"/>
  <c r="BB36" i="110"/>
  <c r="BB35" i="110" s="1"/>
  <c r="CT25" i="110"/>
  <c r="C50" i="125"/>
  <c r="AH99" i="132"/>
  <c r="AI99" i="132"/>
  <c r="AI99" i="131"/>
  <c r="AJ99" i="131"/>
  <c r="AH99" i="131"/>
  <c r="AG99" i="131"/>
  <c r="H99" i="130"/>
  <c r="BF99" i="130" s="1"/>
  <c r="H99" i="132"/>
  <c r="BF99" i="132" s="1"/>
  <c r="H99" i="131"/>
  <c r="BF99" i="131" s="1"/>
  <c r="AH99" i="130"/>
  <c r="AF99" i="130"/>
  <c r="AG99" i="130"/>
  <c r="AI99" i="130"/>
  <c r="AI44" i="132"/>
  <c r="AG44" i="130"/>
  <c r="H44" i="132"/>
  <c r="H44" i="130"/>
  <c r="BF44" i="130" s="1"/>
  <c r="AH20" i="131"/>
  <c r="BC25" i="132"/>
  <c r="BE18" i="130"/>
  <c r="BC18" i="130"/>
  <c r="BA18" i="130"/>
  <c r="BB18" i="130"/>
  <c r="BF18" i="130"/>
  <c r="BD18" i="130"/>
  <c r="AG18" i="130"/>
  <c r="AI18" i="130"/>
  <c r="AF18" i="130"/>
  <c r="AH18" i="130"/>
  <c r="H17" i="130"/>
  <c r="BF17" i="130" s="1"/>
  <c r="BC18" i="132"/>
  <c r="BF18" i="132"/>
  <c r="BE18" i="132"/>
  <c r="BD18" i="132"/>
  <c r="AJ18" i="132"/>
  <c r="AI18" i="132"/>
  <c r="AH18" i="132"/>
  <c r="BB18" i="131"/>
  <c r="BE18" i="131"/>
  <c r="BC18" i="131"/>
  <c r="BF18" i="131"/>
  <c r="BD18" i="131"/>
  <c r="AH18" i="131"/>
  <c r="AI18" i="131"/>
  <c r="AG18" i="131"/>
  <c r="BE25" i="132"/>
  <c r="H17" i="131"/>
  <c r="AG17" i="131"/>
  <c r="BD10" i="131"/>
  <c r="AH17" i="131"/>
  <c r="BC25" i="131"/>
  <c r="BD25" i="131"/>
  <c r="BE25" i="131"/>
  <c r="BF25" i="131"/>
  <c r="AH44" i="132"/>
  <c r="AJ44" i="132"/>
  <c r="AI20" i="132"/>
  <c r="AJ20" i="132"/>
  <c r="AH20" i="132"/>
  <c r="H20" i="131"/>
  <c r="BD20" i="131" s="1"/>
  <c r="H20" i="130"/>
  <c r="BF20" i="130" s="1"/>
  <c r="F20" i="130"/>
  <c r="AG20" i="130" s="1"/>
  <c r="BZ36" i="110"/>
  <c r="BZ35" i="110" s="1"/>
  <c r="BF36" i="110"/>
  <c r="BY36" i="110"/>
  <c r="BY35" i="110" s="1"/>
  <c r="BX36" i="110"/>
  <c r="BX35" i="110" s="1"/>
  <c r="CV36" i="110"/>
  <c r="CA36" i="110"/>
  <c r="CA35" i="110" s="1"/>
  <c r="BE36" i="110"/>
  <c r="BE35" i="110" s="1"/>
  <c r="BW36" i="110"/>
  <c r="BW35" i="110" s="1"/>
  <c r="BD36" i="110"/>
  <c r="BD35" i="110" s="1"/>
  <c r="CT36" i="110"/>
  <c r="CT35" i="110" s="1"/>
  <c r="CS36" i="110"/>
  <c r="CS35" i="110" s="1"/>
  <c r="CR36" i="110"/>
  <c r="CR35" i="110" s="1"/>
  <c r="BE25" i="110"/>
  <c r="CR25" i="110"/>
  <c r="BZ25" i="110"/>
  <c r="AG20" i="131"/>
  <c r="CA25" i="110"/>
  <c r="BD25" i="110"/>
  <c r="BB25" i="110"/>
  <c r="BF25" i="110"/>
  <c r="CV25" i="110"/>
  <c r="AJ20" i="131"/>
  <c r="BW25" i="110"/>
  <c r="CS25" i="110"/>
  <c r="BY25" i="110"/>
  <c r="AI44" i="130"/>
  <c r="G24" i="110"/>
  <c r="BX25" i="110"/>
  <c r="CU25" i="110"/>
  <c r="AG17" i="130"/>
  <c r="AH17" i="130"/>
  <c r="AI17" i="130"/>
  <c r="AF44" i="130"/>
  <c r="BE47" i="131"/>
  <c r="AH44" i="130"/>
  <c r="AH17" i="132"/>
  <c r="AI17" i="132"/>
  <c r="BB10" i="131"/>
  <c r="BC10" i="131"/>
  <c r="G43" i="110"/>
  <c r="BC20" i="132"/>
  <c r="BC47" i="131"/>
  <c r="BD20" i="132"/>
  <c r="BD47" i="131"/>
  <c r="BC10" i="132"/>
  <c r="BD10" i="132"/>
  <c r="BE10" i="132"/>
  <c r="BB9" i="130"/>
  <c r="BE9" i="130"/>
  <c r="BC9" i="130"/>
  <c r="BA9" i="130"/>
  <c r="BD9" i="130"/>
  <c r="BC9" i="132"/>
  <c r="BD9" i="132"/>
  <c r="N26" i="130"/>
  <c r="N26" i="118" s="1"/>
  <c r="C37" i="125"/>
  <c r="BE7" i="130"/>
  <c r="BB7" i="130"/>
  <c r="BA7" i="130"/>
  <c r="BC7" i="130"/>
  <c r="BC7" i="132"/>
  <c r="BD7" i="132"/>
  <c r="BE8" i="130"/>
  <c r="BD8" i="130"/>
  <c r="BB8" i="130"/>
  <c r="BC8" i="130"/>
  <c r="BA8" i="130"/>
  <c r="BB8" i="131"/>
  <c r="BC8" i="131"/>
  <c r="BD8" i="131"/>
  <c r="AE7" i="110"/>
  <c r="AE35" i="110"/>
  <c r="AE94" i="110"/>
  <c r="N44" i="110"/>
  <c r="AD44" i="110" s="1"/>
  <c r="E18" i="125"/>
  <c r="F27" i="136" s="1"/>
  <c r="AE16" i="110"/>
  <c r="AE86" i="110"/>
  <c r="AE13" i="110"/>
  <c r="T34" i="110"/>
  <c r="C149" i="138" s="1"/>
  <c r="AE45" i="110"/>
  <c r="AE24" i="110"/>
  <c r="CB30" i="110"/>
  <c r="N26" i="131"/>
  <c r="O26" i="118" s="1"/>
  <c r="BF21" i="130"/>
  <c r="Z27" i="110"/>
  <c r="AF19" i="130"/>
  <c r="AH19" i="130"/>
  <c r="AG19" i="130"/>
  <c r="AI19" i="130"/>
  <c r="H17" i="109"/>
  <c r="G19" i="109"/>
  <c r="CU43" i="126" s="1"/>
  <c r="CB39" i="110"/>
  <c r="BF25" i="130"/>
  <c r="BD19" i="130"/>
  <c r="BB19" i="130"/>
  <c r="BC19" i="130"/>
  <c r="BE19" i="130"/>
  <c r="BA19" i="130"/>
  <c r="BF21" i="132"/>
  <c r="BF21" i="131"/>
  <c r="CB29" i="110"/>
  <c r="BF23" i="130"/>
  <c r="AC44" i="110"/>
  <c r="AH19" i="131"/>
  <c r="AI19" i="131"/>
  <c r="AG19" i="131"/>
  <c r="AJ19" i="131"/>
  <c r="BC19" i="131"/>
  <c r="BD19" i="131"/>
  <c r="BB19" i="131"/>
  <c r="CT93" i="110"/>
  <c r="CT88" i="110"/>
  <c r="BY88" i="110"/>
  <c r="CT96" i="110"/>
  <c r="CT92" i="110"/>
  <c r="BY92" i="110"/>
  <c r="BY87" i="110"/>
  <c r="BY93" i="110"/>
  <c r="CT87" i="110"/>
  <c r="BY95" i="110"/>
  <c r="CT95" i="110"/>
  <c r="BY96" i="110"/>
  <c r="S32" i="110"/>
  <c r="Q32" i="110"/>
  <c r="AN31" i="133" s="1"/>
  <c r="BF20" i="132"/>
  <c r="AH19" i="132"/>
  <c r="AI19" i="132"/>
  <c r="BF47" i="131"/>
  <c r="CB10" i="110"/>
  <c r="AJ19" i="130"/>
  <c r="BC19" i="132"/>
  <c r="BE19" i="132"/>
  <c r="BD19" i="132"/>
  <c r="BE19" i="131"/>
  <c r="BF11" i="132"/>
  <c r="J10" i="109"/>
  <c r="BG44" i="131" s="1"/>
  <c r="BF4" i="132"/>
  <c r="BF10" i="132"/>
  <c r="BF12" i="132"/>
  <c r="BF24" i="132"/>
  <c r="BF30" i="132"/>
  <c r="BF32" i="132"/>
  <c r="BF41" i="132"/>
  <c r="BF14" i="132"/>
  <c r="BF40" i="132"/>
  <c r="BF42" i="132"/>
  <c r="BF96" i="132"/>
  <c r="BF101" i="132"/>
  <c r="BF102" i="132"/>
  <c r="BF103" i="132"/>
  <c r="BF22" i="131"/>
  <c r="BF24" i="131"/>
  <c r="Q24" i="131" s="1"/>
  <c r="BF40" i="131"/>
  <c r="BF36" i="130"/>
  <c r="BF22" i="130"/>
  <c r="BF34" i="130"/>
  <c r="BF28" i="130"/>
  <c r="BF40" i="130"/>
  <c r="BF37" i="130"/>
  <c r="BF102" i="130"/>
  <c r="BF91" i="132"/>
  <c r="BF103" i="130"/>
  <c r="BF104" i="132"/>
  <c r="BF30" i="130"/>
  <c r="BF93" i="132"/>
  <c r="BF94" i="132"/>
  <c r="BF48" i="132"/>
  <c r="BF95" i="132"/>
  <c r="BF48" i="131"/>
  <c r="BF6" i="131"/>
  <c r="BF4" i="131"/>
  <c r="Q4" i="131" s="1"/>
  <c r="BF5" i="132"/>
  <c r="BF6" i="132"/>
  <c r="BF43" i="131"/>
  <c r="BF97" i="130"/>
  <c r="BF100" i="130"/>
  <c r="BF90" i="132"/>
  <c r="BF8" i="131"/>
  <c r="BF101" i="130"/>
  <c r="BF97" i="132"/>
  <c r="BF98" i="132"/>
  <c r="BF5" i="131"/>
  <c r="BF27" i="132"/>
  <c r="BF38" i="132"/>
  <c r="BF16" i="132"/>
  <c r="BF100" i="132"/>
  <c r="BF104" i="131"/>
  <c r="BF7" i="132"/>
  <c r="BF92" i="132"/>
  <c r="BF27" i="130"/>
  <c r="BF96" i="130"/>
  <c r="BF92" i="131"/>
  <c r="BF41" i="130"/>
  <c r="BF93" i="130"/>
  <c r="BF95" i="131"/>
  <c r="BF12" i="131"/>
  <c r="BF92" i="130"/>
  <c r="BF16" i="131"/>
  <c r="BF7" i="131"/>
  <c r="BF91" i="130"/>
  <c r="BF95" i="130"/>
  <c r="BF104" i="130"/>
  <c r="BF102" i="131"/>
  <c r="BF101" i="131"/>
  <c r="BF94" i="131"/>
  <c r="BF91" i="131"/>
  <c r="BF97" i="131"/>
  <c r="BF29" i="130"/>
  <c r="BF10" i="130"/>
  <c r="BF29" i="131"/>
  <c r="BF13" i="131"/>
  <c r="BF10" i="131"/>
  <c r="BF13" i="130"/>
  <c r="BF9" i="130"/>
  <c r="BF43" i="132"/>
  <c r="BF33" i="132"/>
  <c r="BF31" i="131"/>
  <c r="BF19" i="131"/>
  <c r="BF19" i="132"/>
  <c r="BF15" i="132"/>
  <c r="BF33" i="131"/>
  <c r="BF31" i="132"/>
  <c r="BF19" i="130"/>
  <c r="BF15" i="130"/>
  <c r="BF25" i="132"/>
  <c r="BF35" i="131"/>
  <c r="BF34" i="132"/>
  <c r="BF28" i="132"/>
  <c r="BF14" i="130"/>
  <c r="BF29" i="132"/>
  <c r="BF35" i="132"/>
  <c r="BF94" i="130"/>
  <c r="BF16" i="130"/>
  <c r="BF89" i="130"/>
  <c r="BF90" i="131"/>
  <c r="BF90" i="130"/>
  <c r="BF98" i="131"/>
  <c r="Q98" i="131" s="1"/>
  <c r="BF100" i="131"/>
  <c r="BF6" i="130"/>
  <c r="BF32" i="130"/>
  <c r="BF48" i="130"/>
  <c r="BF88" i="130"/>
  <c r="BF96" i="131"/>
  <c r="BF27" i="131"/>
  <c r="BF7" i="130"/>
  <c r="BF42" i="130"/>
  <c r="BF41" i="131"/>
  <c r="BF35" i="130"/>
  <c r="BF103" i="131"/>
  <c r="BF93" i="131"/>
  <c r="BF89" i="131"/>
  <c r="BF88" i="131"/>
  <c r="BF9" i="131"/>
  <c r="BF12" i="130"/>
  <c r="BF38" i="131"/>
  <c r="BF13" i="132"/>
  <c r="BF9" i="132"/>
  <c r="BF8" i="130"/>
  <c r="BF11" i="131"/>
  <c r="BF5" i="130"/>
  <c r="BF11" i="130"/>
  <c r="BF38" i="130"/>
  <c r="BF8" i="132"/>
  <c r="BF43" i="130"/>
  <c r="BF33" i="130"/>
  <c r="BF15" i="131"/>
  <c r="BF31" i="130"/>
  <c r="BF32" i="131"/>
  <c r="BF28" i="131"/>
  <c r="BF36" i="132"/>
  <c r="BF34" i="131"/>
  <c r="BF37" i="132"/>
  <c r="BF23" i="132"/>
  <c r="BF42" i="131"/>
  <c r="BF30" i="131"/>
  <c r="BF22" i="132"/>
  <c r="BF36" i="131"/>
  <c r="BF37" i="131"/>
  <c r="BF14" i="131"/>
  <c r="R16" i="109"/>
  <c r="J14" i="109"/>
  <c r="CC36" i="126" s="1"/>
  <c r="CB31" i="110"/>
  <c r="CB40" i="110"/>
  <c r="CB38" i="110"/>
  <c r="CB34" i="110"/>
  <c r="CB17" i="110"/>
  <c r="CB12" i="110"/>
  <c r="CB37" i="110"/>
  <c r="CB15" i="110"/>
  <c r="CB14" i="110"/>
  <c r="CB32" i="110"/>
  <c r="CB8" i="110"/>
  <c r="CB36" i="110"/>
  <c r="CB25" i="110"/>
  <c r="CB28" i="110"/>
  <c r="CB11" i="110"/>
  <c r="CB27" i="110"/>
  <c r="CB18" i="110"/>
  <c r="BC47" i="132"/>
  <c r="BG47" i="132"/>
  <c r="BF47" i="132"/>
  <c r="BD47" i="132"/>
  <c r="BE47" i="132"/>
  <c r="BC47" i="130"/>
  <c r="BE47" i="130"/>
  <c r="BD47" i="130"/>
  <c r="BA47" i="130"/>
  <c r="BB47" i="130"/>
  <c r="AK34" i="110"/>
  <c r="AG34" i="110"/>
  <c r="AI34" i="110"/>
  <c r="AH34" i="110"/>
  <c r="Q31" i="110"/>
  <c r="AN30" i="133" s="1"/>
  <c r="S31" i="110"/>
  <c r="R31" i="110"/>
  <c r="AJ91" i="126" l="1"/>
  <c r="AJ13" i="127"/>
  <c r="CT24" i="126"/>
  <c r="AJ35" i="126"/>
  <c r="CT19" i="110"/>
  <c r="CT16" i="110" s="1"/>
  <c r="K15" i="133"/>
  <c r="D72" i="138"/>
  <c r="D16" i="125"/>
  <c r="D12" i="138"/>
  <c r="E12" i="138" s="1"/>
  <c r="BF94" i="127"/>
  <c r="BX44" i="127"/>
  <c r="BX41" i="127" s="1"/>
  <c r="BX5" i="127" s="1"/>
  <c r="BZ24" i="127"/>
  <c r="CV24" i="126"/>
  <c r="BF13" i="126"/>
  <c r="BF7" i="126"/>
  <c r="CB7" i="126"/>
  <c r="CV7" i="126"/>
  <c r="CV35" i="127"/>
  <c r="BF35" i="126"/>
  <c r="CW19" i="110"/>
  <c r="BF35" i="127"/>
  <c r="BE19" i="110"/>
  <c r="BE16" i="110" s="1"/>
  <c r="BF45" i="110"/>
  <c r="BE24" i="127"/>
  <c r="AK34" i="126"/>
  <c r="CB35" i="127"/>
  <c r="CS44" i="127"/>
  <c r="CS41" i="127" s="1"/>
  <c r="CS5" i="127" s="1"/>
  <c r="BY24" i="126"/>
  <c r="CC34" i="127"/>
  <c r="BG36" i="127"/>
  <c r="CS19" i="110"/>
  <c r="CS16" i="110" s="1"/>
  <c r="BG90" i="110"/>
  <c r="AK34" i="127"/>
  <c r="AK26" i="127"/>
  <c r="AK33" i="126"/>
  <c r="AK26" i="126"/>
  <c r="CC26" i="126"/>
  <c r="BG43" i="127"/>
  <c r="BG25" i="127"/>
  <c r="BF7" i="127"/>
  <c r="AJ94" i="127"/>
  <c r="BF94" i="126"/>
  <c r="CT94" i="126"/>
  <c r="BY94" i="127"/>
  <c r="CT45" i="126"/>
  <c r="CA19" i="110"/>
  <c r="CA16" i="110" s="1"/>
  <c r="CW23" i="127"/>
  <c r="CW23" i="110"/>
  <c r="CW23" i="126"/>
  <c r="CW33" i="110"/>
  <c r="CW20" i="127"/>
  <c r="CW20" i="126"/>
  <c r="CW20" i="110"/>
  <c r="CW12" i="126"/>
  <c r="CW12" i="127"/>
  <c r="CW22" i="110"/>
  <c r="CW22" i="127"/>
  <c r="CW22" i="126"/>
  <c r="CW21" i="127"/>
  <c r="CW21" i="110"/>
  <c r="CW21" i="126"/>
  <c r="CW40" i="127"/>
  <c r="CW31" i="126"/>
  <c r="CW32" i="126"/>
  <c r="CW14" i="126"/>
  <c r="CW40" i="126"/>
  <c r="CW31" i="127"/>
  <c r="CW32" i="127"/>
  <c r="CW15" i="126"/>
  <c r="CW15" i="127"/>
  <c r="CW38" i="126"/>
  <c r="CW38" i="127"/>
  <c r="CW14" i="127"/>
  <c r="CW42" i="126"/>
  <c r="CW18" i="126"/>
  <c r="CW30" i="126"/>
  <c r="CW29" i="126"/>
  <c r="CW11" i="126"/>
  <c r="CW29" i="127"/>
  <c r="CW11" i="127"/>
  <c r="CW42" i="127"/>
  <c r="CW10" i="126"/>
  <c r="CW28" i="127"/>
  <c r="CW17" i="127"/>
  <c r="CW30" i="127"/>
  <c r="CW39" i="126"/>
  <c r="CW39" i="127"/>
  <c r="CW28" i="126"/>
  <c r="CW18" i="127"/>
  <c r="CW10" i="127"/>
  <c r="CW17" i="126"/>
  <c r="CW27" i="126"/>
  <c r="CW8" i="127"/>
  <c r="CW37" i="127"/>
  <c r="CW37" i="126"/>
  <c r="CW27" i="127"/>
  <c r="CW9" i="127"/>
  <c r="CW8" i="126"/>
  <c r="CW9" i="126"/>
  <c r="AJ45" i="110"/>
  <c r="BG26" i="127"/>
  <c r="CW26" i="127"/>
  <c r="CW33" i="127"/>
  <c r="CC33" i="127"/>
  <c r="BG33" i="127"/>
  <c r="CW34" i="126"/>
  <c r="CU24" i="126"/>
  <c r="CB35" i="126"/>
  <c r="CV35" i="126"/>
  <c r="AJ94" i="126"/>
  <c r="AJ91" i="127"/>
  <c r="BY45" i="127"/>
  <c r="CC23" i="110"/>
  <c r="CC23" i="126"/>
  <c r="CC23" i="127"/>
  <c r="CC33" i="126"/>
  <c r="CC33" i="110"/>
  <c r="CC20" i="126"/>
  <c r="CC20" i="127"/>
  <c r="CC20" i="110"/>
  <c r="CC12" i="127"/>
  <c r="CC12" i="126"/>
  <c r="CC22" i="127"/>
  <c r="CC22" i="126"/>
  <c r="CC21" i="110"/>
  <c r="CC21" i="126"/>
  <c r="CC21" i="127"/>
  <c r="CC22" i="110"/>
  <c r="CC14" i="126"/>
  <c r="CC15" i="126"/>
  <c r="CC14" i="127"/>
  <c r="CC31" i="126"/>
  <c r="CC8" i="126"/>
  <c r="CC38" i="126"/>
  <c r="CC40" i="126"/>
  <c r="CC31" i="127"/>
  <c r="CC37" i="126"/>
  <c r="CC32" i="126"/>
  <c r="CC32" i="127"/>
  <c r="CC38" i="127"/>
  <c r="CC40" i="127"/>
  <c r="CC27" i="126"/>
  <c r="CC15" i="127"/>
  <c r="CC34" i="126"/>
  <c r="CC42" i="126"/>
  <c r="CC10" i="127"/>
  <c r="CC29" i="126"/>
  <c r="CC39" i="126"/>
  <c r="CC39" i="127"/>
  <c r="CC11" i="127"/>
  <c r="CC42" i="127"/>
  <c r="CC18" i="127"/>
  <c r="CC30" i="126"/>
  <c r="CC29" i="127"/>
  <c r="CC28" i="127"/>
  <c r="CC28" i="126"/>
  <c r="CC30" i="127"/>
  <c r="CC18" i="126"/>
  <c r="CC10" i="126"/>
  <c r="CC11" i="126"/>
  <c r="CC17" i="127"/>
  <c r="CC8" i="127"/>
  <c r="CC37" i="127"/>
  <c r="CC27" i="127"/>
  <c r="CC9" i="126"/>
  <c r="CC17" i="126"/>
  <c r="CC9" i="127"/>
  <c r="BD19" i="110"/>
  <c r="BD16" i="110" s="1"/>
  <c r="CU19" i="110"/>
  <c r="CU16" i="110" s="1"/>
  <c r="BG19" i="110"/>
  <c r="BB19" i="110"/>
  <c r="BB16" i="110" s="1"/>
  <c r="G16" i="110"/>
  <c r="BG23" i="126"/>
  <c r="BG23" i="110"/>
  <c r="BG23" i="127"/>
  <c r="BG57" i="126"/>
  <c r="BG55" i="126"/>
  <c r="BG56" i="127"/>
  <c r="BG83" i="126"/>
  <c r="BG84" i="127"/>
  <c r="BG58" i="127"/>
  <c r="BG85" i="126"/>
  <c r="BG55" i="127"/>
  <c r="BG57" i="127"/>
  <c r="BG56" i="126"/>
  <c r="BG58" i="126"/>
  <c r="BG65" i="110"/>
  <c r="BG84" i="110"/>
  <c r="BG83" i="110"/>
  <c r="BG83" i="127"/>
  <c r="BG85" i="127"/>
  <c r="BG84" i="126"/>
  <c r="BG65" i="127"/>
  <c r="BG85" i="110"/>
  <c r="BG65" i="126"/>
  <c r="BG57" i="110"/>
  <c r="BG56" i="110"/>
  <c r="BG58" i="110"/>
  <c r="BG55" i="110"/>
  <c r="BG20" i="127"/>
  <c r="BG20" i="110"/>
  <c r="BG20" i="126"/>
  <c r="BG12" i="127"/>
  <c r="BG12" i="126"/>
  <c r="BG22" i="127"/>
  <c r="BG22" i="110"/>
  <c r="BG22" i="126"/>
  <c r="BG21" i="127"/>
  <c r="BG21" i="126"/>
  <c r="BG21" i="110"/>
  <c r="BG47" i="127"/>
  <c r="BG47" i="126"/>
  <c r="BG47" i="110"/>
  <c r="BG15" i="126"/>
  <c r="BG38" i="126"/>
  <c r="Z38" i="126" s="1"/>
  <c r="BG32" i="127"/>
  <c r="BG38" i="127"/>
  <c r="BG32" i="126"/>
  <c r="Z32" i="126" s="1"/>
  <c r="BG15" i="127"/>
  <c r="BG14" i="126"/>
  <c r="BG14" i="127"/>
  <c r="BG67" i="126"/>
  <c r="BG75" i="110"/>
  <c r="BG59" i="127"/>
  <c r="BG67" i="127"/>
  <c r="BG63" i="127"/>
  <c r="BG60" i="126"/>
  <c r="BG61" i="126"/>
  <c r="BG63" i="126"/>
  <c r="BG70" i="126"/>
  <c r="BG75" i="126"/>
  <c r="BG62" i="126"/>
  <c r="BG66" i="127"/>
  <c r="BG62" i="110"/>
  <c r="BG64" i="126"/>
  <c r="BG64" i="127"/>
  <c r="BG71" i="127"/>
  <c r="BG82" i="126"/>
  <c r="BG67" i="110"/>
  <c r="BG70" i="110"/>
  <c r="BG75" i="127"/>
  <c r="BG68" i="110"/>
  <c r="BG78" i="127"/>
  <c r="BG69" i="127"/>
  <c r="BG71" i="110"/>
  <c r="BG76" i="126"/>
  <c r="BG66" i="110"/>
  <c r="BG68" i="126"/>
  <c r="BG78" i="110"/>
  <c r="BG80" i="127"/>
  <c r="BG80" i="110"/>
  <c r="BG81" i="127"/>
  <c r="BG61" i="110"/>
  <c r="BG62" i="127"/>
  <c r="BG78" i="126"/>
  <c r="BG69" i="110"/>
  <c r="BG59" i="126"/>
  <c r="BG73" i="127"/>
  <c r="BG59" i="110"/>
  <c r="BG61" i="127"/>
  <c r="BG60" i="110"/>
  <c r="BG60" i="127"/>
  <c r="BG66" i="126"/>
  <c r="BG79" i="126"/>
  <c r="BG74" i="126"/>
  <c r="BG68" i="127"/>
  <c r="BG69" i="126"/>
  <c r="BG73" i="110"/>
  <c r="BG76" i="110"/>
  <c r="BG82" i="127"/>
  <c r="BG89" i="127"/>
  <c r="BG46" i="126"/>
  <c r="BG53" i="126"/>
  <c r="BG46" i="127"/>
  <c r="BG48" i="110"/>
  <c r="BG48" i="127"/>
  <c r="BG50" i="126"/>
  <c r="BG92" i="126"/>
  <c r="BG89" i="126"/>
  <c r="BG63" i="110"/>
  <c r="BG79" i="127"/>
  <c r="BG81" i="126"/>
  <c r="BG82" i="110"/>
  <c r="BG72" i="127"/>
  <c r="BG74" i="127"/>
  <c r="BG52" i="126"/>
  <c r="BG92" i="127"/>
  <c r="BG50" i="127"/>
  <c r="BG51" i="127"/>
  <c r="BG80" i="126"/>
  <c r="BG81" i="110"/>
  <c r="BG71" i="126"/>
  <c r="BG74" i="110"/>
  <c r="BG54" i="126"/>
  <c r="BG51" i="126"/>
  <c r="BG54" i="127"/>
  <c r="BG49" i="127"/>
  <c r="BG49" i="110"/>
  <c r="BG52" i="110"/>
  <c r="BG54" i="110"/>
  <c r="Z54" i="110" s="1"/>
  <c r="BG49" i="126"/>
  <c r="BG50" i="110"/>
  <c r="BG70" i="127"/>
  <c r="BG64" i="110"/>
  <c r="BG73" i="126"/>
  <c r="BG52" i="127"/>
  <c r="BG51" i="110"/>
  <c r="BG53" i="127"/>
  <c r="BG76" i="127"/>
  <c r="BG53" i="110"/>
  <c r="BG79" i="110"/>
  <c r="BG72" i="110"/>
  <c r="BG93" i="126"/>
  <c r="BG48" i="126"/>
  <c r="BG93" i="127"/>
  <c r="BG72" i="126"/>
  <c r="BG77" i="110"/>
  <c r="BG87" i="127"/>
  <c r="BG88" i="126"/>
  <c r="BG88" i="127"/>
  <c r="BG96" i="127"/>
  <c r="BG77" i="126"/>
  <c r="BG87" i="126"/>
  <c r="BG95" i="126"/>
  <c r="BG77" i="127"/>
  <c r="BG96" i="126"/>
  <c r="BG95" i="127"/>
  <c r="BG42" i="127"/>
  <c r="BG18" i="127"/>
  <c r="BG29" i="126"/>
  <c r="BG28" i="126"/>
  <c r="BG39" i="126"/>
  <c r="BG39" i="127"/>
  <c r="BG42" i="126"/>
  <c r="BG10" i="127"/>
  <c r="BG30" i="126"/>
  <c r="BG29" i="127"/>
  <c r="BG10" i="126"/>
  <c r="BG30" i="127"/>
  <c r="BG28" i="127"/>
  <c r="BG17" i="126"/>
  <c r="BG17" i="127"/>
  <c r="BG18" i="126"/>
  <c r="BG11" i="126"/>
  <c r="BG11" i="127"/>
  <c r="BG9" i="127"/>
  <c r="BG37" i="126"/>
  <c r="Z37" i="126" s="1"/>
  <c r="BG27" i="127"/>
  <c r="BG8" i="127"/>
  <c r="BG27" i="126"/>
  <c r="Z27" i="126" s="1"/>
  <c r="BG8" i="126"/>
  <c r="Z8" i="126" s="1"/>
  <c r="BG37" i="127"/>
  <c r="BG9" i="126"/>
  <c r="CB24" i="127"/>
  <c r="CC26" i="127"/>
  <c r="BG33" i="126"/>
  <c r="Z33" i="126" s="1"/>
  <c r="CW26" i="126"/>
  <c r="BE24" i="126"/>
  <c r="BG26" i="126"/>
  <c r="AL4" i="133"/>
  <c r="CC36" i="127"/>
  <c r="CW36" i="127"/>
  <c r="AJ35" i="127"/>
  <c r="CW36" i="126"/>
  <c r="AJ45" i="127"/>
  <c r="AJ45" i="126"/>
  <c r="BF45" i="126"/>
  <c r="BF91" i="126"/>
  <c r="BF91" i="127"/>
  <c r="CV13" i="126"/>
  <c r="CT94" i="127"/>
  <c r="CT91" i="127"/>
  <c r="BY91" i="126"/>
  <c r="BZ19" i="110"/>
  <c r="BZ16" i="110" s="1"/>
  <c r="BF19" i="110"/>
  <c r="BF16" i="110" s="1"/>
  <c r="BG39" i="130"/>
  <c r="BG39" i="132"/>
  <c r="BG39" i="131"/>
  <c r="BG60" i="132"/>
  <c r="BG67" i="132"/>
  <c r="BG58" i="131"/>
  <c r="BG57" i="131"/>
  <c r="BG67" i="131"/>
  <c r="BG57" i="130"/>
  <c r="BG58" i="130"/>
  <c r="BG59" i="130"/>
  <c r="BG60" i="130"/>
  <c r="BG58" i="132"/>
  <c r="BG85" i="132"/>
  <c r="BG59" i="131"/>
  <c r="BG60" i="131"/>
  <c r="BG86" i="131"/>
  <c r="BG86" i="130"/>
  <c r="BG67" i="130"/>
  <c r="BG59" i="132"/>
  <c r="BG57" i="132"/>
  <c r="BG87" i="132"/>
  <c r="BG85" i="130"/>
  <c r="BG87" i="131"/>
  <c r="BG86" i="132"/>
  <c r="BG87" i="130"/>
  <c r="BG85" i="131"/>
  <c r="BG45" i="130"/>
  <c r="BG45" i="131"/>
  <c r="BG45" i="132"/>
  <c r="BG49" i="132"/>
  <c r="BG49" i="131"/>
  <c r="BG49" i="130"/>
  <c r="BG75" i="132"/>
  <c r="BG65" i="131"/>
  <c r="BG70" i="131"/>
  <c r="BG78" i="132"/>
  <c r="BG77" i="132"/>
  <c r="BG79" i="132"/>
  <c r="BG61" i="131"/>
  <c r="BG76" i="132"/>
  <c r="BG81" i="131"/>
  <c r="BG68" i="131"/>
  <c r="BG64" i="131"/>
  <c r="BG56" i="131"/>
  <c r="Q56" i="131" s="1"/>
  <c r="BG53" i="131"/>
  <c r="BG50" i="131"/>
  <c r="BG66" i="130"/>
  <c r="BG71" i="132"/>
  <c r="BG54" i="132"/>
  <c r="BG74" i="131"/>
  <c r="BG55" i="130"/>
  <c r="BG55" i="132"/>
  <c r="BG51" i="132"/>
  <c r="BG82" i="131"/>
  <c r="BG50" i="130"/>
  <c r="BG50" i="132"/>
  <c r="BG53" i="130"/>
  <c r="BG83" i="131"/>
  <c r="BG73" i="132"/>
  <c r="BG84" i="130"/>
  <c r="BG54" i="130"/>
  <c r="BG74" i="130"/>
  <c r="BG54" i="131"/>
  <c r="BG83" i="130"/>
  <c r="BG71" i="131"/>
  <c r="BG53" i="132"/>
  <c r="BG74" i="132"/>
  <c r="BG55" i="131"/>
  <c r="BG73" i="131"/>
  <c r="BG72" i="132"/>
  <c r="BG52" i="131"/>
  <c r="BG56" i="132"/>
  <c r="BG84" i="132"/>
  <c r="BG66" i="131"/>
  <c r="BG52" i="130"/>
  <c r="BG52" i="132"/>
  <c r="BG83" i="132"/>
  <c r="BG73" i="130"/>
  <c r="BG51" i="130"/>
  <c r="BG84" i="131"/>
  <c r="BG72" i="131"/>
  <c r="BG72" i="130"/>
  <c r="BG66" i="132"/>
  <c r="BG51" i="131"/>
  <c r="BG62" i="131"/>
  <c r="BG69" i="131"/>
  <c r="BG63" i="131"/>
  <c r="BG68" i="132"/>
  <c r="BG79" i="130"/>
  <c r="BG78" i="130"/>
  <c r="BG75" i="131"/>
  <c r="BG78" i="131"/>
  <c r="BG80" i="130"/>
  <c r="BG82" i="132"/>
  <c r="BG62" i="132"/>
  <c r="BG68" i="130"/>
  <c r="BG80" i="131"/>
  <c r="BG75" i="130"/>
  <c r="BG61" i="132"/>
  <c r="BG65" i="132"/>
  <c r="BG70" i="132"/>
  <c r="BG64" i="132"/>
  <c r="BG61" i="130"/>
  <c r="BG65" i="130"/>
  <c r="BG70" i="130"/>
  <c r="BG81" i="130"/>
  <c r="BG71" i="130"/>
  <c r="BG69" i="132"/>
  <c r="BG80" i="132"/>
  <c r="BG81" i="132"/>
  <c r="BG63" i="132"/>
  <c r="BG77" i="130"/>
  <c r="BG79" i="131"/>
  <c r="BG77" i="131"/>
  <c r="BG76" i="131"/>
  <c r="BG69" i="130"/>
  <c r="BG63" i="130"/>
  <c r="BG62" i="130"/>
  <c r="BG64" i="130"/>
  <c r="BG76" i="130"/>
  <c r="BG82" i="130"/>
  <c r="CW25" i="110"/>
  <c r="BW19" i="110"/>
  <c r="BW16" i="110" s="1"/>
  <c r="BX19" i="110"/>
  <c r="BX16" i="110" s="1"/>
  <c r="BC19" i="110"/>
  <c r="BC16" i="110" s="1"/>
  <c r="BY45" i="110"/>
  <c r="BZ58" i="127"/>
  <c r="BZ57" i="126"/>
  <c r="CU57" i="126"/>
  <c r="CU55" i="126"/>
  <c r="CU83" i="126"/>
  <c r="BZ84" i="127"/>
  <c r="BZ83" i="126"/>
  <c r="CU85" i="126"/>
  <c r="BZ56" i="127"/>
  <c r="CU56" i="127"/>
  <c r="CU58" i="127"/>
  <c r="BZ55" i="126"/>
  <c r="BZ85" i="126"/>
  <c r="CU55" i="127"/>
  <c r="BZ57" i="127"/>
  <c r="BZ83" i="127"/>
  <c r="BZ85" i="127"/>
  <c r="CU56" i="126"/>
  <c r="BZ84" i="126"/>
  <c r="CU84" i="127"/>
  <c r="BZ55" i="127"/>
  <c r="CU65" i="126"/>
  <c r="CU57" i="127"/>
  <c r="BZ65" i="126"/>
  <c r="BZ65" i="127"/>
  <c r="BZ84" i="110"/>
  <c r="CU84" i="110"/>
  <c r="CU83" i="110"/>
  <c r="CU55" i="110"/>
  <c r="CU58" i="110"/>
  <c r="BZ57" i="110"/>
  <c r="BZ55" i="110"/>
  <c r="BZ58" i="126"/>
  <c r="CU58" i="126"/>
  <c r="CU84" i="126"/>
  <c r="CU65" i="127"/>
  <c r="CU65" i="110"/>
  <c r="CU83" i="127"/>
  <c r="CU85" i="127"/>
  <c r="BZ56" i="126"/>
  <c r="BZ83" i="110"/>
  <c r="BZ56" i="110"/>
  <c r="BZ65" i="110"/>
  <c r="BZ85" i="110"/>
  <c r="CU85" i="110"/>
  <c r="CU57" i="110"/>
  <c r="CU56" i="110"/>
  <c r="BZ58" i="110"/>
  <c r="CU47" i="126"/>
  <c r="CU47" i="127"/>
  <c r="BZ47" i="127"/>
  <c r="CU47" i="110"/>
  <c r="BZ47" i="110"/>
  <c r="BZ47" i="126"/>
  <c r="CU59" i="127"/>
  <c r="CU59" i="126"/>
  <c r="CU67" i="127"/>
  <c r="BZ67" i="127"/>
  <c r="CU67" i="126"/>
  <c r="BZ61" i="126"/>
  <c r="BZ70" i="126"/>
  <c r="CU70" i="127"/>
  <c r="BZ75" i="126"/>
  <c r="CU61" i="126"/>
  <c r="CU63" i="126"/>
  <c r="BZ63" i="126"/>
  <c r="CU79" i="126"/>
  <c r="BZ70" i="127"/>
  <c r="CU75" i="126"/>
  <c r="CU60" i="126"/>
  <c r="CU66" i="110"/>
  <c r="CU68" i="126"/>
  <c r="BZ59" i="127"/>
  <c r="BZ59" i="126"/>
  <c r="BZ78" i="110"/>
  <c r="BZ80" i="110"/>
  <c r="CU64" i="127"/>
  <c r="BZ63" i="127"/>
  <c r="CU70" i="126"/>
  <c r="BZ60" i="126"/>
  <c r="BZ68" i="126"/>
  <c r="CU62" i="110"/>
  <c r="BZ67" i="126"/>
  <c r="CU63" i="127"/>
  <c r="BZ66" i="110"/>
  <c r="CU66" i="127"/>
  <c r="CU78" i="110"/>
  <c r="CU64" i="126"/>
  <c r="BZ64" i="127"/>
  <c r="CU81" i="127"/>
  <c r="BZ71" i="127"/>
  <c r="BZ73" i="127"/>
  <c r="BZ74" i="126"/>
  <c r="CU74" i="126"/>
  <c r="BZ61" i="110"/>
  <c r="CU61" i="127"/>
  <c r="CU79" i="127"/>
  <c r="CU79" i="110"/>
  <c r="CU75" i="127"/>
  <c r="BZ75" i="127"/>
  <c r="CU60" i="127"/>
  <c r="BZ66" i="126"/>
  <c r="BZ62" i="127"/>
  <c r="CU78" i="127"/>
  <c r="BZ80" i="126"/>
  <c r="BZ75" i="110"/>
  <c r="CU62" i="126"/>
  <c r="BZ62" i="126"/>
  <c r="BZ80" i="127"/>
  <c r="BZ64" i="126"/>
  <c r="CU73" i="127"/>
  <c r="BZ82" i="126"/>
  <c r="CU82" i="126"/>
  <c r="BZ61" i="127"/>
  <c r="BZ79" i="110"/>
  <c r="CU75" i="110"/>
  <c r="CU80" i="110"/>
  <c r="BZ81" i="127"/>
  <c r="BZ76" i="126"/>
  <c r="BZ72" i="126"/>
  <c r="CU59" i="110"/>
  <c r="BZ78" i="126"/>
  <c r="BZ78" i="127"/>
  <c r="CU64" i="110"/>
  <c r="CU69" i="110"/>
  <c r="BZ79" i="126"/>
  <c r="BZ62" i="110"/>
  <c r="BZ69" i="127"/>
  <c r="CU69" i="127"/>
  <c r="CU67" i="110"/>
  <c r="CU61" i="110"/>
  <c r="CU63" i="110"/>
  <c r="BZ79" i="127"/>
  <c r="BZ70" i="110"/>
  <c r="CU60" i="110"/>
  <c r="BZ60" i="110"/>
  <c r="BZ66" i="127"/>
  <c r="BZ71" i="110"/>
  <c r="CU76" i="126"/>
  <c r="CU72" i="126"/>
  <c r="BZ59" i="110"/>
  <c r="BZ63" i="110"/>
  <c r="CU70" i="110"/>
  <c r="BZ60" i="127"/>
  <c r="CU68" i="127"/>
  <c r="BZ68" i="127"/>
  <c r="BZ68" i="110"/>
  <c r="CU68" i="110"/>
  <c r="CU80" i="126"/>
  <c r="BZ81" i="110"/>
  <c r="BZ69" i="110"/>
  <c r="CU71" i="126"/>
  <c r="BZ73" i="110"/>
  <c r="CU76" i="110"/>
  <c r="CU76" i="127"/>
  <c r="CU82" i="110"/>
  <c r="BZ82" i="110"/>
  <c r="BZ74" i="110"/>
  <c r="BZ89" i="127"/>
  <c r="CU51" i="126"/>
  <c r="BZ51" i="126"/>
  <c r="CU46" i="127"/>
  <c r="BZ92" i="127"/>
  <c r="CU48" i="110"/>
  <c r="CU51" i="127"/>
  <c r="CU93" i="126"/>
  <c r="CU50" i="126"/>
  <c r="CU49" i="126"/>
  <c r="CU53" i="110"/>
  <c r="CU54" i="110"/>
  <c r="BZ53" i="127"/>
  <c r="BZ50" i="110"/>
  <c r="CU62" i="127"/>
  <c r="CU81" i="126"/>
  <c r="BZ81" i="126"/>
  <c r="CU69" i="126"/>
  <c r="BZ71" i="126"/>
  <c r="CU73" i="110"/>
  <c r="CU72" i="127"/>
  <c r="CU74" i="110"/>
  <c r="CU74" i="127"/>
  <c r="CU89" i="127"/>
  <c r="BZ46" i="126"/>
  <c r="CU52" i="126"/>
  <c r="CU54" i="127"/>
  <c r="CU53" i="126"/>
  <c r="BZ53" i="126"/>
  <c r="CU49" i="127"/>
  <c r="CU92" i="127"/>
  <c r="BZ50" i="127"/>
  <c r="CU49" i="110"/>
  <c r="BZ51" i="127"/>
  <c r="BZ93" i="126"/>
  <c r="CU80" i="127"/>
  <c r="CU71" i="127"/>
  <c r="BZ67" i="110"/>
  <c r="CU66" i="126"/>
  <c r="BZ69" i="126"/>
  <c r="CU73" i="126"/>
  <c r="BZ72" i="110"/>
  <c r="CU54" i="126"/>
  <c r="BZ52" i="126"/>
  <c r="BZ49" i="127"/>
  <c r="BZ46" i="127"/>
  <c r="BZ48" i="110"/>
  <c r="CU50" i="127"/>
  <c r="BZ49" i="110"/>
  <c r="CU48" i="127"/>
  <c r="BZ52" i="110"/>
  <c r="CU78" i="126"/>
  <c r="BZ76" i="110"/>
  <c r="BZ82" i="127"/>
  <c r="BZ50" i="126"/>
  <c r="BZ51" i="110"/>
  <c r="CU48" i="126"/>
  <c r="CU93" i="127"/>
  <c r="BZ93" i="127"/>
  <c r="CU50" i="110"/>
  <c r="CU82" i="127"/>
  <c r="CU72" i="110"/>
  <c r="CU71" i="110"/>
  <c r="BZ72" i="127"/>
  <c r="CU52" i="110"/>
  <c r="CU52" i="127"/>
  <c r="BZ52" i="127"/>
  <c r="CU51" i="110"/>
  <c r="BZ92" i="126"/>
  <c r="CU92" i="126"/>
  <c r="CU89" i="126"/>
  <c r="BZ54" i="110"/>
  <c r="BZ74" i="127"/>
  <c r="BZ64" i="110"/>
  <c r="CU81" i="110"/>
  <c r="BZ73" i="126"/>
  <c r="BZ76" i="127"/>
  <c r="CU46" i="126"/>
  <c r="BZ53" i="110"/>
  <c r="BZ48" i="126"/>
  <c r="BZ89" i="126"/>
  <c r="BZ54" i="126"/>
  <c r="BZ54" i="127"/>
  <c r="BZ48" i="127"/>
  <c r="BZ49" i="126"/>
  <c r="CU53" i="127"/>
  <c r="BZ87" i="127"/>
  <c r="BZ87" i="126"/>
  <c r="CU96" i="126"/>
  <c r="CU95" i="126"/>
  <c r="BZ95" i="126"/>
  <c r="CU88" i="127"/>
  <c r="BZ77" i="110"/>
  <c r="CU77" i="110"/>
  <c r="CU77" i="126"/>
  <c r="CU87" i="127"/>
  <c r="CU95" i="127"/>
  <c r="BZ77" i="127"/>
  <c r="CU77" i="127"/>
  <c r="BZ77" i="126"/>
  <c r="CU96" i="127"/>
  <c r="BZ96" i="127"/>
  <c r="BZ96" i="126"/>
  <c r="CU87" i="126"/>
  <c r="BZ95" i="127"/>
  <c r="CU88" i="126"/>
  <c r="BZ88" i="127"/>
  <c r="BZ88" i="126"/>
  <c r="CW36" i="110"/>
  <c r="BY19" i="110"/>
  <c r="BY16" i="110" s="1"/>
  <c r="CB19" i="110"/>
  <c r="CB16" i="110" s="1"/>
  <c r="CR19" i="110"/>
  <c r="CR16" i="110" s="1"/>
  <c r="CW26" i="110"/>
  <c r="CT45" i="110"/>
  <c r="AJ99" i="132"/>
  <c r="AJ39" i="132"/>
  <c r="AJ39" i="130"/>
  <c r="AK23" i="127"/>
  <c r="AJ39" i="131"/>
  <c r="AK23" i="126"/>
  <c r="AK23" i="110"/>
  <c r="AK58" i="127"/>
  <c r="AK84" i="127"/>
  <c r="AK85" i="126"/>
  <c r="AK56" i="127"/>
  <c r="AK57" i="126"/>
  <c r="AJ57" i="132"/>
  <c r="AJ85" i="131"/>
  <c r="AJ57" i="131"/>
  <c r="AJ58" i="131"/>
  <c r="AJ60" i="130"/>
  <c r="AJ67" i="130"/>
  <c r="AK83" i="126"/>
  <c r="AJ59" i="132"/>
  <c r="AJ86" i="131"/>
  <c r="AJ67" i="132"/>
  <c r="AJ87" i="132"/>
  <c r="AJ87" i="131"/>
  <c r="AJ59" i="131"/>
  <c r="AJ85" i="130"/>
  <c r="AJ57" i="130"/>
  <c r="AJ85" i="132"/>
  <c r="AJ60" i="131"/>
  <c r="AJ59" i="130"/>
  <c r="AJ58" i="130"/>
  <c r="AJ58" i="132"/>
  <c r="AJ60" i="132"/>
  <c r="AJ67" i="131"/>
  <c r="AJ87" i="130"/>
  <c r="AJ86" i="130"/>
  <c r="AK83" i="127"/>
  <c r="AK55" i="127"/>
  <c r="AK57" i="127"/>
  <c r="AK58" i="126"/>
  <c r="AK65" i="126"/>
  <c r="AJ86" i="132"/>
  <c r="AK85" i="127"/>
  <c r="AK84" i="126"/>
  <c r="AK55" i="126"/>
  <c r="AK85" i="110"/>
  <c r="AK56" i="126"/>
  <c r="AK65" i="127"/>
  <c r="AK84" i="110"/>
  <c r="AK83" i="110"/>
  <c r="AK57" i="110"/>
  <c r="AK56" i="110"/>
  <c r="AK55" i="110"/>
  <c r="AK65" i="110"/>
  <c r="AK58" i="110"/>
  <c r="AJ45" i="132"/>
  <c r="AJ45" i="131"/>
  <c r="AJ45" i="130"/>
  <c r="AK20" i="126"/>
  <c r="AK20" i="127"/>
  <c r="AK20" i="110"/>
  <c r="AK22" i="126"/>
  <c r="AK22" i="127"/>
  <c r="AK22" i="110"/>
  <c r="AK21" i="126"/>
  <c r="AK21" i="110"/>
  <c r="AK21" i="127"/>
  <c r="AJ49" i="131"/>
  <c r="AJ49" i="130"/>
  <c r="AJ49" i="132"/>
  <c r="AK47" i="110"/>
  <c r="AK47" i="126"/>
  <c r="AK47" i="127"/>
  <c r="AK38" i="127"/>
  <c r="AK12" i="126"/>
  <c r="AJ77" i="132"/>
  <c r="AJ75" i="132"/>
  <c r="AJ63" i="131"/>
  <c r="AK15" i="126"/>
  <c r="AJ76" i="132"/>
  <c r="AJ69" i="131"/>
  <c r="AJ81" i="131"/>
  <c r="AK38" i="126"/>
  <c r="AK32" i="126"/>
  <c r="AK14" i="126"/>
  <c r="AK15" i="127"/>
  <c r="AK12" i="127"/>
  <c r="AJ80" i="131"/>
  <c r="AJ82" i="131"/>
  <c r="AK14" i="127"/>
  <c r="AJ78" i="132"/>
  <c r="AK32" i="127"/>
  <c r="AJ62" i="131"/>
  <c r="AJ54" i="130"/>
  <c r="AK59" i="127"/>
  <c r="AK63" i="127"/>
  <c r="AK66" i="110"/>
  <c r="AJ56" i="131"/>
  <c r="AK61" i="126"/>
  <c r="AK79" i="126"/>
  <c r="AJ53" i="131"/>
  <c r="AJ50" i="130"/>
  <c r="AJ55" i="130"/>
  <c r="AK66" i="127"/>
  <c r="AK62" i="126"/>
  <c r="AK59" i="126"/>
  <c r="AK67" i="126"/>
  <c r="AK63" i="126"/>
  <c r="AK62" i="110"/>
  <c r="AK78" i="110"/>
  <c r="AK80" i="110"/>
  <c r="AK64" i="126"/>
  <c r="AJ52" i="130"/>
  <c r="AJ52" i="132"/>
  <c r="AK81" i="127"/>
  <c r="AJ83" i="131"/>
  <c r="AJ83" i="132"/>
  <c r="AK67" i="127"/>
  <c r="AJ55" i="132"/>
  <c r="AK68" i="126"/>
  <c r="AK70" i="126"/>
  <c r="AK75" i="110"/>
  <c r="AJ71" i="132"/>
  <c r="AK71" i="110"/>
  <c r="AJ74" i="130"/>
  <c r="AJ54" i="132"/>
  <c r="AJ56" i="130"/>
  <c r="AK79" i="127"/>
  <c r="AK79" i="110"/>
  <c r="AJ53" i="130"/>
  <c r="AK70" i="110"/>
  <c r="AK80" i="127"/>
  <c r="AK69" i="127"/>
  <c r="AJ71" i="131"/>
  <c r="AK71" i="127"/>
  <c r="AK72" i="126"/>
  <c r="AK59" i="110"/>
  <c r="AK63" i="110"/>
  <c r="AK70" i="127"/>
  <c r="AK75" i="126"/>
  <c r="AK60" i="126"/>
  <c r="AK64" i="127"/>
  <c r="AJ51" i="130"/>
  <c r="AJ64" i="131"/>
  <c r="AK67" i="110"/>
  <c r="AJ72" i="132"/>
  <c r="AK75" i="127"/>
  <c r="AK66" i="126"/>
  <c r="AK62" i="127"/>
  <c r="AK80" i="126"/>
  <c r="AJ66" i="131"/>
  <c r="AJ52" i="131"/>
  <c r="AK69" i="110"/>
  <c r="AK69" i="126"/>
  <c r="AJ72" i="131"/>
  <c r="AJ66" i="130"/>
  <c r="AJ73" i="132"/>
  <c r="AJ84" i="132"/>
  <c r="AJ54" i="131"/>
  <c r="AJ53" i="132"/>
  <c r="AJ72" i="130"/>
  <c r="AK60" i="127"/>
  <c r="AK68" i="110"/>
  <c r="AK73" i="127"/>
  <c r="AK76" i="126"/>
  <c r="AJ51" i="131"/>
  <c r="AJ74" i="132"/>
  <c r="AK61" i="110"/>
  <c r="AK60" i="110"/>
  <c r="AK68" i="127"/>
  <c r="AJ50" i="131"/>
  <c r="AJ55" i="131"/>
  <c r="AK64" i="110"/>
  <c r="AK81" i="126"/>
  <c r="AK72" i="127"/>
  <c r="AK74" i="110"/>
  <c r="AJ65" i="131"/>
  <c r="AJ70" i="131"/>
  <c r="AK46" i="127"/>
  <c r="AK50" i="127"/>
  <c r="AK52" i="110"/>
  <c r="AK89" i="126"/>
  <c r="AK53" i="127"/>
  <c r="AJ84" i="130"/>
  <c r="AJ56" i="132"/>
  <c r="AJ83" i="130"/>
  <c r="AJ84" i="131"/>
  <c r="AK89" i="127"/>
  <c r="AK54" i="126"/>
  <c r="AK46" i="126"/>
  <c r="AK52" i="126"/>
  <c r="AK54" i="127"/>
  <c r="AK92" i="127"/>
  <c r="AK48" i="110"/>
  <c r="AK82" i="126"/>
  <c r="AK74" i="126"/>
  <c r="AK81" i="110"/>
  <c r="AJ71" i="130"/>
  <c r="AK71" i="126"/>
  <c r="AJ73" i="131"/>
  <c r="AJ73" i="130"/>
  <c r="AK73" i="126"/>
  <c r="AK72" i="110"/>
  <c r="AJ74" i="131"/>
  <c r="AK74" i="127"/>
  <c r="AJ61" i="131"/>
  <c r="AK53" i="126"/>
  <c r="AK49" i="127"/>
  <c r="AK51" i="127"/>
  <c r="AJ50" i="132"/>
  <c r="AK78" i="127"/>
  <c r="AK76" i="110"/>
  <c r="AK93" i="126"/>
  <c r="AK54" i="110"/>
  <c r="AJ61" i="132"/>
  <c r="AJ79" i="132"/>
  <c r="AJ82" i="132"/>
  <c r="AJ76" i="130"/>
  <c r="AJ75" i="131"/>
  <c r="AJ76" i="131"/>
  <c r="AJ77" i="130"/>
  <c r="AJ81" i="130"/>
  <c r="AJ65" i="130"/>
  <c r="AJ82" i="130"/>
  <c r="AK61" i="127"/>
  <c r="AJ65" i="132"/>
  <c r="AJ69" i="132"/>
  <c r="AJ62" i="132"/>
  <c r="AJ81" i="132"/>
  <c r="AJ78" i="131"/>
  <c r="AJ69" i="130"/>
  <c r="AJ70" i="130"/>
  <c r="AK76" i="127"/>
  <c r="AJ51" i="132"/>
  <c r="AK82" i="110"/>
  <c r="AK82" i="127"/>
  <c r="AK51" i="126"/>
  <c r="AK48" i="127"/>
  <c r="AK49" i="126"/>
  <c r="AK93" i="127"/>
  <c r="AJ64" i="132"/>
  <c r="AJ63" i="132"/>
  <c r="AJ68" i="132"/>
  <c r="AJ75" i="130"/>
  <c r="AJ78" i="130"/>
  <c r="AJ80" i="130"/>
  <c r="AJ61" i="130"/>
  <c r="AJ62" i="130"/>
  <c r="AK52" i="127"/>
  <c r="AK78" i="126"/>
  <c r="AJ66" i="132"/>
  <c r="AK73" i="110"/>
  <c r="AK49" i="110"/>
  <c r="AK50" i="126"/>
  <c r="AK92" i="126"/>
  <c r="AK48" i="126"/>
  <c r="AK50" i="110"/>
  <c r="AJ70" i="132"/>
  <c r="AJ68" i="131"/>
  <c r="AJ77" i="131"/>
  <c r="AJ64" i="130"/>
  <c r="AJ63" i="130"/>
  <c r="AJ79" i="130"/>
  <c r="AK53" i="110"/>
  <c r="AK51" i="110"/>
  <c r="AJ80" i="132"/>
  <c r="AJ68" i="130"/>
  <c r="AK96" i="126"/>
  <c r="AK88" i="127"/>
  <c r="AK87" i="126"/>
  <c r="AK77" i="127"/>
  <c r="AK77" i="110"/>
  <c r="AK77" i="126"/>
  <c r="AK87" i="127"/>
  <c r="AK96" i="127"/>
  <c r="AK95" i="126"/>
  <c r="AJ79" i="131"/>
  <c r="AK88" i="126"/>
  <c r="AK95" i="127"/>
  <c r="AK17" i="126"/>
  <c r="AK18" i="127"/>
  <c r="AK42" i="127"/>
  <c r="AK17" i="127"/>
  <c r="AK18" i="126"/>
  <c r="AK11" i="126"/>
  <c r="AK11" i="127"/>
  <c r="AK42" i="126"/>
  <c r="AK28" i="126"/>
  <c r="AK8" i="127"/>
  <c r="AK8" i="126"/>
  <c r="AK39" i="127"/>
  <c r="AK29" i="127"/>
  <c r="AJ44" i="131"/>
  <c r="AK37" i="126"/>
  <c r="AK27" i="127"/>
  <c r="AK30" i="126"/>
  <c r="AK9" i="126"/>
  <c r="AK9" i="127"/>
  <c r="AK27" i="126"/>
  <c r="AK37" i="127"/>
  <c r="AK30" i="127"/>
  <c r="AK29" i="126"/>
  <c r="AK28" i="127"/>
  <c r="AK39" i="126"/>
  <c r="AJ19" i="132"/>
  <c r="AK33" i="110"/>
  <c r="Y33" i="110" s="1"/>
  <c r="CW34" i="127"/>
  <c r="BG34" i="127"/>
  <c r="CV7" i="127"/>
  <c r="CW33" i="126"/>
  <c r="CB7" i="127"/>
  <c r="CB24" i="126"/>
  <c r="BZ24" i="126"/>
  <c r="CA24" i="126"/>
  <c r="BF24" i="126"/>
  <c r="BD24" i="126"/>
  <c r="BG43" i="126"/>
  <c r="CU43" i="127"/>
  <c r="CC25" i="127"/>
  <c r="CW25" i="127"/>
  <c r="CW25" i="126"/>
  <c r="CC25" i="126"/>
  <c r="BG36" i="126"/>
  <c r="AJ13" i="126"/>
  <c r="BF45" i="127"/>
  <c r="BF13" i="127"/>
  <c r="CB13" i="126"/>
  <c r="CB13" i="127"/>
  <c r="CV13" i="127"/>
  <c r="CT91" i="126"/>
  <c r="CT45" i="127"/>
  <c r="BY91" i="127"/>
  <c r="BY45" i="126"/>
  <c r="CA24" i="127"/>
  <c r="CU24" i="127"/>
  <c r="BF24" i="127"/>
  <c r="CV24" i="127"/>
  <c r="AC41" i="126"/>
  <c r="AC5" i="126" s="1"/>
  <c r="F27" i="135"/>
  <c r="AK43" i="126"/>
  <c r="AI43" i="127"/>
  <c r="AK43" i="127"/>
  <c r="AK40" i="133"/>
  <c r="AK4" i="133"/>
  <c r="DM5" i="110"/>
  <c r="AI43" i="126"/>
  <c r="AJ43" i="126"/>
  <c r="AH43" i="126"/>
  <c r="AJ43" i="127"/>
  <c r="H4" i="133"/>
  <c r="I7" i="110"/>
  <c r="G5" i="133"/>
  <c r="AH10" i="110"/>
  <c r="AH7" i="110" s="1"/>
  <c r="AJ10" i="110"/>
  <c r="AJ7" i="110" s="1"/>
  <c r="DR5" i="110"/>
  <c r="AI10" i="110"/>
  <c r="AI7" i="110" s="1"/>
  <c r="AK10" i="110"/>
  <c r="AE41" i="110"/>
  <c r="DO5" i="110"/>
  <c r="I4" i="133"/>
  <c r="Z34" i="126"/>
  <c r="I19" i="127"/>
  <c r="I16" i="127" s="1"/>
  <c r="DS5" i="110"/>
  <c r="CA19" i="127"/>
  <c r="CA16" i="127" s="1"/>
  <c r="BZ19" i="127"/>
  <c r="BZ16" i="127" s="1"/>
  <c r="CW19" i="127"/>
  <c r="BY19" i="127"/>
  <c r="BE19" i="127"/>
  <c r="BE16" i="127" s="1"/>
  <c r="CU19" i="127"/>
  <c r="CU16" i="127" s="1"/>
  <c r="BG19" i="127"/>
  <c r="BD19" i="127"/>
  <c r="CV19" i="127"/>
  <c r="CV16" i="127" s="1"/>
  <c r="CC19" i="127"/>
  <c r="CT19" i="127"/>
  <c r="BF19" i="127"/>
  <c r="BF16" i="127" s="1"/>
  <c r="CB19" i="127"/>
  <c r="CB16" i="127" s="1"/>
  <c r="G16" i="127"/>
  <c r="G44" i="127"/>
  <c r="I40" i="133"/>
  <c r="I19" i="126"/>
  <c r="I16" i="126" s="1"/>
  <c r="DU5" i="110"/>
  <c r="CA19" i="126"/>
  <c r="CA16" i="126" s="1"/>
  <c r="BY19" i="126"/>
  <c r="BY16" i="126" s="1"/>
  <c r="BZ19" i="126"/>
  <c r="BZ16" i="126" s="1"/>
  <c r="BE19" i="126"/>
  <c r="BE16" i="126" s="1"/>
  <c r="CB19" i="126"/>
  <c r="CB16" i="126" s="1"/>
  <c r="BX19" i="126"/>
  <c r="BF19" i="126"/>
  <c r="BF16" i="126" s="1"/>
  <c r="BD19" i="126"/>
  <c r="BD16" i="126" s="1"/>
  <c r="BG19" i="126"/>
  <c r="CS19" i="126"/>
  <c r="CV19" i="126"/>
  <c r="CV16" i="126" s="1"/>
  <c r="CC19" i="126"/>
  <c r="CW19" i="126"/>
  <c r="BC19" i="126"/>
  <c r="CT19" i="126"/>
  <c r="CT16" i="126" s="1"/>
  <c r="CU19" i="126"/>
  <c r="CU16" i="126" s="1"/>
  <c r="G16" i="126"/>
  <c r="AI10" i="127"/>
  <c r="AK10" i="127"/>
  <c r="AJ10" i="127"/>
  <c r="AJ7" i="127" s="1"/>
  <c r="I7" i="127"/>
  <c r="L85" i="133"/>
  <c r="L43" i="133" s="1"/>
  <c r="I90" i="126"/>
  <c r="AJ90" i="126" s="1"/>
  <c r="AJ86" i="126" s="1"/>
  <c r="K85" i="133"/>
  <c r="K43" i="133" s="1"/>
  <c r="K40" i="133" s="1"/>
  <c r="I90" i="110"/>
  <c r="AH90" i="110" s="1"/>
  <c r="AH86" i="110" s="1"/>
  <c r="AH44" i="110" s="1"/>
  <c r="L23" i="133"/>
  <c r="D32" i="125" s="1"/>
  <c r="I25" i="126"/>
  <c r="K23" i="133"/>
  <c r="D107" i="138" s="1"/>
  <c r="E107" i="138" s="1"/>
  <c r="I25" i="110"/>
  <c r="AJ25" i="110" s="1"/>
  <c r="AJ24" i="110" s="1"/>
  <c r="DQ5" i="110"/>
  <c r="DP5" i="110"/>
  <c r="AI10" i="126"/>
  <c r="AI7" i="126" s="1"/>
  <c r="AH10" i="126"/>
  <c r="AK10" i="126"/>
  <c r="AJ10" i="126"/>
  <c r="AJ7" i="126" s="1"/>
  <c r="I7" i="126"/>
  <c r="AH5" i="127"/>
  <c r="DV5" i="110"/>
  <c r="BE90" i="126"/>
  <c r="BE86" i="126" s="1"/>
  <c r="BE44" i="126" s="1"/>
  <c r="BE41" i="126" s="1"/>
  <c r="CS90" i="126"/>
  <c r="BC90" i="126"/>
  <c r="CU90" i="126"/>
  <c r="BX90" i="126"/>
  <c r="CT90" i="126"/>
  <c r="CT86" i="126" s="1"/>
  <c r="BG90" i="126"/>
  <c r="BY90" i="126"/>
  <c r="BY86" i="126" s="1"/>
  <c r="BF90" i="126"/>
  <c r="BF86" i="126" s="1"/>
  <c r="BZ90" i="126"/>
  <c r="BD90" i="126"/>
  <c r="BD86" i="126" s="1"/>
  <c r="BD44" i="126" s="1"/>
  <c r="BD41" i="126" s="1"/>
  <c r="BX24" i="126"/>
  <c r="BC24" i="126"/>
  <c r="M85" i="133"/>
  <c r="M43" i="133" s="1"/>
  <c r="I90" i="127"/>
  <c r="I19" i="110"/>
  <c r="AK19" i="110" s="1"/>
  <c r="M23" i="133"/>
  <c r="D45" i="125" s="1"/>
  <c r="I25" i="127"/>
  <c r="DT5" i="110"/>
  <c r="BD24" i="127"/>
  <c r="BY24" i="127"/>
  <c r="CT24" i="127"/>
  <c r="BZ90" i="127"/>
  <c r="CT90" i="127"/>
  <c r="BY90" i="127"/>
  <c r="BD90" i="127"/>
  <c r="BF90" i="127"/>
  <c r="BF86" i="127" s="1"/>
  <c r="BE90" i="127"/>
  <c r="BE86" i="127" s="1"/>
  <c r="BE44" i="127" s="1"/>
  <c r="BE41" i="127" s="1"/>
  <c r="BG90" i="127"/>
  <c r="CU90" i="127"/>
  <c r="DN5" i="110"/>
  <c r="DN5" i="127"/>
  <c r="AE5" i="127" s="1"/>
  <c r="AE6" i="127"/>
  <c r="G44" i="126"/>
  <c r="H40" i="133"/>
  <c r="CS24" i="126"/>
  <c r="AE6" i="110"/>
  <c r="Z8" i="110"/>
  <c r="H5" i="133"/>
  <c r="I5" i="133"/>
  <c r="G43" i="133"/>
  <c r="Z33" i="110"/>
  <c r="CR44" i="110"/>
  <c r="BW44" i="110"/>
  <c r="P47" i="130"/>
  <c r="AJ94" i="110"/>
  <c r="AJ13" i="110"/>
  <c r="AJ91" i="110"/>
  <c r="BG26" i="110"/>
  <c r="AJ17" i="132"/>
  <c r="BG89" i="110"/>
  <c r="BG9" i="110"/>
  <c r="BG42" i="110"/>
  <c r="AK89" i="110"/>
  <c r="AJ89" i="132"/>
  <c r="AK9" i="110"/>
  <c r="AJ88" i="132"/>
  <c r="AJ102" i="131"/>
  <c r="AJ98" i="131"/>
  <c r="AK11" i="110"/>
  <c r="AJ104" i="131"/>
  <c r="AJ95" i="131"/>
  <c r="AJ89" i="131"/>
  <c r="AK42" i="110"/>
  <c r="AJ38" i="131"/>
  <c r="AJ36" i="131"/>
  <c r="AJ43" i="131"/>
  <c r="AJ41" i="132"/>
  <c r="AJ91" i="131"/>
  <c r="AJ36" i="132"/>
  <c r="AJ96" i="131"/>
  <c r="AJ38" i="132"/>
  <c r="AJ33" i="131"/>
  <c r="AJ35" i="132"/>
  <c r="AJ30" i="131"/>
  <c r="AJ103" i="131"/>
  <c r="AK18" i="110"/>
  <c r="AJ93" i="131"/>
  <c r="AJ88" i="131"/>
  <c r="AJ33" i="132"/>
  <c r="AJ28" i="132"/>
  <c r="AJ22" i="132"/>
  <c r="AJ14" i="132"/>
  <c r="AJ91" i="132"/>
  <c r="AJ96" i="132"/>
  <c r="AJ95" i="132"/>
  <c r="AJ24" i="131"/>
  <c r="AJ97" i="132"/>
  <c r="AK92" i="110"/>
  <c r="AJ92" i="130"/>
  <c r="AJ91" i="130"/>
  <c r="AJ93" i="130"/>
  <c r="AJ103" i="130"/>
  <c r="AJ35" i="130"/>
  <c r="AJ5" i="131"/>
  <c r="AJ42" i="130"/>
  <c r="AJ101" i="130"/>
  <c r="AJ6" i="130"/>
  <c r="AK87" i="110"/>
  <c r="AJ28" i="130"/>
  <c r="AJ94" i="130"/>
  <c r="AJ38" i="130"/>
  <c r="AJ37" i="130"/>
  <c r="AJ42" i="132"/>
  <c r="AJ37" i="131"/>
  <c r="AK8" i="110"/>
  <c r="AJ25" i="132"/>
  <c r="AJ9" i="130"/>
  <c r="AJ9" i="132"/>
  <c r="AJ25" i="131"/>
  <c r="AK30" i="110"/>
  <c r="AJ23" i="132"/>
  <c r="AJ21" i="130"/>
  <c r="AJ21" i="132"/>
  <c r="AJ11" i="130"/>
  <c r="AK32" i="110"/>
  <c r="Y32" i="110" s="1"/>
  <c r="R32" i="110" s="1"/>
  <c r="AJ6" i="132"/>
  <c r="AJ94" i="131"/>
  <c r="AJ42" i="131"/>
  <c r="AJ43" i="132"/>
  <c r="AJ93" i="132"/>
  <c r="AJ104" i="132"/>
  <c r="AK15" i="110"/>
  <c r="AK17" i="110"/>
  <c r="AJ4" i="130"/>
  <c r="P4" i="130" s="1"/>
  <c r="N4" i="130" s="1"/>
  <c r="N4" i="118" s="1"/>
  <c r="AJ88" i="130"/>
  <c r="AJ31" i="130"/>
  <c r="AJ13" i="130"/>
  <c r="AK93" i="110"/>
  <c r="AJ90" i="130"/>
  <c r="AJ32" i="130"/>
  <c r="AJ102" i="130"/>
  <c r="AJ98" i="130"/>
  <c r="P98" i="130" s="1"/>
  <c r="N98" i="130" s="1"/>
  <c r="N98" i="118" s="1"/>
  <c r="AJ36" i="130"/>
  <c r="AJ101" i="131"/>
  <c r="AK38" i="110"/>
  <c r="Y38" i="110" s="1"/>
  <c r="Q38" i="110" s="1"/>
  <c r="AN37" i="133" s="1"/>
  <c r="AJ10" i="130"/>
  <c r="AK29" i="110"/>
  <c r="AJ47" i="131"/>
  <c r="AJ7" i="132"/>
  <c r="AJ47" i="132"/>
  <c r="AJ7" i="131"/>
  <c r="I9" i="109"/>
  <c r="AL43" i="127" s="1"/>
  <c r="AJ15" i="130"/>
  <c r="AJ16" i="130"/>
  <c r="AJ94" i="132"/>
  <c r="AJ30" i="132"/>
  <c r="AJ37" i="132"/>
  <c r="AJ29" i="131"/>
  <c r="AJ96" i="130"/>
  <c r="AJ27" i="130"/>
  <c r="AK27" i="110"/>
  <c r="Y27" i="110" s="1"/>
  <c r="AJ21" i="131"/>
  <c r="AJ29" i="132"/>
  <c r="AJ16" i="131"/>
  <c r="AJ92" i="131"/>
  <c r="AJ4" i="132"/>
  <c r="AJ48" i="132"/>
  <c r="AJ102" i="132"/>
  <c r="AJ14" i="131"/>
  <c r="AJ22" i="131"/>
  <c r="AJ89" i="130"/>
  <c r="AJ48" i="130"/>
  <c r="AK88" i="110"/>
  <c r="AJ40" i="131"/>
  <c r="AK28" i="110"/>
  <c r="AJ12" i="132"/>
  <c r="AJ32" i="131"/>
  <c r="AJ27" i="131"/>
  <c r="AJ90" i="131"/>
  <c r="AJ41" i="131"/>
  <c r="AJ13" i="131"/>
  <c r="AJ24" i="132"/>
  <c r="AJ100" i="132"/>
  <c r="AJ30" i="130"/>
  <c r="AJ90" i="132"/>
  <c r="AJ97" i="130"/>
  <c r="AJ4" i="131"/>
  <c r="AJ92" i="132"/>
  <c r="AJ32" i="132"/>
  <c r="AJ12" i="131"/>
  <c r="AJ23" i="131"/>
  <c r="AJ11" i="132"/>
  <c r="AJ11" i="131"/>
  <c r="AJ15" i="132"/>
  <c r="AJ34" i="132"/>
  <c r="AK96" i="110"/>
  <c r="AJ22" i="130"/>
  <c r="AJ5" i="130"/>
  <c r="AJ40" i="130"/>
  <c r="AJ100" i="130"/>
  <c r="AJ31" i="131"/>
  <c r="AK12" i="110"/>
  <c r="AK39" i="110"/>
  <c r="AJ7" i="130"/>
  <c r="AK46" i="110"/>
  <c r="AK14" i="110"/>
  <c r="AJ13" i="132"/>
  <c r="AJ97" i="131"/>
  <c r="AJ8" i="132"/>
  <c r="AJ101" i="132"/>
  <c r="AJ41" i="130"/>
  <c r="AK37" i="110"/>
  <c r="Y37" i="110" s="1"/>
  <c r="S37" i="110" s="1"/>
  <c r="AJ104" i="130"/>
  <c r="AJ34" i="130"/>
  <c r="AJ29" i="130"/>
  <c r="AK95" i="110"/>
  <c r="AJ25" i="130"/>
  <c r="AJ23" i="130"/>
  <c r="AJ40" i="132"/>
  <c r="AJ100" i="131"/>
  <c r="AJ34" i="131"/>
  <c r="AJ5" i="132"/>
  <c r="AJ27" i="132"/>
  <c r="AJ8" i="131"/>
  <c r="AJ15" i="131"/>
  <c r="AJ28" i="131"/>
  <c r="AJ98" i="132"/>
  <c r="AJ103" i="132"/>
  <c r="AJ14" i="130"/>
  <c r="AJ33" i="130"/>
  <c r="AJ43" i="130"/>
  <c r="AJ6" i="131"/>
  <c r="AJ10" i="131"/>
  <c r="AJ12" i="130"/>
  <c r="AJ9" i="131"/>
  <c r="AJ48" i="131"/>
  <c r="AJ31" i="132"/>
  <c r="AJ95" i="130"/>
  <c r="AJ16" i="132"/>
  <c r="AJ8" i="130"/>
  <c r="AJ35" i="131"/>
  <c r="AJ24" i="130"/>
  <c r="P24" i="130" s="1"/>
  <c r="N24" i="130" s="1"/>
  <c r="N24" i="118" s="1"/>
  <c r="AJ10" i="132"/>
  <c r="AJ99" i="130"/>
  <c r="CC42" i="110"/>
  <c r="CC9" i="110"/>
  <c r="BG88" i="132"/>
  <c r="BG89" i="132"/>
  <c r="CU89" i="110"/>
  <c r="BZ89" i="110"/>
  <c r="BG25" i="110"/>
  <c r="BG36" i="110"/>
  <c r="BE44" i="110"/>
  <c r="AJ44" i="130"/>
  <c r="AJ17" i="130"/>
  <c r="AJ17" i="131"/>
  <c r="AJ18" i="131"/>
  <c r="AJ18" i="130"/>
  <c r="CW42" i="110"/>
  <c r="CW9" i="110"/>
  <c r="BC44" i="110"/>
  <c r="BX44" i="110"/>
  <c r="CV16" i="110"/>
  <c r="BD44" i="110"/>
  <c r="BB44" i="110"/>
  <c r="CS44" i="110"/>
  <c r="Z34" i="110"/>
  <c r="BF91" i="110"/>
  <c r="AE43" i="110"/>
  <c r="CV35" i="110"/>
  <c r="BF94" i="110"/>
  <c r="CV13" i="110"/>
  <c r="BF35" i="110"/>
  <c r="CU46" i="110"/>
  <c r="BZ46" i="110"/>
  <c r="BG46" i="110"/>
  <c r="BG18" i="110"/>
  <c r="BG87" i="110"/>
  <c r="BG28" i="110"/>
  <c r="BG95" i="110"/>
  <c r="J11" i="109"/>
  <c r="BH19" i="126" s="1"/>
  <c r="BG17" i="110"/>
  <c r="BG11" i="110"/>
  <c r="BG92" i="110"/>
  <c r="BG39" i="110"/>
  <c r="BG29" i="110"/>
  <c r="BG93" i="110"/>
  <c r="BG15" i="110"/>
  <c r="BG88" i="110"/>
  <c r="BG14" i="110"/>
  <c r="BG96" i="110"/>
  <c r="BG12" i="110"/>
  <c r="BG10" i="110"/>
  <c r="BG30" i="110"/>
  <c r="CC19" i="110"/>
  <c r="CC26" i="110"/>
  <c r="BF86" i="110"/>
  <c r="CW27" i="110"/>
  <c r="CW32" i="110"/>
  <c r="J15" i="109"/>
  <c r="CW38" i="110"/>
  <c r="CW14" i="110"/>
  <c r="CW28" i="110"/>
  <c r="CW31" i="110"/>
  <c r="CW34" i="110"/>
  <c r="CW12" i="110"/>
  <c r="CW18" i="110"/>
  <c r="CW11" i="110"/>
  <c r="CW8" i="110"/>
  <c r="CW17" i="110"/>
  <c r="CW15" i="110"/>
  <c r="CW40" i="110"/>
  <c r="CW37" i="110"/>
  <c r="CW39" i="110"/>
  <c r="CW29" i="110"/>
  <c r="CW10" i="110"/>
  <c r="CW30" i="110"/>
  <c r="BF13" i="110"/>
  <c r="BG18" i="131"/>
  <c r="BG18" i="130"/>
  <c r="BZ90" i="110"/>
  <c r="CU90" i="110"/>
  <c r="BG18" i="132"/>
  <c r="BF7" i="110"/>
  <c r="CV7" i="110"/>
  <c r="BB24" i="110"/>
  <c r="BY91" i="110"/>
  <c r="CV24" i="110"/>
  <c r="CA24" i="110"/>
  <c r="CR24" i="110"/>
  <c r="CU24" i="110"/>
  <c r="CB24" i="110"/>
  <c r="CT86" i="110"/>
  <c r="BX24" i="110"/>
  <c r="BY24" i="110"/>
  <c r="BZ24" i="110"/>
  <c r="CT94" i="110"/>
  <c r="CT91" i="110"/>
  <c r="CS24" i="110"/>
  <c r="BF24" i="110"/>
  <c r="BE24" i="110"/>
  <c r="CB35" i="110"/>
  <c r="CB13" i="110"/>
  <c r="BW24" i="110"/>
  <c r="CB7" i="110"/>
  <c r="BD24" i="110"/>
  <c r="BC24" i="110"/>
  <c r="BY94" i="110"/>
  <c r="BY86" i="110"/>
  <c r="CT24" i="110"/>
  <c r="E25" i="125"/>
  <c r="BF17" i="132"/>
  <c r="BE17" i="132"/>
  <c r="BC17" i="132"/>
  <c r="C44" i="125"/>
  <c r="AI36" i="110"/>
  <c r="AI35" i="110" s="1"/>
  <c r="AL36" i="110"/>
  <c r="AJ36" i="110"/>
  <c r="AJ35" i="110" s="1"/>
  <c r="AH36" i="110"/>
  <c r="AH35" i="110" s="1"/>
  <c r="AK36" i="110"/>
  <c r="AG36" i="110"/>
  <c r="AG35" i="110" s="1"/>
  <c r="D48" i="125"/>
  <c r="D35" i="125"/>
  <c r="C32" i="125"/>
  <c r="C45" i="125"/>
  <c r="D22" i="125"/>
  <c r="S40" i="110"/>
  <c r="Q37" i="110"/>
  <c r="AN36" i="133" s="1"/>
  <c r="E50" i="125"/>
  <c r="BC99" i="130"/>
  <c r="BA99" i="130"/>
  <c r="BB99" i="130"/>
  <c r="BD99" i="130"/>
  <c r="BE99" i="130"/>
  <c r="BE99" i="131"/>
  <c r="BC99" i="131"/>
  <c r="BB99" i="131"/>
  <c r="BD99" i="131"/>
  <c r="BC99" i="132"/>
  <c r="BD99" i="132"/>
  <c r="BE99" i="132"/>
  <c r="BD44" i="130"/>
  <c r="BB44" i="130"/>
  <c r="BC44" i="130"/>
  <c r="BA44" i="130"/>
  <c r="BE44" i="130"/>
  <c r="BC44" i="132"/>
  <c r="BE44" i="132"/>
  <c r="BD44" i="132"/>
  <c r="BF44" i="132"/>
  <c r="BD17" i="130"/>
  <c r="BB17" i="130"/>
  <c r="BE17" i="130"/>
  <c r="BC17" i="130"/>
  <c r="BA17" i="130"/>
  <c r="BE17" i="131"/>
  <c r="BF17" i="131"/>
  <c r="BD17" i="131"/>
  <c r="BB17" i="131"/>
  <c r="BC17" i="131"/>
  <c r="N43" i="110"/>
  <c r="AD43" i="110" s="1"/>
  <c r="AD41" i="110" s="1"/>
  <c r="AD5" i="110" s="1"/>
  <c r="BB20" i="130"/>
  <c r="BA20" i="130"/>
  <c r="BE20" i="131"/>
  <c r="BC20" i="131"/>
  <c r="BB20" i="131"/>
  <c r="AH20" i="130"/>
  <c r="AI20" i="130"/>
  <c r="AF20" i="130"/>
  <c r="AJ20" i="130"/>
  <c r="BF20" i="131"/>
  <c r="BD20" i="130"/>
  <c r="BC20" i="130"/>
  <c r="BE20" i="130"/>
  <c r="BY43" i="110"/>
  <c r="CR43" i="110"/>
  <c r="BB43" i="110"/>
  <c r="BC43" i="110"/>
  <c r="CT43" i="110"/>
  <c r="BD43" i="110"/>
  <c r="Q47" i="131"/>
  <c r="BF43" i="110"/>
  <c r="BX43" i="110"/>
  <c r="CS43" i="110"/>
  <c r="BE43" i="110"/>
  <c r="BW43" i="110"/>
  <c r="BG43" i="110"/>
  <c r="S38" i="110"/>
  <c r="E44" i="125"/>
  <c r="S27" i="110"/>
  <c r="Q27" i="110"/>
  <c r="AN26" i="133" s="1"/>
  <c r="I17" i="109"/>
  <c r="H19" i="109"/>
  <c r="CV90" i="126" s="1"/>
  <c r="BZ87" i="110"/>
  <c r="BZ88" i="110"/>
  <c r="CU87" i="110"/>
  <c r="CU92" i="110"/>
  <c r="BZ93" i="110"/>
  <c r="CU88" i="110"/>
  <c r="BZ92" i="110"/>
  <c r="CU93" i="110"/>
  <c r="CU96" i="110"/>
  <c r="CU95" i="110"/>
  <c r="BZ96" i="110"/>
  <c r="BZ95" i="110"/>
  <c r="CU43" i="110"/>
  <c r="BZ43" i="110"/>
  <c r="AE44" i="110"/>
  <c r="E24" i="125"/>
  <c r="AC43" i="110"/>
  <c r="AC41" i="110" s="1"/>
  <c r="AC5" i="110" s="1"/>
  <c r="K14" i="109"/>
  <c r="CC38" i="110"/>
  <c r="CC37" i="110"/>
  <c r="CC12" i="110"/>
  <c r="CC17" i="110"/>
  <c r="CC32" i="110"/>
  <c r="CC40" i="110"/>
  <c r="CC31" i="110"/>
  <c r="CC15" i="110"/>
  <c r="CC14" i="110"/>
  <c r="CC34" i="110"/>
  <c r="CC36" i="110"/>
  <c r="CC27" i="110"/>
  <c r="CC25" i="110"/>
  <c r="CC28" i="110"/>
  <c r="CC8" i="110"/>
  <c r="CC11" i="110"/>
  <c r="CC18" i="110"/>
  <c r="CC30" i="110"/>
  <c r="CC10" i="110"/>
  <c r="CC39" i="110"/>
  <c r="CC29" i="110"/>
  <c r="S16" i="109"/>
  <c r="K10" i="109"/>
  <c r="BG7" i="132"/>
  <c r="BG11" i="132"/>
  <c r="BG41" i="132"/>
  <c r="BG24" i="132"/>
  <c r="Q24" i="132" s="1"/>
  <c r="BG92" i="132"/>
  <c r="BG97" i="132"/>
  <c r="BG100" i="132"/>
  <c r="BG99" i="132"/>
  <c r="BG102" i="132"/>
  <c r="BG96" i="132"/>
  <c r="BG101" i="132"/>
  <c r="BG22" i="131"/>
  <c r="BG40" i="131"/>
  <c r="BG98" i="132"/>
  <c r="Q98" i="132" s="1"/>
  <c r="BG28" i="130"/>
  <c r="BG22" i="130"/>
  <c r="BG34" i="130"/>
  <c r="BG91" i="132"/>
  <c r="BG48" i="132"/>
  <c r="BG95" i="132"/>
  <c r="BG103" i="132"/>
  <c r="BG99" i="131"/>
  <c r="BG19" i="131"/>
  <c r="BG10" i="130"/>
  <c r="BG6" i="131"/>
  <c r="BG36" i="130"/>
  <c r="BG37" i="130"/>
  <c r="BG103" i="130"/>
  <c r="BG90" i="132"/>
  <c r="BG93" i="132"/>
  <c r="BG94" i="132"/>
  <c r="BG104" i="130"/>
  <c r="BG97" i="130"/>
  <c r="BG104" i="132"/>
  <c r="BG4" i="132"/>
  <c r="Q4" i="132" s="1"/>
  <c r="BG40" i="130"/>
  <c r="BG27" i="130"/>
  <c r="BG100" i="130"/>
  <c r="BG37" i="131"/>
  <c r="BG31" i="131"/>
  <c r="BG6" i="132"/>
  <c r="BG5" i="132"/>
  <c r="BG92" i="131"/>
  <c r="BG6" i="130"/>
  <c r="BG102" i="130"/>
  <c r="BG10" i="132"/>
  <c r="BG14" i="132"/>
  <c r="BG30" i="132"/>
  <c r="BG40" i="132"/>
  <c r="BG5" i="131"/>
  <c r="BG8" i="131"/>
  <c r="BG27" i="132"/>
  <c r="BG16" i="132"/>
  <c r="BG17" i="132"/>
  <c r="BG42" i="132"/>
  <c r="BG11" i="131"/>
  <c r="BG15" i="131"/>
  <c r="BG32" i="132"/>
  <c r="BG90" i="131"/>
  <c r="BG12" i="132"/>
  <c r="BG9" i="131"/>
  <c r="BG37" i="132"/>
  <c r="BG44" i="132"/>
  <c r="BG38" i="132"/>
  <c r="BG88" i="131"/>
  <c r="BG13" i="131"/>
  <c r="BG8" i="132"/>
  <c r="BG7" i="131"/>
  <c r="BG35" i="132"/>
  <c r="BG94" i="130"/>
  <c r="BG30" i="130"/>
  <c r="BG104" i="131"/>
  <c r="BG41" i="130"/>
  <c r="BG95" i="131"/>
  <c r="BG12" i="131"/>
  <c r="BG100" i="131"/>
  <c r="BG27" i="131"/>
  <c r="BG16" i="131"/>
  <c r="BG42" i="130"/>
  <c r="BG95" i="130"/>
  <c r="BG101" i="130"/>
  <c r="BG102" i="131"/>
  <c r="BG101" i="131"/>
  <c r="BG94" i="131"/>
  <c r="BG91" i="131"/>
  <c r="BG12" i="130"/>
  <c r="BG38" i="131"/>
  <c r="BG10" i="131"/>
  <c r="BG5" i="130"/>
  <c r="BG11" i="130"/>
  <c r="BG13" i="130"/>
  <c r="BG9" i="130"/>
  <c r="BG43" i="132"/>
  <c r="BG33" i="132"/>
  <c r="BG19" i="132"/>
  <c r="BG44" i="130"/>
  <c r="BG33" i="131"/>
  <c r="BG31" i="130"/>
  <c r="BG15" i="130"/>
  <c r="BG28" i="131"/>
  <c r="BG25" i="132"/>
  <c r="BG36" i="132"/>
  <c r="BG34" i="131"/>
  <c r="BG23" i="132"/>
  <c r="BG42" i="131"/>
  <c r="BG36" i="131"/>
  <c r="BG28" i="132"/>
  <c r="BG14" i="130"/>
  <c r="BG29" i="132"/>
  <c r="BG16" i="130"/>
  <c r="BG96" i="130"/>
  <c r="BG99" i="130"/>
  <c r="BG89" i="130"/>
  <c r="BG93" i="130"/>
  <c r="BG90" i="130"/>
  <c r="BG32" i="130"/>
  <c r="BG48" i="130"/>
  <c r="BG88" i="130"/>
  <c r="BG92" i="130"/>
  <c r="BG96" i="131"/>
  <c r="BG7" i="130"/>
  <c r="BG91" i="130"/>
  <c r="BG41" i="131"/>
  <c r="BG35" i="130"/>
  <c r="BG103" i="131"/>
  <c r="BG97" i="131"/>
  <c r="BG93" i="131"/>
  <c r="BG89" i="131"/>
  <c r="BG29" i="130"/>
  <c r="BG48" i="131"/>
  <c r="BG13" i="132"/>
  <c r="BG9" i="132"/>
  <c r="BG8" i="130"/>
  <c r="BG29" i="131"/>
  <c r="BG38" i="130"/>
  <c r="BG43" i="130"/>
  <c r="BG33" i="130"/>
  <c r="BG15" i="132"/>
  <c r="BG43" i="131"/>
  <c r="BG31" i="132"/>
  <c r="BG19" i="130"/>
  <c r="BG32" i="131"/>
  <c r="BG35" i="131"/>
  <c r="BG30" i="131"/>
  <c r="BG22" i="132"/>
  <c r="BG34" i="132"/>
  <c r="BG14" i="131"/>
  <c r="BG23" i="131"/>
  <c r="BG17" i="131"/>
  <c r="BG20" i="130"/>
  <c r="BG21" i="130"/>
  <c r="BG21" i="132"/>
  <c r="BG25" i="130"/>
  <c r="BG25" i="131"/>
  <c r="BG23" i="130"/>
  <c r="BG17" i="130"/>
  <c r="BG21" i="131"/>
  <c r="BG20" i="131"/>
  <c r="BG20" i="132"/>
  <c r="Q47" i="130"/>
  <c r="Q47" i="132"/>
  <c r="Y34" i="110"/>
  <c r="AK94" i="126" l="1"/>
  <c r="AK94" i="110"/>
  <c r="AK94" i="127"/>
  <c r="BZ6" i="127"/>
  <c r="CT6" i="126"/>
  <c r="BG94" i="126"/>
  <c r="BG86" i="127"/>
  <c r="E72" i="138"/>
  <c r="D77" i="138"/>
  <c r="E77" i="138" s="1"/>
  <c r="BZ86" i="126"/>
  <c r="BG86" i="126"/>
  <c r="AJ44" i="126"/>
  <c r="AJ41" i="126" s="1"/>
  <c r="BG24" i="127"/>
  <c r="BE6" i="127"/>
  <c r="BE5" i="127" s="1"/>
  <c r="CC24" i="127"/>
  <c r="BZ6" i="126"/>
  <c r="CC24" i="126"/>
  <c r="BE6" i="126"/>
  <c r="BE5" i="126" s="1"/>
  <c r="CU6" i="127"/>
  <c r="CU6" i="126"/>
  <c r="BY6" i="126"/>
  <c r="CA6" i="126"/>
  <c r="CS6" i="110"/>
  <c r="CC16" i="126"/>
  <c r="BG16" i="127"/>
  <c r="BG13" i="127"/>
  <c r="CW13" i="127"/>
  <c r="CC35" i="126"/>
  <c r="AK35" i="126"/>
  <c r="CW35" i="126"/>
  <c r="BH90" i="127"/>
  <c r="CR6" i="110"/>
  <c r="CU86" i="127"/>
  <c r="BF44" i="127"/>
  <c r="BF41" i="127" s="1"/>
  <c r="BZ86" i="127"/>
  <c r="AL10" i="127"/>
  <c r="BG16" i="126"/>
  <c r="BH19" i="127"/>
  <c r="BG35" i="126"/>
  <c r="AK91" i="126"/>
  <c r="BZ91" i="126"/>
  <c r="AK20" i="130"/>
  <c r="BG45" i="110"/>
  <c r="BG35" i="127"/>
  <c r="CC16" i="127"/>
  <c r="CW16" i="127"/>
  <c r="CU6" i="110"/>
  <c r="BZ45" i="110"/>
  <c r="BY44" i="126"/>
  <c r="BY41" i="126" s="1"/>
  <c r="BH90" i="126"/>
  <c r="AL43" i="126"/>
  <c r="AK35" i="127"/>
  <c r="CU94" i="126"/>
  <c r="CU45" i="126"/>
  <c r="CU91" i="126"/>
  <c r="BG24" i="126"/>
  <c r="AK91" i="127"/>
  <c r="AK13" i="126"/>
  <c r="BZ94" i="126"/>
  <c r="CU91" i="127"/>
  <c r="CC35" i="127"/>
  <c r="CW24" i="126"/>
  <c r="BG91" i="126"/>
  <c r="BG45" i="127"/>
  <c r="CC7" i="127"/>
  <c r="CW7" i="127"/>
  <c r="CW13" i="126"/>
  <c r="CX23" i="127"/>
  <c r="CX23" i="110"/>
  <c r="CX23" i="126"/>
  <c r="CX33" i="126"/>
  <c r="CX33" i="110"/>
  <c r="CX20" i="110"/>
  <c r="CX20" i="127"/>
  <c r="CX20" i="126"/>
  <c r="CX12" i="126"/>
  <c r="CX12" i="127"/>
  <c r="CX22" i="126"/>
  <c r="CX22" i="127"/>
  <c r="CX21" i="126"/>
  <c r="CX21" i="127"/>
  <c r="CX21" i="110"/>
  <c r="CX22" i="110"/>
  <c r="CX8" i="126"/>
  <c r="CX27" i="126"/>
  <c r="CX38" i="126"/>
  <c r="CX40" i="126"/>
  <c r="CX31" i="127"/>
  <c r="CX37" i="126"/>
  <c r="CX32" i="127"/>
  <c r="CX15" i="126"/>
  <c r="CX40" i="127"/>
  <c r="CX32" i="126"/>
  <c r="CX14" i="126"/>
  <c r="CX14" i="127"/>
  <c r="CX31" i="126"/>
  <c r="CX15" i="127"/>
  <c r="CX38" i="127"/>
  <c r="CX34" i="126"/>
  <c r="CX42" i="127"/>
  <c r="CX42" i="126"/>
  <c r="CX18" i="126"/>
  <c r="CX10" i="127"/>
  <c r="CX30" i="126"/>
  <c r="CX28" i="126"/>
  <c r="CX10" i="126"/>
  <c r="CX17" i="127"/>
  <c r="CX39" i="127"/>
  <c r="CX11" i="127"/>
  <c r="CX29" i="126"/>
  <c r="CX28" i="127"/>
  <c r="CX11" i="126"/>
  <c r="CX18" i="127"/>
  <c r="CX29" i="127"/>
  <c r="CX30" i="127"/>
  <c r="CX39" i="126"/>
  <c r="CX8" i="127"/>
  <c r="CX9" i="127"/>
  <c r="CX17" i="126"/>
  <c r="CX27" i="127"/>
  <c r="CX9" i="126"/>
  <c r="CX37" i="127"/>
  <c r="CX25" i="127"/>
  <c r="CX26" i="127"/>
  <c r="CX34" i="127"/>
  <c r="CX36" i="126"/>
  <c r="CX36" i="127"/>
  <c r="CX26" i="126"/>
  <c r="CX33" i="127"/>
  <c r="CX25" i="126"/>
  <c r="BZ45" i="127"/>
  <c r="BG7" i="127"/>
  <c r="CC7" i="126"/>
  <c r="CC13" i="126"/>
  <c r="AK45" i="110"/>
  <c r="CA90" i="126"/>
  <c r="CT44" i="126"/>
  <c r="CT41" i="126" s="1"/>
  <c r="CT5" i="126" s="1"/>
  <c r="AK7" i="126"/>
  <c r="AK7" i="127"/>
  <c r="CV6" i="126"/>
  <c r="CX19" i="126"/>
  <c r="BF6" i="126"/>
  <c r="CB6" i="127"/>
  <c r="AK45" i="127"/>
  <c r="BZ94" i="127"/>
  <c r="CU94" i="127"/>
  <c r="BZ45" i="126"/>
  <c r="BZ91" i="127"/>
  <c r="BG45" i="126"/>
  <c r="BG13" i="126"/>
  <c r="CW24" i="127"/>
  <c r="BH39" i="130"/>
  <c r="BH39" i="132"/>
  <c r="BH39" i="131"/>
  <c r="BH60" i="132"/>
  <c r="BH59" i="131"/>
  <c r="BH87" i="130"/>
  <c r="BH57" i="130"/>
  <c r="BH59" i="130"/>
  <c r="BH58" i="132"/>
  <c r="BH57" i="132"/>
  <c r="BH85" i="132"/>
  <c r="BH86" i="131"/>
  <c r="BH58" i="131"/>
  <c r="BH59" i="132"/>
  <c r="BH85" i="131"/>
  <c r="BH57" i="131"/>
  <c r="BH87" i="132"/>
  <c r="BH58" i="130"/>
  <c r="BH86" i="130"/>
  <c r="BH60" i="130"/>
  <c r="BH67" i="130"/>
  <c r="BH60" i="131"/>
  <c r="BH67" i="131"/>
  <c r="BH85" i="130"/>
  <c r="BH87" i="131"/>
  <c r="BH86" i="132"/>
  <c r="BH45" i="132"/>
  <c r="BH45" i="130"/>
  <c r="BH45" i="131"/>
  <c r="BH49" i="132"/>
  <c r="BH49" i="130"/>
  <c r="BH49" i="131"/>
  <c r="BH75" i="132"/>
  <c r="BH62" i="131"/>
  <c r="BH70" i="131"/>
  <c r="BH77" i="132"/>
  <c r="BH76" i="132"/>
  <c r="BH79" i="132"/>
  <c r="BH65" i="131"/>
  <c r="BH78" i="132"/>
  <c r="BH61" i="131"/>
  <c r="BH82" i="131"/>
  <c r="BH54" i="131"/>
  <c r="BH54" i="132"/>
  <c r="BH74" i="131"/>
  <c r="BH55" i="130"/>
  <c r="BH55" i="132"/>
  <c r="BH68" i="131"/>
  <c r="BH53" i="130"/>
  <c r="BH71" i="131"/>
  <c r="BH53" i="131"/>
  <c r="BH52" i="131"/>
  <c r="BH83" i="130"/>
  <c r="BH73" i="131"/>
  <c r="BH72" i="132"/>
  <c r="BH74" i="130"/>
  <c r="BH55" i="131"/>
  <c r="BH66" i="130"/>
  <c r="BH83" i="131"/>
  <c r="BH51" i="132"/>
  <c r="BH84" i="130"/>
  <c r="BH50" i="131"/>
  <c r="BH84" i="132"/>
  <c r="BH71" i="132"/>
  <c r="BH54" i="130"/>
  <c r="BH53" i="132"/>
  <c r="BH50" i="130"/>
  <c r="BH50" i="132"/>
  <c r="BH52" i="132"/>
  <c r="BH83" i="132"/>
  <c r="BH71" i="130"/>
  <c r="BH51" i="131"/>
  <c r="BH63" i="131"/>
  <c r="BH80" i="131"/>
  <c r="BH74" i="132"/>
  <c r="BH52" i="130"/>
  <c r="BH72" i="130"/>
  <c r="BH81" i="131"/>
  <c r="BH73" i="132"/>
  <c r="BH56" i="132"/>
  <c r="Q56" i="132" s="1"/>
  <c r="BH51" i="130"/>
  <c r="BH84" i="131"/>
  <c r="BH72" i="131"/>
  <c r="BH79" i="130"/>
  <c r="BH66" i="131"/>
  <c r="BH64" i="132"/>
  <c r="BH65" i="130"/>
  <c r="BH81" i="130"/>
  <c r="BH66" i="132"/>
  <c r="BH80" i="132"/>
  <c r="BH63" i="132"/>
  <c r="BH61" i="132"/>
  <c r="BH79" i="131"/>
  <c r="BH76" i="131"/>
  <c r="BH80" i="130"/>
  <c r="BH82" i="130"/>
  <c r="BH68" i="130"/>
  <c r="BH64" i="130"/>
  <c r="BH75" i="130"/>
  <c r="Q75" i="130" s="1"/>
  <c r="BH68" i="132"/>
  <c r="BH82" i="132"/>
  <c r="BH62" i="132"/>
  <c r="BH64" i="131"/>
  <c r="BH78" i="130"/>
  <c r="Q78" i="130" s="1"/>
  <c r="BH61" i="130"/>
  <c r="BH70" i="130"/>
  <c r="BH63" i="130"/>
  <c r="BH70" i="132"/>
  <c r="BH73" i="130"/>
  <c r="BH69" i="131"/>
  <c r="BH69" i="132"/>
  <c r="BH77" i="130"/>
  <c r="Q77" i="130" s="1"/>
  <c r="BH75" i="131"/>
  <c r="BH77" i="131"/>
  <c r="BH78" i="131"/>
  <c r="BH69" i="130"/>
  <c r="BH62" i="130"/>
  <c r="BH81" i="132"/>
  <c r="BH76" i="130"/>
  <c r="Q76" i="130" s="1"/>
  <c r="BH65" i="132"/>
  <c r="BH67" i="132"/>
  <c r="BH44" i="131"/>
  <c r="CA85" i="126"/>
  <c r="CA58" i="127"/>
  <c r="CV57" i="126"/>
  <c r="CV55" i="126"/>
  <c r="CV85" i="126"/>
  <c r="CA83" i="126"/>
  <c r="CA55" i="126"/>
  <c r="CV84" i="127"/>
  <c r="CV56" i="127"/>
  <c r="CV83" i="126"/>
  <c r="CA56" i="127"/>
  <c r="CV58" i="127"/>
  <c r="CA57" i="126"/>
  <c r="CA84" i="127"/>
  <c r="CA83" i="110"/>
  <c r="CA55" i="127"/>
  <c r="CV58" i="126"/>
  <c r="CV83" i="127"/>
  <c r="CA84" i="126"/>
  <c r="CV55" i="127"/>
  <c r="CV57" i="127"/>
  <c r="CA65" i="126"/>
  <c r="CV56" i="126"/>
  <c r="CA56" i="110"/>
  <c r="CA58" i="110"/>
  <c r="CA58" i="126"/>
  <c r="CA65" i="127"/>
  <c r="CV84" i="110"/>
  <c r="CA84" i="110"/>
  <c r="CA65" i="110"/>
  <c r="CV85" i="110"/>
  <c r="CV85" i="127"/>
  <c r="CA56" i="126"/>
  <c r="CV84" i="126"/>
  <c r="CV65" i="127"/>
  <c r="CV55" i="110"/>
  <c r="CA85" i="110"/>
  <c r="CA85" i="127"/>
  <c r="CV83" i="110"/>
  <c r="CV65" i="110"/>
  <c r="CV65" i="126"/>
  <c r="CA57" i="110"/>
  <c r="CA57" i="127"/>
  <c r="CA83" i="127"/>
  <c r="CV57" i="110"/>
  <c r="CV56" i="110"/>
  <c r="CV58" i="110"/>
  <c r="CA55" i="110"/>
  <c r="CV47" i="126"/>
  <c r="CA47" i="110"/>
  <c r="CV47" i="110"/>
  <c r="CA47" i="127"/>
  <c r="CV47" i="127"/>
  <c r="CA47" i="126"/>
  <c r="CA59" i="127"/>
  <c r="CA59" i="126"/>
  <c r="CA61" i="126"/>
  <c r="CA63" i="127"/>
  <c r="CA70" i="126"/>
  <c r="CV60" i="126"/>
  <c r="CA66" i="110"/>
  <c r="CV66" i="110"/>
  <c r="CV70" i="127"/>
  <c r="CA75" i="110"/>
  <c r="CA75" i="126"/>
  <c r="CV59" i="127"/>
  <c r="CV67" i="126"/>
  <c r="CV63" i="126"/>
  <c r="CA60" i="126"/>
  <c r="CA62" i="126"/>
  <c r="CA62" i="110"/>
  <c r="CV67" i="127"/>
  <c r="CA67" i="126"/>
  <c r="CA79" i="126"/>
  <c r="CV70" i="126"/>
  <c r="CV66" i="127"/>
  <c r="CA68" i="126"/>
  <c r="CV62" i="126"/>
  <c r="CV62" i="110"/>
  <c r="CV78" i="110"/>
  <c r="CA80" i="127"/>
  <c r="CA71" i="127"/>
  <c r="CV73" i="127"/>
  <c r="CV74" i="126"/>
  <c r="CV67" i="110"/>
  <c r="CA61" i="127"/>
  <c r="CA75" i="127"/>
  <c r="CV68" i="110"/>
  <c r="CA78" i="126"/>
  <c r="CA70" i="127"/>
  <c r="CV68" i="126"/>
  <c r="CA78" i="110"/>
  <c r="CV80" i="127"/>
  <c r="CV80" i="110"/>
  <c r="CA80" i="110"/>
  <c r="CA64" i="126"/>
  <c r="CA64" i="127"/>
  <c r="CV64" i="127"/>
  <c r="CA81" i="127"/>
  <c r="CA69" i="127"/>
  <c r="CA71" i="110"/>
  <c r="CV71" i="127"/>
  <c r="CA73" i="127"/>
  <c r="CA72" i="126"/>
  <c r="CA59" i="110"/>
  <c r="CA63" i="110"/>
  <c r="CA79" i="127"/>
  <c r="CV59" i="126"/>
  <c r="CA67" i="127"/>
  <c r="CV63" i="127"/>
  <c r="CA63" i="126"/>
  <c r="CV79" i="126"/>
  <c r="CV75" i="110"/>
  <c r="CA66" i="127"/>
  <c r="CV64" i="126"/>
  <c r="CV71" i="110"/>
  <c r="CV76" i="126"/>
  <c r="CA82" i="126"/>
  <c r="CV61" i="127"/>
  <c r="CA68" i="127"/>
  <c r="CV62" i="127"/>
  <c r="CV78" i="127"/>
  <c r="CV81" i="126"/>
  <c r="CV61" i="126"/>
  <c r="CA74" i="126"/>
  <c r="CV59" i="110"/>
  <c r="CA70" i="110"/>
  <c r="CV70" i="110"/>
  <c r="CV75" i="127"/>
  <c r="CV60" i="127"/>
  <c r="CA66" i="126"/>
  <c r="CA62" i="127"/>
  <c r="CV75" i="126"/>
  <c r="CA76" i="126"/>
  <c r="CV82" i="126"/>
  <c r="CA67" i="110"/>
  <c r="CV61" i="110"/>
  <c r="CV79" i="127"/>
  <c r="CV79" i="110"/>
  <c r="CA79" i="110"/>
  <c r="CV60" i="110"/>
  <c r="CA60" i="127"/>
  <c r="CV66" i="126"/>
  <c r="CV72" i="126"/>
  <c r="CV63" i="110"/>
  <c r="CA68" i="110"/>
  <c r="CV80" i="126"/>
  <c r="CA64" i="110"/>
  <c r="CV81" i="110"/>
  <c r="CA81" i="126"/>
  <c r="CA69" i="126"/>
  <c r="CA73" i="126"/>
  <c r="CV73" i="126"/>
  <c r="CV74" i="110"/>
  <c r="CA74" i="127"/>
  <c r="CA54" i="126"/>
  <c r="CV49" i="127"/>
  <c r="CA50" i="127"/>
  <c r="CA49" i="110"/>
  <c r="CV51" i="127"/>
  <c r="CA52" i="110"/>
  <c r="CA53" i="110"/>
  <c r="CV89" i="126"/>
  <c r="CA93" i="127"/>
  <c r="CA53" i="127"/>
  <c r="CA60" i="110"/>
  <c r="CA80" i="126"/>
  <c r="CA81" i="110"/>
  <c r="CA69" i="110"/>
  <c r="CV69" i="110"/>
  <c r="CA71" i="126"/>
  <c r="CA73" i="110"/>
  <c r="CV76" i="110"/>
  <c r="CA76" i="127"/>
  <c r="CV82" i="110"/>
  <c r="CA82" i="110"/>
  <c r="CA82" i="127"/>
  <c r="CA72" i="127"/>
  <c r="CV72" i="110"/>
  <c r="CA46" i="126"/>
  <c r="CA51" i="126"/>
  <c r="CA54" i="127"/>
  <c r="CV53" i="126"/>
  <c r="CA46" i="127"/>
  <c r="CV48" i="110"/>
  <c r="CV50" i="127"/>
  <c r="CA93" i="126"/>
  <c r="CV93" i="126"/>
  <c r="CV69" i="127"/>
  <c r="CA78" i="127"/>
  <c r="CV76" i="127"/>
  <c r="CV82" i="127"/>
  <c r="CA72" i="110"/>
  <c r="CV89" i="127"/>
  <c r="CV54" i="126"/>
  <c r="CV51" i="126"/>
  <c r="CV54" i="127"/>
  <c r="CA49" i="127"/>
  <c r="CV46" i="127"/>
  <c r="CA48" i="110"/>
  <c r="CV49" i="110"/>
  <c r="CV81" i="127"/>
  <c r="CV68" i="127"/>
  <c r="CV64" i="110"/>
  <c r="CV71" i="126"/>
  <c r="CV52" i="126"/>
  <c r="CA48" i="127"/>
  <c r="CV50" i="126"/>
  <c r="CA51" i="110"/>
  <c r="CA48" i="126"/>
  <c r="CA89" i="126"/>
  <c r="CV93" i="127"/>
  <c r="CV52" i="110"/>
  <c r="CV49" i="126"/>
  <c r="CV48" i="126"/>
  <c r="CV54" i="110"/>
  <c r="CV78" i="126"/>
  <c r="CA76" i="110"/>
  <c r="CV72" i="127"/>
  <c r="CV74" i="127"/>
  <c r="CA92" i="127"/>
  <c r="CV53" i="110"/>
  <c r="CV51" i="110"/>
  <c r="CV92" i="126"/>
  <c r="CV50" i="110"/>
  <c r="CV73" i="110"/>
  <c r="CA50" i="110"/>
  <c r="CA61" i="110"/>
  <c r="CV69" i="126"/>
  <c r="CA74" i="110"/>
  <c r="CA89" i="127"/>
  <c r="CV46" i="126"/>
  <c r="CA53" i="126"/>
  <c r="CV92" i="127"/>
  <c r="CV48" i="127"/>
  <c r="CA50" i="126"/>
  <c r="CA49" i="126"/>
  <c r="CA52" i="127"/>
  <c r="CA54" i="110"/>
  <c r="CV53" i="127"/>
  <c r="CA52" i="126"/>
  <c r="CA51" i="127"/>
  <c r="CV52" i="127"/>
  <c r="CA92" i="126"/>
  <c r="CV77" i="127"/>
  <c r="CA87" i="127"/>
  <c r="CV96" i="127"/>
  <c r="CA96" i="126"/>
  <c r="CV96" i="126"/>
  <c r="CV88" i="126"/>
  <c r="CA96" i="127"/>
  <c r="CA87" i="126"/>
  <c r="CV95" i="127"/>
  <c r="CA88" i="126"/>
  <c r="CA95" i="126"/>
  <c r="CA77" i="127"/>
  <c r="CA77" i="110"/>
  <c r="CA77" i="126"/>
  <c r="CV77" i="126"/>
  <c r="CV87" i="127"/>
  <c r="CV87" i="126"/>
  <c r="CV77" i="110"/>
  <c r="CA95" i="127"/>
  <c r="CV95" i="126"/>
  <c r="CV88" i="127"/>
  <c r="CA88" i="127"/>
  <c r="CA43" i="127"/>
  <c r="CV43" i="126"/>
  <c r="CA43" i="126"/>
  <c r="CV43" i="127"/>
  <c r="CV90" i="127"/>
  <c r="CB6" i="126"/>
  <c r="CU45" i="110"/>
  <c r="CD23" i="110"/>
  <c r="CD23" i="126"/>
  <c r="CD23" i="127"/>
  <c r="CD33" i="127"/>
  <c r="CD33" i="126"/>
  <c r="CD33" i="110"/>
  <c r="CD20" i="110"/>
  <c r="CD20" i="127"/>
  <c r="CD20" i="126"/>
  <c r="CD12" i="127"/>
  <c r="CD12" i="126"/>
  <c r="CD22" i="127"/>
  <c r="CD21" i="127"/>
  <c r="CD21" i="110"/>
  <c r="CD21" i="126"/>
  <c r="CD32" i="127"/>
  <c r="CD31" i="126"/>
  <c r="CD27" i="126"/>
  <c r="CD38" i="126"/>
  <c r="CD38" i="127"/>
  <c r="CD22" i="126"/>
  <c r="CD8" i="127"/>
  <c r="CD37" i="126"/>
  <c r="CD32" i="126"/>
  <c r="CD40" i="127"/>
  <c r="CD8" i="126"/>
  <c r="CD22" i="110"/>
  <c r="CD15" i="126"/>
  <c r="CD15" i="127"/>
  <c r="CD27" i="127"/>
  <c r="CD14" i="127"/>
  <c r="CD40" i="126"/>
  <c r="CD31" i="127"/>
  <c r="CD37" i="127"/>
  <c r="CD14" i="126"/>
  <c r="CD34" i="127"/>
  <c r="CD34" i="126"/>
  <c r="CD30" i="126"/>
  <c r="CD29" i="127"/>
  <c r="CD42" i="126"/>
  <c r="CD18" i="126"/>
  <c r="CD10" i="126"/>
  <c r="CD28" i="126"/>
  <c r="CD39" i="127"/>
  <c r="CD42" i="127"/>
  <c r="CD10" i="127"/>
  <c r="CD11" i="126"/>
  <c r="CD17" i="127"/>
  <c r="CD39" i="126"/>
  <c r="CD28" i="127"/>
  <c r="CD30" i="127"/>
  <c r="CD11" i="127"/>
  <c r="CD18" i="127"/>
  <c r="CD29" i="126"/>
  <c r="CD17" i="126"/>
  <c r="CD9" i="127"/>
  <c r="CD9" i="126"/>
  <c r="CD25" i="126"/>
  <c r="CD36" i="127"/>
  <c r="CD25" i="127"/>
  <c r="CD26" i="127"/>
  <c r="CD26" i="126"/>
  <c r="CD36" i="126"/>
  <c r="BH43" i="110"/>
  <c r="BH23" i="110"/>
  <c r="BH23" i="126"/>
  <c r="BH23" i="127"/>
  <c r="BH85" i="126"/>
  <c r="BH58" i="127"/>
  <c r="BH57" i="126"/>
  <c r="BH83" i="126"/>
  <c r="BH55" i="126"/>
  <c r="BH56" i="127"/>
  <c r="BH84" i="127"/>
  <c r="BH65" i="126"/>
  <c r="BH55" i="127"/>
  <c r="BH83" i="127"/>
  <c r="BH85" i="127"/>
  <c r="BH84" i="126"/>
  <c r="BH57" i="127"/>
  <c r="BH58" i="126"/>
  <c r="BH56" i="126"/>
  <c r="BH83" i="110"/>
  <c r="BH85" i="110"/>
  <c r="BH56" i="110"/>
  <c r="BH84" i="110"/>
  <c r="BH57" i="110"/>
  <c r="BH65" i="110"/>
  <c r="BH58" i="110"/>
  <c r="BH55" i="110"/>
  <c r="BH65" i="127"/>
  <c r="BH20" i="110"/>
  <c r="BH20" i="126"/>
  <c r="BH20" i="127"/>
  <c r="BH12" i="126"/>
  <c r="BH12" i="127"/>
  <c r="BH22" i="126"/>
  <c r="BH22" i="127"/>
  <c r="BH21" i="127"/>
  <c r="BH21" i="110"/>
  <c r="BH21" i="126"/>
  <c r="BH47" i="127"/>
  <c r="BH47" i="110"/>
  <c r="BH47" i="126"/>
  <c r="BH22" i="110"/>
  <c r="BH32" i="127"/>
  <c r="Z32" i="127" s="1"/>
  <c r="BH15" i="126"/>
  <c r="BH38" i="127"/>
  <c r="Z38" i="127" s="1"/>
  <c r="BH15" i="127"/>
  <c r="BH14" i="127"/>
  <c r="BH14" i="126"/>
  <c r="BH13" i="126" s="1"/>
  <c r="BH59" i="127"/>
  <c r="BH59" i="126"/>
  <c r="BH67" i="127"/>
  <c r="BH67" i="126"/>
  <c r="BH63" i="126"/>
  <c r="BH79" i="126"/>
  <c r="BH70" i="126"/>
  <c r="BH60" i="126"/>
  <c r="BH62" i="126"/>
  <c r="BH62" i="110"/>
  <c r="BH80" i="127"/>
  <c r="BH70" i="127"/>
  <c r="BH66" i="127"/>
  <c r="BH63" i="127"/>
  <c r="BH75" i="126"/>
  <c r="BH78" i="110"/>
  <c r="BH69" i="127"/>
  <c r="BH71" i="127"/>
  <c r="BH73" i="127"/>
  <c r="BH76" i="126"/>
  <c r="BH63" i="110"/>
  <c r="BH70" i="110"/>
  <c r="BH68" i="127"/>
  <c r="BH62" i="127"/>
  <c r="BH66" i="110"/>
  <c r="BH68" i="126"/>
  <c r="BH72" i="126"/>
  <c r="BH74" i="126"/>
  <c r="BH61" i="126"/>
  <c r="BH80" i="110"/>
  <c r="BH75" i="110"/>
  <c r="BH61" i="127"/>
  <c r="BH79" i="127"/>
  <c r="BH79" i="110"/>
  <c r="BH75" i="127"/>
  <c r="BH60" i="110"/>
  <c r="BH64" i="110"/>
  <c r="BH64" i="127"/>
  <c r="BH81" i="127"/>
  <c r="BH82" i="126"/>
  <c r="BH60" i="127"/>
  <c r="BH64" i="126"/>
  <c r="BH71" i="110"/>
  <c r="BH59" i="110"/>
  <c r="BH67" i="110"/>
  <c r="BH61" i="110"/>
  <c r="BH66" i="126"/>
  <c r="BH68" i="110"/>
  <c r="BH78" i="127"/>
  <c r="BH72" i="110"/>
  <c r="BH74" i="127"/>
  <c r="BH54" i="126"/>
  <c r="Z54" i="126" s="1"/>
  <c r="BH51" i="126"/>
  <c r="BH54" i="127"/>
  <c r="BH53" i="126"/>
  <c r="BH50" i="126"/>
  <c r="BH80" i="126"/>
  <c r="BH81" i="110"/>
  <c r="BH73" i="126"/>
  <c r="BH76" i="127"/>
  <c r="BH46" i="126"/>
  <c r="BH49" i="127"/>
  <c r="BH50" i="127"/>
  <c r="BH51" i="127"/>
  <c r="BH78" i="126"/>
  <c r="BH81" i="126"/>
  <c r="BH71" i="126"/>
  <c r="BH73" i="110"/>
  <c r="BH76" i="110"/>
  <c r="BH74" i="110"/>
  <c r="BH89" i="127"/>
  <c r="BH52" i="126"/>
  <c r="BH92" i="127"/>
  <c r="BH49" i="110"/>
  <c r="BH52" i="110"/>
  <c r="BH69" i="110"/>
  <c r="BH82" i="127"/>
  <c r="BH53" i="110"/>
  <c r="BH46" i="127"/>
  <c r="BH89" i="126"/>
  <c r="BH53" i="127"/>
  <c r="BH72" i="127"/>
  <c r="BH48" i="127"/>
  <c r="BH93" i="126"/>
  <c r="BH52" i="127"/>
  <c r="BH93" i="127"/>
  <c r="BH82" i="110"/>
  <c r="BH92" i="126"/>
  <c r="BH49" i="126"/>
  <c r="BH48" i="126"/>
  <c r="BH50" i="110"/>
  <c r="BH69" i="126"/>
  <c r="BH48" i="110"/>
  <c r="BH51" i="110"/>
  <c r="BH77" i="126"/>
  <c r="BH95" i="126"/>
  <c r="BH96" i="126"/>
  <c r="BH88" i="127"/>
  <c r="BH77" i="127"/>
  <c r="BH77" i="110"/>
  <c r="BH87" i="127"/>
  <c r="BH96" i="127"/>
  <c r="BH87" i="126"/>
  <c r="BH95" i="127"/>
  <c r="BH88" i="126"/>
  <c r="BH30" i="126"/>
  <c r="BH17" i="126"/>
  <c r="BH29" i="127"/>
  <c r="BH17" i="127"/>
  <c r="BH39" i="127"/>
  <c r="BH42" i="126"/>
  <c r="BH18" i="126"/>
  <c r="BH30" i="127"/>
  <c r="BH11" i="127"/>
  <c r="BH10" i="126"/>
  <c r="BH29" i="126"/>
  <c r="BH28" i="126"/>
  <c r="BH28" i="127"/>
  <c r="BH11" i="126"/>
  <c r="BH10" i="127"/>
  <c r="BH39" i="126"/>
  <c r="BH42" i="127"/>
  <c r="BH18" i="127"/>
  <c r="BH9" i="126"/>
  <c r="BH37" i="127"/>
  <c r="Z37" i="127" s="1"/>
  <c r="BH27" i="127"/>
  <c r="Z27" i="127" s="1"/>
  <c r="BH8" i="127"/>
  <c r="BH9" i="127"/>
  <c r="BH36" i="126"/>
  <c r="BH35" i="126" s="1"/>
  <c r="BH43" i="126"/>
  <c r="BH26" i="126"/>
  <c r="BH33" i="127"/>
  <c r="Z33" i="127" s="1"/>
  <c r="BH34" i="127"/>
  <c r="Z34" i="127" s="1"/>
  <c r="BH36" i="127"/>
  <c r="BH25" i="127"/>
  <c r="BH26" i="127"/>
  <c r="BH43" i="127"/>
  <c r="BH25" i="126"/>
  <c r="AK39" i="131"/>
  <c r="AK39" i="130"/>
  <c r="AL23" i="127"/>
  <c r="AL23" i="110"/>
  <c r="AK39" i="132"/>
  <c r="AL23" i="126"/>
  <c r="AL58" i="127"/>
  <c r="AK60" i="131"/>
  <c r="AK60" i="132"/>
  <c r="AL84" i="127"/>
  <c r="AL56" i="127"/>
  <c r="AL83" i="126"/>
  <c r="AK67" i="132"/>
  <c r="AK59" i="131"/>
  <c r="AK58" i="131"/>
  <c r="AK57" i="131"/>
  <c r="AK86" i="130"/>
  <c r="AK57" i="130"/>
  <c r="AK67" i="130"/>
  <c r="AK67" i="131"/>
  <c r="AK57" i="132"/>
  <c r="AK58" i="132"/>
  <c r="AK85" i="132"/>
  <c r="AK87" i="132"/>
  <c r="AK86" i="132"/>
  <c r="AK86" i="131"/>
  <c r="AK87" i="131"/>
  <c r="AK59" i="132"/>
  <c r="AK58" i="130"/>
  <c r="AK87" i="130"/>
  <c r="AK85" i="131"/>
  <c r="AK85" i="130"/>
  <c r="AK60" i="130"/>
  <c r="AL57" i="126"/>
  <c r="AK59" i="130"/>
  <c r="AL57" i="127"/>
  <c r="AL85" i="126"/>
  <c r="AL84" i="110"/>
  <c r="AL55" i="126"/>
  <c r="AL83" i="127"/>
  <c r="AL65" i="126"/>
  <c r="AL85" i="110"/>
  <c r="AL56" i="110"/>
  <c r="AL56" i="126"/>
  <c r="AL65" i="127"/>
  <c r="AL83" i="110"/>
  <c r="AL55" i="127"/>
  <c r="AL58" i="126"/>
  <c r="AL84" i="126"/>
  <c r="AL57" i="110"/>
  <c r="AL85" i="127"/>
  <c r="AL65" i="110"/>
  <c r="AL55" i="110"/>
  <c r="AL58" i="110"/>
  <c r="AK45" i="132"/>
  <c r="AL20" i="126"/>
  <c r="AK45" i="130"/>
  <c r="AK45" i="131"/>
  <c r="AL20" i="127"/>
  <c r="AL20" i="110"/>
  <c r="AL22" i="126"/>
  <c r="AL22" i="110"/>
  <c r="AL22" i="127"/>
  <c r="AL21" i="110"/>
  <c r="AL21" i="126"/>
  <c r="AL21" i="127"/>
  <c r="AK49" i="131"/>
  <c r="AK49" i="132"/>
  <c r="AL47" i="127"/>
  <c r="AK49" i="130"/>
  <c r="AL47" i="126"/>
  <c r="AL47" i="110"/>
  <c r="AL15" i="127"/>
  <c r="AL12" i="127"/>
  <c r="AL32" i="126"/>
  <c r="Y32" i="126" s="1"/>
  <c r="AK62" i="131"/>
  <c r="AL12" i="126"/>
  <c r="AL14" i="126"/>
  <c r="AK80" i="131"/>
  <c r="AL38" i="127"/>
  <c r="AK77" i="132"/>
  <c r="AK81" i="131"/>
  <c r="AL14" i="127"/>
  <c r="AK78" i="132"/>
  <c r="AL38" i="126"/>
  <c r="Y38" i="126" s="1"/>
  <c r="AL32" i="127"/>
  <c r="AL15" i="126"/>
  <c r="AK76" i="132"/>
  <c r="AK75" i="132"/>
  <c r="AK69" i="131"/>
  <c r="AK56" i="131"/>
  <c r="AL70" i="127"/>
  <c r="AK64" i="131"/>
  <c r="AL67" i="127"/>
  <c r="AL70" i="126"/>
  <c r="AK72" i="131"/>
  <c r="AL60" i="126"/>
  <c r="AL67" i="126"/>
  <c r="AL61" i="126"/>
  <c r="AL63" i="127"/>
  <c r="AK50" i="130"/>
  <c r="AL64" i="127"/>
  <c r="AK66" i="130"/>
  <c r="AK52" i="130"/>
  <c r="AK83" i="131"/>
  <c r="AK77" i="130"/>
  <c r="AK54" i="130"/>
  <c r="AL63" i="126"/>
  <c r="AL79" i="126"/>
  <c r="AK53" i="131"/>
  <c r="AL75" i="110"/>
  <c r="AL62" i="126"/>
  <c r="AL78" i="110"/>
  <c r="AL59" i="126"/>
  <c r="AK52" i="132"/>
  <c r="AL81" i="127"/>
  <c r="AK83" i="132"/>
  <c r="AK71" i="131"/>
  <c r="AL71" i="110"/>
  <c r="AK73" i="132"/>
  <c r="AL73" i="127"/>
  <c r="AK74" i="132"/>
  <c r="AL79" i="110"/>
  <c r="AK55" i="131"/>
  <c r="AL78" i="127"/>
  <c r="AL75" i="126"/>
  <c r="AL68" i="126"/>
  <c r="AL62" i="110"/>
  <c r="AL64" i="126"/>
  <c r="AK71" i="132"/>
  <c r="AL76" i="126"/>
  <c r="AK51" i="131"/>
  <c r="AK84" i="130"/>
  <c r="AL72" i="126"/>
  <c r="AK54" i="132"/>
  <c r="AK54" i="131"/>
  <c r="AL61" i="110"/>
  <c r="AL61" i="127"/>
  <c r="AL59" i="127"/>
  <c r="AK55" i="130"/>
  <c r="AK55" i="132"/>
  <c r="AL80" i="110"/>
  <c r="AL66" i="110"/>
  <c r="AL66" i="127"/>
  <c r="AK56" i="132"/>
  <c r="AL67" i="110"/>
  <c r="AK50" i="131"/>
  <c r="AL66" i="126"/>
  <c r="AL68" i="127"/>
  <c r="AL69" i="126"/>
  <c r="AK71" i="130"/>
  <c r="AL80" i="127"/>
  <c r="AL69" i="127"/>
  <c r="AL82" i="126"/>
  <c r="AK84" i="132"/>
  <c r="AL75" i="127"/>
  <c r="AL62" i="127"/>
  <c r="AK51" i="130"/>
  <c r="AK74" i="130"/>
  <c r="AL74" i="126"/>
  <c r="AL59" i="110"/>
  <c r="AK56" i="130"/>
  <c r="P56" i="130" s="1"/>
  <c r="N56" i="130" s="1"/>
  <c r="N56" i="118" s="1"/>
  <c r="AL63" i="110"/>
  <c r="AL79" i="127"/>
  <c r="AK53" i="130"/>
  <c r="AL70" i="110"/>
  <c r="AK72" i="130"/>
  <c r="AK50" i="132"/>
  <c r="AL60" i="110"/>
  <c r="AL60" i="127"/>
  <c r="AL78" i="126"/>
  <c r="AK66" i="132"/>
  <c r="AL69" i="110"/>
  <c r="AK73" i="131"/>
  <c r="AL73" i="110"/>
  <c r="AL76" i="127"/>
  <c r="AL82" i="127"/>
  <c r="AK84" i="131"/>
  <c r="AL72" i="127"/>
  <c r="AK61" i="131"/>
  <c r="AL54" i="126"/>
  <c r="AL46" i="126"/>
  <c r="AL54" i="127"/>
  <c r="AL92" i="127"/>
  <c r="AL48" i="110"/>
  <c r="AL50" i="127"/>
  <c r="AL49" i="110"/>
  <c r="AL92" i="126"/>
  <c r="AL89" i="126"/>
  <c r="AL50" i="110"/>
  <c r="AL68" i="110"/>
  <c r="AL64" i="110"/>
  <c r="AL81" i="110"/>
  <c r="AK73" i="130"/>
  <c r="AL73" i="126"/>
  <c r="AK74" i="131"/>
  <c r="AK70" i="131"/>
  <c r="AL53" i="126"/>
  <c r="AL49" i="127"/>
  <c r="AL93" i="126"/>
  <c r="AL71" i="127"/>
  <c r="AK53" i="132"/>
  <c r="AL80" i="126"/>
  <c r="AK66" i="131"/>
  <c r="AK52" i="131"/>
  <c r="AL81" i="126"/>
  <c r="AL71" i="126"/>
  <c r="AL76" i="110"/>
  <c r="AK51" i="132"/>
  <c r="AL82" i="110"/>
  <c r="AL74" i="127"/>
  <c r="AK65" i="131"/>
  <c r="AL46" i="127"/>
  <c r="AL48" i="127"/>
  <c r="AL49" i="126"/>
  <c r="AL53" i="127"/>
  <c r="AK81" i="132"/>
  <c r="AK68" i="132"/>
  <c r="AK75" i="130"/>
  <c r="AK70" i="130"/>
  <c r="AK63" i="130"/>
  <c r="AK68" i="130"/>
  <c r="AL89" i="127"/>
  <c r="AL51" i="110"/>
  <c r="AK61" i="132"/>
  <c r="AK76" i="130"/>
  <c r="AK76" i="131"/>
  <c r="AK78" i="130"/>
  <c r="AK82" i="130"/>
  <c r="AK83" i="130"/>
  <c r="AK63" i="131"/>
  <c r="AL51" i="127"/>
  <c r="AL52" i="110"/>
  <c r="AL93" i="127"/>
  <c r="AK69" i="132"/>
  <c r="AK63" i="132"/>
  <c r="AK62" i="132"/>
  <c r="AK80" i="132"/>
  <c r="AK69" i="130"/>
  <c r="AK80" i="130"/>
  <c r="AK61" i="130"/>
  <c r="AK72" i="132"/>
  <c r="AL53" i="110"/>
  <c r="AL48" i="126"/>
  <c r="AK68" i="131"/>
  <c r="AL72" i="110"/>
  <c r="AL74" i="110"/>
  <c r="AL52" i="126"/>
  <c r="AL50" i="126"/>
  <c r="AL52" i="127"/>
  <c r="AL54" i="110"/>
  <c r="Y54" i="110" s="1"/>
  <c r="AK65" i="132"/>
  <c r="AK70" i="132"/>
  <c r="AK64" i="132"/>
  <c r="AK79" i="132"/>
  <c r="AK82" i="132"/>
  <c r="AK75" i="131"/>
  <c r="AK77" i="131"/>
  <c r="AK78" i="131"/>
  <c r="AK81" i="130"/>
  <c r="AK65" i="130"/>
  <c r="AK62" i="130"/>
  <c r="AK79" i="130"/>
  <c r="AL51" i="126"/>
  <c r="AK82" i="131"/>
  <c r="AK64" i="130"/>
  <c r="AL77" i="110"/>
  <c r="AL87" i="127"/>
  <c r="AL87" i="126"/>
  <c r="AL77" i="127"/>
  <c r="AL77" i="126"/>
  <c r="AL95" i="127"/>
  <c r="AL88" i="127"/>
  <c r="AL96" i="127"/>
  <c r="AL96" i="126"/>
  <c r="AK79" i="131"/>
  <c r="AL88" i="126"/>
  <c r="AL95" i="126"/>
  <c r="AL18" i="127"/>
  <c r="AL17" i="127"/>
  <c r="AL42" i="127"/>
  <c r="AL11" i="126"/>
  <c r="AL42" i="126"/>
  <c r="AL17" i="126"/>
  <c r="AL18" i="126"/>
  <c r="AL11" i="127"/>
  <c r="AL37" i="127"/>
  <c r="AL28" i="127"/>
  <c r="AL9" i="126"/>
  <c r="AK44" i="131"/>
  <c r="AL39" i="126"/>
  <c r="AL27" i="127"/>
  <c r="AL39" i="127"/>
  <c r="AL8" i="126"/>
  <c r="Y8" i="126" s="1"/>
  <c r="AL37" i="126"/>
  <c r="Y37" i="126" s="1"/>
  <c r="AL28" i="126"/>
  <c r="AL8" i="127"/>
  <c r="AL9" i="127"/>
  <c r="AL27" i="126"/>
  <c r="Y27" i="126" s="1"/>
  <c r="AL29" i="127"/>
  <c r="AL29" i="126"/>
  <c r="AL30" i="127"/>
  <c r="AL30" i="126"/>
  <c r="AL34" i="127"/>
  <c r="AL26" i="126"/>
  <c r="AL34" i="126"/>
  <c r="Y34" i="126" s="1"/>
  <c r="R34" i="126" s="1"/>
  <c r="AL33" i="127"/>
  <c r="AL33" i="126"/>
  <c r="Y33" i="126" s="1"/>
  <c r="AL36" i="126"/>
  <c r="AL36" i="127"/>
  <c r="AL26" i="127"/>
  <c r="CA90" i="127"/>
  <c r="BF44" i="126"/>
  <c r="BF41" i="126" s="1"/>
  <c r="CU86" i="126"/>
  <c r="AL10" i="126"/>
  <c r="CW16" i="126"/>
  <c r="CD19" i="126"/>
  <c r="BD6" i="126"/>
  <c r="BD5" i="126" s="1"/>
  <c r="CD19" i="127"/>
  <c r="CX19" i="127"/>
  <c r="AK45" i="126"/>
  <c r="AK13" i="127"/>
  <c r="CU45" i="127"/>
  <c r="CW35" i="127"/>
  <c r="BG7" i="126"/>
  <c r="BG94" i="127"/>
  <c r="BG91" i="127"/>
  <c r="CC13" i="127"/>
  <c r="CW7" i="126"/>
  <c r="BF6" i="127"/>
  <c r="CV6" i="127"/>
  <c r="CA6" i="127"/>
  <c r="H27" i="136"/>
  <c r="H27" i="135"/>
  <c r="F29" i="136"/>
  <c r="F29" i="135"/>
  <c r="BX41" i="110"/>
  <c r="BC41" i="110"/>
  <c r="BE41" i="110"/>
  <c r="CS41" i="110"/>
  <c r="CS5" i="110" s="1"/>
  <c r="BB41" i="110"/>
  <c r="BD41" i="110"/>
  <c r="BW41" i="110"/>
  <c r="CR41" i="110"/>
  <c r="AL90" i="126"/>
  <c r="AH19" i="110"/>
  <c r="AH16" i="110" s="1"/>
  <c r="AH90" i="126"/>
  <c r="AH86" i="126" s="1"/>
  <c r="I16" i="110"/>
  <c r="AK90" i="126"/>
  <c r="AK86" i="126" s="1"/>
  <c r="AI90" i="126"/>
  <c r="AI86" i="126" s="1"/>
  <c r="AI44" i="126" s="1"/>
  <c r="AI41" i="126" s="1"/>
  <c r="K5" i="133"/>
  <c r="M4" i="133"/>
  <c r="AI90" i="110"/>
  <c r="AI86" i="110" s="1"/>
  <c r="AI44" i="110" s="1"/>
  <c r="AJ90" i="110"/>
  <c r="AJ86" i="110" s="1"/>
  <c r="AJ44" i="110" s="1"/>
  <c r="AH25" i="110"/>
  <c r="AH24" i="110" s="1"/>
  <c r="AL90" i="110"/>
  <c r="AJ19" i="126"/>
  <c r="AJ16" i="126" s="1"/>
  <c r="AL90" i="127"/>
  <c r="AK90" i="127"/>
  <c r="AK86" i="127" s="1"/>
  <c r="AG90" i="110"/>
  <c r="AG86" i="110" s="1"/>
  <c r="AG44" i="110" s="1"/>
  <c r="AG25" i="110"/>
  <c r="AG24" i="110" s="1"/>
  <c r="AJ19" i="127"/>
  <c r="AJ16" i="127" s="1"/>
  <c r="AK19" i="127"/>
  <c r="AK16" i="127" s="1"/>
  <c r="AK90" i="110"/>
  <c r="AK86" i="110" s="1"/>
  <c r="AI25" i="110"/>
  <c r="AI24" i="110" s="1"/>
  <c r="AL19" i="127"/>
  <c r="M5" i="133"/>
  <c r="BY6" i="110"/>
  <c r="I24" i="110"/>
  <c r="AK25" i="110"/>
  <c r="AK24" i="110" s="1"/>
  <c r="CT6" i="110"/>
  <c r="AL25" i="110"/>
  <c r="AG19" i="110"/>
  <c r="AG16" i="110" s="1"/>
  <c r="BE6" i="110"/>
  <c r="AI19" i="127"/>
  <c r="AI16" i="127" s="1"/>
  <c r="AJ19" i="110"/>
  <c r="AJ16" i="110" s="1"/>
  <c r="AJ6" i="110" s="1"/>
  <c r="AL19" i="110"/>
  <c r="AE5" i="110"/>
  <c r="L5" i="133"/>
  <c r="D44" i="125"/>
  <c r="BZ6" i="110"/>
  <c r="AI19" i="110"/>
  <c r="AI16" i="110" s="1"/>
  <c r="BC6" i="110"/>
  <c r="K4" i="133"/>
  <c r="D3" i="125" s="1"/>
  <c r="BW6" i="110"/>
  <c r="L4" i="133"/>
  <c r="AJ90" i="127"/>
  <c r="AJ86" i="127" s="1"/>
  <c r="AJ44" i="127" s="1"/>
  <c r="AJ41" i="127" s="1"/>
  <c r="I44" i="110"/>
  <c r="AI90" i="127"/>
  <c r="AI86" i="127" s="1"/>
  <c r="AH19" i="126"/>
  <c r="AH16" i="126" s="1"/>
  <c r="AI19" i="126"/>
  <c r="AI16" i="126" s="1"/>
  <c r="AK19" i="126"/>
  <c r="AK16" i="126" s="1"/>
  <c r="AL19" i="126"/>
  <c r="BD86" i="127"/>
  <c r="BX86" i="126"/>
  <c r="AH7" i="126"/>
  <c r="I44" i="126"/>
  <c r="L40" i="133"/>
  <c r="BD16" i="127"/>
  <c r="G44" i="110"/>
  <c r="G40" i="133"/>
  <c r="CT86" i="127"/>
  <c r="I24" i="127"/>
  <c r="AI25" i="127"/>
  <c r="AJ25" i="127"/>
  <c r="AJ24" i="127" s="1"/>
  <c r="AK25" i="127"/>
  <c r="AK24" i="127" s="1"/>
  <c r="AL25" i="127"/>
  <c r="AI7" i="127"/>
  <c r="BY86" i="127"/>
  <c r="I44" i="127"/>
  <c r="M40" i="133"/>
  <c r="BC86" i="126"/>
  <c r="BC16" i="126"/>
  <c r="CS86" i="126"/>
  <c r="I24" i="126"/>
  <c r="AI25" i="126"/>
  <c r="AI24" i="126" s="1"/>
  <c r="AJ25" i="126"/>
  <c r="AJ24" i="126" s="1"/>
  <c r="AL25" i="126"/>
  <c r="AK25" i="126"/>
  <c r="AK24" i="126" s="1"/>
  <c r="AH25" i="126"/>
  <c r="AH24" i="126" s="1"/>
  <c r="CS16" i="126"/>
  <c r="BX16" i="126"/>
  <c r="CT16" i="127"/>
  <c r="BY16" i="127"/>
  <c r="BF6" i="110"/>
  <c r="BD6" i="110"/>
  <c r="BX6" i="110"/>
  <c r="BB6" i="110"/>
  <c r="CA6" i="110"/>
  <c r="CV6" i="110"/>
  <c r="CB6" i="110"/>
  <c r="Y8" i="110"/>
  <c r="Q8" i="110" s="1"/>
  <c r="AN7" i="133" s="1"/>
  <c r="G4" i="133"/>
  <c r="C3" i="125" s="1"/>
  <c r="R33" i="110"/>
  <c r="C130" i="138" s="1"/>
  <c r="Q33" i="110"/>
  <c r="S33" i="110"/>
  <c r="C131" i="138" s="1"/>
  <c r="AK35" i="110"/>
  <c r="BG35" i="110"/>
  <c r="CD42" i="110"/>
  <c r="CD9" i="110"/>
  <c r="AK7" i="110"/>
  <c r="AL89" i="110"/>
  <c r="AK89" i="132"/>
  <c r="AL9" i="110"/>
  <c r="AK88" i="132"/>
  <c r="AL42" i="110"/>
  <c r="AK9" i="130"/>
  <c r="AK7" i="130"/>
  <c r="AK7" i="132"/>
  <c r="AK21" i="130"/>
  <c r="AK21" i="132"/>
  <c r="AK11" i="130"/>
  <c r="AK10" i="130"/>
  <c r="AK10" i="131"/>
  <c r="AK25" i="131"/>
  <c r="AL39" i="110"/>
  <c r="AL35" i="110" s="1"/>
  <c r="AK23" i="132"/>
  <c r="AK18" i="131"/>
  <c r="AK44" i="130"/>
  <c r="AK21" i="131"/>
  <c r="AK10" i="132"/>
  <c r="AK47" i="132"/>
  <c r="AL30" i="110"/>
  <c r="J9" i="109"/>
  <c r="AK31" i="132"/>
  <c r="AK43" i="132"/>
  <c r="AK96" i="132"/>
  <c r="AK91" i="132"/>
  <c r="AK17" i="131"/>
  <c r="AK4" i="131"/>
  <c r="P4" i="131" s="1"/>
  <c r="N4" i="131" s="1"/>
  <c r="O4" i="118" s="1"/>
  <c r="AL12" i="110"/>
  <c r="AK94" i="130"/>
  <c r="AK15" i="130"/>
  <c r="AK27" i="130"/>
  <c r="AK34" i="130"/>
  <c r="AK30" i="130"/>
  <c r="AL96" i="110"/>
  <c r="AK31" i="130"/>
  <c r="AK48" i="131"/>
  <c r="AK6" i="132"/>
  <c r="AK102" i="130"/>
  <c r="AK100" i="130"/>
  <c r="AK6" i="130"/>
  <c r="AK40" i="131"/>
  <c r="AK43" i="131"/>
  <c r="AK95" i="132"/>
  <c r="AK30" i="131"/>
  <c r="AK93" i="131"/>
  <c r="AK27" i="131"/>
  <c r="AK89" i="131"/>
  <c r="AK88" i="131"/>
  <c r="AK15" i="131"/>
  <c r="AK38" i="132"/>
  <c r="AK13" i="131"/>
  <c r="AK28" i="132"/>
  <c r="AK16" i="131"/>
  <c r="AK97" i="131"/>
  <c r="AK33" i="132"/>
  <c r="AL14" i="110"/>
  <c r="AK36" i="132"/>
  <c r="AK27" i="132"/>
  <c r="AL26" i="110"/>
  <c r="AK11" i="132"/>
  <c r="AK11" i="131"/>
  <c r="AK23" i="131"/>
  <c r="AK8" i="132"/>
  <c r="AK14" i="132"/>
  <c r="AL15" i="110"/>
  <c r="AK22" i="131"/>
  <c r="AK95" i="130"/>
  <c r="AK13" i="130"/>
  <c r="AL93" i="110"/>
  <c r="AK104" i="132"/>
  <c r="AK102" i="132"/>
  <c r="AK36" i="130"/>
  <c r="AK90" i="132"/>
  <c r="AK48" i="130"/>
  <c r="AK92" i="132"/>
  <c r="AK42" i="132"/>
  <c r="AL92" i="110"/>
  <c r="AK29" i="131"/>
  <c r="AK100" i="131"/>
  <c r="AK8" i="131"/>
  <c r="AK9" i="131"/>
  <c r="AL18" i="110"/>
  <c r="AK29" i="132"/>
  <c r="AK90" i="131"/>
  <c r="AK36" i="131"/>
  <c r="AK4" i="132"/>
  <c r="AK20" i="132"/>
  <c r="AK12" i="131"/>
  <c r="AK24" i="132"/>
  <c r="AK101" i="132"/>
  <c r="AK24" i="131"/>
  <c r="P24" i="131" s="1"/>
  <c r="N24" i="131" s="1"/>
  <c r="O24" i="118" s="1"/>
  <c r="AK91" i="130"/>
  <c r="AK16" i="132"/>
  <c r="AK32" i="130"/>
  <c r="AK98" i="132"/>
  <c r="AK38" i="130"/>
  <c r="AK40" i="130"/>
  <c r="AK91" i="131"/>
  <c r="AK95" i="131"/>
  <c r="AK42" i="131"/>
  <c r="AK41" i="132"/>
  <c r="AK37" i="132"/>
  <c r="AK18" i="132"/>
  <c r="AL10" i="110"/>
  <c r="AK23" i="130"/>
  <c r="AK48" i="132"/>
  <c r="AK103" i="132"/>
  <c r="AL17" i="110"/>
  <c r="AK92" i="130"/>
  <c r="AK16" i="130"/>
  <c r="AK97" i="132"/>
  <c r="AK35" i="130"/>
  <c r="AK19" i="130"/>
  <c r="AK104" i="131"/>
  <c r="AK35" i="131"/>
  <c r="AL95" i="110"/>
  <c r="AK34" i="131"/>
  <c r="AK37" i="131"/>
  <c r="AK92" i="131"/>
  <c r="AK33" i="131"/>
  <c r="AK17" i="132"/>
  <c r="AL29" i="110"/>
  <c r="AK9" i="132"/>
  <c r="AK22" i="132"/>
  <c r="AK93" i="132"/>
  <c r="AK93" i="130"/>
  <c r="AK17" i="130"/>
  <c r="AK89" i="130"/>
  <c r="AK29" i="130"/>
  <c r="AK96" i="130"/>
  <c r="AK43" i="130"/>
  <c r="AK99" i="130"/>
  <c r="AL88" i="110"/>
  <c r="AK99" i="131"/>
  <c r="AK19" i="131"/>
  <c r="AK32" i="132"/>
  <c r="AK94" i="131"/>
  <c r="AK5" i="132"/>
  <c r="AK7" i="131"/>
  <c r="AK30" i="132"/>
  <c r="AK42" i="130"/>
  <c r="AK97" i="130"/>
  <c r="AK37" i="130"/>
  <c r="AL11" i="110"/>
  <c r="AK96" i="131"/>
  <c r="AK31" i="131"/>
  <c r="AK5" i="131"/>
  <c r="AK28" i="131"/>
  <c r="AL46" i="110"/>
  <c r="AK44" i="132"/>
  <c r="AK25" i="132"/>
  <c r="AK19" i="132"/>
  <c r="AK14" i="131"/>
  <c r="AK41" i="130"/>
  <c r="AK22" i="130"/>
  <c r="AK90" i="130"/>
  <c r="AK5" i="130"/>
  <c r="AK100" i="132"/>
  <c r="AK102" i="131"/>
  <c r="AK41" i="131"/>
  <c r="AK18" i="130"/>
  <c r="AK25" i="130"/>
  <c r="AK12" i="132"/>
  <c r="AK15" i="132"/>
  <c r="AK99" i="132"/>
  <c r="AK94" i="132"/>
  <c r="AK88" i="130"/>
  <c r="AK28" i="130"/>
  <c r="AK104" i="130"/>
  <c r="AK14" i="130"/>
  <c r="AL28" i="110"/>
  <c r="AK103" i="131"/>
  <c r="AK13" i="132"/>
  <c r="AK32" i="131"/>
  <c r="AK40" i="132"/>
  <c r="AK12" i="130"/>
  <c r="AK20" i="131"/>
  <c r="AK47" i="131"/>
  <c r="P47" i="131" s="1"/>
  <c r="AK34" i="132"/>
  <c r="AK8" i="130"/>
  <c r="AK103" i="130"/>
  <c r="AK101" i="130"/>
  <c r="AK6" i="131"/>
  <c r="AK33" i="130"/>
  <c r="AL87" i="110"/>
  <c r="AK101" i="131"/>
  <c r="AK38" i="131"/>
  <c r="AK98" i="131"/>
  <c r="P98" i="131" s="1"/>
  <c r="N98" i="131" s="1"/>
  <c r="O98" i="118" s="1"/>
  <c r="AK35" i="132"/>
  <c r="CX42" i="110"/>
  <c r="CX9" i="110"/>
  <c r="BH89" i="110"/>
  <c r="BH9" i="110"/>
  <c r="BH42" i="110"/>
  <c r="CA89" i="110"/>
  <c r="CV89" i="110"/>
  <c r="BH88" i="132"/>
  <c r="BH89" i="132"/>
  <c r="AK16" i="110"/>
  <c r="AK13" i="110"/>
  <c r="AK91" i="110"/>
  <c r="CW16" i="110"/>
  <c r="BG16" i="110"/>
  <c r="CC16" i="110"/>
  <c r="BY44" i="110"/>
  <c r="BY41" i="110" s="1"/>
  <c r="BF44" i="110"/>
  <c r="BF41" i="110" s="1"/>
  <c r="CT44" i="110"/>
  <c r="CT41" i="110" s="1"/>
  <c r="D31" i="125"/>
  <c r="E31" i="125"/>
  <c r="C31" i="125"/>
  <c r="D18" i="125"/>
  <c r="C18" i="125"/>
  <c r="BG24" i="110"/>
  <c r="CW35" i="110"/>
  <c r="BG86" i="110"/>
  <c r="CW24" i="110"/>
  <c r="BG94" i="110"/>
  <c r="CX18" i="110"/>
  <c r="CX34" i="110"/>
  <c r="CX15" i="110"/>
  <c r="CX14" i="110"/>
  <c r="CX11" i="110"/>
  <c r="CX10" i="110"/>
  <c r="K15" i="109"/>
  <c r="CX17" i="110"/>
  <c r="CX32" i="110"/>
  <c r="CX39" i="110"/>
  <c r="CX37" i="110"/>
  <c r="CX28" i="110"/>
  <c r="CX31" i="110"/>
  <c r="CX38" i="110"/>
  <c r="CX8" i="110"/>
  <c r="CX12" i="110"/>
  <c r="CX30" i="110"/>
  <c r="CX29" i="110"/>
  <c r="CX40" i="110"/>
  <c r="CX27" i="110"/>
  <c r="CX25" i="110"/>
  <c r="CX26" i="110"/>
  <c r="CX19" i="110"/>
  <c r="CX36" i="110"/>
  <c r="CW7" i="110"/>
  <c r="CW13" i="110"/>
  <c r="BG7" i="110"/>
  <c r="CD26" i="110"/>
  <c r="CD19" i="110"/>
  <c r="BH18" i="132"/>
  <c r="BH18" i="130"/>
  <c r="BH18" i="131"/>
  <c r="CV46" i="110"/>
  <c r="CA46" i="110"/>
  <c r="CA90" i="110"/>
  <c r="CV90" i="110"/>
  <c r="BG13" i="110"/>
  <c r="BG91" i="110"/>
  <c r="BH46" i="110"/>
  <c r="BH29" i="110"/>
  <c r="BH10" i="110"/>
  <c r="BH17" i="110"/>
  <c r="BH92" i="110"/>
  <c r="BH87" i="110"/>
  <c r="BH28" i="110"/>
  <c r="BH18" i="110"/>
  <c r="BH90" i="110"/>
  <c r="BH30" i="110"/>
  <c r="BH39" i="110"/>
  <c r="BH95" i="110"/>
  <c r="BH93" i="110"/>
  <c r="BH26" i="110"/>
  <c r="K11" i="109"/>
  <c r="BH36" i="110"/>
  <c r="BH15" i="110"/>
  <c r="BH11" i="110"/>
  <c r="BH12" i="110"/>
  <c r="BH19" i="110"/>
  <c r="BH96" i="110"/>
  <c r="BH88" i="110"/>
  <c r="BH25" i="110"/>
  <c r="BH14" i="110"/>
  <c r="BZ94" i="110"/>
  <c r="CU94" i="110"/>
  <c r="CU86" i="110"/>
  <c r="BZ91" i="110"/>
  <c r="CC13" i="110"/>
  <c r="CC24" i="110"/>
  <c r="CC7" i="110"/>
  <c r="CC35" i="110"/>
  <c r="CU91" i="110"/>
  <c r="BZ86" i="110"/>
  <c r="C19" i="125"/>
  <c r="D19" i="125"/>
  <c r="C25" i="125"/>
  <c r="D25" i="125"/>
  <c r="S26" i="110"/>
  <c r="Q26" i="110"/>
  <c r="AN25" i="133" s="1"/>
  <c r="T26" i="110"/>
  <c r="U26" i="110"/>
  <c r="E37" i="125"/>
  <c r="D37" i="125"/>
  <c r="D50" i="125"/>
  <c r="I43" i="110"/>
  <c r="D24" i="125"/>
  <c r="CA92" i="110"/>
  <c r="CA88" i="110"/>
  <c r="CA93" i="110"/>
  <c r="CV87" i="110"/>
  <c r="CV93" i="110"/>
  <c r="CA87" i="110"/>
  <c r="CV96" i="110"/>
  <c r="CV95" i="110"/>
  <c r="CV88" i="110"/>
  <c r="CV92" i="110"/>
  <c r="CA96" i="110"/>
  <c r="CA95" i="110"/>
  <c r="CA43" i="110"/>
  <c r="CV43" i="110"/>
  <c r="J17" i="109"/>
  <c r="I19" i="109"/>
  <c r="BH6" i="132"/>
  <c r="L10" i="109"/>
  <c r="BH11" i="132"/>
  <c r="BH41" i="132"/>
  <c r="BH14" i="132"/>
  <c r="BH40" i="132"/>
  <c r="BH10" i="132"/>
  <c r="BH12" i="132"/>
  <c r="BH30" i="132"/>
  <c r="BH32" i="132"/>
  <c r="BH92" i="132"/>
  <c r="BH102" i="132"/>
  <c r="BH99" i="132"/>
  <c r="BH96" i="132"/>
  <c r="BH97" i="132"/>
  <c r="BH22" i="131"/>
  <c r="BH100" i="132"/>
  <c r="BH101" i="132"/>
  <c r="BH40" i="131"/>
  <c r="BH22" i="130"/>
  <c r="BH28" i="130"/>
  <c r="BH34" i="130"/>
  <c r="BH30" i="130"/>
  <c r="BH104" i="130"/>
  <c r="BH97" i="130"/>
  <c r="BH48" i="132"/>
  <c r="BH95" i="132"/>
  <c r="BH103" i="132"/>
  <c r="BH6" i="131"/>
  <c r="BH16" i="130"/>
  <c r="Q16" i="130" s="1"/>
  <c r="BH36" i="130"/>
  <c r="BH37" i="130"/>
  <c r="BH27" i="130"/>
  <c r="BH90" i="132"/>
  <c r="BH93" i="132"/>
  <c r="BH91" i="132"/>
  <c r="BH94" i="132"/>
  <c r="BH99" i="130"/>
  <c r="BH103" i="130"/>
  <c r="BH100" i="130"/>
  <c r="BH104" i="132"/>
  <c r="BH40" i="130"/>
  <c r="BH6" i="130"/>
  <c r="Q6" i="130" s="1"/>
  <c r="BH10" i="130"/>
  <c r="BH101" i="130"/>
  <c r="BH5" i="132"/>
  <c r="BH102" i="130"/>
  <c r="BH8" i="131"/>
  <c r="BH27" i="132"/>
  <c r="BH7" i="132"/>
  <c r="BH16" i="132"/>
  <c r="BH17" i="132"/>
  <c r="BH42" i="132"/>
  <c r="BH5" i="131"/>
  <c r="BH94" i="130"/>
  <c r="BH104" i="131"/>
  <c r="BH92" i="131"/>
  <c r="BH89" i="130"/>
  <c r="BH93" i="130"/>
  <c r="BH90" i="131"/>
  <c r="BH90" i="130"/>
  <c r="BH95" i="131"/>
  <c r="BH100" i="131"/>
  <c r="BH32" i="130"/>
  <c r="BH48" i="130"/>
  <c r="BH88" i="130"/>
  <c r="BH7" i="131"/>
  <c r="BH42" i="130"/>
  <c r="BH95" i="130"/>
  <c r="BH101" i="131"/>
  <c r="BH94" i="131"/>
  <c r="BH91" i="131"/>
  <c r="BH35" i="130"/>
  <c r="BH99" i="131"/>
  <c r="BH93" i="131"/>
  <c r="BH88" i="131"/>
  <c r="BH9" i="131"/>
  <c r="BH12" i="130"/>
  <c r="BH13" i="132"/>
  <c r="BH9" i="132"/>
  <c r="BH8" i="130"/>
  <c r="BH11" i="131"/>
  <c r="BH13" i="130"/>
  <c r="BH9" i="130"/>
  <c r="BH8" i="132"/>
  <c r="BH43" i="132"/>
  <c r="BH31" i="131"/>
  <c r="BH19" i="131"/>
  <c r="BH44" i="130"/>
  <c r="BH44" i="132"/>
  <c r="BH33" i="131"/>
  <c r="BH19" i="130"/>
  <c r="BH25" i="132"/>
  <c r="BH36" i="132"/>
  <c r="BH34" i="131"/>
  <c r="BH35" i="131"/>
  <c r="BH36" i="131"/>
  <c r="BH34" i="132"/>
  <c r="BH37" i="131"/>
  <c r="BH96" i="130"/>
  <c r="BH41" i="130"/>
  <c r="BH12" i="131"/>
  <c r="BH92" i="130"/>
  <c r="BH96" i="131"/>
  <c r="BH27" i="131"/>
  <c r="BH16" i="131"/>
  <c r="BH7" i="130"/>
  <c r="BH91" i="130"/>
  <c r="BH102" i="131"/>
  <c r="BH41" i="131"/>
  <c r="BH103" i="131"/>
  <c r="BH97" i="131"/>
  <c r="BH89" i="131"/>
  <c r="BH29" i="130"/>
  <c r="BH48" i="131"/>
  <c r="BH38" i="131"/>
  <c r="BH29" i="131"/>
  <c r="BH13" i="131"/>
  <c r="BH10" i="131"/>
  <c r="BH5" i="130"/>
  <c r="BH11" i="130"/>
  <c r="BH38" i="130"/>
  <c r="BH38" i="132"/>
  <c r="BH43" i="130"/>
  <c r="BH33" i="130"/>
  <c r="BH33" i="132"/>
  <c r="BH19" i="132"/>
  <c r="BH15" i="131"/>
  <c r="BH15" i="132"/>
  <c r="BH43" i="131"/>
  <c r="BH31" i="130"/>
  <c r="BH31" i="132"/>
  <c r="BH15" i="130"/>
  <c r="Q15" i="130" s="1"/>
  <c r="BH32" i="131"/>
  <c r="BH28" i="131"/>
  <c r="BH37" i="132"/>
  <c r="BH23" i="132"/>
  <c r="BH42" i="131"/>
  <c r="BH30" i="131"/>
  <c r="BH22" i="132"/>
  <c r="BH28" i="132"/>
  <c r="BH14" i="131"/>
  <c r="BH14" i="130"/>
  <c r="BH29" i="132"/>
  <c r="BH35" i="132"/>
  <c r="BH25" i="131"/>
  <c r="BH23" i="130"/>
  <c r="BH17" i="130"/>
  <c r="BH17" i="131"/>
  <c r="BH21" i="131"/>
  <c r="BH20" i="132"/>
  <c r="BH21" i="132"/>
  <c r="BH25" i="130"/>
  <c r="BH23" i="131"/>
  <c r="BH20" i="130"/>
  <c r="BH20" i="131"/>
  <c r="BH21" i="130"/>
  <c r="T16" i="109"/>
  <c r="L14" i="109"/>
  <c r="CD37" i="110"/>
  <c r="CD17" i="110"/>
  <c r="CD12" i="110"/>
  <c r="CD15" i="110"/>
  <c r="CD38" i="110"/>
  <c r="CD34" i="110"/>
  <c r="CD32" i="110"/>
  <c r="CD31" i="110"/>
  <c r="CD40" i="110"/>
  <c r="CD36" i="110"/>
  <c r="CD27" i="110"/>
  <c r="CD25" i="110"/>
  <c r="CD28" i="110"/>
  <c r="CD8" i="110"/>
  <c r="CD18" i="110"/>
  <c r="CD14" i="110"/>
  <c r="CD11" i="110"/>
  <c r="CD30" i="110"/>
  <c r="CD10" i="110"/>
  <c r="CD39" i="110"/>
  <c r="CD29" i="110"/>
  <c r="S34" i="110"/>
  <c r="C148" i="138" s="1"/>
  <c r="R34" i="110"/>
  <c r="C147" i="138" s="1"/>
  <c r="Q34" i="110"/>
  <c r="AN32" i="133" l="1"/>
  <c r="C129" i="138"/>
  <c r="BX5" i="110"/>
  <c r="BE5" i="110"/>
  <c r="Q34" i="126"/>
  <c r="AK44" i="127"/>
  <c r="AK41" i="127" s="1"/>
  <c r="BH94" i="127"/>
  <c r="CA91" i="126"/>
  <c r="CA94" i="127"/>
  <c r="CA86" i="127"/>
  <c r="BH86" i="127"/>
  <c r="CV86" i="126"/>
  <c r="BC5" i="110"/>
  <c r="AL45" i="110"/>
  <c r="BB5" i="110"/>
  <c r="BW5" i="110"/>
  <c r="BF5" i="127"/>
  <c r="CU44" i="126"/>
  <c r="CU41" i="126" s="1"/>
  <c r="CU5" i="126" s="1"/>
  <c r="BY5" i="126"/>
  <c r="BZ44" i="127"/>
  <c r="BZ41" i="127" s="1"/>
  <c r="BZ5" i="127" s="1"/>
  <c r="AN33" i="133"/>
  <c r="C146" i="138"/>
  <c r="CR5" i="110"/>
  <c r="AL24" i="127"/>
  <c r="CD16" i="126"/>
  <c r="CD13" i="127"/>
  <c r="CX13" i="126"/>
  <c r="CC6" i="127"/>
  <c r="CX7" i="127"/>
  <c r="BF5" i="126"/>
  <c r="CX7" i="126"/>
  <c r="BG6" i="127"/>
  <c r="AK44" i="126"/>
  <c r="AK41" i="126" s="1"/>
  <c r="CD16" i="127"/>
  <c r="CV91" i="127"/>
  <c r="CW6" i="127"/>
  <c r="CA86" i="126"/>
  <c r="AL94" i="126"/>
  <c r="CD13" i="126"/>
  <c r="S34" i="126"/>
  <c r="AL7" i="127"/>
  <c r="AL45" i="127"/>
  <c r="BH7" i="127"/>
  <c r="BH16" i="127"/>
  <c r="BH16" i="126"/>
  <c r="BZ44" i="126"/>
  <c r="BZ41" i="126" s="1"/>
  <c r="BZ5" i="126" s="1"/>
  <c r="CE23" i="127"/>
  <c r="CE23" i="110"/>
  <c r="CE23" i="126"/>
  <c r="CE33" i="127"/>
  <c r="CE33" i="126"/>
  <c r="CE33" i="110"/>
  <c r="CE20" i="127"/>
  <c r="CE20" i="126"/>
  <c r="CE20" i="110"/>
  <c r="CE12" i="127"/>
  <c r="CE12" i="126"/>
  <c r="CE21" i="127"/>
  <c r="CE21" i="126"/>
  <c r="CE21" i="110"/>
  <c r="CE37" i="127"/>
  <c r="CE14" i="126"/>
  <c r="CE31" i="126"/>
  <c r="CE31" i="127"/>
  <c r="CE22" i="126"/>
  <c r="CE22" i="110"/>
  <c r="CE22" i="127"/>
  <c r="CE40" i="127"/>
  <c r="CE8" i="126"/>
  <c r="CE38" i="126"/>
  <c r="CE38" i="127"/>
  <c r="CE40" i="126"/>
  <c r="CE37" i="126"/>
  <c r="CE32" i="127"/>
  <c r="CE8" i="127"/>
  <c r="CE27" i="126"/>
  <c r="CE14" i="127"/>
  <c r="CE32" i="126"/>
  <c r="CE15" i="126"/>
  <c r="CE15" i="127"/>
  <c r="CE27" i="127"/>
  <c r="CE34" i="126"/>
  <c r="CE34" i="127"/>
  <c r="CE42" i="127"/>
  <c r="CE29" i="126"/>
  <c r="CE18" i="127"/>
  <c r="CE28" i="127"/>
  <c r="CE28" i="126"/>
  <c r="CE11" i="126"/>
  <c r="CE29" i="127"/>
  <c r="CE18" i="126"/>
  <c r="CE10" i="127"/>
  <c r="CE30" i="126"/>
  <c r="CE30" i="127"/>
  <c r="CE39" i="126"/>
  <c r="CE11" i="127"/>
  <c r="CE17" i="127"/>
  <c r="CE10" i="126"/>
  <c r="CE39" i="127"/>
  <c r="CE42" i="126"/>
  <c r="CE17" i="126"/>
  <c r="CE9" i="127"/>
  <c r="CE9" i="126"/>
  <c r="CE25" i="126"/>
  <c r="CE36" i="127"/>
  <c r="CE36" i="126"/>
  <c r="CE25" i="127"/>
  <c r="CE26" i="126"/>
  <c r="CE26" i="127"/>
  <c r="CE19" i="127"/>
  <c r="CE19" i="126"/>
  <c r="BH45" i="127"/>
  <c r="CW85" i="126"/>
  <c r="CW58" i="127"/>
  <c r="CB55" i="126"/>
  <c r="CB85" i="126"/>
  <c r="CB58" i="127"/>
  <c r="CB57" i="126"/>
  <c r="CW55" i="126"/>
  <c r="CB84" i="127"/>
  <c r="CB56" i="127"/>
  <c r="CW57" i="126"/>
  <c r="CW83" i="126"/>
  <c r="CW56" i="127"/>
  <c r="CB83" i="126"/>
  <c r="CW55" i="127"/>
  <c r="CB55" i="127"/>
  <c r="CB65" i="126"/>
  <c r="CW57" i="127"/>
  <c r="CB83" i="127"/>
  <c r="CW58" i="126"/>
  <c r="CB85" i="127"/>
  <c r="CW84" i="127"/>
  <c r="CB57" i="127"/>
  <c r="CB65" i="127"/>
  <c r="CB84" i="110"/>
  <c r="CB65" i="110"/>
  <c r="CW83" i="110"/>
  <c r="CW65" i="110"/>
  <c r="CB58" i="110"/>
  <c r="CB57" i="110"/>
  <c r="CW65" i="127"/>
  <c r="CW85" i="110"/>
  <c r="CW65" i="126"/>
  <c r="CB58" i="126"/>
  <c r="CW85" i="127"/>
  <c r="CB84" i="126"/>
  <c r="CB83" i="110"/>
  <c r="CB85" i="110"/>
  <c r="CW57" i="110"/>
  <c r="CB55" i="110"/>
  <c r="CW55" i="110"/>
  <c r="CB56" i="126"/>
  <c r="CW58" i="110"/>
  <c r="CW84" i="126"/>
  <c r="CW84" i="110"/>
  <c r="CW83" i="127"/>
  <c r="CW56" i="126"/>
  <c r="CB56" i="110"/>
  <c r="CW56" i="110"/>
  <c r="CW47" i="110"/>
  <c r="CW47" i="126"/>
  <c r="CB47" i="110"/>
  <c r="CB47" i="126"/>
  <c r="CB47" i="127"/>
  <c r="CW47" i="127"/>
  <c r="CB59" i="127"/>
  <c r="CW67" i="127"/>
  <c r="CW67" i="126"/>
  <c r="CW61" i="126"/>
  <c r="CB63" i="127"/>
  <c r="CB79" i="126"/>
  <c r="CB70" i="126"/>
  <c r="CW70" i="126"/>
  <c r="CB70" i="127"/>
  <c r="CB75" i="126"/>
  <c r="CB75" i="110"/>
  <c r="CW60" i="126"/>
  <c r="CW59" i="127"/>
  <c r="CW59" i="126"/>
  <c r="CB59" i="126"/>
  <c r="CB67" i="127"/>
  <c r="CB61" i="126"/>
  <c r="CW75" i="126"/>
  <c r="CW75" i="110"/>
  <c r="CB60" i="126"/>
  <c r="CB66" i="127"/>
  <c r="CW66" i="127"/>
  <c r="CB68" i="126"/>
  <c r="CW68" i="126"/>
  <c r="CW62" i="126"/>
  <c r="CW62" i="110"/>
  <c r="CB78" i="110"/>
  <c r="CW78" i="110"/>
  <c r="CB80" i="110"/>
  <c r="CW80" i="110"/>
  <c r="CW69" i="127"/>
  <c r="CW63" i="127"/>
  <c r="CW63" i="126"/>
  <c r="CW79" i="126"/>
  <c r="CB62" i="126"/>
  <c r="CW73" i="127"/>
  <c r="CB76" i="126"/>
  <c r="CB72" i="126"/>
  <c r="CB59" i="110"/>
  <c r="CB63" i="110"/>
  <c r="CB79" i="127"/>
  <c r="CW66" i="126"/>
  <c r="CW62" i="127"/>
  <c r="CW78" i="126"/>
  <c r="CB78" i="127"/>
  <c r="CB66" i="110"/>
  <c r="CW80" i="127"/>
  <c r="CW81" i="127"/>
  <c r="CB71" i="110"/>
  <c r="CB82" i="126"/>
  <c r="CW61" i="127"/>
  <c r="CW63" i="110"/>
  <c r="CW79" i="110"/>
  <c r="CB79" i="110"/>
  <c r="CB63" i="126"/>
  <c r="CW70" i="127"/>
  <c r="CW66" i="110"/>
  <c r="CB62" i="110"/>
  <c r="CB80" i="127"/>
  <c r="CW71" i="110"/>
  <c r="CW82" i="126"/>
  <c r="CB61" i="110"/>
  <c r="CW70" i="110"/>
  <c r="CB60" i="110"/>
  <c r="CB66" i="126"/>
  <c r="CW68" i="127"/>
  <c r="CB81" i="126"/>
  <c r="CB69" i="110"/>
  <c r="CB67" i="126"/>
  <c r="CW64" i="126"/>
  <c r="CW64" i="127"/>
  <c r="CB69" i="127"/>
  <c r="CB71" i="127"/>
  <c r="CW71" i="127"/>
  <c r="CB73" i="127"/>
  <c r="CB74" i="126"/>
  <c r="CB67" i="110"/>
  <c r="CW79" i="127"/>
  <c r="CW68" i="110"/>
  <c r="CB64" i="126"/>
  <c r="CB81" i="127"/>
  <c r="CW72" i="126"/>
  <c r="CW75" i="127"/>
  <c r="CW60" i="110"/>
  <c r="CB60" i="127"/>
  <c r="CB68" i="127"/>
  <c r="CB62" i="127"/>
  <c r="CB61" i="127"/>
  <c r="CW60" i="127"/>
  <c r="CB78" i="126"/>
  <c r="CB80" i="126"/>
  <c r="CW71" i="126"/>
  <c r="CB71" i="126"/>
  <c r="CB72" i="127"/>
  <c r="CB72" i="110"/>
  <c r="CB46" i="126"/>
  <c r="CW51" i="126"/>
  <c r="CW52" i="126"/>
  <c r="CB52" i="126"/>
  <c r="CB54" i="127"/>
  <c r="CB49" i="127"/>
  <c r="CW49" i="127"/>
  <c r="CB46" i="127"/>
  <c r="CW93" i="126"/>
  <c r="CB52" i="110"/>
  <c r="CW53" i="110"/>
  <c r="CW51" i="110"/>
  <c r="CB92" i="126"/>
  <c r="CB48" i="126"/>
  <c r="CB89" i="126"/>
  <c r="CB93" i="127"/>
  <c r="CB54" i="110"/>
  <c r="CW53" i="127"/>
  <c r="CW76" i="126"/>
  <c r="CW69" i="126"/>
  <c r="CW73" i="110"/>
  <c r="CB73" i="126"/>
  <c r="CB76" i="110"/>
  <c r="CW76" i="127"/>
  <c r="CW82" i="110"/>
  <c r="CB82" i="127"/>
  <c r="CW72" i="110"/>
  <c r="CW74" i="127"/>
  <c r="CB89" i="127"/>
  <c r="CB54" i="126"/>
  <c r="CW54" i="126"/>
  <c r="CW53" i="126"/>
  <c r="CW92" i="127"/>
  <c r="CW48" i="110"/>
  <c r="CW51" i="127"/>
  <c r="CB48" i="127"/>
  <c r="CB93" i="126"/>
  <c r="CW59" i="110"/>
  <c r="CW61" i="110"/>
  <c r="CB75" i="127"/>
  <c r="CW78" i="127"/>
  <c r="CW80" i="126"/>
  <c r="CW81" i="126"/>
  <c r="CB69" i="126"/>
  <c r="CB73" i="110"/>
  <c r="CB76" i="127"/>
  <c r="CB82" i="110"/>
  <c r="CW82" i="127"/>
  <c r="CW74" i="110"/>
  <c r="CW46" i="126"/>
  <c r="CW54" i="127"/>
  <c r="CW46" i="127"/>
  <c r="CB92" i="127"/>
  <c r="CB49" i="110"/>
  <c r="CB51" i="127"/>
  <c r="CW52" i="110"/>
  <c r="CW72" i="127"/>
  <c r="CB74" i="110"/>
  <c r="CW89" i="127"/>
  <c r="CW50" i="126"/>
  <c r="CB50" i="126"/>
  <c r="CW49" i="126"/>
  <c r="CB53" i="110"/>
  <c r="CW48" i="126"/>
  <c r="CW89" i="126"/>
  <c r="CW93" i="127"/>
  <c r="CB53" i="127"/>
  <c r="CB49" i="126"/>
  <c r="CB52" i="127"/>
  <c r="CB51" i="110"/>
  <c r="CB64" i="127"/>
  <c r="CW74" i="126"/>
  <c r="CB70" i="110"/>
  <c r="CB81" i="110"/>
  <c r="CW81" i="110"/>
  <c r="CB74" i="127"/>
  <c r="CB53" i="126"/>
  <c r="CB48" i="110"/>
  <c r="CB50" i="127"/>
  <c r="CW49" i="110"/>
  <c r="CW48" i="127"/>
  <c r="CB50" i="110"/>
  <c r="CW50" i="110"/>
  <c r="CB68" i="110"/>
  <c r="CB64" i="110"/>
  <c r="CW64" i="110"/>
  <c r="CW69" i="110"/>
  <c r="CW73" i="126"/>
  <c r="CW76" i="110"/>
  <c r="CB51" i="126"/>
  <c r="CW50" i="127"/>
  <c r="CW52" i="127"/>
  <c r="CW92" i="126"/>
  <c r="CW91" i="126" s="1"/>
  <c r="CW54" i="110"/>
  <c r="CW67" i="110"/>
  <c r="CW88" i="126"/>
  <c r="CB96" i="126"/>
  <c r="CB77" i="110"/>
  <c r="CW77" i="110"/>
  <c r="CW77" i="126"/>
  <c r="CW95" i="127"/>
  <c r="CB95" i="126"/>
  <c r="CB77" i="127"/>
  <c r="CB77" i="126"/>
  <c r="CB87" i="127"/>
  <c r="CW96" i="126"/>
  <c r="CW87" i="126"/>
  <c r="CB87" i="126"/>
  <c r="CW77" i="127"/>
  <c r="CW87" i="127"/>
  <c r="CW96" i="127"/>
  <c r="CB96" i="127"/>
  <c r="CB95" i="127"/>
  <c r="CW88" i="127"/>
  <c r="CB88" i="126"/>
  <c r="CW95" i="126"/>
  <c r="CB88" i="127"/>
  <c r="CB43" i="127"/>
  <c r="CB43" i="126"/>
  <c r="CW43" i="127"/>
  <c r="CW43" i="126"/>
  <c r="CW90" i="126"/>
  <c r="CB90" i="126"/>
  <c r="CW90" i="127"/>
  <c r="CB90" i="127"/>
  <c r="BI23" i="110"/>
  <c r="BI23" i="126"/>
  <c r="BI23" i="127"/>
  <c r="BI58" i="127"/>
  <c r="BI55" i="126"/>
  <c r="BI57" i="126"/>
  <c r="BI83" i="126"/>
  <c r="BI85" i="126"/>
  <c r="BI84" i="127"/>
  <c r="BI56" i="127"/>
  <c r="BI65" i="126"/>
  <c r="BI83" i="127"/>
  <c r="BI58" i="126"/>
  <c r="BI85" i="127"/>
  <c r="BI84" i="126"/>
  <c r="BI65" i="127"/>
  <c r="BI85" i="110"/>
  <c r="BI55" i="127"/>
  <c r="BI57" i="127"/>
  <c r="BI84" i="110"/>
  <c r="BI56" i="110"/>
  <c r="BI57" i="110"/>
  <c r="BI55" i="110"/>
  <c r="BI83" i="110"/>
  <c r="BI58" i="110"/>
  <c r="BI65" i="110"/>
  <c r="BI56" i="126"/>
  <c r="BI20" i="126"/>
  <c r="BI20" i="127"/>
  <c r="BI20" i="110"/>
  <c r="BI12" i="127"/>
  <c r="BI12" i="126"/>
  <c r="BI22" i="127"/>
  <c r="BI21" i="110"/>
  <c r="BI21" i="126"/>
  <c r="BI21" i="127"/>
  <c r="BI47" i="110"/>
  <c r="BI47" i="126"/>
  <c r="BI47" i="127"/>
  <c r="BI22" i="126"/>
  <c r="BI15" i="126"/>
  <c r="BI14" i="127"/>
  <c r="BI22" i="110"/>
  <c r="BI15" i="127"/>
  <c r="BI14" i="126"/>
  <c r="BI13" i="126" s="1"/>
  <c r="BI70" i="126"/>
  <c r="BI75" i="126"/>
  <c r="BI75" i="110"/>
  <c r="Z75" i="110" s="1"/>
  <c r="BI60" i="126"/>
  <c r="BI67" i="127"/>
  <c r="BI79" i="126"/>
  <c r="BI70" i="127"/>
  <c r="BI68" i="126"/>
  <c r="BI59" i="127"/>
  <c r="BI66" i="110"/>
  <c r="BI66" i="127"/>
  <c r="BI62" i="126"/>
  <c r="BI64" i="126"/>
  <c r="BI64" i="127"/>
  <c r="BI61" i="126"/>
  <c r="BI59" i="126"/>
  <c r="BI80" i="127"/>
  <c r="BI80" i="110"/>
  <c r="BI76" i="126"/>
  <c r="BI72" i="126"/>
  <c r="BI79" i="127"/>
  <c r="BI60" i="110"/>
  <c r="BI63" i="127"/>
  <c r="BI81" i="127"/>
  <c r="BI71" i="110"/>
  <c r="BI73" i="127"/>
  <c r="BI79" i="110"/>
  <c r="BI67" i="126"/>
  <c r="BI78" i="110"/>
  <c r="BI62" i="110"/>
  <c r="BI71" i="127"/>
  <c r="BI74" i="126"/>
  <c r="BI59" i="110"/>
  <c r="BI61" i="110"/>
  <c r="BI80" i="126"/>
  <c r="BI81" i="126"/>
  <c r="BI82" i="126"/>
  <c r="BI67" i="110"/>
  <c r="BI61" i="127"/>
  <c r="BI66" i="126"/>
  <c r="BI63" i="126"/>
  <c r="BI70" i="110"/>
  <c r="BI68" i="110"/>
  <c r="BI62" i="127"/>
  <c r="BI60" i="127"/>
  <c r="BI81" i="110"/>
  <c r="BI69" i="110"/>
  <c r="BI69" i="126"/>
  <c r="BI71" i="126"/>
  <c r="BI73" i="110"/>
  <c r="Z73" i="110" s="1"/>
  <c r="BI72" i="127"/>
  <c r="BI89" i="127"/>
  <c r="BI46" i="126"/>
  <c r="BI54" i="127"/>
  <c r="Z54" i="127" s="1"/>
  <c r="BI51" i="127"/>
  <c r="BI48" i="127"/>
  <c r="BI93" i="126"/>
  <c r="BI49" i="126"/>
  <c r="BI93" i="127"/>
  <c r="BI69" i="127"/>
  <c r="BI78" i="126"/>
  <c r="BI74" i="110"/>
  <c r="Z74" i="110" s="1"/>
  <c r="BI50" i="127"/>
  <c r="BI63" i="110"/>
  <c r="BI64" i="110"/>
  <c r="BI76" i="110"/>
  <c r="Z76" i="110" s="1"/>
  <c r="BI82" i="127"/>
  <c r="BI74" i="127"/>
  <c r="BI51" i="126"/>
  <c r="BI75" i="127"/>
  <c r="BI73" i="126"/>
  <c r="BI76" i="127"/>
  <c r="BI52" i="126"/>
  <c r="BI92" i="127"/>
  <c r="BI48" i="110"/>
  <c r="BI49" i="110"/>
  <c r="BI92" i="126"/>
  <c r="BI91" i="126" s="1"/>
  <c r="BI89" i="126"/>
  <c r="BI78" i="127"/>
  <c r="BI53" i="126"/>
  <c r="BI49" i="127"/>
  <c r="BI51" i="110"/>
  <c r="BI48" i="126"/>
  <c r="BI46" i="127"/>
  <c r="BI50" i="126"/>
  <c r="BI53" i="127"/>
  <c r="BI68" i="127"/>
  <c r="BI82" i="110"/>
  <c r="BI52" i="110"/>
  <c r="BI52" i="127"/>
  <c r="BI53" i="110"/>
  <c r="BI50" i="110"/>
  <c r="BI72" i="110"/>
  <c r="BI96" i="127"/>
  <c r="BI88" i="126"/>
  <c r="BI95" i="126"/>
  <c r="BI77" i="126"/>
  <c r="BI87" i="126"/>
  <c r="BI95" i="127"/>
  <c r="BI87" i="127"/>
  <c r="BI77" i="127"/>
  <c r="BI77" i="110"/>
  <c r="BI96" i="126"/>
  <c r="BI88" i="127"/>
  <c r="BI42" i="127"/>
  <c r="BI42" i="126"/>
  <c r="BI10" i="126"/>
  <c r="BI28" i="126"/>
  <c r="BI29" i="127"/>
  <c r="BI17" i="127"/>
  <c r="BI30" i="127"/>
  <c r="BI18" i="127"/>
  <c r="BI29" i="126"/>
  <c r="BI39" i="126"/>
  <c r="BI11" i="127"/>
  <c r="BI17" i="126"/>
  <c r="BI28" i="127"/>
  <c r="BI11" i="126"/>
  <c r="BI39" i="127"/>
  <c r="BI18" i="126"/>
  <c r="BI10" i="127"/>
  <c r="BI30" i="126"/>
  <c r="BI9" i="127"/>
  <c r="BI9" i="126"/>
  <c r="BI25" i="127"/>
  <c r="BI43" i="127"/>
  <c r="BI26" i="127"/>
  <c r="BI43" i="126"/>
  <c r="BI36" i="126"/>
  <c r="BI36" i="127"/>
  <c r="BI26" i="126"/>
  <c r="BI25" i="126"/>
  <c r="BI19" i="126"/>
  <c r="BI90" i="127"/>
  <c r="BI90" i="126"/>
  <c r="BI19" i="127"/>
  <c r="CV45" i="110"/>
  <c r="AK6" i="127"/>
  <c r="AL86" i="127"/>
  <c r="R8" i="126"/>
  <c r="S8" i="126"/>
  <c r="Q8" i="126"/>
  <c r="AL7" i="126"/>
  <c r="AL35" i="127"/>
  <c r="AL45" i="126"/>
  <c r="AL13" i="126"/>
  <c r="BH24" i="127"/>
  <c r="BH7" i="126"/>
  <c r="BH94" i="126"/>
  <c r="BH91" i="126"/>
  <c r="CD35" i="126"/>
  <c r="CD35" i="127"/>
  <c r="Z8" i="127"/>
  <c r="CX35" i="126"/>
  <c r="AL39" i="131"/>
  <c r="AL39" i="130"/>
  <c r="AL39" i="132"/>
  <c r="AM23" i="127"/>
  <c r="AM23" i="126"/>
  <c r="AM23" i="110"/>
  <c r="AM58" i="127"/>
  <c r="AM85" i="126"/>
  <c r="AM57" i="126"/>
  <c r="AM56" i="127"/>
  <c r="AL58" i="132"/>
  <c r="AL57" i="132"/>
  <c r="AL67" i="132"/>
  <c r="AL60" i="132"/>
  <c r="AM83" i="126"/>
  <c r="AL85" i="132"/>
  <c r="AL60" i="131"/>
  <c r="AL67" i="131"/>
  <c r="AL85" i="130"/>
  <c r="AM84" i="127"/>
  <c r="AL59" i="132"/>
  <c r="AL86" i="132"/>
  <c r="AL86" i="131"/>
  <c r="AL87" i="131"/>
  <c r="AL58" i="131"/>
  <c r="AL87" i="132"/>
  <c r="AL57" i="131"/>
  <c r="AL59" i="131"/>
  <c r="AL57" i="130"/>
  <c r="AL59" i="130"/>
  <c r="AL85" i="131"/>
  <c r="AL86" i="130"/>
  <c r="AL87" i="130"/>
  <c r="AL67" i="130"/>
  <c r="AL58" i="130"/>
  <c r="AL60" i="130"/>
  <c r="AM57" i="127"/>
  <c r="AM58" i="126"/>
  <c r="AM55" i="127"/>
  <c r="AM83" i="127"/>
  <c r="AM85" i="127"/>
  <c r="AM84" i="126"/>
  <c r="AM65" i="126"/>
  <c r="AM56" i="126"/>
  <c r="AM83" i="110"/>
  <c r="AM65" i="110"/>
  <c r="AM55" i="110"/>
  <c r="AM55" i="126"/>
  <c r="AM85" i="110"/>
  <c r="AM57" i="110"/>
  <c r="AM65" i="127"/>
  <c r="AM56" i="110"/>
  <c r="AM58" i="110"/>
  <c r="AM84" i="110"/>
  <c r="AL45" i="132"/>
  <c r="AL45" i="131"/>
  <c r="AL45" i="130"/>
  <c r="AM20" i="126"/>
  <c r="AM20" i="127"/>
  <c r="AM22" i="127"/>
  <c r="AM22" i="126"/>
  <c r="AM21" i="110"/>
  <c r="AM21" i="126"/>
  <c r="AM21" i="127"/>
  <c r="AL49" i="132"/>
  <c r="AL49" i="130"/>
  <c r="AL49" i="131"/>
  <c r="AM47" i="110"/>
  <c r="AM47" i="127"/>
  <c r="AM47" i="126"/>
  <c r="AM32" i="127"/>
  <c r="Y32" i="127" s="1"/>
  <c r="AM15" i="126"/>
  <c r="AM12" i="127"/>
  <c r="AL76" i="132"/>
  <c r="AM14" i="126"/>
  <c r="AL75" i="132"/>
  <c r="AL81" i="131"/>
  <c r="AL77" i="132"/>
  <c r="AL80" i="131"/>
  <c r="AM12" i="126"/>
  <c r="AL78" i="132"/>
  <c r="AL63" i="131"/>
  <c r="AM15" i="127"/>
  <c r="AM14" i="127"/>
  <c r="AM38" i="127"/>
  <c r="Y38" i="127" s="1"/>
  <c r="AL62" i="131"/>
  <c r="AL54" i="130"/>
  <c r="AL56" i="131"/>
  <c r="P56" i="131" s="1"/>
  <c r="N56" i="131" s="1"/>
  <c r="O56" i="118" s="1"/>
  <c r="AM67" i="127"/>
  <c r="AM67" i="126"/>
  <c r="AM70" i="127"/>
  <c r="AM60" i="126"/>
  <c r="AM59" i="126"/>
  <c r="AM63" i="127"/>
  <c r="AM70" i="126"/>
  <c r="AM75" i="126"/>
  <c r="AM75" i="110"/>
  <c r="AL50" i="130"/>
  <c r="AL55" i="132"/>
  <c r="AM66" i="127"/>
  <c r="AM68" i="126"/>
  <c r="AM62" i="126"/>
  <c r="AM59" i="127"/>
  <c r="AM79" i="126"/>
  <c r="AL55" i="130"/>
  <c r="AM62" i="110"/>
  <c r="AM78" i="110"/>
  <c r="AL75" i="130"/>
  <c r="AM66" i="110"/>
  <c r="AM61" i="126"/>
  <c r="AM63" i="126"/>
  <c r="AL53" i="131"/>
  <c r="AM80" i="127"/>
  <c r="AM80" i="110"/>
  <c r="AM64" i="126"/>
  <c r="AL66" i="130"/>
  <c r="AM71" i="110"/>
  <c r="AM71" i="127"/>
  <c r="AM72" i="126"/>
  <c r="AM79" i="110"/>
  <c r="AM70" i="110"/>
  <c r="AL72" i="132"/>
  <c r="AM75" i="127"/>
  <c r="AL50" i="131"/>
  <c r="AM60" i="127"/>
  <c r="AM78" i="126"/>
  <c r="AM78" i="127"/>
  <c r="AL72" i="131"/>
  <c r="AL52" i="132"/>
  <c r="AM81" i="127"/>
  <c r="AL83" i="132"/>
  <c r="AM69" i="127"/>
  <c r="AL71" i="131"/>
  <c r="AL51" i="130"/>
  <c r="AL51" i="131"/>
  <c r="AL84" i="132"/>
  <c r="AL74" i="130"/>
  <c r="AM74" i="126"/>
  <c r="AL64" i="131"/>
  <c r="AL54" i="131"/>
  <c r="AM64" i="127"/>
  <c r="AL73" i="132"/>
  <c r="AM73" i="127"/>
  <c r="AL84" i="130"/>
  <c r="AL53" i="132"/>
  <c r="AL50" i="132"/>
  <c r="AL55" i="131"/>
  <c r="AM60" i="110"/>
  <c r="AM68" i="127"/>
  <c r="AM64" i="110"/>
  <c r="AL66" i="131"/>
  <c r="AM81" i="126"/>
  <c r="AL52" i="130"/>
  <c r="AL83" i="131"/>
  <c r="AM76" i="126"/>
  <c r="AM82" i="126"/>
  <c r="AL74" i="132"/>
  <c r="AL56" i="132"/>
  <c r="AM61" i="110"/>
  <c r="AM61" i="127"/>
  <c r="AM62" i="127"/>
  <c r="AM63" i="110"/>
  <c r="AL53" i="130"/>
  <c r="AM68" i="110"/>
  <c r="AM59" i="110"/>
  <c r="AM67" i="110"/>
  <c r="AM80" i="126"/>
  <c r="AM69" i="126"/>
  <c r="AL73" i="130"/>
  <c r="AM76" i="110"/>
  <c r="AM76" i="127"/>
  <c r="AM82" i="110"/>
  <c r="AM72" i="110"/>
  <c r="AL74" i="131"/>
  <c r="AM53" i="126"/>
  <c r="AM46" i="127"/>
  <c r="AM51" i="127"/>
  <c r="AM50" i="126"/>
  <c r="AM49" i="126"/>
  <c r="AM53" i="110"/>
  <c r="AM92" i="126"/>
  <c r="AM50" i="110"/>
  <c r="AL66" i="132"/>
  <c r="AL52" i="131"/>
  <c r="AM69" i="110"/>
  <c r="AL71" i="130"/>
  <c r="AL73" i="131"/>
  <c r="AL51" i="132"/>
  <c r="AM72" i="127"/>
  <c r="AL61" i="131"/>
  <c r="AM89" i="127"/>
  <c r="AM54" i="126"/>
  <c r="Y54" i="126" s="1"/>
  <c r="AM46" i="126"/>
  <c r="AM52" i="126"/>
  <c r="AM92" i="127"/>
  <c r="AM48" i="110"/>
  <c r="AM50" i="127"/>
  <c r="AL71" i="132"/>
  <c r="AL54" i="132"/>
  <c r="AL72" i="130"/>
  <c r="AM66" i="126"/>
  <c r="AM81" i="110"/>
  <c r="AM73" i="126"/>
  <c r="AL65" i="131"/>
  <c r="AM51" i="126"/>
  <c r="AM49" i="127"/>
  <c r="AM48" i="127"/>
  <c r="AM93" i="126"/>
  <c r="AM74" i="127"/>
  <c r="AL69" i="131"/>
  <c r="AM49" i="110"/>
  <c r="AM51" i="110"/>
  <c r="AL61" i="132"/>
  <c r="AL62" i="132"/>
  <c r="AL80" i="132"/>
  <c r="AL81" i="132"/>
  <c r="AL68" i="132"/>
  <c r="AL82" i="132"/>
  <c r="AL77" i="130"/>
  <c r="AL75" i="131"/>
  <c r="AL78" i="130"/>
  <c r="AL64" i="130"/>
  <c r="AL69" i="130"/>
  <c r="AL63" i="130"/>
  <c r="AL82" i="130"/>
  <c r="AL68" i="131"/>
  <c r="AL77" i="131"/>
  <c r="AL81" i="130"/>
  <c r="AL68" i="130"/>
  <c r="AM79" i="127"/>
  <c r="AM73" i="110"/>
  <c r="AM74" i="110"/>
  <c r="AM52" i="127"/>
  <c r="AM48" i="126"/>
  <c r="AM89" i="126"/>
  <c r="AL65" i="132"/>
  <c r="AL70" i="132"/>
  <c r="AL82" i="131"/>
  <c r="AL78" i="131"/>
  <c r="AL69" i="132"/>
  <c r="AL79" i="132"/>
  <c r="AL83" i="130"/>
  <c r="AM71" i="126"/>
  <c r="AL84" i="131"/>
  <c r="AL70" i="131"/>
  <c r="AM54" i="127"/>
  <c r="AM93" i="127"/>
  <c r="AM53" i="127"/>
  <c r="AL64" i="132"/>
  <c r="AL63" i="132"/>
  <c r="AL76" i="131"/>
  <c r="AL80" i="130"/>
  <c r="AL61" i="130"/>
  <c r="AL65" i="130"/>
  <c r="AL62" i="130"/>
  <c r="AM82" i="127"/>
  <c r="AM52" i="110"/>
  <c r="AL76" i="130"/>
  <c r="AL70" i="130"/>
  <c r="AM77" i="127"/>
  <c r="AM77" i="110"/>
  <c r="AM77" i="126"/>
  <c r="AL79" i="130"/>
  <c r="AM96" i="126"/>
  <c r="AM95" i="127"/>
  <c r="AM95" i="126"/>
  <c r="AM88" i="127"/>
  <c r="AM87" i="127"/>
  <c r="AM96" i="127"/>
  <c r="AM87" i="126"/>
  <c r="AL79" i="131"/>
  <c r="AM88" i="126"/>
  <c r="AM20" i="110"/>
  <c r="AM18" i="127"/>
  <c r="AM11" i="126"/>
  <c r="AM22" i="110"/>
  <c r="AM17" i="127"/>
  <c r="AM11" i="127"/>
  <c r="AM42" i="127"/>
  <c r="AM17" i="126"/>
  <c r="AM42" i="126"/>
  <c r="AM18" i="126"/>
  <c r="AM29" i="127"/>
  <c r="AM30" i="126"/>
  <c r="AM30" i="127"/>
  <c r="AL44" i="131"/>
  <c r="AM29" i="126"/>
  <c r="AM28" i="126"/>
  <c r="AM28" i="127"/>
  <c r="AM8" i="127"/>
  <c r="Y8" i="127" s="1"/>
  <c r="AM39" i="126"/>
  <c r="AM27" i="127"/>
  <c r="Y27" i="127" s="1"/>
  <c r="AM39" i="127"/>
  <c r="AM9" i="127"/>
  <c r="AM37" i="127"/>
  <c r="Y37" i="127" s="1"/>
  <c r="AM9" i="126"/>
  <c r="AM34" i="127"/>
  <c r="Y34" i="127" s="1"/>
  <c r="AM36" i="126"/>
  <c r="AM26" i="126"/>
  <c r="AM33" i="127"/>
  <c r="Y33" i="127" s="1"/>
  <c r="AM36" i="127"/>
  <c r="AM26" i="127"/>
  <c r="AM10" i="127"/>
  <c r="AM90" i="126"/>
  <c r="AM43" i="126"/>
  <c r="AM43" i="127"/>
  <c r="AM10" i="126"/>
  <c r="AM25" i="126"/>
  <c r="AL35" i="126"/>
  <c r="CD24" i="126"/>
  <c r="AL16" i="126"/>
  <c r="AM19" i="127"/>
  <c r="AL86" i="126"/>
  <c r="CX16" i="127"/>
  <c r="CW6" i="126"/>
  <c r="BG44" i="126"/>
  <c r="BG41" i="126" s="1"/>
  <c r="R33" i="126"/>
  <c r="Q33" i="126"/>
  <c r="AO32" i="133" s="1"/>
  <c r="AL94" i="127"/>
  <c r="AL91" i="126"/>
  <c r="AL91" i="127"/>
  <c r="BH35" i="127"/>
  <c r="CD24" i="127"/>
  <c r="CD7" i="126"/>
  <c r="BG6" i="126"/>
  <c r="CV94" i="126"/>
  <c r="CV45" i="126"/>
  <c r="CV91" i="126"/>
  <c r="CA45" i="127"/>
  <c r="CA45" i="126"/>
  <c r="BG44" i="127"/>
  <c r="BG41" i="127" s="1"/>
  <c r="CU44" i="127"/>
  <c r="CU41" i="127" s="1"/>
  <c r="CU5" i="127" s="1"/>
  <c r="CX24" i="126"/>
  <c r="CX24" i="127"/>
  <c r="S33" i="126"/>
  <c r="AM25" i="127"/>
  <c r="AM19" i="126"/>
  <c r="BH24" i="126"/>
  <c r="BH13" i="127"/>
  <c r="CV94" i="127"/>
  <c r="CA91" i="127"/>
  <c r="CC6" i="126"/>
  <c r="BI39" i="132"/>
  <c r="BI39" i="130"/>
  <c r="BI39" i="131"/>
  <c r="BI87" i="132"/>
  <c r="BI57" i="132"/>
  <c r="BI59" i="132"/>
  <c r="BI86" i="131"/>
  <c r="BI59" i="131"/>
  <c r="BI60" i="131"/>
  <c r="BI57" i="130"/>
  <c r="BI67" i="131"/>
  <c r="BI67" i="132"/>
  <c r="BI57" i="131"/>
  <c r="BI58" i="131"/>
  <c r="BI58" i="132"/>
  <c r="BI60" i="132"/>
  <c r="BI60" i="130"/>
  <c r="BI58" i="130"/>
  <c r="BI67" i="130"/>
  <c r="BI85" i="131"/>
  <c r="BI59" i="130"/>
  <c r="BI85" i="132"/>
  <c r="BI85" i="130"/>
  <c r="BI87" i="131"/>
  <c r="BI86" i="130"/>
  <c r="BI86" i="132"/>
  <c r="BI45" i="131"/>
  <c r="BI45" i="132"/>
  <c r="BI49" i="132"/>
  <c r="BI49" i="130"/>
  <c r="BI49" i="131"/>
  <c r="BI61" i="131"/>
  <c r="BI79" i="132"/>
  <c r="BI75" i="132"/>
  <c r="BI78" i="132"/>
  <c r="BI76" i="132"/>
  <c r="BI77" i="132"/>
  <c r="BI65" i="131"/>
  <c r="BI70" i="131"/>
  <c r="BI53" i="130"/>
  <c r="BI55" i="130"/>
  <c r="BI54" i="132"/>
  <c r="BI54" i="131"/>
  <c r="BI53" i="131"/>
  <c r="BI74" i="131"/>
  <c r="BI83" i="130"/>
  <c r="BI71" i="132"/>
  <c r="BI73" i="132"/>
  <c r="BI68" i="131"/>
  <c r="BI50" i="131"/>
  <c r="BI66" i="130"/>
  <c r="BI52" i="131"/>
  <c r="BI51" i="132"/>
  <c r="BI54" i="130"/>
  <c r="BI74" i="130"/>
  <c r="BI74" i="132"/>
  <c r="BI72" i="132"/>
  <c r="BI55" i="132"/>
  <c r="BI83" i="131"/>
  <c r="BI82" i="131"/>
  <c r="BI53" i="132"/>
  <c r="BI50" i="130"/>
  <c r="BI71" i="131"/>
  <c r="BI84" i="130"/>
  <c r="BI84" i="132"/>
  <c r="BI55" i="131"/>
  <c r="BI73" i="131"/>
  <c r="BI52" i="130"/>
  <c r="BI52" i="132"/>
  <c r="BI83" i="132"/>
  <c r="BI72" i="130"/>
  <c r="BI81" i="131"/>
  <c r="BI50" i="132"/>
  <c r="BI66" i="131"/>
  <c r="BI51" i="131"/>
  <c r="BI80" i="131"/>
  <c r="BI66" i="132"/>
  <c r="BI71" i="130"/>
  <c r="BI63" i="131"/>
  <c r="BI69" i="131"/>
  <c r="BI62" i="131"/>
  <c r="BI80" i="132"/>
  <c r="BI64" i="131"/>
  <c r="BI82" i="132"/>
  <c r="BI70" i="132"/>
  <c r="BI76" i="131"/>
  <c r="Q76" i="131" s="1"/>
  <c r="BI78" i="131"/>
  <c r="Q78" i="131" s="1"/>
  <c r="BI61" i="130"/>
  <c r="BI82" i="130"/>
  <c r="BI63" i="130"/>
  <c r="BI64" i="130"/>
  <c r="BI79" i="130"/>
  <c r="BI77" i="131"/>
  <c r="Q77" i="131" s="1"/>
  <c r="BI65" i="130"/>
  <c r="BI73" i="130"/>
  <c r="BI51" i="130"/>
  <c r="BI69" i="132"/>
  <c r="BI68" i="132"/>
  <c r="BI75" i="131"/>
  <c r="Q75" i="131" s="1"/>
  <c r="BI79" i="131"/>
  <c r="BI69" i="130"/>
  <c r="BI81" i="132"/>
  <c r="BI62" i="132"/>
  <c r="BI63" i="132"/>
  <c r="BI64" i="132"/>
  <c r="BI84" i="131"/>
  <c r="BI65" i="132"/>
  <c r="BI80" i="130"/>
  <c r="BI62" i="130"/>
  <c r="BI68" i="130"/>
  <c r="BI72" i="131"/>
  <c r="BI61" i="132"/>
  <c r="BI70" i="130"/>
  <c r="BI81" i="130"/>
  <c r="BI45" i="130"/>
  <c r="BI87" i="130"/>
  <c r="BI44" i="131"/>
  <c r="BH45" i="110"/>
  <c r="CY23" i="127"/>
  <c r="CY23" i="110"/>
  <c r="CY23" i="126"/>
  <c r="CY33" i="127"/>
  <c r="CY33" i="126"/>
  <c r="CY33" i="110"/>
  <c r="CY20" i="127"/>
  <c r="CY20" i="126"/>
  <c r="CY20" i="110"/>
  <c r="CY12" i="127"/>
  <c r="CY12" i="126"/>
  <c r="CY22" i="127"/>
  <c r="CY21" i="110"/>
  <c r="CY21" i="127"/>
  <c r="CY21" i="126"/>
  <c r="CY22" i="126"/>
  <c r="CY32" i="126"/>
  <c r="CY38" i="126"/>
  <c r="CY38" i="127"/>
  <c r="CY37" i="127"/>
  <c r="CY22" i="110"/>
  <c r="CY40" i="127"/>
  <c r="CY31" i="127"/>
  <c r="CY37" i="126"/>
  <c r="CY32" i="127"/>
  <c r="CY31" i="126"/>
  <c r="CY27" i="126"/>
  <c r="CY40" i="126"/>
  <c r="CY8" i="127"/>
  <c r="CY14" i="127"/>
  <c r="CY8" i="126"/>
  <c r="CY14" i="126"/>
  <c r="CY15" i="126"/>
  <c r="CY27" i="127"/>
  <c r="CY15" i="127"/>
  <c r="CY34" i="126"/>
  <c r="CY34" i="127"/>
  <c r="CY42" i="126"/>
  <c r="CY18" i="126"/>
  <c r="CY28" i="127"/>
  <c r="CY10" i="126"/>
  <c r="CY29" i="126"/>
  <c r="CY11" i="126"/>
  <c r="CY39" i="127"/>
  <c r="CY11" i="127"/>
  <c r="CY30" i="126"/>
  <c r="CY28" i="126"/>
  <c r="CY29" i="127"/>
  <c r="CY42" i="127"/>
  <c r="CY39" i="126"/>
  <c r="CY18" i="127"/>
  <c r="CY10" i="127"/>
  <c r="CY30" i="127"/>
  <c r="CY17" i="126"/>
  <c r="CY17" i="127"/>
  <c r="CY9" i="127"/>
  <c r="CY9" i="126"/>
  <c r="CY36" i="126"/>
  <c r="CY36" i="127"/>
  <c r="CY25" i="126"/>
  <c r="CY25" i="127"/>
  <c r="CY26" i="127"/>
  <c r="CY26" i="126"/>
  <c r="CY19" i="127"/>
  <c r="CY19" i="126"/>
  <c r="CA45" i="110"/>
  <c r="BD5" i="110"/>
  <c r="AM90" i="127"/>
  <c r="AL16" i="127"/>
  <c r="Q54" i="110"/>
  <c r="AN53" i="133" s="1"/>
  <c r="R54" i="110"/>
  <c r="S54" i="110"/>
  <c r="AL13" i="127"/>
  <c r="BH91" i="127"/>
  <c r="BH45" i="126"/>
  <c r="CD7" i="127"/>
  <c r="CV86" i="127"/>
  <c r="CA94" i="126"/>
  <c r="CV45" i="127"/>
  <c r="CX16" i="126"/>
  <c r="BH86" i="126"/>
  <c r="CX35" i="127"/>
  <c r="CX13" i="127"/>
  <c r="F28" i="136"/>
  <c r="F28" i="135"/>
  <c r="F30" i="135" s="1"/>
  <c r="F32" i="135" s="1"/>
  <c r="F34" i="135" s="1"/>
  <c r="F36" i="135" s="1"/>
  <c r="AI6" i="110"/>
  <c r="K27" i="136"/>
  <c r="AH6" i="110"/>
  <c r="AJ6" i="126"/>
  <c r="AJ5" i="126" s="1"/>
  <c r="AJ6" i="127"/>
  <c r="AJ5" i="127" s="1"/>
  <c r="BF5" i="110"/>
  <c r="AK6" i="126"/>
  <c r="AK5" i="126" s="1"/>
  <c r="AI6" i="126"/>
  <c r="AI5" i="126" s="1"/>
  <c r="CT5" i="110"/>
  <c r="AG6" i="110"/>
  <c r="CT6" i="127"/>
  <c r="AI44" i="127"/>
  <c r="AH6" i="126"/>
  <c r="BY6" i="127"/>
  <c r="CS6" i="126"/>
  <c r="CS44" i="126"/>
  <c r="AH44" i="126"/>
  <c r="BX6" i="126"/>
  <c r="AL24" i="126"/>
  <c r="BY44" i="127"/>
  <c r="CT44" i="127"/>
  <c r="BD6" i="127"/>
  <c r="BD44" i="127"/>
  <c r="BC6" i="126"/>
  <c r="BC44" i="126"/>
  <c r="AI24" i="127"/>
  <c r="BX44" i="126"/>
  <c r="BY5" i="110"/>
  <c r="BG6" i="110"/>
  <c r="AK6" i="110"/>
  <c r="CC6" i="110"/>
  <c r="CW6" i="110"/>
  <c r="R8" i="110"/>
  <c r="S8" i="110"/>
  <c r="BH13" i="110"/>
  <c r="AL86" i="110"/>
  <c r="AL16" i="110"/>
  <c r="BZ44" i="110"/>
  <c r="BZ41" i="110" s="1"/>
  <c r="BZ5" i="110" s="1"/>
  <c r="AK44" i="110"/>
  <c r="AL13" i="110"/>
  <c r="AL91" i="110"/>
  <c r="AL24" i="110"/>
  <c r="AO33" i="133"/>
  <c r="BI88" i="132"/>
  <c r="BI89" i="132"/>
  <c r="BI89" i="110"/>
  <c r="BI9" i="110"/>
  <c r="BI42" i="110"/>
  <c r="CY42" i="110"/>
  <c r="CY9" i="110"/>
  <c r="AL7" i="110"/>
  <c r="AM89" i="110"/>
  <c r="AM9" i="110"/>
  <c r="AL89" i="132"/>
  <c r="AL88" i="132"/>
  <c r="AM42" i="110"/>
  <c r="AL18" i="130"/>
  <c r="AL18" i="131"/>
  <c r="AL18" i="132"/>
  <c r="AM46" i="110"/>
  <c r="AL43" i="132"/>
  <c r="AL48" i="132"/>
  <c r="AL93" i="132"/>
  <c r="AL97" i="132"/>
  <c r="AL104" i="132"/>
  <c r="AL96" i="132"/>
  <c r="AM12" i="110"/>
  <c r="AL14" i="131"/>
  <c r="AL95" i="130"/>
  <c r="AL31" i="130"/>
  <c r="AL17" i="130"/>
  <c r="AL88" i="130"/>
  <c r="AL32" i="130"/>
  <c r="AM15" i="110"/>
  <c r="AL37" i="131"/>
  <c r="AL92" i="131"/>
  <c r="AL35" i="131"/>
  <c r="AL40" i="130"/>
  <c r="AL28" i="130"/>
  <c r="AL8" i="132"/>
  <c r="AL19" i="130"/>
  <c r="AL104" i="130"/>
  <c r="AL35" i="132"/>
  <c r="AL101" i="131"/>
  <c r="AM95" i="110"/>
  <c r="AL96" i="131"/>
  <c r="AL102" i="131"/>
  <c r="AL33" i="131"/>
  <c r="AL36" i="132"/>
  <c r="AL29" i="132"/>
  <c r="AL91" i="131"/>
  <c r="AL43" i="131"/>
  <c r="AL42" i="131"/>
  <c r="AL36" i="131"/>
  <c r="AL10" i="130"/>
  <c r="AM25" i="110"/>
  <c r="AL11" i="132"/>
  <c r="AL44" i="132"/>
  <c r="AL10" i="132"/>
  <c r="AL25" i="131"/>
  <c r="AL23" i="130"/>
  <c r="AM29" i="110"/>
  <c r="AL7" i="132"/>
  <c r="AL44" i="130"/>
  <c r="AL22" i="132"/>
  <c r="AL31" i="132"/>
  <c r="AM92" i="110"/>
  <c r="AL35" i="130"/>
  <c r="AL42" i="130"/>
  <c r="AL43" i="130"/>
  <c r="AL13" i="130"/>
  <c r="AL16" i="132"/>
  <c r="AL93" i="130"/>
  <c r="AL40" i="131"/>
  <c r="AL97" i="130"/>
  <c r="AL30" i="132"/>
  <c r="AL99" i="131"/>
  <c r="AL88" i="131"/>
  <c r="AL95" i="131"/>
  <c r="AL16" i="131"/>
  <c r="AL38" i="132"/>
  <c r="AL4" i="132"/>
  <c r="P4" i="132" s="1"/>
  <c r="N4" i="132" s="1"/>
  <c r="P4" i="118" s="1"/>
  <c r="AL93" i="131"/>
  <c r="AL94" i="131"/>
  <c r="AM18" i="110"/>
  <c r="AL23" i="131"/>
  <c r="AL7" i="130"/>
  <c r="AL9" i="130"/>
  <c r="AL23" i="132"/>
  <c r="AL21" i="130"/>
  <c r="AL7" i="131"/>
  <c r="AL21" i="132"/>
  <c r="AL25" i="130"/>
  <c r="AM10" i="110"/>
  <c r="AL11" i="130"/>
  <c r="AL15" i="132"/>
  <c r="AL95" i="132"/>
  <c r="AL22" i="131"/>
  <c r="AM93" i="110"/>
  <c r="AL89" i="130"/>
  <c r="AL90" i="131"/>
  <c r="AL6" i="132"/>
  <c r="AL6" i="131"/>
  <c r="AL96" i="130"/>
  <c r="AL5" i="132"/>
  <c r="AM28" i="110"/>
  <c r="AL27" i="131"/>
  <c r="AL17" i="132"/>
  <c r="AL104" i="131"/>
  <c r="AL103" i="131"/>
  <c r="AL9" i="131"/>
  <c r="AL25" i="132"/>
  <c r="AL12" i="132"/>
  <c r="AM19" i="110"/>
  <c r="AL34" i="132"/>
  <c r="AL100" i="132"/>
  <c r="AL99" i="132"/>
  <c r="AL92" i="130"/>
  <c r="AL103" i="130"/>
  <c r="AL22" i="130"/>
  <c r="AL13" i="131"/>
  <c r="AL6" i="130"/>
  <c r="AL36" i="130"/>
  <c r="AL16" i="130"/>
  <c r="AL29" i="131"/>
  <c r="AM87" i="110"/>
  <c r="AL97" i="131"/>
  <c r="AL27" i="132"/>
  <c r="AL32" i="131"/>
  <c r="AM39" i="110"/>
  <c r="AL47" i="132"/>
  <c r="P47" i="132" s="1"/>
  <c r="AM30" i="110"/>
  <c r="AL21" i="131"/>
  <c r="AL41" i="132"/>
  <c r="AL12" i="130"/>
  <c r="AL20" i="130"/>
  <c r="AL102" i="132"/>
  <c r="AL91" i="130"/>
  <c r="AL94" i="132"/>
  <c r="AL101" i="130"/>
  <c r="AM88" i="110"/>
  <c r="AL19" i="131"/>
  <c r="AL29" i="130"/>
  <c r="AL30" i="131"/>
  <c r="AL8" i="131"/>
  <c r="AL28" i="132"/>
  <c r="AL33" i="132"/>
  <c r="AL20" i="131"/>
  <c r="AL9" i="132"/>
  <c r="AL11" i="131"/>
  <c r="AM26" i="110"/>
  <c r="AM90" i="110"/>
  <c r="K9" i="109"/>
  <c r="AL24" i="132"/>
  <c r="P24" i="132" s="1"/>
  <c r="N24" i="132" s="1"/>
  <c r="P24" i="118" s="1"/>
  <c r="AL91" i="132"/>
  <c r="AL101" i="132"/>
  <c r="AL98" i="132"/>
  <c r="P98" i="132" s="1"/>
  <c r="N98" i="132" s="1"/>
  <c r="P98" i="118" s="1"/>
  <c r="AL17" i="131"/>
  <c r="AM17" i="110"/>
  <c r="AL94" i="130"/>
  <c r="AL15" i="130"/>
  <c r="AL41" i="130"/>
  <c r="AL90" i="132"/>
  <c r="AL30" i="130"/>
  <c r="AL8" i="130"/>
  <c r="AL14" i="130"/>
  <c r="AL5" i="131"/>
  <c r="AL31" i="131"/>
  <c r="AL102" i="130"/>
  <c r="AL5" i="130"/>
  <c r="AL37" i="130"/>
  <c r="AL41" i="131"/>
  <c r="AL90" i="130"/>
  <c r="AL15" i="131"/>
  <c r="AL100" i="130"/>
  <c r="AL99" i="130"/>
  <c r="AL38" i="130"/>
  <c r="AL42" i="132"/>
  <c r="AL32" i="132"/>
  <c r="AL14" i="132"/>
  <c r="AM14" i="110"/>
  <c r="AL89" i="131"/>
  <c r="AL34" i="131"/>
  <c r="AL13" i="132"/>
  <c r="AL40" i="132"/>
  <c r="AL37" i="132"/>
  <c r="AL38" i="131"/>
  <c r="AL10" i="131"/>
  <c r="AM36" i="110"/>
  <c r="AL19" i="132"/>
  <c r="AL103" i="132"/>
  <c r="AL48" i="130"/>
  <c r="AL33" i="130"/>
  <c r="AM96" i="110"/>
  <c r="AL27" i="130"/>
  <c r="AL34" i="130"/>
  <c r="AL92" i="132"/>
  <c r="AM11" i="110"/>
  <c r="AL48" i="131"/>
  <c r="AL100" i="131"/>
  <c r="AL28" i="131"/>
  <c r="AL20" i="132"/>
  <c r="AL12" i="131"/>
  <c r="CE42" i="110"/>
  <c r="CE9" i="110"/>
  <c r="CW89" i="110"/>
  <c r="CB89" i="110"/>
  <c r="AL94" i="110"/>
  <c r="BH16" i="110"/>
  <c r="CD16" i="110"/>
  <c r="CX16" i="110"/>
  <c r="CU44" i="110"/>
  <c r="CU41" i="110" s="1"/>
  <c r="BG44" i="110"/>
  <c r="BG41" i="110" s="1"/>
  <c r="CX7" i="110"/>
  <c r="BH91" i="110"/>
  <c r="CX13" i="110"/>
  <c r="BI46" i="110"/>
  <c r="BI90" i="110"/>
  <c r="BI19" i="110"/>
  <c r="BI26" i="110"/>
  <c r="BI14" i="110"/>
  <c r="BI87" i="110"/>
  <c r="BI93" i="110"/>
  <c r="BI18" i="110"/>
  <c r="BI39" i="110"/>
  <c r="BI43" i="110"/>
  <c r="BI96" i="110"/>
  <c r="BI25" i="110"/>
  <c r="BI29" i="110"/>
  <c r="BI17" i="110"/>
  <c r="BI95" i="110"/>
  <c r="BI11" i="110"/>
  <c r="Z11" i="110" s="1"/>
  <c r="L11" i="109"/>
  <c r="BI28" i="110"/>
  <c r="BI88" i="110"/>
  <c r="BI36" i="110"/>
  <c r="BI12" i="110"/>
  <c r="BI10" i="110"/>
  <c r="BI15" i="110"/>
  <c r="Z15" i="110" s="1"/>
  <c r="BI92" i="110"/>
  <c r="BI30" i="110"/>
  <c r="CX35" i="110"/>
  <c r="CW46" i="110"/>
  <c r="CB46" i="110"/>
  <c r="CB90" i="110"/>
  <c r="CW90" i="110"/>
  <c r="BH86" i="110"/>
  <c r="CE19" i="110"/>
  <c r="CE26" i="110"/>
  <c r="BI18" i="131"/>
  <c r="BI18" i="132"/>
  <c r="BI18" i="130"/>
  <c r="BH24" i="110"/>
  <c r="BH35" i="110"/>
  <c r="BH94" i="110"/>
  <c r="BH7" i="110"/>
  <c r="CX24" i="110"/>
  <c r="CY29" i="110"/>
  <c r="CY39" i="110"/>
  <c r="CY30" i="110"/>
  <c r="CY40" i="110"/>
  <c r="CY34" i="110"/>
  <c r="CY36" i="110"/>
  <c r="CY27" i="110"/>
  <c r="CY18" i="110"/>
  <c r="CY15" i="110"/>
  <c r="CY28" i="110"/>
  <c r="CY26" i="110"/>
  <c r="CY19" i="110"/>
  <c r="CY10" i="110"/>
  <c r="L15" i="109"/>
  <c r="CY14" i="110"/>
  <c r="CY32" i="110"/>
  <c r="CY25" i="110"/>
  <c r="CY37" i="110"/>
  <c r="CY38" i="110"/>
  <c r="CY31" i="110"/>
  <c r="CY12" i="110"/>
  <c r="CY17" i="110"/>
  <c r="CY8" i="110"/>
  <c r="CY11" i="110"/>
  <c r="CA86" i="110"/>
  <c r="CA94" i="110"/>
  <c r="CV91" i="110"/>
  <c r="CD35" i="110"/>
  <c r="CV86" i="110"/>
  <c r="CA91" i="110"/>
  <c r="CD13" i="110"/>
  <c r="CD24" i="110"/>
  <c r="CD7" i="110"/>
  <c r="CV94" i="110"/>
  <c r="E3" i="125"/>
  <c r="AL43" i="110"/>
  <c r="AI43" i="110"/>
  <c r="AI41" i="110" s="1"/>
  <c r="AK43" i="110"/>
  <c r="AG43" i="110"/>
  <c r="AG41" i="110" s="1"/>
  <c r="AH43" i="110"/>
  <c r="AH41" i="110" s="1"/>
  <c r="AJ43" i="110"/>
  <c r="AJ41" i="110" s="1"/>
  <c r="AJ5" i="110" s="1"/>
  <c r="AM43" i="110"/>
  <c r="CW88" i="110"/>
  <c r="CW93" i="110"/>
  <c r="CB87" i="110"/>
  <c r="CB93" i="110"/>
  <c r="CB88" i="110"/>
  <c r="CW92" i="110"/>
  <c r="CB96" i="110"/>
  <c r="CW87" i="110"/>
  <c r="CB92" i="110"/>
  <c r="CB95" i="110"/>
  <c r="CW95" i="110"/>
  <c r="CW96" i="110"/>
  <c r="CB43" i="110"/>
  <c r="CW43" i="110"/>
  <c r="K17" i="109"/>
  <c r="J19" i="109"/>
  <c r="M14" i="109"/>
  <c r="CE31" i="110"/>
  <c r="CE38" i="110"/>
  <c r="CE37" i="110"/>
  <c r="CE17" i="110"/>
  <c r="CE15" i="110"/>
  <c r="CE34" i="110"/>
  <c r="CE12" i="110"/>
  <c r="CE11" i="110"/>
  <c r="CE32" i="110"/>
  <c r="CE8" i="110"/>
  <c r="CE40" i="110"/>
  <c r="CE36" i="110"/>
  <c r="CE28" i="110"/>
  <c r="CE25" i="110"/>
  <c r="CE14" i="110"/>
  <c r="CE18" i="110"/>
  <c r="CE27" i="110"/>
  <c r="CE10" i="110"/>
  <c r="CE39" i="110"/>
  <c r="CE30" i="110"/>
  <c r="CE29" i="110"/>
  <c r="U16" i="109"/>
  <c r="BI41" i="132"/>
  <c r="BI30" i="132"/>
  <c r="M10" i="109"/>
  <c r="BI11" i="132"/>
  <c r="BI6" i="132"/>
  <c r="BI10" i="132"/>
  <c r="BI12" i="132"/>
  <c r="BI14" i="132"/>
  <c r="BI32" i="132"/>
  <c r="BI40" i="132"/>
  <c r="BI42" i="132"/>
  <c r="BI92" i="132"/>
  <c r="BI102" i="132"/>
  <c r="BI96" i="132"/>
  <c r="BI99" i="132"/>
  <c r="BI101" i="132"/>
  <c r="BI97" i="132"/>
  <c r="BI100" i="132"/>
  <c r="BI104" i="132"/>
  <c r="BI22" i="131"/>
  <c r="BI40" i="131"/>
  <c r="BI34" i="130"/>
  <c r="BI28" i="130"/>
  <c r="BI22" i="130"/>
  <c r="Q22" i="130" s="1"/>
  <c r="BI93" i="132"/>
  <c r="BI91" i="132"/>
  <c r="BI94" i="132"/>
  <c r="BI30" i="130"/>
  <c r="BI103" i="130"/>
  <c r="BI5" i="132"/>
  <c r="BI48" i="132"/>
  <c r="BI103" i="132"/>
  <c r="BI32" i="130"/>
  <c r="BI90" i="132"/>
  <c r="BI27" i="130"/>
  <c r="BI95" i="132"/>
  <c r="BI6" i="131"/>
  <c r="Q6" i="131" s="1"/>
  <c r="BI10" i="130"/>
  <c r="BI102" i="130"/>
  <c r="BI100" i="130"/>
  <c r="BI5" i="131"/>
  <c r="BI40" i="130"/>
  <c r="BI97" i="130"/>
  <c r="BI8" i="131"/>
  <c r="BI17" i="132"/>
  <c r="BI38" i="132"/>
  <c r="BI7" i="132"/>
  <c r="BI16" i="132"/>
  <c r="BI94" i="130"/>
  <c r="BI96" i="130"/>
  <c r="BI99" i="130"/>
  <c r="BI104" i="131"/>
  <c r="BI92" i="131"/>
  <c r="BI90" i="131"/>
  <c r="BI90" i="130"/>
  <c r="BI95" i="131"/>
  <c r="BI12" i="131"/>
  <c r="BI92" i="130"/>
  <c r="BI101" i="130"/>
  <c r="BI96" i="131"/>
  <c r="BI16" i="131"/>
  <c r="Q16" i="131" s="1"/>
  <c r="BI7" i="130"/>
  <c r="BI42" i="130"/>
  <c r="BI91" i="130"/>
  <c r="BI104" i="130"/>
  <c r="BI35" i="130"/>
  <c r="BI103" i="131"/>
  <c r="BI97" i="131"/>
  <c r="BI9" i="131"/>
  <c r="BI13" i="132"/>
  <c r="BI9" i="132"/>
  <c r="BI11" i="131"/>
  <c r="BI38" i="130"/>
  <c r="BI9" i="130"/>
  <c r="BI8" i="132"/>
  <c r="BI43" i="132"/>
  <c r="BI33" i="130"/>
  <c r="BI31" i="131"/>
  <c r="BI19" i="131"/>
  <c r="BI43" i="131"/>
  <c r="BI44" i="130"/>
  <c r="BI44" i="132"/>
  <c r="BI19" i="130"/>
  <c r="BI25" i="132"/>
  <c r="BI36" i="132"/>
  <c r="BI34" i="131"/>
  <c r="BI37" i="132"/>
  <c r="BI23" i="132"/>
  <c r="BI14" i="131"/>
  <c r="BI27" i="132"/>
  <c r="BI35" i="132"/>
  <c r="BI89" i="130"/>
  <c r="BI93" i="130"/>
  <c r="BI41" i="130"/>
  <c r="BI100" i="131"/>
  <c r="BI48" i="130"/>
  <c r="BI88" i="130"/>
  <c r="BI27" i="131"/>
  <c r="BI7" i="131"/>
  <c r="BI95" i="130"/>
  <c r="BI102" i="131"/>
  <c r="BI101" i="131"/>
  <c r="BI94" i="131"/>
  <c r="BI91" i="131"/>
  <c r="BI41" i="131"/>
  <c r="BI99" i="131"/>
  <c r="BI93" i="131"/>
  <c r="BI89" i="131"/>
  <c r="BI88" i="131"/>
  <c r="BI29" i="130"/>
  <c r="BI37" i="130"/>
  <c r="BI48" i="131"/>
  <c r="BI12" i="130"/>
  <c r="BI38" i="131"/>
  <c r="BI8" i="130"/>
  <c r="BI29" i="131"/>
  <c r="BI13" i="131"/>
  <c r="BI10" i="131"/>
  <c r="BI5" i="130"/>
  <c r="BI11" i="130"/>
  <c r="BI13" i="130"/>
  <c r="Q13" i="130" s="1"/>
  <c r="BI43" i="130"/>
  <c r="BI33" i="132"/>
  <c r="BI19" i="132"/>
  <c r="BI15" i="131"/>
  <c r="Q15" i="131" s="1"/>
  <c r="BI15" i="132"/>
  <c r="BI33" i="131"/>
  <c r="BI31" i="132"/>
  <c r="BI32" i="131"/>
  <c r="BI28" i="131"/>
  <c r="BI42" i="131"/>
  <c r="BI35" i="131"/>
  <c r="BI30" i="131"/>
  <c r="BI22" i="132"/>
  <c r="BI36" i="131"/>
  <c r="BI34" i="132"/>
  <c r="BI37" i="131"/>
  <c r="BI28" i="132"/>
  <c r="BI14" i="130"/>
  <c r="BI29" i="132"/>
  <c r="BI17" i="131"/>
  <c r="BI20" i="131"/>
  <c r="BI20" i="132"/>
  <c r="BI31" i="130"/>
  <c r="BI36" i="130"/>
  <c r="BI25" i="130"/>
  <c r="BI25" i="131"/>
  <c r="BI23" i="130"/>
  <c r="BI17" i="130"/>
  <c r="BI23" i="131"/>
  <c r="BI20" i="130"/>
  <c r="BI21" i="131"/>
  <c r="BI21" i="130"/>
  <c r="Q21" i="130" s="1"/>
  <c r="BI21" i="132"/>
  <c r="AK5" i="127" l="1"/>
  <c r="CW94" i="126"/>
  <c r="AM91" i="126"/>
  <c r="BI91" i="127"/>
  <c r="BH44" i="127"/>
  <c r="BH41" i="127" s="1"/>
  <c r="CA44" i="126"/>
  <c r="CA41" i="126" s="1"/>
  <c r="CA5" i="126" s="1"/>
  <c r="BG5" i="126"/>
  <c r="AM35" i="126"/>
  <c r="BH6" i="126"/>
  <c r="BG5" i="127"/>
  <c r="CY7" i="127"/>
  <c r="CD6" i="126"/>
  <c r="AI5" i="110"/>
  <c r="BI35" i="127"/>
  <c r="CW45" i="110"/>
  <c r="CX6" i="126"/>
  <c r="CX6" i="127"/>
  <c r="CY24" i="126"/>
  <c r="CY35" i="127"/>
  <c r="CA44" i="127"/>
  <c r="CA41" i="127" s="1"/>
  <c r="CA5" i="127" s="1"/>
  <c r="AM35" i="127"/>
  <c r="CE16" i="126"/>
  <c r="CE7" i="126"/>
  <c r="BH44" i="126"/>
  <c r="BH41" i="126" s="1"/>
  <c r="CV44" i="127"/>
  <c r="CV41" i="127" s="1"/>
  <c r="CV5" i="127" s="1"/>
  <c r="AL6" i="127"/>
  <c r="AM24" i="126"/>
  <c r="AM86" i="126"/>
  <c r="CW91" i="127"/>
  <c r="R34" i="127"/>
  <c r="Q34" i="127"/>
  <c r="AP33" i="133" s="1"/>
  <c r="S34" i="127"/>
  <c r="CF23" i="127"/>
  <c r="CF23" i="110"/>
  <c r="CF23" i="126"/>
  <c r="CF33" i="127"/>
  <c r="CF33" i="126"/>
  <c r="CF33" i="110"/>
  <c r="CF20" i="127"/>
  <c r="CF20" i="110"/>
  <c r="CF20" i="126"/>
  <c r="CF12" i="126"/>
  <c r="CF12" i="127"/>
  <c r="CF21" i="127"/>
  <c r="CF21" i="110"/>
  <c r="CF21" i="126"/>
  <c r="CF22" i="127"/>
  <c r="CF32" i="127"/>
  <c r="CF8" i="126"/>
  <c r="CF31" i="127"/>
  <c r="CF15" i="126"/>
  <c r="CF37" i="127"/>
  <c r="CF15" i="127"/>
  <c r="CF22" i="110"/>
  <c r="CF40" i="127"/>
  <c r="CF31" i="126"/>
  <c r="CF38" i="126"/>
  <c r="CF22" i="126"/>
  <c r="CF8" i="127"/>
  <c r="CF38" i="127"/>
  <c r="CF40" i="126"/>
  <c r="CF14" i="126"/>
  <c r="CF37" i="126"/>
  <c r="CF14" i="127"/>
  <c r="CF27" i="126"/>
  <c r="CF27" i="127"/>
  <c r="CF11" i="126"/>
  <c r="CF32" i="126"/>
  <c r="CF34" i="126"/>
  <c r="CF34" i="127"/>
  <c r="CF10" i="127"/>
  <c r="CF10" i="126"/>
  <c r="CF39" i="126"/>
  <c r="CF28" i="126"/>
  <c r="CF30" i="126"/>
  <c r="CF28" i="127"/>
  <c r="CF30" i="127"/>
  <c r="CF29" i="126"/>
  <c r="CF42" i="127"/>
  <c r="CF42" i="126"/>
  <c r="CF29" i="127"/>
  <c r="CF17" i="127"/>
  <c r="CF39" i="127"/>
  <c r="CF11" i="127"/>
  <c r="CF18" i="127"/>
  <c r="CF17" i="126"/>
  <c r="CF9" i="127"/>
  <c r="CF18" i="126"/>
  <c r="CF9" i="126"/>
  <c r="CF26" i="126"/>
  <c r="CF36" i="126"/>
  <c r="CF25" i="126"/>
  <c r="CF25" i="127"/>
  <c r="CF26" i="127"/>
  <c r="CF36" i="127"/>
  <c r="CF19" i="127"/>
  <c r="CF19" i="126"/>
  <c r="CB45" i="110"/>
  <c r="AM45" i="110"/>
  <c r="AL6" i="126"/>
  <c r="CD6" i="127"/>
  <c r="CY16" i="127"/>
  <c r="CY13" i="126"/>
  <c r="AM24" i="127"/>
  <c r="AM94" i="126"/>
  <c r="AL44" i="127"/>
  <c r="AL41" i="127" s="1"/>
  <c r="AL5" i="127" s="1"/>
  <c r="BI86" i="126"/>
  <c r="BI24" i="126"/>
  <c r="BI24" i="127"/>
  <c r="BI7" i="127"/>
  <c r="BI94" i="127"/>
  <c r="CB86" i="127"/>
  <c r="CB94" i="127"/>
  <c r="CW94" i="127"/>
  <c r="CB91" i="127"/>
  <c r="CB91" i="126"/>
  <c r="CB45" i="126"/>
  <c r="CE24" i="126"/>
  <c r="CX57" i="126"/>
  <c r="CX85" i="126"/>
  <c r="CC85" i="126"/>
  <c r="CX58" i="127"/>
  <c r="CC58" i="127"/>
  <c r="CX55" i="126"/>
  <c r="CC84" i="127"/>
  <c r="CX83" i="126"/>
  <c r="CC57" i="126"/>
  <c r="CC56" i="127"/>
  <c r="CC55" i="126"/>
  <c r="CC83" i="126"/>
  <c r="CX56" i="127"/>
  <c r="CX55" i="127"/>
  <c r="CC65" i="126"/>
  <c r="CC57" i="127"/>
  <c r="CX84" i="127"/>
  <c r="CX83" i="127"/>
  <c r="CX58" i="126"/>
  <c r="CX56" i="126"/>
  <c r="CC56" i="126"/>
  <c r="CX65" i="126"/>
  <c r="CC83" i="127"/>
  <c r="CC55" i="127"/>
  <c r="CC84" i="126"/>
  <c r="CC65" i="110"/>
  <c r="CC58" i="110"/>
  <c r="CC55" i="110"/>
  <c r="CX57" i="110"/>
  <c r="CC85" i="127"/>
  <c r="CX85" i="127"/>
  <c r="CC65" i="127"/>
  <c r="CX65" i="127"/>
  <c r="CC84" i="110"/>
  <c r="CX84" i="110"/>
  <c r="CX83" i="110"/>
  <c r="CX57" i="127"/>
  <c r="CX84" i="126"/>
  <c r="CC83" i="110"/>
  <c r="CC85" i="110"/>
  <c r="CX56" i="110"/>
  <c r="CC56" i="110"/>
  <c r="CX55" i="110"/>
  <c r="CC58" i="126"/>
  <c r="CX85" i="110"/>
  <c r="CX65" i="110"/>
  <c r="CC57" i="110"/>
  <c r="CX58" i="110"/>
  <c r="CX54" i="110"/>
  <c r="CX47" i="127"/>
  <c r="CX47" i="110"/>
  <c r="CC47" i="126"/>
  <c r="CC54" i="110"/>
  <c r="CC47" i="110"/>
  <c r="CX47" i="126"/>
  <c r="CC47" i="127"/>
  <c r="CC67" i="127"/>
  <c r="CX63" i="127"/>
  <c r="CC63" i="127"/>
  <c r="CX63" i="126"/>
  <c r="CC75" i="126"/>
  <c r="CC75" i="110"/>
  <c r="CX60" i="126"/>
  <c r="CX66" i="110"/>
  <c r="CX59" i="126"/>
  <c r="CC67" i="126"/>
  <c r="CC79" i="126"/>
  <c r="CX79" i="126"/>
  <c r="CX70" i="127"/>
  <c r="CX75" i="126"/>
  <c r="CC60" i="126"/>
  <c r="CC68" i="126"/>
  <c r="CC62" i="126"/>
  <c r="CX59" i="127"/>
  <c r="CC63" i="126"/>
  <c r="CC70" i="127"/>
  <c r="CC62" i="110"/>
  <c r="CX80" i="127"/>
  <c r="CC80" i="127"/>
  <c r="CX64" i="126"/>
  <c r="CX64" i="127"/>
  <c r="CX81" i="127"/>
  <c r="CC59" i="127"/>
  <c r="CC59" i="126"/>
  <c r="CC61" i="126"/>
  <c r="CX70" i="126"/>
  <c r="CX75" i="110"/>
  <c r="CC66" i="127"/>
  <c r="CX62" i="126"/>
  <c r="CC78" i="110"/>
  <c r="CX67" i="127"/>
  <c r="CX78" i="110"/>
  <c r="CC71" i="110"/>
  <c r="CX76" i="126"/>
  <c r="CC82" i="126"/>
  <c r="CX59" i="110"/>
  <c r="CC67" i="110"/>
  <c r="CC79" i="127"/>
  <c r="CC75" i="127"/>
  <c r="CC66" i="126"/>
  <c r="CC68" i="127"/>
  <c r="CC68" i="110"/>
  <c r="CX68" i="110"/>
  <c r="CC62" i="127"/>
  <c r="CC78" i="127"/>
  <c r="CX66" i="127"/>
  <c r="CX68" i="126"/>
  <c r="CC80" i="110"/>
  <c r="CC64" i="126"/>
  <c r="CX69" i="127"/>
  <c r="CC69" i="127"/>
  <c r="CX71" i="110"/>
  <c r="CX71" i="127"/>
  <c r="CX73" i="127"/>
  <c r="CC72" i="126"/>
  <c r="CC74" i="126"/>
  <c r="CC59" i="110"/>
  <c r="CX67" i="110"/>
  <c r="CC61" i="110"/>
  <c r="CC63" i="110"/>
  <c r="CX61" i="126"/>
  <c r="CC70" i="126"/>
  <c r="CC66" i="110"/>
  <c r="CX62" i="110"/>
  <c r="CX80" i="110"/>
  <c r="CX72" i="126"/>
  <c r="CX74" i="126"/>
  <c r="CX79" i="127"/>
  <c r="CC60" i="110"/>
  <c r="CX60" i="127"/>
  <c r="CX68" i="127"/>
  <c r="CX78" i="126"/>
  <c r="CC78" i="126"/>
  <c r="CX81" i="110"/>
  <c r="CX69" i="126"/>
  <c r="CC81" i="127"/>
  <c r="CC71" i="127"/>
  <c r="CX61" i="110"/>
  <c r="CX61" i="127"/>
  <c r="CX79" i="110"/>
  <c r="CC79" i="110"/>
  <c r="CX67" i="126"/>
  <c r="CC73" i="127"/>
  <c r="CC61" i="127"/>
  <c r="CX63" i="110"/>
  <c r="CX70" i="110"/>
  <c r="CX75" i="127"/>
  <c r="CX62" i="127"/>
  <c r="CC81" i="110"/>
  <c r="CC76" i="110"/>
  <c r="CX82" i="110"/>
  <c r="CC74" i="110"/>
  <c r="CX54" i="126"/>
  <c r="CC46" i="126"/>
  <c r="CX52" i="126"/>
  <c r="CX54" i="127"/>
  <c r="CC92" i="127"/>
  <c r="CC50" i="126"/>
  <c r="CX50" i="126"/>
  <c r="CX49" i="126"/>
  <c r="CC49" i="126"/>
  <c r="CC92" i="126"/>
  <c r="CC93" i="127"/>
  <c r="CC53" i="127"/>
  <c r="CX82" i="126"/>
  <c r="CC70" i="110"/>
  <c r="CX66" i="126"/>
  <c r="CX78" i="127"/>
  <c r="CC71" i="126"/>
  <c r="CC73" i="110"/>
  <c r="CX82" i="127"/>
  <c r="CC72" i="110"/>
  <c r="CX72" i="110"/>
  <c r="CC74" i="127"/>
  <c r="CX89" i="127"/>
  <c r="CX51" i="126"/>
  <c r="CC51" i="126"/>
  <c r="CC50" i="127"/>
  <c r="CX50" i="127"/>
  <c r="CC49" i="110"/>
  <c r="CX49" i="110"/>
  <c r="CX48" i="127"/>
  <c r="CC52" i="110"/>
  <c r="CX52" i="110"/>
  <c r="CC64" i="127"/>
  <c r="CC60" i="127"/>
  <c r="CX80" i="126"/>
  <c r="CC64" i="110"/>
  <c r="CX81" i="126"/>
  <c r="CX69" i="110"/>
  <c r="CC69" i="126"/>
  <c r="CC73" i="126"/>
  <c r="CX76" i="110"/>
  <c r="CX76" i="127"/>
  <c r="CC82" i="110"/>
  <c r="CC82" i="127"/>
  <c r="CX72" i="127"/>
  <c r="CX74" i="110"/>
  <c r="CC89" i="127"/>
  <c r="CX46" i="126"/>
  <c r="CC52" i="126"/>
  <c r="CX53" i="126"/>
  <c r="CX49" i="127"/>
  <c r="CX92" i="127"/>
  <c r="CX48" i="110"/>
  <c r="CX51" i="127"/>
  <c r="CC48" i="127"/>
  <c r="CX93" i="126"/>
  <c r="CC80" i="126"/>
  <c r="CC81" i="126"/>
  <c r="CC69" i="110"/>
  <c r="CX73" i="110"/>
  <c r="CC72" i="127"/>
  <c r="CX74" i="127"/>
  <c r="CC54" i="126"/>
  <c r="CC49" i="127"/>
  <c r="CC48" i="110"/>
  <c r="CC51" i="127"/>
  <c r="CC52" i="127"/>
  <c r="CC53" i="110"/>
  <c r="CX89" i="126"/>
  <c r="CX71" i="126"/>
  <c r="CX73" i="126"/>
  <c r="CX53" i="110"/>
  <c r="CX53" i="127"/>
  <c r="CC50" i="110"/>
  <c r="CX64" i="110"/>
  <c r="CC76" i="127"/>
  <c r="CX93" i="127"/>
  <c r="CC54" i="127"/>
  <c r="CC48" i="126"/>
  <c r="CC53" i="126"/>
  <c r="CX46" i="127"/>
  <c r="CC46" i="127"/>
  <c r="CC93" i="126"/>
  <c r="CX52" i="127"/>
  <c r="CX51" i="110"/>
  <c r="CX92" i="126"/>
  <c r="CC89" i="126"/>
  <c r="CX50" i="110"/>
  <c r="CC76" i="126"/>
  <c r="CX60" i="110"/>
  <c r="CC51" i="110"/>
  <c r="CX48" i="126"/>
  <c r="CX77" i="126"/>
  <c r="CX87" i="127"/>
  <c r="CX96" i="126"/>
  <c r="CC96" i="126"/>
  <c r="CC87" i="126"/>
  <c r="CX95" i="127"/>
  <c r="CX95" i="126"/>
  <c r="CX94" i="126" s="1"/>
  <c r="CX77" i="110"/>
  <c r="CC77" i="126"/>
  <c r="CC96" i="127"/>
  <c r="CC88" i="127"/>
  <c r="CX88" i="127"/>
  <c r="CC77" i="127"/>
  <c r="CX77" i="127"/>
  <c r="CX96" i="127"/>
  <c r="CC77" i="110"/>
  <c r="CC87" i="127"/>
  <c r="CX87" i="126"/>
  <c r="CC95" i="127"/>
  <c r="CC88" i="126"/>
  <c r="CC95" i="126"/>
  <c r="CX88" i="126"/>
  <c r="CX43" i="127"/>
  <c r="CC43" i="127"/>
  <c r="CX43" i="126"/>
  <c r="CC43" i="126"/>
  <c r="CC90" i="127"/>
  <c r="CX90" i="127"/>
  <c r="CX90" i="126"/>
  <c r="CC90" i="126"/>
  <c r="CB45" i="127"/>
  <c r="Q33" i="127"/>
  <c r="AP32" i="133" s="1"/>
  <c r="S33" i="127"/>
  <c r="R33" i="127"/>
  <c r="CY35" i="126"/>
  <c r="CY13" i="127"/>
  <c r="Q8" i="127"/>
  <c r="AP7" i="133" s="1"/>
  <c r="R8" i="127"/>
  <c r="S8" i="127"/>
  <c r="AM16" i="127"/>
  <c r="R54" i="126"/>
  <c r="Q54" i="126"/>
  <c r="AO53" i="133" s="1"/>
  <c r="S54" i="126"/>
  <c r="AM45" i="127"/>
  <c r="AM13" i="127"/>
  <c r="BI16" i="126"/>
  <c r="BI35" i="126"/>
  <c r="BI45" i="126"/>
  <c r="BI13" i="127"/>
  <c r="CB86" i="126"/>
  <c r="CE16" i="127"/>
  <c r="CE35" i="126"/>
  <c r="CE7" i="127"/>
  <c r="CE13" i="126"/>
  <c r="CZ23" i="127"/>
  <c r="CZ23" i="110"/>
  <c r="CZ23" i="126"/>
  <c r="CZ33" i="127"/>
  <c r="CZ33" i="126"/>
  <c r="CZ33" i="110"/>
  <c r="CZ20" i="126"/>
  <c r="CZ20" i="127"/>
  <c r="CZ20" i="110"/>
  <c r="CZ12" i="127"/>
  <c r="CZ12" i="126"/>
  <c r="CZ21" i="110"/>
  <c r="CZ21" i="126"/>
  <c r="CZ21" i="127"/>
  <c r="CZ22" i="110"/>
  <c r="CZ32" i="127"/>
  <c r="CZ32" i="126"/>
  <c r="CZ8" i="126"/>
  <c r="CZ27" i="126"/>
  <c r="CZ38" i="126"/>
  <c r="CZ38" i="127"/>
  <c r="CZ40" i="126"/>
  <c r="CZ31" i="127"/>
  <c r="CZ37" i="126"/>
  <c r="CZ37" i="127"/>
  <c r="CZ22" i="126"/>
  <c r="CZ8" i="127"/>
  <c r="CZ31" i="126"/>
  <c r="CZ14" i="127"/>
  <c r="CZ22" i="127"/>
  <c r="CZ14" i="126"/>
  <c r="CZ40" i="127"/>
  <c r="CZ15" i="126"/>
  <c r="CZ27" i="127"/>
  <c r="CZ15" i="127"/>
  <c r="CZ34" i="127"/>
  <c r="CZ34" i="126"/>
  <c r="CZ18" i="126"/>
  <c r="CZ10" i="126"/>
  <c r="CZ11" i="126"/>
  <c r="CZ30" i="127"/>
  <c r="CZ11" i="127"/>
  <c r="CZ42" i="126"/>
  <c r="CZ10" i="127"/>
  <c r="CZ30" i="126"/>
  <c r="CZ17" i="127"/>
  <c r="CZ29" i="126"/>
  <c r="CZ28" i="127"/>
  <c r="CZ28" i="126"/>
  <c r="CZ42" i="127"/>
  <c r="CZ29" i="127"/>
  <c r="CZ39" i="126"/>
  <c r="CZ39" i="127"/>
  <c r="CZ18" i="127"/>
  <c r="CZ9" i="127"/>
  <c r="CZ9" i="126"/>
  <c r="CZ17" i="126"/>
  <c r="CZ36" i="126"/>
  <c r="CZ25" i="126"/>
  <c r="CZ36" i="127"/>
  <c r="CZ26" i="126"/>
  <c r="CZ26" i="127"/>
  <c r="CZ25" i="127"/>
  <c r="CZ19" i="127"/>
  <c r="CZ19" i="126"/>
  <c r="AL44" i="126"/>
  <c r="AL41" i="126" s="1"/>
  <c r="AM94" i="127"/>
  <c r="AM45" i="126"/>
  <c r="BI86" i="127"/>
  <c r="CW86" i="127"/>
  <c r="CW45" i="127"/>
  <c r="BJ39" i="130"/>
  <c r="BJ39" i="132"/>
  <c r="BJ39" i="131"/>
  <c r="BJ67" i="132"/>
  <c r="BJ57" i="132"/>
  <c r="BJ60" i="132"/>
  <c r="BJ87" i="132"/>
  <c r="BJ85" i="131"/>
  <c r="BJ59" i="131"/>
  <c r="BJ59" i="130"/>
  <c r="BJ86" i="130"/>
  <c r="BJ60" i="130"/>
  <c r="BJ86" i="131"/>
  <c r="BJ59" i="132"/>
  <c r="BJ60" i="131"/>
  <c r="BJ57" i="131"/>
  <c r="BJ67" i="130"/>
  <c r="BJ58" i="130"/>
  <c r="BJ58" i="132"/>
  <c r="BJ67" i="131"/>
  <c r="BJ85" i="132"/>
  <c r="BJ58" i="131"/>
  <c r="BJ85" i="130"/>
  <c r="BJ86" i="132"/>
  <c r="BJ87" i="130"/>
  <c r="BJ45" i="130"/>
  <c r="BJ45" i="131"/>
  <c r="BJ45" i="132"/>
  <c r="BJ49" i="132"/>
  <c r="BJ49" i="131"/>
  <c r="BJ49" i="130"/>
  <c r="BJ76" i="132"/>
  <c r="Q76" i="132" s="1"/>
  <c r="BJ79" i="132"/>
  <c r="BJ75" i="132"/>
  <c r="Q75" i="132" s="1"/>
  <c r="BJ78" i="132"/>
  <c r="Q78" i="132" s="1"/>
  <c r="BJ77" i="132"/>
  <c r="Q77" i="132" s="1"/>
  <c r="BJ70" i="131"/>
  <c r="BJ53" i="131"/>
  <c r="BJ50" i="131"/>
  <c r="BJ53" i="130"/>
  <c r="BJ74" i="131"/>
  <c r="BJ55" i="130"/>
  <c r="BJ55" i="132"/>
  <c r="BJ83" i="130"/>
  <c r="BJ54" i="131"/>
  <c r="BJ73" i="131"/>
  <c r="BJ72" i="132"/>
  <c r="BJ74" i="132"/>
  <c r="BJ54" i="132"/>
  <c r="BJ71" i="131"/>
  <c r="BJ82" i="131"/>
  <c r="BJ54" i="130"/>
  <c r="BJ66" i="130"/>
  <c r="BJ73" i="132"/>
  <c r="BJ50" i="132"/>
  <c r="BJ71" i="130"/>
  <c r="BJ52" i="131"/>
  <c r="BJ84" i="132"/>
  <c r="BJ53" i="132"/>
  <c r="BJ71" i="132"/>
  <c r="BJ84" i="130"/>
  <c r="BJ74" i="130"/>
  <c r="BJ50" i="130"/>
  <c r="BJ66" i="132"/>
  <c r="BJ73" i="130"/>
  <c r="BJ81" i="131"/>
  <c r="BJ51" i="132"/>
  <c r="BJ55" i="131"/>
  <c r="BJ52" i="130"/>
  <c r="BJ62" i="131"/>
  <c r="BJ69" i="131"/>
  <c r="BJ83" i="131"/>
  <c r="BJ83" i="132"/>
  <c r="BJ72" i="130"/>
  <c r="BJ72" i="131"/>
  <c r="BJ52" i="132"/>
  <c r="BJ51" i="130"/>
  <c r="BJ51" i="131"/>
  <c r="BJ69" i="132"/>
  <c r="BJ81" i="132"/>
  <c r="BJ64" i="131"/>
  <c r="BJ61" i="132"/>
  <c r="BJ65" i="132"/>
  <c r="BJ64" i="132"/>
  <c r="BJ79" i="131"/>
  <c r="BJ61" i="130"/>
  <c r="BJ84" i="131"/>
  <c r="BJ80" i="131"/>
  <c r="BJ80" i="130"/>
  <c r="Q80" i="130" s="1"/>
  <c r="BJ69" i="130"/>
  <c r="BJ62" i="130"/>
  <c r="BJ68" i="130"/>
  <c r="BJ66" i="131"/>
  <c r="BJ63" i="131"/>
  <c r="BJ63" i="132"/>
  <c r="BJ79" i="130"/>
  <c r="BJ70" i="132"/>
  <c r="BJ81" i="130"/>
  <c r="Q81" i="130" s="1"/>
  <c r="BJ82" i="130"/>
  <c r="Q82" i="130" s="1"/>
  <c r="BJ68" i="132"/>
  <c r="BJ61" i="131"/>
  <c r="BJ80" i="132"/>
  <c r="BJ82" i="132"/>
  <c r="BJ65" i="130"/>
  <c r="Q65" i="130" s="1"/>
  <c r="BJ70" i="130"/>
  <c r="BJ62" i="132"/>
  <c r="BJ63" i="130"/>
  <c r="Q63" i="130" s="1"/>
  <c r="BJ64" i="130"/>
  <c r="Q64" i="130" s="1"/>
  <c r="BJ87" i="131"/>
  <c r="BJ68" i="131"/>
  <c r="BJ57" i="130"/>
  <c r="BJ65" i="131"/>
  <c r="BJ44" i="131"/>
  <c r="BJ23" i="110"/>
  <c r="BJ23" i="126"/>
  <c r="BJ23" i="127"/>
  <c r="BJ85" i="126"/>
  <c r="BJ57" i="126"/>
  <c r="BJ84" i="127"/>
  <c r="BJ83" i="126"/>
  <c r="BJ56" i="127"/>
  <c r="BJ58" i="127"/>
  <c r="BJ55" i="126"/>
  <c r="BJ65" i="126"/>
  <c r="BJ57" i="127"/>
  <c r="BJ83" i="127"/>
  <c r="BJ85" i="127"/>
  <c r="BJ55" i="127"/>
  <c r="BJ56" i="126"/>
  <c r="BJ55" i="110"/>
  <c r="BJ84" i="126"/>
  <c r="BJ83" i="110"/>
  <c r="BJ65" i="110"/>
  <c r="BJ85" i="110"/>
  <c r="BJ56" i="110"/>
  <c r="BJ84" i="110"/>
  <c r="BJ58" i="110"/>
  <c r="BJ57" i="110"/>
  <c r="BJ58" i="126"/>
  <c r="BJ65" i="127"/>
  <c r="BJ20" i="110"/>
  <c r="BJ20" i="126"/>
  <c r="BJ20" i="127"/>
  <c r="BJ12" i="126"/>
  <c r="BJ12" i="127"/>
  <c r="BJ21" i="127"/>
  <c r="BJ21" i="110"/>
  <c r="BJ21" i="126"/>
  <c r="BJ47" i="126"/>
  <c r="BJ47" i="127"/>
  <c r="BJ47" i="110"/>
  <c r="BJ22" i="126"/>
  <c r="BJ22" i="127"/>
  <c r="BJ15" i="126"/>
  <c r="Z15" i="126" s="1"/>
  <c r="BJ15" i="127"/>
  <c r="BJ14" i="126"/>
  <c r="BJ22" i="110"/>
  <c r="BJ14" i="127"/>
  <c r="BJ59" i="127"/>
  <c r="BJ67" i="127"/>
  <c r="BJ63" i="127"/>
  <c r="BJ59" i="126"/>
  <c r="BJ70" i="126"/>
  <c r="BJ61" i="126"/>
  <c r="BJ63" i="126"/>
  <c r="BJ66" i="110"/>
  <c r="BJ62" i="126"/>
  <c r="BJ80" i="127"/>
  <c r="BJ80" i="110"/>
  <c r="BJ79" i="126"/>
  <c r="BJ70" i="127"/>
  <c r="BJ75" i="126"/>
  <c r="Z75" i="126" s="1"/>
  <c r="BJ66" i="127"/>
  <c r="BJ78" i="110"/>
  <c r="BJ60" i="126"/>
  <c r="BJ62" i="110"/>
  <c r="BJ81" i="127"/>
  <c r="BJ71" i="110"/>
  <c r="BJ60" i="110"/>
  <c r="BJ66" i="126"/>
  <c r="BJ68" i="127"/>
  <c r="BJ78" i="127"/>
  <c r="BJ67" i="126"/>
  <c r="BJ69" i="127"/>
  <c r="BJ73" i="127"/>
  <c r="BJ76" i="126"/>
  <c r="Z76" i="126" s="1"/>
  <c r="BJ67" i="110"/>
  <c r="BJ61" i="110"/>
  <c r="BJ79" i="127"/>
  <c r="BJ68" i="126"/>
  <c r="BJ64" i="126"/>
  <c r="BJ64" i="127"/>
  <c r="BJ71" i="127"/>
  <c r="BJ82" i="126"/>
  <c r="BJ63" i="110"/>
  <c r="BJ70" i="110"/>
  <c r="BJ69" i="110"/>
  <c r="BJ74" i="126"/>
  <c r="Z74" i="126" s="1"/>
  <c r="BJ59" i="110"/>
  <c r="BJ62" i="127"/>
  <c r="BJ72" i="126"/>
  <c r="BJ75" i="127"/>
  <c r="BJ60" i="127"/>
  <c r="BJ79" i="110"/>
  <c r="BJ78" i="126"/>
  <c r="BJ64" i="110"/>
  <c r="BJ81" i="126"/>
  <c r="BJ73" i="126"/>
  <c r="Z73" i="126" s="1"/>
  <c r="BJ76" i="127"/>
  <c r="BJ82" i="110"/>
  <c r="BJ72" i="110"/>
  <c r="BJ89" i="127"/>
  <c r="BJ46" i="126"/>
  <c r="BJ52" i="126"/>
  <c r="BJ92" i="127"/>
  <c r="BJ48" i="110"/>
  <c r="BJ51" i="127"/>
  <c r="BJ49" i="126"/>
  <c r="BJ51" i="110"/>
  <c r="BJ92" i="126"/>
  <c r="BJ48" i="126"/>
  <c r="BJ50" i="110"/>
  <c r="BJ61" i="127"/>
  <c r="BJ80" i="126"/>
  <c r="BJ81" i="110"/>
  <c r="BJ51" i="126"/>
  <c r="BJ46" i="127"/>
  <c r="BJ50" i="127"/>
  <c r="BJ68" i="110"/>
  <c r="BJ71" i="126"/>
  <c r="BJ72" i="127"/>
  <c r="BJ74" i="127"/>
  <c r="BJ53" i="126"/>
  <c r="BJ49" i="127"/>
  <c r="BJ93" i="126"/>
  <c r="BJ69" i="126"/>
  <c r="BJ52" i="110"/>
  <c r="BJ93" i="127"/>
  <c r="BJ53" i="127"/>
  <c r="BJ50" i="126"/>
  <c r="BJ52" i="127"/>
  <c r="BJ82" i="127"/>
  <c r="BJ53" i="110"/>
  <c r="BJ49" i="110"/>
  <c r="BJ48" i="127"/>
  <c r="BJ89" i="126"/>
  <c r="BJ77" i="126"/>
  <c r="BJ96" i="126"/>
  <c r="BJ88" i="126"/>
  <c r="BJ77" i="110"/>
  <c r="BJ96" i="127"/>
  <c r="BJ77" i="127"/>
  <c r="BJ87" i="127"/>
  <c r="BJ87" i="126"/>
  <c r="BJ95" i="127"/>
  <c r="BJ94" i="127" s="1"/>
  <c r="BJ95" i="126"/>
  <c r="BJ88" i="127"/>
  <c r="BJ30" i="126"/>
  <c r="BJ10" i="126"/>
  <c r="BJ28" i="127"/>
  <c r="BJ28" i="126"/>
  <c r="BJ11" i="127"/>
  <c r="BJ18" i="126"/>
  <c r="BJ29" i="126"/>
  <c r="BJ29" i="127"/>
  <c r="BJ17" i="127"/>
  <c r="BJ30" i="127"/>
  <c r="BJ39" i="126"/>
  <c r="BJ18" i="127"/>
  <c r="BJ39" i="127"/>
  <c r="BJ42" i="127"/>
  <c r="BJ10" i="127"/>
  <c r="BJ42" i="126"/>
  <c r="BJ17" i="126"/>
  <c r="BJ11" i="126"/>
  <c r="Z11" i="126" s="1"/>
  <c r="BJ9" i="127"/>
  <c r="BJ9" i="126"/>
  <c r="BJ36" i="126"/>
  <c r="BJ43" i="127"/>
  <c r="BJ26" i="127"/>
  <c r="BJ25" i="126"/>
  <c r="BJ43" i="126"/>
  <c r="BJ36" i="127"/>
  <c r="BJ25" i="127"/>
  <c r="BJ26" i="126"/>
  <c r="BJ19" i="126"/>
  <c r="BJ90" i="127"/>
  <c r="BJ19" i="127"/>
  <c r="BJ90" i="126"/>
  <c r="BI45" i="110"/>
  <c r="AM39" i="131"/>
  <c r="AM39" i="130"/>
  <c r="AM39" i="132"/>
  <c r="AN23" i="127"/>
  <c r="AN23" i="110"/>
  <c r="AN23" i="126"/>
  <c r="AN58" i="127"/>
  <c r="AN85" i="126"/>
  <c r="AN57" i="126"/>
  <c r="AN84" i="127"/>
  <c r="AM57" i="132"/>
  <c r="AN83" i="126"/>
  <c r="AN56" i="127"/>
  <c r="AM59" i="132"/>
  <c r="AM85" i="132"/>
  <c r="AM86" i="131"/>
  <c r="AM87" i="131"/>
  <c r="AM67" i="131"/>
  <c r="AM87" i="130"/>
  <c r="AM57" i="130"/>
  <c r="AM58" i="132"/>
  <c r="AM60" i="132"/>
  <c r="AM59" i="131"/>
  <c r="AM57" i="131"/>
  <c r="AM60" i="131"/>
  <c r="AM87" i="132"/>
  <c r="AM85" i="131"/>
  <c r="AM85" i="130"/>
  <c r="AM67" i="130"/>
  <c r="AM59" i="130"/>
  <c r="AM58" i="131"/>
  <c r="AM86" i="130"/>
  <c r="AM86" i="132"/>
  <c r="AM58" i="130"/>
  <c r="AM67" i="132"/>
  <c r="AM60" i="130"/>
  <c r="AN55" i="126"/>
  <c r="AN84" i="126"/>
  <c r="AN55" i="127"/>
  <c r="AN65" i="126"/>
  <c r="AN57" i="127"/>
  <c r="AN83" i="127"/>
  <c r="AN85" i="127"/>
  <c r="AN56" i="110"/>
  <c r="AN55" i="110"/>
  <c r="AN58" i="126"/>
  <c r="AN85" i="110"/>
  <c r="AN65" i="127"/>
  <c r="AN56" i="126"/>
  <c r="AN57" i="110"/>
  <c r="AN65" i="110"/>
  <c r="AN84" i="110"/>
  <c r="AN58" i="110"/>
  <c r="AN83" i="110"/>
  <c r="AM45" i="132"/>
  <c r="AM45" i="131"/>
  <c r="AN20" i="126"/>
  <c r="AM45" i="130"/>
  <c r="AN20" i="110"/>
  <c r="AN20" i="127"/>
  <c r="AN22" i="127"/>
  <c r="AN21" i="126"/>
  <c r="AN21" i="110"/>
  <c r="AN21" i="127"/>
  <c r="AM49" i="132"/>
  <c r="AM49" i="131"/>
  <c r="AM49" i="130"/>
  <c r="AN47" i="126"/>
  <c r="AN47" i="110"/>
  <c r="AN47" i="127"/>
  <c r="AN14" i="127"/>
  <c r="AM78" i="132"/>
  <c r="AM76" i="132"/>
  <c r="AM69" i="131"/>
  <c r="AM75" i="132"/>
  <c r="AN15" i="127"/>
  <c r="AN14" i="126"/>
  <c r="AM62" i="131"/>
  <c r="AN12" i="126"/>
  <c r="AN15" i="126"/>
  <c r="AN12" i="127"/>
  <c r="AM77" i="132"/>
  <c r="AM81" i="131"/>
  <c r="AM80" i="131"/>
  <c r="AN59" i="127"/>
  <c r="AN59" i="126"/>
  <c r="AN63" i="126"/>
  <c r="AM53" i="131"/>
  <c r="AN60" i="126"/>
  <c r="AM70" i="131"/>
  <c r="AM54" i="130"/>
  <c r="AN67" i="127"/>
  <c r="AN61" i="126"/>
  <c r="AN75" i="126"/>
  <c r="AM55" i="132"/>
  <c r="AN66" i="110"/>
  <c r="AN66" i="127"/>
  <c r="AN68" i="126"/>
  <c r="AN63" i="127"/>
  <c r="AN79" i="126"/>
  <c r="AN70" i="126"/>
  <c r="AN75" i="110"/>
  <c r="Y75" i="110" s="1"/>
  <c r="AN64" i="126"/>
  <c r="AN64" i="127"/>
  <c r="AM66" i="130"/>
  <c r="AN81" i="127"/>
  <c r="AN69" i="127"/>
  <c r="AM63" i="131"/>
  <c r="AN67" i="126"/>
  <c r="AM50" i="130"/>
  <c r="AM55" i="130"/>
  <c r="AM72" i="131"/>
  <c r="AN62" i="110"/>
  <c r="AN80" i="110"/>
  <c r="AN71" i="110"/>
  <c r="AN71" i="127"/>
  <c r="AN72" i="126"/>
  <c r="AN74" i="126"/>
  <c r="AN59" i="110"/>
  <c r="AM56" i="132"/>
  <c r="P56" i="132" s="1"/>
  <c r="N56" i="132" s="1"/>
  <c r="P56" i="118" s="1"/>
  <c r="AN79" i="127"/>
  <c r="AM53" i="132"/>
  <c r="AN68" i="110"/>
  <c r="AN70" i="127"/>
  <c r="AM83" i="131"/>
  <c r="AN76" i="126"/>
  <c r="AM51" i="131"/>
  <c r="AN82" i="126"/>
  <c r="AN67" i="110"/>
  <c r="AN61" i="110"/>
  <c r="AM76" i="130"/>
  <c r="P76" i="130" s="1"/>
  <c r="N76" i="130" s="1"/>
  <c r="N76" i="118" s="1"/>
  <c r="AM64" i="131"/>
  <c r="AN62" i="126"/>
  <c r="AN80" i="127"/>
  <c r="AM51" i="130"/>
  <c r="AM84" i="132"/>
  <c r="AM74" i="132"/>
  <c r="AN61" i="127"/>
  <c r="AN62" i="127"/>
  <c r="AN80" i="126"/>
  <c r="AM52" i="131"/>
  <c r="AN69" i="126"/>
  <c r="AM73" i="132"/>
  <c r="AM84" i="130"/>
  <c r="AM74" i="130"/>
  <c r="AN63" i="110"/>
  <c r="AN70" i="110"/>
  <c r="AM72" i="130"/>
  <c r="AM55" i="131"/>
  <c r="AN78" i="126"/>
  <c r="AN78" i="110"/>
  <c r="AM52" i="132"/>
  <c r="AM83" i="132"/>
  <c r="AM54" i="132"/>
  <c r="AN79" i="110"/>
  <c r="AN75" i="127"/>
  <c r="AM50" i="131"/>
  <c r="AN68" i="127"/>
  <c r="AM54" i="131"/>
  <c r="AM53" i="130"/>
  <c r="AN60" i="110"/>
  <c r="AN66" i="126"/>
  <c r="AM66" i="131"/>
  <c r="AN81" i="126"/>
  <c r="AN71" i="126"/>
  <c r="AN76" i="110"/>
  <c r="Y76" i="110" s="1"/>
  <c r="AM51" i="132"/>
  <c r="AN82" i="110"/>
  <c r="AM84" i="131"/>
  <c r="AM74" i="131"/>
  <c r="AN74" i="127"/>
  <c r="AN89" i="127"/>
  <c r="AN52" i="126"/>
  <c r="AN46" i="127"/>
  <c r="AN49" i="110"/>
  <c r="AN50" i="126"/>
  <c r="AN52" i="127"/>
  <c r="AN48" i="126"/>
  <c r="AN53" i="127"/>
  <c r="AM71" i="132"/>
  <c r="AM72" i="132"/>
  <c r="AN60" i="127"/>
  <c r="AN78" i="127"/>
  <c r="AM83" i="130"/>
  <c r="AN73" i="126"/>
  <c r="AN76" i="127"/>
  <c r="AM65" i="131"/>
  <c r="AN54" i="127"/>
  <c r="Y54" i="127" s="1"/>
  <c r="AM52" i="130"/>
  <c r="AM50" i="132"/>
  <c r="AN64" i="110"/>
  <c r="AM66" i="132"/>
  <c r="AN69" i="110"/>
  <c r="AM73" i="131"/>
  <c r="AN73" i="110"/>
  <c r="Y73" i="110" s="1"/>
  <c r="AN82" i="127"/>
  <c r="AN72" i="127"/>
  <c r="AN74" i="110"/>
  <c r="Y74" i="110" s="1"/>
  <c r="AM61" i="131"/>
  <c r="AN51" i="126"/>
  <c r="AN48" i="110"/>
  <c r="AN50" i="127"/>
  <c r="AN51" i="127"/>
  <c r="AN81" i="110"/>
  <c r="AN49" i="127"/>
  <c r="AN93" i="126"/>
  <c r="AN49" i="126"/>
  <c r="AN51" i="110"/>
  <c r="AM64" i="132"/>
  <c r="AM82" i="131"/>
  <c r="AM69" i="132"/>
  <c r="AM62" i="132"/>
  <c r="AM68" i="131"/>
  <c r="AM77" i="131"/>
  <c r="AM62" i="130"/>
  <c r="AN53" i="126"/>
  <c r="AN48" i="127"/>
  <c r="AM70" i="132"/>
  <c r="AM63" i="132"/>
  <c r="AM75" i="131"/>
  <c r="AM80" i="130"/>
  <c r="AM65" i="130"/>
  <c r="AM71" i="130"/>
  <c r="AN46" i="126"/>
  <c r="AN92" i="126"/>
  <c r="AN93" i="127"/>
  <c r="AM80" i="132"/>
  <c r="AM81" i="132"/>
  <c r="AM79" i="132"/>
  <c r="AM82" i="132"/>
  <c r="AM78" i="130"/>
  <c r="P78" i="130" s="1"/>
  <c r="N78" i="130" s="1"/>
  <c r="N78" i="118" s="1"/>
  <c r="AM76" i="131"/>
  <c r="AM77" i="130"/>
  <c r="P77" i="130" s="1"/>
  <c r="N77" i="130" s="1"/>
  <c r="N77" i="118" s="1"/>
  <c r="AM69" i="130"/>
  <c r="AM81" i="130"/>
  <c r="AM61" i="130"/>
  <c r="AM70" i="130"/>
  <c r="AM63" i="130"/>
  <c r="AM82" i="130"/>
  <c r="AM71" i="131"/>
  <c r="AN72" i="110"/>
  <c r="AN50" i="110"/>
  <c r="AM68" i="132"/>
  <c r="AN73" i="127"/>
  <c r="AM73" i="130"/>
  <c r="AN92" i="127"/>
  <c r="AN91" i="127" s="1"/>
  <c r="AN52" i="110"/>
  <c r="AN89" i="126"/>
  <c r="AM64" i="130"/>
  <c r="AM68" i="130"/>
  <c r="AN53" i="110"/>
  <c r="AM65" i="132"/>
  <c r="AM61" i="132"/>
  <c r="AM75" i="130"/>
  <c r="P75" i="130" s="1"/>
  <c r="N75" i="130" s="1"/>
  <c r="N75" i="118" s="1"/>
  <c r="AM78" i="131"/>
  <c r="AN87" i="127"/>
  <c r="AN95" i="127"/>
  <c r="AN88" i="127"/>
  <c r="AN77" i="127"/>
  <c r="AN96" i="127"/>
  <c r="AN96" i="126"/>
  <c r="AN77" i="126"/>
  <c r="AN87" i="126"/>
  <c r="AN77" i="110"/>
  <c r="AN88" i="126"/>
  <c r="AM79" i="131"/>
  <c r="AN95" i="126"/>
  <c r="AM79" i="130"/>
  <c r="AN22" i="126"/>
  <c r="AN42" i="127"/>
  <c r="AN11" i="126"/>
  <c r="AN17" i="127"/>
  <c r="AN18" i="127"/>
  <c r="AN42" i="126"/>
  <c r="AN11" i="127"/>
  <c r="AN22" i="110"/>
  <c r="AN18" i="126"/>
  <c r="AN17" i="126"/>
  <c r="AN28" i="126"/>
  <c r="AN28" i="127"/>
  <c r="AN39" i="127"/>
  <c r="AN30" i="126"/>
  <c r="AN39" i="126"/>
  <c r="AN9" i="127"/>
  <c r="AM44" i="131"/>
  <c r="AN30" i="127"/>
  <c r="AN29" i="127"/>
  <c r="AN9" i="126"/>
  <c r="AN29" i="126"/>
  <c r="AN36" i="126"/>
  <c r="AN36" i="127"/>
  <c r="AN26" i="127"/>
  <c r="AN26" i="126"/>
  <c r="AN10" i="127"/>
  <c r="AN10" i="126"/>
  <c r="AN43" i="127"/>
  <c r="AN43" i="126"/>
  <c r="AN25" i="126"/>
  <c r="AN25" i="127"/>
  <c r="AN90" i="126"/>
  <c r="AN19" i="127"/>
  <c r="AN90" i="127"/>
  <c r="AN19" i="126"/>
  <c r="AM86" i="127"/>
  <c r="CY16" i="126"/>
  <c r="CY24" i="127"/>
  <c r="CY7" i="126"/>
  <c r="AM16" i="126"/>
  <c r="AM7" i="126"/>
  <c r="AM7" i="127"/>
  <c r="AM91" i="127"/>
  <c r="AM13" i="126"/>
  <c r="BI16" i="127"/>
  <c r="BI7" i="126"/>
  <c r="BI94" i="126"/>
  <c r="BI45" i="127"/>
  <c r="CW86" i="126"/>
  <c r="CB94" i="126"/>
  <c r="CW45" i="126"/>
  <c r="CE24" i="127"/>
  <c r="CE35" i="127"/>
  <c r="CE13" i="127"/>
  <c r="CV44" i="126"/>
  <c r="CV41" i="126" s="1"/>
  <c r="CV5" i="126" s="1"/>
  <c r="BH6" i="127"/>
  <c r="BH5" i="127" s="1"/>
  <c r="F30" i="136"/>
  <c r="F32" i="136" s="1"/>
  <c r="F34" i="136" s="1"/>
  <c r="F36" i="136" s="1"/>
  <c r="F39" i="136" s="1"/>
  <c r="F45" i="136" s="1"/>
  <c r="F3" i="125"/>
  <c r="F27" i="134"/>
  <c r="AH5" i="110"/>
  <c r="AG5" i="110"/>
  <c r="BD41" i="127"/>
  <c r="AI6" i="127"/>
  <c r="BY41" i="127"/>
  <c r="AH41" i="126"/>
  <c r="AI41" i="127"/>
  <c r="BX41" i="126"/>
  <c r="BC41" i="126"/>
  <c r="CT41" i="127"/>
  <c r="CS41" i="126"/>
  <c r="AK41" i="110"/>
  <c r="AK5" i="110" s="1"/>
  <c r="BG5" i="110"/>
  <c r="CU5" i="110"/>
  <c r="CD6" i="110"/>
  <c r="AL6" i="110"/>
  <c r="CX6" i="110"/>
  <c r="BH6" i="110"/>
  <c r="AM13" i="110"/>
  <c r="AL44" i="110"/>
  <c r="AL41" i="110" s="1"/>
  <c r="AM35" i="110"/>
  <c r="AN89" i="110"/>
  <c r="AN9" i="110"/>
  <c r="AM89" i="132"/>
  <c r="AM88" i="132"/>
  <c r="AN42" i="110"/>
  <c r="AM18" i="132"/>
  <c r="AM18" i="131"/>
  <c r="AM18" i="130"/>
  <c r="AM31" i="132"/>
  <c r="AM14" i="132"/>
  <c r="AM91" i="132"/>
  <c r="AM100" i="132"/>
  <c r="AM103" i="132"/>
  <c r="AM17" i="131"/>
  <c r="AN17" i="110"/>
  <c r="AM95" i="130"/>
  <c r="AM32" i="130"/>
  <c r="AM40" i="130"/>
  <c r="AN87" i="110"/>
  <c r="AM93" i="130"/>
  <c r="AM89" i="130"/>
  <c r="AM37" i="130"/>
  <c r="AN88" i="110"/>
  <c r="AM15" i="130"/>
  <c r="P15" i="130" s="1"/>
  <c r="N15" i="130" s="1"/>
  <c r="N15" i="118" s="1"/>
  <c r="AM35" i="131"/>
  <c r="AN18" i="110"/>
  <c r="AM91" i="130"/>
  <c r="AM99" i="130"/>
  <c r="AM6" i="131"/>
  <c r="AN28" i="110"/>
  <c r="AM30" i="131"/>
  <c r="AM95" i="131"/>
  <c r="AM6" i="132"/>
  <c r="AM32" i="132"/>
  <c r="AM41" i="132"/>
  <c r="AM35" i="132"/>
  <c r="AM101" i="131"/>
  <c r="AM102" i="131"/>
  <c r="AM34" i="131"/>
  <c r="AM33" i="131"/>
  <c r="AM37" i="132"/>
  <c r="AM28" i="132"/>
  <c r="AM9" i="132"/>
  <c r="AN36" i="110"/>
  <c r="AM11" i="130"/>
  <c r="AM25" i="130"/>
  <c r="AM9" i="130"/>
  <c r="AM10" i="131"/>
  <c r="AN29" i="110"/>
  <c r="AM21" i="131"/>
  <c r="AN19" i="110"/>
  <c r="L9" i="109"/>
  <c r="AM48" i="132"/>
  <c r="AM93" i="132"/>
  <c r="AM99" i="132"/>
  <c r="AN96" i="110"/>
  <c r="AM14" i="131"/>
  <c r="AN12" i="110"/>
  <c r="AM103" i="130"/>
  <c r="AM14" i="130"/>
  <c r="AM8" i="130"/>
  <c r="AM16" i="130"/>
  <c r="P16" i="130" s="1"/>
  <c r="N16" i="130" s="1"/>
  <c r="N16" i="118" s="1"/>
  <c r="AM96" i="130"/>
  <c r="AM6" i="130"/>
  <c r="P6" i="130" s="1"/>
  <c r="N6" i="130" s="1"/>
  <c r="N6" i="118" s="1"/>
  <c r="AM40" i="131"/>
  <c r="AM38" i="130"/>
  <c r="AM100" i="130"/>
  <c r="AN93" i="110"/>
  <c r="AM96" i="131"/>
  <c r="AM97" i="131"/>
  <c r="AN11" i="110"/>
  <c r="Y11" i="110" s="1"/>
  <c r="S11" i="110" s="1"/>
  <c r="AM92" i="131"/>
  <c r="AM27" i="131"/>
  <c r="AM90" i="131"/>
  <c r="AM15" i="131"/>
  <c r="AM13" i="132"/>
  <c r="AM12" i="130"/>
  <c r="AM23" i="131"/>
  <c r="AM20" i="132"/>
  <c r="AN39" i="110"/>
  <c r="AM12" i="132"/>
  <c r="AM44" i="132"/>
  <c r="AN92" i="110"/>
  <c r="AM28" i="130"/>
  <c r="AM101" i="130"/>
  <c r="AN14" i="110"/>
  <c r="AM19" i="131"/>
  <c r="AM36" i="132"/>
  <c r="AM91" i="131"/>
  <c r="AM88" i="131"/>
  <c r="AM38" i="132"/>
  <c r="AM27" i="132"/>
  <c r="AM7" i="130"/>
  <c r="AM25" i="131"/>
  <c r="AN25" i="110"/>
  <c r="AN26" i="110"/>
  <c r="AM19" i="132"/>
  <c r="AM8" i="132"/>
  <c r="AM22" i="132"/>
  <c r="AM97" i="132"/>
  <c r="AM101" i="132"/>
  <c r="AM104" i="132"/>
  <c r="AN95" i="110"/>
  <c r="AM42" i="130"/>
  <c r="AM94" i="132"/>
  <c r="AM17" i="130"/>
  <c r="AM5" i="131"/>
  <c r="AM90" i="130"/>
  <c r="AM35" i="130"/>
  <c r="AM92" i="132"/>
  <c r="AM36" i="130"/>
  <c r="AM102" i="130"/>
  <c r="AM97" i="130"/>
  <c r="AM104" i="131"/>
  <c r="AM13" i="131"/>
  <c r="AM40" i="132"/>
  <c r="AM103" i="131"/>
  <c r="AM32" i="131"/>
  <c r="AM5" i="132"/>
  <c r="AN10" i="110"/>
  <c r="AM23" i="132"/>
  <c r="AM20" i="130"/>
  <c r="AM44" i="130"/>
  <c r="AN30" i="110"/>
  <c r="AM12" i="131"/>
  <c r="AM30" i="132"/>
  <c r="AM30" i="130"/>
  <c r="AM43" i="130"/>
  <c r="AM104" i="130"/>
  <c r="AM29" i="131"/>
  <c r="AM48" i="131"/>
  <c r="AM17" i="132"/>
  <c r="AM94" i="131"/>
  <c r="AM31" i="131"/>
  <c r="AM29" i="132"/>
  <c r="AM25" i="132"/>
  <c r="AM20" i="131"/>
  <c r="AN15" i="110"/>
  <c r="Y15" i="110" s="1"/>
  <c r="S15" i="110" s="1"/>
  <c r="AM41" i="131"/>
  <c r="AM31" i="130"/>
  <c r="AM93" i="131"/>
  <c r="AM38" i="131"/>
  <c r="AM100" i="131"/>
  <c r="AM9" i="131"/>
  <c r="AM21" i="130"/>
  <c r="AM10" i="130"/>
  <c r="AM7" i="131"/>
  <c r="AN90" i="110"/>
  <c r="AM88" i="130"/>
  <c r="AM22" i="130"/>
  <c r="AM19" i="130"/>
  <c r="AM27" i="130"/>
  <c r="AM48" i="130"/>
  <c r="AM33" i="130"/>
  <c r="AM42" i="132"/>
  <c r="AM89" i="131"/>
  <c r="AM33" i="132"/>
  <c r="AM43" i="131"/>
  <c r="AM42" i="131"/>
  <c r="AM28" i="131"/>
  <c r="AM21" i="132"/>
  <c r="AM10" i="132"/>
  <c r="AM7" i="132"/>
  <c r="AN46" i="110"/>
  <c r="AM15" i="132"/>
  <c r="AM43" i="132"/>
  <c r="AM34" i="132"/>
  <c r="AM95" i="132"/>
  <c r="AM102" i="132"/>
  <c r="AM96" i="132"/>
  <c r="AM22" i="131"/>
  <c r="AM41" i="130"/>
  <c r="AM5" i="130"/>
  <c r="AM90" i="132"/>
  <c r="AM16" i="132"/>
  <c r="AM34" i="130"/>
  <c r="AM92" i="130"/>
  <c r="AM94" i="130"/>
  <c r="AM29" i="130"/>
  <c r="AM13" i="130"/>
  <c r="AM16" i="131"/>
  <c r="AM37" i="131"/>
  <c r="AM8" i="131"/>
  <c r="AM36" i="131"/>
  <c r="AM23" i="130"/>
  <c r="AM11" i="131"/>
  <c r="AM11" i="132"/>
  <c r="AM99" i="131"/>
  <c r="AM16" i="110"/>
  <c r="AM86" i="110"/>
  <c r="AM24" i="110"/>
  <c r="AM94" i="110"/>
  <c r="AM7" i="110"/>
  <c r="AO7" i="133"/>
  <c r="BJ88" i="132"/>
  <c r="BJ89" i="132"/>
  <c r="AM91" i="110"/>
  <c r="CF42" i="110"/>
  <c r="CF9" i="110"/>
  <c r="CZ42" i="110"/>
  <c r="CZ9" i="110"/>
  <c r="CX89" i="110"/>
  <c r="CC89" i="110"/>
  <c r="BJ89" i="110"/>
  <c r="BJ9" i="110"/>
  <c r="BJ42" i="110"/>
  <c r="AN43" i="110"/>
  <c r="CE16" i="110"/>
  <c r="CY16" i="110"/>
  <c r="BI16" i="110"/>
  <c r="CA44" i="110"/>
  <c r="CA41" i="110" s="1"/>
  <c r="BH44" i="110"/>
  <c r="BH41" i="110" s="1"/>
  <c r="CV44" i="110"/>
  <c r="CV41" i="110" s="1"/>
  <c r="CV5" i="110" s="1"/>
  <c r="BI94" i="110"/>
  <c r="BI7" i="110"/>
  <c r="CY13" i="110"/>
  <c r="CZ26" i="110"/>
  <c r="CZ19" i="110"/>
  <c r="CZ37" i="110"/>
  <c r="CZ34" i="110"/>
  <c r="CZ36" i="110"/>
  <c r="CZ18" i="110"/>
  <c r="CZ30" i="110"/>
  <c r="CZ25" i="110"/>
  <c r="CZ27" i="110"/>
  <c r="CZ11" i="110"/>
  <c r="CZ32" i="110"/>
  <c r="CZ12" i="110"/>
  <c r="CZ14" i="110"/>
  <c r="CZ15" i="110"/>
  <c r="CZ31" i="110"/>
  <c r="CZ28" i="110"/>
  <c r="CZ39" i="110"/>
  <c r="M15" i="109"/>
  <c r="CZ8" i="110"/>
  <c r="CZ40" i="110"/>
  <c r="CZ29" i="110"/>
  <c r="CZ17" i="110"/>
  <c r="CZ38" i="110"/>
  <c r="CZ10" i="110"/>
  <c r="BJ18" i="130"/>
  <c r="BJ18" i="132"/>
  <c r="BJ18" i="131"/>
  <c r="CF26" i="110"/>
  <c r="CF19" i="110"/>
  <c r="CC46" i="110"/>
  <c r="CX46" i="110"/>
  <c r="CX90" i="110"/>
  <c r="CC90" i="110"/>
  <c r="BI91" i="110"/>
  <c r="BI35" i="110"/>
  <c r="BI24" i="110"/>
  <c r="Z14" i="110"/>
  <c r="BI13" i="110"/>
  <c r="Z13" i="110" s="1"/>
  <c r="BI86" i="110"/>
  <c r="CY7" i="110"/>
  <c r="CY24" i="110"/>
  <c r="CY35" i="110"/>
  <c r="BJ46" i="110"/>
  <c r="BJ26" i="110"/>
  <c r="BJ19" i="110"/>
  <c r="BJ90" i="110"/>
  <c r="BJ93" i="110"/>
  <c r="BJ96" i="110"/>
  <c r="BJ95" i="110"/>
  <c r="BJ12" i="110"/>
  <c r="BJ10" i="110"/>
  <c r="BJ87" i="110"/>
  <c r="BJ28" i="110"/>
  <c r="Z28" i="110" s="1"/>
  <c r="BJ39" i="110"/>
  <c r="BJ43" i="110"/>
  <c r="BJ92" i="110"/>
  <c r="BJ36" i="110"/>
  <c r="BJ18" i="110"/>
  <c r="BJ30" i="110"/>
  <c r="M11" i="109"/>
  <c r="BJ17" i="110"/>
  <c r="BJ88" i="110"/>
  <c r="BJ25" i="110"/>
  <c r="BJ29" i="110"/>
  <c r="CW91" i="110"/>
  <c r="CB86" i="110"/>
  <c r="CE13" i="110"/>
  <c r="CW94" i="110"/>
  <c r="CW86" i="110"/>
  <c r="CE24" i="110"/>
  <c r="CE7" i="110"/>
  <c r="CB91" i="110"/>
  <c r="CB94" i="110"/>
  <c r="CE35" i="110"/>
  <c r="L17" i="109"/>
  <c r="K19" i="109"/>
  <c r="CX87" i="110"/>
  <c r="CC87" i="110"/>
  <c r="CX93" i="110"/>
  <c r="CX88" i="110"/>
  <c r="CC88" i="110"/>
  <c r="CX92" i="110"/>
  <c r="CC92" i="110"/>
  <c r="CC93" i="110"/>
  <c r="CC95" i="110"/>
  <c r="CX96" i="110"/>
  <c r="CX95" i="110"/>
  <c r="CC96" i="110"/>
  <c r="CX43" i="110"/>
  <c r="CC43" i="110"/>
  <c r="Q28" i="110"/>
  <c r="AN27" i="133" s="1"/>
  <c r="S28" i="110"/>
  <c r="N10" i="109"/>
  <c r="BJ7" i="132"/>
  <c r="BJ11" i="132"/>
  <c r="BJ10" i="132"/>
  <c r="BJ12" i="132"/>
  <c r="BJ30" i="132"/>
  <c r="BJ32" i="132"/>
  <c r="BJ41" i="132"/>
  <c r="BJ42" i="132"/>
  <c r="BJ14" i="132"/>
  <c r="BJ40" i="132"/>
  <c r="BJ96" i="132"/>
  <c r="BJ101" i="132"/>
  <c r="BJ99" i="132"/>
  <c r="BJ40" i="131"/>
  <c r="BJ102" i="132"/>
  <c r="BJ103" i="132"/>
  <c r="BJ22" i="131"/>
  <c r="Q22" i="131" s="1"/>
  <c r="BJ28" i="130"/>
  <c r="BJ27" i="130"/>
  <c r="BJ93" i="132"/>
  <c r="BJ94" i="132"/>
  <c r="BJ30" i="130"/>
  <c r="BJ16" i="132"/>
  <c r="Q16" i="132" s="1"/>
  <c r="BJ99" i="130"/>
  <c r="BJ48" i="132"/>
  <c r="BJ34" i="130"/>
  <c r="BJ32" i="130"/>
  <c r="BJ91" i="132"/>
  <c r="BJ100" i="132"/>
  <c r="BJ104" i="130"/>
  <c r="BJ5" i="132"/>
  <c r="BJ10" i="130"/>
  <c r="BJ102" i="130"/>
  <c r="BJ97" i="132"/>
  <c r="BJ8" i="131"/>
  <c r="BJ6" i="132"/>
  <c r="Q6" i="132" s="1"/>
  <c r="BJ40" i="130"/>
  <c r="BJ97" i="130"/>
  <c r="BJ101" i="130"/>
  <c r="BJ100" i="130"/>
  <c r="BJ48" i="131"/>
  <c r="BJ104" i="131"/>
  <c r="BJ90" i="132"/>
  <c r="BJ104" i="132"/>
  <c r="BJ5" i="131"/>
  <c r="BJ27" i="132"/>
  <c r="BJ92" i="132"/>
  <c r="BJ95" i="132"/>
  <c r="BJ43" i="131"/>
  <c r="BJ96" i="130"/>
  <c r="BJ93" i="130"/>
  <c r="BJ90" i="131"/>
  <c r="BJ90" i="130"/>
  <c r="BJ37" i="131"/>
  <c r="BJ96" i="131"/>
  <c r="BJ7" i="131"/>
  <c r="BJ7" i="130"/>
  <c r="BJ42" i="130"/>
  <c r="BJ91" i="131"/>
  <c r="BJ35" i="130"/>
  <c r="BJ103" i="131"/>
  <c r="BJ99" i="131"/>
  <c r="BJ97" i="131"/>
  <c r="BJ93" i="131"/>
  <c r="BJ89" i="131"/>
  <c r="BJ88" i="131"/>
  <c r="BJ29" i="130"/>
  <c r="BJ37" i="130"/>
  <c r="BJ9" i="131"/>
  <c r="BJ38" i="131"/>
  <c r="BJ13" i="132"/>
  <c r="BJ9" i="132"/>
  <c r="BJ11" i="131"/>
  <c r="BJ10" i="131"/>
  <c r="BJ11" i="130"/>
  <c r="Q11" i="130" s="1"/>
  <c r="BJ38" i="132"/>
  <c r="BJ8" i="132"/>
  <c r="BJ33" i="130"/>
  <c r="Q33" i="130" s="1"/>
  <c r="BJ15" i="132"/>
  <c r="Q15" i="132" s="1"/>
  <c r="BJ44" i="130"/>
  <c r="BJ44" i="132"/>
  <c r="BJ28" i="131"/>
  <c r="BJ34" i="131"/>
  <c r="BJ37" i="132"/>
  <c r="BJ23" i="132"/>
  <c r="BJ42" i="131"/>
  <c r="BJ22" i="132"/>
  <c r="BJ32" i="131"/>
  <c r="BJ103" i="130"/>
  <c r="BJ94" i="130"/>
  <c r="BJ92" i="131"/>
  <c r="BJ89" i="130"/>
  <c r="BJ41" i="130"/>
  <c r="BJ95" i="131"/>
  <c r="BJ12" i="131"/>
  <c r="BJ100" i="131"/>
  <c r="BJ48" i="130"/>
  <c r="BJ88" i="130"/>
  <c r="BJ92" i="130"/>
  <c r="BJ27" i="131"/>
  <c r="BJ91" i="130"/>
  <c r="BJ95" i="130"/>
  <c r="BJ102" i="131"/>
  <c r="BJ101" i="131"/>
  <c r="BJ94" i="131"/>
  <c r="BJ41" i="131"/>
  <c r="BJ12" i="130"/>
  <c r="Q12" i="130" s="1"/>
  <c r="BJ8" i="130"/>
  <c r="BJ29" i="131"/>
  <c r="BJ13" i="131"/>
  <c r="Q13" i="131" s="1"/>
  <c r="BJ5" i="130"/>
  <c r="Q5" i="130" s="1"/>
  <c r="BJ38" i="130"/>
  <c r="Q38" i="130" s="1"/>
  <c r="BJ9" i="130"/>
  <c r="BJ43" i="130"/>
  <c r="BJ43" i="132"/>
  <c r="BJ33" i="132"/>
  <c r="BJ19" i="131"/>
  <c r="BJ19" i="132"/>
  <c r="BJ33" i="131"/>
  <c r="BJ31" i="132"/>
  <c r="BJ19" i="130"/>
  <c r="BJ25" i="132"/>
  <c r="BJ36" i="132"/>
  <c r="BJ35" i="131"/>
  <c r="BJ34" i="132"/>
  <c r="BJ17" i="132"/>
  <c r="BJ28" i="132"/>
  <c r="BJ14" i="131"/>
  <c r="BJ14" i="130"/>
  <c r="Q14" i="130" s="1"/>
  <c r="BJ29" i="132"/>
  <c r="BJ30" i="131"/>
  <c r="BJ35" i="132"/>
  <c r="BJ25" i="131"/>
  <c r="BJ23" i="130"/>
  <c r="Q23" i="130" s="1"/>
  <c r="BJ23" i="131"/>
  <c r="BJ17" i="131"/>
  <c r="BJ21" i="131"/>
  <c r="Q21" i="131" s="1"/>
  <c r="BJ31" i="131"/>
  <c r="BJ36" i="131"/>
  <c r="BJ20" i="131"/>
  <c r="BJ20" i="132"/>
  <c r="BJ31" i="130"/>
  <c r="BJ25" i="130"/>
  <c r="BJ17" i="130"/>
  <c r="BJ20" i="130"/>
  <c r="BJ21" i="132"/>
  <c r="BJ36" i="130"/>
  <c r="V16" i="109"/>
  <c r="N14" i="109"/>
  <c r="CF31" i="110"/>
  <c r="CF8" i="110"/>
  <c r="CF17" i="110"/>
  <c r="CF14" i="110"/>
  <c r="CF37" i="110"/>
  <c r="CF38" i="110"/>
  <c r="CF34" i="110"/>
  <c r="CF12" i="110"/>
  <c r="CF36" i="110"/>
  <c r="CF15" i="110"/>
  <c r="CF40" i="110"/>
  <c r="CF32" i="110"/>
  <c r="CF27" i="110"/>
  <c r="CF28" i="110"/>
  <c r="CF25" i="110"/>
  <c r="CF11" i="110"/>
  <c r="CF18" i="110"/>
  <c r="CF10" i="110"/>
  <c r="CF39" i="110"/>
  <c r="CF30" i="110"/>
  <c r="CF29" i="110"/>
  <c r="R73" i="110" l="1"/>
  <c r="S73" i="110"/>
  <c r="Q73" i="110"/>
  <c r="AN72" i="133" s="1"/>
  <c r="AN91" i="126"/>
  <c r="BJ86" i="127"/>
  <c r="CC86" i="127"/>
  <c r="AN94" i="127"/>
  <c r="AM44" i="126"/>
  <c r="AM41" i="126" s="1"/>
  <c r="BH5" i="126"/>
  <c r="BJ35" i="127"/>
  <c r="CE6" i="126"/>
  <c r="CF7" i="126"/>
  <c r="AN35" i="126"/>
  <c r="CZ7" i="126"/>
  <c r="CF13" i="126"/>
  <c r="CZ16" i="126"/>
  <c r="CZ24" i="126"/>
  <c r="CD55" i="126"/>
  <c r="CY83" i="126"/>
  <c r="CY85" i="126"/>
  <c r="CD58" i="127"/>
  <c r="CD85" i="126"/>
  <c r="CY58" i="127"/>
  <c r="CY57" i="126"/>
  <c r="CY55" i="126"/>
  <c r="CD84" i="127"/>
  <c r="CY84" i="127"/>
  <c r="CD83" i="126"/>
  <c r="CD57" i="126"/>
  <c r="CD56" i="127"/>
  <c r="CY56" i="127"/>
  <c r="CY84" i="110"/>
  <c r="CY83" i="127"/>
  <c r="CD55" i="127"/>
  <c r="CY65" i="126"/>
  <c r="CD57" i="127"/>
  <c r="CD58" i="126"/>
  <c r="CY84" i="126"/>
  <c r="CD84" i="126"/>
  <c r="CY55" i="127"/>
  <c r="CY57" i="127"/>
  <c r="CD65" i="126"/>
  <c r="CD83" i="127"/>
  <c r="CY58" i="126"/>
  <c r="CY83" i="110"/>
  <c r="CY57" i="110"/>
  <c r="CD85" i="110"/>
  <c r="CY58" i="110"/>
  <c r="CD85" i="127"/>
  <c r="CY85" i="127"/>
  <c r="CD56" i="126"/>
  <c r="CY56" i="110"/>
  <c r="CY56" i="126"/>
  <c r="CD84" i="110"/>
  <c r="CY85" i="110"/>
  <c r="CD83" i="110"/>
  <c r="CY65" i="127"/>
  <c r="CD57" i="110"/>
  <c r="CY65" i="110"/>
  <c r="CY55" i="110"/>
  <c r="CD55" i="110"/>
  <c r="CD56" i="110"/>
  <c r="CD58" i="110"/>
  <c r="CD65" i="127"/>
  <c r="CD65" i="110"/>
  <c r="CY54" i="126"/>
  <c r="CD54" i="110"/>
  <c r="CD47" i="110"/>
  <c r="CY47" i="110"/>
  <c r="CD47" i="127"/>
  <c r="CD47" i="126"/>
  <c r="CY47" i="127"/>
  <c r="CY54" i="110"/>
  <c r="CD54" i="126"/>
  <c r="CY47" i="126"/>
  <c r="CD59" i="127"/>
  <c r="CD63" i="126"/>
  <c r="CD60" i="126"/>
  <c r="CD66" i="110"/>
  <c r="CY59" i="127"/>
  <c r="CD59" i="126"/>
  <c r="CD67" i="127"/>
  <c r="CD67" i="126"/>
  <c r="CY63" i="127"/>
  <c r="CY63" i="126"/>
  <c r="CY70" i="126"/>
  <c r="CD70" i="127"/>
  <c r="CD75" i="126"/>
  <c r="CY75" i="110"/>
  <c r="CY66" i="127"/>
  <c r="CY67" i="126"/>
  <c r="CD63" i="127"/>
  <c r="CD70" i="126"/>
  <c r="CY60" i="126"/>
  <c r="CD66" i="127"/>
  <c r="CD68" i="126"/>
  <c r="CD61" i="126"/>
  <c r="CY70" i="127"/>
  <c r="CY68" i="126"/>
  <c r="CY62" i="110"/>
  <c r="CD78" i="110"/>
  <c r="CD80" i="127"/>
  <c r="CD75" i="110"/>
  <c r="CY80" i="127"/>
  <c r="CD64" i="127"/>
  <c r="CD81" i="127"/>
  <c r="CY69" i="127"/>
  <c r="CD73" i="127"/>
  <c r="CY76" i="126"/>
  <c r="CY82" i="126"/>
  <c r="CY72" i="126"/>
  <c r="CD74" i="126"/>
  <c r="CD61" i="127"/>
  <c r="CD63" i="110"/>
  <c r="CY79" i="127"/>
  <c r="CD60" i="110"/>
  <c r="CY60" i="127"/>
  <c r="CY68" i="127"/>
  <c r="CY78" i="126"/>
  <c r="CD78" i="126"/>
  <c r="CY67" i="127"/>
  <c r="CD79" i="126"/>
  <c r="CD62" i="126"/>
  <c r="CD62" i="110"/>
  <c r="CY78" i="110"/>
  <c r="CY64" i="126"/>
  <c r="CD69" i="127"/>
  <c r="CD76" i="126"/>
  <c r="CD72" i="126"/>
  <c r="CD61" i="110"/>
  <c r="CD79" i="110"/>
  <c r="CY79" i="126"/>
  <c r="CY62" i="126"/>
  <c r="CD71" i="127"/>
  <c r="CY74" i="126"/>
  <c r="CY59" i="110"/>
  <c r="CY63" i="110"/>
  <c r="CY79" i="110"/>
  <c r="CY75" i="127"/>
  <c r="CD75" i="127"/>
  <c r="CD68" i="127"/>
  <c r="CD68" i="110"/>
  <c r="CY62" i="127"/>
  <c r="CY78" i="127"/>
  <c r="CY81" i="110"/>
  <c r="CY80" i="110"/>
  <c r="CY71" i="110"/>
  <c r="CD59" i="110"/>
  <c r="CY61" i="110"/>
  <c r="CY61" i="127"/>
  <c r="CD60" i="127"/>
  <c r="CY66" i="126"/>
  <c r="CY61" i="126"/>
  <c r="CY66" i="110"/>
  <c r="CD64" i="126"/>
  <c r="CY64" i="127"/>
  <c r="CD71" i="110"/>
  <c r="CY71" i="127"/>
  <c r="CD82" i="126"/>
  <c r="CY67" i="110"/>
  <c r="CD79" i="127"/>
  <c r="CD66" i="126"/>
  <c r="CY68" i="110"/>
  <c r="CD62" i="127"/>
  <c r="CY75" i="126"/>
  <c r="CD80" i="110"/>
  <c r="CY73" i="127"/>
  <c r="CD70" i="110"/>
  <c r="CD78" i="127"/>
  <c r="CY73" i="126"/>
  <c r="CD82" i="127"/>
  <c r="CD72" i="127"/>
  <c r="CD72" i="110"/>
  <c r="CY74" i="110"/>
  <c r="CY74" i="127"/>
  <c r="CD89" i="127"/>
  <c r="CY52" i="126"/>
  <c r="CY53" i="126"/>
  <c r="CD52" i="110"/>
  <c r="CY49" i="126"/>
  <c r="CD52" i="127"/>
  <c r="CY53" i="110"/>
  <c r="CD89" i="126"/>
  <c r="CY93" i="127"/>
  <c r="CD53" i="127"/>
  <c r="CD67" i="110"/>
  <c r="CD80" i="126"/>
  <c r="CY64" i="110"/>
  <c r="CD71" i="126"/>
  <c r="CY71" i="126"/>
  <c r="CY73" i="110"/>
  <c r="CD76" i="127"/>
  <c r="CY76" i="127"/>
  <c r="CY82" i="110"/>
  <c r="CY72" i="127"/>
  <c r="CD74" i="127"/>
  <c r="CY89" i="127"/>
  <c r="CY46" i="126"/>
  <c r="CD51" i="126"/>
  <c r="CD52" i="126"/>
  <c r="CY54" i="127"/>
  <c r="CD53" i="126"/>
  <c r="CY49" i="127"/>
  <c r="CY46" i="127"/>
  <c r="CY92" i="127"/>
  <c r="CD48" i="110"/>
  <c r="CY50" i="127"/>
  <c r="CD49" i="110"/>
  <c r="CY51" i="127"/>
  <c r="CD51" i="127"/>
  <c r="CD48" i="127"/>
  <c r="CD93" i="126"/>
  <c r="CY81" i="127"/>
  <c r="CY70" i="110"/>
  <c r="CY60" i="110"/>
  <c r="CD64" i="110"/>
  <c r="CD81" i="126"/>
  <c r="CY69" i="110"/>
  <c r="CD73" i="126"/>
  <c r="CY76" i="110"/>
  <c r="CD76" i="110"/>
  <c r="CY82" i="127"/>
  <c r="CY72" i="110"/>
  <c r="CD74" i="110"/>
  <c r="CD49" i="127"/>
  <c r="CD92" i="127"/>
  <c r="CY48" i="127"/>
  <c r="CY93" i="126"/>
  <c r="CY52" i="110"/>
  <c r="CY50" i="126"/>
  <c r="CD81" i="110"/>
  <c r="CD73" i="110"/>
  <c r="CD50" i="127"/>
  <c r="CY51" i="110"/>
  <c r="CD48" i="126"/>
  <c r="CY89" i="126"/>
  <c r="CD50" i="110"/>
  <c r="CD69" i="126"/>
  <c r="CY52" i="127"/>
  <c r="CY92" i="126"/>
  <c r="CY91" i="126" s="1"/>
  <c r="CY53" i="127"/>
  <c r="CY81" i="126"/>
  <c r="CY69" i="126"/>
  <c r="CD46" i="127"/>
  <c r="CY48" i="110"/>
  <c r="CD50" i="126"/>
  <c r="CD49" i="126"/>
  <c r="CD53" i="110"/>
  <c r="CD92" i="126"/>
  <c r="CY48" i="126"/>
  <c r="CD93" i="127"/>
  <c r="CD69" i="110"/>
  <c r="CD46" i="126"/>
  <c r="CD51" i="110"/>
  <c r="CD82" i="110"/>
  <c r="CY51" i="126"/>
  <c r="CD54" i="127"/>
  <c r="CY49" i="110"/>
  <c r="CY50" i="110"/>
  <c r="CY59" i="126"/>
  <c r="CY80" i="126"/>
  <c r="CY77" i="127"/>
  <c r="CD87" i="126"/>
  <c r="CD95" i="126"/>
  <c r="CY95" i="127"/>
  <c r="CD77" i="110"/>
  <c r="CY77" i="110"/>
  <c r="CY77" i="126"/>
  <c r="CD96" i="127"/>
  <c r="CD96" i="126"/>
  <c r="CY96" i="126"/>
  <c r="CY87" i="126"/>
  <c r="CD95" i="127"/>
  <c r="CY88" i="126"/>
  <c r="CD88" i="126"/>
  <c r="CD77" i="127"/>
  <c r="CD77" i="126"/>
  <c r="CY96" i="127"/>
  <c r="CD87" i="127"/>
  <c r="CY87" i="127"/>
  <c r="CY88" i="127"/>
  <c r="CD88" i="127"/>
  <c r="CY95" i="126"/>
  <c r="CD43" i="127"/>
  <c r="CD43" i="126"/>
  <c r="CY43" i="126"/>
  <c r="CY43" i="127"/>
  <c r="CD90" i="126"/>
  <c r="CY90" i="126"/>
  <c r="CD90" i="127"/>
  <c r="CY90" i="127"/>
  <c r="AN16" i="127"/>
  <c r="BK39" i="131"/>
  <c r="BK39" i="132"/>
  <c r="BK39" i="130"/>
  <c r="BK67" i="132"/>
  <c r="BK58" i="132"/>
  <c r="BK60" i="132"/>
  <c r="BK57" i="132"/>
  <c r="BK87" i="132"/>
  <c r="BK59" i="131"/>
  <c r="BK67" i="131"/>
  <c r="BK58" i="131"/>
  <c r="BK85" i="132"/>
  <c r="BK57" i="131"/>
  <c r="BK59" i="132"/>
  <c r="BK67" i="130"/>
  <c r="BK57" i="130"/>
  <c r="BK59" i="130"/>
  <c r="BK86" i="131"/>
  <c r="BK87" i="130"/>
  <c r="BK60" i="131"/>
  <c r="BK58" i="130"/>
  <c r="BK60" i="130"/>
  <c r="BK85" i="131"/>
  <c r="BK87" i="131"/>
  <c r="BK86" i="130"/>
  <c r="BK86" i="132"/>
  <c r="BK85" i="130"/>
  <c r="BK45" i="131"/>
  <c r="BK45" i="130"/>
  <c r="BK45" i="132"/>
  <c r="BK49" i="130"/>
  <c r="Q49" i="130" s="1"/>
  <c r="BK49" i="132"/>
  <c r="BK49" i="131"/>
  <c r="BK79" i="132"/>
  <c r="BK61" i="131"/>
  <c r="BK65" i="131"/>
  <c r="Q65" i="131" s="1"/>
  <c r="BK70" i="131"/>
  <c r="BK68" i="131"/>
  <c r="BK54" i="131"/>
  <c r="BK74" i="131"/>
  <c r="BK82" i="131"/>
  <c r="Q82" i="131" s="1"/>
  <c r="BK55" i="130"/>
  <c r="BK83" i="130"/>
  <c r="BK55" i="132"/>
  <c r="BK54" i="132"/>
  <c r="BK83" i="131"/>
  <c r="BK71" i="132"/>
  <c r="BK84" i="130"/>
  <c r="BK84" i="132"/>
  <c r="BK53" i="132"/>
  <c r="BK50" i="132"/>
  <c r="BK55" i="131"/>
  <c r="BK53" i="131"/>
  <c r="BK73" i="131"/>
  <c r="BK54" i="130"/>
  <c r="BK74" i="132"/>
  <c r="BK53" i="130"/>
  <c r="BK50" i="131"/>
  <c r="BK66" i="130"/>
  <c r="BK52" i="131"/>
  <c r="BK66" i="132"/>
  <c r="BK52" i="130"/>
  <c r="BK83" i="132"/>
  <c r="BK71" i="131"/>
  <c r="BK51" i="132"/>
  <c r="BK74" i="130"/>
  <c r="BK50" i="130"/>
  <c r="Q50" i="130" s="1"/>
  <c r="BK73" i="132"/>
  <c r="BK72" i="132"/>
  <c r="BK71" i="130"/>
  <c r="BK84" i="131"/>
  <c r="BK69" i="131"/>
  <c r="BK80" i="131"/>
  <c r="Q80" i="131" s="1"/>
  <c r="BK52" i="132"/>
  <c r="BK72" i="131"/>
  <c r="BK63" i="131"/>
  <c r="Q63" i="131" s="1"/>
  <c r="BK62" i="131"/>
  <c r="BK66" i="131"/>
  <c r="BK73" i="130"/>
  <c r="BK72" i="130"/>
  <c r="BK69" i="132"/>
  <c r="BK80" i="132"/>
  <c r="BK68" i="132"/>
  <c r="BK82" i="132"/>
  <c r="BK65" i="132"/>
  <c r="BK79" i="131"/>
  <c r="BK70" i="130"/>
  <c r="BK69" i="130"/>
  <c r="BK62" i="130"/>
  <c r="BK81" i="132"/>
  <c r="BK62" i="132"/>
  <c r="BK61" i="132"/>
  <c r="BK79" i="130"/>
  <c r="BK61" i="130"/>
  <c r="BK51" i="130"/>
  <c r="BK51" i="131"/>
  <c r="BK81" i="131"/>
  <c r="Q81" i="131" s="1"/>
  <c r="BK64" i="131"/>
  <c r="Q64" i="131" s="1"/>
  <c r="BK70" i="132"/>
  <c r="BK64" i="132"/>
  <c r="BK63" i="132"/>
  <c r="BK68" i="130"/>
  <c r="BK44" i="131"/>
  <c r="CW44" i="126"/>
  <c r="CW41" i="126" s="1"/>
  <c r="CW5" i="126" s="1"/>
  <c r="AM6" i="126"/>
  <c r="CY6" i="126"/>
  <c r="AN86" i="127"/>
  <c r="AN24" i="126"/>
  <c r="AN7" i="127"/>
  <c r="Q74" i="110"/>
  <c r="AN73" i="133" s="1"/>
  <c r="R74" i="110"/>
  <c r="S74" i="110"/>
  <c r="AN45" i="127"/>
  <c r="R76" i="110"/>
  <c r="Q76" i="110"/>
  <c r="AN75" i="133" s="1"/>
  <c r="S76" i="110"/>
  <c r="BJ16" i="127"/>
  <c r="BJ24" i="127"/>
  <c r="BJ7" i="127"/>
  <c r="BJ94" i="126"/>
  <c r="BJ91" i="126"/>
  <c r="BJ13" i="126"/>
  <c r="Z13" i="126" s="1"/>
  <c r="Z14" i="126"/>
  <c r="CW44" i="127"/>
  <c r="CZ24" i="127"/>
  <c r="CZ35" i="126"/>
  <c r="CB44" i="126"/>
  <c r="CX86" i="127"/>
  <c r="CX91" i="127"/>
  <c r="CX45" i="126"/>
  <c r="BI44" i="126"/>
  <c r="AL5" i="126"/>
  <c r="CF24" i="127"/>
  <c r="CF24" i="126"/>
  <c r="BK23" i="110"/>
  <c r="BK23" i="126"/>
  <c r="BK23" i="127"/>
  <c r="BK85" i="126"/>
  <c r="BK57" i="126"/>
  <c r="BK58" i="127"/>
  <c r="BK56" i="127"/>
  <c r="BK84" i="127"/>
  <c r="BK55" i="126"/>
  <c r="BK83" i="126"/>
  <c r="BK57" i="127"/>
  <c r="BK65" i="126"/>
  <c r="BK55" i="127"/>
  <c r="BK83" i="127"/>
  <c r="BK58" i="126"/>
  <c r="BK56" i="126"/>
  <c r="BK65" i="127"/>
  <c r="BK65" i="110"/>
  <c r="BK58" i="110"/>
  <c r="BK84" i="110"/>
  <c r="BK83" i="110"/>
  <c r="BK85" i="127"/>
  <c r="BK55" i="110"/>
  <c r="BK57" i="110"/>
  <c r="BK56" i="110"/>
  <c r="BK84" i="126"/>
  <c r="BK85" i="110"/>
  <c r="BK20" i="127"/>
  <c r="BK20" i="126"/>
  <c r="BK20" i="110"/>
  <c r="BK12" i="126"/>
  <c r="BK12" i="127"/>
  <c r="BK21" i="127"/>
  <c r="BK21" i="110"/>
  <c r="BK21" i="126"/>
  <c r="BK47" i="126"/>
  <c r="BK47" i="110"/>
  <c r="BK47" i="127"/>
  <c r="BK14" i="127"/>
  <c r="BK22" i="110"/>
  <c r="BK22" i="127"/>
  <c r="BK22" i="126"/>
  <c r="BK15" i="127"/>
  <c r="Z15" i="127" s="1"/>
  <c r="BK67" i="126"/>
  <c r="BK61" i="126"/>
  <c r="BK70" i="127"/>
  <c r="BK60" i="126"/>
  <c r="BK66" i="110"/>
  <c r="BK59" i="126"/>
  <c r="BK68" i="126"/>
  <c r="BK62" i="110"/>
  <c r="Z62" i="110" s="1"/>
  <c r="BK79" i="126"/>
  <c r="BK70" i="126"/>
  <c r="BK66" i="127"/>
  <c r="BK62" i="126"/>
  <c r="BK59" i="127"/>
  <c r="BK80" i="127"/>
  <c r="BK64" i="126"/>
  <c r="BK81" i="127"/>
  <c r="BK71" i="127"/>
  <c r="BK61" i="110"/>
  <c r="Z61" i="110" s="1"/>
  <c r="BK70" i="110"/>
  <c r="BK66" i="126"/>
  <c r="BK80" i="110"/>
  <c r="Z80" i="110" s="1"/>
  <c r="BK69" i="127"/>
  <c r="BK71" i="110"/>
  <c r="BK61" i="127"/>
  <c r="BK63" i="110"/>
  <c r="Z63" i="110" s="1"/>
  <c r="BK79" i="127"/>
  <c r="BK63" i="127"/>
  <c r="BK63" i="126"/>
  <c r="BK73" i="127"/>
  <c r="Z73" i="127" s="1"/>
  <c r="BK79" i="110"/>
  <c r="Z79" i="110" s="1"/>
  <c r="BK60" i="127"/>
  <c r="BK68" i="127"/>
  <c r="BK78" i="126"/>
  <c r="BK80" i="126"/>
  <c r="BK81" i="110"/>
  <c r="BK81" i="126"/>
  <c r="BK67" i="127"/>
  <c r="BK78" i="110"/>
  <c r="Z78" i="110" s="1"/>
  <c r="BK82" i="126"/>
  <c r="BK60" i="110"/>
  <c r="BK64" i="127"/>
  <c r="BK72" i="126"/>
  <c r="BK67" i="110"/>
  <c r="BK68" i="110"/>
  <c r="BK75" i="127"/>
  <c r="Z75" i="127" s="1"/>
  <c r="BK64" i="110"/>
  <c r="BK69" i="126"/>
  <c r="BK71" i="126"/>
  <c r="BK76" i="127"/>
  <c r="Z76" i="127" s="1"/>
  <c r="BK51" i="126"/>
  <c r="BK53" i="126"/>
  <c r="BK49" i="127"/>
  <c r="BK92" i="127"/>
  <c r="BK48" i="110"/>
  <c r="BK51" i="127"/>
  <c r="BK49" i="126"/>
  <c r="BK48" i="126"/>
  <c r="BK93" i="127"/>
  <c r="BK53" i="127"/>
  <c r="BK82" i="127"/>
  <c r="BK72" i="127"/>
  <c r="BK72" i="110"/>
  <c r="BK46" i="126"/>
  <c r="BK46" i="127"/>
  <c r="BK49" i="110"/>
  <c r="BK48" i="127"/>
  <c r="BK62" i="127"/>
  <c r="BK89" i="127"/>
  <c r="BK50" i="127"/>
  <c r="BK50" i="126"/>
  <c r="BK59" i="110"/>
  <c r="BK82" i="110"/>
  <c r="BK52" i="126"/>
  <c r="BK52" i="110"/>
  <c r="BK52" i="127"/>
  <c r="BK53" i="110"/>
  <c r="BK51" i="110"/>
  <c r="BK89" i="126"/>
  <c r="BK78" i="127"/>
  <c r="BK69" i="110"/>
  <c r="BK92" i="126"/>
  <c r="BK50" i="110"/>
  <c r="BK93" i="126"/>
  <c r="BK74" i="127"/>
  <c r="Z74" i="127" s="1"/>
  <c r="BK87" i="126"/>
  <c r="BK95" i="127"/>
  <c r="BK87" i="127"/>
  <c r="BK96" i="127"/>
  <c r="BK88" i="127"/>
  <c r="BK77" i="127"/>
  <c r="BK77" i="110"/>
  <c r="BK77" i="126"/>
  <c r="BK96" i="126"/>
  <c r="BK88" i="126"/>
  <c r="BK95" i="126"/>
  <c r="BK42" i="126"/>
  <c r="BK17" i="126"/>
  <c r="BK39" i="126"/>
  <c r="BK42" i="127"/>
  <c r="BK10" i="127"/>
  <c r="BK10" i="126"/>
  <c r="BK29" i="126"/>
  <c r="BK28" i="126"/>
  <c r="Z28" i="126" s="1"/>
  <c r="BK29" i="127"/>
  <c r="BK39" i="127"/>
  <c r="BK17" i="127"/>
  <c r="BK30" i="127"/>
  <c r="BK28" i="127"/>
  <c r="BK11" i="127"/>
  <c r="Z11" i="127" s="1"/>
  <c r="BK18" i="127"/>
  <c r="BK30" i="126"/>
  <c r="BK9" i="126"/>
  <c r="BK9" i="127"/>
  <c r="BK18" i="126"/>
  <c r="BK36" i="126"/>
  <c r="BK25" i="126"/>
  <c r="BK36" i="127"/>
  <c r="BK35" i="127" s="1"/>
  <c r="BK26" i="126"/>
  <c r="BK26" i="127"/>
  <c r="BK43" i="127"/>
  <c r="BK43" i="126"/>
  <c r="BK25" i="127"/>
  <c r="BK19" i="127"/>
  <c r="BK19" i="126"/>
  <c r="BK90" i="126"/>
  <c r="BK90" i="127"/>
  <c r="AN13" i="126"/>
  <c r="CE6" i="127"/>
  <c r="R54" i="127"/>
  <c r="S54" i="127"/>
  <c r="Q54" i="127"/>
  <c r="AP53" i="133" s="1"/>
  <c r="BJ16" i="126"/>
  <c r="BJ35" i="126"/>
  <c r="BJ13" i="127"/>
  <c r="BI44" i="127"/>
  <c r="CZ16" i="127"/>
  <c r="CZ35" i="127"/>
  <c r="BI6" i="126"/>
  <c r="CC86" i="126"/>
  <c r="CX94" i="127"/>
  <c r="CX91" i="126"/>
  <c r="CC45" i="127"/>
  <c r="CC91" i="126"/>
  <c r="CC45" i="126"/>
  <c r="CB44" i="127"/>
  <c r="CF16" i="127"/>
  <c r="CF13" i="127"/>
  <c r="AM44" i="127"/>
  <c r="BJ45" i="127"/>
  <c r="BJ91" i="127"/>
  <c r="CZ13" i="127"/>
  <c r="CC94" i="127"/>
  <c r="CY6" i="127"/>
  <c r="CF16" i="126"/>
  <c r="BJ45" i="110"/>
  <c r="CX45" i="110"/>
  <c r="BI6" i="127"/>
  <c r="AN86" i="126"/>
  <c r="AN45" i="126"/>
  <c r="CG23" i="127"/>
  <c r="CG23" i="110"/>
  <c r="CG23" i="126"/>
  <c r="CG33" i="127"/>
  <c r="CG33" i="126"/>
  <c r="CG33" i="110"/>
  <c r="CG20" i="127"/>
  <c r="CG20" i="126"/>
  <c r="CG20" i="110"/>
  <c r="CG12" i="127"/>
  <c r="CG12" i="126"/>
  <c r="CG21" i="110"/>
  <c r="CG21" i="126"/>
  <c r="CG21" i="127"/>
  <c r="CG22" i="127"/>
  <c r="CG8" i="127"/>
  <c r="CG8" i="126"/>
  <c r="CG38" i="126"/>
  <c r="CG31" i="127"/>
  <c r="CG14" i="126"/>
  <c r="CG37" i="126"/>
  <c r="CG32" i="126"/>
  <c r="CG15" i="126"/>
  <c r="CG22" i="126"/>
  <c r="CG22" i="110"/>
  <c r="CG40" i="127"/>
  <c r="CG31" i="126"/>
  <c r="CG14" i="127"/>
  <c r="CG40" i="126"/>
  <c r="CG37" i="127"/>
  <c r="CG15" i="127"/>
  <c r="CG28" i="126"/>
  <c r="CG38" i="127"/>
  <c r="CG32" i="127"/>
  <c r="CG27" i="126"/>
  <c r="CG11" i="127"/>
  <c r="CG27" i="127"/>
  <c r="CG11" i="126"/>
  <c r="CG34" i="127"/>
  <c r="CG34" i="126"/>
  <c r="CG17" i="127"/>
  <c r="CG30" i="127"/>
  <c r="CG42" i="127"/>
  <c r="CG42" i="126"/>
  <c r="CG30" i="126"/>
  <c r="CG39" i="126"/>
  <c r="CG29" i="127"/>
  <c r="CG39" i="127"/>
  <c r="CG29" i="126"/>
  <c r="CG10" i="127"/>
  <c r="CG10" i="126"/>
  <c r="CG28" i="127"/>
  <c r="CG17" i="126"/>
  <c r="CG9" i="126"/>
  <c r="CG9" i="127"/>
  <c r="CG18" i="126"/>
  <c r="CG18" i="127"/>
  <c r="CG25" i="126"/>
  <c r="CG26" i="127"/>
  <c r="CG36" i="126"/>
  <c r="CG26" i="126"/>
  <c r="CG36" i="127"/>
  <c r="CG25" i="127"/>
  <c r="CG19" i="127"/>
  <c r="CG19" i="126"/>
  <c r="CC45" i="110"/>
  <c r="DA23" i="127"/>
  <c r="DA23" i="110"/>
  <c r="DA23" i="126"/>
  <c r="DA33" i="126"/>
  <c r="DA33" i="127"/>
  <c r="DA33" i="110"/>
  <c r="DA20" i="110"/>
  <c r="DA20" i="126"/>
  <c r="DA20" i="127"/>
  <c r="DA12" i="127"/>
  <c r="DA12" i="126"/>
  <c r="DA21" i="127"/>
  <c r="DA21" i="126"/>
  <c r="DA21" i="110"/>
  <c r="DA22" i="126"/>
  <c r="DA22" i="110"/>
  <c r="DA32" i="126"/>
  <c r="DA8" i="127"/>
  <c r="DA27" i="126"/>
  <c r="DA38" i="127"/>
  <c r="DA14" i="126"/>
  <c r="DA27" i="127"/>
  <c r="DA15" i="127"/>
  <c r="DA14" i="127"/>
  <c r="DA40" i="127"/>
  <c r="DA31" i="127"/>
  <c r="DA22" i="127"/>
  <c r="DA32" i="127"/>
  <c r="DA40" i="126"/>
  <c r="DA15" i="126"/>
  <c r="DA37" i="126"/>
  <c r="DA8" i="126"/>
  <c r="DA31" i="126"/>
  <c r="DA37" i="127"/>
  <c r="DA11" i="126"/>
  <c r="DA38" i="126"/>
  <c r="DA34" i="126"/>
  <c r="DA34" i="127"/>
  <c r="DA10" i="127"/>
  <c r="DA29" i="127"/>
  <c r="DA28" i="127"/>
  <c r="DA29" i="126"/>
  <c r="DA39" i="126"/>
  <c r="DA39" i="127"/>
  <c r="DA18" i="127"/>
  <c r="DA30" i="126"/>
  <c r="DA11" i="127"/>
  <c r="DA28" i="126"/>
  <c r="DA17" i="127"/>
  <c r="DA30" i="127"/>
  <c r="DA42" i="127"/>
  <c r="DA42" i="126"/>
  <c r="DA10" i="126"/>
  <c r="DA17" i="126"/>
  <c r="DA18" i="126"/>
  <c r="DA9" i="127"/>
  <c r="DA9" i="126"/>
  <c r="DA36" i="126"/>
  <c r="DA26" i="127"/>
  <c r="DA36" i="127"/>
  <c r="DA25" i="127"/>
  <c r="DA25" i="126"/>
  <c r="DA26" i="126"/>
  <c r="DA19" i="127"/>
  <c r="DA19" i="126"/>
  <c r="AN45" i="110"/>
  <c r="AN39" i="132"/>
  <c r="AN39" i="130"/>
  <c r="AO23" i="126"/>
  <c r="AN39" i="131"/>
  <c r="AO23" i="110"/>
  <c r="AO23" i="127"/>
  <c r="AN67" i="132"/>
  <c r="AN58" i="132"/>
  <c r="AN60" i="132"/>
  <c r="AO84" i="127"/>
  <c r="AO83" i="126"/>
  <c r="AO58" i="127"/>
  <c r="AO57" i="126"/>
  <c r="AO56" i="127"/>
  <c r="AN86" i="132"/>
  <c r="AN59" i="132"/>
  <c r="AN85" i="132"/>
  <c r="AN58" i="130"/>
  <c r="AN60" i="130"/>
  <c r="AN86" i="131"/>
  <c r="AN59" i="131"/>
  <c r="AN67" i="131"/>
  <c r="AO85" i="126"/>
  <c r="AN57" i="132"/>
  <c r="AN87" i="132"/>
  <c r="AN57" i="130"/>
  <c r="AN85" i="130"/>
  <c r="AN87" i="131"/>
  <c r="AN59" i="130"/>
  <c r="AN67" i="130"/>
  <c r="AN85" i="131"/>
  <c r="AN57" i="131"/>
  <c r="AN60" i="131"/>
  <c r="AN87" i="130"/>
  <c r="AN86" i="130"/>
  <c r="AN58" i="131"/>
  <c r="AO55" i="126"/>
  <c r="AO65" i="126"/>
  <c r="AO57" i="127"/>
  <c r="AO58" i="126"/>
  <c r="AO55" i="127"/>
  <c r="AO83" i="110"/>
  <c r="AO83" i="127"/>
  <c r="AO84" i="126"/>
  <c r="AO85" i="110"/>
  <c r="AO65" i="110"/>
  <c r="AO84" i="110"/>
  <c r="AO65" i="127"/>
  <c r="AO57" i="110"/>
  <c r="AO55" i="110"/>
  <c r="AO58" i="110"/>
  <c r="AO56" i="110"/>
  <c r="AO85" i="127"/>
  <c r="AO56" i="126"/>
  <c r="AN45" i="131"/>
  <c r="AN45" i="130"/>
  <c r="AO20" i="126"/>
  <c r="AN45" i="132"/>
  <c r="AO20" i="127"/>
  <c r="AO20" i="110"/>
  <c r="AO21" i="127"/>
  <c r="AO21" i="110"/>
  <c r="AO21" i="126"/>
  <c r="AN49" i="132"/>
  <c r="AN49" i="130"/>
  <c r="AO47" i="110"/>
  <c r="AN49" i="131"/>
  <c r="AO47" i="127"/>
  <c r="AO47" i="126"/>
  <c r="AO12" i="126"/>
  <c r="AO14" i="127"/>
  <c r="AO14" i="126"/>
  <c r="Y14" i="126" s="1"/>
  <c r="AO15" i="127"/>
  <c r="AN69" i="131"/>
  <c r="AO12" i="127"/>
  <c r="AN80" i="131"/>
  <c r="AN78" i="132"/>
  <c r="AN75" i="132"/>
  <c r="AO15" i="126"/>
  <c r="Y15" i="126" s="1"/>
  <c r="AN77" i="132"/>
  <c r="AN62" i="131"/>
  <c r="AN76" i="132"/>
  <c r="AN81" i="131"/>
  <c r="AO67" i="127"/>
  <c r="AO67" i="126"/>
  <c r="AO63" i="126"/>
  <c r="AO79" i="126"/>
  <c r="AO70" i="126"/>
  <c r="AN72" i="131"/>
  <c r="AO66" i="127"/>
  <c r="AO63" i="127"/>
  <c r="AN53" i="131"/>
  <c r="AN50" i="130"/>
  <c r="AO68" i="126"/>
  <c r="AO59" i="127"/>
  <c r="AO70" i="127"/>
  <c r="AN83" i="132"/>
  <c r="AO75" i="126"/>
  <c r="Y75" i="126" s="1"/>
  <c r="AO66" i="110"/>
  <c r="AO78" i="110"/>
  <c r="AO61" i="126"/>
  <c r="AO80" i="127"/>
  <c r="AN66" i="130"/>
  <c r="AN71" i="131"/>
  <c r="AN51" i="131"/>
  <c r="AN84" i="132"/>
  <c r="AO72" i="126"/>
  <c r="AO59" i="110"/>
  <c r="AO61" i="110"/>
  <c r="AN72" i="130"/>
  <c r="AN72" i="132"/>
  <c r="AO68" i="110"/>
  <c r="AO62" i="127"/>
  <c r="AO80" i="126"/>
  <c r="AO64" i="127"/>
  <c r="AO81" i="127"/>
  <c r="AO71" i="110"/>
  <c r="AN73" i="132"/>
  <c r="AO73" i="127"/>
  <c r="AN51" i="130"/>
  <c r="AN84" i="130"/>
  <c r="AN74" i="130"/>
  <c r="AO63" i="110"/>
  <c r="AO79" i="110"/>
  <c r="AO60" i="126"/>
  <c r="AO62" i="110"/>
  <c r="AO59" i="126"/>
  <c r="AN55" i="132"/>
  <c r="AN71" i="132"/>
  <c r="AO61" i="127"/>
  <c r="AN53" i="132"/>
  <c r="AO75" i="127"/>
  <c r="AN50" i="131"/>
  <c r="AN55" i="131"/>
  <c r="AO78" i="127"/>
  <c r="AO64" i="110"/>
  <c r="AO81" i="110"/>
  <c r="AO81" i="126"/>
  <c r="AN83" i="130"/>
  <c r="AO69" i="126"/>
  <c r="AN64" i="131"/>
  <c r="AN54" i="130"/>
  <c r="AO80" i="110"/>
  <c r="AO64" i="126"/>
  <c r="AO71" i="127"/>
  <c r="AN74" i="132"/>
  <c r="AO79" i="127"/>
  <c r="AN50" i="132"/>
  <c r="AO60" i="110"/>
  <c r="AN52" i="132"/>
  <c r="AN83" i="131"/>
  <c r="AO82" i="126"/>
  <c r="AO74" i="126"/>
  <c r="Y74" i="126" s="1"/>
  <c r="AN54" i="131"/>
  <c r="AN53" i="130"/>
  <c r="AO60" i="127"/>
  <c r="AO66" i="126"/>
  <c r="AO76" i="126"/>
  <c r="Y76" i="126" s="1"/>
  <c r="S76" i="126" s="1"/>
  <c r="AO67" i="110"/>
  <c r="AN71" i="130"/>
  <c r="AO76" i="127"/>
  <c r="AN51" i="132"/>
  <c r="AN74" i="131"/>
  <c r="AO74" i="127"/>
  <c r="AN63" i="131"/>
  <c r="AO89" i="127"/>
  <c r="AO49" i="110"/>
  <c r="AO51" i="127"/>
  <c r="AO48" i="126"/>
  <c r="AO50" i="110"/>
  <c r="AO62" i="126"/>
  <c r="AO70" i="110"/>
  <c r="AO68" i="127"/>
  <c r="AO78" i="126"/>
  <c r="AN52" i="131"/>
  <c r="AO71" i="126"/>
  <c r="AN73" i="131"/>
  <c r="AN73" i="130"/>
  <c r="AO82" i="127"/>
  <c r="AN84" i="131"/>
  <c r="AO72" i="110"/>
  <c r="AO51" i="126"/>
  <c r="AO53" i="126"/>
  <c r="AO49" i="127"/>
  <c r="AO46" i="127"/>
  <c r="AO48" i="110"/>
  <c r="AO69" i="110"/>
  <c r="AO73" i="126"/>
  <c r="Y73" i="126" s="1"/>
  <c r="AO72" i="127"/>
  <c r="AN65" i="131"/>
  <c r="AN70" i="131"/>
  <c r="AO52" i="126"/>
  <c r="AO50" i="127"/>
  <c r="AO48" i="127"/>
  <c r="AO93" i="126"/>
  <c r="AO52" i="110"/>
  <c r="AN55" i="130"/>
  <c r="AO46" i="126"/>
  <c r="AO49" i="126"/>
  <c r="AO52" i="127"/>
  <c r="AO93" i="127"/>
  <c r="AO53" i="127"/>
  <c r="AN70" i="132"/>
  <c r="AN68" i="131"/>
  <c r="AN69" i="132"/>
  <c r="AN62" i="132"/>
  <c r="AN78" i="131"/>
  <c r="P78" i="131" s="1"/>
  <c r="N78" i="131" s="1"/>
  <c r="O78" i="118" s="1"/>
  <c r="AN80" i="130"/>
  <c r="AN68" i="130"/>
  <c r="AN82" i="130"/>
  <c r="AN66" i="132"/>
  <c r="AN64" i="132"/>
  <c r="AN63" i="132"/>
  <c r="AN79" i="132"/>
  <c r="AN82" i="132"/>
  <c r="AO69" i="127"/>
  <c r="AN66" i="131"/>
  <c r="AO82" i="110"/>
  <c r="AO92" i="127"/>
  <c r="AO53" i="110"/>
  <c r="AO51" i="110"/>
  <c r="AN82" i="131"/>
  <c r="AN61" i="132"/>
  <c r="AN75" i="131"/>
  <c r="P75" i="131" s="1"/>
  <c r="N75" i="131" s="1"/>
  <c r="O75" i="118" s="1"/>
  <c r="AN76" i="131"/>
  <c r="P76" i="131" s="1"/>
  <c r="N76" i="131" s="1"/>
  <c r="O76" i="118" s="1"/>
  <c r="AN77" i="131"/>
  <c r="P77" i="131" s="1"/>
  <c r="N77" i="131" s="1"/>
  <c r="O77" i="118" s="1"/>
  <c r="AN64" i="130"/>
  <c r="AN81" i="130"/>
  <c r="AN65" i="130"/>
  <c r="AN54" i="132"/>
  <c r="AN61" i="131"/>
  <c r="AN68" i="132"/>
  <c r="AN52" i="130"/>
  <c r="AO50" i="126"/>
  <c r="AO92" i="126"/>
  <c r="AO89" i="126"/>
  <c r="AN65" i="132"/>
  <c r="AN80" i="132"/>
  <c r="AN81" i="132"/>
  <c r="AN69" i="130"/>
  <c r="AN61" i="130"/>
  <c r="AN70" i="130"/>
  <c r="AN63" i="130"/>
  <c r="AN62" i="130"/>
  <c r="AO77" i="127"/>
  <c r="AN79" i="131"/>
  <c r="AO77" i="110"/>
  <c r="AO77" i="126"/>
  <c r="AO87" i="127"/>
  <c r="AO96" i="127"/>
  <c r="AO87" i="126"/>
  <c r="AN79" i="130"/>
  <c r="AO96" i="126"/>
  <c r="AO95" i="127"/>
  <c r="AO88" i="126"/>
  <c r="AO88" i="127"/>
  <c r="AO95" i="126"/>
  <c r="AO22" i="110"/>
  <c r="AO18" i="127"/>
  <c r="AO42" i="126"/>
  <c r="AO22" i="127"/>
  <c r="AO17" i="126"/>
  <c r="AO22" i="126"/>
  <c r="AO17" i="127"/>
  <c r="AO11" i="126"/>
  <c r="Y11" i="126" s="1"/>
  <c r="AO42" i="127"/>
  <c r="AO18" i="126"/>
  <c r="AO11" i="127"/>
  <c r="AO30" i="126"/>
  <c r="AO39" i="126"/>
  <c r="AO30" i="127"/>
  <c r="AO39" i="127"/>
  <c r="AO28" i="127"/>
  <c r="AO29" i="126"/>
  <c r="AO28" i="126"/>
  <c r="AO9" i="127"/>
  <c r="AO9" i="126"/>
  <c r="AO29" i="127"/>
  <c r="AN44" i="131"/>
  <c r="AO36" i="126"/>
  <c r="AO26" i="127"/>
  <c r="AO36" i="127"/>
  <c r="AO26" i="126"/>
  <c r="AO10" i="127"/>
  <c r="AO43" i="127"/>
  <c r="AO10" i="126"/>
  <c r="AO43" i="126"/>
  <c r="AO90" i="126"/>
  <c r="AO90" i="127"/>
  <c r="AO19" i="126"/>
  <c r="AO25" i="127"/>
  <c r="AO19" i="127"/>
  <c r="AO25" i="126"/>
  <c r="AN16" i="126"/>
  <c r="AN24" i="127"/>
  <c r="AN7" i="126"/>
  <c r="AN35" i="127"/>
  <c r="AN94" i="126"/>
  <c r="AN13" i="127"/>
  <c r="BJ86" i="126"/>
  <c r="BJ24" i="126"/>
  <c r="BJ7" i="126"/>
  <c r="BJ45" i="126"/>
  <c r="CZ7" i="127"/>
  <c r="CZ13" i="126"/>
  <c r="CX86" i="126"/>
  <c r="CX44" i="126" s="1"/>
  <c r="CX41" i="126" s="1"/>
  <c r="CX5" i="126" s="1"/>
  <c r="CC94" i="126"/>
  <c r="CX45" i="127"/>
  <c r="CC91" i="127"/>
  <c r="AM6" i="127"/>
  <c r="CF35" i="127"/>
  <c r="CF35" i="126"/>
  <c r="CF7" i="127"/>
  <c r="BD5" i="127"/>
  <c r="BC5" i="126"/>
  <c r="CS5" i="126"/>
  <c r="CT5" i="127"/>
  <c r="AH5" i="126"/>
  <c r="BX5" i="126"/>
  <c r="AI5" i="127"/>
  <c r="BY5" i="127"/>
  <c r="BH5" i="110"/>
  <c r="CA5" i="110"/>
  <c r="CY6" i="110"/>
  <c r="AL5" i="110"/>
  <c r="CE6" i="110"/>
  <c r="AM6" i="110"/>
  <c r="BI6" i="110"/>
  <c r="AN94" i="110"/>
  <c r="AN35" i="110"/>
  <c r="AM44" i="110"/>
  <c r="AM41" i="110" s="1"/>
  <c r="AN86" i="110"/>
  <c r="BK89" i="110"/>
  <c r="BK9" i="110"/>
  <c r="Z9" i="110" s="1"/>
  <c r="BK42" i="110"/>
  <c r="AN24" i="110"/>
  <c r="AN16" i="110"/>
  <c r="BK88" i="132"/>
  <c r="BK89" i="132"/>
  <c r="CD89" i="110"/>
  <c r="CY89" i="110"/>
  <c r="Q15" i="110"/>
  <c r="AN14" i="133" s="1"/>
  <c r="R15" i="110"/>
  <c r="AN13" i="110"/>
  <c r="Y13" i="110" s="1"/>
  <c r="S13" i="110" s="1"/>
  <c r="C36" i="138" s="1"/>
  <c r="Y14" i="110"/>
  <c r="AO89" i="110"/>
  <c r="AO9" i="110"/>
  <c r="AN89" i="132"/>
  <c r="AN88" i="132"/>
  <c r="AO42" i="110"/>
  <c r="AN18" i="132"/>
  <c r="AN18" i="131"/>
  <c r="AN18" i="130"/>
  <c r="AN15" i="132"/>
  <c r="AN22" i="132"/>
  <c r="AN31" i="132"/>
  <c r="AN99" i="132"/>
  <c r="AN104" i="132"/>
  <c r="AN95" i="130"/>
  <c r="AN92" i="130"/>
  <c r="AN8" i="130"/>
  <c r="AN41" i="130"/>
  <c r="AN16" i="132"/>
  <c r="AN17" i="131"/>
  <c r="AN88" i="130"/>
  <c r="AN27" i="130"/>
  <c r="AO92" i="110"/>
  <c r="AN40" i="130"/>
  <c r="AO88" i="110"/>
  <c r="AN100" i="130"/>
  <c r="AN42" i="132"/>
  <c r="AN34" i="130"/>
  <c r="AN92" i="132"/>
  <c r="AN41" i="131"/>
  <c r="AO93" i="110"/>
  <c r="AN92" i="131"/>
  <c r="AN95" i="131"/>
  <c r="AN89" i="131"/>
  <c r="AN6" i="131"/>
  <c r="P6" i="131" s="1"/>
  <c r="N6" i="131" s="1"/>
  <c r="O6" i="118" s="1"/>
  <c r="AN37" i="132"/>
  <c r="AN36" i="131"/>
  <c r="AN27" i="132"/>
  <c r="AN27" i="131"/>
  <c r="AN19" i="131"/>
  <c r="AN9" i="131"/>
  <c r="AN38" i="132"/>
  <c r="AN40" i="132"/>
  <c r="AN29" i="132"/>
  <c r="AN9" i="132"/>
  <c r="AN21" i="132"/>
  <c r="AN20" i="132"/>
  <c r="AN25" i="130"/>
  <c r="AO30" i="110"/>
  <c r="AO25" i="110"/>
  <c r="AN23" i="131"/>
  <c r="AN11" i="132"/>
  <c r="AO19" i="110"/>
  <c r="AN8" i="132"/>
  <c r="AN19" i="132"/>
  <c r="AN101" i="132"/>
  <c r="AN14" i="131"/>
  <c r="AO95" i="110"/>
  <c r="AN17" i="130"/>
  <c r="AN96" i="130"/>
  <c r="AN94" i="132"/>
  <c r="AN28" i="130"/>
  <c r="AN90" i="130"/>
  <c r="AN95" i="132"/>
  <c r="AO28" i="110"/>
  <c r="Y28" i="110" s="1"/>
  <c r="AN100" i="131"/>
  <c r="AN38" i="131"/>
  <c r="AN37" i="131"/>
  <c r="AN96" i="131"/>
  <c r="AN42" i="131"/>
  <c r="AN32" i="131"/>
  <c r="AN28" i="132"/>
  <c r="AO39" i="110"/>
  <c r="AN31" i="130"/>
  <c r="AN10" i="132"/>
  <c r="AN10" i="131"/>
  <c r="AN21" i="130"/>
  <c r="P21" i="130" s="1"/>
  <c r="N21" i="130" s="1"/>
  <c r="N21" i="118" s="1"/>
  <c r="AN35" i="130"/>
  <c r="AN6" i="132"/>
  <c r="AN13" i="130"/>
  <c r="P13" i="130" s="1"/>
  <c r="N13" i="130" s="1"/>
  <c r="N13" i="118" s="1"/>
  <c r="AN32" i="130"/>
  <c r="AN93" i="130"/>
  <c r="AN104" i="131"/>
  <c r="AN33" i="132"/>
  <c r="AN99" i="131"/>
  <c r="AN43" i="131"/>
  <c r="AN48" i="131"/>
  <c r="AN10" i="130"/>
  <c r="AN23" i="130"/>
  <c r="AO10" i="110"/>
  <c r="AN20" i="131"/>
  <c r="AN7" i="132"/>
  <c r="AO46" i="110"/>
  <c r="M9" i="109"/>
  <c r="AN34" i="132"/>
  <c r="AN96" i="132"/>
  <c r="AN38" i="130"/>
  <c r="AN90" i="132"/>
  <c r="AN104" i="130"/>
  <c r="AN36" i="130"/>
  <c r="AN33" i="130"/>
  <c r="AN29" i="131"/>
  <c r="AN93" i="131"/>
  <c r="AN33" i="131"/>
  <c r="AN37" i="130"/>
  <c r="AN16" i="131"/>
  <c r="P16" i="131" s="1"/>
  <c r="N16" i="131" s="1"/>
  <c r="O16" i="118" s="1"/>
  <c r="AN31" i="131"/>
  <c r="AN28" i="131"/>
  <c r="AN23" i="132"/>
  <c r="AO43" i="110"/>
  <c r="AN12" i="132"/>
  <c r="AN21" i="131"/>
  <c r="AN43" i="132"/>
  <c r="AN97" i="132"/>
  <c r="AN91" i="130"/>
  <c r="AN19" i="130"/>
  <c r="AO96" i="110"/>
  <c r="AN5" i="131"/>
  <c r="AN48" i="130"/>
  <c r="AN94" i="130"/>
  <c r="AN91" i="131"/>
  <c r="AN8" i="131"/>
  <c r="AN41" i="132"/>
  <c r="AN102" i="131"/>
  <c r="AN32" i="132"/>
  <c r="AN25" i="132"/>
  <c r="AN44" i="130"/>
  <c r="AO36" i="110"/>
  <c r="AN11" i="131"/>
  <c r="AN14" i="130"/>
  <c r="AN88" i="131"/>
  <c r="AN17" i="132"/>
  <c r="AN34" i="131"/>
  <c r="AO18" i="110"/>
  <c r="AN7" i="131"/>
  <c r="AN12" i="131"/>
  <c r="AN44" i="132"/>
  <c r="AN93" i="132"/>
  <c r="AN5" i="130"/>
  <c r="AN103" i="130"/>
  <c r="AN43" i="130"/>
  <c r="AN101" i="130"/>
  <c r="AN30" i="131"/>
  <c r="AN94" i="131"/>
  <c r="AN36" i="132"/>
  <c r="AN90" i="131"/>
  <c r="AN35" i="132"/>
  <c r="AN20" i="130"/>
  <c r="AO29" i="110"/>
  <c r="AO90" i="110"/>
  <c r="AN14" i="132"/>
  <c r="AN30" i="132"/>
  <c r="AN91" i="132"/>
  <c r="AN102" i="132"/>
  <c r="AN100" i="132"/>
  <c r="AO17" i="110"/>
  <c r="AN22" i="131"/>
  <c r="AN22" i="130"/>
  <c r="P22" i="130" s="1"/>
  <c r="N22" i="130" s="1"/>
  <c r="N22" i="118" s="1"/>
  <c r="AN30" i="130"/>
  <c r="AN42" i="130"/>
  <c r="AN29" i="130"/>
  <c r="AN99" i="130"/>
  <c r="AN102" i="130"/>
  <c r="AN35" i="131"/>
  <c r="AO87" i="110"/>
  <c r="AN101" i="131"/>
  <c r="AN13" i="131"/>
  <c r="AN97" i="131"/>
  <c r="AN13" i="132"/>
  <c r="AN7" i="130"/>
  <c r="AN12" i="130"/>
  <c r="AO26" i="110"/>
  <c r="AN48" i="132"/>
  <c r="AN103" i="132"/>
  <c r="AN89" i="130"/>
  <c r="AN97" i="130"/>
  <c r="AN103" i="131"/>
  <c r="AN40" i="131"/>
  <c r="AO12" i="110"/>
  <c r="AN5" i="132"/>
  <c r="AN15" i="131"/>
  <c r="P15" i="131" s="1"/>
  <c r="N15" i="131" s="1"/>
  <c r="O15" i="118" s="1"/>
  <c r="AN9" i="130"/>
  <c r="AN25" i="131"/>
  <c r="AN11" i="130"/>
  <c r="DA42" i="110"/>
  <c r="DA9" i="110"/>
  <c r="CG9" i="110"/>
  <c r="CG42" i="110"/>
  <c r="AN91" i="110"/>
  <c r="R11" i="110"/>
  <c r="Q11" i="110"/>
  <c r="AN10" i="133" s="1"/>
  <c r="AN7" i="110"/>
  <c r="BJ16" i="110"/>
  <c r="CF16" i="110"/>
  <c r="CZ16" i="110"/>
  <c r="CW44" i="110"/>
  <c r="CW41" i="110" s="1"/>
  <c r="CW5" i="110" s="1"/>
  <c r="CB44" i="110"/>
  <c r="CB41" i="110" s="1"/>
  <c r="CB5" i="110" s="1"/>
  <c r="BI44" i="110"/>
  <c r="BI41" i="110" s="1"/>
  <c r="BJ35" i="110"/>
  <c r="BJ7" i="110"/>
  <c r="BJ94" i="110"/>
  <c r="BJ86" i="110"/>
  <c r="CZ7" i="110"/>
  <c r="CG26" i="110"/>
  <c r="CG19" i="110"/>
  <c r="BK18" i="130"/>
  <c r="BK18" i="132"/>
  <c r="BK18" i="131"/>
  <c r="BJ24" i="110"/>
  <c r="CD46" i="110"/>
  <c r="CY46" i="110"/>
  <c r="CD90" i="110"/>
  <c r="CY90" i="110"/>
  <c r="CZ13" i="110"/>
  <c r="BK46" i="110"/>
  <c r="BK26" i="110"/>
  <c r="BK19" i="110"/>
  <c r="BK90" i="110"/>
  <c r="BK12" i="110"/>
  <c r="Z12" i="110" s="1"/>
  <c r="BK92" i="110"/>
  <c r="BK30" i="110"/>
  <c r="BK88" i="110"/>
  <c r="BK18" i="110"/>
  <c r="BK93" i="110"/>
  <c r="BK39" i="110"/>
  <c r="BK17" i="110"/>
  <c r="BK96" i="110"/>
  <c r="BK36" i="110"/>
  <c r="BK95" i="110"/>
  <c r="BK29" i="110"/>
  <c r="Z29" i="110" s="1"/>
  <c r="N11" i="109"/>
  <c r="BK10" i="110"/>
  <c r="BK87" i="110"/>
  <c r="BK25" i="110"/>
  <c r="BK43" i="110"/>
  <c r="BJ91" i="110"/>
  <c r="DA19" i="110"/>
  <c r="DA26" i="110"/>
  <c r="N15" i="109"/>
  <c r="DA37" i="110"/>
  <c r="DA8" i="110"/>
  <c r="DA25" i="110"/>
  <c r="DA30" i="110"/>
  <c r="DA29" i="110"/>
  <c r="DA15" i="110"/>
  <c r="DA38" i="110"/>
  <c r="DA28" i="110"/>
  <c r="DA40" i="110"/>
  <c r="DA11" i="110"/>
  <c r="DA14" i="110"/>
  <c r="DA34" i="110"/>
  <c r="DA32" i="110"/>
  <c r="DA36" i="110"/>
  <c r="DA18" i="110"/>
  <c r="DA10" i="110"/>
  <c r="DA12" i="110"/>
  <c r="DA17" i="110"/>
  <c r="DA31" i="110"/>
  <c r="DA27" i="110"/>
  <c r="DA39" i="110"/>
  <c r="CZ24" i="110"/>
  <c r="CZ35" i="110"/>
  <c r="CC91" i="110"/>
  <c r="CX91" i="110"/>
  <c r="CC86" i="110"/>
  <c r="CC94" i="110"/>
  <c r="CX94" i="110"/>
  <c r="CF7" i="110"/>
  <c r="CF35" i="110"/>
  <c r="CX86" i="110"/>
  <c r="CF24" i="110"/>
  <c r="CF13" i="110"/>
  <c r="M17" i="109"/>
  <c r="L19" i="109"/>
  <c r="CY88" i="110"/>
  <c r="CY92" i="110"/>
  <c r="CD92" i="110"/>
  <c r="CD93" i="110"/>
  <c r="CY95" i="110"/>
  <c r="CD87" i="110"/>
  <c r="CY96" i="110"/>
  <c r="CY87" i="110"/>
  <c r="CD88" i="110"/>
  <c r="CY93" i="110"/>
  <c r="CD95" i="110"/>
  <c r="CD96" i="110"/>
  <c r="CD43" i="110"/>
  <c r="CY43" i="110"/>
  <c r="S29" i="110"/>
  <c r="Q29" i="110"/>
  <c r="AN28" i="133" s="1"/>
  <c r="O14" i="109"/>
  <c r="CG31" i="110"/>
  <c r="CG12" i="110"/>
  <c r="CG17" i="110"/>
  <c r="CG37" i="110"/>
  <c r="CG32" i="110"/>
  <c r="CG38" i="110"/>
  <c r="CG36" i="110"/>
  <c r="CG15" i="110"/>
  <c r="CG29" i="110"/>
  <c r="CG34" i="110"/>
  <c r="CG40" i="110"/>
  <c r="CG28" i="110"/>
  <c r="CG11" i="110"/>
  <c r="CG18" i="110"/>
  <c r="CG27" i="110"/>
  <c r="CG25" i="110"/>
  <c r="CG14" i="110"/>
  <c r="CG8" i="110"/>
  <c r="CG39" i="110"/>
  <c r="CG10" i="110"/>
  <c r="CG30" i="110"/>
  <c r="W16" i="109"/>
  <c r="BK11" i="132"/>
  <c r="O10" i="109"/>
  <c r="BK41" i="132"/>
  <c r="BK97" i="132"/>
  <c r="BK100" i="132"/>
  <c r="BK101" i="132"/>
  <c r="BK103" i="132"/>
  <c r="BK40" i="131"/>
  <c r="BK102" i="132"/>
  <c r="BK96" i="132"/>
  <c r="BK99" i="132"/>
  <c r="BK34" i="130"/>
  <c r="BK28" i="130"/>
  <c r="BK32" i="130"/>
  <c r="BK90" i="132"/>
  <c r="BK93" i="132"/>
  <c r="BK94" i="132"/>
  <c r="BK30" i="130"/>
  <c r="BK90" i="130"/>
  <c r="BK103" i="130"/>
  <c r="BK102" i="130"/>
  <c r="BK104" i="132"/>
  <c r="BK7" i="131"/>
  <c r="BK91" i="132"/>
  <c r="BK99" i="130"/>
  <c r="BK104" i="130"/>
  <c r="BK48" i="132"/>
  <c r="BK95" i="132"/>
  <c r="BK12" i="132"/>
  <c r="BK5" i="132"/>
  <c r="BK100" i="130"/>
  <c r="BK10" i="132"/>
  <c r="BK90" i="131"/>
  <c r="BK99" i="131"/>
  <c r="BK5" i="131"/>
  <c r="Q5" i="131" s="1"/>
  <c r="BK40" i="130"/>
  <c r="BK10" i="130"/>
  <c r="Q10" i="130" s="1"/>
  <c r="BK14" i="132"/>
  <c r="BK8" i="131"/>
  <c r="BK7" i="132"/>
  <c r="BK92" i="132"/>
  <c r="BK88" i="131"/>
  <c r="BK8" i="132"/>
  <c r="BK40" i="132"/>
  <c r="BK38" i="132"/>
  <c r="BK17" i="132"/>
  <c r="BK42" i="132"/>
  <c r="BK37" i="132"/>
  <c r="BK19" i="131"/>
  <c r="BK44" i="132"/>
  <c r="BK94" i="130"/>
  <c r="BK96" i="130"/>
  <c r="BK41" i="130"/>
  <c r="BK89" i="130"/>
  <c r="BK48" i="130"/>
  <c r="Q48" i="130" s="1"/>
  <c r="BK92" i="130"/>
  <c r="BK96" i="131"/>
  <c r="BK7" i="130"/>
  <c r="BK91" i="130"/>
  <c r="BK95" i="130"/>
  <c r="BK101" i="131"/>
  <c r="BK41" i="131"/>
  <c r="BK97" i="131"/>
  <c r="BK93" i="131"/>
  <c r="BK89" i="131"/>
  <c r="BK48" i="131"/>
  <c r="BK9" i="131"/>
  <c r="BK13" i="132"/>
  <c r="Q13" i="132" s="1"/>
  <c r="BK9" i="132"/>
  <c r="BK8" i="130"/>
  <c r="BK29" i="131"/>
  <c r="BK9" i="130"/>
  <c r="BK43" i="130"/>
  <c r="BK43" i="131"/>
  <c r="BK33" i="131"/>
  <c r="Q33" i="131" s="1"/>
  <c r="BK19" i="130"/>
  <c r="BK22" i="132"/>
  <c r="Q22" i="132" s="1"/>
  <c r="BK34" i="132"/>
  <c r="BK14" i="131"/>
  <c r="Q14" i="131" s="1"/>
  <c r="BK27" i="132"/>
  <c r="BK30" i="131"/>
  <c r="BK35" i="132"/>
  <c r="BK30" i="132"/>
  <c r="BK11" i="131"/>
  <c r="Q11" i="131" s="1"/>
  <c r="BK27" i="130"/>
  <c r="BK104" i="131"/>
  <c r="BK92" i="131"/>
  <c r="BK93" i="130"/>
  <c r="BK95" i="131"/>
  <c r="BK37" i="131"/>
  <c r="BK12" i="131"/>
  <c r="Q12" i="131" s="1"/>
  <c r="BK100" i="131"/>
  <c r="BK88" i="130"/>
  <c r="BK97" i="130"/>
  <c r="BK101" i="130"/>
  <c r="BK27" i="131"/>
  <c r="BK42" i="130"/>
  <c r="BK102" i="131"/>
  <c r="BK94" i="131"/>
  <c r="BK91" i="131"/>
  <c r="BK35" i="130"/>
  <c r="BK103" i="131"/>
  <c r="BK29" i="130"/>
  <c r="BK37" i="130"/>
  <c r="BK38" i="131"/>
  <c r="Q38" i="131" s="1"/>
  <c r="BK10" i="131"/>
  <c r="BK43" i="132"/>
  <c r="BK33" i="132"/>
  <c r="BK19" i="132"/>
  <c r="BK44" i="130"/>
  <c r="BK28" i="131"/>
  <c r="BK25" i="132"/>
  <c r="BK34" i="131"/>
  <c r="BK32" i="132"/>
  <c r="BK23" i="132"/>
  <c r="BK42" i="131"/>
  <c r="BK35" i="131"/>
  <c r="BK32" i="131"/>
  <c r="BK28" i="132"/>
  <c r="BK29" i="132"/>
  <c r="BK25" i="131"/>
  <c r="BK20" i="130"/>
  <c r="BK36" i="131"/>
  <c r="BK20" i="131"/>
  <c r="BK20" i="132"/>
  <c r="BK21" i="132"/>
  <c r="Q21" i="132" s="1"/>
  <c r="BK31" i="130"/>
  <c r="BK25" i="130"/>
  <c r="BK17" i="130"/>
  <c r="BK23" i="131"/>
  <c r="Q23" i="131" s="1"/>
  <c r="BK17" i="131"/>
  <c r="BK31" i="131"/>
  <c r="BK31" i="132"/>
  <c r="BK36" i="130"/>
  <c r="BK36" i="132"/>
  <c r="AO94" i="127" l="1"/>
  <c r="CY94" i="127"/>
  <c r="AO94" i="126"/>
  <c r="BJ44" i="127"/>
  <c r="BJ41" i="127" s="1"/>
  <c r="AO91" i="126"/>
  <c r="AO35" i="127"/>
  <c r="DA35" i="127"/>
  <c r="CG16" i="126"/>
  <c r="CZ6" i="126"/>
  <c r="AO16" i="126"/>
  <c r="AO7" i="126"/>
  <c r="DA16" i="127"/>
  <c r="DA7" i="127"/>
  <c r="DA13" i="127"/>
  <c r="CG35" i="127"/>
  <c r="CG7" i="126"/>
  <c r="CC44" i="127"/>
  <c r="CC41" i="127" s="1"/>
  <c r="CC5" i="127" s="1"/>
  <c r="BK35" i="126"/>
  <c r="CD86" i="126"/>
  <c r="BK86" i="126"/>
  <c r="BK91" i="126"/>
  <c r="BK91" i="127"/>
  <c r="CD86" i="127"/>
  <c r="CD91" i="127"/>
  <c r="BK45" i="110"/>
  <c r="CY45" i="110"/>
  <c r="DA13" i="126"/>
  <c r="BK7" i="126"/>
  <c r="BK13" i="127"/>
  <c r="Z13" i="127" s="1"/>
  <c r="CD91" i="126"/>
  <c r="CY91" i="127"/>
  <c r="CH23" i="127"/>
  <c r="CH23" i="110"/>
  <c r="CH23" i="126"/>
  <c r="CH33" i="127"/>
  <c r="CH33" i="126"/>
  <c r="CH12" i="126"/>
  <c r="CH33" i="110"/>
  <c r="CH20" i="127"/>
  <c r="CH20" i="110"/>
  <c r="CH20" i="126"/>
  <c r="CH12" i="127"/>
  <c r="CH21" i="110"/>
  <c r="CH21" i="126"/>
  <c r="CH21" i="127"/>
  <c r="CH22" i="127"/>
  <c r="CH32" i="126"/>
  <c r="CH31" i="126"/>
  <c r="CH8" i="126"/>
  <c r="CH29" i="126"/>
  <c r="CH31" i="127"/>
  <c r="CH14" i="126"/>
  <c r="CH37" i="127"/>
  <c r="CH28" i="127"/>
  <c r="CH8" i="127"/>
  <c r="CH38" i="126"/>
  <c r="CH22" i="126"/>
  <c r="CH32" i="127"/>
  <c r="CH40" i="127"/>
  <c r="CH27" i="126"/>
  <c r="CH11" i="127"/>
  <c r="CH38" i="127"/>
  <c r="CH15" i="126"/>
  <c r="CH37" i="126"/>
  <c r="CH40" i="126"/>
  <c r="CH15" i="127"/>
  <c r="CH11" i="126"/>
  <c r="CH22" i="110"/>
  <c r="CH27" i="127"/>
  <c r="CH14" i="127"/>
  <c r="CH28" i="126"/>
  <c r="CH9" i="126"/>
  <c r="CH34" i="126"/>
  <c r="CH34" i="127"/>
  <c r="CH42" i="127"/>
  <c r="CH42" i="126"/>
  <c r="CH30" i="126"/>
  <c r="CH30" i="127"/>
  <c r="CH29" i="127"/>
  <c r="CH39" i="126"/>
  <c r="CH17" i="126"/>
  <c r="CH10" i="127"/>
  <c r="CH17" i="127"/>
  <c r="CH39" i="127"/>
  <c r="CH10" i="126"/>
  <c r="CH18" i="126"/>
  <c r="CH9" i="127"/>
  <c r="CH18" i="127"/>
  <c r="CH36" i="126"/>
  <c r="CH36" i="127"/>
  <c r="CH26" i="126"/>
  <c r="CH25" i="126"/>
  <c r="CH25" i="127"/>
  <c r="CH26" i="127"/>
  <c r="CH19" i="127"/>
  <c r="CH19" i="126"/>
  <c r="AO45" i="126"/>
  <c r="AN44" i="126"/>
  <c r="CF6" i="126"/>
  <c r="BK16" i="126"/>
  <c r="BK45" i="127"/>
  <c r="CY86" i="126"/>
  <c r="CD45" i="126"/>
  <c r="CD45" i="110"/>
  <c r="AO24" i="127"/>
  <c r="AO91" i="127"/>
  <c r="Q15" i="126"/>
  <c r="AO14" i="133" s="1"/>
  <c r="R15" i="126"/>
  <c r="S15" i="126"/>
  <c r="AO13" i="127"/>
  <c r="DA16" i="126"/>
  <c r="DA24" i="127"/>
  <c r="DA7" i="126"/>
  <c r="CG24" i="127"/>
  <c r="CG7" i="127"/>
  <c r="CB41" i="127"/>
  <c r="CZ6" i="127"/>
  <c r="Z14" i="127"/>
  <c r="S14" i="126"/>
  <c r="Q14" i="126"/>
  <c r="R14" i="126"/>
  <c r="BK7" i="127"/>
  <c r="CB41" i="126"/>
  <c r="AN6" i="127"/>
  <c r="AN44" i="127"/>
  <c r="AN41" i="127" s="1"/>
  <c r="AM5" i="126"/>
  <c r="CY45" i="126"/>
  <c r="CC44" i="126"/>
  <c r="CC41" i="126" s="1"/>
  <c r="CC5" i="126" s="1"/>
  <c r="BI41" i="127"/>
  <c r="BI5" i="127" s="1"/>
  <c r="BK16" i="127"/>
  <c r="BK24" i="127"/>
  <c r="BK94" i="126"/>
  <c r="BK45" i="126"/>
  <c r="CX44" i="127"/>
  <c r="CX41" i="127" s="1"/>
  <c r="CX5" i="127" s="1"/>
  <c r="CW41" i="127"/>
  <c r="CD94" i="126"/>
  <c r="CD45" i="127"/>
  <c r="CY45" i="127"/>
  <c r="BL39" i="131"/>
  <c r="BL39" i="132"/>
  <c r="BL39" i="130"/>
  <c r="BL58" i="132"/>
  <c r="BL87" i="132"/>
  <c r="BL85" i="130"/>
  <c r="BL60" i="130"/>
  <c r="BL57" i="131"/>
  <c r="BL59" i="132"/>
  <c r="BL85" i="132"/>
  <c r="BL86" i="131"/>
  <c r="BL60" i="131"/>
  <c r="BL58" i="130"/>
  <c r="BL85" i="131"/>
  <c r="BL58" i="131"/>
  <c r="BL59" i="131"/>
  <c r="BL67" i="131"/>
  <c r="BL57" i="130"/>
  <c r="BL67" i="130"/>
  <c r="BL57" i="132"/>
  <c r="BL67" i="132"/>
  <c r="BL59" i="130"/>
  <c r="BL86" i="132"/>
  <c r="BL86" i="130"/>
  <c r="BL87" i="131"/>
  <c r="BL87" i="130"/>
  <c r="BL45" i="130"/>
  <c r="BL45" i="131"/>
  <c r="BL45" i="132"/>
  <c r="BL49" i="132"/>
  <c r="BL49" i="131"/>
  <c r="Q49" i="131" s="1"/>
  <c r="BL79" i="132"/>
  <c r="BL61" i="131"/>
  <c r="BL70" i="131"/>
  <c r="BL68" i="131"/>
  <c r="BL55" i="132"/>
  <c r="BL54" i="132"/>
  <c r="BL54" i="131"/>
  <c r="BL50" i="131"/>
  <c r="Q50" i="131" s="1"/>
  <c r="BL74" i="131"/>
  <c r="BL83" i="131"/>
  <c r="BL71" i="131"/>
  <c r="BL73" i="131"/>
  <c r="BL53" i="131"/>
  <c r="BL55" i="130"/>
  <c r="BL53" i="130"/>
  <c r="BL71" i="132"/>
  <c r="BL73" i="132"/>
  <c r="BL84" i="130"/>
  <c r="BL54" i="130"/>
  <c r="BL53" i="132"/>
  <c r="BL50" i="132"/>
  <c r="BL66" i="130"/>
  <c r="BL52" i="131"/>
  <c r="BL84" i="132"/>
  <c r="BL72" i="132"/>
  <c r="BL79" i="130"/>
  <c r="BL74" i="130"/>
  <c r="BL83" i="130"/>
  <c r="BL51" i="132"/>
  <c r="BL66" i="131"/>
  <c r="BL52" i="132"/>
  <c r="BL71" i="130"/>
  <c r="BL55" i="131"/>
  <c r="BL74" i="132"/>
  <c r="BL69" i="131"/>
  <c r="BL51" i="131"/>
  <c r="BL72" i="130"/>
  <c r="BL66" i="132"/>
  <c r="BL83" i="132"/>
  <c r="BL73" i="130"/>
  <c r="BL72" i="131"/>
  <c r="BL62" i="131"/>
  <c r="BL84" i="131"/>
  <c r="BL81" i="132"/>
  <c r="Q81" i="132" s="1"/>
  <c r="BL62" i="132"/>
  <c r="BL61" i="130"/>
  <c r="BL69" i="130"/>
  <c r="BL52" i="130"/>
  <c r="BL69" i="132"/>
  <c r="BL82" i="132"/>
  <c r="Q82" i="132" s="1"/>
  <c r="BL61" i="132"/>
  <c r="BL65" i="132"/>
  <c r="Q65" i="132" s="1"/>
  <c r="BL64" i="132"/>
  <c r="Q64" i="132" s="1"/>
  <c r="BL79" i="131"/>
  <c r="BL62" i="130"/>
  <c r="BL68" i="130"/>
  <c r="BL68" i="132"/>
  <c r="BL63" i="132"/>
  <c r="Q63" i="132" s="1"/>
  <c r="BL70" i="130"/>
  <c r="BL51" i="130"/>
  <c r="BL80" i="132"/>
  <c r="Q80" i="132" s="1"/>
  <c r="BL70" i="132"/>
  <c r="BL60" i="132"/>
  <c r="BL44" i="131"/>
  <c r="DB23" i="127"/>
  <c r="DB23" i="126"/>
  <c r="DB23" i="110"/>
  <c r="DB33" i="126"/>
  <c r="DB33" i="127"/>
  <c r="DB33" i="110"/>
  <c r="DB20" i="127"/>
  <c r="DB20" i="126"/>
  <c r="DB20" i="110"/>
  <c r="DB12" i="127"/>
  <c r="DB12" i="126"/>
  <c r="DB21" i="126"/>
  <c r="DB21" i="127"/>
  <c r="DB21" i="110"/>
  <c r="DB32" i="127"/>
  <c r="DB32" i="126"/>
  <c r="DB8" i="127"/>
  <c r="DB27" i="126"/>
  <c r="DB40" i="126"/>
  <c r="DB37" i="127"/>
  <c r="DB11" i="126"/>
  <c r="DB38" i="127"/>
  <c r="DB22" i="110"/>
  <c r="DB31" i="126"/>
  <c r="DB15" i="127"/>
  <c r="DB14" i="127"/>
  <c r="DB8" i="126"/>
  <c r="DB11" i="127"/>
  <c r="DB38" i="126"/>
  <c r="DB14" i="126"/>
  <c r="DB37" i="126"/>
  <c r="DB40" i="127"/>
  <c r="DB22" i="127"/>
  <c r="DB28" i="126"/>
  <c r="DB15" i="126"/>
  <c r="DB27" i="127"/>
  <c r="DB22" i="126"/>
  <c r="DB31" i="127"/>
  <c r="DB34" i="127"/>
  <c r="DB34" i="126"/>
  <c r="DB28" i="127"/>
  <c r="DB30" i="127"/>
  <c r="DB39" i="127"/>
  <c r="DB42" i="127"/>
  <c r="DB17" i="126"/>
  <c r="DB29" i="127"/>
  <c r="DB17" i="127"/>
  <c r="DB42" i="126"/>
  <c r="DB29" i="126"/>
  <c r="DB39" i="126"/>
  <c r="DB10" i="126"/>
  <c r="DB10" i="127"/>
  <c r="DB30" i="126"/>
  <c r="DB18" i="126"/>
  <c r="DB18" i="127"/>
  <c r="DB9" i="126"/>
  <c r="DB9" i="127"/>
  <c r="DB25" i="126"/>
  <c r="DB36" i="127"/>
  <c r="DB25" i="127"/>
  <c r="DB36" i="126"/>
  <c r="DB26" i="126"/>
  <c r="DB26" i="127"/>
  <c r="DB19" i="127"/>
  <c r="DB19" i="126"/>
  <c r="BL23" i="110"/>
  <c r="BL23" i="126"/>
  <c r="BL23" i="127"/>
  <c r="BL83" i="126"/>
  <c r="BL85" i="126"/>
  <c r="BL57" i="126"/>
  <c r="BL84" i="127"/>
  <c r="BL58" i="127"/>
  <c r="BL55" i="126"/>
  <c r="BL56" i="127"/>
  <c r="BL84" i="110"/>
  <c r="BL55" i="127"/>
  <c r="BL83" i="127"/>
  <c r="BL57" i="127"/>
  <c r="BL85" i="127"/>
  <c r="BL56" i="126"/>
  <c r="BL65" i="126"/>
  <c r="BL65" i="127"/>
  <c r="BL84" i="126"/>
  <c r="BL56" i="110"/>
  <c r="BL83" i="110"/>
  <c r="BL65" i="110"/>
  <c r="BL85" i="110"/>
  <c r="BL58" i="110"/>
  <c r="BL57" i="110"/>
  <c r="BL55" i="110"/>
  <c r="BL58" i="126"/>
  <c r="BL20" i="127"/>
  <c r="BL20" i="110"/>
  <c r="BL20" i="126"/>
  <c r="BL12" i="127"/>
  <c r="BL12" i="126"/>
  <c r="Z12" i="126" s="1"/>
  <c r="BL21" i="110"/>
  <c r="BL21" i="126"/>
  <c r="BL21" i="127"/>
  <c r="BL47" i="110"/>
  <c r="Z47" i="110" s="1"/>
  <c r="BL47" i="127"/>
  <c r="BL47" i="126"/>
  <c r="BL22" i="127"/>
  <c r="BL22" i="126"/>
  <c r="BL22" i="110"/>
  <c r="BL61" i="126"/>
  <c r="Z61" i="126" s="1"/>
  <c r="BL79" i="126"/>
  <c r="Z79" i="126" s="1"/>
  <c r="BL60" i="126"/>
  <c r="BL66" i="110"/>
  <c r="BL67" i="127"/>
  <c r="BL63" i="126"/>
  <c r="Z63" i="126" s="1"/>
  <c r="BL70" i="127"/>
  <c r="BL63" i="127"/>
  <c r="BL68" i="126"/>
  <c r="BL59" i="126"/>
  <c r="BL70" i="126"/>
  <c r="BL66" i="127"/>
  <c r="BL62" i="126"/>
  <c r="Z62" i="126" s="1"/>
  <c r="BL67" i="126"/>
  <c r="BL71" i="127"/>
  <c r="BL82" i="126"/>
  <c r="BL59" i="110"/>
  <c r="BL61" i="127"/>
  <c r="BL60" i="110"/>
  <c r="BL59" i="127"/>
  <c r="BL80" i="127"/>
  <c r="BL64" i="126"/>
  <c r="BL71" i="110"/>
  <c r="BL67" i="110"/>
  <c r="BL79" i="127"/>
  <c r="BL72" i="126"/>
  <c r="BL70" i="110"/>
  <c r="BL80" i="126"/>
  <c r="Z80" i="126" s="1"/>
  <c r="BL64" i="110"/>
  <c r="BL81" i="110"/>
  <c r="BL64" i="127"/>
  <c r="BL69" i="127"/>
  <c r="BL60" i="127"/>
  <c r="BL68" i="127"/>
  <c r="BL78" i="127"/>
  <c r="BL69" i="126"/>
  <c r="BL82" i="127"/>
  <c r="BL72" i="110"/>
  <c r="BL53" i="126"/>
  <c r="BL92" i="127"/>
  <c r="BL48" i="127"/>
  <c r="BL52" i="110"/>
  <c r="BL69" i="110"/>
  <c r="BL46" i="126"/>
  <c r="BL51" i="126"/>
  <c r="BL52" i="126"/>
  <c r="BL49" i="127"/>
  <c r="BL46" i="127"/>
  <c r="BL48" i="110"/>
  <c r="Z48" i="110" s="1"/>
  <c r="BL49" i="110"/>
  <c r="BL68" i="110"/>
  <c r="BL72" i="127"/>
  <c r="BL89" i="127"/>
  <c r="BL50" i="127"/>
  <c r="BL52" i="127"/>
  <c r="BL48" i="126"/>
  <c r="BL89" i="126"/>
  <c r="BL66" i="126"/>
  <c r="BL51" i="127"/>
  <c r="BL51" i="110"/>
  <c r="BL62" i="127"/>
  <c r="BL93" i="126"/>
  <c r="BL49" i="126"/>
  <c r="BL92" i="126"/>
  <c r="BL53" i="127"/>
  <c r="BL81" i="126"/>
  <c r="BL50" i="126"/>
  <c r="BL53" i="110"/>
  <c r="BL93" i="127"/>
  <c r="BL81" i="127"/>
  <c r="BL78" i="126"/>
  <c r="Z78" i="126" s="1"/>
  <c r="BL71" i="126"/>
  <c r="BL82" i="110"/>
  <c r="BL50" i="110"/>
  <c r="BL77" i="127"/>
  <c r="BL77" i="110"/>
  <c r="BL77" i="126"/>
  <c r="BL87" i="127"/>
  <c r="BL96" i="127"/>
  <c r="BL95" i="127"/>
  <c r="BL88" i="127"/>
  <c r="BL96" i="126"/>
  <c r="BL87" i="126"/>
  <c r="BL95" i="126"/>
  <c r="BL88" i="126"/>
  <c r="BL42" i="127"/>
  <c r="BL10" i="126"/>
  <c r="BL29" i="126"/>
  <c r="Z29" i="126" s="1"/>
  <c r="BL29" i="127"/>
  <c r="BL30" i="127"/>
  <c r="BL39" i="126"/>
  <c r="BL10" i="127"/>
  <c r="BL30" i="126"/>
  <c r="BL17" i="127"/>
  <c r="BL42" i="126"/>
  <c r="BL28" i="127"/>
  <c r="Z28" i="127" s="1"/>
  <c r="BL39" i="127"/>
  <c r="BL17" i="126"/>
  <c r="BL9" i="126"/>
  <c r="BL7" i="126" s="1"/>
  <c r="BL18" i="126"/>
  <c r="BL18" i="127"/>
  <c r="BL9" i="127"/>
  <c r="BL36" i="127"/>
  <c r="BL26" i="127"/>
  <c r="BL43" i="126"/>
  <c r="BL25" i="126"/>
  <c r="BL43" i="127"/>
  <c r="BL25" i="127"/>
  <c r="BL26" i="126"/>
  <c r="BL36" i="126"/>
  <c r="BL19" i="126"/>
  <c r="BL19" i="127"/>
  <c r="BL90" i="126"/>
  <c r="BL90" i="127"/>
  <c r="R76" i="126"/>
  <c r="Q76" i="126"/>
  <c r="AO75" i="133" s="1"/>
  <c r="AM41" i="127"/>
  <c r="AM5" i="127" s="1"/>
  <c r="CF6" i="127"/>
  <c r="CD94" i="127"/>
  <c r="CZ85" i="126"/>
  <c r="CZ57" i="126"/>
  <c r="CE85" i="126"/>
  <c r="CE58" i="127"/>
  <c r="CE83" i="126"/>
  <c r="CE57" i="126"/>
  <c r="CE84" i="127"/>
  <c r="CZ84" i="127"/>
  <c r="CE56" i="127"/>
  <c r="CZ58" i="127"/>
  <c r="CZ55" i="126"/>
  <c r="CE55" i="126"/>
  <c r="CZ83" i="126"/>
  <c r="CZ56" i="127"/>
  <c r="CZ65" i="126"/>
  <c r="CZ83" i="127"/>
  <c r="CE85" i="127"/>
  <c r="CE56" i="126"/>
  <c r="CE84" i="126"/>
  <c r="CZ55" i="127"/>
  <c r="CE65" i="126"/>
  <c r="CZ57" i="127"/>
  <c r="CE57" i="127"/>
  <c r="CE83" i="127"/>
  <c r="CE58" i="126"/>
  <c r="CZ85" i="127"/>
  <c r="CZ56" i="126"/>
  <c r="CZ85" i="110"/>
  <c r="CZ57" i="110"/>
  <c r="CE55" i="127"/>
  <c r="CZ84" i="110"/>
  <c r="CE83" i="110"/>
  <c r="CE57" i="110"/>
  <c r="CZ58" i="126"/>
  <c r="CZ65" i="127"/>
  <c r="CE84" i="110"/>
  <c r="CE85" i="110"/>
  <c r="CZ65" i="110"/>
  <c r="CZ58" i="110"/>
  <c r="CE56" i="110"/>
  <c r="CZ84" i="126"/>
  <c r="CE58" i="110"/>
  <c r="CE55" i="110"/>
  <c r="CE65" i="110"/>
  <c r="CZ55" i="110"/>
  <c r="CE65" i="127"/>
  <c r="CZ83" i="110"/>
  <c r="CZ56" i="110"/>
  <c r="CZ75" i="110"/>
  <c r="CE76" i="110"/>
  <c r="CZ76" i="110"/>
  <c r="CZ54" i="110"/>
  <c r="CZ54" i="127"/>
  <c r="CE54" i="127"/>
  <c r="CE73" i="110"/>
  <c r="CE74" i="110"/>
  <c r="CZ74" i="110"/>
  <c r="CE54" i="126"/>
  <c r="CZ47" i="127"/>
  <c r="CE75" i="110"/>
  <c r="CZ47" i="110"/>
  <c r="CE47" i="126"/>
  <c r="CZ54" i="126"/>
  <c r="CZ47" i="126"/>
  <c r="CE47" i="127"/>
  <c r="CZ73" i="110"/>
  <c r="CE54" i="110"/>
  <c r="CE47" i="110"/>
  <c r="CZ67" i="126"/>
  <c r="CE63" i="127"/>
  <c r="CE63" i="126"/>
  <c r="CZ75" i="126"/>
  <c r="CZ60" i="126"/>
  <c r="CZ66" i="110"/>
  <c r="CZ66" i="127"/>
  <c r="CE66" i="127"/>
  <c r="CZ59" i="127"/>
  <c r="CZ61" i="126"/>
  <c r="CE79" i="126"/>
  <c r="CZ70" i="126"/>
  <c r="CE70" i="127"/>
  <c r="CE60" i="126"/>
  <c r="CE59" i="126"/>
  <c r="CZ67" i="127"/>
  <c r="CE70" i="126"/>
  <c r="CZ70" i="127"/>
  <c r="CZ62" i="126"/>
  <c r="CE62" i="110"/>
  <c r="CE78" i="110"/>
  <c r="CE80" i="127"/>
  <c r="CE80" i="110"/>
  <c r="CZ81" i="127"/>
  <c r="CE81" i="127"/>
  <c r="CE66" i="110"/>
  <c r="CZ62" i="110"/>
  <c r="CE67" i="127"/>
  <c r="CE75" i="126"/>
  <c r="CZ80" i="127"/>
  <c r="CE69" i="127"/>
  <c r="CZ71" i="127"/>
  <c r="CE76" i="126"/>
  <c r="CE74" i="126"/>
  <c r="CE59" i="110"/>
  <c r="CE67" i="110"/>
  <c r="CE61" i="110"/>
  <c r="CE63" i="110"/>
  <c r="CE79" i="110"/>
  <c r="CZ60" i="110"/>
  <c r="CZ66" i="126"/>
  <c r="CZ62" i="127"/>
  <c r="CE59" i="127"/>
  <c r="CE67" i="126"/>
  <c r="CE61" i="126"/>
  <c r="CZ79" i="126"/>
  <c r="CZ78" i="110"/>
  <c r="CZ80" i="110"/>
  <c r="CE64" i="127"/>
  <c r="CZ71" i="110"/>
  <c r="CE73" i="127"/>
  <c r="CE72" i="126"/>
  <c r="CZ74" i="126"/>
  <c r="CZ59" i="110"/>
  <c r="CZ61" i="127"/>
  <c r="CE61" i="127"/>
  <c r="CE79" i="127"/>
  <c r="CZ59" i="126"/>
  <c r="CE62" i="126"/>
  <c r="CZ64" i="127"/>
  <c r="CE71" i="110"/>
  <c r="CZ73" i="127"/>
  <c r="CZ82" i="126"/>
  <c r="CZ61" i="110"/>
  <c r="CZ79" i="127"/>
  <c r="CZ70" i="110"/>
  <c r="CZ75" i="127"/>
  <c r="CZ60" i="127"/>
  <c r="CE68" i="127"/>
  <c r="CE78" i="126"/>
  <c r="CZ78" i="127"/>
  <c r="CE64" i="110"/>
  <c r="CZ81" i="110"/>
  <c r="CE69" i="110"/>
  <c r="CZ69" i="110"/>
  <c r="CZ69" i="126"/>
  <c r="CZ63" i="127"/>
  <c r="CZ68" i="126"/>
  <c r="CE64" i="126"/>
  <c r="CE71" i="127"/>
  <c r="CZ76" i="126"/>
  <c r="CZ72" i="126"/>
  <c r="CZ67" i="110"/>
  <c r="CE70" i="110"/>
  <c r="CE60" i="110"/>
  <c r="CE66" i="126"/>
  <c r="CZ68" i="110"/>
  <c r="CE68" i="110"/>
  <c r="CZ69" i="127"/>
  <c r="CE82" i="126"/>
  <c r="CZ79" i="110"/>
  <c r="CE60" i="127"/>
  <c r="CE62" i="127"/>
  <c r="CE68" i="126"/>
  <c r="CZ81" i="126"/>
  <c r="CE71" i="126"/>
  <c r="CE73" i="126"/>
  <c r="CE76" i="127"/>
  <c r="CE82" i="110"/>
  <c r="CZ82" i="127"/>
  <c r="CE82" i="127"/>
  <c r="CE72" i="127"/>
  <c r="CZ51" i="126"/>
  <c r="CE52" i="126"/>
  <c r="CE46" i="127"/>
  <c r="CZ46" i="127"/>
  <c r="CZ50" i="127"/>
  <c r="CE50" i="127"/>
  <c r="CE48" i="127"/>
  <c r="CZ93" i="126"/>
  <c r="CE93" i="126"/>
  <c r="CE52" i="127"/>
  <c r="CE51" i="110"/>
  <c r="CZ51" i="110"/>
  <c r="CZ50" i="110"/>
  <c r="CE75" i="127"/>
  <c r="CZ78" i="126"/>
  <c r="CE81" i="110"/>
  <c r="CE69" i="126"/>
  <c r="CZ72" i="127"/>
  <c r="CE89" i="127"/>
  <c r="CE51" i="126"/>
  <c r="CE49" i="127"/>
  <c r="CZ49" i="110"/>
  <c r="CZ64" i="126"/>
  <c r="CZ68" i="127"/>
  <c r="CE78" i="127"/>
  <c r="CZ64" i="110"/>
  <c r="CE81" i="126"/>
  <c r="CZ73" i="126"/>
  <c r="CZ76" i="127"/>
  <c r="CZ82" i="110"/>
  <c r="CE72" i="110"/>
  <c r="CZ74" i="127"/>
  <c r="CE74" i="127"/>
  <c r="CZ89" i="127"/>
  <c r="CZ46" i="126"/>
  <c r="CE46" i="126"/>
  <c r="CE53" i="126"/>
  <c r="CE92" i="127"/>
  <c r="CZ48" i="110"/>
  <c r="CE48" i="110"/>
  <c r="CE49" i="110"/>
  <c r="CE51" i="127"/>
  <c r="CZ51" i="127"/>
  <c r="CZ48" i="127"/>
  <c r="CZ50" i="126"/>
  <c r="CE50" i="126"/>
  <c r="CZ63" i="126"/>
  <c r="CZ63" i="110"/>
  <c r="CE80" i="126"/>
  <c r="CZ53" i="126"/>
  <c r="CZ92" i="127"/>
  <c r="CE53" i="110"/>
  <c r="CZ92" i="126"/>
  <c r="CE48" i="126"/>
  <c r="CZ48" i="126"/>
  <c r="CZ89" i="126"/>
  <c r="CZ52" i="110"/>
  <c r="CZ72" i="110"/>
  <c r="CZ52" i="126"/>
  <c r="CE52" i="110"/>
  <c r="CZ49" i="126"/>
  <c r="CZ53" i="110"/>
  <c r="CZ53" i="127"/>
  <c r="CE50" i="110"/>
  <c r="CE92" i="126"/>
  <c r="CE91" i="126" s="1"/>
  <c r="CE53" i="127"/>
  <c r="CZ80" i="126"/>
  <c r="CZ71" i="126"/>
  <c r="CZ49" i="127"/>
  <c r="CE49" i="126"/>
  <c r="CZ52" i="127"/>
  <c r="CE89" i="126"/>
  <c r="CZ93" i="127"/>
  <c r="CE93" i="127"/>
  <c r="CZ77" i="110"/>
  <c r="CE77" i="110"/>
  <c r="CZ77" i="126"/>
  <c r="CZ96" i="127"/>
  <c r="CE96" i="126"/>
  <c r="CE88" i="126"/>
  <c r="CE95" i="126"/>
  <c r="CE77" i="127"/>
  <c r="CE77" i="126"/>
  <c r="CE87" i="127"/>
  <c r="CZ95" i="127"/>
  <c r="CZ88" i="126"/>
  <c r="CZ77" i="127"/>
  <c r="CZ87" i="127"/>
  <c r="CE96" i="127"/>
  <c r="CZ96" i="126"/>
  <c r="CE87" i="126"/>
  <c r="CZ87" i="126"/>
  <c r="CZ95" i="126"/>
  <c r="CE88" i="127"/>
  <c r="CE95" i="127"/>
  <c r="CZ88" i="127"/>
  <c r="CE43" i="127"/>
  <c r="CZ43" i="127"/>
  <c r="CE43" i="126"/>
  <c r="CZ43" i="126"/>
  <c r="CZ90" i="126"/>
  <c r="CZ90" i="127"/>
  <c r="CE90" i="126"/>
  <c r="CE90" i="127"/>
  <c r="AO39" i="130"/>
  <c r="AP23" i="126"/>
  <c r="AO39" i="132"/>
  <c r="AP23" i="110"/>
  <c r="AO39" i="131"/>
  <c r="AP23" i="127"/>
  <c r="AP58" i="127"/>
  <c r="AP57" i="126"/>
  <c r="AO59" i="130"/>
  <c r="AP56" i="127"/>
  <c r="AO58" i="132"/>
  <c r="AP84" i="127"/>
  <c r="AO59" i="131"/>
  <c r="AO67" i="131"/>
  <c r="AO60" i="130"/>
  <c r="AP83" i="126"/>
  <c r="AO87" i="132"/>
  <c r="AO67" i="132"/>
  <c r="AO57" i="132"/>
  <c r="AO85" i="132"/>
  <c r="AO85" i="131"/>
  <c r="AO58" i="131"/>
  <c r="AP85" i="126"/>
  <c r="AO86" i="132"/>
  <c r="AO59" i="132"/>
  <c r="AO86" i="131"/>
  <c r="AO87" i="131"/>
  <c r="AO57" i="131"/>
  <c r="AO86" i="130"/>
  <c r="AO67" i="130"/>
  <c r="AO60" i="131"/>
  <c r="AO87" i="130"/>
  <c r="AO57" i="130"/>
  <c r="AO58" i="130"/>
  <c r="AO85" i="130"/>
  <c r="AP58" i="126"/>
  <c r="AO60" i="132"/>
  <c r="AP55" i="127"/>
  <c r="AP65" i="126"/>
  <c r="AP57" i="127"/>
  <c r="AP84" i="126"/>
  <c r="AP85" i="127"/>
  <c r="AP56" i="126"/>
  <c r="AP84" i="110"/>
  <c r="AP65" i="110"/>
  <c r="AP56" i="110"/>
  <c r="AP83" i="110"/>
  <c r="AP85" i="110"/>
  <c r="AP83" i="127"/>
  <c r="AP55" i="126"/>
  <c r="AP65" i="127"/>
  <c r="AP58" i="110"/>
  <c r="AP55" i="110"/>
  <c r="AP57" i="110"/>
  <c r="AP20" i="126"/>
  <c r="AO45" i="132"/>
  <c r="AO45" i="130"/>
  <c r="AO45" i="131"/>
  <c r="AP20" i="127"/>
  <c r="AP20" i="110"/>
  <c r="AP21" i="127"/>
  <c r="AP21" i="126"/>
  <c r="AP21" i="110"/>
  <c r="AO49" i="130"/>
  <c r="AO49" i="131"/>
  <c r="AO49" i="132"/>
  <c r="AP47" i="110"/>
  <c r="AP47" i="126"/>
  <c r="AP47" i="127"/>
  <c r="AP12" i="126"/>
  <c r="AP15" i="127"/>
  <c r="Y15" i="127" s="1"/>
  <c r="AP14" i="127"/>
  <c r="Y14" i="127" s="1"/>
  <c r="AO62" i="131"/>
  <c r="AO77" i="132"/>
  <c r="P77" i="132" s="1"/>
  <c r="N77" i="132" s="1"/>
  <c r="P77" i="118" s="1"/>
  <c r="AO75" i="132"/>
  <c r="P75" i="132" s="1"/>
  <c r="N75" i="132" s="1"/>
  <c r="P75" i="118" s="1"/>
  <c r="AO81" i="131"/>
  <c r="AO78" i="132"/>
  <c r="P78" i="132" s="1"/>
  <c r="N78" i="132" s="1"/>
  <c r="P78" i="118" s="1"/>
  <c r="AO76" i="132"/>
  <c r="P76" i="132" s="1"/>
  <c r="N76" i="132" s="1"/>
  <c r="P76" i="118" s="1"/>
  <c r="AO69" i="131"/>
  <c r="AP12" i="127"/>
  <c r="AO80" i="131"/>
  <c r="AO64" i="131"/>
  <c r="AO54" i="130"/>
  <c r="AP59" i="127"/>
  <c r="AP63" i="126"/>
  <c r="AP79" i="126"/>
  <c r="AP70" i="127"/>
  <c r="AO50" i="130"/>
  <c r="AP60" i="126"/>
  <c r="AP66" i="110"/>
  <c r="AO68" i="131"/>
  <c r="AP61" i="126"/>
  <c r="AP63" i="127"/>
  <c r="AO53" i="131"/>
  <c r="AO72" i="131"/>
  <c r="AO55" i="130"/>
  <c r="AP67" i="127"/>
  <c r="AP62" i="110"/>
  <c r="Y62" i="110" s="1"/>
  <c r="S62" i="110" s="1"/>
  <c r="AP78" i="110"/>
  <c r="Y78" i="110" s="1"/>
  <c r="AP80" i="127"/>
  <c r="AP80" i="110"/>
  <c r="Y80" i="110" s="1"/>
  <c r="AO66" i="130"/>
  <c r="AO52" i="132"/>
  <c r="AP67" i="126"/>
  <c r="AP70" i="126"/>
  <c r="AP68" i="126"/>
  <c r="AP66" i="127"/>
  <c r="AO52" i="130"/>
  <c r="AP69" i="127"/>
  <c r="AP82" i="126"/>
  <c r="AO84" i="132"/>
  <c r="AP72" i="126"/>
  <c r="AO74" i="130"/>
  <c r="AO74" i="132"/>
  <c r="AP59" i="110"/>
  <c r="AP79" i="110"/>
  <c r="Y79" i="110" s="1"/>
  <c r="AO55" i="131"/>
  <c r="AP66" i="126"/>
  <c r="AO55" i="132"/>
  <c r="AO83" i="132"/>
  <c r="AO71" i="132"/>
  <c r="AP71" i="127"/>
  <c r="AP67" i="110"/>
  <c r="AO73" i="132"/>
  <c r="AP61" i="110"/>
  <c r="Y61" i="110" s="1"/>
  <c r="AP61" i="127"/>
  <c r="AP70" i="110"/>
  <c r="AP60" i="127"/>
  <c r="AP62" i="127"/>
  <c r="AP81" i="110"/>
  <c r="AP62" i="126"/>
  <c r="AP64" i="127"/>
  <c r="AO83" i="131"/>
  <c r="AP71" i="110"/>
  <c r="AO51" i="130"/>
  <c r="AO51" i="131"/>
  <c r="AO84" i="130"/>
  <c r="AO54" i="132"/>
  <c r="AP63" i="110"/>
  <c r="Y63" i="110" s="1"/>
  <c r="AO72" i="130"/>
  <c r="AO50" i="131"/>
  <c r="AP60" i="110"/>
  <c r="AP59" i="126"/>
  <c r="AP64" i="126"/>
  <c r="AO71" i="131"/>
  <c r="AO54" i="131"/>
  <c r="AP79" i="127"/>
  <c r="AO53" i="132"/>
  <c r="AO72" i="132"/>
  <c r="AO50" i="132"/>
  <c r="AP68" i="110"/>
  <c r="AP81" i="127"/>
  <c r="AP68" i="127"/>
  <c r="AP64" i="110"/>
  <c r="AO66" i="132"/>
  <c r="AO52" i="131"/>
  <c r="AO83" i="130"/>
  <c r="AP72" i="110"/>
  <c r="AO63" i="131"/>
  <c r="AO61" i="131"/>
  <c r="AO65" i="131"/>
  <c r="AP49" i="127"/>
  <c r="AP51" i="127"/>
  <c r="AP93" i="126"/>
  <c r="AP69" i="110"/>
  <c r="AP69" i="126"/>
  <c r="AO71" i="130"/>
  <c r="AP71" i="126"/>
  <c r="AO73" i="131"/>
  <c r="AO73" i="130"/>
  <c r="AP76" i="127"/>
  <c r="Y76" i="127" s="1"/>
  <c r="AP74" i="127"/>
  <c r="Y74" i="127" s="1"/>
  <c r="AP53" i="126"/>
  <c r="AP46" i="127"/>
  <c r="AP48" i="127"/>
  <c r="AP73" i="127"/>
  <c r="Y73" i="127" s="1"/>
  <c r="AP78" i="126"/>
  <c r="AP78" i="127"/>
  <c r="AO66" i="131"/>
  <c r="AO51" i="132"/>
  <c r="AP82" i="110"/>
  <c r="AO84" i="131"/>
  <c r="AO74" i="131"/>
  <c r="AP75" i="127"/>
  <c r="Y75" i="127" s="1"/>
  <c r="AO70" i="131"/>
  <c r="AP51" i="126"/>
  <c r="AP92" i="127"/>
  <c r="AP48" i="110"/>
  <c r="AP52" i="110"/>
  <c r="AP89" i="127"/>
  <c r="AP49" i="126"/>
  <c r="AP53" i="110"/>
  <c r="AP50" i="110"/>
  <c r="AO65" i="132"/>
  <c r="AO68" i="132"/>
  <c r="AO64" i="130"/>
  <c r="P64" i="130" s="1"/>
  <c r="N64" i="130" s="1"/>
  <c r="N64" i="118" s="1"/>
  <c r="AO81" i="130"/>
  <c r="P81" i="130" s="1"/>
  <c r="N81" i="130" s="1"/>
  <c r="N81" i="118" s="1"/>
  <c r="AO65" i="130"/>
  <c r="P65" i="130" s="1"/>
  <c r="N65" i="130" s="1"/>
  <c r="N65" i="118" s="1"/>
  <c r="AO63" i="130"/>
  <c r="P63" i="130" s="1"/>
  <c r="N63" i="130" s="1"/>
  <c r="N63" i="118" s="1"/>
  <c r="AP72" i="127"/>
  <c r="AP50" i="127"/>
  <c r="AP52" i="127"/>
  <c r="AO61" i="132"/>
  <c r="AO80" i="130"/>
  <c r="P80" i="130" s="1"/>
  <c r="N80" i="130" s="1"/>
  <c r="N80" i="118" s="1"/>
  <c r="AO70" i="130"/>
  <c r="AO53" i="130"/>
  <c r="AP81" i="126"/>
  <c r="AP49" i="110"/>
  <c r="AP51" i="110"/>
  <c r="AP89" i="126"/>
  <c r="AP93" i="127"/>
  <c r="AP53" i="127"/>
  <c r="AO70" i="132"/>
  <c r="AO82" i="132"/>
  <c r="AO62" i="130"/>
  <c r="AP80" i="126"/>
  <c r="AP50" i="126"/>
  <c r="AP92" i="126"/>
  <c r="AO64" i="132"/>
  <c r="AO81" i="132"/>
  <c r="AP82" i="127"/>
  <c r="AO82" i="131"/>
  <c r="AO69" i="132"/>
  <c r="AO63" i="132"/>
  <c r="AO80" i="132"/>
  <c r="AO79" i="132"/>
  <c r="AO61" i="130"/>
  <c r="AO68" i="130"/>
  <c r="AO82" i="130"/>
  <c r="P82" i="130" s="1"/>
  <c r="N82" i="130" s="1"/>
  <c r="N82" i="118" s="1"/>
  <c r="AP46" i="126"/>
  <c r="AP48" i="126"/>
  <c r="AO62" i="132"/>
  <c r="AO69" i="130"/>
  <c r="AP77" i="127"/>
  <c r="AP77" i="126"/>
  <c r="AP87" i="127"/>
  <c r="AP87" i="126"/>
  <c r="AP95" i="127"/>
  <c r="AO79" i="131"/>
  <c r="AP77" i="110"/>
  <c r="AP96" i="127"/>
  <c r="AP88" i="126"/>
  <c r="AP96" i="126"/>
  <c r="AO79" i="130"/>
  <c r="AP95" i="126"/>
  <c r="AP88" i="127"/>
  <c r="AP22" i="127"/>
  <c r="AP17" i="127"/>
  <c r="AP11" i="127"/>
  <c r="Y11" i="127" s="1"/>
  <c r="AP22" i="110"/>
  <c r="AP18" i="127"/>
  <c r="AP17" i="126"/>
  <c r="AP52" i="126"/>
  <c r="AP22" i="126"/>
  <c r="AP42" i="126"/>
  <c r="AP42" i="127"/>
  <c r="AP9" i="126"/>
  <c r="AP29" i="127"/>
  <c r="AO44" i="131"/>
  <c r="AP28" i="126"/>
  <c r="Y28" i="126" s="1"/>
  <c r="AP39" i="126"/>
  <c r="AP29" i="126"/>
  <c r="AP9" i="127"/>
  <c r="AP30" i="126"/>
  <c r="AP28" i="127"/>
  <c r="AP30" i="127"/>
  <c r="AP18" i="126"/>
  <c r="AP39" i="127"/>
  <c r="AP36" i="127"/>
  <c r="AP36" i="126"/>
  <c r="AP26" i="126"/>
  <c r="AP26" i="127"/>
  <c r="AP43" i="126"/>
  <c r="AP90" i="126"/>
  <c r="AP10" i="127"/>
  <c r="AP10" i="126"/>
  <c r="AP43" i="127"/>
  <c r="AP25" i="127"/>
  <c r="AP19" i="126"/>
  <c r="AP90" i="127"/>
  <c r="AP19" i="127"/>
  <c r="AP25" i="126"/>
  <c r="AO24" i="126"/>
  <c r="AO86" i="127"/>
  <c r="R11" i="126"/>
  <c r="Q11" i="126"/>
  <c r="AO10" i="133" s="1"/>
  <c r="S11" i="126"/>
  <c r="AO45" i="127"/>
  <c r="R74" i="126"/>
  <c r="Q74" i="126"/>
  <c r="AO73" i="133" s="1"/>
  <c r="S74" i="126"/>
  <c r="DA24" i="126"/>
  <c r="CG24" i="126"/>
  <c r="AO45" i="110"/>
  <c r="BJ44" i="126"/>
  <c r="BJ41" i="126" s="1"/>
  <c r="AN6" i="126"/>
  <c r="AO16" i="127"/>
  <c r="AO86" i="126"/>
  <c r="AO7" i="127"/>
  <c r="AO35" i="126"/>
  <c r="AO13" i="126"/>
  <c r="Y13" i="126" s="1"/>
  <c r="DA35" i="126"/>
  <c r="CG16" i="127"/>
  <c r="CG35" i="126"/>
  <c r="CG13" i="127"/>
  <c r="CG13" i="126"/>
  <c r="BJ6" i="126"/>
  <c r="BK86" i="127"/>
  <c r="BK24" i="126"/>
  <c r="BK94" i="127"/>
  <c r="BI41" i="126"/>
  <c r="BJ6" i="127"/>
  <c r="CY86" i="127"/>
  <c r="CY94" i="126"/>
  <c r="BI5" i="110"/>
  <c r="AM5" i="110"/>
  <c r="CZ6" i="110"/>
  <c r="CF6" i="110"/>
  <c r="BJ6" i="110"/>
  <c r="AN6" i="110"/>
  <c r="S14" i="110"/>
  <c r="AO35" i="110"/>
  <c r="AO16" i="110"/>
  <c r="CE89" i="110"/>
  <c r="CZ89" i="110"/>
  <c r="CH9" i="110"/>
  <c r="CH42" i="110"/>
  <c r="BL88" i="132"/>
  <c r="BL89" i="132"/>
  <c r="AO86" i="110"/>
  <c r="AP89" i="110"/>
  <c r="AO89" i="132"/>
  <c r="AP9" i="110"/>
  <c r="AO88" i="132"/>
  <c r="AP42" i="110"/>
  <c r="AO18" i="131"/>
  <c r="AO18" i="130"/>
  <c r="AO18" i="132"/>
  <c r="AP46" i="110"/>
  <c r="AO19" i="132"/>
  <c r="AO14" i="132"/>
  <c r="AO48" i="132"/>
  <c r="AO95" i="132"/>
  <c r="AO93" i="132"/>
  <c r="AO14" i="131"/>
  <c r="AO91" i="130"/>
  <c r="AO42" i="130"/>
  <c r="AP96" i="110"/>
  <c r="AO36" i="130"/>
  <c r="AO17" i="131"/>
  <c r="AO93" i="130"/>
  <c r="AO94" i="132"/>
  <c r="AO90" i="132"/>
  <c r="AO100" i="130"/>
  <c r="AO99" i="130"/>
  <c r="AP87" i="110"/>
  <c r="AO40" i="130"/>
  <c r="AO104" i="132"/>
  <c r="AO35" i="131"/>
  <c r="AP92" i="110"/>
  <c r="AP12" i="110"/>
  <c r="Y12" i="110" s="1"/>
  <c r="S12" i="110" s="1"/>
  <c r="AO101" i="131"/>
  <c r="AO90" i="131"/>
  <c r="AO33" i="131"/>
  <c r="AO41" i="132"/>
  <c r="AP18" i="110"/>
  <c r="AO91" i="131"/>
  <c r="AO89" i="131"/>
  <c r="AO88" i="131"/>
  <c r="AO38" i="131"/>
  <c r="AO36" i="132"/>
  <c r="AO25" i="130"/>
  <c r="AO23" i="132"/>
  <c r="AO11" i="132"/>
  <c r="AO11" i="131"/>
  <c r="AP10" i="110"/>
  <c r="AO10" i="131"/>
  <c r="AP25" i="110"/>
  <c r="AO11" i="130"/>
  <c r="P11" i="130" s="1"/>
  <c r="N11" i="130" s="1"/>
  <c r="N11" i="118" s="1"/>
  <c r="AO31" i="131"/>
  <c r="AO31" i="132"/>
  <c r="AO30" i="132"/>
  <c r="AO99" i="132"/>
  <c r="AO95" i="130"/>
  <c r="AO103" i="130"/>
  <c r="AO43" i="131"/>
  <c r="AO8" i="130"/>
  <c r="AO34" i="130"/>
  <c r="AO19" i="130"/>
  <c r="AO29" i="131"/>
  <c r="AO37" i="130"/>
  <c r="AO38" i="130"/>
  <c r="P38" i="130" s="1"/>
  <c r="N38" i="130" s="1"/>
  <c r="N38" i="118" s="1"/>
  <c r="AO40" i="131"/>
  <c r="AP95" i="110"/>
  <c r="AO19" i="131"/>
  <c r="AO38" i="132"/>
  <c r="AO35" i="132"/>
  <c r="AO42" i="131"/>
  <c r="AO32" i="131"/>
  <c r="AP36" i="110"/>
  <c r="AO9" i="132"/>
  <c r="AO7" i="130"/>
  <c r="AO7" i="131"/>
  <c r="AO22" i="132"/>
  <c r="AO22" i="131"/>
  <c r="P22" i="131" s="1"/>
  <c r="N22" i="131" s="1"/>
  <c r="O22" i="118" s="1"/>
  <c r="AO92" i="130"/>
  <c r="AO17" i="130"/>
  <c r="AO5" i="130"/>
  <c r="P5" i="130" s="1"/>
  <c r="N5" i="130" s="1"/>
  <c r="N5" i="118" s="1"/>
  <c r="AO30" i="130"/>
  <c r="AO32" i="130"/>
  <c r="AO35" i="130"/>
  <c r="AO48" i="130"/>
  <c r="AO104" i="131"/>
  <c r="AO5" i="132"/>
  <c r="AO17" i="132"/>
  <c r="AO99" i="131"/>
  <c r="AO34" i="131"/>
  <c r="AO28" i="132"/>
  <c r="AO12" i="131"/>
  <c r="AP39" i="110"/>
  <c r="AO7" i="132"/>
  <c r="AO44" i="130"/>
  <c r="AP19" i="110"/>
  <c r="N9" i="109"/>
  <c r="AO43" i="132"/>
  <c r="AO42" i="132"/>
  <c r="AO16" i="132"/>
  <c r="P16" i="132" s="1"/>
  <c r="N16" i="132" s="1"/>
  <c r="P16" i="118" s="1"/>
  <c r="AO43" i="130"/>
  <c r="AO90" i="130"/>
  <c r="AO97" i="130"/>
  <c r="AP88" i="110"/>
  <c r="AO48" i="131"/>
  <c r="AO40" i="132"/>
  <c r="AO95" i="131"/>
  <c r="AO9" i="131"/>
  <c r="AO29" i="132"/>
  <c r="AO21" i="132"/>
  <c r="AO10" i="132"/>
  <c r="AO23" i="130"/>
  <c r="P23" i="130" s="1"/>
  <c r="N23" i="130" s="1"/>
  <c r="N23" i="118" s="1"/>
  <c r="AO44" i="132"/>
  <c r="AP26" i="110"/>
  <c r="AO15" i="132"/>
  <c r="P15" i="132" s="1"/>
  <c r="N15" i="132" s="1"/>
  <c r="P15" i="118" s="1"/>
  <c r="AO96" i="132"/>
  <c r="AP93" i="110"/>
  <c r="AO89" i="130"/>
  <c r="AO88" i="130"/>
  <c r="AO102" i="132"/>
  <c r="AO92" i="132"/>
  <c r="AO102" i="130"/>
  <c r="AO100" i="132"/>
  <c r="AO94" i="131"/>
  <c r="AO28" i="131"/>
  <c r="AO27" i="131"/>
  <c r="AO32" i="132"/>
  <c r="AO10" i="130"/>
  <c r="AP43" i="110"/>
  <c r="AO12" i="130"/>
  <c r="P12" i="130" s="1"/>
  <c r="N12" i="130" s="1"/>
  <c r="N12" i="118" s="1"/>
  <c r="AP29" i="110"/>
  <c r="Y29" i="110" s="1"/>
  <c r="AO20" i="132"/>
  <c r="AO34" i="132"/>
  <c r="AO41" i="130"/>
  <c r="AO29" i="130"/>
  <c r="AO96" i="130"/>
  <c r="AO27" i="130"/>
  <c r="AO92" i="131"/>
  <c r="AO33" i="132"/>
  <c r="AO100" i="131"/>
  <c r="AO13" i="132"/>
  <c r="AO31" i="130"/>
  <c r="AO23" i="131"/>
  <c r="AO103" i="132"/>
  <c r="AO94" i="130"/>
  <c r="AO104" i="130"/>
  <c r="AO28" i="130"/>
  <c r="AO36" i="131"/>
  <c r="AO14" i="130"/>
  <c r="P14" i="130" s="1"/>
  <c r="N14" i="130" s="1"/>
  <c r="N14" i="118" s="1"/>
  <c r="AO93" i="131"/>
  <c r="AO37" i="132"/>
  <c r="AO96" i="131"/>
  <c r="AO13" i="131"/>
  <c r="P13" i="131" s="1"/>
  <c r="N13" i="131" s="1"/>
  <c r="O13" i="118" s="1"/>
  <c r="AO20" i="130"/>
  <c r="AO20" i="131"/>
  <c r="AP90" i="110"/>
  <c r="AO8" i="132"/>
  <c r="AO101" i="132"/>
  <c r="AP17" i="110"/>
  <c r="AO97" i="132"/>
  <c r="AO30" i="131"/>
  <c r="AO41" i="131"/>
  <c r="AO8" i="131"/>
  <c r="AO27" i="132"/>
  <c r="AO103" i="131"/>
  <c r="AO9" i="130"/>
  <c r="AO25" i="132"/>
  <c r="AO12" i="132"/>
  <c r="AO91" i="132"/>
  <c r="AO33" i="130"/>
  <c r="P33" i="130" s="1"/>
  <c r="N33" i="130" s="1"/>
  <c r="N33" i="118" s="1"/>
  <c r="AO5" i="131"/>
  <c r="AO6" i="132"/>
  <c r="P6" i="132" s="1"/>
  <c r="N6" i="132" s="1"/>
  <c r="P6" i="118" s="1"/>
  <c r="AO101" i="130"/>
  <c r="AO97" i="131"/>
  <c r="AO37" i="131"/>
  <c r="AO102" i="131"/>
  <c r="AO25" i="131"/>
  <c r="AP30" i="110"/>
  <c r="AO21" i="131"/>
  <c r="P21" i="131" s="1"/>
  <c r="N21" i="131" s="1"/>
  <c r="O21" i="118" s="1"/>
  <c r="AO24" i="110"/>
  <c r="AO91" i="110"/>
  <c r="AO7" i="110"/>
  <c r="Q13" i="110"/>
  <c r="C34" i="138" s="1"/>
  <c r="R13" i="110"/>
  <c r="C35" i="138" s="1"/>
  <c r="DB9" i="110"/>
  <c r="DB42" i="110"/>
  <c r="BL89" i="110"/>
  <c r="BL42" i="110"/>
  <c r="AO94" i="110"/>
  <c r="Q14" i="110"/>
  <c r="AN13" i="133" s="1"/>
  <c r="R14" i="110"/>
  <c r="AN44" i="110"/>
  <c r="AN41" i="110" s="1"/>
  <c r="CX44" i="110"/>
  <c r="CX41" i="110" s="1"/>
  <c r="CX5" i="110" s="1"/>
  <c r="DA16" i="110"/>
  <c r="BK16" i="110"/>
  <c r="CG16" i="110"/>
  <c r="BJ44" i="110"/>
  <c r="BJ41" i="110" s="1"/>
  <c r="CC44" i="110"/>
  <c r="CC41" i="110" s="1"/>
  <c r="CC5" i="110" s="1"/>
  <c r="BK91" i="110"/>
  <c r="DA24" i="110"/>
  <c r="BK7" i="110"/>
  <c r="BK86" i="110"/>
  <c r="DA35" i="110"/>
  <c r="DB26" i="110"/>
  <c r="DB19" i="110"/>
  <c r="O15" i="109"/>
  <c r="DB17" i="110"/>
  <c r="DB31" i="110"/>
  <c r="DB25" i="110"/>
  <c r="DB14" i="110"/>
  <c r="DB18" i="110"/>
  <c r="DB39" i="110"/>
  <c r="DB40" i="110"/>
  <c r="DB34" i="110"/>
  <c r="DB10" i="110"/>
  <c r="DB37" i="110"/>
  <c r="DB27" i="110"/>
  <c r="DB12" i="110"/>
  <c r="DB28" i="110"/>
  <c r="DB15" i="110"/>
  <c r="DB11" i="110"/>
  <c r="DB29" i="110"/>
  <c r="DB32" i="110"/>
  <c r="DB8" i="110"/>
  <c r="DB38" i="110"/>
  <c r="DB36" i="110"/>
  <c r="DB30" i="110"/>
  <c r="BL46" i="110"/>
  <c r="BL26" i="110"/>
  <c r="BL90" i="110"/>
  <c r="BL19" i="110"/>
  <c r="BL88" i="110"/>
  <c r="BL87" i="110"/>
  <c r="BL18" i="110"/>
  <c r="O11" i="109"/>
  <c r="BL96" i="110"/>
  <c r="BL95" i="110"/>
  <c r="BL10" i="110"/>
  <c r="BL7" i="110" s="1"/>
  <c r="BL17" i="110"/>
  <c r="BL93" i="110"/>
  <c r="BL92" i="110"/>
  <c r="BL30" i="110"/>
  <c r="BL36" i="110"/>
  <c r="BL39" i="110"/>
  <c r="BL43" i="110"/>
  <c r="BL25" i="110"/>
  <c r="BL18" i="132"/>
  <c r="BL18" i="131"/>
  <c r="BL18" i="130"/>
  <c r="CH26" i="110"/>
  <c r="CH19" i="110"/>
  <c r="DA7" i="110"/>
  <c r="BK94" i="110"/>
  <c r="CZ46" i="110"/>
  <c r="CE46" i="110"/>
  <c r="CE90" i="110"/>
  <c r="CZ90" i="110"/>
  <c r="DA13" i="110"/>
  <c r="BK24" i="110"/>
  <c r="BK35" i="110"/>
  <c r="CD91" i="110"/>
  <c r="CY94" i="110"/>
  <c r="CG24" i="110"/>
  <c r="CG7" i="110"/>
  <c r="CG35" i="110"/>
  <c r="CD94" i="110"/>
  <c r="CY86" i="110"/>
  <c r="CG13" i="110"/>
  <c r="CD86" i="110"/>
  <c r="CY91" i="110"/>
  <c r="CE88" i="110"/>
  <c r="CZ88" i="110"/>
  <c r="CE92" i="110"/>
  <c r="CE87" i="110"/>
  <c r="CZ93" i="110"/>
  <c r="CZ87" i="110"/>
  <c r="CZ92" i="110"/>
  <c r="CE93" i="110"/>
  <c r="CZ95" i="110"/>
  <c r="CE95" i="110"/>
  <c r="CE96" i="110"/>
  <c r="CZ96" i="110"/>
  <c r="CZ43" i="110"/>
  <c r="CE43" i="110"/>
  <c r="N17" i="109"/>
  <c r="M19" i="109"/>
  <c r="P10" i="109"/>
  <c r="BL11" i="132"/>
  <c r="Q11" i="132" s="1"/>
  <c r="BL41" i="132"/>
  <c r="BL14" i="132"/>
  <c r="Q14" i="132" s="1"/>
  <c r="BL10" i="132"/>
  <c r="BL12" i="132"/>
  <c r="Q12" i="132" s="1"/>
  <c r="BL37" i="132"/>
  <c r="BL40" i="132"/>
  <c r="BL92" i="132"/>
  <c r="BL42" i="132"/>
  <c r="BL102" i="132"/>
  <c r="BL97" i="132"/>
  <c r="BL100" i="132"/>
  <c r="BL99" i="132"/>
  <c r="BL101" i="132"/>
  <c r="BL104" i="132"/>
  <c r="BL96" i="132"/>
  <c r="BL40" i="131"/>
  <c r="BL34" i="130"/>
  <c r="BL32" i="130"/>
  <c r="BL27" i="130"/>
  <c r="BL90" i="132"/>
  <c r="BL93" i="132"/>
  <c r="BL91" i="132"/>
  <c r="BL94" i="132"/>
  <c r="BL30" i="130"/>
  <c r="BL101" i="130"/>
  <c r="BL95" i="132"/>
  <c r="BL28" i="130"/>
  <c r="BL99" i="130"/>
  <c r="BL103" i="130"/>
  <c r="BL100" i="130"/>
  <c r="BL5" i="132"/>
  <c r="Q5" i="132" s="1"/>
  <c r="BL48" i="132"/>
  <c r="BL103" i="132"/>
  <c r="BL40" i="130"/>
  <c r="BL97" i="130"/>
  <c r="BL8" i="131"/>
  <c r="BL27" i="132"/>
  <c r="BL38" i="132"/>
  <c r="Q38" i="132" s="1"/>
  <c r="BL7" i="132"/>
  <c r="BL102" i="130"/>
  <c r="BL89" i="130"/>
  <c r="BL93" i="130"/>
  <c r="BL90" i="130"/>
  <c r="BL100" i="131"/>
  <c r="BL96" i="131"/>
  <c r="BL27" i="131"/>
  <c r="BL7" i="130"/>
  <c r="Q7" i="130" s="1"/>
  <c r="BL42" i="130"/>
  <c r="BL91" i="130"/>
  <c r="BL102" i="131"/>
  <c r="BL91" i="131"/>
  <c r="BL41" i="131"/>
  <c r="BL35" i="130"/>
  <c r="BL103" i="131"/>
  <c r="BL93" i="131"/>
  <c r="BL89" i="131"/>
  <c r="BL29" i="130"/>
  <c r="BL37" i="130"/>
  <c r="BL48" i="131"/>
  <c r="Q48" i="131" s="1"/>
  <c r="BL9" i="132"/>
  <c r="BL29" i="131"/>
  <c r="BL43" i="130"/>
  <c r="BL33" i="132"/>
  <c r="Q33" i="132" s="1"/>
  <c r="BL19" i="132"/>
  <c r="BL19" i="130"/>
  <c r="BL28" i="131"/>
  <c r="BL32" i="132"/>
  <c r="BL23" i="132"/>
  <c r="Q23" i="132" s="1"/>
  <c r="BL42" i="131"/>
  <c r="BL32" i="131"/>
  <c r="BL28" i="132"/>
  <c r="BL29" i="132"/>
  <c r="BL35" i="132"/>
  <c r="BL94" i="130"/>
  <c r="BL96" i="130"/>
  <c r="BL104" i="131"/>
  <c r="BL92" i="131"/>
  <c r="BL41" i="130"/>
  <c r="BL90" i="131"/>
  <c r="BL95" i="131"/>
  <c r="BL37" i="131"/>
  <c r="BL88" i="130"/>
  <c r="BL92" i="130"/>
  <c r="BL7" i="131"/>
  <c r="BL95" i="130"/>
  <c r="BL104" i="130"/>
  <c r="BL101" i="131"/>
  <c r="BL94" i="131"/>
  <c r="BL99" i="131"/>
  <c r="BL97" i="131"/>
  <c r="BL88" i="131"/>
  <c r="BL9" i="131"/>
  <c r="BL8" i="130"/>
  <c r="BL10" i="131"/>
  <c r="Q10" i="131" s="1"/>
  <c r="BL9" i="130"/>
  <c r="BL8" i="132"/>
  <c r="BL43" i="132"/>
  <c r="BL19" i="131"/>
  <c r="BL43" i="131"/>
  <c r="BL44" i="130"/>
  <c r="BL44" i="132"/>
  <c r="BL25" i="132"/>
  <c r="BL34" i="131"/>
  <c r="BL35" i="131"/>
  <c r="BL34" i="132"/>
  <c r="BL17" i="132"/>
  <c r="BL30" i="131"/>
  <c r="BL30" i="132"/>
  <c r="BL25" i="130"/>
  <c r="BL31" i="131"/>
  <c r="BL31" i="132"/>
  <c r="BL36" i="130"/>
  <c r="BL36" i="132"/>
  <c r="BL25" i="131"/>
  <c r="BL17" i="130"/>
  <c r="BL17" i="131"/>
  <c r="BL20" i="130"/>
  <c r="BL36" i="131"/>
  <c r="BL20" i="131"/>
  <c r="BL20" i="132"/>
  <c r="BL31" i="130"/>
  <c r="P14" i="109"/>
  <c r="CH37" i="110"/>
  <c r="CH12" i="110"/>
  <c r="CH40" i="110"/>
  <c r="CH38" i="110"/>
  <c r="CH34" i="110"/>
  <c r="CH17" i="110"/>
  <c r="CH11" i="110"/>
  <c r="CH14" i="110"/>
  <c r="CH31" i="110"/>
  <c r="CH29" i="110"/>
  <c r="CH15" i="110"/>
  <c r="CH32" i="110"/>
  <c r="CH36" i="110"/>
  <c r="CH18" i="110"/>
  <c r="CH27" i="110"/>
  <c r="CH25" i="110"/>
  <c r="CH8" i="110"/>
  <c r="CH28" i="110"/>
  <c r="CH39" i="110"/>
  <c r="CH30" i="110"/>
  <c r="CH10" i="110"/>
  <c r="BJ5" i="126" l="1"/>
  <c r="AP91" i="126"/>
  <c r="CZ91" i="126"/>
  <c r="BK44" i="126"/>
  <c r="BK41" i="126" s="1"/>
  <c r="BL94" i="127"/>
  <c r="BJ5" i="127"/>
  <c r="CD44" i="127"/>
  <c r="CD41" i="127" s="1"/>
  <c r="CD5" i="127" s="1"/>
  <c r="AO44" i="126"/>
  <c r="AO41" i="126" s="1"/>
  <c r="AP35" i="127"/>
  <c r="DB24" i="127"/>
  <c r="CG6" i="127"/>
  <c r="DB16" i="127"/>
  <c r="AP16" i="126"/>
  <c r="AN12" i="133"/>
  <c r="DB13" i="127"/>
  <c r="CH13" i="127"/>
  <c r="DA6" i="127"/>
  <c r="BL7" i="127"/>
  <c r="Z9" i="126"/>
  <c r="DB7" i="126"/>
  <c r="CG6" i="126"/>
  <c r="BL45" i="110"/>
  <c r="AP86" i="126"/>
  <c r="AP35" i="126"/>
  <c r="AP94" i="127"/>
  <c r="CH16" i="127"/>
  <c r="CH24" i="126"/>
  <c r="CH7" i="127"/>
  <c r="CD44" i="126"/>
  <c r="CD41" i="126" s="1"/>
  <c r="CD5" i="126" s="1"/>
  <c r="AP7" i="127"/>
  <c r="CE94" i="127"/>
  <c r="CZ91" i="127"/>
  <c r="CE45" i="127"/>
  <c r="CE86" i="126"/>
  <c r="CZ45" i="126"/>
  <c r="BL86" i="127"/>
  <c r="R76" i="127"/>
  <c r="S76" i="127"/>
  <c r="Q76" i="127"/>
  <c r="AP75" i="133" s="1"/>
  <c r="S63" i="110"/>
  <c r="Q63" i="110"/>
  <c r="AN62" i="133" s="1"/>
  <c r="R63" i="110"/>
  <c r="BL35" i="126"/>
  <c r="AN5" i="127"/>
  <c r="S14" i="127"/>
  <c r="Q14" i="127"/>
  <c r="R14" i="127"/>
  <c r="CY44" i="126"/>
  <c r="AP39" i="131"/>
  <c r="AQ23" i="126"/>
  <c r="AQ23" i="110"/>
  <c r="AP39" i="130"/>
  <c r="AP39" i="132"/>
  <c r="AQ23" i="127"/>
  <c r="AQ85" i="126"/>
  <c r="AQ83" i="126"/>
  <c r="AP60" i="132"/>
  <c r="AP57" i="132"/>
  <c r="AQ58" i="127"/>
  <c r="AQ57" i="126"/>
  <c r="AQ84" i="127"/>
  <c r="AQ56" i="127"/>
  <c r="AP58" i="132"/>
  <c r="AP85" i="131"/>
  <c r="AP57" i="130"/>
  <c r="AP58" i="130"/>
  <c r="AP59" i="130"/>
  <c r="AP60" i="130"/>
  <c r="AP85" i="132"/>
  <c r="AP59" i="131"/>
  <c r="AP58" i="131"/>
  <c r="AP57" i="131"/>
  <c r="AP60" i="131"/>
  <c r="AP59" i="132"/>
  <c r="AP86" i="132"/>
  <c r="AP86" i="131"/>
  <c r="AP87" i="131"/>
  <c r="AP67" i="131"/>
  <c r="AP85" i="130"/>
  <c r="AP67" i="132"/>
  <c r="AP87" i="132"/>
  <c r="AP86" i="130"/>
  <c r="AP87" i="130"/>
  <c r="AP67" i="130"/>
  <c r="AQ55" i="127"/>
  <c r="AQ65" i="126"/>
  <c r="AQ57" i="127"/>
  <c r="AQ55" i="126"/>
  <c r="AQ84" i="126"/>
  <c r="AQ83" i="127"/>
  <c r="AQ58" i="126"/>
  <c r="AQ85" i="127"/>
  <c r="AQ85" i="110"/>
  <c r="AQ57" i="110"/>
  <c r="AQ56" i="126"/>
  <c r="AQ65" i="110"/>
  <c r="AQ56" i="110"/>
  <c r="AQ65" i="127"/>
  <c r="AQ83" i="110"/>
  <c r="AQ58" i="110"/>
  <c r="AQ84" i="110"/>
  <c r="AQ55" i="110"/>
  <c r="AP45" i="130"/>
  <c r="AP45" i="132"/>
  <c r="AQ20" i="126"/>
  <c r="AP45" i="131"/>
  <c r="AQ20" i="127"/>
  <c r="AQ20" i="110"/>
  <c r="AQ21" i="127"/>
  <c r="AQ21" i="126"/>
  <c r="AQ21" i="110"/>
  <c r="AP49" i="130"/>
  <c r="P49" i="130" s="1"/>
  <c r="N49" i="130" s="1"/>
  <c r="AP49" i="132"/>
  <c r="AP49" i="131"/>
  <c r="AQ47" i="110"/>
  <c r="Y47" i="110" s="1"/>
  <c r="AQ47" i="126"/>
  <c r="AQ47" i="127"/>
  <c r="AQ12" i="127"/>
  <c r="AQ12" i="126"/>
  <c r="Y12" i="126" s="1"/>
  <c r="AP81" i="131"/>
  <c r="P81" i="131" s="1"/>
  <c r="N81" i="131" s="1"/>
  <c r="O81" i="118" s="1"/>
  <c r="AP62" i="131"/>
  <c r="AP69" i="131"/>
  <c r="AP63" i="131"/>
  <c r="P63" i="131" s="1"/>
  <c r="N63" i="131" s="1"/>
  <c r="O63" i="118" s="1"/>
  <c r="AP70" i="131"/>
  <c r="AP61" i="131"/>
  <c r="AP80" i="131"/>
  <c r="P80" i="131" s="1"/>
  <c r="N80" i="131" s="1"/>
  <c r="O80" i="118" s="1"/>
  <c r="AQ59" i="126"/>
  <c r="AQ61" i="126"/>
  <c r="Y61" i="126" s="1"/>
  <c r="AQ63" i="126"/>
  <c r="Y63" i="126" s="1"/>
  <c r="AQ79" i="126"/>
  <c r="Y79" i="126" s="1"/>
  <c r="AP53" i="131"/>
  <c r="AP72" i="131"/>
  <c r="AP68" i="131"/>
  <c r="AP64" i="131"/>
  <c r="P64" i="131" s="1"/>
  <c r="N64" i="131" s="1"/>
  <c r="O64" i="118" s="1"/>
  <c r="AP55" i="130"/>
  <c r="AQ66" i="127"/>
  <c r="AQ70" i="126"/>
  <c r="AQ70" i="127"/>
  <c r="AP50" i="130"/>
  <c r="P50" i="130" s="1"/>
  <c r="N50" i="130" s="1"/>
  <c r="N50" i="118" s="1"/>
  <c r="AQ62" i="126"/>
  <c r="Y62" i="126" s="1"/>
  <c r="AQ64" i="126"/>
  <c r="AP66" i="130"/>
  <c r="AQ59" i="127"/>
  <c r="AQ67" i="126"/>
  <c r="AQ63" i="127"/>
  <c r="AP55" i="132"/>
  <c r="AQ68" i="126"/>
  <c r="AQ66" i="110"/>
  <c r="AP52" i="130"/>
  <c r="AP83" i="131"/>
  <c r="AP51" i="130"/>
  <c r="AP74" i="130"/>
  <c r="AP74" i="132"/>
  <c r="AP54" i="132"/>
  <c r="AP54" i="131"/>
  <c r="AQ70" i="110"/>
  <c r="AQ60" i="127"/>
  <c r="AP54" i="130"/>
  <c r="AQ67" i="127"/>
  <c r="AQ60" i="126"/>
  <c r="AP71" i="131"/>
  <c r="AP71" i="132"/>
  <c r="AP73" i="132"/>
  <c r="AP51" i="131"/>
  <c r="AQ67" i="110"/>
  <c r="AQ79" i="127"/>
  <c r="AQ80" i="127"/>
  <c r="AQ71" i="127"/>
  <c r="AQ72" i="126"/>
  <c r="AQ59" i="110"/>
  <c r="AP72" i="130"/>
  <c r="AP50" i="132"/>
  <c r="AQ78" i="127"/>
  <c r="AP66" i="131"/>
  <c r="AP83" i="130"/>
  <c r="AQ69" i="110"/>
  <c r="AQ69" i="127"/>
  <c r="AQ82" i="126"/>
  <c r="AP53" i="130"/>
  <c r="AP72" i="132"/>
  <c r="AP50" i="131"/>
  <c r="AQ68" i="127"/>
  <c r="AP84" i="130"/>
  <c r="AP84" i="132"/>
  <c r="AQ61" i="127"/>
  <c r="AP55" i="131"/>
  <c r="AQ66" i="126"/>
  <c r="AQ68" i="110"/>
  <c r="AQ62" i="127"/>
  <c r="AQ64" i="127"/>
  <c r="AP52" i="132"/>
  <c r="AQ78" i="126"/>
  <c r="Y78" i="126" s="1"/>
  <c r="AQ80" i="126"/>
  <c r="Y80" i="126" s="1"/>
  <c r="AP73" i="130"/>
  <c r="AQ82" i="110"/>
  <c r="AQ52" i="126"/>
  <c r="AQ50" i="127"/>
  <c r="AQ71" i="110"/>
  <c r="AP73" i="131"/>
  <c r="AQ82" i="127"/>
  <c r="AQ72" i="110"/>
  <c r="AQ49" i="127"/>
  <c r="AQ92" i="127"/>
  <c r="AQ49" i="110"/>
  <c r="AP83" i="132"/>
  <c r="AQ60" i="110"/>
  <c r="AP66" i="132"/>
  <c r="AQ81" i="110"/>
  <c r="AQ71" i="126"/>
  <c r="AP74" i="131"/>
  <c r="AP65" i="131"/>
  <c r="P65" i="131" s="1"/>
  <c r="N65" i="131" s="1"/>
  <c r="O65" i="118" s="1"/>
  <c r="AQ89" i="127"/>
  <c r="AQ46" i="126"/>
  <c r="AQ51" i="126"/>
  <c r="AQ53" i="126"/>
  <c r="AQ46" i="127"/>
  <c r="AQ48" i="110"/>
  <c r="Y48" i="110" s="1"/>
  <c r="AQ51" i="127"/>
  <c r="AQ48" i="127"/>
  <c r="AQ93" i="126"/>
  <c r="AQ50" i="126"/>
  <c r="AQ64" i="110"/>
  <c r="AQ81" i="126"/>
  <c r="AP71" i="130"/>
  <c r="AP51" i="132"/>
  <c r="AQ92" i="126"/>
  <c r="AP82" i="131"/>
  <c r="P82" i="131" s="1"/>
  <c r="N82" i="131" s="1"/>
  <c r="O82" i="118" s="1"/>
  <c r="AP63" i="132"/>
  <c r="AP62" i="132"/>
  <c r="AP62" i="130"/>
  <c r="AQ93" i="127"/>
  <c r="AP70" i="132"/>
  <c r="AP68" i="130"/>
  <c r="AQ51" i="110"/>
  <c r="AQ89" i="126"/>
  <c r="AQ53" i="127"/>
  <c r="AP61" i="132"/>
  <c r="AP69" i="132"/>
  <c r="AP81" i="132"/>
  <c r="AP82" i="132"/>
  <c r="AP69" i="130"/>
  <c r="AP70" i="130"/>
  <c r="AP79" i="130"/>
  <c r="AP84" i="131"/>
  <c r="AQ72" i="127"/>
  <c r="AQ52" i="127"/>
  <c r="AP53" i="132"/>
  <c r="AP52" i="131"/>
  <c r="AQ69" i="126"/>
  <c r="AQ52" i="110"/>
  <c r="AQ49" i="126"/>
  <c r="AQ53" i="110"/>
  <c r="AQ50" i="110"/>
  <c r="AP65" i="132"/>
  <c r="AP80" i="132"/>
  <c r="AP79" i="132"/>
  <c r="AQ48" i="126"/>
  <c r="AP64" i="132"/>
  <c r="AP68" i="132"/>
  <c r="AP61" i="130"/>
  <c r="AQ77" i="127"/>
  <c r="AQ77" i="126"/>
  <c r="AQ88" i="126"/>
  <c r="AQ95" i="126"/>
  <c r="AQ96" i="127"/>
  <c r="AQ96" i="126"/>
  <c r="AQ87" i="127"/>
  <c r="AQ88" i="127"/>
  <c r="AQ87" i="126"/>
  <c r="AQ77" i="110"/>
  <c r="AP79" i="131"/>
  <c r="AQ95" i="127"/>
  <c r="AQ81" i="127"/>
  <c r="AQ22" i="126"/>
  <c r="AQ22" i="127"/>
  <c r="AQ42" i="126"/>
  <c r="AQ22" i="110"/>
  <c r="AQ17" i="126"/>
  <c r="AQ17" i="127"/>
  <c r="AQ42" i="127"/>
  <c r="AQ39" i="127"/>
  <c r="AQ29" i="126"/>
  <c r="Y29" i="126" s="1"/>
  <c r="AQ9" i="127"/>
  <c r="AQ18" i="126"/>
  <c r="AQ18" i="127"/>
  <c r="AQ28" i="127"/>
  <c r="Y28" i="127" s="1"/>
  <c r="AQ39" i="126"/>
  <c r="AQ9" i="126"/>
  <c r="Y9" i="126" s="1"/>
  <c r="AQ30" i="126"/>
  <c r="AQ30" i="127"/>
  <c r="AP44" i="131"/>
  <c r="AQ29" i="127"/>
  <c r="AQ26" i="126"/>
  <c r="AQ36" i="126"/>
  <c r="AQ26" i="127"/>
  <c r="AQ36" i="127"/>
  <c r="AQ43" i="127"/>
  <c r="AQ10" i="126"/>
  <c r="AQ43" i="126"/>
  <c r="AQ10" i="127"/>
  <c r="AQ19" i="126"/>
  <c r="AQ19" i="127"/>
  <c r="AQ90" i="127"/>
  <c r="AQ25" i="127"/>
  <c r="AQ25" i="126"/>
  <c r="AQ90" i="126"/>
  <c r="CY44" i="127"/>
  <c r="CY41" i="127" s="1"/>
  <c r="CY5" i="127" s="1"/>
  <c r="BK44" i="127"/>
  <c r="R13" i="126"/>
  <c r="Q13" i="126"/>
  <c r="AO12" i="133" s="1"/>
  <c r="AO6" i="127"/>
  <c r="AO44" i="127"/>
  <c r="AP24" i="126"/>
  <c r="AP24" i="127"/>
  <c r="AP45" i="126"/>
  <c r="AP45" i="127"/>
  <c r="R62" i="110"/>
  <c r="Q62" i="110"/>
  <c r="AN61" i="133" s="1"/>
  <c r="CZ86" i="127"/>
  <c r="CE91" i="127"/>
  <c r="BL86" i="126"/>
  <c r="BL24" i="126"/>
  <c r="DB35" i="127"/>
  <c r="BK6" i="127"/>
  <c r="CB5" i="127"/>
  <c r="CH35" i="127"/>
  <c r="AP91" i="127"/>
  <c r="BM39" i="132"/>
  <c r="BM39" i="130"/>
  <c r="BM39" i="131"/>
  <c r="BM87" i="132"/>
  <c r="BM59" i="132"/>
  <c r="BM85" i="131"/>
  <c r="BM67" i="131"/>
  <c r="BM58" i="130"/>
  <c r="BM59" i="130"/>
  <c r="BM67" i="132"/>
  <c r="BM86" i="131"/>
  <c r="BM57" i="131"/>
  <c r="BM58" i="131"/>
  <c r="BM60" i="131"/>
  <c r="BM58" i="132"/>
  <c r="BM60" i="132"/>
  <c r="BM87" i="130"/>
  <c r="BM85" i="130"/>
  <c r="BM67" i="130"/>
  <c r="BM85" i="132"/>
  <c r="BM57" i="132"/>
  <c r="BM60" i="130"/>
  <c r="BM59" i="131"/>
  <c r="BM57" i="130"/>
  <c r="BM87" i="131"/>
  <c r="BM45" i="131"/>
  <c r="BM45" i="132"/>
  <c r="BM45" i="130"/>
  <c r="BM49" i="132"/>
  <c r="Q49" i="132" s="1"/>
  <c r="BM79" i="132"/>
  <c r="BM61" i="131"/>
  <c r="BM70" i="131"/>
  <c r="BM54" i="132"/>
  <c r="BM53" i="131"/>
  <c r="BM74" i="131"/>
  <c r="BM55" i="132"/>
  <c r="BM68" i="131"/>
  <c r="BM83" i="131"/>
  <c r="BM71" i="131"/>
  <c r="BM73" i="131"/>
  <c r="BM53" i="130"/>
  <c r="BM66" i="130"/>
  <c r="BM71" i="132"/>
  <c r="BM51" i="132"/>
  <c r="BM73" i="132"/>
  <c r="BM72" i="132"/>
  <c r="BM54" i="130"/>
  <c r="BM74" i="132"/>
  <c r="BM54" i="131"/>
  <c r="BM52" i="131"/>
  <c r="BM52" i="130"/>
  <c r="BM83" i="132"/>
  <c r="BM55" i="130"/>
  <c r="BM50" i="132"/>
  <c r="Q50" i="132" s="1"/>
  <c r="BM83" i="130"/>
  <c r="BM84" i="132"/>
  <c r="BM53" i="132"/>
  <c r="BM74" i="130"/>
  <c r="BM66" i="131"/>
  <c r="BM72" i="130"/>
  <c r="BM66" i="132"/>
  <c r="BM73" i="130"/>
  <c r="BM51" i="130"/>
  <c r="BM51" i="131"/>
  <c r="BM69" i="131"/>
  <c r="BM52" i="132"/>
  <c r="BM71" i="130"/>
  <c r="BM84" i="131"/>
  <c r="BM62" i="131"/>
  <c r="BM84" i="130"/>
  <c r="BM61" i="130"/>
  <c r="BM55" i="131"/>
  <c r="BM62" i="132"/>
  <c r="BM61" i="132"/>
  <c r="BM70" i="132"/>
  <c r="BM69" i="130"/>
  <c r="BM62" i="130"/>
  <c r="BM68" i="130"/>
  <c r="BM68" i="132"/>
  <c r="BM72" i="131"/>
  <c r="BM69" i="132"/>
  <c r="BM79" i="130"/>
  <c r="BM79" i="131"/>
  <c r="BM70" i="130"/>
  <c r="BM86" i="130"/>
  <c r="BM86" i="132"/>
  <c r="BM44" i="131"/>
  <c r="CI23" i="127"/>
  <c r="CI23" i="126"/>
  <c r="CI23" i="110"/>
  <c r="CI33" i="127"/>
  <c r="CI33" i="126"/>
  <c r="CI12" i="126"/>
  <c r="CI12" i="127"/>
  <c r="CI33" i="110"/>
  <c r="CI20" i="126"/>
  <c r="CI20" i="127"/>
  <c r="CI20" i="110"/>
  <c r="CI21" i="110"/>
  <c r="CI21" i="127"/>
  <c r="CI21" i="126"/>
  <c r="CI28" i="126"/>
  <c r="CI38" i="127"/>
  <c r="CI22" i="110"/>
  <c r="CI22" i="127"/>
  <c r="CI40" i="127"/>
  <c r="CI31" i="126"/>
  <c r="CI9" i="127"/>
  <c r="CI11" i="127"/>
  <c r="CI29" i="126"/>
  <c r="CI37" i="127"/>
  <c r="CI32" i="127"/>
  <c r="CI15" i="127"/>
  <c r="CI14" i="127"/>
  <c r="CI40" i="126"/>
  <c r="CI31" i="127"/>
  <c r="CI14" i="126"/>
  <c r="CI22" i="126"/>
  <c r="CI32" i="126"/>
  <c r="CI11" i="126"/>
  <c r="CI29" i="127"/>
  <c r="CI8" i="127"/>
  <c r="CI8" i="126"/>
  <c r="CI38" i="126"/>
  <c r="CI15" i="126"/>
  <c r="CI37" i="126"/>
  <c r="CI9" i="126"/>
  <c r="CI28" i="127"/>
  <c r="CI27" i="126"/>
  <c r="CI27" i="127"/>
  <c r="CI34" i="127"/>
  <c r="CI34" i="126"/>
  <c r="CI39" i="126"/>
  <c r="CI42" i="127"/>
  <c r="CI30" i="126"/>
  <c r="CI30" i="127"/>
  <c r="CI42" i="126"/>
  <c r="CI10" i="126"/>
  <c r="CI39" i="127"/>
  <c r="CI17" i="127"/>
  <c r="CI10" i="127"/>
  <c r="CI18" i="126"/>
  <c r="CI17" i="126"/>
  <c r="CI18" i="127"/>
  <c r="CI26" i="126"/>
  <c r="CI26" i="127"/>
  <c r="CI36" i="127"/>
  <c r="CI36" i="126"/>
  <c r="CI25" i="126"/>
  <c r="CI25" i="127"/>
  <c r="CI19" i="127"/>
  <c r="CI19" i="126"/>
  <c r="CF85" i="126"/>
  <c r="DA58" i="127"/>
  <c r="CF55" i="126"/>
  <c r="CF58" i="127"/>
  <c r="DA55" i="126"/>
  <c r="DA83" i="126"/>
  <c r="DA84" i="127"/>
  <c r="DA56" i="127"/>
  <c r="DA85" i="126"/>
  <c r="DA57" i="126"/>
  <c r="CF84" i="127"/>
  <c r="CF83" i="126"/>
  <c r="CF57" i="126"/>
  <c r="CF56" i="127"/>
  <c r="CF65" i="126"/>
  <c r="DA83" i="127"/>
  <c r="CF83" i="127"/>
  <c r="DA65" i="126"/>
  <c r="CF57" i="127"/>
  <c r="CF58" i="126"/>
  <c r="CF56" i="126"/>
  <c r="DA56" i="126"/>
  <c r="DA57" i="127"/>
  <c r="DA85" i="127"/>
  <c r="CF84" i="126"/>
  <c r="CF65" i="127"/>
  <c r="DA85" i="110"/>
  <c r="CF56" i="110"/>
  <c r="CF55" i="110"/>
  <c r="DA57" i="110"/>
  <c r="DA58" i="126"/>
  <c r="DA84" i="110"/>
  <c r="CF84" i="110"/>
  <c r="DA83" i="110"/>
  <c r="CF85" i="110"/>
  <c r="CF65" i="110"/>
  <c r="DA55" i="127"/>
  <c r="CF85" i="127"/>
  <c r="DA84" i="126"/>
  <c r="DA65" i="127"/>
  <c r="CF55" i="127"/>
  <c r="DA65" i="110"/>
  <c r="DA55" i="110"/>
  <c r="CF83" i="110"/>
  <c r="DA56" i="110"/>
  <c r="DA58" i="110"/>
  <c r="CF58" i="110"/>
  <c r="CF57" i="110"/>
  <c r="DA75" i="110"/>
  <c r="DA76" i="110"/>
  <c r="DA76" i="126"/>
  <c r="CF76" i="126"/>
  <c r="DA54" i="110"/>
  <c r="CF54" i="126"/>
  <c r="DA75" i="126"/>
  <c r="CF54" i="127"/>
  <c r="CF75" i="110"/>
  <c r="CF74" i="110"/>
  <c r="CF73" i="110"/>
  <c r="DA54" i="127"/>
  <c r="DA74" i="110"/>
  <c r="DA73" i="110"/>
  <c r="CF76" i="110"/>
  <c r="CF75" i="126"/>
  <c r="CF47" i="110"/>
  <c r="CF47" i="126"/>
  <c r="CF74" i="126"/>
  <c r="CF73" i="126"/>
  <c r="DA47" i="127"/>
  <c r="CF47" i="127"/>
  <c r="DA73" i="126"/>
  <c r="CF54" i="110"/>
  <c r="DA54" i="126"/>
  <c r="DA74" i="126"/>
  <c r="DA47" i="110"/>
  <c r="DA47" i="126"/>
  <c r="CF59" i="126"/>
  <c r="DA59" i="126"/>
  <c r="DA61" i="126"/>
  <c r="DA63" i="126"/>
  <c r="CF79" i="126"/>
  <c r="CF66" i="110"/>
  <c r="DA67" i="126"/>
  <c r="CF61" i="126"/>
  <c r="CF63" i="127"/>
  <c r="DA79" i="126"/>
  <c r="DA70" i="126"/>
  <c r="CF70" i="126"/>
  <c r="DA60" i="126"/>
  <c r="DA66" i="127"/>
  <c r="CF59" i="127"/>
  <c r="DA68" i="126"/>
  <c r="CF68" i="126"/>
  <c r="CF62" i="126"/>
  <c r="DA64" i="126"/>
  <c r="DA64" i="127"/>
  <c r="CF81" i="127"/>
  <c r="DA59" i="127"/>
  <c r="DA67" i="127"/>
  <c r="CF67" i="126"/>
  <c r="DA70" i="127"/>
  <c r="DA62" i="126"/>
  <c r="DA78" i="110"/>
  <c r="CF66" i="127"/>
  <c r="DA62" i="110"/>
  <c r="CF80" i="110"/>
  <c r="CF73" i="127"/>
  <c r="DA82" i="126"/>
  <c r="DA59" i="110"/>
  <c r="DA67" i="110"/>
  <c r="DA61" i="110"/>
  <c r="DA61" i="127"/>
  <c r="CF61" i="127"/>
  <c r="CF63" i="110"/>
  <c r="CF79" i="110"/>
  <c r="CF60" i="127"/>
  <c r="CF62" i="127"/>
  <c r="CF78" i="126"/>
  <c r="CF63" i="126"/>
  <c r="DA80" i="110"/>
  <c r="DA69" i="127"/>
  <c r="DA71" i="110"/>
  <c r="CF82" i="126"/>
  <c r="DA72" i="126"/>
  <c r="CF59" i="110"/>
  <c r="DA63" i="110"/>
  <c r="DA63" i="127"/>
  <c r="CF60" i="126"/>
  <c r="DA66" i="110"/>
  <c r="CF78" i="110"/>
  <c r="CF80" i="127"/>
  <c r="CF67" i="127"/>
  <c r="DA81" i="127"/>
  <c r="CF79" i="127"/>
  <c r="CF66" i="126"/>
  <c r="DA66" i="126"/>
  <c r="CF68" i="110"/>
  <c r="DA78" i="127"/>
  <c r="CF80" i="126"/>
  <c r="DA81" i="126"/>
  <c r="CF70" i="127"/>
  <c r="CF71" i="110"/>
  <c r="CF71" i="127"/>
  <c r="CF72" i="126"/>
  <c r="DA79" i="127"/>
  <c r="CF75" i="127"/>
  <c r="DA80" i="127"/>
  <c r="CF64" i="126"/>
  <c r="CF69" i="127"/>
  <c r="DA73" i="127"/>
  <c r="CF67" i="110"/>
  <c r="CF61" i="110"/>
  <c r="DA75" i="127"/>
  <c r="CF68" i="127"/>
  <c r="DA70" i="110"/>
  <c r="DA60" i="110"/>
  <c r="DA68" i="127"/>
  <c r="CF64" i="110"/>
  <c r="CF81" i="110"/>
  <c r="CF69" i="110"/>
  <c r="DA69" i="110"/>
  <c r="CF72" i="127"/>
  <c r="DA72" i="127"/>
  <c r="DA89" i="127"/>
  <c r="DA46" i="126"/>
  <c r="CF51" i="126"/>
  <c r="DA51" i="126"/>
  <c r="DA52" i="126"/>
  <c r="DA49" i="127"/>
  <c r="CF50" i="127"/>
  <c r="DA48" i="127"/>
  <c r="DA93" i="126"/>
  <c r="CF50" i="126"/>
  <c r="CF53" i="110"/>
  <c r="CF48" i="126"/>
  <c r="CF93" i="127"/>
  <c r="DA50" i="110"/>
  <c r="CF64" i="127"/>
  <c r="DA71" i="127"/>
  <c r="CF70" i="110"/>
  <c r="DA62" i="127"/>
  <c r="DA78" i="126"/>
  <c r="CF78" i="127"/>
  <c r="DA80" i="126"/>
  <c r="DA81" i="110"/>
  <c r="CF69" i="126"/>
  <c r="DA69" i="126"/>
  <c r="DA71" i="126"/>
  <c r="DA82" i="110"/>
  <c r="DA82" i="127"/>
  <c r="CF74" i="127"/>
  <c r="CF89" i="127"/>
  <c r="DA46" i="127"/>
  <c r="DA92" i="127"/>
  <c r="DA48" i="110"/>
  <c r="DA49" i="110"/>
  <c r="CF51" i="127"/>
  <c r="CF93" i="126"/>
  <c r="DA79" i="110"/>
  <c r="CF60" i="110"/>
  <c r="CF81" i="126"/>
  <c r="CF71" i="126"/>
  <c r="CF76" i="127"/>
  <c r="DA76" i="127"/>
  <c r="CF82" i="110"/>
  <c r="CF82" i="127"/>
  <c r="CF72" i="110"/>
  <c r="CF46" i="126"/>
  <c r="DA53" i="126"/>
  <c r="CF53" i="126"/>
  <c r="CF92" i="127"/>
  <c r="CF49" i="110"/>
  <c r="DA51" i="127"/>
  <c r="CF48" i="127"/>
  <c r="DA50" i="126"/>
  <c r="DA60" i="127"/>
  <c r="DA68" i="110"/>
  <c r="CF52" i="126"/>
  <c r="CF46" i="127"/>
  <c r="DA52" i="110"/>
  <c r="DA52" i="127"/>
  <c r="DA51" i="110"/>
  <c r="DA92" i="126"/>
  <c r="CF92" i="126"/>
  <c r="CF89" i="126"/>
  <c r="CF53" i="127"/>
  <c r="DA53" i="127"/>
  <c r="CF49" i="126"/>
  <c r="DA93" i="127"/>
  <c r="DA64" i="110"/>
  <c r="DA72" i="110"/>
  <c r="DA50" i="127"/>
  <c r="CF52" i="110"/>
  <c r="CF51" i="110"/>
  <c r="DA89" i="126"/>
  <c r="CF62" i="110"/>
  <c r="DA74" i="127"/>
  <c r="CF48" i="110"/>
  <c r="DA49" i="126"/>
  <c r="CF52" i="127"/>
  <c r="DA53" i="110"/>
  <c r="DA48" i="126"/>
  <c r="CF50" i="110"/>
  <c r="CF49" i="127"/>
  <c r="DA96" i="127"/>
  <c r="CF96" i="126"/>
  <c r="CF87" i="126"/>
  <c r="CF88" i="126"/>
  <c r="DA77" i="127"/>
  <c r="DA77" i="110"/>
  <c r="DA87" i="127"/>
  <c r="CF87" i="127"/>
  <c r="CF95" i="127"/>
  <c r="DA88" i="126"/>
  <c r="CF77" i="127"/>
  <c r="CF77" i="110"/>
  <c r="CF77" i="126"/>
  <c r="CF96" i="127"/>
  <c r="DA87" i="126"/>
  <c r="DA77" i="126"/>
  <c r="DA96" i="126"/>
  <c r="DA95" i="127"/>
  <c r="DA95" i="126"/>
  <c r="DA88" i="127"/>
  <c r="CF95" i="126"/>
  <c r="CF88" i="127"/>
  <c r="DA43" i="127"/>
  <c r="CF43" i="126"/>
  <c r="CF43" i="127"/>
  <c r="DA43" i="126"/>
  <c r="DA90" i="127"/>
  <c r="DA90" i="126"/>
  <c r="CF90" i="127"/>
  <c r="CF90" i="126"/>
  <c r="CZ45" i="110"/>
  <c r="DC23" i="127"/>
  <c r="DC23" i="126"/>
  <c r="DC23" i="110"/>
  <c r="DC33" i="127"/>
  <c r="DC33" i="126"/>
  <c r="DC12" i="126"/>
  <c r="DC33" i="110"/>
  <c r="DC20" i="110"/>
  <c r="DC20" i="127"/>
  <c r="DC20" i="126"/>
  <c r="DC12" i="127"/>
  <c r="DC21" i="110"/>
  <c r="DC21" i="127"/>
  <c r="DC21" i="126"/>
  <c r="DC22" i="127"/>
  <c r="DC32" i="127"/>
  <c r="DC8" i="127"/>
  <c r="DC27" i="126"/>
  <c r="DC15" i="126"/>
  <c r="DC37" i="126"/>
  <c r="DC27" i="127"/>
  <c r="DC22" i="110"/>
  <c r="DC40" i="127"/>
  <c r="DC31" i="126"/>
  <c r="DC15" i="127"/>
  <c r="DC8" i="126"/>
  <c r="DC28" i="126"/>
  <c r="DC40" i="126"/>
  <c r="DC37" i="127"/>
  <c r="DC32" i="126"/>
  <c r="DC14" i="127"/>
  <c r="DC31" i="127"/>
  <c r="DC14" i="126"/>
  <c r="DC22" i="126"/>
  <c r="DC9" i="126"/>
  <c r="DC11" i="126"/>
  <c r="DC28" i="127"/>
  <c r="DC29" i="126"/>
  <c r="DC38" i="127"/>
  <c r="DC11" i="127"/>
  <c r="DC38" i="126"/>
  <c r="DC34" i="127"/>
  <c r="DC34" i="126"/>
  <c r="DC10" i="127"/>
  <c r="DC10" i="126"/>
  <c r="DC42" i="126"/>
  <c r="DC30" i="127"/>
  <c r="DC39" i="126"/>
  <c r="DC39" i="127"/>
  <c r="DC17" i="127"/>
  <c r="DC42" i="127"/>
  <c r="DC30" i="126"/>
  <c r="DC29" i="127"/>
  <c r="DC17" i="126"/>
  <c r="DC9" i="127"/>
  <c r="DC18" i="126"/>
  <c r="DC18" i="127"/>
  <c r="DC36" i="127"/>
  <c r="DC25" i="127"/>
  <c r="DC25" i="126"/>
  <c r="DC36" i="126"/>
  <c r="DC26" i="127"/>
  <c r="DC26" i="126"/>
  <c r="DC19" i="126"/>
  <c r="DC19" i="127"/>
  <c r="AP45" i="110"/>
  <c r="AP16" i="127"/>
  <c r="Q11" i="127"/>
  <c r="AP10" i="133" s="1"/>
  <c r="S11" i="127"/>
  <c r="R11" i="127"/>
  <c r="AP94" i="126"/>
  <c r="Q61" i="110"/>
  <c r="AN60" i="133" s="1"/>
  <c r="S61" i="110"/>
  <c r="R61" i="110"/>
  <c r="S80" i="110"/>
  <c r="R80" i="110"/>
  <c r="Q80" i="110"/>
  <c r="AN79" i="133" s="1"/>
  <c r="CZ86" i="126"/>
  <c r="CZ94" i="126"/>
  <c r="CZ94" i="127"/>
  <c r="CE94" i="126"/>
  <c r="AO6" i="126"/>
  <c r="BL16" i="127"/>
  <c r="BL24" i="127"/>
  <c r="BL94" i="126"/>
  <c r="BL91" i="126"/>
  <c r="BL45" i="127"/>
  <c r="BL45" i="126"/>
  <c r="BL91" i="127"/>
  <c r="DB24" i="126"/>
  <c r="DB13" i="126"/>
  <c r="CB5" i="126"/>
  <c r="S13" i="126"/>
  <c r="CH24" i="127"/>
  <c r="CH35" i="126"/>
  <c r="CH7" i="126"/>
  <c r="S78" i="110"/>
  <c r="R78" i="110"/>
  <c r="Q78" i="110"/>
  <c r="AN77" i="133" s="1"/>
  <c r="R15" i="127"/>
  <c r="S15" i="127"/>
  <c r="Q15" i="127"/>
  <c r="AP14" i="133" s="1"/>
  <c r="CE45" i="110"/>
  <c r="BM23" i="110"/>
  <c r="BM23" i="126"/>
  <c r="BM23" i="127"/>
  <c r="BM85" i="126"/>
  <c r="BM55" i="126"/>
  <c r="BM57" i="126"/>
  <c r="BM84" i="127"/>
  <c r="BM83" i="126"/>
  <c r="BM58" i="127"/>
  <c r="BM56" i="127"/>
  <c r="BM65" i="126"/>
  <c r="BM58" i="126"/>
  <c r="BM84" i="126"/>
  <c r="BM55" i="127"/>
  <c r="BM83" i="127"/>
  <c r="BM85" i="127"/>
  <c r="BM55" i="110"/>
  <c r="BM57" i="127"/>
  <c r="BM65" i="127"/>
  <c r="BM56" i="126"/>
  <c r="BM84" i="110"/>
  <c r="BM65" i="110"/>
  <c r="BM58" i="110"/>
  <c r="BM57" i="110"/>
  <c r="BM83" i="110"/>
  <c r="BM85" i="110"/>
  <c r="BM56" i="110"/>
  <c r="BM20" i="127"/>
  <c r="BM20" i="110"/>
  <c r="BM20" i="126"/>
  <c r="BM12" i="127"/>
  <c r="Z12" i="127" s="1"/>
  <c r="BM21" i="126"/>
  <c r="BM21" i="110"/>
  <c r="BM21" i="127"/>
  <c r="BM47" i="126"/>
  <c r="Z47" i="126" s="1"/>
  <c r="BM47" i="127"/>
  <c r="BM22" i="127"/>
  <c r="BM22" i="110"/>
  <c r="BM22" i="126"/>
  <c r="BM59" i="127"/>
  <c r="BM59" i="126"/>
  <c r="BM63" i="127"/>
  <c r="Z63" i="127" s="1"/>
  <c r="BM66" i="127"/>
  <c r="BM67" i="127"/>
  <c r="BM67" i="126"/>
  <c r="BM60" i="126"/>
  <c r="BM80" i="127"/>
  <c r="Z80" i="127" s="1"/>
  <c r="BM64" i="127"/>
  <c r="BM64" i="126"/>
  <c r="BM72" i="126"/>
  <c r="BM61" i="127"/>
  <c r="Z61" i="127" s="1"/>
  <c r="BM70" i="110"/>
  <c r="BM60" i="127"/>
  <c r="BM70" i="126"/>
  <c r="BM66" i="110"/>
  <c r="BM69" i="127"/>
  <c r="BM82" i="126"/>
  <c r="BM59" i="110"/>
  <c r="BM67" i="110"/>
  <c r="BM68" i="126"/>
  <c r="BM71" i="127"/>
  <c r="BM68" i="110"/>
  <c r="BM62" i="127"/>
  <c r="Z62" i="127" s="1"/>
  <c r="BM81" i="127"/>
  <c r="BM79" i="127"/>
  <c r="Z79" i="127" s="1"/>
  <c r="BM68" i="127"/>
  <c r="BM70" i="127"/>
  <c r="BM71" i="110"/>
  <c r="BM60" i="110"/>
  <c r="BM66" i="126"/>
  <c r="BM82" i="127"/>
  <c r="BM46" i="126"/>
  <c r="BM92" i="127"/>
  <c r="BM49" i="110"/>
  <c r="BM51" i="127"/>
  <c r="BM50" i="126"/>
  <c r="BM53" i="127"/>
  <c r="BM82" i="110"/>
  <c r="BM72" i="110"/>
  <c r="BM89" i="127"/>
  <c r="BM53" i="126"/>
  <c r="BM46" i="127"/>
  <c r="BM78" i="127"/>
  <c r="Z78" i="127" s="1"/>
  <c r="BM81" i="110"/>
  <c r="BM81" i="126"/>
  <c r="BM69" i="126"/>
  <c r="BM72" i="127"/>
  <c r="BM51" i="126"/>
  <c r="BM52" i="126"/>
  <c r="BM49" i="127"/>
  <c r="BM48" i="127"/>
  <c r="BM93" i="126"/>
  <c r="BM52" i="110"/>
  <c r="BM50" i="127"/>
  <c r="BM51" i="110"/>
  <c r="BM64" i="110"/>
  <c r="BM48" i="126"/>
  <c r="Z48" i="126" s="1"/>
  <c r="BM92" i="126"/>
  <c r="BM50" i="110"/>
  <c r="BM69" i="110"/>
  <c r="BM71" i="126"/>
  <c r="BM49" i="126"/>
  <c r="BM52" i="127"/>
  <c r="BM89" i="126"/>
  <c r="BM53" i="110"/>
  <c r="BM93" i="127"/>
  <c r="BM87" i="127"/>
  <c r="BM96" i="127"/>
  <c r="BM96" i="126"/>
  <c r="BM87" i="126"/>
  <c r="BM88" i="127"/>
  <c r="BM77" i="127"/>
  <c r="BM77" i="110"/>
  <c r="BM77" i="126"/>
  <c r="BM95" i="127"/>
  <c r="BM95" i="126"/>
  <c r="BM88" i="126"/>
  <c r="BM30" i="127"/>
  <c r="BM42" i="126"/>
  <c r="BM30" i="126"/>
  <c r="BM10" i="126"/>
  <c r="BM7" i="126" s="1"/>
  <c r="BM10" i="127"/>
  <c r="BM17" i="126"/>
  <c r="BM39" i="126"/>
  <c r="BM29" i="127"/>
  <c r="Z29" i="127" s="1"/>
  <c r="BM17" i="127"/>
  <c r="BM39" i="127"/>
  <c r="BM42" i="127"/>
  <c r="BM9" i="127"/>
  <c r="BM18" i="126"/>
  <c r="BM18" i="127"/>
  <c r="BM25" i="126"/>
  <c r="BM43" i="126"/>
  <c r="BM26" i="126"/>
  <c r="BM26" i="127"/>
  <c r="BM36" i="126"/>
  <c r="BM43" i="127"/>
  <c r="BM36" i="127"/>
  <c r="BM25" i="127"/>
  <c r="BM19" i="127"/>
  <c r="BM90" i="126"/>
  <c r="BM90" i="127"/>
  <c r="BM19" i="126"/>
  <c r="AP86" i="127"/>
  <c r="AP7" i="126"/>
  <c r="Q74" i="127"/>
  <c r="AP73" i="133" s="1"/>
  <c r="R74" i="127"/>
  <c r="S74" i="127"/>
  <c r="S79" i="110"/>
  <c r="R79" i="110"/>
  <c r="Q79" i="110"/>
  <c r="AN78" i="133" s="1"/>
  <c r="AP13" i="127"/>
  <c r="Y13" i="127" s="1"/>
  <c r="CE86" i="127"/>
  <c r="CE45" i="126"/>
  <c r="CZ45" i="127"/>
  <c r="BL16" i="126"/>
  <c r="BL35" i="127"/>
  <c r="DB16" i="126"/>
  <c r="DB35" i="126"/>
  <c r="DB7" i="127"/>
  <c r="CW5" i="127"/>
  <c r="BI5" i="126"/>
  <c r="DA6" i="126"/>
  <c r="BK6" i="126"/>
  <c r="AN41" i="126"/>
  <c r="AN5" i="126" s="1"/>
  <c r="CH16" i="126"/>
  <c r="CH13" i="126"/>
  <c r="BJ5" i="110"/>
  <c r="AN5" i="110"/>
  <c r="AO6" i="110"/>
  <c r="CG6" i="110"/>
  <c r="BK6" i="110"/>
  <c r="DA6" i="110"/>
  <c r="BM88" i="132"/>
  <c r="BM89" i="132"/>
  <c r="CF89" i="110"/>
  <c r="DA89" i="110"/>
  <c r="DC9" i="110"/>
  <c r="DC42" i="110"/>
  <c r="AO44" i="110"/>
  <c r="AO41" i="110" s="1"/>
  <c r="N49" i="118"/>
  <c r="AQ89" i="110"/>
  <c r="AP89" i="132"/>
  <c r="AP88" i="132"/>
  <c r="AQ42" i="110"/>
  <c r="AP18" i="131"/>
  <c r="AP18" i="130"/>
  <c r="AP18" i="132"/>
  <c r="AQ90" i="110"/>
  <c r="AP36" i="132"/>
  <c r="AP93" i="132"/>
  <c r="AP99" i="132"/>
  <c r="AP95" i="132"/>
  <c r="AP41" i="130"/>
  <c r="AP34" i="130"/>
  <c r="AP101" i="130"/>
  <c r="AQ87" i="110"/>
  <c r="AQ95" i="110"/>
  <c r="AP97" i="130"/>
  <c r="AP27" i="130"/>
  <c r="AP32" i="130"/>
  <c r="AP37" i="130"/>
  <c r="AP8" i="132"/>
  <c r="AP92" i="132"/>
  <c r="AP100" i="130"/>
  <c r="AP40" i="131"/>
  <c r="AP35" i="132"/>
  <c r="AP91" i="131"/>
  <c r="AP43" i="131"/>
  <c r="AP38" i="131"/>
  <c r="P38" i="131" s="1"/>
  <c r="N38" i="131" s="1"/>
  <c r="O38" i="118" s="1"/>
  <c r="AP28" i="131"/>
  <c r="AP37" i="132"/>
  <c r="AP27" i="131"/>
  <c r="AP103" i="131"/>
  <c r="AP48" i="131"/>
  <c r="AP35" i="131"/>
  <c r="AP29" i="132"/>
  <c r="AP25" i="132"/>
  <c r="AP12" i="132"/>
  <c r="AP31" i="132"/>
  <c r="AP7" i="131"/>
  <c r="AP9" i="132"/>
  <c r="AP9" i="131"/>
  <c r="AP21" i="132"/>
  <c r="P21" i="132" s="1"/>
  <c r="N21" i="132" s="1"/>
  <c r="P21" i="118" s="1"/>
  <c r="AP7" i="130"/>
  <c r="AP44" i="130"/>
  <c r="AQ19" i="110"/>
  <c r="O9" i="109"/>
  <c r="AP48" i="132"/>
  <c r="AP91" i="132"/>
  <c r="AP103" i="132"/>
  <c r="AP102" i="132"/>
  <c r="AP14" i="131"/>
  <c r="P14" i="131" s="1"/>
  <c r="N14" i="131" s="1"/>
  <c r="O14" i="118" s="1"/>
  <c r="AP94" i="130"/>
  <c r="AP14" i="132"/>
  <c r="AP19" i="131"/>
  <c r="AP89" i="130"/>
  <c r="AP99" i="130"/>
  <c r="AP29" i="130"/>
  <c r="AP40" i="132"/>
  <c r="AP48" i="130"/>
  <c r="P48" i="130" s="1"/>
  <c r="N48" i="130" s="1"/>
  <c r="N48" i="118" s="1"/>
  <c r="AP99" i="131"/>
  <c r="AP93" i="131"/>
  <c r="AP33" i="132"/>
  <c r="AP41" i="131"/>
  <c r="AP96" i="131"/>
  <c r="AP102" i="131"/>
  <c r="AP17" i="132"/>
  <c r="AP10" i="132"/>
  <c r="AP23" i="132"/>
  <c r="AQ43" i="110"/>
  <c r="AQ39" i="110"/>
  <c r="AP20" i="131"/>
  <c r="AP44" i="132"/>
  <c r="AQ46" i="110"/>
  <c r="AP22" i="132"/>
  <c r="P22" i="132" s="1"/>
  <c r="N22" i="132" s="1"/>
  <c r="P22" i="118" s="1"/>
  <c r="AP97" i="132"/>
  <c r="AP96" i="132"/>
  <c r="AP42" i="130"/>
  <c r="AP92" i="131"/>
  <c r="AP90" i="130"/>
  <c r="AP43" i="130"/>
  <c r="AP5" i="131"/>
  <c r="P5" i="131" s="1"/>
  <c r="N5" i="131" s="1"/>
  <c r="O5" i="118" s="1"/>
  <c r="AP5" i="132"/>
  <c r="AP41" i="132"/>
  <c r="AP32" i="131"/>
  <c r="AP97" i="131"/>
  <c r="AP28" i="132"/>
  <c r="AP9" i="130"/>
  <c r="AP10" i="130"/>
  <c r="P10" i="130" s="1"/>
  <c r="N10" i="130" s="1"/>
  <c r="N10" i="118" s="1"/>
  <c r="AP25" i="131"/>
  <c r="AQ26" i="110"/>
  <c r="AP19" i="132"/>
  <c r="AP104" i="130"/>
  <c r="AP95" i="130"/>
  <c r="AP8" i="130"/>
  <c r="AP36" i="130"/>
  <c r="AP35" i="130"/>
  <c r="AQ88" i="110"/>
  <c r="AQ93" i="110"/>
  <c r="AP42" i="131"/>
  <c r="AP8" i="131"/>
  <c r="AQ18" i="110"/>
  <c r="AQ10" i="110"/>
  <c r="AQ7" i="110" s="1"/>
  <c r="AP12" i="131"/>
  <c r="P12" i="131" s="1"/>
  <c r="N12" i="131" s="1"/>
  <c r="O12" i="118" s="1"/>
  <c r="AP92" i="130"/>
  <c r="AP90" i="132"/>
  <c r="AP90" i="131"/>
  <c r="AP29" i="131"/>
  <c r="AP19" i="130"/>
  <c r="AP101" i="131"/>
  <c r="AP94" i="131"/>
  <c r="AP33" i="131"/>
  <c r="P33" i="131" s="1"/>
  <c r="N33" i="131" s="1"/>
  <c r="O33" i="118" s="1"/>
  <c r="AP27" i="132"/>
  <c r="AP7" i="132"/>
  <c r="AQ25" i="110"/>
  <c r="AP20" i="130"/>
  <c r="AQ96" i="110"/>
  <c r="AP88" i="130"/>
  <c r="AP88" i="131"/>
  <c r="AP42" i="132"/>
  <c r="AP91" i="130"/>
  <c r="AP95" i="131"/>
  <c r="AP37" i="131"/>
  <c r="AP11" i="131"/>
  <c r="P11" i="131" s="1"/>
  <c r="N11" i="131" s="1"/>
  <c r="O11" i="118" s="1"/>
  <c r="AP11" i="132"/>
  <c r="AP100" i="132"/>
  <c r="AP101" i="132"/>
  <c r="AP17" i="130"/>
  <c r="AP30" i="130"/>
  <c r="AP93" i="130"/>
  <c r="AP96" i="130"/>
  <c r="AP104" i="131"/>
  <c r="AP32" i="132"/>
  <c r="AP13" i="132"/>
  <c r="P13" i="132" s="1"/>
  <c r="N13" i="132" s="1"/>
  <c r="P13" i="118" s="1"/>
  <c r="AP25" i="130"/>
  <c r="AP31" i="131"/>
  <c r="AP31" i="130"/>
  <c r="AP43" i="132"/>
  <c r="AP104" i="132"/>
  <c r="AP17" i="131"/>
  <c r="AP94" i="132"/>
  <c r="AP102" i="130"/>
  <c r="AP28" i="130"/>
  <c r="AP30" i="131"/>
  <c r="AP89" i="131"/>
  <c r="AP38" i="132"/>
  <c r="AP23" i="131"/>
  <c r="P23" i="131" s="1"/>
  <c r="N23" i="131" s="1"/>
  <c r="O23" i="118" s="1"/>
  <c r="AQ36" i="110"/>
  <c r="AP34" i="132"/>
  <c r="AQ17" i="110"/>
  <c r="AP103" i="130"/>
  <c r="AQ92" i="110"/>
  <c r="AP40" i="130"/>
  <c r="AP36" i="131"/>
  <c r="AP100" i="131"/>
  <c r="AP30" i="132"/>
  <c r="AP34" i="131"/>
  <c r="AP10" i="131"/>
  <c r="AQ30" i="110"/>
  <c r="AP20" i="132"/>
  <c r="R12" i="110"/>
  <c r="Q12" i="110"/>
  <c r="AN11" i="133" s="1"/>
  <c r="AP16" i="110"/>
  <c r="AP91" i="110"/>
  <c r="CI9" i="110"/>
  <c r="CI42" i="110"/>
  <c r="BM89" i="110"/>
  <c r="BM42" i="110"/>
  <c r="AP35" i="110"/>
  <c r="AP94" i="110"/>
  <c r="AP24" i="110"/>
  <c r="AP86" i="110"/>
  <c r="Y9" i="110"/>
  <c r="AP7" i="110"/>
  <c r="AO13" i="133"/>
  <c r="CH16" i="110"/>
  <c r="DB16" i="110"/>
  <c r="BL16" i="110"/>
  <c r="CD44" i="110"/>
  <c r="CD41" i="110" s="1"/>
  <c r="CD5" i="110" s="1"/>
  <c r="CY44" i="110"/>
  <c r="CY41" i="110" s="1"/>
  <c r="CY5" i="110" s="1"/>
  <c r="BK44" i="110"/>
  <c r="BK41" i="110" s="1"/>
  <c r="CZ91" i="110"/>
  <c r="BL91" i="110"/>
  <c r="BL86" i="110"/>
  <c r="DB7" i="110"/>
  <c r="CF46" i="110"/>
  <c r="DA46" i="110"/>
  <c r="CF90" i="110"/>
  <c r="DA90" i="110"/>
  <c r="BM90" i="110"/>
  <c r="BM26" i="110"/>
  <c r="BM19" i="110"/>
  <c r="BM95" i="110"/>
  <c r="BM25" i="110"/>
  <c r="BM10" i="110"/>
  <c r="BM7" i="110" s="1"/>
  <c r="P11" i="109"/>
  <c r="BM88" i="110"/>
  <c r="BM92" i="110"/>
  <c r="BM39" i="110"/>
  <c r="BM17" i="110"/>
  <c r="BM36" i="110"/>
  <c r="BM18" i="110"/>
  <c r="BM96" i="110"/>
  <c r="BM87" i="110"/>
  <c r="BM93" i="110"/>
  <c r="BM30" i="110"/>
  <c r="BM43" i="110"/>
  <c r="BL24" i="110"/>
  <c r="BL94" i="110"/>
  <c r="DB35" i="110"/>
  <c r="DB24" i="110"/>
  <c r="CI19" i="110"/>
  <c r="CI26" i="110"/>
  <c r="BM18" i="130"/>
  <c r="BM18" i="132"/>
  <c r="BM18" i="131"/>
  <c r="BL35" i="110"/>
  <c r="Z46" i="110"/>
  <c r="DB13" i="110"/>
  <c r="DC26" i="110"/>
  <c r="DC19" i="110"/>
  <c r="DC32" i="110"/>
  <c r="DC38" i="110"/>
  <c r="DC29" i="110"/>
  <c r="DC27" i="110"/>
  <c r="DC28" i="110"/>
  <c r="DC39" i="110"/>
  <c r="DC37" i="110"/>
  <c r="DC34" i="110"/>
  <c r="DC25" i="110"/>
  <c r="DC8" i="110"/>
  <c r="P15" i="109"/>
  <c r="DC12" i="110"/>
  <c r="DC17" i="110"/>
  <c r="DC36" i="110"/>
  <c r="DC14" i="110"/>
  <c r="DC30" i="110"/>
  <c r="DC31" i="110"/>
  <c r="DC15" i="110"/>
  <c r="DC11" i="110"/>
  <c r="DC40" i="110"/>
  <c r="DC18" i="110"/>
  <c r="DC10" i="110"/>
  <c r="CE86" i="110"/>
  <c r="CZ86" i="110"/>
  <c r="CH13" i="110"/>
  <c r="CH7" i="110"/>
  <c r="CE94" i="110"/>
  <c r="CH24" i="110"/>
  <c r="CH35" i="110"/>
  <c r="CZ94" i="110"/>
  <c r="CE91" i="110"/>
  <c r="DA93" i="110"/>
  <c r="DA87" i="110"/>
  <c r="CF88" i="110"/>
  <c r="CF95" i="110"/>
  <c r="DA88" i="110"/>
  <c r="CF92" i="110"/>
  <c r="CF93" i="110"/>
  <c r="DA96" i="110"/>
  <c r="DA92" i="110"/>
  <c r="CF87" i="110"/>
  <c r="DA95" i="110"/>
  <c r="CF96" i="110"/>
  <c r="CF43" i="110"/>
  <c r="DA43" i="110"/>
  <c r="O17" i="109"/>
  <c r="N19" i="109"/>
  <c r="Q14" i="109"/>
  <c r="CI32" i="110"/>
  <c r="CI37" i="110"/>
  <c r="CI12" i="110"/>
  <c r="CI11" i="110"/>
  <c r="CI17" i="110"/>
  <c r="CI15" i="110"/>
  <c r="CI34" i="110"/>
  <c r="CI38" i="110"/>
  <c r="CI29" i="110"/>
  <c r="CI31" i="110"/>
  <c r="CI36" i="110"/>
  <c r="CI27" i="110"/>
  <c r="CI25" i="110"/>
  <c r="CI14" i="110"/>
  <c r="CI18" i="110"/>
  <c r="CI28" i="110"/>
  <c r="CI8" i="110"/>
  <c r="CI40" i="110"/>
  <c r="CI10" i="110"/>
  <c r="CI30" i="110"/>
  <c r="CI39" i="110"/>
  <c r="BM10" i="132"/>
  <c r="Q10" i="132" s="1"/>
  <c r="BM41" i="132"/>
  <c r="Q10" i="109"/>
  <c r="BM37" i="132"/>
  <c r="BM40" i="132"/>
  <c r="BM92" i="132"/>
  <c r="BM99" i="132"/>
  <c r="BM101" i="132"/>
  <c r="BM102" i="132"/>
  <c r="BM96" i="132"/>
  <c r="BM104" i="132"/>
  <c r="BM100" i="132"/>
  <c r="BM97" i="132"/>
  <c r="BM40" i="131"/>
  <c r="BM28" i="130"/>
  <c r="BM40" i="130"/>
  <c r="BM99" i="130"/>
  <c r="BM90" i="132"/>
  <c r="BM34" i="130"/>
  <c r="BM32" i="130"/>
  <c r="BM93" i="132"/>
  <c r="BM91" i="132"/>
  <c r="BM94" i="132"/>
  <c r="BM30" i="130"/>
  <c r="BM48" i="132"/>
  <c r="Q48" i="132" s="1"/>
  <c r="BM103" i="132"/>
  <c r="BM97" i="130"/>
  <c r="BM102" i="130"/>
  <c r="BM100" i="130"/>
  <c r="BM27" i="130"/>
  <c r="BM8" i="131"/>
  <c r="BM7" i="132"/>
  <c r="BM42" i="132"/>
  <c r="BM95" i="132"/>
  <c r="BM27" i="132"/>
  <c r="BM17" i="132"/>
  <c r="BM96" i="130"/>
  <c r="BM90" i="130"/>
  <c r="BM37" i="131"/>
  <c r="BM100" i="131"/>
  <c r="BM88" i="130"/>
  <c r="BM92" i="130"/>
  <c r="BM102" i="131"/>
  <c r="BM94" i="131"/>
  <c r="BM91" i="131"/>
  <c r="BM41" i="131"/>
  <c r="BM35" i="130"/>
  <c r="BM99" i="131"/>
  <c r="BM93" i="131"/>
  <c r="BM89" i="131"/>
  <c r="BM29" i="130"/>
  <c r="BM9" i="131"/>
  <c r="BM29" i="131"/>
  <c r="BM8" i="132"/>
  <c r="BM19" i="132"/>
  <c r="BM44" i="130"/>
  <c r="BM44" i="132"/>
  <c r="BM19" i="130"/>
  <c r="BM28" i="131"/>
  <c r="BM32" i="132"/>
  <c r="BM35" i="131"/>
  <c r="BM34" i="132"/>
  <c r="BM28" i="132"/>
  <c r="BM29" i="132"/>
  <c r="BM30" i="132"/>
  <c r="BM103" i="130"/>
  <c r="BM94" i="130"/>
  <c r="BM104" i="131"/>
  <c r="BM92" i="131"/>
  <c r="BM89" i="130"/>
  <c r="BM93" i="130"/>
  <c r="BM41" i="130"/>
  <c r="BM90" i="131"/>
  <c r="BM95" i="131"/>
  <c r="BM101" i="130"/>
  <c r="BM96" i="131"/>
  <c r="BM27" i="131"/>
  <c r="BM7" i="131"/>
  <c r="Q7" i="131" s="1"/>
  <c r="BM42" i="130"/>
  <c r="BM91" i="130"/>
  <c r="BM95" i="130"/>
  <c r="BM104" i="130"/>
  <c r="BM101" i="131"/>
  <c r="BM103" i="131"/>
  <c r="BM97" i="131"/>
  <c r="BM88" i="131"/>
  <c r="BM37" i="130"/>
  <c r="BM9" i="132"/>
  <c r="BM8" i="130"/>
  <c r="BM9" i="130"/>
  <c r="BM43" i="130"/>
  <c r="BM43" i="132"/>
  <c r="BM19" i="131"/>
  <c r="BM43" i="131"/>
  <c r="BM25" i="132"/>
  <c r="BM34" i="131"/>
  <c r="BM42" i="131"/>
  <c r="BM32" i="131"/>
  <c r="BM30" i="131"/>
  <c r="BM35" i="132"/>
  <c r="BM25" i="130"/>
  <c r="BM25" i="131"/>
  <c r="BM17" i="130"/>
  <c r="BM20" i="130"/>
  <c r="BM36" i="131"/>
  <c r="BM31" i="130"/>
  <c r="BM31" i="132"/>
  <c r="BM17" i="131"/>
  <c r="BM31" i="131"/>
  <c r="BM20" i="131"/>
  <c r="BM20" i="132"/>
  <c r="BM36" i="130"/>
  <c r="BM36" i="132"/>
  <c r="BK5" i="126" l="1"/>
  <c r="DC13" i="126"/>
  <c r="CF91" i="126"/>
  <c r="AQ91" i="126"/>
  <c r="BM94" i="126"/>
  <c r="DA94" i="126"/>
  <c r="CF94" i="126"/>
  <c r="AQ94" i="127"/>
  <c r="DA91" i="126"/>
  <c r="CF91" i="127"/>
  <c r="DA86" i="127"/>
  <c r="CF86" i="127"/>
  <c r="AP44" i="127"/>
  <c r="AP41" i="127" s="1"/>
  <c r="AO5" i="126"/>
  <c r="BM35" i="126"/>
  <c r="BL6" i="126"/>
  <c r="DB6" i="127"/>
  <c r="DC16" i="126"/>
  <c r="DB6" i="126"/>
  <c r="CI35" i="127"/>
  <c r="CH6" i="127"/>
  <c r="DC35" i="127"/>
  <c r="AQ35" i="127"/>
  <c r="DC16" i="127"/>
  <c r="AP44" i="126"/>
  <c r="AP41" i="126" s="1"/>
  <c r="DA45" i="110"/>
  <c r="AQ45" i="110"/>
  <c r="DC13" i="127"/>
  <c r="DA94" i="127"/>
  <c r="CI13" i="127"/>
  <c r="AQ24" i="126"/>
  <c r="AQ16" i="126"/>
  <c r="CF45" i="110"/>
  <c r="CI7" i="127"/>
  <c r="CE44" i="127"/>
  <c r="BM16" i="126"/>
  <c r="BM24" i="127"/>
  <c r="BM94" i="127"/>
  <c r="AP6" i="127"/>
  <c r="CZ44" i="126"/>
  <c r="CZ41" i="126" s="1"/>
  <c r="CZ5" i="126" s="1"/>
  <c r="DC24" i="126"/>
  <c r="DC7" i="127"/>
  <c r="CF86" i="126"/>
  <c r="DA91" i="127"/>
  <c r="CI24" i="127"/>
  <c r="CI7" i="126"/>
  <c r="BL6" i="127"/>
  <c r="AP6" i="126"/>
  <c r="BK41" i="127"/>
  <c r="BK5" i="127" s="1"/>
  <c r="AQ86" i="126"/>
  <c r="AQ16" i="127"/>
  <c r="AQ7" i="126"/>
  <c r="AQ35" i="126"/>
  <c r="Q79" i="126"/>
  <c r="AO78" i="133" s="1"/>
  <c r="R79" i="126"/>
  <c r="S79" i="126"/>
  <c r="BN39" i="132"/>
  <c r="BN39" i="130"/>
  <c r="BN39" i="131"/>
  <c r="BN58" i="132"/>
  <c r="BN67" i="132"/>
  <c r="BN59" i="132"/>
  <c r="BN85" i="131"/>
  <c r="BN58" i="131"/>
  <c r="BN87" i="130"/>
  <c r="BN58" i="130"/>
  <c r="BN85" i="132"/>
  <c r="BN87" i="132"/>
  <c r="BN86" i="131"/>
  <c r="BN60" i="131"/>
  <c r="BN86" i="130"/>
  <c r="BN67" i="130"/>
  <c r="BN60" i="132"/>
  <c r="BN67" i="131"/>
  <c r="BN57" i="130"/>
  <c r="BN57" i="131"/>
  <c r="BN59" i="130"/>
  <c r="BN87" i="131"/>
  <c r="BN85" i="130"/>
  <c r="BN86" i="132"/>
  <c r="BN45" i="132"/>
  <c r="BN45" i="131"/>
  <c r="BN45" i="130"/>
  <c r="BN79" i="132"/>
  <c r="BN70" i="131"/>
  <c r="BN61" i="131"/>
  <c r="BN53" i="131"/>
  <c r="BN53" i="130"/>
  <c r="BN55" i="130"/>
  <c r="BN54" i="131"/>
  <c r="BN54" i="132"/>
  <c r="BN74" i="131"/>
  <c r="BN71" i="131"/>
  <c r="BN52" i="131"/>
  <c r="BN51" i="132"/>
  <c r="BN55" i="132"/>
  <c r="BN83" i="130"/>
  <c r="BN71" i="132"/>
  <c r="BN73" i="132"/>
  <c r="BN84" i="130"/>
  <c r="BN84" i="132"/>
  <c r="BN72" i="132"/>
  <c r="BN53" i="132"/>
  <c r="BN66" i="130"/>
  <c r="BN83" i="131"/>
  <c r="BN74" i="130"/>
  <c r="BN66" i="131"/>
  <c r="BN55" i="131"/>
  <c r="BN68" i="131"/>
  <c r="BN73" i="131"/>
  <c r="BN54" i="130"/>
  <c r="BN74" i="132"/>
  <c r="BN66" i="132"/>
  <c r="BN84" i="131"/>
  <c r="BN52" i="132"/>
  <c r="BN83" i="132"/>
  <c r="BN71" i="130"/>
  <c r="BN72" i="130"/>
  <c r="BN52" i="130"/>
  <c r="BN51" i="130"/>
  <c r="BN51" i="131"/>
  <c r="BN69" i="131"/>
  <c r="BN62" i="131"/>
  <c r="BN73" i="130"/>
  <c r="BN72" i="131"/>
  <c r="BN68" i="132"/>
  <c r="BN62" i="132"/>
  <c r="BN62" i="130"/>
  <c r="BN79" i="131"/>
  <c r="BN68" i="130"/>
  <c r="BN70" i="130"/>
  <c r="BN69" i="132"/>
  <c r="BN70" i="132"/>
  <c r="BN61" i="132"/>
  <c r="BN79" i="130"/>
  <c r="BN61" i="130"/>
  <c r="BN69" i="130"/>
  <c r="BN60" i="130"/>
  <c r="BN57" i="132"/>
  <c r="BN59" i="131"/>
  <c r="BN44" i="131"/>
  <c r="CJ23" i="127"/>
  <c r="CJ23" i="110"/>
  <c r="CJ23" i="126"/>
  <c r="CJ33" i="127"/>
  <c r="CJ33" i="126"/>
  <c r="CJ12" i="127"/>
  <c r="CJ12" i="126"/>
  <c r="CJ33" i="110"/>
  <c r="CJ20" i="127"/>
  <c r="CJ20" i="126"/>
  <c r="CJ20" i="110"/>
  <c r="CJ21" i="127"/>
  <c r="CJ21" i="126"/>
  <c r="CJ21" i="110"/>
  <c r="CJ22" i="127"/>
  <c r="CJ40" i="127"/>
  <c r="CJ15" i="127"/>
  <c r="CJ9" i="126"/>
  <c r="CJ11" i="126"/>
  <c r="CJ29" i="127"/>
  <c r="CJ22" i="126"/>
  <c r="CJ22" i="110"/>
  <c r="CJ32" i="127"/>
  <c r="CJ32" i="126"/>
  <c r="CJ31" i="126"/>
  <c r="CJ14" i="127"/>
  <c r="CJ8" i="127"/>
  <c r="CJ27" i="126"/>
  <c r="CJ29" i="126"/>
  <c r="CJ38" i="127"/>
  <c r="CJ14" i="126"/>
  <c r="CJ37" i="126"/>
  <c r="CJ37" i="127"/>
  <c r="CJ8" i="126"/>
  <c r="CJ11" i="127"/>
  <c r="CJ28" i="126"/>
  <c r="CJ38" i="126"/>
  <c r="CJ9" i="127"/>
  <c r="CJ40" i="126"/>
  <c r="CJ15" i="126"/>
  <c r="CJ27" i="127"/>
  <c r="CJ28" i="127"/>
  <c r="CJ31" i="127"/>
  <c r="CJ34" i="126"/>
  <c r="CJ34" i="127"/>
  <c r="CJ17" i="127"/>
  <c r="CJ39" i="127"/>
  <c r="CJ30" i="127"/>
  <c r="CJ39" i="126"/>
  <c r="CJ42" i="126"/>
  <c r="CJ10" i="126"/>
  <c r="CJ10" i="127"/>
  <c r="CJ30" i="126"/>
  <c r="CJ17" i="126"/>
  <c r="CJ42" i="127"/>
  <c r="CJ18" i="127"/>
  <c r="CJ18" i="126"/>
  <c r="CJ25" i="127"/>
  <c r="CJ36" i="127"/>
  <c r="CJ26" i="126"/>
  <c r="CJ26" i="127"/>
  <c r="CJ36" i="126"/>
  <c r="CJ25" i="126"/>
  <c r="CJ19" i="126"/>
  <c r="CJ19" i="127"/>
  <c r="CH6" i="126"/>
  <c r="Q13" i="127"/>
  <c r="AP12" i="133" s="1"/>
  <c r="R13" i="127"/>
  <c r="S13" i="127"/>
  <c r="BM86" i="127"/>
  <c r="BM35" i="127"/>
  <c r="BM24" i="126"/>
  <c r="BM91" i="126"/>
  <c r="BM45" i="127"/>
  <c r="BM45" i="110"/>
  <c r="DC24" i="127"/>
  <c r="CF94" i="127"/>
  <c r="DA45" i="127"/>
  <c r="DA45" i="126"/>
  <c r="CI24" i="126"/>
  <c r="CI13" i="126"/>
  <c r="Q48" i="110"/>
  <c r="AN47" i="133" s="1"/>
  <c r="R48" i="110"/>
  <c r="S48" i="110"/>
  <c r="AQ45" i="126"/>
  <c r="S80" i="126"/>
  <c r="R80" i="126"/>
  <c r="Q80" i="126"/>
  <c r="AO79" i="133" s="1"/>
  <c r="Q63" i="126"/>
  <c r="AO62" i="133" s="1"/>
  <c r="R63" i="126"/>
  <c r="S63" i="126"/>
  <c r="BL44" i="127"/>
  <c r="BL41" i="127" s="1"/>
  <c r="CE44" i="126"/>
  <c r="CG58" i="127"/>
  <c r="CG55" i="126"/>
  <c r="DB58" i="127"/>
  <c r="CG56" i="127"/>
  <c r="DB85" i="126"/>
  <c r="DB84" i="127"/>
  <c r="CG83" i="126"/>
  <c r="DB57" i="126"/>
  <c r="DB55" i="126"/>
  <c r="CG84" i="127"/>
  <c r="CG57" i="126"/>
  <c r="DB83" i="126"/>
  <c r="DB56" i="127"/>
  <c r="DB55" i="127"/>
  <c r="CG57" i="127"/>
  <c r="DB57" i="127"/>
  <c r="CG85" i="126"/>
  <c r="CG55" i="127"/>
  <c r="DB83" i="127"/>
  <c r="CG56" i="126"/>
  <c r="CG58" i="126"/>
  <c r="CG83" i="127"/>
  <c r="DB85" i="127"/>
  <c r="DB84" i="126"/>
  <c r="CG84" i="110"/>
  <c r="DB57" i="110"/>
  <c r="DB65" i="110"/>
  <c r="CG58" i="110"/>
  <c r="CG55" i="110"/>
  <c r="DB65" i="126"/>
  <c r="DB65" i="127"/>
  <c r="DB84" i="110"/>
  <c r="DB85" i="110"/>
  <c r="DB56" i="110"/>
  <c r="CG65" i="126"/>
  <c r="DB56" i="126"/>
  <c r="CG83" i="110"/>
  <c r="CG65" i="110"/>
  <c r="CG85" i="127"/>
  <c r="DB83" i="110"/>
  <c r="DB55" i="110"/>
  <c r="CG57" i="110"/>
  <c r="DB58" i="126"/>
  <c r="CG65" i="127"/>
  <c r="CG84" i="126"/>
  <c r="CG85" i="110"/>
  <c r="DB58" i="110"/>
  <c r="CG56" i="110"/>
  <c r="CG62" i="110"/>
  <c r="DB80" i="110"/>
  <c r="DB75" i="110"/>
  <c r="DB76" i="110"/>
  <c r="CG76" i="126"/>
  <c r="DB74" i="127"/>
  <c r="CG74" i="127"/>
  <c r="DB73" i="110"/>
  <c r="CG73" i="110"/>
  <c r="CG61" i="110"/>
  <c r="CG54" i="126"/>
  <c r="CG54" i="127"/>
  <c r="DB75" i="127"/>
  <c r="CG63" i="110"/>
  <c r="CG80" i="110"/>
  <c r="DB78" i="110"/>
  <c r="DB76" i="126"/>
  <c r="DB74" i="110"/>
  <c r="DB73" i="127"/>
  <c r="DB63" i="110"/>
  <c r="CG75" i="110"/>
  <c r="CG54" i="110"/>
  <c r="CG75" i="126"/>
  <c r="DB76" i="127"/>
  <c r="DB73" i="126"/>
  <c r="DB47" i="126"/>
  <c r="CG75" i="127"/>
  <c r="CG76" i="110"/>
  <c r="CG74" i="110"/>
  <c r="DB61" i="110"/>
  <c r="CG79" i="110"/>
  <c r="DB54" i="110"/>
  <c r="DB54" i="126"/>
  <c r="CG76" i="127"/>
  <c r="DB74" i="126"/>
  <c r="CG74" i="126"/>
  <c r="CG47" i="110"/>
  <c r="DB75" i="126"/>
  <c r="DB47" i="110"/>
  <c r="CG47" i="126"/>
  <c r="DB54" i="127"/>
  <c r="CG73" i="126"/>
  <c r="DB47" i="127"/>
  <c r="DB62" i="110"/>
  <c r="CG78" i="110"/>
  <c r="CG73" i="127"/>
  <c r="DB79" i="110"/>
  <c r="CG47" i="127"/>
  <c r="CG67" i="127"/>
  <c r="DB63" i="127"/>
  <c r="DB59" i="127"/>
  <c r="DB59" i="126"/>
  <c r="DB67" i="126"/>
  <c r="DB61" i="126"/>
  <c r="CG63" i="127"/>
  <c r="CG63" i="126"/>
  <c r="CG70" i="126"/>
  <c r="DB70" i="127"/>
  <c r="DB66" i="110"/>
  <c r="DB66" i="127"/>
  <c r="CG59" i="127"/>
  <c r="CG79" i="126"/>
  <c r="DB79" i="126"/>
  <c r="CG70" i="127"/>
  <c r="CG62" i="126"/>
  <c r="CG80" i="127"/>
  <c r="DB64" i="126"/>
  <c r="DB81" i="127"/>
  <c r="CG59" i="126"/>
  <c r="CG67" i="126"/>
  <c r="DB63" i="126"/>
  <c r="CG66" i="110"/>
  <c r="CG66" i="127"/>
  <c r="CG68" i="126"/>
  <c r="DB67" i="127"/>
  <c r="DB64" i="127"/>
  <c r="CG82" i="126"/>
  <c r="CG61" i="127"/>
  <c r="DB60" i="127"/>
  <c r="DB66" i="126"/>
  <c r="DB68" i="127"/>
  <c r="DB68" i="110"/>
  <c r="DB78" i="126"/>
  <c r="DB68" i="126"/>
  <c r="CG64" i="126"/>
  <c r="CG81" i="127"/>
  <c r="CG69" i="127"/>
  <c r="CG59" i="110"/>
  <c r="CG67" i="110"/>
  <c r="DB67" i="110"/>
  <c r="DB61" i="127"/>
  <c r="CG79" i="127"/>
  <c r="DB70" i="126"/>
  <c r="CG60" i="126"/>
  <c r="DB62" i="126"/>
  <c r="DB69" i="127"/>
  <c r="DB71" i="110"/>
  <c r="CG71" i="110"/>
  <c r="CG71" i="127"/>
  <c r="CG60" i="127"/>
  <c r="CG66" i="126"/>
  <c r="CG78" i="126"/>
  <c r="CG78" i="127"/>
  <c r="DB64" i="110"/>
  <c r="CG81" i="110"/>
  <c r="CG81" i="126"/>
  <c r="CG69" i="126"/>
  <c r="DB60" i="126"/>
  <c r="CG72" i="126"/>
  <c r="DB62" i="127"/>
  <c r="DB71" i="127"/>
  <c r="DB82" i="126"/>
  <c r="DB72" i="126"/>
  <c r="DB59" i="110"/>
  <c r="CG70" i="110"/>
  <c r="DB70" i="110"/>
  <c r="DB60" i="110"/>
  <c r="CG60" i="110"/>
  <c r="DB80" i="126"/>
  <c r="DB81" i="110"/>
  <c r="DB81" i="126"/>
  <c r="DB69" i="110"/>
  <c r="DB69" i="126"/>
  <c r="DB71" i="126"/>
  <c r="CG71" i="126"/>
  <c r="CG89" i="127"/>
  <c r="CG51" i="126"/>
  <c r="DB46" i="127"/>
  <c r="CG46" i="127"/>
  <c r="CG50" i="127"/>
  <c r="CG49" i="110"/>
  <c r="CG48" i="127"/>
  <c r="CG49" i="126"/>
  <c r="DB52" i="127"/>
  <c r="CG52" i="127"/>
  <c r="CG92" i="126"/>
  <c r="DB92" i="126"/>
  <c r="CG48" i="126"/>
  <c r="DB89" i="126"/>
  <c r="DB53" i="127"/>
  <c r="DB80" i="127"/>
  <c r="CG68" i="110"/>
  <c r="CG69" i="110"/>
  <c r="DB82" i="110"/>
  <c r="CG82" i="110"/>
  <c r="CG72" i="127"/>
  <c r="DB72" i="127"/>
  <c r="DB53" i="126"/>
  <c r="CG49" i="127"/>
  <c r="DB92" i="127"/>
  <c r="DB50" i="127"/>
  <c r="DB51" i="127"/>
  <c r="CG61" i="126"/>
  <c r="DB79" i="127"/>
  <c r="CG68" i="127"/>
  <c r="CG80" i="126"/>
  <c r="CG64" i="110"/>
  <c r="CG82" i="127"/>
  <c r="DB82" i="127"/>
  <c r="CG72" i="110"/>
  <c r="CG46" i="126"/>
  <c r="CG52" i="126"/>
  <c r="CG53" i="126"/>
  <c r="CG92" i="127"/>
  <c r="DB48" i="110"/>
  <c r="DB49" i="110"/>
  <c r="CG51" i="127"/>
  <c r="DB48" i="127"/>
  <c r="CG93" i="126"/>
  <c r="DB52" i="110"/>
  <c r="CG52" i="110"/>
  <c r="DB50" i="126"/>
  <c r="CG64" i="127"/>
  <c r="CG62" i="127"/>
  <c r="DB72" i="110"/>
  <c r="DB46" i="126"/>
  <c r="DB51" i="126"/>
  <c r="DB93" i="127"/>
  <c r="DB50" i="110"/>
  <c r="DB52" i="126"/>
  <c r="DB93" i="126"/>
  <c r="CG50" i="126"/>
  <c r="DB89" i="127"/>
  <c r="CG89" i="126"/>
  <c r="DB49" i="126"/>
  <c r="DB78" i="127"/>
  <c r="DB49" i="127"/>
  <c r="CG48" i="110"/>
  <c r="DB53" i="110"/>
  <c r="CG53" i="110"/>
  <c r="DB51" i="110"/>
  <c r="CG51" i="110"/>
  <c r="DB48" i="126"/>
  <c r="CG93" i="127"/>
  <c r="CG50" i="110"/>
  <c r="CG53" i="127"/>
  <c r="CG77" i="126"/>
  <c r="CG87" i="127"/>
  <c r="DB87" i="127"/>
  <c r="CG95" i="127"/>
  <c r="DB87" i="126"/>
  <c r="CG77" i="127"/>
  <c r="DB77" i="110"/>
  <c r="DB96" i="126"/>
  <c r="CG96" i="126"/>
  <c r="DB95" i="127"/>
  <c r="DB88" i="127"/>
  <c r="CG77" i="110"/>
  <c r="DB77" i="127"/>
  <c r="DB77" i="126"/>
  <c r="CG96" i="127"/>
  <c r="DB96" i="127"/>
  <c r="CG87" i="126"/>
  <c r="DB88" i="126"/>
  <c r="CG95" i="126"/>
  <c r="DB95" i="126"/>
  <c r="DB94" i="126" s="1"/>
  <c r="CG88" i="127"/>
  <c r="CG88" i="126"/>
  <c r="CG43" i="127"/>
  <c r="DB43" i="127"/>
  <c r="DB43" i="126"/>
  <c r="CG43" i="126"/>
  <c r="DB90" i="126"/>
  <c r="DB90" i="127"/>
  <c r="CG90" i="126"/>
  <c r="CG90" i="127"/>
  <c r="DD23" i="110"/>
  <c r="DD23" i="126"/>
  <c r="DD23" i="127"/>
  <c r="DD33" i="127"/>
  <c r="DD33" i="126"/>
  <c r="DD12" i="126"/>
  <c r="DD12" i="127"/>
  <c r="DD33" i="110"/>
  <c r="DD20" i="127"/>
  <c r="DD20" i="126"/>
  <c r="DD20" i="110"/>
  <c r="DD21" i="127"/>
  <c r="DD21" i="126"/>
  <c r="DD21" i="110"/>
  <c r="DD22" i="126"/>
  <c r="DD22" i="110"/>
  <c r="DD22" i="127"/>
  <c r="DD32" i="126"/>
  <c r="DD15" i="127"/>
  <c r="DD27" i="126"/>
  <c r="DD31" i="127"/>
  <c r="DD27" i="127"/>
  <c r="DD28" i="127"/>
  <c r="DD31" i="126"/>
  <c r="DD8" i="127"/>
  <c r="DD8" i="126"/>
  <c r="DD29" i="126"/>
  <c r="DD38" i="126"/>
  <c r="DD15" i="126"/>
  <c r="DD37" i="126"/>
  <c r="DD32" i="127"/>
  <c r="DD9" i="127"/>
  <c r="DD38" i="127"/>
  <c r="DD14" i="126"/>
  <c r="DD11" i="127"/>
  <c r="DD40" i="127"/>
  <c r="DD40" i="126"/>
  <c r="DD9" i="126"/>
  <c r="DD11" i="126"/>
  <c r="DD14" i="127"/>
  <c r="DD28" i="126"/>
  <c r="DD37" i="127"/>
  <c r="DD29" i="127"/>
  <c r="DD34" i="127"/>
  <c r="DD34" i="126"/>
  <c r="DD42" i="127"/>
  <c r="DD10" i="127"/>
  <c r="DD17" i="127"/>
  <c r="DD30" i="127"/>
  <c r="DD39" i="127"/>
  <c r="DD42" i="126"/>
  <c r="DD10" i="126"/>
  <c r="DD39" i="126"/>
  <c r="DD30" i="126"/>
  <c r="DD17" i="126"/>
  <c r="DD18" i="126"/>
  <c r="DD18" i="127"/>
  <c r="DD25" i="126"/>
  <c r="DD36" i="127"/>
  <c r="DD36" i="126"/>
  <c r="DD25" i="127"/>
  <c r="DD26" i="126"/>
  <c r="DD26" i="127"/>
  <c r="DD19" i="127"/>
  <c r="DD19" i="126"/>
  <c r="BN23" i="127"/>
  <c r="BN23" i="110"/>
  <c r="BN23" i="126"/>
  <c r="BN58" i="127"/>
  <c r="BN83" i="126"/>
  <c r="BN56" i="127"/>
  <c r="BN55" i="126"/>
  <c r="BN84" i="127"/>
  <c r="BN57" i="126"/>
  <c r="BN85" i="126"/>
  <c r="BN83" i="127"/>
  <c r="BN65" i="126"/>
  <c r="BN58" i="126"/>
  <c r="BN85" i="127"/>
  <c r="BN56" i="126"/>
  <c r="BN55" i="127"/>
  <c r="BN83" i="110"/>
  <c r="BN56" i="110"/>
  <c r="BN65" i="110"/>
  <c r="BN84" i="126"/>
  <c r="BN65" i="127"/>
  <c r="BN85" i="110"/>
  <c r="BN57" i="127"/>
  <c r="BN84" i="110"/>
  <c r="BN58" i="110"/>
  <c r="BN55" i="110"/>
  <c r="BN57" i="110"/>
  <c r="BN20" i="126"/>
  <c r="BN20" i="127"/>
  <c r="BN20" i="110"/>
  <c r="BN21" i="127"/>
  <c r="BN21" i="126"/>
  <c r="BN21" i="110"/>
  <c r="BN47" i="127"/>
  <c r="Z47" i="127" s="1"/>
  <c r="BN22" i="126"/>
  <c r="BN22" i="127"/>
  <c r="BN22" i="110"/>
  <c r="BN67" i="127"/>
  <c r="BN70" i="127"/>
  <c r="BN70" i="126"/>
  <c r="BN66" i="110"/>
  <c r="BN68" i="126"/>
  <c r="BN64" i="126"/>
  <c r="BN64" i="127"/>
  <c r="BN59" i="126"/>
  <c r="BN67" i="126"/>
  <c r="BN60" i="126"/>
  <c r="BN69" i="127"/>
  <c r="BN82" i="126"/>
  <c r="BN59" i="110"/>
  <c r="BN60" i="110"/>
  <c r="BN66" i="126"/>
  <c r="BN59" i="127"/>
  <c r="BN67" i="110"/>
  <c r="BN72" i="126"/>
  <c r="BN64" i="110"/>
  <c r="BN69" i="110"/>
  <c r="BN71" i="110"/>
  <c r="BN60" i="127"/>
  <c r="BN68" i="127"/>
  <c r="BN81" i="127"/>
  <c r="BN71" i="127"/>
  <c r="BN68" i="110"/>
  <c r="BN53" i="126"/>
  <c r="BN49" i="127"/>
  <c r="BN50" i="127"/>
  <c r="BN93" i="126"/>
  <c r="BN50" i="126"/>
  <c r="BN52" i="127"/>
  <c r="BN51" i="110"/>
  <c r="BN70" i="110"/>
  <c r="BN81" i="110"/>
  <c r="BN52" i="126"/>
  <c r="BN46" i="127"/>
  <c r="BN48" i="127"/>
  <c r="Z48" i="127" s="1"/>
  <c r="BN69" i="126"/>
  <c r="BN71" i="126"/>
  <c r="BN82" i="110"/>
  <c r="BN72" i="110"/>
  <c r="BN52" i="110"/>
  <c r="BN72" i="127"/>
  <c r="BN92" i="126"/>
  <c r="BN89" i="126"/>
  <c r="BN51" i="126"/>
  <c r="BN49" i="110"/>
  <c r="BN53" i="127"/>
  <c r="BN66" i="127"/>
  <c r="BN82" i="127"/>
  <c r="BN89" i="127"/>
  <c r="BN49" i="126"/>
  <c r="BN53" i="110"/>
  <c r="BN93" i="127"/>
  <c r="BN92" i="127"/>
  <c r="BN51" i="127"/>
  <c r="BN50" i="110"/>
  <c r="BN81" i="126"/>
  <c r="BN77" i="110"/>
  <c r="BN87" i="126"/>
  <c r="BN88" i="127"/>
  <c r="BN87" i="127"/>
  <c r="BN96" i="126"/>
  <c r="BN88" i="126"/>
  <c r="BN95" i="126"/>
  <c r="BN96" i="127"/>
  <c r="BN77" i="127"/>
  <c r="BN77" i="126"/>
  <c r="BN95" i="127"/>
  <c r="BN17" i="127"/>
  <c r="BN42" i="126"/>
  <c r="BN10" i="126"/>
  <c r="BN7" i="126" s="1"/>
  <c r="BN39" i="126"/>
  <c r="BN39" i="127"/>
  <c r="BN30" i="127"/>
  <c r="BN10" i="127"/>
  <c r="BN7" i="127" s="1"/>
  <c r="BN42" i="127"/>
  <c r="BN30" i="126"/>
  <c r="BN17" i="126"/>
  <c r="BN18" i="126"/>
  <c r="BN18" i="127"/>
  <c r="BN36" i="126"/>
  <c r="BN36" i="127"/>
  <c r="BN25" i="126"/>
  <c r="BN25" i="127"/>
  <c r="BN43" i="126"/>
  <c r="BN26" i="126"/>
  <c r="BN26" i="127"/>
  <c r="BN43" i="127"/>
  <c r="BN19" i="127"/>
  <c r="BN90" i="127"/>
  <c r="BN19" i="126"/>
  <c r="BN90" i="126"/>
  <c r="AQ39" i="132"/>
  <c r="AQ39" i="131"/>
  <c r="AQ39" i="130"/>
  <c r="AR23" i="110"/>
  <c r="AR23" i="126"/>
  <c r="AR23" i="127"/>
  <c r="AR58" i="127"/>
  <c r="AR56" i="127"/>
  <c r="AQ59" i="132"/>
  <c r="AR83" i="126"/>
  <c r="AQ57" i="132"/>
  <c r="AQ60" i="132"/>
  <c r="AQ86" i="132"/>
  <c r="AQ59" i="131"/>
  <c r="AQ85" i="130"/>
  <c r="AQ59" i="130"/>
  <c r="AR84" i="127"/>
  <c r="AQ58" i="132"/>
  <c r="AQ85" i="132"/>
  <c r="AQ86" i="131"/>
  <c r="AQ87" i="131"/>
  <c r="AQ67" i="131"/>
  <c r="AQ58" i="131"/>
  <c r="AQ60" i="131"/>
  <c r="AQ57" i="130"/>
  <c r="AQ67" i="132"/>
  <c r="AQ57" i="131"/>
  <c r="AQ87" i="130"/>
  <c r="AQ58" i="130"/>
  <c r="AR57" i="126"/>
  <c r="AQ87" i="132"/>
  <c r="AQ60" i="130"/>
  <c r="AQ85" i="131"/>
  <c r="AQ67" i="130"/>
  <c r="AR55" i="126"/>
  <c r="AR57" i="127"/>
  <c r="AQ86" i="130"/>
  <c r="AR65" i="126"/>
  <c r="AR58" i="126"/>
  <c r="AR84" i="126"/>
  <c r="AR83" i="127"/>
  <c r="AR85" i="127"/>
  <c r="AR56" i="126"/>
  <c r="AR55" i="127"/>
  <c r="AR65" i="127"/>
  <c r="AR83" i="110"/>
  <c r="AR57" i="110"/>
  <c r="AR56" i="110"/>
  <c r="AR85" i="110"/>
  <c r="AR58" i="110"/>
  <c r="AR65" i="110"/>
  <c r="AR55" i="110"/>
  <c r="AR85" i="126"/>
  <c r="AR84" i="110"/>
  <c r="AR20" i="126"/>
  <c r="AQ45" i="130"/>
  <c r="AQ45" i="131"/>
  <c r="AQ45" i="132"/>
  <c r="AR20" i="110"/>
  <c r="AR21" i="127"/>
  <c r="AR21" i="110"/>
  <c r="AR21" i="126"/>
  <c r="AQ49" i="132"/>
  <c r="AQ49" i="131"/>
  <c r="P49" i="131" s="1"/>
  <c r="N49" i="131" s="1"/>
  <c r="AR47" i="126"/>
  <c r="Y47" i="126" s="1"/>
  <c r="AR47" i="127"/>
  <c r="AR12" i="127"/>
  <c r="Y12" i="127" s="1"/>
  <c r="AQ62" i="131"/>
  <c r="AQ53" i="131"/>
  <c r="AR70" i="127"/>
  <c r="AQ55" i="132"/>
  <c r="AR66" i="110"/>
  <c r="AR59" i="127"/>
  <c r="AR67" i="126"/>
  <c r="AQ72" i="131"/>
  <c r="AR68" i="126"/>
  <c r="AR81" i="127"/>
  <c r="AR59" i="126"/>
  <c r="AR67" i="127"/>
  <c r="AR63" i="127"/>
  <c r="Y63" i="127" s="1"/>
  <c r="AR66" i="127"/>
  <c r="AQ54" i="130"/>
  <c r="AQ66" i="130"/>
  <c r="AQ83" i="132"/>
  <c r="AQ51" i="130"/>
  <c r="AQ84" i="130"/>
  <c r="AQ54" i="132"/>
  <c r="AR79" i="127"/>
  <c r="Y79" i="127" s="1"/>
  <c r="S79" i="127" s="1"/>
  <c r="AQ53" i="132"/>
  <c r="AR70" i="110"/>
  <c r="AQ55" i="131"/>
  <c r="AR60" i="127"/>
  <c r="AR68" i="127"/>
  <c r="AR68" i="110"/>
  <c r="AQ55" i="130"/>
  <c r="AQ52" i="130"/>
  <c r="AQ52" i="132"/>
  <c r="AQ71" i="132"/>
  <c r="AR71" i="127"/>
  <c r="AQ84" i="132"/>
  <c r="AR72" i="126"/>
  <c r="AQ74" i="130"/>
  <c r="AR67" i="110"/>
  <c r="AQ53" i="130"/>
  <c r="AR80" i="127"/>
  <c r="Y80" i="127" s="1"/>
  <c r="AQ74" i="132"/>
  <c r="AR66" i="126"/>
  <c r="AR81" i="126"/>
  <c r="AQ71" i="130"/>
  <c r="AQ71" i="131"/>
  <c r="AR71" i="110"/>
  <c r="AQ72" i="132"/>
  <c r="AQ50" i="132"/>
  <c r="AQ50" i="131"/>
  <c r="P50" i="131" s="1"/>
  <c r="N50" i="131" s="1"/>
  <c r="O50" i="118" s="1"/>
  <c r="AR70" i="126"/>
  <c r="AR64" i="126"/>
  <c r="AR64" i="127"/>
  <c r="AQ83" i="131"/>
  <c r="AQ51" i="131"/>
  <c r="AR59" i="110"/>
  <c r="AR60" i="110"/>
  <c r="AR60" i="126"/>
  <c r="AQ72" i="130"/>
  <c r="AR64" i="110"/>
  <c r="AQ83" i="130"/>
  <c r="AQ73" i="130"/>
  <c r="AQ51" i="132"/>
  <c r="AQ84" i="131"/>
  <c r="AR72" i="110"/>
  <c r="AQ69" i="131"/>
  <c r="AR89" i="127"/>
  <c r="AR49" i="110"/>
  <c r="AR93" i="126"/>
  <c r="AR52" i="110"/>
  <c r="AR50" i="126"/>
  <c r="AR52" i="127"/>
  <c r="AR48" i="126"/>
  <c r="Y48" i="126" s="1"/>
  <c r="AR82" i="126"/>
  <c r="AQ54" i="131"/>
  <c r="AQ66" i="132"/>
  <c r="AQ52" i="131"/>
  <c r="AR69" i="126"/>
  <c r="AR82" i="110"/>
  <c r="AR72" i="127"/>
  <c r="AQ61" i="131"/>
  <c r="AR51" i="126"/>
  <c r="AR53" i="126"/>
  <c r="AR46" i="127"/>
  <c r="AR92" i="127"/>
  <c r="AR48" i="127"/>
  <c r="AR61" i="127"/>
  <c r="Y61" i="127" s="1"/>
  <c r="AR62" i="127"/>
  <c r="Y62" i="127" s="1"/>
  <c r="AR71" i="126"/>
  <c r="AQ73" i="131"/>
  <c r="AQ70" i="131"/>
  <c r="AR46" i="126"/>
  <c r="AR93" i="127"/>
  <c r="AR51" i="127"/>
  <c r="AR82" i="127"/>
  <c r="AR49" i="126"/>
  <c r="AR53" i="110"/>
  <c r="AR89" i="126"/>
  <c r="AQ65" i="132"/>
  <c r="P65" i="132" s="1"/>
  <c r="N65" i="132" s="1"/>
  <c r="P65" i="118" s="1"/>
  <c r="AQ64" i="132"/>
  <c r="P64" i="132" s="1"/>
  <c r="N64" i="132" s="1"/>
  <c r="P64" i="118" s="1"/>
  <c r="AQ68" i="131"/>
  <c r="AQ61" i="130"/>
  <c r="AQ62" i="130"/>
  <c r="AQ62" i="132"/>
  <c r="AQ73" i="132"/>
  <c r="AR69" i="110"/>
  <c r="AR52" i="126"/>
  <c r="AR49" i="127"/>
  <c r="AR50" i="127"/>
  <c r="AR53" i="127"/>
  <c r="AQ80" i="132"/>
  <c r="P80" i="132" s="1"/>
  <c r="N80" i="132" s="1"/>
  <c r="P80" i="118" s="1"/>
  <c r="AQ68" i="132"/>
  <c r="AQ68" i="130"/>
  <c r="AR81" i="110"/>
  <c r="AQ74" i="131"/>
  <c r="AQ70" i="132"/>
  <c r="AR69" i="127"/>
  <c r="AR78" i="127"/>
  <c r="Y78" i="127" s="1"/>
  <c r="AQ66" i="131"/>
  <c r="AR51" i="110"/>
  <c r="AR92" i="126"/>
  <c r="AR91" i="126" s="1"/>
  <c r="AQ61" i="132"/>
  <c r="AQ69" i="132"/>
  <c r="AQ63" i="132"/>
  <c r="P63" i="132" s="1"/>
  <c r="N63" i="132" s="1"/>
  <c r="P63" i="118" s="1"/>
  <c r="AQ79" i="132"/>
  <c r="AQ69" i="130"/>
  <c r="AQ70" i="130"/>
  <c r="AR50" i="110"/>
  <c r="AQ81" i="132"/>
  <c r="P81" i="132" s="1"/>
  <c r="N81" i="132" s="1"/>
  <c r="P81" i="118" s="1"/>
  <c r="AQ82" i="132"/>
  <c r="P82" i="132" s="1"/>
  <c r="N82" i="132" s="1"/>
  <c r="P82" i="118" s="1"/>
  <c r="AR77" i="127"/>
  <c r="AR77" i="110"/>
  <c r="AR77" i="126"/>
  <c r="AQ79" i="130"/>
  <c r="AR96" i="126"/>
  <c r="AR87" i="126"/>
  <c r="AR95" i="127"/>
  <c r="AR87" i="127"/>
  <c r="AR96" i="127"/>
  <c r="AR88" i="127"/>
  <c r="AQ79" i="131"/>
  <c r="AR88" i="126"/>
  <c r="AR95" i="126"/>
  <c r="AR94" i="126" s="1"/>
  <c r="AR42" i="126"/>
  <c r="AR20" i="127"/>
  <c r="AR22" i="126"/>
  <c r="AR22" i="110"/>
  <c r="AR22" i="127"/>
  <c r="AR42" i="127"/>
  <c r="AR17" i="126"/>
  <c r="AR17" i="127"/>
  <c r="AR39" i="126"/>
  <c r="AR30" i="126"/>
  <c r="AR18" i="126"/>
  <c r="AR30" i="127"/>
  <c r="AR29" i="127"/>
  <c r="Y29" i="127" s="1"/>
  <c r="AR39" i="127"/>
  <c r="AR9" i="127"/>
  <c r="Y9" i="127" s="1"/>
  <c r="AR18" i="127"/>
  <c r="AQ44" i="131"/>
  <c r="AR26" i="127"/>
  <c r="AR36" i="126"/>
  <c r="AR36" i="127"/>
  <c r="AR26" i="126"/>
  <c r="AR43" i="127"/>
  <c r="AR19" i="126"/>
  <c r="AR10" i="127"/>
  <c r="AR10" i="126"/>
  <c r="AR7" i="126" s="1"/>
  <c r="AR43" i="126"/>
  <c r="AR25" i="126"/>
  <c r="AR90" i="126"/>
  <c r="AR19" i="127"/>
  <c r="AR90" i="127"/>
  <c r="AR25" i="127"/>
  <c r="BM86" i="126"/>
  <c r="BM7" i="127"/>
  <c r="Z9" i="127"/>
  <c r="BM91" i="127"/>
  <c r="DC35" i="126"/>
  <c r="DC7" i="126"/>
  <c r="DA86" i="126"/>
  <c r="CF45" i="126"/>
  <c r="CI16" i="126"/>
  <c r="CI35" i="126"/>
  <c r="AO41" i="127"/>
  <c r="AQ24" i="127"/>
  <c r="AQ7" i="127"/>
  <c r="R9" i="126"/>
  <c r="Q9" i="126"/>
  <c r="S9" i="126"/>
  <c r="AQ94" i="126"/>
  <c r="AQ45" i="127"/>
  <c r="S78" i="126"/>
  <c r="Q78" i="126"/>
  <c r="AO77" i="133" s="1"/>
  <c r="R78" i="126"/>
  <c r="S62" i="126"/>
  <c r="R62" i="126"/>
  <c r="Q62" i="126"/>
  <c r="AO61" i="133" s="1"/>
  <c r="Q61" i="126"/>
  <c r="AO60" i="133" s="1"/>
  <c r="S61" i="126"/>
  <c r="R61" i="126"/>
  <c r="CY41" i="126"/>
  <c r="BM16" i="127"/>
  <c r="BM45" i="126"/>
  <c r="Z46" i="126"/>
  <c r="CF45" i="127"/>
  <c r="CI16" i="127"/>
  <c r="BL44" i="126"/>
  <c r="CZ44" i="127"/>
  <c r="AQ86" i="127"/>
  <c r="AQ91" i="127"/>
  <c r="R12" i="126"/>
  <c r="Q12" i="126"/>
  <c r="AO11" i="133" s="1"/>
  <c r="S12" i="126"/>
  <c r="Q47" i="110"/>
  <c r="AN46" i="133" s="1"/>
  <c r="R47" i="110"/>
  <c r="S47" i="110"/>
  <c r="BK5" i="110"/>
  <c r="AO5" i="110"/>
  <c r="BL6" i="110"/>
  <c r="DB6" i="110"/>
  <c r="AP6" i="110"/>
  <c r="CH6" i="110"/>
  <c r="AQ35" i="110"/>
  <c r="AQ91" i="110"/>
  <c r="AQ86" i="110"/>
  <c r="AQ24" i="110"/>
  <c r="CJ9" i="110"/>
  <c r="CJ42" i="110"/>
  <c r="DD9" i="110"/>
  <c r="DD42" i="110"/>
  <c r="AP13" i="133"/>
  <c r="AP44" i="110"/>
  <c r="AP41" i="110" s="1"/>
  <c r="AQ94" i="110"/>
  <c r="BN88" i="132"/>
  <c r="BN89" i="132"/>
  <c r="CG89" i="110"/>
  <c r="DB89" i="110"/>
  <c r="BN89" i="110"/>
  <c r="BN42" i="110"/>
  <c r="R9" i="110"/>
  <c r="Q9" i="110"/>
  <c r="AN8" i="133" s="1"/>
  <c r="S9" i="110"/>
  <c r="AQ16" i="110"/>
  <c r="Y46" i="110"/>
  <c r="O49" i="118"/>
  <c r="AR89" i="110"/>
  <c r="AQ89" i="132"/>
  <c r="AQ88" i="132"/>
  <c r="AR42" i="110"/>
  <c r="AQ18" i="131"/>
  <c r="AQ18" i="130"/>
  <c r="AQ18" i="132"/>
  <c r="AR90" i="110"/>
  <c r="AQ19" i="132"/>
  <c r="AQ48" i="132"/>
  <c r="AQ91" i="132"/>
  <c r="AQ99" i="132"/>
  <c r="AQ101" i="132"/>
  <c r="AQ95" i="130"/>
  <c r="AQ41" i="130"/>
  <c r="AR96" i="110"/>
  <c r="AQ103" i="130"/>
  <c r="AQ17" i="131"/>
  <c r="AR88" i="110"/>
  <c r="AQ100" i="130"/>
  <c r="AQ30" i="130"/>
  <c r="AQ19" i="130"/>
  <c r="AQ90" i="130"/>
  <c r="AR87" i="110"/>
  <c r="AQ41" i="131"/>
  <c r="AR92" i="110"/>
  <c r="AQ91" i="131"/>
  <c r="AQ94" i="131"/>
  <c r="AQ88" i="131"/>
  <c r="AQ48" i="131"/>
  <c r="P48" i="131" s="1"/>
  <c r="N48" i="131" s="1"/>
  <c r="O48" i="118" s="1"/>
  <c r="AQ28" i="132"/>
  <c r="AQ37" i="131"/>
  <c r="AQ43" i="131"/>
  <c r="AQ97" i="131"/>
  <c r="AQ37" i="130"/>
  <c r="AQ32" i="131"/>
  <c r="AQ25" i="132"/>
  <c r="AR30" i="110"/>
  <c r="AQ31" i="130"/>
  <c r="AQ20" i="132"/>
  <c r="AQ10" i="132"/>
  <c r="AR36" i="110"/>
  <c r="AQ31" i="132"/>
  <c r="AR43" i="110"/>
  <c r="AQ43" i="132"/>
  <c r="AQ93" i="132"/>
  <c r="AQ96" i="132"/>
  <c r="AQ103" i="132"/>
  <c r="AQ36" i="130"/>
  <c r="AQ90" i="132"/>
  <c r="AR95" i="110"/>
  <c r="AQ40" i="131"/>
  <c r="AQ34" i="130"/>
  <c r="AQ32" i="130"/>
  <c r="AQ29" i="131"/>
  <c r="AR93" i="110"/>
  <c r="AQ27" i="131"/>
  <c r="AQ5" i="132"/>
  <c r="P5" i="132" s="1"/>
  <c r="N5" i="132" s="1"/>
  <c r="P5" i="118" s="1"/>
  <c r="AQ37" i="132"/>
  <c r="AQ89" i="131"/>
  <c r="AQ19" i="131"/>
  <c r="AQ30" i="131"/>
  <c r="AR10" i="110"/>
  <c r="AR7" i="110" s="1"/>
  <c r="AQ7" i="130"/>
  <c r="P7" i="130" s="1"/>
  <c r="N7" i="130" s="1"/>
  <c r="N7" i="118" s="1"/>
  <c r="AQ9" i="130"/>
  <c r="AQ20" i="131"/>
  <c r="P9" i="109"/>
  <c r="AQ14" i="132"/>
  <c r="P14" i="132" s="1"/>
  <c r="N14" i="132" s="1"/>
  <c r="P14" i="118" s="1"/>
  <c r="AQ97" i="132"/>
  <c r="AQ99" i="130"/>
  <c r="AQ94" i="132"/>
  <c r="AQ92" i="132"/>
  <c r="AQ91" i="130"/>
  <c r="AQ35" i="131"/>
  <c r="AQ104" i="131"/>
  <c r="AQ100" i="131"/>
  <c r="AQ41" i="132"/>
  <c r="AQ29" i="132"/>
  <c r="AQ38" i="132"/>
  <c r="P38" i="132" s="1"/>
  <c r="N38" i="132" s="1"/>
  <c r="P38" i="118" s="1"/>
  <c r="AQ35" i="132"/>
  <c r="AQ12" i="132"/>
  <c r="P12" i="132" s="1"/>
  <c r="N12" i="132" s="1"/>
  <c r="P12" i="118" s="1"/>
  <c r="AQ9" i="132"/>
  <c r="AQ11" i="132"/>
  <c r="P11" i="132" s="1"/>
  <c r="N11" i="132" s="1"/>
  <c r="P11" i="118" s="1"/>
  <c r="AR26" i="110"/>
  <c r="AQ36" i="132"/>
  <c r="AQ104" i="132"/>
  <c r="AQ94" i="130"/>
  <c r="AQ35" i="130"/>
  <c r="AQ43" i="130"/>
  <c r="AQ36" i="131"/>
  <c r="AQ92" i="131"/>
  <c r="AQ101" i="131"/>
  <c r="AQ28" i="131"/>
  <c r="AQ103" i="131"/>
  <c r="AQ33" i="132"/>
  <c r="P33" i="132" s="1"/>
  <c r="N33" i="132" s="1"/>
  <c r="P33" i="118" s="1"/>
  <c r="AQ25" i="131"/>
  <c r="AR25" i="110"/>
  <c r="AQ23" i="132"/>
  <c r="P23" i="132" s="1"/>
  <c r="N23" i="132" s="1"/>
  <c r="P23" i="118" s="1"/>
  <c r="AQ8" i="132"/>
  <c r="AQ102" i="130"/>
  <c r="AQ93" i="130"/>
  <c r="AQ42" i="132"/>
  <c r="AQ93" i="131"/>
  <c r="AQ42" i="131"/>
  <c r="AQ32" i="132"/>
  <c r="AQ10" i="131"/>
  <c r="P10" i="131" s="1"/>
  <c r="N10" i="131" s="1"/>
  <c r="O10" i="118" s="1"/>
  <c r="AQ44" i="132"/>
  <c r="AQ20" i="130"/>
  <c r="AQ95" i="132"/>
  <c r="AQ92" i="130"/>
  <c r="AQ42" i="130"/>
  <c r="AQ40" i="130"/>
  <c r="AQ29" i="130"/>
  <c r="AQ34" i="131"/>
  <c r="AQ95" i="131"/>
  <c r="AQ17" i="132"/>
  <c r="AQ7" i="132"/>
  <c r="AQ44" i="130"/>
  <c r="AR19" i="110"/>
  <c r="AQ102" i="132"/>
  <c r="AR17" i="110"/>
  <c r="AQ104" i="130"/>
  <c r="AQ89" i="130"/>
  <c r="AQ96" i="130"/>
  <c r="AR18" i="110"/>
  <c r="AQ90" i="131"/>
  <c r="AQ96" i="131"/>
  <c r="AQ40" i="132"/>
  <c r="AQ25" i="130"/>
  <c r="AQ8" i="130"/>
  <c r="AQ28" i="130"/>
  <c r="AQ97" i="130"/>
  <c r="AQ102" i="131"/>
  <c r="AQ8" i="131"/>
  <c r="AR39" i="110"/>
  <c r="AQ7" i="131"/>
  <c r="AQ34" i="132"/>
  <c r="AQ100" i="132"/>
  <c r="AQ88" i="130"/>
  <c r="AQ27" i="130"/>
  <c r="AQ17" i="130"/>
  <c r="AQ101" i="130"/>
  <c r="AQ99" i="131"/>
  <c r="AQ9" i="131"/>
  <c r="AQ27" i="132"/>
  <c r="AQ30" i="132"/>
  <c r="AQ31" i="131"/>
  <c r="DC16" i="110"/>
  <c r="BM16" i="110"/>
  <c r="CI16" i="110"/>
  <c r="CZ44" i="110"/>
  <c r="CZ41" i="110" s="1"/>
  <c r="CZ5" i="110" s="1"/>
  <c r="CE44" i="110"/>
  <c r="CE41" i="110" s="1"/>
  <c r="CE5" i="110" s="1"/>
  <c r="BL44" i="110"/>
  <c r="BL41" i="110" s="1"/>
  <c r="BM94" i="110"/>
  <c r="DC35" i="110"/>
  <c r="DC7" i="110"/>
  <c r="BN18" i="131"/>
  <c r="BN18" i="130"/>
  <c r="BN18" i="132"/>
  <c r="BN99" i="130"/>
  <c r="BN44" i="130"/>
  <c r="CJ26" i="110"/>
  <c r="CJ19" i="110"/>
  <c r="DC13" i="110"/>
  <c r="DD19" i="110"/>
  <c r="DD26" i="110"/>
  <c r="DD29" i="110"/>
  <c r="DD34" i="110"/>
  <c r="DD32" i="110"/>
  <c r="DD27" i="110"/>
  <c r="DD25" i="110"/>
  <c r="DD30" i="110"/>
  <c r="DD38" i="110"/>
  <c r="DD37" i="110"/>
  <c r="DD14" i="110"/>
  <c r="DD31" i="110"/>
  <c r="DD17" i="110"/>
  <c r="DD11" i="110"/>
  <c r="DD12" i="110"/>
  <c r="DD40" i="110"/>
  <c r="DD18" i="110"/>
  <c r="DD10" i="110"/>
  <c r="Q15" i="109"/>
  <c r="DD15" i="110"/>
  <c r="DD8" i="110"/>
  <c r="DD36" i="110"/>
  <c r="DD28" i="110"/>
  <c r="DD39" i="110"/>
  <c r="BM24" i="110"/>
  <c r="BN90" i="110"/>
  <c r="BN26" i="110"/>
  <c r="BN19" i="110"/>
  <c r="BN95" i="110"/>
  <c r="BN43" i="110"/>
  <c r="BN92" i="110"/>
  <c r="BN87" i="110"/>
  <c r="BN17" i="110"/>
  <c r="BN93" i="110"/>
  <c r="BN36" i="110"/>
  <c r="BN18" i="110"/>
  <c r="Q11" i="109"/>
  <c r="BN25" i="110"/>
  <c r="BN39" i="110"/>
  <c r="BN88" i="110"/>
  <c r="BN30" i="110"/>
  <c r="BN96" i="110"/>
  <c r="BN10" i="110"/>
  <c r="BN7" i="110" s="1"/>
  <c r="DB46" i="110"/>
  <c r="CG46" i="110"/>
  <c r="DB90" i="110"/>
  <c r="CG90" i="110"/>
  <c r="DC24" i="110"/>
  <c r="BM86" i="110"/>
  <c r="BM35" i="110"/>
  <c r="BM91" i="110"/>
  <c r="CF86" i="110"/>
  <c r="DA94" i="110"/>
  <c r="DA91" i="110"/>
  <c r="CI13" i="110"/>
  <c r="CI35" i="110"/>
  <c r="CF91" i="110"/>
  <c r="DA86" i="110"/>
  <c r="CI7" i="110"/>
  <c r="CI24" i="110"/>
  <c r="CF94" i="110"/>
  <c r="P17" i="109"/>
  <c r="O19" i="109"/>
  <c r="CG87" i="110"/>
  <c r="DB88" i="110"/>
  <c r="CG95" i="110"/>
  <c r="DB93" i="110"/>
  <c r="CG88" i="110"/>
  <c r="CG93" i="110"/>
  <c r="DB95" i="110"/>
  <c r="CG92" i="110"/>
  <c r="DB87" i="110"/>
  <c r="DB96" i="110"/>
  <c r="DB92" i="110"/>
  <c r="CG96" i="110"/>
  <c r="CG43" i="110"/>
  <c r="DB43" i="110"/>
  <c r="R10" i="109"/>
  <c r="BN41" i="132"/>
  <c r="BN42" i="132"/>
  <c r="BN37" i="132"/>
  <c r="BN40" i="132"/>
  <c r="BN96" i="132"/>
  <c r="BN101" i="132"/>
  <c r="BN102" i="132"/>
  <c r="BN103" i="132"/>
  <c r="BN40" i="131"/>
  <c r="BN99" i="132"/>
  <c r="BN28" i="130"/>
  <c r="BN32" i="130"/>
  <c r="BN91" i="132"/>
  <c r="BN30" i="130"/>
  <c r="BN40" i="130"/>
  <c r="BN34" i="130"/>
  <c r="BN102" i="130"/>
  <c r="BN93" i="132"/>
  <c r="BN94" i="132"/>
  <c r="BN103" i="130"/>
  <c r="BN95" i="132"/>
  <c r="BN104" i="131"/>
  <c r="BN101" i="130"/>
  <c r="BN8" i="131"/>
  <c r="BN97" i="130"/>
  <c r="BN100" i="130"/>
  <c r="BN27" i="130"/>
  <c r="BN43" i="131"/>
  <c r="BN90" i="132"/>
  <c r="BN7" i="132"/>
  <c r="Q7" i="132" s="1"/>
  <c r="BN92" i="132"/>
  <c r="BN27" i="132"/>
  <c r="BN17" i="132"/>
  <c r="BN100" i="132"/>
  <c r="BN97" i="132"/>
  <c r="BN104" i="132"/>
  <c r="BN94" i="130"/>
  <c r="BN92" i="131"/>
  <c r="BN93" i="130"/>
  <c r="BN95" i="131"/>
  <c r="BN100" i="131"/>
  <c r="BN92" i="130"/>
  <c r="BN27" i="131"/>
  <c r="BN42" i="130"/>
  <c r="BN91" i="130"/>
  <c r="BN104" i="130"/>
  <c r="BN102" i="131"/>
  <c r="BN94" i="131"/>
  <c r="BN41" i="131"/>
  <c r="BN35" i="130"/>
  <c r="BN93" i="131"/>
  <c r="BN89" i="131"/>
  <c r="BN29" i="130"/>
  <c r="BN37" i="130"/>
  <c r="BN9" i="132"/>
  <c r="BN8" i="130"/>
  <c r="Q8" i="130" s="1"/>
  <c r="BN29" i="131"/>
  <c r="BN43" i="130"/>
  <c r="BN19" i="131"/>
  <c r="BN19" i="132"/>
  <c r="BN25" i="132"/>
  <c r="BN32" i="132"/>
  <c r="BN35" i="131"/>
  <c r="BN34" i="132"/>
  <c r="BN28" i="132"/>
  <c r="BN29" i="132"/>
  <c r="BN30" i="131"/>
  <c r="BN35" i="132"/>
  <c r="BN30" i="132"/>
  <c r="BN96" i="130"/>
  <c r="BN41" i="130"/>
  <c r="BN89" i="130"/>
  <c r="BN90" i="131"/>
  <c r="BN90" i="130"/>
  <c r="BN37" i="131"/>
  <c r="BN88" i="130"/>
  <c r="BN96" i="131"/>
  <c r="BN95" i="130"/>
  <c r="BN101" i="131"/>
  <c r="BN91" i="131"/>
  <c r="BN103" i="131"/>
  <c r="BN99" i="131"/>
  <c r="BN97" i="131"/>
  <c r="BN88" i="131"/>
  <c r="BN9" i="131"/>
  <c r="BN9" i="130"/>
  <c r="Q9" i="130" s="1"/>
  <c r="BN8" i="132"/>
  <c r="BN43" i="132"/>
  <c r="BN44" i="132"/>
  <c r="BN19" i="130"/>
  <c r="BN28" i="131"/>
  <c r="BN34" i="131"/>
  <c r="BN42" i="131"/>
  <c r="BN32" i="131"/>
  <c r="BN25" i="130"/>
  <c r="BN17" i="131"/>
  <c r="BN20" i="130"/>
  <c r="BN31" i="132"/>
  <c r="BN36" i="130"/>
  <c r="BN36" i="132"/>
  <c r="BN25" i="131"/>
  <c r="BN17" i="130"/>
  <c r="BN31" i="131"/>
  <c r="BN36" i="131"/>
  <c r="BN20" i="131"/>
  <c r="BN20" i="132"/>
  <c r="BN31" i="130"/>
  <c r="R14" i="109"/>
  <c r="CJ38" i="110"/>
  <c r="CJ34" i="110"/>
  <c r="CJ15" i="110"/>
  <c r="CJ12" i="110"/>
  <c r="CJ37" i="110"/>
  <c r="CJ40" i="110"/>
  <c r="CJ17" i="110"/>
  <c r="CJ8" i="110"/>
  <c r="CJ32" i="110"/>
  <c r="CJ31" i="110"/>
  <c r="CJ29" i="110"/>
  <c r="CJ36" i="110"/>
  <c r="CJ14" i="110"/>
  <c r="CJ27" i="110"/>
  <c r="CJ18" i="110"/>
  <c r="CJ25" i="110"/>
  <c r="CJ11" i="110"/>
  <c r="CJ28" i="110"/>
  <c r="CJ39" i="110"/>
  <c r="CJ30" i="110"/>
  <c r="CJ10" i="110"/>
  <c r="BN94" i="127" l="1"/>
  <c r="BN94" i="126"/>
  <c r="DA44" i="126"/>
  <c r="DA41" i="126" s="1"/>
  <c r="DA5" i="126" s="1"/>
  <c r="CF44" i="127"/>
  <c r="CF41" i="127" s="1"/>
  <c r="CF5" i="127" s="1"/>
  <c r="DD13" i="126"/>
  <c r="DB86" i="127"/>
  <c r="BN91" i="126"/>
  <c r="DA44" i="127"/>
  <c r="DA41" i="127" s="1"/>
  <c r="DA5" i="127" s="1"/>
  <c r="CG86" i="126"/>
  <c r="AP5" i="127"/>
  <c r="AR35" i="127"/>
  <c r="BN24" i="127"/>
  <c r="AQ6" i="126"/>
  <c r="DC6" i="127"/>
  <c r="BN16" i="126"/>
  <c r="DD7" i="127"/>
  <c r="CJ7" i="126"/>
  <c r="CJ35" i="127"/>
  <c r="DD35" i="127"/>
  <c r="CI6" i="126"/>
  <c r="DC6" i="126"/>
  <c r="DB45" i="110"/>
  <c r="BN86" i="126"/>
  <c r="DD16" i="127"/>
  <c r="DD7" i="126"/>
  <c r="DD13" i="127"/>
  <c r="CJ16" i="126"/>
  <c r="CJ7" i="127"/>
  <c r="AP5" i="126"/>
  <c r="BN86" i="127"/>
  <c r="BN24" i="126"/>
  <c r="BN91" i="127"/>
  <c r="DD24" i="126"/>
  <c r="CJ13" i="127"/>
  <c r="CG45" i="110"/>
  <c r="BM6" i="127"/>
  <c r="AR86" i="127"/>
  <c r="BN16" i="127"/>
  <c r="BN35" i="126"/>
  <c r="DD24" i="127"/>
  <c r="CG94" i="126"/>
  <c r="CJ16" i="127"/>
  <c r="DC85" i="126"/>
  <c r="DC58" i="127"/>
  <c r="CH57" i="126"/>
  <c r="DC57" i="126"/>
  <c r="CH58" i="127"/>
  <c r="CH56" i="127"/>
  <c r="CH85" i="126"/>
  <c r="DC83" i="126"/>
  <c r="CH55" i="126"/>
  <c r="DC84" i="127"/>
  <c r="CH83" i="126"/>
  <c r="DC56" i="127"/>
  <c r="CH84" i="127"/>
  <c r="DC55" i="126"/>
  <c r="CH65" i="126"/>
  <c r="DC57" i="127"/>
  <c r="CH55" i="127"/>
  <c r="DC55" i="127"/>
  <c r="CH56" i="126"/>
  <c r="CH57" i="127"/>
  <c r="CH83" i="127"/>
  <c r="DC83" i="127"/>
  <c r="CH58" i="126"/>
  <c r="DC65" i="126"/>
  <c r="CH85" i="127"/>
  <c r="CH84" i="126"/>
  <c r="DC65" i="127"/>
  <c r="DC83" i="110"/>
  <c r="DC84" i="110"/>
  <c r="DC56" i="110"/>
  <c r="DC57" i="110"/>
  <c r="CH65" i="110"/>
  <c r="DC85" i="110"/>
  <c r="CH85" i="110"/>
  <c r="CH56" i="110"/>
  <c r="DC58" i="126"/>
  <c r="DC85" i="127"/>
  <c r="DC84" i="126"/>
  <c r="DC58" i="110"/>
  <c r="DC55" i="110"/>
  <c r="DC65" i="110"/>
  <c r="CH57" i="110"/>
  <c r="CH55" i="110"/>
  <c r="DC56" i="126"/>
  <c r="CH65" i="127"/>
  <c r="CH58" i="110"/>
  <c r="CH84" i="110"/>
  <c r="CH83" i="110"/>
  <c r="CH47" i="110"/>
  <c r="CH48" i="110"/>
  <c r="DC48" i="110"/>
  <c r="DC47" i="110"/>
  <c r="CH63" i="126"/>
  <c r="CH80" i="110"/>
  <c r="CH80" i="126"/>
  <c r="CH78" i="110"/>
  <c r="CH75" i="110"/>
  <c r="CH75" i="127"/>
  <c r="CH74" i="110"/>
  <c r="CH74" i="127"/>
  <c r="CH73" i="110"/>
  <c r="CH73" i="127"/>
  <c r="DC63" i="110"/>
  <c r="DC78" i="126"/>
  <c r="DC54" i="110"/>
  <c r="DC63" i="126"/>
  <c r="DC62" i="126"/>
  <c r="DC78" i="110"/>
  <c r="DC61" i="110"/>
  <c r="DC62" i="110"/>
  <c r="CH61" i="126"/>
  <c r="DC80" i="110"/>
  <c r="DC76" i="110"/>
  <c r="DC76" i="126"/>
  <c r="DC74" i="127"/>
  <c r="CH61" i="110"/>
  <c r="CH54" i="127"/>
  <c r="DC73" i="127"/>
  <c r="CH63" i="110"/>
  <c r="CH54" i="110"/>
  <c r="DC76" i="127"/>
  <c r="CH47" i="127"/>
  <c r="DC47" i="126"/>
  <c r="DC54" i="127"/>
  <c r="CH76" i="110"/>
  <c r="CH76" i="126"/>
  <c r="CH79" i="110"/>
  <c r="CH54" i="126"/>
  <c r="DC73" i="126"/>
  <c r="DC75" i="126"/>
  <c r="CH73" i="126"/>
  <c r="CH47" i="126"/>
  <c r="DC75" i="127"/>
  <c r="DC73" i="110"/>
  <c r="DC79" i="110"/>
  <c r="DC79" i="126"/>
  <c r="DC54" i="126"/>
  <c r="CH76" i="127"/>
  <c r="DC74" i="126"/>
  <c r="CH74" i="126"/>
  <c r="DC47" i="127"/>
  <c r="CH62" i="110"/>
  <c r="CH62" i="126"/>
  <c r="DC61" i="126"/>
  <c r="DC80" i="126"/>
  <c r="DC75" i="110"/>
  <c r="DC74" i="110"/>
  <c r="CH79" i="126"/>
  <c r="CH78" i="126"/>
  <c r="CH75" i="126"/>
  <c r="DC63" i="127"/>
  <c r="DC70" i="127"/>
  <c r="CH60" i="126"/>
  <c r="CH66" i="127"/>
  <c r="DC67" i="127"/>
  <c r="CH67" i="126"/>
  <c r="CH59" i="126"/>
  <c r="DC60" i="126"/>
  <c r="DC66" i="110"/>
  <c r="CH66" i="110"/>
  <c r="DC68" i="126"/>
  <c r="DC81" i="127"/>
  <c r="CH59" i="127"/>
  <c r="CH63" i="127"/>
  <c r="DC70" i="126"/>
  <c r="CH70" i="127"/>
  <c r="DC66" i="127"/>
  <c r="CH64" i="126"/>
  <c r="CH69" i="127"/>
  <c r="CH71" i="110"/>
  <c r="CH71" i="127"/>
  <c r="CH82" i="126"/>
  <c r="DC67" i="110"/>
  <c r="DC70" i="110"/>
  <c r="DC60" i="110"/>
  <c r="DC60" i="127"/>
  <c r="DC68" i="127"/>
  <c r="CH78" i="127"/>
  <c r="DC59" i="126"/>
  <c r="DC67" i="126"/>
  <c r="CH68" i="126"/>
  <c r="DC80" i="127"/>
  <c r="CH64" i="127"/>
  <c r="DC71" i="110"/>
  <c r="DC71" i="127"/>
  <c r="CH79" i="127"/>
  <c r="CH80" i="127"/>
  <c r="DC69" i="127"/>
  <c r="CH67" i="110"/>
  <c r="CH70" i="110"/>
  <c r="CH60" i="110"/>
  <c r="CH60" i="127"/>
  <c r="CH68" i="127"/>
  <c r="CH62" i="127"/>
  <c r="DC81" i="110"/>
  <c r="DC64" i="127"/>
  <c r="CH81" i="127"/>
  <c r="DC82" i="126"/>
  <c r="CH72" i="126"/>
  <c r="CH59" i="110"/>
  <c r="DC68" i="110"/>
  <c r="CH61" i="127"/>
  <c r="DC66" i="126"/>
  <c r="CH67" i="127"/>
  <c r="DC59" i="110"/>
  <c r="DC61" i="127"/>
  <c r="DC62" i="127"/>
  <c r="DC64" i="110"/>
  <c r="CH64" i="110"/>
  <c r="CH81" i="110"/>
  <c r="DC69" i="110"/>
  <c r="CH69" i="126"/>
  <c r="CH71" i="126"/>
  <c r="DC72" i="110"/>
  <c r="CH51" i="126"/>
  <c r="DC49" i="127"/>
  <c r="DC51" i="127"/>
  <c r="DC48" i="127"/>
  <c r="CH51" i="110"/>
  <c r="DC48" i="126"/>
  <c r="CH53" i="127"/>
  <c r="DC59" i="127"/>
  <c r="DC64" i="126"/>
  <c r="CH68" i="110"/>
  <c r="DC78" i="127"/>
  <c r="DC81" i="126"/>
  <c r="CH69" i="110"/>
  <c r="DC82" i="127"/>
  <c r="DC72" i="127"/>
  <c r="DC89" i="127"/>
  <c r="DC53" i="126"/>
  <c r="CH50" i="127"/>
  <c r="CH49" i="110"/>
  <c r="DC93" i="126"/>
  <c r="CH70" i="126"/>
  <c r="DC79" i="127"/>
  <c r="CH66" i="126"/>
  <c r="DC82" i="110"/>
  <c r="CH82" i="127"/>
  <c r="CH46" i="126"/>
  <c r="DC46" i="126"/>
  <c r="CH52" i="126"/>
  <c r="CH53" i="126"/>
  <c r="CH46" i="127"/>
  <c r="DC50" i="126"/>
  <c r="CH49" i="127"/>
  <c r="DC46" i="127"/>
  <c r="CH92" i="127"/>
  <c r="DC89" i="126"/>
  <c r="DC53" i="127"/>
  <c r="CH48" i="127"/>
  <c r="CH52" i="110"/>
  <c r="DC53" i="110"/>
  <c r="DC92" i="126"/>
  <c r="DC91" i="126" s="1"/>
  <c r="DC69" i="126"/>
  <c r="DC71" i="126"/>
  <c r="DC51" i="126"/>
  <c r="CH51" i="127"/>
  <c r="DC52" i="110"/>
  <c r="CH49" i="126"/>
  <c r="DC49" i="126"/>
  <c r="CH52" i="127"/>
  <c r="CH92" i="126"/>
  <c r="CH48" i="126"/>
  <c r="DC93" i="127"/>
  <c r="DC50" i="110"/>
  <c r="CH50" i="110"/>
  <c r="CH89" i="127"/>
  <c r="DC50" i="127"/>
  <c r="DC51" i="110"/>
  <c r="DC72" i="126"/>
  <c r="CH81" i="126"/>
  <c r="CH82" i="110"/>
  <c r="CH72" i="127"/>
  <c r="CH72" i="110"/>
  <c r="DC52" i="126"/>
  <c r="DC92" i="127"/>
  <c r="DC91" i="127" s="1"/>
  <c r="DC49" i="110"/>
  <c r="CH93" i="126"/>
  <c r="CH50" i="126"/>
  <c r="DC52" i="127"/>
  <c r="CH53" i="110"/>
  <c r="CH89" i="126"/>
  <c r="CH93" i="127"/>
  <c r="DC77" i="127"/>
  <c r="DC77" i="110"/>
  <c r="CH77" i="126"/>
  <c r="DC96" i="127"/>
  <c r="DC96" i="126"/>
  <c r="CH87" i="126"/>
  <c r="DC87" i="126"/>
  <c r="DC88" i="126"/>
  <c r="CH88" i="127"/>
  <c r="CH96" i="127"/>
  <c r="DC95" i="127"/>
  <c r="DC95" i="126"/>
  <c r="DC88" i="127"/>
  <c r="CH77" i="127"/>
  <c r="DC87" i="127"/>
  <c r="CH87" i="127"/>
  <c r="CH96" i="126"/>
  <c r="CH77" i="110"/>
  <c r="DC77" i="126"/>
  <c r="CH88" i="126"/>
  <c r="CH95" i="126"/>
  <c r="CH94" i="126" s="1"/>
  <c r="CH95" i="127"/>
  <c r="CH94" i="127" s="1"/>
  <c r="DC43" i="126"/>
  <c r="CH43" i="127"/>
  <c r="DC43" i="127"/>
  <c r="CH43" i="126"/>
  <c r="DC90" i="127"/>
  <c r="CH90" i="127"/>
  <c r="DC90" i="126"/>
  <c r="CH90" i="126"/>
  <c r="DE23" i="110"/>
  <c r="DE23" i="126"/>
  <c r="DE23" i="127"/>
  <c r="DE33" i="126"/>
  <c r="DE33" i="127"/>
  <c r="DE12" i="126"/>
  <c r="DE12" i="127"/>
  <c r="DE33" i="110"/>
  <c r="DE20" i="110"/>
  <c r="DE20" i="127"/>
  <c r="DE20" i="126"/>
  <c r="DE21" i="110"/>
  <c r="DE21" i="127"/>
  <c r="DE21" i="126"/>
  <c r="DE22" i="126"/>
  <c r="DE29" i="126"/>
  <c r="DE38" i="126"/>
  <c r="DE14" i="126"/>
  <c r="DE27" i="127"/>
  <c r="DE11" i="126"/>
  <c r="DE28" i="127"/>
  <c r="DE32" i="126"/>
  <c r="DE40" i="127"/>
  <c r="DE8" i="127"/>
  <c r="DE27" i="126"/>
  <c r="DE11" i="127"/>
  <c r="DE28" i="126"/>
  <c r="DE40" i="126"/>
  <c r="DE37" i="126"/>
  <c r="DE22" i="127"/>
  <c r="DE38" i="127"/>
  <c r="DE15" i="126"/>
  <c r="DE22" i="110"/>
  <c r="DE32" i="127"/>
  <c r="DE31" i="126"/>
  <c r="DE15" i="127"/>
  <c r="DE31" i="127"/>
  <c r="DE37" i="127"/>
  <c r="DE8" i="126"/>
  <c r="DE9" i="127"/>
  <c r="DE9" i="126"/>
  <c r="DE14" i="127"/>
  <c r="DE29" i="127"/>
  <c r="DE34" i="126"/>
  <c r="DE34" i="127"/>
  <c r="DE42" i="127"/>
  <c r="DE30" i="126"/>
  <c r="DE30" i="127"/>
  <c r="DE10" i="127"/>
  <c r="DE39" i="127"/>
  <c r="DE42" i="126"/>
  <c r="DE17" i="126"/>
  <c r="DE17" i="127"/>
  <c r="DE10" i="126"/>
  <c r="DE39" i="126"/>
  <c r="DE18" i="126"/>
  <c r="DE18" i="127"/>
  <c r="DE26" i="126"/>
  <c r="DE36" i="126"/>
  <c r="DE25" i="126"/>
  <c r="DE36" i="127"/>
  <c r="DE26" i="127"/>
  <c r="DE25" i="127"/>
  <c r="DE19" i="127"/>
  <c r="DE19" i="126"/>
  <c r="CZ41" i="127"/>
  <c r="CI6" i="127"/>
  <c r="AR24" i="127"/>
  <c r="AR24" i="126"/>
  <c r="AR16" i="126"/>
  <c r="AR35" i="126"/>
  <c r="Q9" i="127"/>
  <c r="S9" i="127"/>
  <c r="R9" i="127"/>
  <c r="Q78" i="127"/>
  <c r="AP77" i="133" s="1"/>
  <c r="R78" i="127"/>
  <c r="S78" i="127"/>
  <c r="BN35" i="127"/>
  <c r="BN45" i="110"/>
  <c r="CG94" i="127"/>
  <c r="DB45" i="126"/>
  <c r="CG91" i="127"/>
  <c r="CG91" i="126"/>
  <c r="DB45" i="127"/>
  <c r="BM44" i="127"/>
  <c r="BM41" i="127" s="1"/>
  <c r="CJ13" i="126"/>
  <c r="CE41" i="127"/>
  <c r="CK23" i="127"/>
  <c r="CK23" i="126"/>
  <c r="CK23" i="110"/>
  <c r="CK33" i="127"/>
  <c r="CK33" i="126"/>
  <c r="CK12" i="127"/>
  <c r="CK12" i="126"/>
  <c r="CK33" i="110"/>
  <c r="CK20" i="110"/>
  <c r="CK20" i="126"/>
  <c r="CK20" i="127"/>
  <c r="CK21" i="127"/>
  <c r="CK21" i="126"/>
  <c r="CK21" i="110"/>
  <c r="CK22" i="126"/>
  <c r="CK38" i="127"/>
  <c r="CK9" i="126"/>
  <c r="CK29" i="127"/>
  <c r="CK32" i="127"/>
  <c r="CK32" i="126"/>
  <c r="CK40" i="127"/>
  <c r="CK8" i="127"/>
  <c r="CK8" i="126"/>
  <c r="CK27" i="126"/>
  <c r="CK9" i="127"/>
  <c r="CK38" i="126"/>
  <c r="CK40" i="126"/>
  <c r="CK31" i="127"/>
  <c r="CK15" i="126"/>
  <c r="CK14" i="126"/>
  <c r="CK37" i="126"/>
  <c r="CK37" i="127"/>
  <c r="CK22" i="127"/>
  <c r="CK31" i="126"/>
  <c r="CK28" i="126"/>
  <c r="CK28" i="127"/>
  <c r="CK14" i="127"/>
  <c r="CK29" i="126"/>
  <c r="CK27" i="127"/>
  <c r="CK11" i="126"/>
  <c r="CK22" i="110"/>
  <c r="CK15" i="127"/>
  <c r="CK11" i="127"/>
  <c r="CK34" i="127"/>
  <c r="CK34" i="126"/>
  <c r="CK10" i="126"/>
  <c r="CK42" i="126"/>
  <c r="CK39" i="126"/>
  <c r="CK30" i="126"/>
  <c r="CK17" i="127"/>
  <c r="CK30" i="127"/>
  <c r="CK39" i="127"/>
  <c r="CK42" i="127"/>
  <c r="CK10" i="127"/>
  <c r="CK18" i="126"/>
  <c r="CK18" i="127"/>
  <c r="CK17" i="126"/>
  <c r="CK26" i="127"/>
  <c r="CK25" i="126"/>
  <c r="CK36" i="127"/>
  <c r="CK26" i="126"/>
  <c r="CK36" i="126"/>
  <c r="CK25" i="127"/>
  <c r="CK19" i="127"/>
  <c r="CK19" i="126"/>
  <c r="BO39" i="132"/>
  <c r="BO39" i="131"/>
  <c r="BO39" i="130"/>
  <c r="BO59" i="132"/>
  <c r="BO60" i="132"/>
  <c r="BO85" i="131"/>
  <c r="BO86" i="131"/>
  <c r="BO67" i="130"/>
  <c r="BO57" i="132"/>
  <c r="BO87" i="132"/>
  <c r="BO58" i="132"/>
  <c r="BO67" i="132"/>
  <c r="BO67" i="131"/>
  <c r="BO58" i="131"/>
  <c r="BO86" i="130"/>
  <c r="Q86" i="130" s="1"/>
  <c r="BO58" i="130"/>
  <c r="Q58" i="130" s="1"/>
  <c r="BO59" i="131"/>
  <c r="BO57" i="131"/>
  <c r="BO57" i="130"/>
  <c r="Q57" i="130" s="1"/>
  <c r="BO59" i="130"/>
  <c r="Q59" i="130" s="1"/>
  <c r="BO60" i="130"/>
  <c r="Q60" i="130" s="1"/>
  <c r="BO85" i="132"/>
  <c r="BO60" i="131"/>
  <c r="BO85" i="130"/>
  <c r="Q85" i="130" s="1"/>
  <c r="BO86" i="132"/>
  <c r="BO87" i="131"/>
  <c r="BO87" i="130"/>
  <c r="Q87" i="130" s="1"/>
  <c r="BO45" i="132"/>
  <c r="BO45" i="130"/>
  <c r="Q45" i="130" s="1"/>
  <c r="BO45" i="131"/>
  <c r="BO69" i="131"/>
  <c r="BO79" i="132"/>
  <c r="BO70" i="131"/>
  <c r="BO74" i="131"/>
  <c r="BO55" i="130"/>
  <c r="Q55" i="130" s="1"/>
  <c r="BO55" i="132"/>
  <c r="BO68" i="131"/>
  <c r="BO54" i="131"/>
  <c r="BO66" i="130"/>
  <c r="BO52" i="131"/>
  <c r="BO71" i="132"/>
  <c r="BO84" i="130"/>
  <c r="BO79" i="130"/>
  <c r="Q79" i="130" s="1"/>
  <c r="BO54" i="130"/>
  <c r="Q54" i="130" s="1"/>
  <c r="BO83" i="130"/>
  <c r="BO53" i="131"/>
  <c r="BO53" i="130"/>
  <c r="BO71" i="131"/>
  <c r="BO55" i="131"/>
  <c r="BO66" i="131"/>
  <c r="BO66" i="132"/>
  <c r="BO52" i="130"/>
  <c r="BO71" i="130"/>
  <c r="BO73" i="130"/>
  <c r="BO83" i="131"/>
  <c r="BO73" i="131"/>
  <c r="BO73" i="132"/>
  <c r="BO72" i="132"/>
  <c r="BO74" i="132"/>
  <c r="BO51" i="132"/>
  <c r="BO54" i="132"/>
  <c r="BO53" i="132"/>
  <c r="BO72" i="130"/>
  <c r="BO84" i="132"/>
  <c r="BO72" i="131"/>
  <c r="BO74" i="130"/>
  <c r="BO51" i="130"/>
  <c r="BO51" i="131"/>
  <c r="BO84" i="131"/>
  <c r="BO61" i="131"/>
  <c r="BO83" i="132"/>
  <c r="BO61" i="132"/>
  <c r="BO79" i="131"/>
  <c r="BO62" i="130"/>
  <c r="BO52" i="132"/>
  <c r="BO62" i="131"/>
  <c r="BO69" i="132"/>
  <c r="BO68" i="132"/>
  <c r="BO61" i="130"/>
  <c r="BO62" i="132"/>
  <c r="BO70" i="132"/>
  <c r="BO70" i="130"/>
  <c r="BO69" i="130"/>
  <c r="BO68" i="130"/>
  <c r="BO44" i="131"/>
  <c r="AR39" i="132"/>
  <c r="AR39" i="130"/>
  <c r="AR39" i="131"/>
  <c r="AS23" i="110"/>
  <c r="AS23" i="126"/>
  <c r="AS23" i="127"/>
  <c r="AR85" i="132"/>
  <c r="AS85" i="126"/>
  <c r="AS58" i="127"/>
  <c r="AS57" i="126"/>
  <c r="AR57" i="132"/>
  <c r="AS83" i="126"/>
  <c r="AR87" i="132"/>
  <c r="AS84" i="127"/>
  <c r="AS56" i="127"/>
  <c r="AR86" i="132"/>
  <c r="AR59" i="131"/>
  <c r="AR60" i="131"/>
  <c r="AR59" i="130"/>
  <c r="AR67" i="131"/>
  <c r="AR67" i="132"/>
  <c r="AR85" i="131"/>
  <c r="AR58" i="132"/>
  <c r="AR60" i="132"/>
  <c r="AR86" i="131"/>
  <c r="AR57" i="131"/>
  <c r="AR58" i="131"/>
  <c r="AR60" i="130"/>
  <c r="AR58" i="130"/>
  <c r="AR67" i="130"/>
  <c r="AR85" i="130"/>
  <c r="AR87" i="131"/>
  <c r="AR86" i="130"/>
  <c r="AR87" i="130"/>
  <c r="AR59" i="132"/>
  <c r="AR57" i="130"/>
  <c r="AS55" i="127"/>
  <c r="AS65" i="126"/>
  <c r="AS55" i="110"/>
  <c r="AS57" i="127"/>
  <c r="AS83" i="127"/>
  <c r="AS56" i="126"/>
  <c r="AS83" i="110"/>
  <c r="AS85" i="127"/>
  <c r="AS84" i="126"/>
  <c r="AS65" i="127"/>
  <c r="AS85" i="110"/>
  <c r="AS57" i="110"/>
  <c r="AS58" i="126"/>
  <c r="AS56" i="110"/>
  <c r="AS58" i="110"/>
  <c r="AS84" i="110"/>
  <c r="AS65" i="110"/>
  <c r="AR45" i="130"/>
  <c r="AR45" i="132"/>
  <c r="AS20" i="126"/>
  <c r="AR45" i="131"/>
  <c r="AS20" i="110"/>
  <c r="AS20" i="127"/>
  <c r="AS21" i="110"/>
  <c r="AS21" i="126"/>
  <c r="AS21" i="127"/>
  <c r="AR49" i="132"/>
  <c r="P49" i="132" s="1"/>
  <c r="N49" i="132" s="1"/>
  <c r="AS47" i="127"/>
  <c r="Y47" i="127" s="1"/>
  <c r="AR62" i="131"/>
  <c r="AR69" i="131"/>
  <c r="AS67" i="126"/>
  <c r="AS70" i="127"/>
  <c r="AR72" i="131"/>
  <c r="AR55" i="130"/>
  <c r="AS66" i="110"/>
  <c r="AS68" i="126"/>
  <c r="AS59" i="126"/>
  <c r="AS60" i="126"/>
  <c r="AS66" i="127"/>
  <c r="AR54" i="130"/>
  <c r="AS59" i="127"/>
  <c r="AS67" i="127"/>
  <c r="AR53" i="131"/>
  <c r="AS70" i="126"/>
  <c r="AR55" i="132"/>
  <c r="AR83" i="132"/>
  <c r="AS69" i="127"/>
  <c r="AR71" i="131"/>
  <c r="AR73" i="132"/>
  <c r="AR84" i="130"/>
  <c r="AS67" i="110"/>
  <c r="AR72" i="130"/>
  <c r="AR50" i="132"/>
  <c r="P50" i="132" s="1"/>
  <c r="N50" i="132" s="1"/>
  <c r="P50" i="118" s="1"/>
  <c r="AR55" i="131"/>
  <c r="AS60" i="110"/>
  <c r="AS68" i="127"/>
  <c r="AS64" i="127"/>
  <c r="AR83" i="131"/>
  <c r="AR51" i="130"/>
  <c r="AS72" i="126"/>
  <c r="AR66" i="130"/>
  <c r="AR52" i="130"/>
  <c r="AR52" i="132"/>
  <c r="AS81" i="127"/>
  <c r="AS71" i="110"/>
  <c r="AS71" i="127"/>
  <c r="AS82" i="126"/>
  <c r="AR54" i="131"/>
  <c r="AR53" i="130"/>
  <c r="AR66" i="131"/>
  <c r="AS81" i="126"/>
  <c r="AS64" i="126"/>
  <c r="AR71" i="132"/>
  <c r="AR54" i="132"/>
  <c r="AS59" i="110"/>
  <c r="AR53" i="132"/>
  <c r="AS70" i="110"/>
  <c r="AS60" i="127"/>
  <c r="AR84" i="132"/>
  <c r="AR68" i="131"/>
  <c r="AR72" i="132"/>
  <c r="AR51" i="131"/>
  <c r="AS66" i="126"/>
  <c r="AS68" i="110"/>
  <c r="AR73" i="131"/>
  <c r="AS53" i="126"/>
  <c r="AS92" i="127"/>
  <c r="AS48" i="127"/>
  <c r="Y48" i="127" s="1"/>
  <c r="AS52" i="110"/>
  <c r="AS50" i="126"/>
  <c r="AS49" i="126"/>
  <c r="AS53" i="110"/>
  <c r="AS92" i="126"/>
  <c r="AS89" i="126"/>
  <c r="AS93" i="127"/>
  <c r="AS53" i="127"/>
  <c r="AR74" i="132"/>
  <c r="AS64" i="110"/>
  <c r="AR73" i="130"/>
  <c r="AR84" i="131"/>
  <c r="AR74" i="131"/>
  <c r="AS93" i="126"/>
  <c r="AR66" i="132"/>
  <c r="AR52" i="131"/>
  <c r="AS81" i="110"/>
  <c r="AR83" i="130"/>
  <c r="AS69" i="126"/>
  <c r="AS71" i="126"/>
  <c r="AS82" i="110"/>
  <c r="AS72" i="127"/>
  <c r="AR70" i="131"/>
  <c r="AS89" i="127"/>
  <c r="AS51" i="126"/>
  <c r="AS52" i="126"/>
  <c r="AS49" i="110"/>
  <c r="AR74" i="130"/>
  <c r="AS69" i="110"/>
  <c r="AR79" i="132"/>
  <c r="AR61" i="130"/>
  <c r="AR79" i="130"/>
  <c r="AR71" i="130"/>
  <c r="AR51" i="132"/>
  <c r="AS51" i="127"/>
  <c r="AR62" i="130"/>
  <c r="AS72" i="110"/>
  <c r="AR68" i="132"/>
  <c r="AS49" i="127"/>
  <c r="AR69" i="132"/>
  <c r="AS82" i="127"/>
  <c r="AS46" i="127"/>
  <c r="AS50" i="127"/>
  <c r="AS52" i="127"/>
  <c r="AS51" i="110"/>
  <c r="AS50" i="110"/>
  <c r="AR70" i="132"/>
  <c r="AR61" i="132"/>
  <c r="AR62" i="132"/>
  <c r="AR69" i="130"/>
  <c r="AR70" i="130"/>
  <c r="AR68" i="130"/>
  <c r="AR61" i="131"/>
  <c r="AS77" i="127"/>
  <c r="AS87" i="127"/>
  <c r="AS96" i="127"/>
  <c r="AS95" i="127"/>
  <c r="AS88" i="127"/>
  <c r="AS87" i="126"/>
  <c r="AS96" i="126"/>
  <c r="AS88" i="126"/>
  <c r="AR79" i="131"/>
  <c r="AS77" i="110"/>
  <c r="AS77" i="126"/>
  <c r="AS95" i="126"/>
  <c r="AS22" i="110"/>
  <c r="AS17" i="126"/>
  <c r="AS22" i="126"/>
  <c r="AS22" i="127"/>
  <c r="AS17" i="127"/>
  <c r="AS55" i="126"/>
  <c r="AS42" i="127"/>
  <c r="AS42" i="126"/>
  <c r="AS30" i="127"/>
  <c r="AS39" i="127"/>
  <c r="AS18" i="126"/>
  <c r="AS39" i="126"/>
  <c r="AS30" i="126"/>
  <c r="AS18" i="127"/>
  <c r="AR44" i="131"/>
  <c r="AS36" i="126"/>
  <c r="AS35" i="126" s="1"/>
  <c r="AS36" i="127"/>
  <c r="AS26" i="126"/>
  <c r="AS26" i="127"/>
  <c r="AS43" i="126"/>
  <c r="AS10" i="126"/>
  <c r="AS7" i="126" s="1"/>
  <c r="AS43" i="127"/>
  <c r="AS10" i="127"/>
  <c r="AS7" i="127" s="1"/>
  <c r="AS25" i="127"/>
  <c r="AS19" i="126"/>
  <c r="AS90" i="126"/>
  <c r="AS90" i="127"/>
  <c r="AS25" i="126"/>
  <c r="AS19" i="127"/>
  <c r="AQ6" i="127"/>
  <c r="BM44" i="126"/>
  <c r="BM41" i="126" s="1"/>
  <c r="AR94" i="127"/>
  <c r="AR91" i="127"/>
  <c r="S48" i="126"/>
  <c r="R48" i="126"/>
  <c r="Q48" i="126"/>
  <c r="AO47" i="133" s="1"/>
  <c r="S80" i="127"/>
  <c r="R80" i="127"/>
  <c r="Q80" i="127"/>
  <c r="AP79" i="133" s="1"/>
  <c r="S47" i="126"/>
  <c r="R47" i="126"/>
  <c r="Q47" i="126"/>
  <c r="AO46" i="133" s="1"/>
  <c r="DD16" i="126"/>
  <c r="DB86" i="126"/>
  <c r="CE41" i="126"/>
  <c r="CJ35" i="126"/>
  <c r="BO23" i="127"/>
  <c r="BO23" i="110"/>
  <c r="BO23" i="126"/>
  <c r="BO58" i="127"/>
  <c r="BO57" i="126"/>
  <c r="BO85" i="126"/>
  <c r="BO55" i="126"/>
  <c r="BO84" i="127"/>
  <c r="BO83" i="126"/>
  <c r="BO56" i="127"/>
  <c r="BO55" i="127"/>
  <c r="BO65" i="126"/>
  <c r="BO83" i="127"/>
  <c r="BO85" i="127"/>
  <c r="BO83" i="110"/>
  <c r="BO56" i="126"/>
  <c r="BO85" i="110"/>
  <c r="BO57" i="110"/>
  <c r="BO58" i="126"/>
  <c r="BO84" i="126"/>
  <c r="BO84" i="110"/>
  <c r="BO56" i="110"/>
  <c r="BO65" i="110"/>
  <c r="BO58" i="110"/>
  <c r="BO57" i="127"/>
  <c r="BO65" i="127"/>
  <c r="BO55" i="110"/>
  <c r="BO20" i="127"/>
  <c r="BO20" i="126"/>
  <c r="BO20" i="110"/>
  <c r="BO21" i="110"/>
  <c r="BO21" i="126"/>
  <c r="BO21" i="127"/>
  <c r="BO22" i="110"/>
  <c r="BO22" i="127"/>
  <c r="BO22" i="126"/>
  <c r="BO59" i="127"/>
  <c r="BO59" i="126"/>
  <c r="BO67" i="127"/>
  <c r="BO66" i="127"/>
  <c r="BO70" i="127"/>
  <c r="BO66" i="110"/>
  <c r="BO64" i="127"/>
  <c r="BO81" i="127"/>
  <c r="BO60" i="126"/>
  <c r="BO69" i="127"/>
  <c r="BO71" i="127"/>
  <c r="BO72" i="126"/>
  <c r="BO70" i="110"/>
  <c r="BO68" i="127"/>
  <c r="BO71" i="110"/>
  <c r="BO82" i="126"/>
  <c r="BO59" i="110"/>
  <c r="BO67" i="126"/>
  <c r="BO70" i="126"/>
  <c r="BO64" i="126"/>
  <c r="BO81" i="110"/>
  <c r="BO69" i="126"/>
  <c r="BO67" i="110"/>
  <c r="BO66" i="126"/>
  <c r="BO68" i="126"/>
  <c r="BO60" i="110"/>
  <c r="BO81" i="126"/>
  <c r="BO82" i="127"/>
  <c r="BO89" i="127"/>
  <c r="BO52" i="126"/>
  <c r="BO49" i="127"/>
  <c r="BO49" i="110"/>
  <c r="BO52" i="110"/>
  <c r="BO50" i="126"/>
  <c r="BO53" i="110"/>
  <c r="BO93" i="127"/>
  <c r="BO50" i="110"/>
  <c r="BO69" i="110"/>
  <c r="BO71" i="126"/>
  <c r="BO72" i="127"/>
  <c r="BO51" i="126"/>
  <c r="BO50" i="127"/>
  <c r="BO51" i="127"/>
  <c r="BO82" i="110"/>
  <c r="BO53" i="126"/>
  <c r="BO49" i="126"/>
  <c r="BO52" i="127"/>
  <c r="BO53" i="127"/>
  <c r="BO92" i="127"/>
  <c r="BO68" i="110"/>
  <c r="BO64" i="110"/>
  <c r="BO72" i="110"/>
  <c r="BO93" i="126"/>
  <c r="BO92" i="126"/>
  <c r="BO60" i="127"/>
  <c r="BO51" i="110"/>
  <c r="BO89" i="126"/>
  <c r="BO96" i="127"/>
  <c r="BO77" i="126"/>
  <c r="BO96" i="126"/>
  <c r="BO87" i="126"/>
  <c r="BO95" i="126"/>
  <c r="BO88" i="127"/>
  <c r="BO77" i="127"/>
  <c r="BO77" i="110"/>
  <c r="BO87" i="127"/>
  <c r="BO88" i="126"/>
  <c r="BO95" i="127"/>
  <c r="BO17" i="126"/>
  <c r="BO42" i="127"/>
  <c r="BO42" i="126"/>
  <c r="BO30" i="126"/>
  <c r="BO30" i="127"/>
  <c r="BO17" i="127"/>
  <c r="BO39" i="126"/>
  <c r="BO10" i="127"/>
  <c r="BO7" i="127" s="1"/>
  <c r="BO10" i="126"/>
  <c r="BO7" i="126" s="1"/>
  <c r="BO39" i="127"/>
  <c r="BO18" i="127"/>
  <c r="BO18" i="126"/>
  <c r="BO25" i="126"/>
  <c r="BO26" i="127"/>
  <c r="BO36" i="126"/>
  <c r="BO25" i="127"/>
  <c r="BO26" i="126"/>
  <c r="BO43" i="127"/>
  <c r="BO36" i="127"/>
  <c r="BO43" i="126"/>
  <c r="BO90" i="126"/>
  <c r="BO90" i="127"/>
  <c r="BO19" i="127"/>
  <c r="BO19" i="126"/>
  <c r="BL41" i="126"/>
  <c r="CY5" i="126"/>
  <c r="AR16" i="127"/>
  <c r="AR45" i="126"/>
  <c r="Y46" i="126"/>
  <c r="R62" i="127"/>
  <c r="S62" i="127"/>
  <c r="Q62" i="127"/>
  <c r="AP61" i="133" s="1"/>
  <c r="AR45" i="127"/>
  <c r="AR45" i="110"/>
  <c r="R79" i="127"/>
  <c r="Q79" i="127"/>
  <c r="AP78" i="133" s="1"/>
  <c r="S63" i="127"/>
  <c r="R63" i="127"/>
  <c r="Q63" i="127"/>
  <c r="AP62" i="133" s="1"/>
  <c r="DD35" i="126"/>
  <c r="CG86" i="127"/>
  <c r="DB94" i="127"/>
  <c r="DB91" i="127"/>
  <c r="CJ24" i="127"/>
  <c r="AO5" i="127"/>
  <c r="BL5" i="127"/>
  <c r="CF44" i="126"/>
  <c r="CF41" i="126" s="1"/>
  <c r="CF5" i="126" s="1"/>
  <c r="BM6" i="126"/>
  <c r="AQ44" i="127"/>
  <c r="AR86" i="126"/>
  <c r="AR7" i="127"/>
  <c r="Q61" i="127"/>
  <c r="AP60" i="133" s="1"/>
  <c r="S61" i="127"/>
  <c r="R61" i="127"/>
  <c r="Q12" i="127"/>
  <c r="AP11" i="133" s="1"/>
  <c r="R12" i="127"/>
  <c r="S12" i="127"/>
  <c r="BN45" i="126"/>
  <c r="BN45" i="127"/>
  <c r="Z46" i="127"/>
  <c r="CG45" i="126"/>
  <c r="DB91" i="126"/>
  <c r="CG45" i="127"/>
  <c r="CJ24" i="126"/>
  <c r="AQ44" i="126"/>
  <c r="AP5" i="110"/>
  <c r="BL5" i="110"/>
  <c r="CI6" i="110"/>
  <c r="AQ6" i="110"/>
  <c r="DC6" i="110"/>
  <c r="BM6" i="110"/>
  <c r="AR94" i="110"/>
  <c r="AQ44" i="110"/>
  <c r="AQ41" i="110" s="1"/>
  <c r="BO89" i="110"/>
  <c r="BO42" i="110"/>
  <c r="AR16" i="110"/>
  <c r="AR35" i="110"/>
  <c r="BO88" i="132"/>
  <c r="BO89" i="132"/>
  <c r="AO8" i="133"/>
  <c r="AR24" i="110"/>
  <c r="P49" i="118"/>
  <c r="AS89" i="110"/>
  <c r="AR89" i="132"/>
  <c r="AR88" i="132"/>
  <c r="AS42" i="110"/>
  <c r="AR18" i="130"/>
  <c r="AR18" i="132"/>
  <c r="AR18" i="131"/>
  <c r="AR102" i="132"/>
  <c r="AR95" i="130"/>
  <c r="AS95" i="110"/>
  <c r="AR36" i="131"/>
  <c r="AR35" i="131"/>
  <c r="AR32" i="131"/>
  <c r="AR93" i="131"/>
  <c r="AR9" i="132"/>
  <c r="AR25" i="131"/>
  <c r="AS90" i="110"/>
  <c r="AR8" i="132"/>
  <c r="AR93" i="132"/>
  <c r="AR96" i="132"/>
  <c r="AR101" i="132"/>
  <c r="AR97" i="132"/>
  <c r="AS96" i="110"/>
  <c r="AR89" i="130"/>
  <c r="AR96" i="130"/>
  <c r="AR94" i="132"/>
  <c r="AS93" i="110"/>
  <c r="AR40" i="130"/>
  <c r="AR102" i="130"/>
  <c r="AR41" i="131"/>
  <c r="AS88" i="110"/>
  <c r="AR90" i="130"/>
  <c r="AR34" i="130"/>
  <c r="AS87" i="110"/>
  <c r="AR96" i="131"/>
  <c r="AR97" i="131"/>
  <c r="AR9" i="131"/>
  <c r="AR28" i="132"/>
  <c r="AR37" i="131"/>
  <c r="AR95" i="131"/>
  <c r="AR101" i="131"/>
  <c r="AR90" i="131"/>
  <c r="AR32" i="132"/>
  <c r="AR25" i="130"/>
  <c r="AS39" i="110"/>
  <c r="AR7" i="131"/>
  <c r="P7" i="131" s="1"/>
  <c r="N7" i="131" s="1"/>
  <c r="O7" i="118" s="1"/>
  <c r="AS30" i="110"/>
  <c r="AS19" i="110"/>
  <c r="Q9" i="109"/>
  <c r="AR43" i="132"/>
  <c r="AR91" i="132"/>
  <c r="AR104" i="132"/>
  <c r="AR100" i="132"/>
  <c r="AR41" i="130"/>
  <c r="AR8" i="130"/>
  <c r="AR17" i="130"/>
  <c r="AR103" i="130"/>
  <c r="AR30" i="130"/>
  <c r="AR17" i="131"/>
  <c r="AR91" i="130"/>
  <c r="AR104" i="130"/>
  <c r="AR42" i="132"/>
  <c r="AR27" i="130"/>
  <c r="AR92" i="132"/>
  <c r="AR29" i="131"/>
  <c r="AS92" i="110"/>
  <c r="AR19" i="131"/>
  <c r="AR28" i="131"/>
  <c r="AR35" i="132"/>
  <c r="AR104" i="131"/>
  <c r="AR94" i="131"/>
  <c r="AR88" i="131"/>
  <c r="AR17" i="132"/>
  <c r="AR10" i="132"/>
  <c r="P10" i="132" s="1"/>
  <c r="N10" i="132" s="1"/>
  <c r="P10" i="118" s="1"/>
  <c r="AS25" i="110"/>
  <c r="AR7" i="132"/>
  <c r="AR25" i="132"/>
  <c r="AR31" i="130"/>
  <c r="AR44" i="130"/>
  <c r="AR48" i="132"/>
  <c r="P48" i="132" s="1"/>
  <c r="N48" i="132" s="1"/>
  <c r="P48" i="118" s="1"/>
  <c r="AS17" i="110"/>
  <c r="AR43" i="130"/>
  <c r="AR90" i="132"/>
  <c r="AR99" i="130"/>
  <c r="AR19" i="130"/>
  <c r="AR32" i="130"/>
  <c r="AR27" i="131"/>
  <c r="AR102" i="131"/>
  <c r="AR30" i="132"/>
  <c r="AR8" i="131"/>
  <c r="AR41" i="132"/>
  <c r="AR20" i="131"/>
  <c r="AR20" i="130"/>
  <c r="AS43" i="110"/>
  <c r="AS26" i="110"/>
  <c r="AR36" i="132"/>
  <c r="AR34" i="132"/>
  <c r="AR95" i="132"/>
  <c r="AR103" i="132"/>
  <c r="AR94" i="130"/>
  <c r="AR92" i="130"/>
  <c r="AR29" i="130"/>
  <c r="AR42" i="130"/>
  <c r="AR101" i="130"/>
  <c r="AR36" i="130"/>
  <c r="AR35" i="130"/>
  <c r="AR37" i="130"/>
  <c r="AR100" i="130"/>
  <c r="AR93" i="130"/>
  <c r="AR30" i="131"/>
  <c r="AS18" i="110"/>
  <c r="AR99" i="131"/>
  <c r="AR103" i="131"/>
  <c r="AR42" i="131"/>
  <c r="AR40" i="132"/>
  <c r="AR29" i="132"/>
  <c r="AR91" i="131"/>
  <c r="AR100" i="131"/>
  <c r="AR89" i="131"/>
  <c r="AR40" i="131"/>
  <c r="AR37" i="132"/>
  <c r="AR9" i="130"/>
  <c r="AS36" i="110"/>
  <c r="AR20" i="132"/>
  <c r="AS10" i="110"/>
  <c r="AS7" i="110" s="1"/>
  <c r="AR31" i="132"/>
  <c r="AR44" i="132"/>
  <c r="AR19" i="132"/>
  <c r="AR99" i="132"/>
  <c r="AR88" i="130"/>
  <c r="AR97" i="130"/>
  <c r="AR28" i="130"/>
  <c r="AR92" i="131"/>
  <c r="AR34" i="131"/>
  <c r="AR43" i="131"/>
  <c r="AR27" i="132"/>
  <c r="AR31" i="131"/>
  <c r="AR91" i="110"/>
  <c r="R46" i="110"/>
  <c r="Q46" i="110"/>
  <c r="AN45" i="133" s="1"/>
  <c r="CH89" i="110"/>
  <c r="DC89" i="110"/>
  <c r="CK9" i="110"/>
  <c r="CK42" i="110"/>
  <c r="DE9" i="110"/>
  <c r="DE42" i="110"/>
  <c r="AR86" i="110"/>
  <c r="S46" i="110"/>
  <c r="DD16" i="110"/>
  <c r="BN16" i="110"/>
  <c r="CJ16" i="110"/>
  <c r="DA44" i="110"/>
  <c r="DA41" i="110" s="1"/>
  <c r="DA5" i="110" s="1"/>
  <c r="CF44" i="110"/>
  <c r="CF41" i="110" s="1"/>
  <c r="CF5" i="110" s="1"/>
  <c r="BM44" i="110"/>
  <c r="BM41" i="110" s="1"/>
  <c r="BN24" i="110"/>
  <c r="DD13" i="110"/>
  <c r="BN94" i="110"/>
  <c r="BO18" i="131"/>
  <c r="BO18" i="130"/>
  <c r="Q18" i="130" s="1"/>
  <c r="BO18" i="132"/>
  <c r="BO99" i="130"/>
  <c r="Q99" i="130" s="1"/>
  <c r="BO99" i="131"/>
  <c r="BO44" i="130"/>
  <c r="Q44" i="130" s="1"/>
  <c r="DE26" i="110"/>
  <c r="DE19" i="110"/>
  <c r="DE17" i="110"/>
  <c r="DE27" i="110"/>
  <c r="DE12" i="110"/>
  <c r="DE11" i="110"/>
  <c r="DE31" i="110"/>
  <c r="DE14" i="110"/>
  <c r="DE39" i="110"/>
  <c r="DE38" i="110"/>
  <c r="DE40" i="110"/>
  <c r="DE29" i="110"/>
  <c r="DE36" i="110"/>
  <c r="DE28" i="110"/>
  <c r="DE10" i="110"/>
  <c r="DE34" i="110"/>
  <c r="DE32" i="110"/>
  <c r="DE25" i="110"/>
  <c r="DE30" i="110"/>
  <c r="DE37" i="110"/>
  <c r="DE18" i="110"/>
  <c r="R15" i="109"/>
  <c r="DE8" i="110"/>
  <c r="DE15" i="110"/>
  <c r="DD35" i="110"/>
  <c r="CK19" i="110"/>
  <c r="CK26" i="110"/>
  <c r="CH46" i="110"/>
  <c r="DC46" i="110"/>
  <c r="DC90" i="110"/>
  <c r="CH90" i="110"/>
  <c r="BN35" i="110"/>
  <c r="BN86" i="110"/>
  <c r="DD7" i="110"/>
  <c r="BO90" i="110"/>
  <c r="BO19" i="110"/>
  <c r="BO26" i="110"/>
  <c r="BO17" i="110"/>
  <c r="BO36" i="110"/>
  <c r="BO43" i="110"/>
  <c r="BO93" i="110"/>
  <c r="BO95" i="110"/>
  <c r="R11" i="109"/>
  <c r="BO88" i="110"/>
  <c r="BO10" i="110"/>
  <c r="BO7" i="110" s="1"/>
  <c r="BO96" i="110"/>
  <c r="BO87" i="110"/>
  <c r="BO25" i="110"/>
  <c r="BO39" i="110"/>
  <c r="BO92" i="110"/>
  <c r="BO30" i="110"/>
  <c r="BO18" i="110"/>
  <c r="BN91" i="110"/>
  <c r="DD24" i="110"/>
  <c r="DB91" i="110"/>
  <c r="CJ13" i="110"/>
  <c r="DB86" i="110"/>
  <c r="CG91" i="110"/>
  <c r="DB94" i="110"/>
  <c r="CJ35" i="110"/>
  <c r="CG86" i="110"/>
  <c r="CJ7" i="110"/>
  <c r="CG94" i="110"/>
  <c r="CJ24" i="110"/>
  <c r="Q17" i="109"/>
  <c r="P19" i="109"/>
  <c r="DC95" i="110"/>
  <c r="DC87" i="110"/>
  <c r="CH87" i="110"/>
  <c r="CH95" i="110"/>
  <c r="DC88" i="110"/>
  <c r="CH43" i="110"/>
  <c r="CH96" i="110"/>
  <c r="CH92" i="110"/>
  <c r="CH93" i="110"/>
  <c r="CH88" i="110"/>
  <c r="DC92" i="110"/>
  <c r="DC93" i="110"/>
  <c r="DC43" i="110"/>
  <c r="DC96" i="110"/>
  <c r="S14" i="109"/>
  <c r="CK38" i="110"/>
  <c r="CK37" i="110"/>
  <c r="CK8" i="110"/>
  <c r="CK10" i="110"/>
  <c r="CK17" i="110"/>
  <c r="CK29" i="110"/>
  <c r="CK31" i="110"/>
  <c r="CK36" i="110"/>
  <c r="CK32" i="110"/>
  <c r="CK15" i="110"/>
  <c r="CK34" i="110"/>
  <c r="CK12" i="110"/>
  <c r="CK14" i="110"/>
  <c r="CK11" i="110"/>
  <c r="CK40" i="110"/>
  <c r="CK28" i="110"/>
  <c r="CK27" i="110"/>
  <c r="CK25" i="110"/>
  <c r="CK18" i="110"/>
  <c r="CK30" i="110"/>
  <c r="CK39" i="110"/>
  <c r="S10" i="109"/>
  <c r="BO41" i="132"/>
  <c r="BO92" i="132"/>
  <c r="BO97" i="132"/>
  <c r="BO100" i="132"/>
  <c r="BO99" i="132"/>
  <c r="BO102" i="132"/>
  <c r="BO96" i="132"/>
  <c r="BO40" i="131"/>
  <c r="BO101" i="132"/>
  <c r="BO103" i="132"/>
  <c r="BO100" i="130"/>
  <c r="Q100" i="130" s="1"/>
  <c r="BO34" i="130"/>
  <c r="BO28" i="130"/>
  <c r="BO40" i="130"/>
  <c r="BO102" i="130"/>
  <c r="Q102" i="130" s="1"/>
  <c r="BO103" i="130"/>
  <c r="Q103" i="130" s="1"/>
  <c r="BO32" i="130"/>
  <c r="BO27" i="130"/>
  <c r="BO95" i="132"/>
  <c r="BO90" i="132"/>
  <c r="BO93" i="132"/>
  <c r="BO91" i="132"/>
  <c r="BO94" i="132"/>
  <c r="BO30" i="130"/>
  <c r="BO90" i="131"/>
  <c r="BO104" i="132"/>
  <c r="BO19" i="131"/>
  <c r="BO44" i="132"/>
  <c r="BO97" i="130"/>
  <c r="BO9" i="131"/>
  <c r="Q9" i="131" s="1"/>
  <c r="BO88" i="131"/>
  <c r="BO42" i="132"/>
  <c r="BO37" i="132"/>
  <c r="BO8" i="132"/>
  <c r="BO27" i="132"/>
  <c r="BO17" i="132"/>
  <c r="BO40" i="132"/>
  <c r="BO90" i="130"/>
  <c r="Q90" i="130" s="1"/>
  <c r="BO8" i="131"/>
  <c r="Q8" i="131" s="1"/>
  <c r="BO94" i="130"/>
  <c r="Q94" i="130" s="1"/>
  <c r="BO104" i="131"/>
  <c r="BO92" i="131"/>
  <c r="BO89" i="130"/>
  <c r="Q89" i="130" s="1"/>
  <c r="BO93" i="130"/>
  <c r="Q93" i="130" s="1"/>
  <c r="BO41" i="130"/>
  <c r="BO95" i="131"/>
  <c r="BO37" i="131"/>
  <c r="BO100" i="131"/>
  <c r="BO88" i="130"/>
  <c r="Q88" i="130" s="1"/>
  <c r="BO101" i="130"/>
  <c r="Q101" i="130" s="1"/>
  <c r="BO27" i="131"/>
  <c r="BO102" i="131"/>
  <c r="BO94" i="131"/>
  <c r="BO91" i="131"/>
  <c r="BO41" i="131"/>
  <c r="BO35" i="130"/>
  <c r="BO43" i="130"/>
  <c r="BO43" i="132"/>
  <c r="BO19" i="132"/>
  <c r="BO28" i="131"/>
  <c r="BO25" i="132"/>
  <c r="BO34" i="131"/>
  <c r="BO32" i="132"/>
  <c r="BO35" i="131"/>
  <c r="BO32" i="131"/>
  <c r="BO28" i="132"/>
  <c r="BO29" i="132"/>
  <c r="BO96" i="130"/>
  <c r="Q96" i="130" s="1"/>
  <c r="BO92" i="130"/>
  <c r="Q92" i="130" s="1"/>
  <c r="BO96" i="131"/>
  <c r="BO42" i="130"/>
  <c r="BO91" i="130"/>
  <c r="Q91" i="130" s="1"/>
  <c r="BO95" i="130"/>
  <c r="Q95" i="130" s="1"/>
  <c r="BO104" i="130"/>
  <c r="BO101" i="131"/>
  <c r="BO103" i="131"/>
  <c r="BO97" i="131"/>
  <c r="BO93" i="131"/>
  <c r="BO89" i="131"/>
  <c r="BO29" i="130"/>
  <c r="BO37" i="130"/>
  <c r="BO9" i="132"/>
  <c r="BO29" i="131"/>
  <c r="BO43" i="131"/>
  <c r="BO19" i="130"/>
  <c r="BO42" i="131"/>
  <c r="BO34" i="132"/>
  <c r="BO30" i="131"/>
  <c r="BO30" i="132"/>
  <c r="BO35" i="132"/>
  <c r="BO25" i="130"/>
  <c r="Q25" i="130" s="1"/>
  <c r="BO17" i="130"/>
  <c r="Q17" i="130" s="1"/>
  <c r="BO31" i="131"/>
  <c r="BO31" i="132"/>
  <c r="BO36" i="130"/>
  <c r="BO36" i="132"/>
  <c r="BO25" i="131"/>
  <c r="BO17" i="131"/>
  <c r="BO20" i="130"/>
  <c r="BO36" i="131"/>
  <c r="BO20" i="131"/>
  <c r="BO20" i="132"/>
  <c r="BO31" i="130"/>
  <c r="BN44" i="127" l="1"/>
  <c r="BN41" i="127" s="1"/>
  <c r="DE13" i="127"/>
  <c r="BM5" i="127"/>
  <c r="CK13" i="126"/>
  <c r="DC86" i="126"/>
  <c r="BO94" i="127"/>
  <c r="AR44" i="127"/>
  <c r="AR41" i="127" s="1"/>
  <c r="BO91" i="127"/>
  <c r="BN44" i="126"/>
  <c r="BN41" i="126" s="1"/>
  <c r="DC45" i="110"/>
  <c r="BO35" i="126"/>
  <c r="BN6" i="127"/>
  <c r="AR6" i="127"/>
  <c r="BO24" i="126"/>
  <c r="AS16" i="127"/>
  <c r="AS16" i="126"/>
  <c r="CJ6" i="127"/>
  <c r="DD6" i="127"/>
  <c r="BO35" i="127"/>
  <c r="AS35" i="127"/>
  <c r="DE35" i="126"/>
  <c r="BN6" i="126"/>
  <c r="CJ6" i="126"/>
  <c r="AS86" i="126"/>
  <c r="DB44" i="127"/>
  <c r="DB41" i="127" s="1"/>
  <c r="DB5" i="127" s="1"/>
  <c r="DE16" i="127"/>
  <c r="CH86" i="126"/>
  <c r="CH45" i="110"/>
  <c r="DE24" i="126"/>
  <c r="DE7" i="126"/>
  <c r="CH86" i="127"/>
  <c r="DC94" i="126"/>
  <c r="CG44" i="126"/>
  <c r="CG41" i="126" s="1"/>
  <c r="CG5" i="126" s="1"/>
  <c r="CK35" i="126"/>
  <c r="CK24" i="127"/>
  <c r="CK7" i="127"/>
  <c r="CK7" i="126"/>
  <c r="CI58" i="127"/>
  <c r="DD57" i="126"/>
  <c r="DD85" i="126"/>
  <c r="CI85" i="126"/>
  <c r="DD55" i="126"/>
  <c r="DD58" i="127"/>
  <c r="CI55" i="126"/>
  <c r="DD83" i="126"/>
  <c r="CI83" i="126"/>
  <c r="CI84" i="127"/>
  <c r="CI57" i="126"/>
  <c r="CI56" i="127"/>
  <c r="DD56" i="127"/>
  <c r="DD84" i="127"/>
  <c r="DD55" i="127"/>
  <c r="DD57" i="127"/>
  <c r="DD65" i="126"/>
  <c r="CI83" i="127"/>
  <c r="CI84" i="110"/>
  <c r="CI65" i="126"/>
  <c r="DD83" i="127"/>
  <c r="CI58" i="126"/>
  <c r="DD65" i="127"/>
  <c r="CI65" i="127"/>
  <c r="CI57" i="110"/>
  <c r="DD85" i="110"/>
  <c r="CI55" i="110"/>
  <c r="CI57" i="127"/>
  <c r="DD85" i="127"/>
  <c r="CI85" i="127"/>
  <c r="CI56" i="126"/>
  <c r="CI84" i="126"/>
  <c r="DD84" i="110"/>
  <c r="CI83" i="110"/>
  <c r="CI65" i="110"/>
  <c r="CI56" i="110"/>
  <c r="DD56" i="126"/>
  <c r="DD65" i="110"/>
  <c r="DD84" i="126"/>
  <c r="CI85" i="110"/>
  <c r="DD83" i="110"/>
  <c r="DD57" i="110"/>
  <c r="DD56" i="110"/>
  <c r="DD55" i="110"/>
  <c r="CI55" i="127"/>
  <c r="DD58" i="126"/>
  <c r="DD58" i="110"/>
  <c r="CI58" i="110"/>
  <c r="DD47" i="126"/>
  <c r="DD47" i="110"/>
  <c r="CI47" i="126"/>
  <c r="CI48" i="110"/>
  <c r="DD48" i="110"/>
  <c r="DD48" i="126"/>
  <c r="CI48" i="126"/>
  <c r="CI47" i="110"/>
  <c r="DD63" i="126"/>
  <c r="DD62" i="110"/>
  <c r="CI62" i="126"/>
  <c r="CI61" i="126"/>
  <c r="DD78" i="127"/>
  <c r="DD75" i="110"/>
  <c r="CI75" i="127"/>
  <c r="DD76" i="110"/>
  <c r="CI74" i="110"/>
  <c r="DD74" i="127"/>
  <c r="CI63" i="110"/>
  <c r="DD63" i="110"/>
  <c r="DD63" i="127"/>
  <c r="DD61" i="127"/>
  <c r="CI80" i="127"/>
  <c r="CI79" i="110"/>
  <c r="CI79" i="126"/>
  <c r="DD78" i="126"/>
  <c r="CI63" i="126"/>
  <c r="DD79" i="127"/>
  <c r="CI79" i="127"/>
  <c r="CI78" i="110"/>
  <c r="DD54" i="127"/>
  <c r="CI75" i="110"/>
  <c r="DD75" i="127"/>
  <c r="DD76" i="126"/>
  <c r="CI74" i="127"/>
  <c r="DD73" i="110"/>
  <c r="CI73" i="110"/>
  <c r="DD80" i="127"/>
  <c r="DD79" i="126"/>
  <c r="CI62" i="110"/>
  <c r="CI80" i="110"/>
  <c r="DD80" i="126"/>
  <c r="CI78" i="127"/>
  <c r="CI76" i="110"/>
  <c r="DD74" i="110"/>
  <c r="CI63" i="127"/>
  <c r="DD61" i="110"/>
  <c r="CI61" i="110"/>
  <c r="CI61" i="127"/>
  <c r="CI54" i="127"/>
  <c r="CI73" i="127"/>
  <c r="DD79" i="110"/>
  <c r="CI78" i="126"/>
  <c r="CI75" i="126"/>
  <c r="CI46" i="126"/>
  <c r="CI47" i="127"/>
  <c r="DD62" i="126"/>
  <c r="CI80" i="126"/>
  <c r="CI54" i="126"/>
  <c r="DD75" i="126"/>
  <c r="CI73" i="126"/>
  <c r="DD80" i="110"/>
  <c r="DD78" i="110"/>
  <c r="CI76" i="126"/>
  <c r="CI62" i="127"/>
  <c r="DD54" i="110"/>
  <c r="CI54" i="110"/>
  <c r="DD54" i="126"/>
  <c r="DD76" i="127"/>
  <c r="DD74" i="126"/>
  <c r="DD73" i="126"/>
  <c r="DD46" i="126"/>
  <c r="DD47" i="127"/>
  <c r="DD61" i="126"/>
  <c r="DD73" i="127"/>
  <c r="DD62" i="127"/>
  <c r="CI76" i="127"/>
  <c r="CI74" i="126"/>
  <c r="DD59" i="127"/>
  <c r="CI70" i="126"/>
  <c r="DD67" i="127"/>
  <c r="CI67" i="126"/>
  <c r="DD67" i="126"/>
  <c r="DD70" i="126"/>
  <c r="CI70" i="127"/>
  <c r="CI67" i="127"/>
  <c r="DD66" i="110"/>
  <c r="DD66" i="127"/>
  <c r="DD68" i="126"/>
  <c r="CI64" i="126"/>
  <c r="DD64" i="127"/>
  <c r="DD59" i="126"/>
  <c r="DD70" i="127"/>
  <c r="CI66" i="110"/>
  <c r="DD60" i="126"/>
  <c r="DD81" i="127"/>
  <c r="DD67" i="110"/>
  <c r="CI67" i="110"/>
  <c r="CI60" i="127"/>
  <c r="CI68" i="127"/>
  <c r="CI59" i="127"/>
  <c r="CI60" i="126"/>
  <c r="CI64" i="127"/>
  <c r="CI82" i="126"/>
  <c r="DD72" i="126"/>
  <c r="DD59" i="110"/>
  <c r="CI59" i="126"/>
  <c r="CI66" i="127"/>
  <c r="CI68" i="126"/>
  <c r="DD64" i="126"/>
  <c r="CI72" i="126"/>
  <c r="CI60" i="110"/>
  <c r="DD60" i="127"/>
  <c r="DD68" i="127"/>
  <c r="DD64" i="110"/>
  <c r="DD81" i="126"/>
  <c r="CI69" i="110"/>
  <c r="DD69" i="110"/>
  <c r="DD71" i="127"/>
  <c r="CI59" i="110"/>
  <c r="DD70" i="110"/>
  <c r="CI70" i="110"/>
  <c r="CI66" i="126"/>
  <c r="CI68" i="110"/>
  <c r="CI81" i="127"/>
  <c r="CI71" i="110"/>
  <c r="CI71" i="127"/>
  <c r="DD82" i="126"/>
  <c r="DD66" i="126"/>
  <c r="DD69" i="127"/>
  <c r="DD68" i="110"/>
  <c r="CI71" i="126"/>
  <c r="CI51" i="126"/>
  <c r="DD52" i="126"/>
  <c r="CI49" i="127"/>
  <c r="DD49" i="127"/>
  <c r="DD49" i="110"/>
  <c r="CI49" i="110"/>
  <c r="CI51" i="127"/>
  <c r="CI48" i="127"/>
  <c r="CI49" i="126"/>
  <c r="CI52" i="127"/>
  <c r="DD52" i="127"/>
  <c r="CI53" i="110"/>
  <c r="CI51" i="110"/>
  <c r="DD89" i="126"/>
  <c r="CI50" i="110"/>
  <c r="DD60" i="110"/>
  <c r="CI64" i="110"/>
  <c r="CI81" i="126"/>
  <c r="DD69" i="126"/>
  <c r="DD82" i="127"/>
  <c r="CI72" i="110"/>
  <c r="DD89" i="127"/>
  <c r="CI52" i="126"/>
  <c r="CI53" i="126"/>
  <c r="CI69" i="127"/>
  <c r="DD71" i="110"/>
  <c r="CI81" i="110"/>
  <c r="CI69" i="126"/>
  <c r="CI82" i="110"/>
  <c r="DD82" i="110"/>
  <c r="DD72" i="127"/>
  <c r="DD53" i="126"/>
  <c r="DD46" i="127"/>
  <c r="CI46" i="127"/>
  <c r="DD92" i="127"/>
  <c r="CI92" i="127"/>
  <c r="DD50" i="127"/>
  <c r="DD51" i="127"/>
  <c r="DD93" i="126"/>
  <c r="DD81" i="110"/>
  <c r="CI82" i="127"/>
  <c r="DD51" i="126"/>
  <c r="DD48" i="127"/>
  <c r="CI50" i="126"/>
  <c r="DD53" i="110"/>
  <c r="DD51" i="110"/>
  <c r="DD92" i="126"/>
  <c r="DD91" i="126" s="1"/>
  <c r="DD72" i="110"/>
  <c r="CI92" i="126"/>
  <c r="CI72" i="127"/>
  <c r="CI50" i="127"/>
  <c r="DD49" i="126"/>
  <c r="DD52" i="110"/>
  <c r="CI89" i="126"/>
  <c r="DD93" i="127"/>
  <c r="DD71" i="126"/>
  <c r="CI89" i="127"/>
  <c r="CI52" i="110"/>
  <c r="CI93" i="127"/>
  <c r="CI53" i="127"/>
  <c r="DD53" i="127"/>
  <c r="CI93" i="126"/>
  <c r="DD50" i="126"/>
  <c r="DD50" i="110"/>
  <c r="DD77" i="127"/>
  <c r="DD96" i="127"/>
  <c r="DD96" i="126"/>
  <c r="DD87" i="126"/>
  <c r="DD95" i="126"/>
  <c r="CI95" i="126"/>
  <c r="CI77" i="110"/>
  <c r="DD88" i="126"/>
  <c r="CI88" i="127"/>
  <c r="DD88" i="127"/>
  <c r="CI96" i="126"/>
  <c r="CI77" i="127"/>
  <c r="DD77" i="110"/>
  <c r="CI77" i="126"/>
  <c r="DD77" i="126"/>
  <c r="DD87" i="127"/>
  <c r="CI87" i="127"/>
  <c r="CI96" i="127"/>
  <c r="CI87" i="126"/>
  <c r="CI95" i="127"/>
  <c r="DD95" i="127"/>
  <c r="CI88" i="126"/>
  <c r="CI43" i="126"/>
  <c r="DD43" i="127"/>
  <c r="CI43" i="127"/>
  <c r="DD43" i="126"/>
  <c r="CI90" i="126"/>
  <c r="DD90" i="126"/>
  <c r="CI90" i="127"/>
  <c r="DD90" i="127"/>
  <c r="DF23" i="110"/>
  <c r="DF23" i="126"/>
  <c r="DF23" i="127"/>
  <c r="DF33" i="126"/>
  <c r="DF33" i="127"/>
  <c r="DF12" i="127"/>
  <c r="DF12" i="126"/>
  <c r="DF33" i="110"/>
  <c r="DF20" i="126"/>
  <c r="DF20" i="110"/>
  <c r="DF20" i="127"/>
  <c r="DF21" i="110"/>
  <c r="DF21" i="127"/>
  <c r="DF21" i="126"/>
  <c r="DF22" i="126"/>
  <c r="DF32" i="126"/>
  <c r="DF40" i="127"/>
  <c r="DF14" i="127"/>
  <c r="DF9" i="127"/>
  <c r="DF28" i="126"/>
  <c r="DF37" i="127"/>
  <c r="DF27" i="127"/>
  <c r="DF32" i="127"/>
  <c r="DF11" i="127"/>
  <c r="DF29" i="126"/>
  <c r="DF14" i="126"/>
  <c r="DF22" i="127"/>
  <c r="DF31" i="126"/>
  <c r="DF15" i="127"/>
  <c r="DF8" i="127"/>
  <c r="DF27" i="126"/>
  <c r="DF38" i="127"/>
  <c r="DF15" i="126"/>
  <c r="DF28" i="127"/>
  <c r="DF40" i="126"/>
  <c r="DF38" i="126"/>
  <c r="DF22" i="110"/>
  <c r="DF31" i="127"/>
  <c r="DF37" i="126"/>
  <c r="DF9" i="126"/>
  <c r="DF11" i="126"/>
  <c r="DF29" i="127"/>
  <c r="DF8" i="126"/>
  <c r="DF34" i="127"/>
  <c r="DF34" i="126"/>
  <c r="DF42" i="127"/>
  <c r="DF42" i="126"/>
  <c r="DF39" i="127"/>
  <c r="DF10" i="127"/>
  <c r="DF17" i="127"/>
  <c r="DF30" i="127"/>
  <c r="DF30" i="126"/>
  <c r="DF10" i="126"/>
  <c r="DF39" i="126"/>
  <c r="DF17" i="126"/>
  <c r="DF18" i="126"/>
  <c r="DF18" i="127"/>
  <c r="DF36" i="127"/>
  <c r="DF26" i="127"/>
  <c r="DF36" i="126"/>
  <c r="DF25" i="126"/>
  <c r="DF25" i="127"/>
  <c r="DF26" i="126"/>
  <c r="DF19" i="127"/>
  <c r="DF19" i="126"/>
  <c r="BO16" i="126"/>
  <c r="BO24" i="127"/>
  <c r="BO45" i="110"/>
  <c r="AS45" i="110"/>
  <c r="AS45" i="126"/>
  <c r="AS91" i="127"/>
  <c r="CK16" i="126"/>
  <c r="CK24" i="126"/>
  <c r="CK13" i="127"/>
  <c r="AR6" i="126"/>
  <c r="DE16" i="126"/>
  <c r="DE35" i="127"/>
  <c r="DE7" i="127"/>
  <c r="DC86" i="127"/>
  <c r="DC94" i="127"/>
  <c r="CH91" i="126"/>
  <c r="DC45" i="127"/>
  <c r="CL23" i="127"/>
  <c r="CL23" i="110"/>
  <c r="CL23" i="126"/>
  <c r="CL33" i="127"/>
  <c r="CL33" i="126"/>
  <c r="CL12" i="126"/>
  <c r="CL12" i="127"/>
  <c r="CL33" i="110"/>
  <c r="CL20" i="127"/>
  <c r="CL20" i="110"/>
  <c r="CL20" i="126"/>
  <c r="CL21" i="126"/>
  <c r="CL21" i="127"/>
  <c r="CL21" i="110"/>
  <c r="CL22" i="126"/>
  <c r="CL8" i="126"/>
  <c r="CL11" i="127"/>
  <c r="CL29" i="126"/>
  <c r="CL38" i="127"/>
  <c r="CL31" i="127"/>
  <c r="CL28" i="127"/>
  <c r="CL32" i="126"/>
  <c r="CL8" i="127"/>
  <c r="CL9" i="127"/>
  <c r="CL15" i="126"/>
  <c r="CL22" i="110"/>
  <c r="CL40" i="127"/>
  <c r="CL15" i="127"/>
  <c r="CL28" i="126"/>
  <c r="CL38" i="126"/>
  <c r="CL40" i="126"/>
  <c r="CL37" i="127"/>
  <c r="CL32" i="127"/>
  <c r="CL27" i="127"/>
  <c r="CL29" i="127"/>
  <c r="CL22" i="127"/>
  <c r="CL27" i="126"/>
  <c r="CL37" i="126"/>
  <c r="CL31" i="126"/>
  <c r="CL14" i="126"/>
  <c r="CL11" i="126"/>
  <c r="CL14" i="127"/>
  <c r="CL9" i="126"/>
  <c r="CL10" i="126"/>
  <c r="CL34" i="127"/>
  <c r="CL34" i="126"/>
  <c r="CL30" i="126"/>
  <c r="CL10" i="127"/>
  <c r="CL17" i="127"/>
  <c r="CL39" i="126"/>
  <c r="CL17" i="126"/>
  <c r="CL39" i="127"/>
  <c r="CL42" i="127"/>
  <c r="CL42" i="126"/>
  <c r="CL30" i="127"/>
  <c r="CL18" i="126"/>
  <c r="CL18" i="127"/>
  <c r="CL26" i="126"/>
  <c r="CL36" i="126"/>
  <c r="CL25" i="126"/>
  <c r="CL25" i="127"/>
  <c r="CL26" i="127"/>
  <c r="CL36" i="127"/>
  <c r="CL19" i="126"/>
  <c r="CL19" i="127"/>
  <c r="AT23" i="110"/>
  <c r="AT23" i="126"/>
  <c r="AS39" i="132"/>
  <c r="AS39" i="131"/>
  <c r="AS39" i="130"/>
  <c r="AT23" i="127"/>
  <c r="AT58" i="127"/>
  <c r="AT57" i="126"/>
  <c r="AT84" i="127"/>
  <c r="AT56" i="127"/>
  <c r="AS60" i="132"/>
  <c r="AS87" i="132"/>
  <c r="AT83" i="126"/>
  <c r="AS67" i="132"/>
  <c r="AS86" i="131"/>
  <c r="AS67" i="131"/>
  <c r="AS58" i="131"/>
  <c r="AS57" i="131"/>
  <c r="AS85" i="130"/>
  <c r="AS87" i="130"/>
  <c r="AS58" i="132"/>
  <c r="AS85" i="132"/>
  <c r="AS86" i="132"/>
  <c r="AS60" i="131"/>
  <c r="AS59" i="132"/>
  <c r="AS57" i="132"/>
  <c r="AS86" i="130"/>
  <c r="AS60" i="130"/>
  <c r="AS85" i="131"/>
  <c r="AS87" i="131"/>
  <c r="AS59" i="131"/>
  <c r="AS58" i="130"/>
  <c r="AS59" i="130"/>
  <c r="AS57" i="130"/>
  <c r="AS67" i="130"/>
  <c r="AT83" i="127"/>
  <c r="AT58" i="126"/>
  <c r="AT85" i="127"/>
  <c r="AT55" i="126"/>
  <c r="AT55" i="127"/>
  <c r="AT65" i="127"/>
  <c r="AT57" i="110"/>
  <c r="AT58" i="110"/>
  <c r="AT65" i="110"/>
  <c r="AT84" i="110"/>
  <c r="AT57" i="127"/>
  <c r="AT84" i="126"/>
  <c r="AT83" i="110"/>
  <c r="AT85" i="110"/>
  <c r="AT56" i="110"/>
  <c r="AT55" i="110"/>
  <c r="AT56" i="126"/>
  <c r="AT65" i="126"/>
  <c r="AT85" i="126"/>
  <c r="AT20" i="126"/>
  <c r="AS45" i="132"/>
  <c r="AS45" i="130"/>
  <c r="AS45" i="131"/>
  <c r="AT20" i="127"/>
  <c r="AT20" i="110"/>
  <c r="AT21" i="110"/>
  <c r="AT21" i="126"/>
  <c r="AT21" i="127"/>
  <c r="AS62" i="131"/>
  <c r="AT67" i="126"/>
  <c r="AT70" i="126"/>
  <c r="AS72" i="131"/>
  <c r="AT59" i="127"/>
  <c r="AS55" i="132"/>
  <c r="AT60" i="126"/>
  <c r="AT66" i="127"/>
  <c r="AT68" i="126"/>
  <c r="AS68" i="131"/>
  <c r="AS54" i="130"/>
  <c r="AT64" i="126"/>
  <c r="AT59" i="126"/>
  <c r="AT67" i="127"/>
  <c r="AS55" i="130"/>
  <c r="AT66" i="110"/>
  <c r="AT70" i="127"/>
  <c r="AT81" i="127"/>
  <c r="AS71" i="132"/>
  <c r="AS51" i="130"/>
  <c r="AS51" i="131"/>
  <c r="AT82" i="126"/>
  <c r="AS54" i="131"/>
  <c r="AS53" i="130"/>
  <c r="AT70" i="110"/>
  <c r="AS72" i="130"/>
  <c r="AS72" i="132"/>
  <c r="AT68" i="110"/>
  <c r="AS66" i="130"/>
  <c r="AS52" i="130"/>
  <c r="AS83" i="132"/>
  <c r="AT71" i="127"/>
  <c r="AS84" i="130"/>
  <c r="AT72" i="126"/>
  <c r="AS74" i="132"/>
  <c r="AS54" i="132"/>
  <c r="AS52" i="132"/>
  <c r="AS84" i="132"/>
  <c r="AS55" i="131"/>
  <c r="AT64" i="110"/>
  <c r="AT69" i="126"/>
  <c r="AS71" i="131"/>
  <c r="AS53" i="131"/>
  <c r="AT64" i="127"/>
  <c r="AT69" i="127"/>
  <c r="AS74" i="130"/>
  <c r="AT67" i="110"/>
  <c r="AS53" i="132"/>
  <c r="AT60" i="110"/>
  <c r="AT66" i="126"/>
  <c r="AS83" i="131"/>
  <c r="AT71" i="110"/>
  <c r="AS66" i="132"/>
  <c r="AT81" i="110"/>
  <c r="AT81" i="126"/>
  <c r="AS51" i="132"/>
  <c r="AT82" i="110"/>
  <c r="AT72" i="127"/>
  <c r="AT49" i="127"/>
  <c r="AT92" i="127"/>
  <c r="AT50" i="127"/>
  <c r="AT51" i="127"/>
  <c r="AT93" i="126"/>
  <c r="AT49" i="126"/>
  <c r="AT53" i="110"/>
  <c r="AT51" i="110"/>
  <c r="AT93" i="127"/>
  <c r="AT50" i="110"/>
  <c r="AT59" i="110"/>
  <c r="AT68" i="127"/>
  <c r="AT69" i="110"/>
  <c r="AS71" i="130"/>
  <c r="AT82" i="127"/>
  <c r="AS69" i="131"/>
  <c r="AT51" i="126"/>
  <c r="AT52" i="126"/>
  <c r="AT53" i="126"/>
  <c r="AS73" i="132"/>
  <c r="AT60" i="127"/>
  <c r="AS66" i="131"/>
  <c r="AS52" i="131"/>
  <c r="AT71" i="126"/>
  <c r="AS73" i="130"/>
  <c r="AS84" i="131"/>
  <c r="AT72" i="110"/>
  <c r="AT89" i="127"/>
  <c r="AT52" i="110"/>
  <c r="AS83" i="130"/>
  <c r="AS61" i="131"/>
  <c r="AS70" i="131"/>
  <c r="AT50" i="126"/>
  <c r="AT52" i="127"/>
  <c r="AT89" i="126"/>
  <c r="AS61" i="132"/>
  <c r="AS68" i="132"/>
  <c r="AS68" i="130"/>
  <c r="AT92" i="126"/>
  <c r="AS61" i="130"/>
  <c r="AS73" i="131"/>
  <c r="AS69" i="132"/>
  <c r="AS62" i="132"/>
  <c r="AS79" i="132"/>
  <c r="AS79" i="130"/>
  <c r="AT49" i="110"/>
  <c r="AS70" i="132"/>
  <c r="AS74" i="131"/>
  <c r="AT53" i="127"/>
  <c r="AS69" i="130"/>
  <c r="AS70" i="130"/>
  <c r="AS62" i="130"/>
  <c r="AT96" i="126"/>
  <c r="AT88" i="126"/>
  <c r="AT77" i="127"/>
  <c r="AT77" i="126"/>
  <c r="AT87" i="127"/>
  <c r="AT96" i="127"/>
  <c r="AT87" i="126"/>
  <c r="AT95" i="127"/>
  <c r="AT77" i="110"/>
  <c r="AT95" i="126"/>
  <c r="AT88" i="127"/>
  <c r="AS79" i="131"/>
  <c r="AT42" i="126"/>
  <c r="AT17" i="126"/>
  <c r="AT22" i="127"/>
  <c r="AT42" i="127"/>
  <c r="AT22" i="110"/>
  <c r="AT17" i="127"/>
  <c r="AT22" i="126"/>
  <c r="AT39" i="126"/>
  <c r="AT30" i="127"/>
  <c r="AT30" i="126"/>
  <c r="AT18" i="127"/>
  <c r="AT39" i="127"/>
  <c r="AT18" i="126"/>
  <c r="AS44" i="131"/>
  <c r="AT26" i="127"/>
  <c r="AT36" i="126"/>
  <c r="AT36" i="127"/>
  <c r="AT26" i="126"/>
  <c r="AT10" i="126"/>
  <c r="AT7" i="126" s="1"/>
  <c r="AT43" i="126"/>
  <c r="AT43" i="127"/>
  <c r="AT10" i="127"/>
  <c r="AT7" i="127" s="1"/>
  <c r="AT90" i="126"/>
  <c r="AT19" i="126"/>
  <c r="AT25" i="127"/>
  <c r="AT19" i="127"/>
  <c r="AT90" i="127"/>
  <c r="AT25" i="126"/>
  <c r="AQ41" i="127"/>
  <c r="AQ5" i="127" s="1"/>
  <c r="BM5" i="126"/>
  <c r="BO16" i="127"/>
  <c r="BO45" i="127"/>
  <c r="DB44" i="126"/>
  <c r="AS45" i="127"/>
  <c r="Y46" i="127"/>
  <c r="CK16" i="127"/>
  <c r="CK35" i="127"/>
  <c r="AQ41" i="126"/>
  <c r="AR44" i="126"/>
  <c r="AR41" i="126" s="1"/>
  <c r="Q46" i="126"/>
  <c r="AO45" i="133" s="1"/>
  <c r="R46" i="126"/>
  <c r="S46" i="126"/>
  <c r="BO86" i="127"/>
  <c r="BO94" i="126"/>
  <c r="BO91" i="126"/>
  <c r="BO45" i="126"/>
  <c r="AS24" i="126"/>
  <c r="AS24" i="127"/>
  <c r="AS94" i="126"/>
  <c r="AS94" i="127"/>
  <c r="AS91" i="126"/>
  <c r="CE5" i="127"/>
  <c r="DE24" i="127"/>
  <c r="DC45" i="126"/>
  <c r="BP39" i="132"/>
  <c r="BP39" i="131"/>
  <c r="BP39" i="130"/>
  <c r="BP59" i="132"/>
  <c r="BP67" i="132"/>
  <c r="BP57" i="132"/>
  <c r="BP60" i="131"/>
  <c r="Q60" i="131" s="1"/>
  <c r="BP58" i="132"/>
  <c r="BP87" i="132"/>
  <c r="BP58" i="131"/>
  <c r="Q58" i="131" s="1"/>
  <c r="BP59" i="131"/>
  <c r="Q59" i="131" s="1"/>
  <c r="BP57" i="131"/>
  <c r="Q57" i="131" s="1"/>
  <c r="BP67" i="131"/>
  <c r="BP67" i="130"/>
  <c r="BP85" i="132"/>
  <c r="BP86" i="131"/>
  <c r="Q86" i="131" s="1"/>
  <c r="BP87" i="131"/>
  <c r="Q87" i="131" s="1"/>
  <c r="BP60" i="132"/>
  <c r="BP86" i="132"/>
  <c r="BP85" i="131"/>
  <c r="Q85" i="131" s="1"/>
  <c r="BP45" i="131"/>
  <c r="Q45" i="131" s="1"/>
  <c r="BP45" i="132"/>
  <c r="BP61" i="131"/>
  <c r="BP70" i="131"/>
  <c r="BP79" i="132"/>
  <c r="BP55" i="132"/>
  <c r="BP53" i="131"/>
  <c r="BP53" i="130"/>
  <c r="BP54" i="132"/>
  <c r="BP66" i="130"/>
  <c r="BP83" i="131"/>
  <c r="BP71" i="131"/>
  <c r="BP73" i="131"/>
  <c r="BP73" i="132"/>
  <c r="BP54" i="131"/>
  <c r="Q54" i="131" s="1"/>
  <c r="BP83" i="130"/>
  <c r="Q83" i="130" s="1"/>
  <c r="BP53" i="132"/>
  <c r="BP55" i="131"/>
  <c r="Q55" i="131" s="1"/>
  <c r="BP74" i="131"/>
  <c r="BP52" i="131"/>
  <c r="BP51" i="132"/>
  <c r="BP74" i="130"/>
  <c r="BP74" i="132"/>
  <c r="BP68" i="131"/>
  <c r="BP84" i="132"/>
  <c r="BP72" i="132"/>
  <c r="BP66" i="132"/>
  <c r="BP83" i="132"/>
  <c r="BP66" i="131"/>
  <c r="BP51" i="130"/>
  <c r="BP69" i="131"/>
  <c r="BP52" i="130"/>
  <c r="BP71" i="130"/>
  <c r="BP51" i="131"/>
  <c r="BP84" i="131"/>
  <c r="BP84" i="130"/>
  <c r="Q84" i="130" s="1"/>
  <c r="BP52" i="132"/>
  <c r="BP72" i="131"/>
  <c r="BP72" i="130"/>
  <c r="BP62" i="132"/>
  <c r="BP79" i="131"/>
  <c r="Q79" i="131" s="1"/>
  <c r="BP70" i="130"/>
  <c r="BP70" i="132"/>
  <c r="BP61" i="130"/>
  <c r="BP71" i="132"/>
  <c r="BP69" i="130"/>
  <c r="BP68" i="130"/>
  <c r="BP69" i="132"/>
  <c r="BP61" i="132"/>
  <c r="BP62" i="131"/>
  <c r="BP68" i="132"/>
  <c r="BP62" i="130"/>
  <c r="BP73" i="130"/>
  <c r="BP44" i="131"/>
  <c r="Q44" i="131" s="1"/>
  <c r="BP23" i="127"/>
  <c r="BP23" i="110"/>
  <c r="BP23" i="126"/>
  <c r="BP85" i="126"/>
  <c r="BP58" i="127"/>
  <c r="BP57" i="126"/>
  <c r="BP55" i="126"/>
  <c r="BP84" i="127"/>
  <c r="BP83" i="126"/>
  <c r="BP56" i="127"/>
  <c r="BP58" i="126"/>
  <c r="BP85" i="127"/>
  <c r="BP55" i="127"/>
  <c r="BP57" i="127"/>
  <c r="BP65" i="127"/>
  <c r="BP65" i="110"/>
  <c r="BP55" i="110"/>
  <c r="Z55" i="110" s="1"/>
  <c r="BP83" i="127"/>
  <c r="BP65" i="126"/>
  <c r="BP56" i="126"/>
  <c r="BP84" i="126"/>
  <c r="BP84" i="110"/>
  <c r="Z84" i="110" s="1"/>
  <c r="BP85" i="110"/>
  <c r="Z85" i="110" s="1"/>
  <c r="BP57" i="110"/>
  <c r="Z57" i="110" s="1"/>
  <c r="BP56" i="110"/>
  <c r="Z56" i="110" s="1"/>
  <c r="BP83" i="110"/>
  <c r="Z83" i="110" s="1"/>
  <c r="BP58" i="110"/>
  <c r="Z58" i="110" s="1"/>
  <c r="BP20" i="127"/>
  <c r="BP20" i="126"/>
  <c r="BP20" i="110"/>
  <c r="Z20" i="110" s="1"/>
  <c r="BP21" i="110"/>
  <c r="BP21" i="126"/>
  <c r="BP21" i="127"/>
  <c r="BP22" i="110"/>
  <c r="BP22" i="127"/>
  <c r="BP22" i="126"/>
  <c r="BP59" i="126"/>
  <c r="BP67" i="127"/>
  <c r="BP70" i="126"/>
  <c r="BP67" i="126"/>
  <c r="BP60" i="126"/>
  <c r="BP68" i="126"/>
  <c r="BP70" i="127"/>
  <c r="BP64" i="126"/>
  <c r="BP81" i="127"/>
  <c r="BP82" i="126"/>
  <c r="BP72" i="126"/>
  <c r="BP67" i="110"/>
  <c r="BP60" i="127"/>
  <c r="BP68" i="110"/>
  <c r="BP66" i="110"/>
  <c r="BP66" i="127"/>
  <c r="BP59" i="127"/>
  <c r="BP69" i="127"/>
  <c r="BP60" i="110"/>
  <c r="BP66" i="126"/>
  <c r="BP71" i="110"/>
  <c r="BP71" i="127"/>
  <c r="BP70" i="110"/>
  <c r="BP64" i="127"/>
  <c r="BP68" i="127"/>
  <c r="BP72" i="127"/>
  <c r="BP52" i="126"/>
  <c r="BP49" i="127"/>
  <c r="BP92" i="127"/>
  <c r="BP49" i="110"/>
  <c r="BP52" i="127"/>
  <c r="BP64" i="110"/>
  <c r="BP81" i="126"/>
  <c r="BP93" i="126"/>
  <c r="BP81" i="110"/>
  <c r="BP69" i="110"/>
  <c r="BP71" i="126"/>
  <c r="BP72" i="110"/>
  <c r="BP51" i="126"/>
  <c r="BP50" i="127"/>
  <c r="BP52" i="110"/>
  <c r="Z52" i="110" s="1"/>
  <c r="BP51" i="127"/>
  <c r="BP49" i="126"/>
  <c r="BP53" i="110"/>
  <c r="Z53" i="110" s="1"/>
  <c r="BP50" i="110"/>
  <c r="BP82" i="127"/>
  <c r="BP93" i="127"/>
  <c r="BP59" i="110"/>
  <c r="BP82" i="110"/>
  <c r="BP50" i="126"/>
  <c r="BP53" i="127"/>
  <c r="BP69" i="126"/>
  <c r="BP53" i="126"/>
  <c r="BP51" i="110"/>
  <c r="BP89" i="127"/>
  <c r="BP92" i="126"/>
  <c r="BP89" i="126"/>
  <c r="BP77" i="127"/>
  <c r="BP77" i="126"/>
  <c r="BP87" i="127"/>
  <c r="BP96" i="127"/>
  <c r="BP87" i="126"/>
  <c r="BP88" i="127"/>
  <c r="BP96" i="126"/>
  <c r="BP77" i="110"/>
  <c r="Z77" i="110" s="1"/>
  <c r="BP95" i="127"/>
  <c r="BP88" i="126"/>
  <c r="BP95" i="126"/>
  <c r="BP94" i="126" s="1"/>
  <c r="BP42" i="127"/>
  <c r="BP42" i="126"/>
  <c r="BP10" i="126"/>
  <c r="BP39" i="127"/>
  <c r="BP10" i="127"/>
  <c r="BP7" i="127" s="1"/>
  <c r="BP17" i="127"/>
  <c r="BP17" i="126"/>
  <c r="BP30" i="126"/>
  <c r="BP30" i="127"/>
  <c r="BP39" i="126"/>
  <c r="BP18" i="127"/>
  <c r="BP18" i="126"/>
  <c r="BP43" i="126"/>
  <c r="BP36" i="127"/>
  <c r="BP26" i="126"/>
  <c r="BP36" i="126"/>
  <c r="BP25" i="126"/>
  <c r="BP43" i="127"/>
  <c r="BP25" i="127"/>
  <c r="BP26" i="127"/>
  <c r="BP90" i="127"/>
  <c r="BP19" i="127"/>
  <c r="BP90" i="126"/>
  <c r="BP19" i="126"/>
  <c r="CG44" i="127"/>
  <c r="BL5" i="126"/>
  <c r="BO86" i="126"/>
  <c r="CE5" i="126"/>
  <c r="DD6" i="126"/>
  <c r="AS86" i="127"/>
  <c r="R48" i="127"/>
  <c r="Q48" i="127"/>
  <c r="AP47" i="133" s="1"/>
  <c r="S48" i="127"/>
  <c r="Q47" i="127"/>
  <c r="AP46" i="133" s="1"/>
  <c r="S47" i="127"/>
  <c r="R47" i="127"/>
  <c r="CZ5" i="127"/>
  <c r="DE13" i="126"/>
  <c r="CH91" i="127"/>
  <c r="CH45" i="127"/>
  <c r="CH45" i="126"/>
  <c r="CH44" i="126" s="1"/>
  <c r="BM5" i="110"/>
  <c r="CJ6" i="110"/>
  <c r="AQ5" i="110"/>
  <c r="DD6" i="110"/>
  <c r="BN6" i="110"/>
  <c r="AR6" i="110"/>
  <c r="Z7" i="110"/>
  <c r="AS35" i="110"/>
  <c r="AS91" i="110"/>
  <c r="AR44" i="110"/>
  <c r="AR41" i="110" s="1"/>
  <c r="BP88" i="132"/>
  <c r="BP89" i="132"/>
  <c r="AS24" i="110"/>
  <c r="AS86" i="110"/>
  <c r="AP8" i="133"/>
  <c r="BP89" i="110"/>
  <c r="Z89" i="110" s="1"/>
  <c r="BP42" i="110"/>
  <c r="Z42" i="110" s="1"/>
  <c r="CL42" i="110"/>
  <c r="CL9" i="110"/>
  <c r="CI89" i="110"/>
  <c r="DD89" i="110"/>
  <c r="DF9" i="110"/>
  <c r="DF42" i="110"/>
  <c r="AS16" i="110"/>
  <c r="AS94" i="110"/>
  <c r="AT89" i="110"/>
  <c r="AS89" i="132"/>
  <c r="AS88" i="132"/>
  <c r="AT42" i="110"/>
  <c r="AS18" i="130"/>
  <c r="AS44" i="130"/>
  <c r="AS18" i="131"/>
  <c r="AS99" i="130"/>
  <c r="AS18" i="132"/>
  <c r="AT90" i="110"/>
  <c r="R9" i="109"/>
  <c r="AS36" i="132"/>
  <c r="AS101" i="132"/>
  <c r="AS99" i="132"/>
  <c r="AS17" i="131"/>
  <c r="AS92" i="130"/>
  <c r="AS94" i="132"/>
  <c r="AS19" i="130"/>
  <c r="AT87" i="110"/>
  <c r="AS28" i="130"/>
  <c r="AS96" i="130"/>
  <c r="AS40" i="131"/>
  <c r="AS100" i="132"/>
  <c r="AT88" i="110"/>
  <c r="AS43" i="130"/>
  <c r="AS29" i="131"/>
  <c r="AS95" i="132"/>
  <c r="AT18" i="110"/>
  <c r="AS96" i="131"/>
  <c r="AS88" i="131"/>
  <c r="AS35" i="131"/>
  <c r="AS30" i="132"/>
  <c r="AS100" i="131"/>
  <c r="AS8" i="131"/>
  <c r="AS41" i="132"/>
  <c r="AS40" i="132"/>
  <c r="AS37" i="131"/>
  <c r="AT10" i="110"/>
  <c r="AT36" i="110"/>
  <c r="AS31" i="131"/>
  <c r="AT19" i="110"/>
  <c r="AS19" i="132"/>
  <c r="AT17" i="110"/>
  <c r="AS8" i="130"/>
  <c r="P8" i="130" s="1"/>
  <c r="N8" i="130" s="1"/>
  <c r="N8" i="118" s="1"/>
  <c r="AS103" i="130"/>
  <c r="AS32" i="130"/>
  <c r="AS27" i="130"/>
  <c r="AS43" i="131"/>
  <c r="AS103" i="131"/>
  <c r="AS32" i="131"/>
  <c r="AS90" i="131"/>
  <c r="AS37" i="132"/>
  <c r="AS9" i="132"/>
  <c r="AS31" i="130"/>
  <c r="AS8" i="132"/>
  <c r="AS96" i="132"/>
  <c r="AS91" i="132"/>
  <c r="AS41" i="130"/>
  <c r="AS17" i="130"/>
  <c r="AS102" i="132"/>
  <c r="AS97" i="132"/>
  <c r="AS101" i="130"/>
  <c r="AS100" i="130"/>
  <c r="AS30" i="130"/>
  <c r="AS35" i="130"/>
  <c r="AS104" i="132"/>
  <c r="AS89" i="130"/>
  <c r="AS36" i="130"/>
  <c r="AS29" i="130"/>
  <c r="AS41" i="131"/>
  <c r="AT92" i="110"/>
  <c r="AS95" i="131"/>
  <c r="AS102" i="131"/>
  <c r="AS34" i="131"/>
  <c r="AS28" i="132"/>
  <c r="AS91" i="131"/>
  <c r="AS94" i="131"/>
  <c r="AS19" i="131"/>
  <c r="AS28" i="131"/>
  <c r="AS35" i="132"/>
  <c r="AS25" i="132"/>
  <c r="AT39" i="110"/>
  <c r="AS20" i="130"/>
  <c r="AS25" i="131"/>
  <c r="AS31" i="132"/>
  <c r="AT26" i="110"/>
  <c r="AS43" i="132"/>
  <c r="AS42" i="130"/>
  <c r="AS97" i="130"/>
  <c r="AS104" i="131"/>
  <c r="AS93" i="130"/>
  <c r="AS99" i="131"/>
  <c r="AS92" i="131"/>
  <c r="AS32" i="132"/>
  <c r="AS20" i="131"/>
  <c r="AS20" i="132"/>
  <c r="AS34" i="132"/>
  <c r="AS93" i="132"/>
  <c r="AS95" i="130"/>
  <c r="AS40" i="130"/>
  <c r="AT96" i="110"/>
  <c r="AS104" i="130"/>
  <c r="AS90" i="130"/>
  <c r="AS30" i="131"/>
  <c r="AS90" i="132"/>
  <c r="AS102" i="130"/>
  <c r="AS91" i="130"/>
  <c r="AS92" i="132"/>
  <c r="AS34" i="130"/>
  <c r="AS42" i="132"/>
  <c r="AT95" i="110"/>
  <c r="AS27" i="131"/>
  <c r="AS97" i="131"/>
  <c r="AS9" i="131"/>
  <c r="AS29" i="132"/>
  <c r="AS93" i="131"/>
  <c r="AS89" i="131"/>
  <c r="AS37" i="130"/>
  <c r="AS17" i="132"/>
  <c r="AS27" i="132"/>
  <c r="AS9" i="130"/>
  <c r="P9" i="130" s="1"/>
  <c r="N9" i="130" s="1"/>
  <c r="N9" i="118" s="1"/>
  <c r="AT25" i="110"/>
  <c r="AS44" i="132"/>
  <c r="AT30" i="110"/>
  <c r="AS7" i="132"/>
  <c r="P7" i="132" s="1"/>
  <c r="N7" i="132" s="1"/>
  <c r="P7" i="118" s="1"/>
  <c r="AS103" i="132"/>
  <c r="AS88" i="130"/>
  <c r="AT93" i="110"/>
  <c r="AS94" i="130"/>
  <c r="AS36" i="131"/>
  <c r="AS42" i="131"/>
  <c r="AS101" i="131"/>
  <c r="AS25" i="130"/>
  <c r="AT43" i="110"/>
  <c r="DE16" i="110"/>
  <c r="CK16" i="110"/>
  <c r="BO16" i="110"/>
  <c r="BN44" i="110"/>
  <c r="BN41" i="110" s="1"/>
  <c r="CG44" i="110"/>
  <c r="CG41" i="110" s="1"/>
  <c r="CG5" i="110" s="1"/>
  <c r="DB44" i="110"/>
  <c r="DB41" i="110" s="1"/>
  <c r="DB5" i="110" s="1"/>
  <c r="BO24" i="110"/>
  <c r="DE7" i="110"/>
  <c r="DE13" i="110"/>
  <c r="DD46" i="110"/>
  <c r="CI46" i="110"/>
  <c r="CI90" i="110"/>
  <c r="DD90" i="110"/>
  <c r="CL26" i="110"/>
  <c r="CL19" i="110"/>
  <c r="Z10" i="110"/>
  <c r="DE35" i="110"/>
  <c r="BO86" i="110"/>
  <c r="BP26" i="110"/>
  <c r="Z26" i="110" s="1"/>
  <c r="BP90" i="110"/>
  <c r="Z90" i="110" s="1"/>
  <c r="BP19" i="110"/>
  <c r="Z19" i="110" s="1"/>
  <c r="BP17" i="110"/>
  <c r="BP88" i="110"/>
  <c r="Z88" i="110" s="1"/>
  <c r="BP92" i="110"/>
  <c r="BP96" i="110"/>
  <c r="Z96" i="110" s="1"/>
  <c r="BP36" i="110"/>
  <c r="BP93" i="110"/>
  <c r="Z93" i="110" s="1"/>
  <c r="BP43" i="110"/>
  <c r="BP87" i="110"/>
  <c r="BP25" i="110"/>
  <c r="BP18" i="110"/>
  <c r="BP39" i="110"/>
  <c r="Z39" i="110" s="1"/>
  <c r="S11" i="109"/>
  <c r="BP95" i="110"/>
  <c r="BP30" i="110"/>
  <c r="Z30" i="110" s="1"/>
  <c r="DF19" i="110"/>
  <c r="DF26" i="110"/>
  <c r="S15" i="109"/>
  <c r="DF34" i="110"/>
  <c r="DF29" i="110"/>
  <c r="DF27" i="110"/>
  <c r="DF11" i="110"/>
  <c r="DF15" i="110"/>
  <c r="DF25" i="110"/>
  <c r="DF39" i="110"/>
  <c r="DF31" i="110"/>
  <c r="DF38" i="110"/>
  <c r="DF40" i="110"/>
  <c r="DF30" i="110"/>
  <c r="DF32" i="110"/>
  <c r="DF17" i="110"/>
  <c r="DF10" i="110"/>
  <c r="DF14" i="110"/>
  <c r="DF28" i="110"/>
  <c r="DF12" i="110"/>
  <c r="DF8" i="110"/>
  <c r="DF37" i="110"/>
  <c r="DF36" i="110"/>
  <c r="DF18" i="110"/>
  <c r="BP18" i="131"/>
  <c r="Q18" i="131" s="1"/>
  <c r="BP18" i="132"/>
  <c r="BP99" i="131"/>
  <c r="Q99" i="131" s="1"/>
  <c r="BP44" i="132"/>
  <c r="BP99" i="132"/>
  <c r="BO91" i="110"/>
  <c r="BO94" i="110"/>
  <c r="BO35" i="110"/>
  <c r="DE24" i="110"/>
  <c r="CK13" i="110"/>
  <c r="CH94" i="110"/>
  <c r="DC94" i="110"/>
  <c r="CK35" i="110"/>
  <c r="CH86" i="110"/>
  <c r="CK24" i="110"/>
  <c r="CK7" i="110"/>
  <c r="DC91" i="110"/>
  <c r="CH91" i="110"/>
  <c r="DC86" i="110"/>
  <c r="CI43" i="110"/>
  <c r="DD43" i="110"/>
  <c r="CI96" i="110"/>
  <c r="CI87" i="110"/>
  <c r="DD93" i="110"/>
  <c r="DD96" i="110"/>
  <c r="CI88" i="110"/>
  <c r="DD88" i="110"/>
  <c r="DD95" i="110"/>
  <c r="CI92" i="110"/>
  <c r="CI95" i="110"/>
  <c r="DD92" i="110"/>
  <c r="DD87" i="110"/>
  <c r="CI93" i="110"/>
  <c r="R17" i="109"/>
  <c r="Q19" i="109"/>
  <c r="T10" i="109"/>
  <c r="BP41" i="132"/>
  <c r="BP37" i="132"/>
  <c r="BP40" i="132"/>
  <c r="BP92" i="132"/>
  <c r="BP102" i="132"/>
  <c r="BP96" i="132"/>
  <c r="BP100" i="132"/>
  <c r="BP97" i="132"/>
  <c r="BP101" i="132"/>
  <c r="BP40" i="131"/>
  <c r="BP34" i="130"/>
  <c r="BP40" i="130"/>
  <c r="BP90" i="132"/>
  <c r="BP27" i="130"/>
  <c r="BP103" i="132"/>
  <c r="BP104" i="132"/>
  <c r="BP28" i="130"/>
  <c r="BP32" i="130"/>
  <c r="BP93" i="132"/>
  <c r="BP91" i="132"/>
  <c r="BP94" i="132"/>
  <c r="BP30" i="130"/>
  <c r="BP104" i="130"/>
  <c r="BP95" i="132"/>
  <c r="BP27" i="132"/>
  <c r="BP17" i="132"/>
  <c r="BP42" i="132"/>
  <c r="BP92" i="131"/>
  <c r="Q92" i="131" s="1"/>
  <c r="BP41" i="130"/>
  <c r="BP90" i="131"/>
  <c r="Q90" i="131" s="1"/>
  <c r="BP95" i="131"/>
  <c r="Q95" i="131" s="1"/>
  <c r="BP37" i="131"/>
  <c r="BP101" i="131"/>
  <c r="Q101" i="131" s="1"/>
  <c r="BP94" i="131"/>
  <c r="Q94" i="131" s="1"/>
  <c r="BP103" i="131"/>
  <c r="Q103" i="131" s="1"/>
  <c r="BP97" i="131"/>
  <c r="BP89" i="131"/>
  <c r="Q89" i="131" s="1"/>
  <c r="BP88" i="131"/>
  <c r="Q88" i="131" s="1"/>
  <c r="BP37" i="130"/>
  <c r="BP8" i="132"/>
  <c r="Q8" i="132" s="1"/>
  <c r="BP19" i="131"/>
  <c r="BP43" i="131"/>
  <c r="BP25" i="132"/>
  <c r="BP34" i="131"/>
  <c r="BP42" i="131"/>
  <c r="BP35" i="131"/>
  <c r="BP34" i="132"/>
  <c r="BP30" i="131"/>
  <c r="BP30" i="132"/>
  <c r="BP104" i="131"/>
  <c r="BP100" i="131"/>
  <c r="Q100" i="131" s="1"/>
  <c r="BP97" i="130"/>
  <c r="BP96" i="131"/>
  <c r="Q96" i="131" s="1"/>
  <c r="BP27" i="131"/>
  <c r="BP42" i="130"/>
  <c r="BP102" i="131"/>
  <c r="Q102" i="131" s="1"/>
  <c r="BP91" i="131"/>
  <c r="Q91" i="131" s="1"/>
  <c r="BP41" i="131"/>
  <c r="BP35" i="130"/>
  <c r="BP93" i="131"/>
  <c r="Q93" i="131" s="1"/>
  <c r="BP29" i="130"/>
  <c r="BP9" i="132"/>
  <c r="Q9" i="132" s="1"/>
  <c r="BP29" i="131"/>
  <c r="BP43" i="130"/>
  <c r="BP43" i="132"/>
  <c r="BP19" i="132"/>
  <c r="BP19" i="130"/>
  <c r="BP28" i="131"/>
  <c r="BP32" i="132"/>
  <c r="BP32" i="131"/>
  <c r="BP28" i="132"/>
  <c r="BP29" i="132"/>
  <c r="BP35" i="132"/>
  <c r="BP25" i="131"/>
  <c r="Q25" i="131" s="1"/>
  <c r="BP20" i="131"/>
  <c r="BP20" i="132"/>
  <c r="BP36" i="130"/>
  <c r="BP36" i="132"/>
  <c r="BP17" i="131"/>
  <c r="Q17" i="131" s="1"/>
  <c r="BP20" i="130"/>
  <c r="BP31" i="131"/>
  <c r="BP36" i="131"/>
  <c r="BP31" i="130"/>
  <c r="BP31" i="132"/>
  <c r="CL32" i="110"/>
  <c r="T14" i="109"/>
  <c r="CL31" i="110"/>
  <c r="CL39" i="110"/>
  <c r="CL37" i="110"/>
  <c r="CL15" i="110"/>
  <c r="CL17" i="110"/>
  <c r="CL12" i="110"/>
  <c r="CL10" i="110"/>
  <c r="CL38" i="110"/>
  <c r="CL36" i="110"/>
  <c r="CL34" i="110"/>
  <c r="CL25" i="110"/>
  <c r="CL29" i="110"/>
  <c r="CL11" i="110"/>
  <c r="CL40" i="110"/>
  <c r="CL30" i="110"/>
  <c r="CL18" i="110"/>
  <c r="CL27" i="110"/>
  <c r="CL14" i="110"/>
  <c r="CL8" i="110"/>
  <c r="CL28" i="110"/>
  <c r="Q39" i="110"/>
  <c r="AN38" i="133" s="1"/>
  <c r="S39" i="110"/>
  <c r="S30" i="110"/>
  <c r="Q30" i="110"/>
  <c r="AN29" i="133" s="1"/>
  <c r="R30" i="110"/>
  <c r="AU97" i="130"/>
  <c r="BN5" i="127" l="1"/>
  <c r="AS6" i="126"/>
  <c r="DC44" i="126"/>
  <c r="DC41" i="126" s="1"/>
  <c r="DC5" i="126" s="1"/>
  <c r="AT35" i="126"/>
  <c r="DD86" i="127"/>
  <c r="DF13" i="126"/>
  <c r="DF13" i="127"/>
  <c r="CI94" i="126"/>
  <c r="DD94" i="126"/>
  <c r="AR5" i="127"/>
  <c r="AT86" i="127"/>
  <c r="AS44" i="127"/>
  <c r="AS41" i="127" s="1"/>
  <c r="BP35" i="127"/>
  <c r="DF24" i="127"/>
  <c r="AT16" i="127"/>
  <c r="CL16" i="126"/>
  <c r="DE6" i="127"/>
  <c r="DF16" i="127"/>
  <c r="CL13" i="126"/>
  <c r="CL7" i="127"/>
  <c r="BN5" i="126"/>
  <c r="DF35" i="126"/>
  <c r="AS6" i="127"/>
  <c r="AT35" i="127"/>
  <c r="BP16" i="127"/>
  <c r="BP94" i="127"/>
  <c r="BO6" i="127"/>
  <c r="AT86" i="126"/>
  <c r="AT91" i="126"/>
  <c r="CL16" i="127"/>
  <c r="DF7" i="127"/>
  <c r="CI45" i="110"/>
  <c r="CH44" i="127"/>
  <c r="CH41" i="127" s="1"/>
  <c r="CH5" i="127" s="1"/>
  <c r="BP16" i="126"/>
  <c r="BP24" i="127"/>
  <c r="AT24" i="127"/>
  <c r="CL35" i="127"/>
  <c r="DD94" i="127"/>
  <c r="DD45" i="110"/>
  <c r="AS44" i="126"/>
  <c r="AS41" i="126" s="1"/>
  <c r="CL13" i="127"/>
  <c r="CK6" i="126"/>
  <c r="CI94" i="127"/>
  <c r="CH41" i="126"/>
  <c r="BQ39" i="130"/>
  <c r="BQ39" i="132"/>
  <c r="BQ39" i="131"/>
  <c r="BQ67" i="132"/>
  <c r="BQ67" i="130"/>
  <c r="BQ58" i="132"/>
  <c r="Q58" i="132" s="1"/>
  <c r="BQ60" i="132"/>
  <c r="Q60" i="132" s="1"/>
  <c r="BQ57" i="132"/>
  <c r="Q57" i="132" s="1"/>
  <c r="BQ85" i="132"/>
  <c r="Q85" i="132" s="1"/>
  <c r="BQ59" i="132"/>
  <c r="Q59" i="132" s="1"/>
  <c r="BQ67" i="131"/>
  <c r="BQ87" i="132"/>
  <c r="Q87" i="132" s="1"/>
  <c r="BQ86" i="132"/>
  <c r="Q86" i="132" s="1"/>
  <c r="BQ45" i="132"/>
  <c r="Q45" i="132" s="1"/>
  <c r="BQ79" i="132"/>
  <c r="Q79" i="132" s="1"/>
  <c r="BQ61" i="131"/>
  <c r="BQ70" i="131"/>
  <c r="BQ68" i="131"/>
  <c r="BQ54" i="132"/>
  <c r="Q54" i="132" s="1"/>
  <c r="BQ53" i="130"/>
  <c r="BQ66" i="130"/>
  <c r="BQ71" i="132"/>
  <c r="BQ55" i="132"/>
  <c r="Q55" i="132" s="1"/>
  <c r="BQ74" i="131"/>
  <c r="BQ52" i="131"/>
  <c r="BQ83" i="131"/>
  <c r="Q83" i="131" s="1"/>
  <c r="BQ73" i="131"/>
  <c r="BQ73" i="132"/>
  <c r="BQ74" i="132"/>
  <c r="BQ71" i="131"/>
  <c r="BQ84" i="132"/>
  <c r="BQ66" i="132"/>
  <c r="BQ52" i="132"/>
  <c r="BQ73" i="130"/>
  <c r="BQ72" i="132"/>
  <c r="BQ53" i="132"/>
  <c r="BQ74" i="130"/>
  <c r="BQ51" i="132"/>
  <c r="BQ53" i="131"/>
  <c r="BQ52" i="130"/>
  <c r="BQ51" i="130"/>
  <c r="BQ84" i="131"/>
  <c r="Q84" i="131" s="1"/>
  <c r="BQ72" i="131"/>
  <c r="BQ66" i="131"/>
  <c r="BQ71" i="130"/>
  <c r="BQ51" i="131"/>
  <c r="BQ62" i="131"/>
  <c r="BQ69" i="131"/>
  <c r="BQ69" i="132"/>
  <c r="BQ61" i="132"/>
  <c r="BQ70" i="132"/>
  <c r="BQ70" i="130"/>
  <c r="BQ62" i="130"/>
  <c r="BQ68" i="130"/>
  <c r="BQ72" i="130"/>
  <c r="BQ62" i="132"/>
  <c r="BQ83" i="132"/>
  <c r="BQ68" i="132"/>
  <c r="BQ61" i="130"/>
  <c r="BQ69" i="130"/>
  <c r="BP86" i="127"/>
  <c r="BP91" i="127"/>
  <c r="S46" i="127"/>
  <c r="R46" i="127"/>
  <c r="Q46" i="127"/>
  <c r="AP45" i="133" s="1"/>
  <c r="DB41" i="126"/>
  <c r="AT24" i="126"/>
  <c r="AT16" i="126"/>
  <c r="AT94" i="127"/>
  <c r="CL24" i="127"/>
  <c r="CL24" i="126"/>
  <c r="DF24" i="126"/>
  <c r="CI86" i="127"/>
  <c r="CI91" i="126"/>
  <c r="DD45" i="127"/>
  <c r="CJ58" i="127"/>
  <c r="DE55" i="126"/>
  <c r="DE83" i="126"/>
  <c r="DE57" i="126"/>
  <c r="DE58" i="127"/>
  <c r="DE84" i="127"/>
  <c r="CJ56" i="127"/>
  <c r="DE56" i="127"/>
  <c r="CJ55" i="126"/>
  <c r="CJ83" i="126"/>
  <c r="CJ57" i="126"/>
  <c r="DE85" i="126"/>
  <c r="DE65" i="126"/>
  <c r="CJ83" i="127"/>
  <c r="CJ84" i="127"/>
  <c r="CJ85" i="126"/>
  <c r="CJ55" i="127"/>
  <c r="CJ65" i="126"/>
  <c r="CJ57" i="127"/>
  <c r="DE83" i="127"/>
  <c r="DE57" i="127"/>
  <c r="CJ84" i="126"/>
  <c r="DE65" i="127"/>
  <c r="CJ84" i="110"/>
  <c r="CJ85" i="110"/>
  <c r="DE55" i="110"/>
  <c r="DE58" i="126"/>
  <c r="CJ56" i="126"/>
  <c r="DE56" i="126"/>
  <c r="DE65" i="110"/>
  <c r="DE57" i="110"/>
  <c r="DE56" i="110"/>
  <c r="CJ58" i="126"/>
  <c r="CJ85" i="127"/>
  <c r="DE84" i="110"/>
  <c r="DE83" i="110"/>
  <c r="DE85" i="110"/>
  <c r="CJ65" i="110"/>
  <c r="CJ55" i="110"/>
  <c r="CJ57" i="110"/>
  <c r="DE55" i="127"/>
  <c r="CJ83" i="110"/>
  <c r="DE85" i="127"/>
  <c r="CJ56" i="110"/>
  <c r="DE58" i="110"/>
  <c r="CJ58" i="110"/>
  <c r="CJ65" i="127"/>
  <c r="DE84" i="126"/>
  <c r="CJ48" i="127"/>
  <c r="DE47" i="126"/>
  <c r="CJ48" i="126"/>
  <c r="CJ47" i="110"/>
  <c r="CJ47" i="127"/>
  <c r="CJ47" i="126"/>
  <c r="DE48" i="110"/>
  <c r="DE48" i="127"/>
  <c r="DE48" i="126"/>
  <c r="DE47" i="110"/>
  <c r="DE47" i="127"/>
  <c r="CJ48" i="110"/>
  <c r="DE63" i="126"/>
  <c r="CJ63" i="126"/>
  <c r="DE62" i="110"/>
  <c r="DE80" i="126"/>
  <c r="CJ78" i="127"/>
  <c r="DE78" i="127"/>
  <c r="DE75" i="110"/>
  <c r="CJ75" i="110"/>
  <c r="CJ74" i="110"/>
  <c r="CJ73" i="110"/>
  <c r="DE73" i="127"/>
  <c r="CJ73" i="127"/>
  <c r="DE63" i="110"/>
  <c r="DE63" i="127"/>
  <c r="CJ62" i="127"/>
  <c r="CJ61" i="110"/>
  <c r="DE61" i="127"/>
  <c r="CJ79" i="126"/>
  <c r="DE78" i="126"/>
  <c r="DE54" i="110"/>
  <c r="CJ54" i="126"/>
  <c r="DE54" i="126"/>
  <c r="DE62" i="126"/>
  <c r="CJ54" i="127"/>
  <c r="DE75" i="127"/>
  <c r="CJ76" i="126"/>
  <c r="DE74" i="110"/>
  <c r="CJ46" i="127"/>
  <c r="CJ63" i="110"/>
  <c r="CJ63" i="127"/>
  <c r="DE61" i="110"/>
  <c r="DE79" i="110"/>
  <c r="CJ62" i="110"/>
  <c r="CJ62" i="126"/>
  <c r="CJ61" i="126"/>
  <c r="CJ80" i="110"/>
  <c r="DE80" i="110"/>
  <c r="CJ80" i="126"/>
  <c r="CJ79" i="127"/>
  <c r="DE78" i="110"/>
  <c r="DE54" i="127"/>
  <c r="DE76" i="110"/>
  <c r="CJ74" i="127"/>
  <c r="DE73" i="110"/>
  <c r="DE62" i="127"/>
  <c r="DE61" i="126"/>
  <c r="CJ76" i="110"/>
  <c r="DE74" i="127"/>
  <c r="CJ61" i="127"/>
  <c r="CJ79" i="110"/>
  <c r="DE79" i="126"/>
  <c r="CJ75" i="126"/>
  <c r="DE74" i="126"/>
  <c r="CJ73" i="126"/>
  <c r="CJ46" i="126"/>
  <c r="DE79" i="127"/>
  <c r="DE46" i="127"/>
  <c r="CJ80" i="127"/>
  <c r="CJ78" i="126"/>
  <c r="DE75" i="126"/>
  <c r="CJ76" i="127"/>
  <c r="CJ74" i="126"/>
  <c r="CJ75" i="127"/>
  <c r="DE80" i="127"/>
  <c r="CJ54" i="110"/>
  <c r="DE76" i="127"/>
  <c r="CJ78" i="110"/>
  <c r="DE76" i="126"/>
  <c r="DE73" i="126"/>
  <c r="DE46" i="126"/>
  <c r="CJ59" i="127"/>
  <c r="CJ67" i="126"/>
  <c r="DE66" i="110"/>
  <c r="CJ66" i="110"/>
  <c r="DE59" i="127"/>
  <c r="CJ59" i="126"/>
  <c r="DE67" i="126"/>
  <c r="CJ70" i="127"/>
  <c r="DE66" i="127"/>
  <c r="CJ64" i="126"/>
  <c r="DE64" i="127"/>
  <c r="CJ81" i="127"/>
  <c r="DE70" i="126"/>
  <c r="CJ70" i="126"/>
  <c r="DE59" i="126"/>
  <c r="CJ60" i="126"/>
  <c r="DE60" i="126"/>
  <c r="DE68" i="126"/>
  <c r="DE64" i="126"/>
  <c r="CJ64" i="127"/>
  <c r="DE71" i="110"/>
  <c r="CJ59" i="110"/>
  <c r="DE67" i="110"/>
  <c r="CJ70" i="110"/>
  <c r="CJ60" i="110"/>
  <c r="DE60" i="127"/>
  <c r="CJ66" i="126"/>
  <c r="DE67" i="127"/>
  <c r="CJ66" i="127"/>
  <c r="CJ69" i="127"/>
  <c r="DE82" i="126"/>
  <c r="CJ72" i="126"/>
  <c r="DE70" i="127"/>
  <c r="CJ67" i="127"/>
  <c r="CJ67" i="110"/>
  <c r="DE68" i="110"/>
  <c r="DE81" i="110"/>
  <c r="DE69" i="126"/>
  <c r="DE81" i="127"/>
  <c r="DE69" i="127"/>
  <c r="CJ71" i="110"/>
  <c r="CJ82" i="126"/>
  <c r="DE72" i="126"/>
  <c r="DE70" i="110"/>
  <c r="CJ68" i="110"/>
  <c r="CJ68" i="126"/>
  <c r="DE71" i="127"/>
  <c r="DE60" i="110"/>
  <c r="DE69" i="110"/>
  <c r="CJ69" i="126"/>
  <c r="DE82" i="110"/>
  <c r="DE82" i="127"/>
  <c r="CJ82" i="127"/>
  <c r="CJ72" i="110"/>
  <c r="DE72" i="110"/>
  <c r="CJ89" i="127"/>
  <c r="DE49" i="127"/>
  <c r="DE92" i="127"/>
  <c r="DE50" i="127"/>
  <c r="DE52" i="110"/>
  <c r="CJ49" i="126"/>
  <c r="CJ92" i="126"/>
  <c r="CJ89" i="126"/>
  <c r="CJ71" i="127"/>
  <c r="DE66" i="126"/>
  <c r="DE81" i="126"/>
  <c r="CJ69" i="110"/>
  <c r="DE71" i="126"/>
  <c r="CJ72" i="127"/>
  <c r="CJ52" i="126"/>
  <c r="CJ50" i="127"/>
  <c r="CJ51" i="127"/>
  <c r="CJ93" i="126"/>
  <c r="DE93" i="126"/>
  <c r="CJ52" i="110"/>
  <c r="DE59" i="110"/>
  <c r="CJ68" i="127"/>
  <c r="CJ64" i="110"/>
  <c r="CJ81" i="110"/>
  <c r="CJ71" i="126"/>
  <c r="CJ82" i="110"/>
  <c r="CJ51" i="126"/>
  <c r="DE52" i="126"/>
  <c r="DE53" i="126"/>
  <c r="CJ49" i="110"/>
  <c r="DE51" i="127"/>
  <c r="CJ53" i="126"/>
  <c r="DE51" i="110"/>
  <c r="CJ51" i="110"/>
  <c r="DE92" i="126"/>
  <c r="DE91" i="126" s="1"/>
  <c r="CJ93" i="127"/>
  <c r="DE53" i="127"/>
  <c r="CJ53" i="110"/>
  <c r="CJ60" i="127"/>
  <c r="DE68" i="127"/>
  <c r="CJ50" i="126"/>
  <c r="DE50" i="126"/>
  <c r="DE49" i="126"/>
  <c r="CJ52" i="127"/>
  <c r="DE89" i="126"/>
  <c r="DE50" i="110"/>
  <c r="CJ50" i="110"/>
  <c r="DE64" i="110"/>
  <c r="DE51" i="126"/>
  <c r="DE52" i="127"/>
  <c r="CJ81" i="126"/>
  <c r="DE89" i="127"/>
  <c r="DE93" i="127"/>
  <c r="CJ53" i="127"/>
  <c r="DE72" i="127"/>
  <c r="CJ49" i="127"/>
  <c r="CJ92" i="127"/>
  <c r="DE49" i="110"/>
  <c r="DE53" i="110"/>
  <c r="DE87" i="127"/>
  <c r="CJ87" i="127"/>
  <c r="DE96" i="126"/>
  <c r="CJ95" i="127"/>
  <c r="DE95" i="127"/>
  <c r="CJ88" i="126"/>
  <c r="DE88" i="126"/>
  <c r="CJ95" i="126"/>
  <c r="DE96" i="127"/>
  <c r="CJ96" i="127"/>
  <c r="DE87" i="126"/>
  <c r="CJ96" i="126"/>
  <c r="DE88" i="127"/>
  <c r="DE77" i="110"/>
  <c r="CJ77" i="110"/>
  <c r="CJ77" i="126"/>
  <c r="DE77" i="126"/>
  <c r="DE77" i="127"/>
  <c r="CJ77" i="127"/>
  <c r="CJ87" i="126"/>
  <c r="DE95" i="126"/>
  <c r="CJ88" i="127"/>
  <c r="DE43" i="126"/>
  <c r="CJ43" i="126"/>
  <c r="CJ43" i="127"/>
  <c r="DE43" i="127"/>
  <c r="DE90" i="127"/>
  <c r="CJ90" i="126"/>
  <c r="DE90" i="126"/>
  <c r="CJ90" i="127"/>
  <c r="DG23" i="110"/>
  <c r="DG23" i="126"/>
  <c r="DG23" i="127"/>
  <c r="DG33" i="127"/>
  <c r="DG33" i="126"/>
  <c r="DG12" i="126"/>
  <c r="DG12" i="127"/>
  <c r="DG33" i="110"/>
  <c r="DG20" i="127"/>
  <c r="DG20" i="126"/>
  <c r="DG20" i="110"/>
  <c r="DG21" i="127"/>
  <c r="DG21" i="110"/>
  <c r="DG21" i="126"/>
  <c r="DG22" i="110"/>
  <c r="DG9" i="127"/>
  <c r="DG15" i="126"/>
  <c r="DG27" i="127"/>
  <c r="DG32" i="127"/>
  <c r="DG31" i="126"/>
  <c r="DG15" i="127"/>
  <c r="DG14" i="127"/>
  <c r="DG8" i="126"/>
  <c r="DG27" i="126"/>
  <c r="DG28" i="126"/>
  <c r="DG22" i="127"/>
  <c r="DG11" i="127"/>
  <c r="DG29" i="126"/>
  <c r="DG38" i="126"/>
  <c r="DG40" i="126"/>
  <c r="DG31" i="127"/>
  <c r="DG14" i="126"/>
  <c r="DG22" i="126"/>
  <c r="DG11" i="126"/>
  <c r="DG9" i="126"/>
  <c r="DG10" i="126"/>
  <c r="DG40" i="127"/>
  <c r="DG29" i="127"/>
  <c r="DG8" i="127"/>
  <c r="DG37" i="127"/>
  <c r="DG32" i="126"/>
  <c r="DG38" i="127"/>
  <c r="DG37" i="126"/>
  <c r="DG28" i="127"/>
  <c r="DG34" i="127"/>
  <c r="DG34" i="126"/>
  <c r="DG39" i="126"/>
  <c r="DG10" i="127"/>
  <c r="DG17" i="127"/>
  <c r="DG17" i="126"/>
  <c r="DG42" i="127"/>
  <c r="DG42" i="126"/>
  <c r="DG30" i="126"/>
  <c r="DG30" i="127"/>
  <c r="DG39" i="127"/>
  <c r="DG18" i="126"/>
  <c r="DG18" i="127"/>
  <c r="DG25" i="126"/>
  <c r="DG25" i="127"/>
  <c r="DG26" i="126"/>
  <c r="DG36" i="127"/>
  <c r="DG26" i="127"/>
  <c r="DG36" i="126"/>
  <c r="DG19" i="126"/>
  <c r="DG19" i="127"/>
  <c r="BP35" i="126"/>
  <c r="BP91" i="126"/>
  <c r="BP45" i="127"/>
  <c r="AQ5" i="126"/>
  <c r="DE6" i="126"/>
  <c r="DF35" i="127"/>
  <c r="DD86" i="126"/>
  <c r="CI91" i="127"/>
  <c r="DD45" i="126"/>
  <c r="CM23" i="126"/>
  <c r="CM23" i="110"/>
  <c r="CM23" i="127"/>
  <c r="CM33" i="126"/>
  <c r="CM42" i="126"/>
  <c r="CM33" i="127"/>
  <c r="CM12" i="127"/>
  <c r="CM12" i="126"/>
  <c r="CM33" i="110"/>
  <c r="CM20" i="110"/>
  <c r="CM20" i="127"/>
  <c r="CM20" i="126"/>
  <c r="CM21" i="110"/>
  <c r="CM21" i="126"/>
  <c r="CM21" i="127"/>
  <c r="CM32" i="127"/>
  <c r="CM19" i="126"/>
  <c r="CM15" i="127"/>
  <c r="CM11" i="127"/>
  <c r="CM37" i="127"/>
  <c r="CM9" i="126"/>
  <c r="CM39" i="126"/>
  <c r="CM29" i="127"/>
  <c r="CM26" i="126"/>
  <c r="CM10" i="126"/>
  <c r="CM22" i="126"/>
  <c r="CM22" i="110"/>
  <c r="CM40" i="127"/>
  <c r="CM8" i="126"/>
  <c r="CM29" i="126"/>
  <c r="CM38" i="126"/>
  <c r="CM38" i="127"/>
  <c r="CM40" i="126"/>
  <c r="CM14" i="126"/>
  <c r="CM37" i="126"/>
  <c r="CM32" i="126"/>
  <c r="CM8" i="127"/>
  <c r="CM27" i="126"/>
  <c r="CM30" i="126"/>
  <c r="CM25" i="126"/>
  <c r="CM36" i="126"/>
  <c r="CM10" i="127"/>
  <c r="CM31" i="127"/>
  <c r="CM9" i="127"/>
  <c r="CM22" i="127"/>
  <c r="CM31" i="126"/>
  <c r="CM15" i="126"/>
  <c r="CM27" i="127"/>
  <c r="CM28" i="126"/>
  <c r="CM14" i="127"/>
  <c r="CM13" i="127" s="1"/>
  <c r="CM11" i="126"/>
  <c r="CM28" i="127"/>
  <c r="CM34" i="126"/>
  <c r="CM34" i="127"/>
  <c r="CM39" i="127"/>
  <c r="CM42" i="127"/>
  <c r="CM17" i="127"/>
  <c r="CM30" i="127"/>
  <c r="CM18" i="126"/>
  <c r="CM18" i="127"/>
  <c r="CM17" i="126"/>
  <c r="CM26" i="127"/>
  <c r="CM36" i="127"/>
  <c r="CM25" i="127"/>
  <c r="CM19" i="127"/>
  <c r="BQ23" i="127"/>
  <c r="BQ23" i="110"/>
  <c r="BQ23" i="126"/>
  <c r="BQ85" i="126"/>
  <c r="Z85" i="126" s="1"/>
  <c r="BQ58" i="127"/>
  <c r="BQ57" i="126"/>
  <c r="Z57" i="126" s="1"/>
  <c r="BQ56" i="127"/>
  <c r="BQ83" i="126"/>
  <c r="Z83" i="126" s="1"/>
  <c r="BQ84" i="127"/>
  <c r="BQ55" i="126"/>
  <c r="Z55" i="126" s="1"/>
  <c r="BQ55" i="127"/>
  <c r="BQ83" i="127"/>
  <c r="BQ65" i="126"/>
  <c r="BQ58" i="126"/>
  <c r="Z58" i="126" s="1"/>
  <c r="BQ56" i="126"/>
  <c r="Z56" i="126" s="1"/>
  <c r="BQ57" i="127"/>
  <c r="BQ84" i="126"/>
  <c r="Z84" i="126" s="1"/>
  <c r="BQ65" i="127"/>
  <c r="BQ85" i="127"/>
  <c r="BQ65" i="110"/>
  <c r="BQ20" i="126"/>
  <c r="Z20" i="126" s="1"/>
  <c r="BQ20" i="127"/>
  <c r="BQ21" i="127"/>
  <c r="BQ21" i="110"/>
  <c r="BQ21" i="126"/>
  <c r="BQ22" i="110"/>
  <c r="BQ22" i="126"/>
  <c r="BQ22" i="127"/>
  <c r="BQ59" i="126"/>
  <c r="BQ67" i="127"/>
  <c r="BQ66" i="110"/>
  <c r="BQ70" i="126"/>
  <c r="BQ68" i="126"/>
  <c r="BQ64" i="127"/>
  <c r="BQ81" i="127"/>
  <c r="BQ59" i="127"/>
  <c r="BQ64" i="126"/>
  <c r="BQ60" i="110"/>
  <c r="BQ68" i="127"/>
  <c r="BQ67" i="126"/>
  <c r="BQ70" i="127"/>
  <c r="BQ69" i="127"/>
  <c r="BQ71" i="127"/>
  <c r="BQ72" i="126"/>
  <c r="BQ67" i="110"/>
  <c r="BQ60" i="126"/>
  <c r="BQ68" i="110"/>
  <c r="BQ66" i="127"/>
  <c r="BQ70" i="110"/>
  <c r="BQ71" i="110"/>
  <c r="BQ59" i="110"/>
  <c r="BQ60" i="127"/>
  <c r="BQ82" i="126"/>
  <c r="BQ69" i="110"/>
  <c r="BQ71" i="126"/>
  <c r="BQ82" i="110"/>
  <c r="Z82" i="110" s="1"/>
  <c r="BQ72" i="110"/>
  <c r="BQ49" i="127"/>
  <c r="BQ93" i="126"/>
  <c r="Z93" i="126" s="1"/>
  <c r="BQ89" i="126"/>
  <c r="Z89" i="126" s="1"/>
  <c r="BQ50" i="110"/>
  <c r="BQ66" i="126"/>
  <c r="BQ64" i="110"/>
  <c r="BQ81" i="110"/>
  <c r="Z81" i="110" s="1"/>
  <c r="BQ69" i="126"/>
  <c r="BQ82" i="127"/>
  <c r="BQ89" i="127"/>
  <c r="BQ51" i="126"/>
  <c r="BQ53" i="126"/>
  <c r="Z53" i="126" s="1"/>
  <c r="BQ72" i="127"/>
  <c r="BQ52" i="126"/>
  <c r="Z52" i="126" s="1"/>
  <c r="BQ92" i="127"/>
  <c r="BQ49" i="110"/>
  <c r="BQ52" i="127"/>
  <c r="BQ51" i="110"/>
  <c r="BQ81" i="126"/>
  <c r="BQ50" i="127"/>
  <c r="BQ93" i="127"/>
  <c r="BQ53" i="127"/>
  <c r="BQ51" i="127"/>
  <c r="BQ49" i="126"/>
  <c r="BQ92" i="126"/>
  <c r="BQ50" i="126"/>
  <c r="BQ87" i="126"/>
  <c r="Z87" i="126" s="1"/>
  <c r="BQ95" i="126"/>
  <c r="BQ96" i="127"/>
  <c r="BQ77" i="127"/>
  <c r="BQ77" i="126"/>
  <c r="Z77" i="126" s="1"/>
  <c r="BQ87" i="127"/>
  <c r="BQ96" i="126"/>
  <c r="Z96" i="126" s="1"/>
  <c r="BQ95" i="127"/>
  <c r="BQ88" i="127"/>
  <c r="BQ88" i="126"/>
  <c r="Z88" i="126" s="1"/>
  <c r="BQ42" i="127"/>
  <c r="BQ10" i="127"/>
  <c r="BQ39" i="126"/>
  <c r="Z39" i="126" s="1"/>
  <c r="BQ17" i="126"/>
  <c r="BQ17" i="127"/>
  <c r="BQ39" i="127"/>
  <c r="BQ42" i="126"/>
  <c r="Z42" i="126" s="1"/>
  <c r="BQ30" i="126"/>
  <c r="Z30" i="126" s="1"/>
  <c r="BQ30" i="127"/>
  <c r="BQ18" i="126"/>
  <c r="BQ18" i="127"/>
  <c r="BQ36" i="127"/>
  <c r="BQ43" i="127"/>
  <c r="BQ26" i="127"/>
  <c r="BQ25" i="127"/>
  <c r="BQ26" i="126"/>
  <c r="BQ36" i="126"/>
  <c r="BQ25" i="126"/>
  <c r="Z25" i="126" s="1"/>
  <c r="BQ43" i="126"/>
  <c r="Z43" i="126" s="1"/>
  <c r="BQ90" i="127"/>
  <c r="BQ19" i="126"/>
  <c r="BQ19" i="127"/>
  <c r="BQ90" i="126"/>
  <c r="AT39" i="131"/>
  <c r="AU23" i="110"/>
  <c r="AU23" i="126"/>
  <c r="AT39" i="130"/>
  <c r="AU23" i="127"/>
  <c r="AT39" i="132"/>
  <c r="AU58" i="127"/>
  <c r="AU85" i="126"/>
  <c r="AU57" i="126"/>
  <c r="AT57" i="132"/>
  <c r="AU56" i="127"/>
  <c r="AT60" i="132"/>
  <c r="AU84" i="127"/>
  <c r="AT67" i="132"/>
  <c r="AT58" i="132"/>
  <c r="AT87" i="132"/>
  <c r="AT59" i="131"/>
  <c r="AT86" i="130"/>
  <c r="P86" i="130" s="1"/>
  <c r="N86" i="130" s="1"/>
  <c r="N86" i="118" s="1"/>
  <c r="AT67" i="130"/>
  <c r="AT59" i="132"/>
  <c r="AT85" i="131"/>
  <c r="AT58" i="131"/>
  <c r="AU83" i="126"/>
  <c r="AT85" i="132"/>
  <c r="AT60" i="131"/>
  <c r="AT67" i="131"/>
  <c r="AT87" i="130"/>
  <c r="P87" i="130" s="1"/>
  <c r="N87" i="130" s="1"/>
  <c r="N87" i="118" s="1"/>
  <c r="AT57" i="130"/>
  <c r="P57" i="130" s="1"/>
  <c r="N57" i="130" s="1"/>
  <c r="N57" i="118" s="1"/>
  <c r="AT59" i="130"/>
  <c r="P59" i="130" s="1"/>
  <c r="N59" i="130" s="1"/>
  <c r="N59" i="118" s="1"/>
  <c r="AT60" i="130"/>
  <c r="P60" i="130" s="1"/>
  <c r="N60" i="130" s="1"/>
  <c r="N60" i="118" s="1"/>
  <c r="AT87" i="131"/>
  <c r="AT58" i="130"/>
  <c r="P58" i="130" s="1"/>
  <c r="N58" i="130" s="1"/>
  <c r="N58" i="118" s="1"/>
  <c r="AT57" i="131"/>
  <c r="AT85" i="130"/>
  <c r="P85" i="130" s="1"/>
  <c r="N85" i="130" s="1"/>
  <c r="N85" i="118" s="1"/>
  <c r="AT86" i="132"/>
  <c r="AT86" i="131"/>
  <c r="AU83" i="127"/>
  <c r="AU55" i="127"/>
  <c r="AU65" i="126"/>
  <c r="AU57" i="127"/>
  <c r="AU58" i="126"/>
  <c r="AU84" i="126"/>
  <c r="AU84" i="110"/>
  <c r="Y84" i="110" s="1"/>
  <c r="AU83" i="110"/>
  <c r="Y83" i="110" s="1"/>
  <c r="AU56" i="110"/>
  <c r="Y56" i="110" s="1"/>
  <c r="AU57" i="110"/>
  <c r="Y57" i="110" s="1"/>
  <c r="AU56" i="126"/>
  <c r="AU85" i="127"/>
  <c r="AU65" i="110"/>
  <c r="AU55" i="126"/>
  <c r="AU65" i="127"/>
  <c r="AU85" i="110"/>
  <c r="Y85" i="110" s="1"/>
  <c r="AU58" i="110"/>
  <c r="Y58" i="110" s="1"/>
  <c r="AU55" i="110"/>
  <c r="Y55" i="110" s="1"/>
  <c r="AU20" i="126"/>
  <c r="AT45" i="132"/>
  <c r="AT45" i="131"/>
  <c r="AT45" i="130"/>
  <c r="P45" i="130" s="1"/>
  <c r="N45" i="130" s="1"/>
  <c r="N45" i="118" s="1"/>
  <c r="AU20" i="127"/>
  <c r="AU20" i="110"/>
  <c r="Y20" i="110" s="1"/>
  <c r="AU21" i="110"/>
  <c r="AU21" i="126"/>
  <c r="AU21" i="127"/>
  <c r="AT62" i="131"/>
  <c r="AT69" i="131"/>
  <c r="AU67" i="126"/>
  <c r="AT55" i="132"/>
  <c r="AT53" i="131"/>
  <c r="AU70" i="126"/>
  <c r="AT72" i="131"/>
  <c r="AU66" i="110"/>
  <c r="AU66" i="127"/>
  <c r="AU59" i="127"/>
  <c r="AT55" i="130"/>
  <c r="P55" i="130" s="1"/>
  <c r="N55" i="130" s="1"/>
  <c r="N55" i="118" s="1"/>
  <c r="AU64" i="127"/>
  <c r="AT52" i="132"/>
  <c r="AU59" i="126"/>
  <c r="AU70" i="127"/>
  <c r="AU81" i="127"/>
  <c r="AT83" i="131"/>
  <c r="AU72" i="126"/>
  <c r="AT74" i="130"/>
  <c r="AU67" i="110"/>
  <c r="AT53" i="132"/>
  <c r="AU70" i="110"/>
  <c r="AU64" i="126"/>
  <c r="AT66" i="130"/>
  <c r="AT52" i="130"/>
  <c r="AT71" i="132"/>
  <c r="AT54" i="132"/>
  <c r="AT54" i="131"/>
  <c r="AT54" i="130"/>
  <c r="P54" i="130" s="1"/>
  <c r="N54" i="130" s="1"/>
  <c r="N54" i="118" s="1"/>
  <c r="AU67" i="127"/>
  <c r="AT73" i="132"/>
  <c r="AU82" i="126"/>
  <c r="AT84" i="130"/>
  <c r="AU59" i="110"/>
  <c r="AT53" i="130"/>
  <c r="AT72" i="130"/>
  <c r="AT71" i="130"/>
  <c r="AU68" i="126"/>
  <c r="AT83" i="132"/>
  <c r="AT71" i="131"/>
  <c r="AU60" i="110"/>
  <c r="AU66" i="126"/>
  <c r="AU68" i="110"/>
  <c r="AU60" i="126"/>
  <c r="AU69" i="127"/>
  <c r="AT74" i="132"/>
  <c r="AT72" i="132"/>
  <c r="AU60" i="127"/>
  <c r="AT84" i="132"/>
  <c r="AU68" i="127"/>
  <c r="AU81" i="110"/>
  <c r="AT83" i="130"/>
  <c r="AU82" i="110"/>
  <c r="AU89" i="127"/>
  <c r="AU93" i="126"/>
  <c r="AU51" i="110"/>
  <c r="AU71" i="110"/>
  <c r="AT51" i="130"/>
  <c r="AT66" i="131"/>
  <c r="AU81" i="126"/>
  <c r="AT51" i="132"/>
  <c r="AT74" i="131"/>
  <c r="AT70" i="131"/>
  <c r="AT61" i="131"/>
  <c r="AU92" i="127"/>
  <c r="AU64" i="110"/>
  <c r="AT52" i="131"/>
  <c r="AU69" i="110"/>
  <c r="AU71" i="126"/>
  <c r="AT73" i="130"/>
  <c r="AU82" i="127"/>
  <c r="AU51" i="126"/>
  <c r="AU53" i="126"/>
  <c r="AU50" i="127"/>
  <c r="AU49" i="110"/>
  <c r="AU52" i="110"/>
  <c r="Y52" i="110" s="1"/>
  <c r="AU71" i="127"/>
  <c r="AT66" i="132"/>
  <c r="AU69" i="126"/>
  <c r="AT84" i="131"/>
  <c r="AU50" i="126"/>
  <c r="AU49" i="126"/>
  <c r="AU92" i="126"/>
  <c r="AU91" i="126" s="1"/>
  <c r="AU93" i="127"/>
  <c r="AU53" i="127"/>
  <c r="AU50" i="110"/>
  <c r="AT70" i="132"/>
  <c r="AT79" i="132"/>
  <c r="AT69" i="130"/>
  <c r="AT61" i="130"/>
  <c r="AT70" i="130"/>
  <c r="AU49" i="127"/>
  <c r="AT55" i="131"/>
  <c r="AU52" i="127"/>
  <c r="AT68" i="131"/>
  <c r="AT61" i="132"/>
  <c r="AT62" i="132"/>
  <c r="AT62" i="130"/>
  <c r="AT68" i="130"/>
  <c r="AT73" i="131"/>
  <c r="AU52" i="126"/>
  <c r="AU51" i="127"/>
  <c r="AT51" i="131"/>
  <c r="AU72" i="110"/>
  <c r="AU53" i="110"/>
  <c r="Y53" i="110" s="1"/>
  <c r="AU89" i="126"/>
  <c r="AT69" i="132"/>
  <c r="AT68" i="132"/>
  <c r="AU72" i="127"/>
  <c r="AU96" i="126"/>
  <c r="AU95" i="127"/>
  <c r="AU88" i="126"/>
  <c r="AU88" i="127"/>
  <c r="AT79" i="131"/>
  <c r="AT79" i="130"/>
  <c r="P79" i="130" s="1"/>
  <c r="N79" i="130" s="1"/>
  <c r="N79" i="118" s="1"/>
  <c r="AU77" i="127"/>
  <c r="AU77" i="110"/>
  <c r="Y77" i="110" s="1"/>
  <c r="AU87" i="127"/>
  <c r="AU96" i="127"/>
  <c r="AU87" i="126"/>
  <c r="AU77" i="126"/>
  <c r="AU95" i="126"/>
  <c r="AU94" i="126" s="1"/>
  <c r="AU22" i="110"/>
  <c r="AU22" i="126"/>
  <c r="AU22" i="127"/>
  <c r="AU42" i="126"/>
  <c r="AU42" i="127"/>
  <c r="AU17" i="126"/>
  <c r="AU17" i="127"/>
  <c r="AU39" i="127"/>
  <c r="AU18" i="126"/>
  <c r="AU30" i="126"/>
  <c r="AU30" i="127"/>
  <c r="AT44" i="131"/>
  <c r="AU18" i="127"/>
  <c r="AU39" i="126"/>
  <c r="AU26" i="127"/>
  <c r="AU26" i="126"/>
  <c r="AU36" i="127"/>
  <c r="AU36" i="126"/>
  <c r="AU43" i="126"/>
  <c r="AU43" i="127"/>
  <c r="AU10" i="126"/>
  <c r="AU10" i="127"/>
  <c r="AU7" i="127" s="1"/>
  <c r="AU90" i="126"/>
  <c r="AU19" i="126"/>
  <c r="AU19" i="127"/>
  <c r="AU90" i="127"/>
  <c r="AU25" i="127"/>
  <c r="AU25" i="126"/>
  <c r="BP86" i="126"/>
  <c r="BP24" i="126"/>
  <c r="BP7" i="126"/>
  <c r="Z7" i="126" s="1"/>
  <c r="Z10" i="126"/>
  <c r="BP45" i="126"/>
  <c r="BO44" i="127"/>
  <c r="CK6" i="127"/>
  <c r="AT94" i="126"/>
  <c r="AT45" i="110"/>
  <c r="AT45" i="126"/>
  <c r="AT91" i="127"/>
  <c r="CL7" i="126"/>
  <c r="DC44" i="127"/>
  <c r="AR5" i="126"/>
  <c r="DF16" i="126"/>
  <c r="DF7" i="126"/>
  <c r="CI86" i="126"/>
  <c r="DD91" i="127"/>
  <c r="CI45" i="126"/>
  <c r="BO44" i="126"/>
  <c r="CG41" i="127"/>
  <c r="BP45" i="110"/>
  <c r="AT45" i="127"/>
  <c r="CL35" i="126"/>
  <c r="BO6" i="126"/>
  <c r="CI45" i="127"/>
  <c r="DE6" i="110"/>
  <c r="BN5" i="110"/>
  <c r="AR5" i="110"/>
  <c r="AS6" i="110"/>
  <c r="CK6" i="110"/>
  <c r="BO6" i="110"/>
  <c r="AT86" i="110"/>
  <c r="AS44" i="110"/>
  <c r="AS41" i="110" s="1"/>
  <c r="BQ88" i="132"/>
  <c r="Q88" i="132" s="1"/>
  <c r="BQ89" i="132"/>
  <c r="Q89" i="132" s="1"/>
  <c r="AT94" i="110"/>
  <c r="AT91" i="110"/>
  <c r="AT35" i="110"/>
  <c r="AT7" i="110"/>
  <c r="Y10" i="110"/>
  <c r="S10" i="110" s="1"/>
  <c r="AU89" i="110"/>
  <c r="Y89" i="110" s="1"/>
  <c r="AT89" i="132"/>
  <c r="AT88" i="132"/>
  <c r="AU42" i="110"/>
  <c r="Y42" i="110" s="1"/>
  <c r="AT18" i="130"/>
  <c r="P18" i="130" s="1"/>
  <c r="N18" i="130" s="1"/>
  <c r="N18" i="118" s="1"/>
  <c r="AT99" i="130"/>
  <c r="P99" i="130" s="1"/>
  <c r="N99" i="130" s="1"/>
  <c r="N99" i="118" s="1"/>
  <c r="AT18" i="132"/>
  <c r="AT44" i="130"/>
  <c r="P44" i="130" s="1"/>
  <c r="N44" i="130" s="1"/>
  <c r="N44" i="118" s="1"/>
  <c r="AT18" i="131"/>
  <c r="AT99" i="131"/>
  <c r="AU90" i="110"/>
  <c r="Y90" i="110" s="1"/>
  <c r="S90" i="110" s="1"/>
  <c r="S9" i="109"/>
  <c r="AT91" i="132"/>
  <c r="AT103" i="132"/>
  <c r="AT96" i="132"/>
  <c r="AT94" i="130"/>
  <c r="P94" i="130" s="1"/>
  <c r="N94" i="130" s="1"/>
  <c r="N94" i="118" s="1"/>
  <c r="AT88" i="130"/>
  <c r="P88" i="130" s="1"/>
  <c r="N88" i="130" s="1"/>
  <c r="N88" i="118" s="1"/>
  <c r="AT94" i="132"/>
  <c r="AU93" i="110"/>
  <c r="Y93" i="110" s="1"/>
  <c r="S93" i="110" s="1"/>
  <c r="AT17" i="130"/>
  <c r="P17" i="130" s="1"/>
  <c r="N17" i="130" s="1"/>
  <c r="N17" i="118" s="1"/>
  <c r="AT32" i="130"/>
  <c r="AT96" i="130"/>
  <c r="P96" i="130" s="1"/>
  <c r="N96" i="130" s="1"/>
  <c r="N96" i="118" s="1"/>
  <c r="AT29" i="131"/>
  <c r="AT97" i="130"/>
  <c r="AT35" i="130"/>
  <c r="AT101" i="130"/>
  <c r="P101" i="130" s="1"/>
  <c r="N101" i="130" s="1"/>
  <c r="N101" i="118" s="1"/>
  <c r="AT40" i="131"/>
  <c r="AT101" i="131"/>
  <c r="AT95" i="131"/>
  <c r="AT8" i="131"/>
  <c r="P8" i="131" s="1"/>
  <c r="N8" i="131" s="1"/>
  <c r="O8" i="118" s="1"/>
  <c r="AT34" i="131"/>
  <c r="AT27" i="132"/>
  <c r="AT91" i="131"/>
  <c r="AT94" i="131"/>
  <c r="AT28" i="131"/>
  <c r="AT25" i="131"/>
  <c r="AT44" i="132"/>
  <c r="AT9" i="132"/>
  <c r="AT31" i="130"/>
  <c r="AT20" i="132"/>
  <c r="AT93" i="132"/>
  <c r="AU17" i="110"/>
  <c r="AT19" i="130"/>
  <c r="AT40" i="130"/>
  <c r="AT43" i="130"/>
  <c r="AT97" i="131"/>
  <c r="AT104" i="131"/>
  <c r="AT25" i="132"/>
  <c r="AT36" i="132"/>
  <c r="AT97" i="132"/>
  <c r="AT104" i="132"/>
  <c r="AT99" i="132"/>
  <c r="AT92" i="130"/>
  <c r="P92" i="130" s="1"/>
  <c r="N92" i="130" s="1"/>
  <c r="N92" i="118" s="1"/>
  <c r="AU95" i="110"/>
  <c r="AT103" i="130"/>
  <c r="P103" i="130" s="1"/>
  <c r="N103" i="130" s="1"/>
  <c r="N103" i="118" s="1"/>
  <c r="AT104" i="130"/>
  <c r="AT91" i="130"/>
  <c r="P91" i="130" s="1"/>
  <c r="N91" i="130" s="1"/>
  <c r="N91" i="118" s="1"/>
  <c r="AT19" i="131"/>
  <c r="AT90" i="130"/>
  <c r="P90" i="130" s="1"/>
  <c r="N90" i="130" s="1"/>
  <c r="N90" i="118" s="1"/>
  <c r="AT89" i="130"/>
  <c r="P89" i="130" s="1"/>
  <c r="N89" i="130" s="1"/>
  <c r="N89" i="118" s="1"/>
  <c r="AT42" i="132"/>
  <c r="AT30" i="130"/>
  <c r="AT92" i="131"/>
  <c r="AT30" i="131"/>
  <c r="AT41" i="131"/>
  <c r="AU88" i="110"/>
  <c r="Y88" i="110" s="1"/>
  <c r="S88" i="110" s="1"/>
  <c r="AT27" i="131"/>
  <c r="AT103" i="131"/>
  <c r="AT17" i="132"/>
  <c r="AT37" i="131"/>
  <c r="AT93" i="131"/>
  <c r="AT42" i="131"/>
  <c r="AT32" i="131"/>
  <c r="AU30" i="110"/>
  <c r="Y30" i="110" s="1"/>
  <c r="AU43" i="110"/>
  <c r="AU39" i="110"/>
  <c r="Y39" i="110" s="1"/>
  <c r="AT31" i="132"/>
  <c r="AT31" i="131"/>
  <c r="AU19" i="110"/>
  <c r="Y19" i="110" s="1"/>
  <c r="S19" i="110" s="1"/>
  <c r="AT19" i="132"/>
  <c r="AT100" i="132"/>
  <c r="AT17" i="131"/>
  <c r="AT41" i="130"/>
  <c r="AU87" i="110"/>
  <c r="Y87" i="110" s="1"/>
  <c r="AT100" i="130"/>
  <c r="P100" i="130" s="1"/>
  <c r="N100" i="130" s="1"/>
  <c r="N100" i="118" s="1"/>
  <c r="AT88" i="131"/>
  <c r="AT29" i="130"/>
  <c r="AT40" i="132"/>
  <c r="AT36" i="130"/>
  <c r="AT35" i="131"/>
  <c r="AU92" i="110"/>
  <c r="AT96" i="131"/>
  <c r="AT28" i="132"/>
  <c r="AT35" i="132"/>
  <c r="AT41" i="132"/>
  <c r="AT37" i="132"/>
  <c r="AT25" i="130"/>
  <c r="P25" i="130" s="1"/>
  <c r="N25" i="130" s="1"/>
  <c r="N25" i="118" s="1"/>
  <c r="AU25" i="110"/>
  <c r="AU26" i="110"/>
  <c r="Y26" i="110" s="1"/>
  <c r="AT34" i="132"/>
  <c r="AT102" i="132"/>
  <c r="AT95" i="130"/>
  <c r="P95" i="130" s="1"/>
  <c r="N95" i="130" s="1"/>
  <c r="N95" i="118" s="1"/>
  <c r="AU96" i="110"/>
  <c r="Y96" i="110" s="1"/>
  <c r="AT102" i="130"/>
  <c r="P102" i="130" s="1"/>
  <c r="N102" i="130" s="1"/>
  <c r="N102" i="118" s="1"/>
  <c r="AT92" i="132"/>
  <c r="AT28" i="130"/>
  <c r="AT8" i="132"/>
  <c r="AU18" i="110"/>
  <c r="AT29" i="132"/>
  <c r="AT32" i="132"/>
  <c r="AT30" i="132"/>
  <c r="AU36" i="110"/>
  <c r="AT43" i="132"/>
  <c r="AT95" i="132"/>
  <c r="AT42" i="130"/>
  <c r="AT90" i="131"/>
  <c r="AT93" i="130"/>
  <c r="P93" i="130" s="1"/>
  <c r="N93" i="130" s="1"/>
  <c r="N93" i="118" s="1"/>
  <c r="AT27" i="130"/>
  <c r="AT102" i="131"/>
  <c r="AT100" i="131"/>
  <c r="AT9" i="131"/>
  <c r="P9" i="131" s="1"/>
  <c r="N9" i="131" s="1"/>
  <c r="O9" i="118" s="1"/>
  <c r="AT20" i="130"/>
  <c r="AT101" i="132"/>
  <c r="AT90" i="132"/>
  <c r="AT37" i="130"/>
  <c r="AT34" i="130"/>
  <c r="AT36" i="131"/>
  <c r="AT89" i="131"/>
  <c r="AT43" i="131"/>
  <c r="AT20" i="131"/>
  <c r="CJ89" i="110"/>
  <c r="DE89" i="110"/>
  <c r="AT24" i="110"/>
  <c r="CM42" i="110"/>
  <c r="CM9" i="110"/>
  <c r="DG42" i="110"/>
  <c r="DG9" i="110"/>
  <c r="AT16" i="110"/>
  <c r="DC44" i="110"/>
  <c r="DC41" i="110" s="1"/>
  <c r="DC5" i="110" s="1"/>
  <c r="CL16" i="110"/>
  <c r="DF16" i="110"/>
  <c r="BP16" i="110"/>
  <c r="CH44" i="110"/>
  <c r="CH41" i="110" s="1"/>
  <c r="CH5" i="110" s="1"/>
  <c r="BO44" i="110"/>
  <c r="BO41" i="110" s="1"/>
  <c r="Z43" i="110"/>
  <c r="DD86" i="110"/>
  <c r="DF35" i="110"/>
  <c r="DF24" i="110"/>
  <c r="CM26" i="110"/>
  <c r="CM19" i="110"/>
  <c r="BQ18" i="132"/>
  <c r="Q18" i="132" s="1"/>
  <c r="BQ44" i="132"/>
  <c r="Q44" i="132" s="1"/>
  <c r="BQ99" i="132"/>
  <c r="Q99" i="132" s="1"/>
  <c r="DF13" i="110"/>
  <c r="DG19" i="110"/>
  <c r="DG26" i="110"/>
  <c r="T15" i="109"/>
  <c r="DG14" i="110"/>
  <c r="DG10" i="110"/>
  <c r="DG34" i="110"/>
  <c r="DG29" i="110"/>
  <c r="DG8" i="110"/>
  <c r="DG31" i="110"/>
  <c r="DG39" i="110"/>
  <c r="DG40" i="110"/>
  <c r="DG17" i="110"/>
  <c r="DG15" i="110"/>
  <c r="DG27" i="110"/>
  <c r="DG30" i="110"/>
  <c r="DG11" i="110"/>
  <c r="DG38" i="110"/>
  <c r="DG32" i="110"/>
  <c r="DG28" i="110"/>
  <c r="DG18" i="110"/>
  <c r="DG12" i="110"/>
  <c r="DG25" i="110"/>
  <c r="DG37" i="110"/>
  <c r="DG36" i="110"/>
  <c r="BP94" i="110"/>
  <c r="Z94" i="110" s="1"/>
  <c r="Z95" i="110"/>
  <c r="BP24" i="110"/>
  <c r="Z36" i="110"/>
  <c r="BP35" i="110"/>
  <c r="Z35" i="110" s="1"/>
  <c r="Z25" i="110"/>
  <c r="CJ46" i="110"/>
  <c r="DE46" i="110"/>
  <c r="DE90" i="110"/>
  <c r="CJ90" i="110"/>
  <c r="BQ17" i="110"/>
  <c r="T11" i="109"/>
  <c r="BQ24" i="110"/>
  <c r="BQ18" i="110"/>
  <c r="Z87" i="110"/>
  <c r="BP86" i="110"/>
  <c r="DF7" i="110"/>
  <c r="Z92" i="110"/>
  <c r="BP91" i="110"/>
  <c r="Z91" i="110" s="1"/>
  <c r="DD94" i="110"/>
  <c r="DD91" i="110"/>
  <c r="CL13" i="110"/>
  <c r="CI94" i="110"/>
  <c r="CL35" i="110"/>
  <c r="CL24" i="110"/>
  <c r="CL7" i="110"/>
  <c r="CI91" i="110"/>
  <c r="CI86" i="110"/>
  <c r="DE87" i="110"/>
  <c r="DE92" i="110"/>
  <c r="CJ92" i="110"/>
  <c r="DE93" i="110"/>
  <c r="DE95" i="110"/>
  <c r="DE96" i="110"/>
  <c r="DE88" i="110"/>
  <c r="CJ88" i="110"/>
  <c r="DE43" i="110"/>
  <c r="CJ93" i="110"/>
  <c r="CJ96" i="110"/>
  <c r="CJ87" i="110"/>
  <c r="CJ95" i="110"/>
  <c r="CJ43" i="110"/>
  <c r="S17" i="109"/>
  <c r="R19" i="109"/>
  <c r="AV97" i="130"/>
  <c r="AV97" i="131"/>
  <c r="S25" i="110"/>
  <c r="Q25" i="110"/>
  <c r="AN24" i="133" s="1"/>
  <c r="S36" i="110"/>
  <c r="Q36" i="110"/>
  <c r="AN35" i="133" s="1"/>
  <c r="U14" i="109"/>
  <c r="CM31" i="110"/>
  <c r="CM25" i="110"/>
  <c r="CM39" i="110"/>
  <c r="CM37" i="110"/>
  <c r="CM17" i="110"/>
  <c r="CM15" i="110"/>
  <c r="CM34" i="110"/>
  <c r="CM14" i="110"/>
  <c r="CM10" i="110"/>
  <c r="CM38" i="110"/>
  <c r="CM36" i="110"/>
  <c r="CM30" i="110"/>
  <c r="CM11" i="110"/>
  <c r="CM28" i="110"/>
  <c r="CM32" i="110"/>
  <c r="CM29" i="110"/>
  <c r="CM40" i="110"/>
  <c r="CM12" i="110"/>
  <c r="CM18" i="110"/>
  <c r="CM27" i="110"/>
  <c r="CM8" i="110"/>
  <c r="BQ41" i="132"/>
  <c r="U10" i="109"/>
  <c r="BQ37" i="132"/>
  <c r="BQ40" i="132"/>
  <c r="BQ92" i="132"/>
  <c r="Q92" i="132" s="1"/>
  <c r="BQ102" i="132"/>
  <c r="Q102" i="132" s="1"/>
  <c r="BQ96" i="132"/>
  <c r="Q96" i="132" s="1"/>
  <c r="BQ97" i="132"/>
  <c r="BQ104" i="132"/>
  <c r="BQ101" i="132"/>
  <c r="Q101" i="132" s="1"/>
  <c r="BQ100" i="132"/>
  <c r="Q100" i="132" s="1"/>
  <c r="BQ40" i="131"/>
  <c r="BQ28" i="130"/>
  <c r="BQ32" i="130"/>
  <c r="BQ93" i="132"/>
  <c r="Q93" i="132" s="1"/>
  <c r="BQ94" i="132"/>
  <c r="Q94" i="132" s="1"/>
  <c r="BQ104" i="130"/>
  <c r="BQ95" i="132"/>
  <c r="Q95" i="132" s="1"/>
  <c r="BQ103" i="132"/>
  <c r="Q103" i="132" s="1"/>
  <c r="BQ40" i="130"/>
  <c r="BQ34" i="130"/>
  <c r="BQ27" i="130"/>
  <c r="BQ90" i="132"/>
  <c r="Q90" i="132" s="1"/>
  <c r="BQ91" i="132"/>
  <c r="Q91" i="132" s="1"/>
  <c r="BQ30" i="130"/>
  <c r="BQ97" i="130"/>
  <c r="BQ27" i="132"/>
  <c r="BQ42" i="132"/>
  <c r="BQ104" i="131"/>
  <c r="BQ27" i="131"/>
  <c r="BQ42" i="130"/>
  <c r="BQ35" i="130"/>
  <c r="BQ97" i="131"/>
  <c r="BQ37" i="130"/>
  <c r="BQ43" i="130"/>
  <c r="BQ43" i="132"/>
  <c r="BQ19" i="131"/>
  <c r="BQ43" i="131"/>
  <c r="BQ25" i="132"/>
  <c r="Q25" i="132" s="1"/>
  <c r="BQ34" i="131"/>
  <c r="BQ32" i="131"/>
  <c r="BQ17" i="132"/>
  <c r="Q17" i="132" s="1"/>
  <c r="BQ30" i="131"/>
  <c r="BQ41" i="130"/>
  <c r="BQ37" i="131"/>
  <c r="BQ41" i="131"/>
  <c r="BQ29" i="130"/>
  <c r="BQ29" i="131"/>
  <c r="BQ19" i="132"/>
  <c r="BQ19" i="130"/>
  <c r="BQ28" i="131"/>
  <c r="BQ32" i="132"/>
  <c r="BQ42" i="131"/>
  <c r="BQ35" i="131"/>
  <c r="BQ34" i="132"/>
  <c r="BQ28" i="132"/>
  <c r="BQ29" i="132"/>
  <c r="BQ35" i="132"/>
  <c r="BQ30" i="132"/>
  <c r="BQ20" i="130"/>
  <c r="BQ31" i="131"/>
  <c r="BQ20" i="131"/>
  <c r="BQ20" i="132"/>
  <c r="BQ36" i="132"/>
  <c r="BQ36" i="131"/>
  <c r="BQ31" i="130"/>
  <c r="BQ31" i="132"/>
  <c r="BQ36" i="130"/>
  <c r="R83" i="110" l="1"/>
  <c r="Q83" i="110"/>
  <c r="AN82" i="133" s="1"/>
  <c r="S83" i="110"/>
  <c r="R85" i="110"/>
  <c r="S85" i="110"/>
  <c r="Q85" i="110"/>
  <c r="AN84" i="133" s="1"/>
  <c r="CJ86" i="127"/>
  <c r="AS5" i="126"/>
  <c r="CJ94" i="127"/>
  <c r="DE94" i="126"/>
  <c r="CJ91" i="126"/>
  <c r="DD44" i="127"/>
  <c r="DD41" i="127" s="1"/>
  <c r="DD5" i="127" s="1"/>
  <c r="DE86" i="126"/>
  <c r="CJ86" i="126"/>
  <c r="AS5" i="127"/>
  <c r="DE45" i="110"/>
  <c r="DD44" i="126"/>
  <c r="DD41" i="126" s="1"/>
  <c r="DD5" i="126" s="1"/>
  <c r="R84" i="110"/>
  <c r="S84" i="110"/>
  <c r="Q84" i="110"/>
  <c r="AN83" i="133" s="1"/>
  <c r="CJ45" i="110"/>
  <c r="AU35" i="126"/>
  <c r="AU24" i="127"/>
  <c r="CM24" i="127"/>
  <c r="AT6" i="126"/>
  <c r="AT6" i="127"/>
  <c r="DG13" i="126"/>
  <c r="DG13" i="127"/>
  <c r="CL6" i="127"/>
  <c r="BQ35" i="127"/>
  <c r="CL6" i="126"/>
  <c r="DF6" i="127"/>
  <c r="CM35" i="127"/>
  <c r="AU16" i="127"/>
  <c r="AU35" i="127"/>
  <c r="DG35" i="126"/>
  <c r="AT44" i="127"/>
  <c r="AT41" i="127" s="1"/>
  <c r="AT44" i="126"/>
  <c r="AT41" i="126" s="1"/>
  <c r="AU86" i="126"/>
  <c r="AU91" i="127"/>
  <c r="BQ24" i="127"/>
  <c r="CM35" i="126"/>
  <c r="CM7" i="127"/>
  <c r="DG16" i="127"/>
  <c r="DE86" i="127"/>
  <c r="DG16" i="126"/>
  <c r="DG7" i="127"/>
  <c r="CJ91" i="127"/>
  <c r="BP6" i="127"/>
  <c r="BO41" i="126"/>
  <c r="DF6" i="126"/>
  <c r="BO41" i="127"/>
  <c r="BO5" i="127" s="1"/>
  <c r="AU24" i="126"/>
  <c r="AU16" i="126"/>
  <c r="AU45" i="126"/>
  <c r="BQ86" i="127"/>
  <c r="BQ24" i="126"/>
  <c r="Z24" i="126" s="1"/>
  <c r="Z26" i="126"/>
  <c r="BQ94" i="126"/>
  <c r="Z94" i="126" s="1"/>
  <c r="Z95" i="126"/>
  <c r="BQ45" i="126"/>
  <c r="BQ45" i="110"/>
  <c r="BQ44" i="110" s="1"/>
  <c r="BQ41" i="110" s="1"/>
  <c r="CM13" i="126"/>
  <c r="DG24" i="127"/>
  <c r="DG7" i="126"/>
  <c r="DE94" i="127"/>
  <c r="DE45" i="127"/>
  <c r="CI44" i="127"/>
  <c r="DB5" i="126"/>
  <c r="CK58" i="127"/>
  <c r="CK57" i="126"/>
  <c r="DF55" i="126"/>
  <c r="DF58" i="127"/>
  <c r="CK55" i="126"/>
  <c r="CK84" i="127"/>
  <c r="DF84" i="127"/>
  <c r="DF83" i="126"/>
  <c r="CK56" i="127"/>
  <c r="DF57" i="126"/>
  <c r="CK83" i="126"/>
  <c r="DF85" i="126"/>
  <c r="DF56" i="127"/>
  <c r="CK83" i="110"/>
  <c r="CK57" i="127"/>
  <c r="DF58" i="126"/>
  <c r="CK58" i="126"/>
  <c r="DF85" i="127"/>
  <c r="DF56" i="126"/>
  <c r="DF84" i="126"/>
  <c r="CK85" i="126"/>
  <c r="DF55" i="127"/>
  <c r="CK83" i="127"/>
  <c r="DF65" i="127"/>
  <c r="CK65" i="127"/>
  <c r="CK84" i="110"/>
  <c r="DF85" i="110"/>
  <c r="CK65" i="126"/>
  <c r="DF57" i="127"/>
  <c r="CK56" i="126"/>
  <c r="CK84" i="126"/>
  <c r="DF84" i="110"/>
  <c r="CK85" i="110"/>
  <c r="CK65" i="110"/>
  <c r="CK57" i="110"/>
  <c r="DF65" i="110"/>
  <c r="DF57" i="110"/>
  <c r="DF56" i="110"/>
  <c r="CK58" i="110"/>
  <c r="DF55" i="110"/>
  <c r="CK55" i="110"/>
  <c r="CK55" i="127"/>
  <c r="DF65" i="126"/>
  <c r="DF58" i="110"/>
  <c r="DF83" i="127"/>
  <c r="CK85" i="127"/>
  <c r="DF83" i="110"/>
  <c r="CK56" i="110"/>
  <c r="CK48" i="127"/>
  <c r="DF47" i="127"/>
  <c r="DF48" i="127"/>
  <c r="DF47" i="126"/>
  <c r="CK48" i="110"/>
  <c r="CK47" i="127"/>
  <c r="CK47" i="126"/>
  <c r="DF48" i="110"/>
  <c r="DF48" i="126"/>
  <c r="CK47" i="110"/>
  <c r="CK48" i="126"/>
  <c r="DF47" i="110"/>
  <c r="DF63" i="126"/>
  <c r="DF62" i="110"/>
  <c r="DF61" i="126"/>
  <c r="CK80" i="126"/>
  <c r="DF75" i="127"/>
  <c r="DF76" i="110"/>
  <c r="CK76" i="126"/>
  <c r="CK74" i="110"/>
  <c r="DF74" i="127"/>
  <c r="CK73" i="110"/>
  <c r="CK73" i="127"/>
  <c r="DF46" i="127"/>
  <c r="CK61" i="110"/>
  <c r="DF61" i="110"/>
  <c r="DF79" i="110"/>
  <c r="CK79" i="110"/>
  <c r="DF78" i="126"/>
  <c r="DF80" i="110"/>
  <c r="CK80" i="110"/>
  <c r="CK78" i="110"/>
  <c r="DF78" i="110"/>
  <c r="CK78" i="127"/>
  <c r="CK54" i="127"/>
  <c r="CK76" i="110"/>
  <c r="DF74" i="110"/>
  <c r="CK74" i="127"/>
  <c r="DF73" i="127"/>
  <c r="CK63" i="110"/>
  <c r="DF63" i="127"/>
  <c r="CK62" i="127"/>
  <c r="DF62" i="127"/>
  <c r="CK63" i="126"/>
  <c r="CK62" i="110"/>
  <c r="CK62" i="126"/>
  <c r="CK61" i="126"/>
  <c r="DF80" i="126"/>
  <c r="CK79" i="127"/>
  <c r="DF54" i="127"/>
  <c r="DF75" i="110"/>
  <c r="CK75" i="110"/>
  <c r="DF73" i="110"/>
  <c r="CK46" i="127"/>
  <c r="DF63" i="110"/>
  <c r="DF79" i="127"/>
  <c r="CK63" i="127"/>
  <c r="CK80" i="127"/>
  <c r="DF80" i="127"/>
  <c r="DF73" i="126"/>
  <c r="CK46" i="126"/>
  <c r="DF46" i="126"/>
  <c r="DF61" i="127"/>
  <c r="CK54" i="110"/>
  <c r="DF75" i="126"/>
  <c r="CK76" i="127"/>
  <c r="CK73" i="126"/>
  <c r="DF62" i="126"/>
  <c r="CK75" i="127"/>
  <c r="CK78" i="126"/>
  <c r="DF54" i="110"/>
  <c r="CK54" i="126"/>
  <c r="CK75" i="126"/>
  <c r="DF76" i="127"/>
  <c r="CK74" i="126"/>
  <c r="DF78" i="127"/>
  <c r="DF76" i="126"/>
  <c r="CK61" i="127"/>
  <c r="DF79" i="126"/>
  <c r="CK79" i="126"/>
  <c r="DF54" i="126"/>
  <c r="DF74" i="126"/>
  <c r="CK70" i="127"/>
  <c r="CK59" i="127"/>
  <c r="DF59" i="127"/>
  <c r="DF59" i="126"/>
  <c r="DF67" i="126"/>
  <c r="CK60" i="126"/>
  <c r="CK66" i="110"/>
  <c r="DF66" i="110"/>
  <c r="CK67" i="126"/>
  <c r="DF70" i="126"/>
  <c r="CK70" i="126"/>
  <c r="DF70" i="127"/>
  <c r="CK66" i="127"/>
  <c r="DF60" i="126"/>
  <c r="DF68" i="126"/>
  <c r="CK68" i="126"/>
  <c r="DF64" i="126"/>
  <c r="CK69" i="127"/>
  <c r="CK71" i="110"/>
  <c r="CK59" i="110"/>
  <c r="CK60" i="127"/>
  <c r="CK66" i="126"/>
  <c r="CK68" i="110"/>
  <c r="CK59" i="126"/>
  <c r="CK67" i="127"/>
  <c r="DF66" i="127"/>
  <c r="CK64" i="127"/>
  <c r="DF64" i="127"/>
  <c r="CK81" i="127"/>
  <c r="DF71" i="127"/>
  <c r="CK82" i="126"/>
  <c r="DF59" i="110"/>
  <c r="CK67" i="110"/>
  <c r="DF67" i="127"/>
  <c r="DF81" i="127"/>
  <c r="CK71" i="127"/>
  <c r="DF67" i="110"/>
  <c r="CK70" i="110"/>
  <c r="CK68" i="127"/>
  <c r="DF81" i="126"/>
  <c r="DF69" i="110"/>
  <c r="CK69" i="110"/>
  <c r="DF69" i="126"/>
  <c r="CK60" i="110"/>
  <c r="DF60" i="110"/>
  <c r="DF68" i="110"/>
  <c r="DF70" i="110"/>
  <c r="DF66" i="126"/>
  <c r="DF68" i="127"/>
  <c r="CK64" i="126"/>
  <c r="DF71" i="110"/>
  <c r="DF82" i="126"/>
  <c r="DF60" i="127"/>
  <c r="CK71" i="126"/>
  <c r="CK72" i="127"/>
  <c r="CK51" i="126"/>
  <c r="DF51" i="126"/>
  <c r="CK52" i="126"/>
  <c r="DF53" i="126"/>
  <c r="CK50" i="127"/>
  <c r="DF52" i="127"/>
  <c r="DF51" i="110"/>
  <c r="CK93" i="127"/>
  <c r="CK53" i="127"/>
  <c r="CK50" i="110"/>
  <c r="DF69" i="127"/>
  <c r="DF72" i="126"/>
  <c r="DF64" i="110"/>
  <c r="DF82" i="110"/>
  <c r="CK72" i="110"/>
  <c r="CK89" i="127"/>
  <c r="CK49" i="127"/>
  <c r="DF50" i="127"/>
  <c r="DF49" i="110"/>
  <c r="CK49" i="110"/>
  <c r="DF93" i="126"/>
  <c r="CK72" i="126"/>
  <c r="CK64" i="110"/>
  <c r="DF81" i="110"/>
  <c r="CK81" i="126"/>
  <c r="CK82" i="110"/>
  <c r="DF82" i="127"/>
  <c r="DF72" i="127"/>
  <c r="DF49" i="127"/>
  <c r="CK92" i="127"/>
  <c r="DF92" i="127"/>
  <c r="DF51" i="127"/>
  <c r="CK51" i="127"/>
  <c r="CK93" i="126"/>
  <c r="DF52" i="110"/>
  <c r="CK69" i="126"/>
  <c r="DF72" i="110"/>
  <c r="DF89" i="127"/>
  <c r="DF50" i="126"/>
  <c r="DF49" i="126"/>
  <c r="DF53" i="127"/>
  <c r="DF50" i="110"/>
  <c r="DF52" i="126"/>
  <c r="CK50" i="126"/>
  <c r="CK51" i="110"/>
  <c r="CK92" i="126"/>
  <c r="CK89" i="126"/>
  <c r="DF93" i="127"/>
  <c r="CK81" i="110"/>
  <c r="DF71" i="126"/>
  <c r="CK53" i="126"/>
  <c r="CK53" i="110"/>
  <c r="CK82" i="127"/>
  <c r="DF89" i="126"/>
  <c r="CK52" i="110"/>
  <c r="CK49" i="126"/>
  <c r="CK52" i="127"/>
  <c r="DF53" i="110"/>
  <c r="DF92" i="126"/>
  <c r="DF77" i="110"/>
  <c r="DF77" i="126"/>
  <c r="CK87" i="126"/>
  <c r="CK95" i="127"/>
  <c r="CK88" i="126"/>
  <c r="DF88" i="127"/>
  <c r="CK87" i="127"/>
  <c r="DF95" i="127"/>
  <c r="DF88" i="126"/>
  <c r="CK77" i="110"/>
  <c r="DF96" i="127"/>
  <c r="CK96" i="126"/>
  <c r="DF77" i="127"/>
  <c r="CK77" i="127"/>
  <c r="CK77" i="126"/>
  <c r="DF87" i="127"/>
  <c r="CK96" i="127"/>
  <c r="DF96" i="126"/>
  <c r="DF87" i="126"/>
  <c r="CK95" i="126"/>
  <c r="CK94" i="126" s="1"/>
  <c r="CK88" i="127"/>
  <c r="DF95" i="126"/>
  <c r="DF94" i="126" s="1"/>
  <c r="CK43" i="127"/>
  <c r="DF43" i="126"/>
  <c r="CK43" i="126"/>
  <c r="DF43" i="127"/>
  <c r="DF90" i="127"/>
  <c r="CK90" i="127"/>
  <c r="DF90" i="126"/>
  <c r="CK90" i="126"/>
  <c r="BR23" i="127"/>
  <c r="BR23" i="110"/>
  <c r="BR23" i="126"/>
  <c r="BR58" i="127"/>
  <c r="Z58" i="127" s="1"/>
  <c r="BR84" i="127"/>
  <c r="Z84" i="127" s="1"/>
  <c r="BR56" i="127"/>
  <c r="Z56" i="127" s="1"/>
  <c r="BR65" i="126"/>
  <c r="BR57" i="127"/>
  <c r="Z57" i="127" s="1"/>
  <c r="BR83" i="127"/>
  <c r="Z83" i="127" s="1"/>
  <c r="BR55" i="127"/>
  <c r="Z55" i="127" s="1"/>
  <c r="BR85" i="127"/>
  <c r="Z85" i="127" s="1"/>
  <c r="BR65" i="110"/>
  <c r="BR65" i="127"/>
  <c r="BR20" i="127"/>
  <c r="Z20" i="127" s="1"/>
  <c r="BR21" i="126"/>
  <c r="BR21" i="127"/>
  <c r="BR21" i="110"/>
  <c r="BR22" i="126"/>
  <c r="BR22" i="127"/>
  <c r="BR22" i="110"/>
  <c r="BR59" i="127"/>
  <c r="BR59" i="126"/>
  <c r="BR67" i="127"/>
  <c r="BR67" i="126"/>
  <c r="BR70" i="126"/>
  <c r="BR70" i="127"/>
  <c r="BR66" i="110"/>
  <c r="BR68" i="126"/>
  <c r="BR66" i="127"/>
  <c r="BR81" i="127"/>
  <c r="BR69" i="127"/>
  <c r="BR71" i="110"/>
  <c r="BR59" i="110"/>
  <c r="BR67" i="110"/>
  <c r="BR60" i="110"/>
  <c r="BR68" i="127"/>
  <c r="BR60" i="126"/>
  <c r="BR64" i="127"/>
  <c r="BR70" i="110"/>
  <c r="BR66" i="126"/>
  <c r="BR68" i="110"/>
  <c r="BR64" i="126"/>
  <c r="BR72" i="126"/>
  <c r="BR60" i="127"/>
  <c r="BR71" i="127"/>
  <c r="BR69" i="126"/>
  <c r="BR72" i="127"/>
  <c r="BR72" i="110"/>
  <c r="BR89" i="127"/>
  <c r="Z89" i="127" s="1"/>
  <c r="BR50" i="126"/>
  <c r="BR51" i="110"/>
  <c r="BR93" i="127"/>
  <c r="Z93" i="127" s="1"/>
  <c r="BR71" i="126"/>
  <c r="BR51" i="126"/>
  <c r="BR49" i="127"/>
  <c r="BR50" i="127"/>
  <c r="BR51" i="127"/>
  <c r="BR82" i="126"/>
  <c r="Z82" i="126" s="1"/>
  <c r="BR64" i="110"/>
  <c r="BR81" i="126"/>
  <c r="Z81" i="126" s="1"/>
  <c r="BR69" i="110"/>
  <c r="BR82" i="127"/>
  <c r="BR92" i="127"/>
  <c r="BR49" i="110"/>
  <c r="BR50" i="110"/>
  <c r="BR49" i="126"/>
  <c r="BR52" i="127"/>
  <c r="Z52" i="127" s="1"/>
  <c r="BR53" i="127"/>
  <c r="Z53" i="127" s="1"/>
  <c r="BR77" i="127"/>
  <c r="Z77" i="127" s="1"/>
  <c r="BR96" i="127"/>
  <c r="Z96" i="127" s="1"/>
  <c r="BR87" i="127"/>
  <c r="Z87" i="127" s="1"/>
  <c r="BR95" i="127"/>
  <c r="BR88" i="127"/>
  <c r="Z88" i="127" s="1"/>
  <c r="BR17" i="127"/>
  <c r="BR39" i="127"/>
  <c r="Z39" i="127" s="1"/>
  <c r="BR42" i="127"/>
  <c r="Z42" i="127" s="1"/>
  <c r="BR30" i="127"/>
  <c r="Z30" i="127" s="1"/>
  <c r="BR17" i="126"/>
  <c r="BR18" i="126"/>
  <c r="BR18" i="127"/>
  <c r="BR36" i="127"/>
  <c r="BR43" i="127"/>
  <c r="Z43" i="127" s="1"/>
  <c r="BR26" i="127"/>
  <c r="Z26" i="127" s="1"/>
  <c r="BR25" i="127"/>
  <c r="BR90" i="127"/>
  <c r="BR19" i="127"/>
  <c r="CI44" i="126"/>
  <c r="CI41" i="126" s="1"/>
  <c r="CI5" i="126" s="1"/>
  <c r="AU44" i="126"/>
  <c r="AU41" i="126" s="1"/>
  <c r="R77" i="110"/>
  <c r="S77" i="110"/>
  <c r="Q77" i="110"/>
  <c r="AN76" i="133" s="1"/>
  <c r="S53" i="110"/>
  <c r="R53" i="110"/>
  <c r="Q53" i="110"/>
  <c r="AN52" i="133" s="1"/>
  <c r="R20" i="110"/>
  <c r="S20" i="110"/>
  <c r="Q20" i="110"/>
  <c r="AN19" i="133" s="1"/>
  <c r="BQ86" i="126"/>
  <c r="Z90" i="126"/>
  <c r="BQ91" i="127"/>
  <c r="CM16" i="127"/>
  <c r="CM7" i="126"/>
  <c r="CJ94" i="126"/>
  <c r="DE91" i="127"/>
  <c r="CJ45" i="127"/>
  <c r="CN23" i="126"/>
  <c r="CN23" i="110"/>
  <c r="CN23" i="127"/>
  <c r="CN42" i="126"/>
  <c r="CN42" i="127"/>
  <c r="CN33" i="127"/>
  <c r="CN33" i="126"/>
  <c r="CN12" i="127"/>
  <c r="CN12" i="126"/>
  <c r="CN33" i="110"/>
  <c r="CN20" i="110"/>
  <c r="CN20" i="126"/>
  <c r="CN20" i="127"/>
  <c r="CN21" i="126"/>
  <c r="CN21" i="110"/>
  <c r="CN21" i="127"/>
  <c r="CN22" i="110"/>
  <c r="CN31" i="126"/>
  <c r="CN15" i="127"/>
  <c r="CN14" i="127"/>
  <c r="CN8" i="127"/>
  <c r="CN36" i="126"/>
  <c r="CN10" i="127"/>
  <c r="CN29" i="127"/>
  <c r="CN22" i="126"/>
  <c r="CN22" i="127"/>
  <c r="CN19" i="126"/>
  <c r="CN8" i="126"/>
  <c r="CN11" i="127"/>
  <c r="CN29" i="126"/>
  <c r="CN28" i="126"/>
  <c r="CN25" i="126"/>
  <c r="CN38" i="127"/>
  <c r="CN31" i="127"/>
  <c r="CN14" i="126"/>
  <c r="CN32" i="126"/>
  <c r="CN40" i="127"/>
  <c r="CN27" i="126"/>
  <c r="CN9" i="127"/>
  <c r="CN39" i="127"/>
  <c r="CN26" i="127"/>
  <c r="CN38" i="126"/>
  <c r="CN40" i="126"/>
  <c r="CN19" i="127"/>
  <c r="CN32" i="127"/>
  <c r="CN30" i="127"/>
  <c r="CN28" i="127"/>
  <c r="CN36" i="127"/>
  <c r="CN37" i="127"/>
  <c r="CN27" i="127"/>
  <c r="CN39" i="126"/>
  <c r="CN26" i="126"/>
  <c r="CN30" i="126"/>
  <c r="CN15" i="126"/>
  <c r="CN37" i="126"/>
  <c r="CN9" i="126"/>
  <c r="CN11" i="126"/>
  <c r="CN25" i="127"/>
  <c r="CN10" i="126"/>
  <c r="CN34" i="126"/>
  <c r="CN34" i="127"/>
  <c r="CN17" i="127"/>
  <c r="CN18" i="126"/>
  <c r="CN17" i="126"/>
  <c r="CN18" i="127"/>
  <c r="DH23" i="110"/>
  <c r="DH23" i="126"/>
  <c r="DH23" i="127"/>
  <c r="DH33" i="127"/>
  <c r="DH42" i="126"/>
  <c r="DH33" i="126"/>
  <c r="DH12" i="126"/>
  <c r="DH12" i="127"/>
  <c r="DH33" i="110"/>
  <c r="DH20" i="110"/>
  <c r="DH20" i="126"/>
  <c r="DH20" i="127"/>
  <c r="DH21" i="127"/>
  <c r="DH21" i="110"/>
  <c r="DH21" i="126"/>
  <c r="DH22" i="126"/>
  <c r="DH22" i="127"/>
  <c r="DH14" i="127"/>
  <c r="DH8" i="127"/>
  <c r="DH30" i="126"/>
  <c r="DH25" i="126"/>
  <c r="DH15" i="126"/>
  <c r="DH29" i="127"/>
  <c r="DH28" i="127"/>
  <c r="DH32" i="127"/>
  <c r="DH28" i="126"/>
  <c r="DH10" i="127"/>
  <c r="DH31" i="127"/>
  <c r="DH32" i="126"/>
  <c r="DH40" i="127"/>
  <c r="DH27" i="126"/>
  <c r="DH29" i="126"/>
  <c r="DH31" i="126"/>
  <c r="DH14" i="126"/>
  <c r="DH13" i="126" s="1"/>
  <c r="DH36" i="126"/>
  <c r="DH39" i="126"/>
  <c r="DH10" i="126"/>
  <c r="DH22" i="110"/>
  <c r="DH15" i="127"/>
  <c r="DH40" i="126"/>
  <c r="DH37" i="126"/>
  <c r="DH9" i="126"/>
  <c r="DH19" i="126"/>
  <c r="DH11" i="127"/>
  <c r="DH27" i="127"/>
  <c r="DH11" i="126"/>
  <c r="DH8" i="126"/>
  <c r="DH9" i="127"/>
  <c r="DH38" i="126"/>
  <c r="DH38" i="127"/>
  <c r="DH37" i="127"/>
  <c r="DH26" i="126"/>
  <c r="DH34" i="127"/>
  <c r="DH34" i="126"/>
  <c r="DH39" i="127"/>
  <c r="DH17" i="127"/>
  <c r="DH42" i="127"/>
  <c r="DH17" i="126"/>
  <c r="DH30" i="127"/>
  <c r="DH18" i="127"/>
  <c r="DH18" i="126"/>
  <c r="DH36" i="127"/>
  <c r="DH25" i="127"/>
  <c r="DH26" i="127"/>
  <c r="DH19" i="127"/>
  <c r="CG5" i="127"/>
  <c r="AU86" i="127"/>
  <c r="AU45" i="127"/>
  <c r="S52" i="110"/>
  <c r="R52" i="110"/>
  <c r="Q52" i="110"/>
  <c r="AN51" i="133" s="1"/>
  <c r="BQ16" i="127"/>
  <c r="BQ7" i="127"/>
  <c r="Z7" i="127" s="1"/>
  <c r="Z10" i="127"/>
  <c r="BQ94" i="127"/>
  <c r="CM24" i="126"/>
  <c r="DG35" i="127"/>
  <c r="CJ45" i="126"/>
  <c r="CH5" i="126"/>
  <c r="BR39" i="132"/>
  <c r="BR39" i="130"/>
  <c r="Q39" i="130" s="1"/>
  <c r="BR39" i="131"/>
  <c r="BR67" i="130"/>
  <c r="Q67" i="130" s="1"/>
  <c r="BR67" i="132"/>
  <c r="BR67" i="131"/>
  <c r="BR61" i="131"/>
  <c r="BR70" i="131"/>
  <c r="BR68" i="131"/>
  <c r="BR53" i="131"/>
  <c r="BR53" i="130"/>
  <c r="Q53" i="130" s="1"/>
  <c r="BR74" i="131"/>
  <c r="BR84" i="132"/>
  <c r="Q84" i="132" s="1"/>
  <c r="BR72" i="132"/>
  <c r="BR74" i="130"/>
  <c r="Q74" i="130" s="1"/>
  <c r="BR73" i="131"/>
  <c r="BR53" i="132"/>
  <c r="BR66" i="130"/>
  <c r="Q66" i="130" s="1"/>
  <c r="BR52" i="131"/>
  <c r="BR51" i="132"/>
  <c r="BR73" i="130"/>
  <c r="Q73" i="130" s="1"/>
  <c r="BR71" i="132"/>
  <c r="BR74" i="132"/>
  <c r="BR71" i="131"/>
  <c r="BR71" i="130"/>
  <c r="Q71" i="130" s="1"/>
  <c r="BR51" i="131"/>
  <c r="BR62" i="131"/>
  <c r="BR69" i="132"/>
  <c r="BR73" i="132"/>
  <c r="BR66" i="132"/>
  <c r="BR52" i="132"/>
  <c r="BR51" i="130"/>
  <c r="Q51" i="130" s="1"/>
  <c r="BR72" i="131"/>
  <c r="BR69" i="131"/>
  <c r="BR66" i="131"/>
  <c r="BR72" i="130"/>
  <c r="Q72" i="130" s="1"/>
  <c r="BR68" i="132"/>
  <c r="BR70" i="132"/>
  <c r="BR70" i="130"/>
  <c r="Q70" i="130" s="1"/>
  <c r="BR69" i="130"/>
  <c r="Q69" i="130" s="1"/>
  <c r="BR68" i="130"/>
  <c r="Q68" i="130" s="1"/>
  <c r="BR83" i="132"/>
  <c r="Q83" i="132" s="1"/>
  <c r="BR62" i="132"/>
  <c r="BR62" i="130"/>
  <c r="Q62" i="130" s="1"/>
  <c r="BR52" i="130"/>
  <c r="Q52" i="130" s="1"/>
  <c r="BR61" i="132"/>
  <c r="BR61" i="130"/>
  <c r="Q61" i="130" s="1"/>
  <c r="AU39" i="131"/>
  <c r="AU39" i="130"/>
  <c r="AV23" i="110"/>
  <c r="AV23" i="126"/>
  <c r="AV23" i="127"/>
  <c r="AU39" i="132"/>
  <c r="AV85" i="126"/>
  <c r="Y85" i="126" s="1"/>
  <c r="AV58" i="127"/>
  <c r="AV56" i="127"/>
  <c r="AV57" i="126"/>
  <c r="Y57" i="126" s="1"/>
  <c r="AU60" i="132"/>
  <c r="AU87" i="132"/>
  <c r="AU85" i="131"/>
  <c r="P85" i="131" s="1"/>
  <c r="N85" i="131" s="1"/>
  <c r="O85" i="118" s="1"/>
  <c r="AU59" i="132"/>
  <c r="AU86" i="132"/>
  <c r="AU67" i="132"/>
  <c r="AU57" i="132"/>
  <c r="AU85" i="132"/>
  <c r="AU86" i="131"/>
  <c r="P86" i="131" s="1"/>
  <c r="N86" i="131" s="1"/>
  <c r="O86" i="118" s="1"/>
  <c r="AU87" i="131"/>
  <c r="P87" i="131" s="1"/>
  <c r="N87" i="131" s="1"/>
  <c r="O87" i="118" s="1"/>
  <c r="AU58" i="131"/>
  <c r="P58" i="131" s="1"/>
  <c r="N58" i="131" s="1"/>
  <c r="O58" i="118" s="1"/>
  <c r="AU57" i="131"/>
  <c r="P57" i="131" s="1"/>
  <c r="N57" i="131" s="1"/>
  <c r="O57" i="118" s="1"/>
  <c r="AV84" i="127"/>
  <c r="AU58" i="132"/>
  <c r="AU59" i="131"/>
  <c r="P59" i="131" s="1"/>
  <c r="N59" i="131" s="1"/>
  <c r="O59" i="118" s="1"/>
  <c r="AU67" i="130"/>
  <c r="AU60" i="131"/>
  <c r="P60" i="131" s="1"/>
  <c r="N60" i="131" s="1"/>
  <c r="O60" i="118" s="1"/>
  <c r="AV83" i="126"/>
  <c r="Y83" i="126" s="1"/>
  <c r="AU67" i="131"/>
  <c r="AV55" i="127"/>
  <c r="AV65" i="126"/>
  <c r="AV83" i="127"/>
  <c r="AV57" i="127"/>
  <c r="AV65" i="110"/>
  <c r="AV58" i="126"/>
  <c r="Y58" i="126" s="1"/>
  <c r="AV85" i="127"/>
  <c r="AV65" i="127"/>
  <c r="AV55" i="126"/>
  <c r="Y55" i="126" s="1"/>
  <c r="AV56" i="126"/>
  <c r="Y56" i="126" s="1"/>
  <c r="AV84" i="126"/>
  <c r="Y84" i="126" s="1"/>
  <c r="AV20" i="126"/>
  <c r="Y20" i="126" s="1"/>
  <c r="AU45" i="131"/>
  <c r="P45" i="131" s="1"/>
  <c r="N45" i="131" s="1"/>
  <c r="O45" i="118" s="1"/>
  <c r="AU45" i="132"/>
  <c r="AV20" i="127"/>
  <c r="AV21" i="127"/>
  <c r="AV21" i="110"/>
  <c r="AV21" i="126"/>
  <c r="AU69" i="131"/>
  <c r="AU62" i="131"/>
  <c r="AU55" i="132"/>
  <c r="AV66" i="110"/>
  <c r="AV59" i="127"/>
  <c r="AV59" i="126"/>
  <c r="AV66" i="127"/>
  <c r="AV67" i="126"/>
  <c r="AV70" i="126"/>
  <c r="AV68" i="126"/>
  <c r="AV64" i="126"/>
  <c r="AV64" i="127"/>
  <c r="AU52" i="132"/>
  <c r="AV81" i="127"/>
  <c r="AU72" i="131"/>
  <c r="AU83" i="131"/>
  <c r="AU71" i="132"/>
  <c r="AU54" i="132"/>
  <c r="AU53" i="132"/>
  <c r="AV68" i="127"/>
  <c r="AV68" i="110"/>
  <c r="AV60" i="126"/>
  <c r="AV69" i="127"/>
  <c r="AV71" i="127"/>
  <c r="AV67" i="127"/>
  <c r="AV70" i="127"/>
  <c r="AU52" i="130"/>
  <c r="AU71" i="131"/>
  <c r="AV72" i="126"/>
  <c r="AU74" i="130"/>
  <c r="AU54" i="131"/>
  <c r="P54" i="131" s="1"/>
  <c r="N54" i="131" s="1"/>
  <c r="O54" i="118" s="1"/>
  <c r="AV70" i="110"/>
  <c r="AU72" i="132"/>
  <c r="AU66" i="132"/>
  <c r="AV81" i="110"/>
  <c r="Y81" i="110" s="1"/>
  <c r="AV69" i="110"/>
  <c r="AU51" i="131"/>
  <c r="AV67" i="110"/>
  <c r="AU53" i="130"/>
  <c r="AU72" i="130"/>
  <c r="AV66" i="126"/>
  <c r="AU66" i="130"/>
  <c r="AV71" i="110"/>
  <c r="AU51" i="130"/>
  <c r="AU74" i="132"/>
  <c r="AV59" i="110"/>
  <c r="AU55" i="131"/>
  <c r="P55" i="131" s="1"/>
  <c r="N55" i="131" s="1"/>
  <c r="O55" i="118" s="1"/>
  <c r="AV64" i="110"/>
  <c r="AU66" i="131"/>
  <c r="AU71" i="130"/>
  <c r="AU73" i="131"/>
  <c r="AU51" i="132"/>
  <c r="AV82" i="127"/>
  <c r="AU61" i="131"/>
  <c r="AV92" i="127"/>
  <c r="AV51" i="127"/>
  <c r="AV50" i="126"/>
  <c r="AV93" i="127"/>
  <c r="AU53" i="131"/>
  <c r="AU83" i="132"/>
  <c r="AU73" i="132"/>
  <c r="AV60" i="110"/>
  <c r="AV60" i="127"/>
  <c r="AV69" i="126"/>
  <c r="AV71" i="126"/>
  <c r="AV82" i="110"/>
  <c r="Y82" i="110" s="1"/>
  <c r="AV72" i="127"/>
  <c r="AU74" i="131"/>
  <c r="AU70" i="131"/>
  <c r="AV52" i="126"/>
  <c r="Y52" i="126" s="1"/>
  <c r="AU84" i="130"/>
  <c r="P84" i="130" s="1"/>
  <c r="N84" i="130" s="1"/>
  <c r="N84" i="118" s="1"/>
  <c r="AV81" i="126"/>
  <c r="AU83" i="130"/>
  <c r="P83" i="130" s="1"/>
  <c r="N83" i="130" s="1"/>
  <c r="N83" i="118" s="1"/>
  <c r="AU73" i="130"/>
  <c r="AV72" i="110"/>
  <c r="AV89" i="127"/>
  <c r="AV50" i="127"/>
  <c r="AV49" i="110"/>
  <c r="AV82" i="126"/>
  <c r="AV51" i="126"/>
  <c r="AV93" i="126"/>
  <c r="Y93" i="126" s="1"/>
  <c r="AV50" i="110"/>
  <c r="AU69" i="132"/>
  <c r="AU61" i="130"/>
  <c r="AV52" i="127"/>
  <c r="AV51" i="110"/>
  <c r="AV89" i="126"/>
  <c r="Y89" i="126" s="1"/>
  <c r="AU70" i="130"/>
  <c r="AU62" i="130"/>
  <c r="AU84" i="132"/>
  <c r="AU52" i="131"/>
  <c r="AU84" i="131"/>
  <c r="AV49" i="127"/>
  <c r="AV92" i="126"/>
  <c r="AU68" i="131"/>
  <c r="AU69" i="130"/>
  <c r="AV53" i="126"/>
  <c r="Y53" i="126" s="1"/>
  <c r="AU62" i="132"/>
  <c r="AV53" i="127"/>
  <c r="AU61" i="132"/>
  <c r="AU68" i="132"/>
  <c r="AV49" i="126"/>
  <c r="AU70" i="132"/>
  <c r="AU79" i="132"/>
  <c r="AU68" i="130"/>
  <c r="AV96" i="127"/>
  <c r="AV88" i="127"/>
  <c r="AV77" i="127"/>
  <c r="AV87" i="127"/>
  <c r="AV95" i="126"/>
  <c r="AV96" i="126"/>
  <c r="Y96" i="126" s="1"/>
  <c r="AV87" i="126"/>
  <c r="Y87" i="126" s="1"/>
  <c r="AV77" i="126"/>
  <c r="Y77" i="126" s="1"/>
  <c r="AV88" i="126"/>
  <c r="Y88" i="126" s="1"/>
  <c r="AU79" i="131"/>
  <c r="P79" i="131" s="1"/>
  <c r="N79" i="131" s="1"/>
  <c r="O79" i="118" s="1"/>
  <c r="AV95" i="127"/>
  <c r="AV22" i="126"/>
  <c r="AV42" i="127"/>
  <c r="AV22" i="110"/>
  <c r="AV42" i="126"/>
  <c r="Y42" i="126" s="1"/>
  <c r="AV22" i="127"/>
  <c r="AV17" i="126"/>
  <c r="AV17" i="127"/>
  <c r="AV39" i="127"/>
  <c r="AV30" i="127"/>
  <c r="AV18" i="126"/>
  <c r="AU44" i="131"/>
  <c r="P44" i="131" s="1"/>
  <c r="N44" i="131" s="1"/>
  <c r="AV39" i="126"/>
  <c r="Y39" i="126" s="1"/>
  <c r="AV30" i="126"/>
  <c r="Y30" i="126" s="1"/>
  <c r="AV18" i="127"/>
  <c r="AV36" i="127"/>
  <c r="AV26" i="127"/>
  <c r="AV26" i="126"/>
  <c r="Y26" i="126" s="1"/>
  <c r="AV36" i="126"/>
  <c r="AV43" i="126"/>
  <c r="Y43" i="126" s="1"/>
  <c r="AV43" i="127"/>
  <c r="AV10" i="127"/>
  <c r="AV90" i="126"/>
  <c r="AV19" i="127"/>
  <c r="AV25" i="127"/>
  <c r="AV19" i="126"/>
  <c r="AV90" i="127"/>
  <c r="AV25" i="126"/>
  <c r="BO5" i="126"/>
  <c r="DC41" i="127"/>
  <c r="BP44" i="126"/>
  <c r="BP41" i="126" s="1"/>
  <c r="AU7" i="126"/>
  <c r="Y10" i="126"/>
  <c r="AU94" i="127"/>
  <c r="AU45" i="110"/>
  <c r="BQ16" i="126"/>
  <c r="Z19" i="126"/>
  <c r="BQ35" i="126"/>
  <c r="Z35" i="126" s="1"/>
  <c r="Z36" i="126"/>
  <c r="BQ91" i="126"/>
  <c r="Z91" i="126" s="1"/>
  <c r="Z92" i="126"/>
  <c r="BQ45" i="127"/>
  <c r="CM16" i="126"/>
  <c r="BP6" i="126"/>
  <c r="DG24" i="126"/>
  <c r="DE45" i="126"/>
  <c r="BP44" i="127"/>
  <c r="BP41" i="127" s="1"/>
  <c r="BO5" i="110"/>
  <c r="AS5" i="110"/>
  <c r="AU35" i="110"/>
  <c r="Y35" i="110" s="1"/>
  <c r="AT6" i="110"/>
  <c r="BP6" i="110"/>
  <c r="DF6" i="110"/>
  <c r="CL6" i="110"/>
  <c r="Y43" i="110"/>
  <c r="R43" i="110" s="1"/>
  <c r="C248" i="138" s="1"/>
  <c r="Y7" i="110"/>
  <c r="S7" i="110" s="1"/>
  <c r="C19" i="138" s="1"/>
  <c r="Q88" i="110"/>
  <c r="AN87" i="133" s="1"/>
  <c r="R87" i="110"/>
  <c r="Q87" i="110"/>
  <c r="AN86" i="133" s="1"/>
  <c r="Y36" i="110"/>
  <c r="AT44" i="110"/>
  <c r="AT41" i="110" s="1"/>
  <c r="BQ16" i="110"/>
  <c r="BQ6" i="110" s="1"/>
  <c r="AU24" i="110"/>
  <c r="S96" i="110"/>
  <c r="Q96" i="110"/>
  <c r="AN95" i="133" s="1"/>
  <c r="R96" i="110"/>
  <c r="Y95" i="110"/>
  <c r="S95" i="110" s="1"/>
  <c r="AU94" i="110"/>
  <c r="Y94" i="110" s="1"/>
  <c r="S94" i="110" s="1"/>
  <c r="R88" i="110"/>
  <c r="AU16" i="110"/>
  <c r="R93" i="110"/>
  <c r="Q93" i="110"/>
  <c r="AN92" i="133" s="1"/>
  <c r="Q90" i="110"/>
  <c r="AN89" i="133" s="1"/>
  <c r="R90" i="110"/>
  <c r="R42" i="110"/>
  <c r="Q42" i="110"/>
  <c r="AN41" i="133" s="1"/>
  <c r="S42" i="110"/>
  <c r="CN42" i="110"/>
  <c r="CN9" i="110"/>
  <c r="DH42" i="110"/>
  <c r="DH9" i="110"/>
  <c r="AU89" i="132"/>
  <c r="AU88" i="132"/>
  <c r="AU18" i="132"/>
  <c r="AU18" i="131"/>
  <c r="P18" i="131" s="1"/>
  <c r="N18" i="131" s="1"/>
  <c r="O18" i="118" s="1"/>
  <c r="AU99" i="132"/>
  <c r="AU99" i="131"/>
  <c r="P99" i="131" s="1"/>
  <c r="N99" i="131" s="1"/>
  <c r="O99" i="118" s="1"/>
  <c r="O44" i="118"/>
  <c r="AU44" i="132"/>
  <c r="AU36" i="132"/>
  <c r="AU91" i="132"/>
  <c r="AU101" i="132"/>
  <c r="AU95" i="132"/>
  <c r="AU41" i="130"/>
  <c r="AU28" i="130"/>
  <c r="AU35" i="130"/>
  <c r="AU43" i="130"/>
  <c r="AU42" i="132"/>
  <c r="AU27" i="130"/>
  <c r="AU41" i="131"/>
  <c r="AU95" i="131"/>
  <c r="P95" i="131" s="1"/>
  <c r="N95" i="131" s="1"/>
  <c r="O95" i="118" s="1"/>
  <c r="AU103" i="131"/>
  <c r="P103" i="131" s="1"/>
  <c r="N103" i="131" s="1"/>
  <c r="O103" i="118" s="1"/>
  <c r="AU17" i="132"/>
  <c r="AU30" i="132"/>
  <c r="AU27" i="131"/>
  <c r="AU102" i="131"/>
  <c r="P102" i="131" s="1"/>
  <c r="N102" i="131" s="1"/>
  <c r="O102" i="118" s="1"/>
  <c r="AU42" i="131"/>
  <c r="AU28" i="132"/>
  <c r="AU37" i="131"/>
  <c r="AU20" i="130"/>
  <c r="AU25" i="131"/>
  <c r="P25" i="131" s="1"/>
  <c r="N25" i="131" s="1"/>
  <c r="O25" i="118" s="1"/>
  <c r="AU43" i="132"/>
  <c r="AU103" i="132"/>
  <c r="AU42" i="130"/>
  <c r="AU19" i="130"/>
  <c r="AU29" i="131"/>
  <c r="AU104" i="130"/>
  <c r="AU40" i="130"/>
  <c r="AU19" i="131"/>
  <c r="AU104" i="131"/>
  <c r="AU101" i="131"/>
  <c r="P101" i="131" s="1"/>
  <c r="N101" i="131" s="1"/>
  <c r="O101" i="118" s="1"/>
  <c r="AU34" i="131"/>
  <c r="AU37" i="132"/>
  <c r="AU31" i="131"/>
  <c r="T9" i="109"/>
  <c r="AU97" i="132"/>
  <c r="AV17" i="110"/>
  <c r="AU90" i="132"/>
  <c r="AU30" i="131"/>
  <c r="AU35" i="131"/>
  <c r="AU37" i="130"/>
  <c r="AU32" i="131"/>
  <c r="AU90" i="131"/>
  <c r="P90" i="131" s="1"/>
  <c r="N90" i="131" s="1"/>
  <c r="O90" i="118" s="1"/>
  <c r="AU41" i="132"/>
  <c r="AU25" i="132"/>
  <c r="AU100" i="132"/>
  <c r="AU17" i="131"/>
  <c r="P17" i="131" s="1"/>
  <c r="N17" i="131" s="1"/>
  <c r="O17" i="118" s="1"/>
  <c r="AU34" i="130"/>
  <c r="AU30" i="130"/>
  <c r="AU91" i="131"/>
  <c r="P91" i="131" s="1"/>
  <c r="N91" i="131" s="1"/>
  <c r="O91" i="118" s="1"/>
  <c r="AU32" i="132"/>
  <c r="AU89" i="131"/>
  <c r="P89" i="131" s="1"/>
  <c r="N89" i="131" s="1"/>
  <c r="O89" i="118" s="1"/>
  <c r="AU28" i="131"/>
  <c r="AU31" i="132"/>
  <c r="AU93" i="132"/>
  <c r="AU102" i="132"/>
  <c r="AV24" i="110"/>
  <c r="AU100" i="131"/>
  <c r="P100" i="131" s="1"/>
  <c r="N100" i="131" s="1"/>
  <c r="O100" i="118" s="1"/>
  <c r="AU40" i="132"/>
  <c r="AU97" i="131"/>
  <c r="AU20" i="131"/>
  <c r="AU104" i="132"/>
  <c r="AU36" i="130"/>
  <c r="AV18" i="110"/>
  <c r="AU94" i="131"/>
  <c r="P94" i="131" s="1"/>
  <c r="N94" i="131" s="1"/>
  <c r="O94" i="118" s="1"/>
  <c r="AU31" i="130"/>
  <c r="AU20" i="132"/>
  <c r="AU34" i="132"/>
  <c r="AU32" i="130"/>
  <c r="AU36" i="131"/>
  <c r="AU43" i="131"/>
  <c r="AU93" i="131"/>
  <c r="P93" i="131" s="1"/>
  <c r="N93" i="131" s="1"/>
  <c r="O93" i="118" s="1"/>
  <c r="AU27" i="132"/>
  <c r="AU9" i="132"/>
  <c r="P9" i="132" s="1"/>
  <c r="N9" i="132" s="1"/>
  <c r="P9" i="118" s="1"/>
  <c r="AU8" i="132"/>
  <c r="P8" i="132" s="1"/>
  <c r="N8" i="132" s="1"/>
  <c r="P8" i="118" s="1"/>
  <c r="AU94" i="132"/>
  <c r="AU29" i="130"/>
  <c r="AU96" i="131"/>
  <c r="P96" i="131" s="1"/>
  <c r="N96" i="131" s="1"/>
  <c r="O96" i="118" s="1"/>
  <c r="AU92" i="131"/>
  <c r="P92" i="131" s="1"/>
  <c r="N92" i="131" s="1"/>
  <c r="O92" i="118" s="1"/>
  <c r="AU29" i="132"/>
  <c r="AU19" i="132"/>
  <c r="AU96" i="132"/>
  <c r="AU92" i="132"/>
  <c r="AU40" i="131"/>
  <c r="AU35" i="132"/>
  <c r="AU88" i="131"/>
  <c r="P88" i="131" s="1"/>
  <c r="N88" i="131" s="1"/>
  <c r="O88" i="118" s="1"/>
  <c r="R10" i="110"/>
  <c r="Q10" i="110"/>
  <c r="AN9" i="133" s="1"/>
  <c r="DF89" i="110"/>
  <c r="CK89" i="110"/>
  <c r="Y25" i="110"/>
  <c r="AU86" i="110"/>
  <c r="Y86" i="110" s="1"/>
  <c r="R89" i="110"/>
  <c r="Q89" i="110"/>
  <c r="AN88" i="133" s="1"/>
  <c r="S89" i="110"/>
  <c r="S87" i="110"/>
  <c r="AU91" i="110"/>
  <c r="Y91" i="110" s="1"/>
  <c r="Y92" i="110"/>
  <c r="R19" i="110"/>
  <c r="Q19" i="110"/>
  <c r="AN18" i="133" s="1"/>
  <c r="CI44" i="110"/>
  <c r="CI41" i="110" s="1"/>
  <c r="CI5" i="110" s="1"/>
  <c r="DG16" i="110"/>
  <c r="CM16" i="110"/>
  <c r="DD44" i="110"/>
  <c r="DD41" i="110" s="1"/>
  <c r="DD5" i="110" s="1"/>
  <c r="Z86" i="110"/>
  <c r="BP44" i="110"/>
  <c r="BP41" i="110" s="1"/>
  <c r="CJ86" i="110"/>
  <c r="DG13" i="110"/>
  <c r="CN26" i="110"/>
  <c r="CN19" i="110"/>
  <c r="DG7" i="110"/>
  <c r="DG24" i="110"/>
  <c r="DH26" i="110"/>
  <c r="DH19" i="110"/>
  <c r="DH32" i="110"/>
  <c r="DH39" i="110"/>
  <c r="DH37" i="110"/>
  <c r="DH34" i="110"/>
  <c r="DH25" i="110"/>
  <c r="DH28" i="110"/>
  <c r="U15" i="109"/>
  <c r="DH11" i="110"/>
  <c r="DH36" i="110"/>
  <c r="DH38" i="110"/>
  <c r="DH14" i="110"/>
  <c r="DH10" i="110"/>
  <c r="DH12" i="110"/>
  <c r="DH15" i="110"/>
  <c r="DH29" i="110"/>
  <c r="DH18" i="110"/>
  <c r="DH8" i="110"/>
  <c r="DH31" i="110"/>
  <c r="DH27" i="110"/>
  <c r="DH40" i="110"/>
  <c r="DH17" i="110"/>
  <c r="DH30" i="110"/>
  <c r="CK46" i="110"/>
  <c r="DF46" i="110"/>
  <c r="CK90" i="110"/>
  <c r="DF90" i="110"/>
  <c r="BR24" i="110"/>
  <c r="BR18" i="110"/>
  <c r="BR17" i="110"/>
  <c r="U11" i="109"/>
  <c r="DG35" i="110"/>
  <c r="CJ94" i="110"/>
  <c r="DE94" i="110"/>
  <c r="DE86" i="110"/>
  <c r="CM13" i="110"/>
  <c r="CJ91" i="110"/>
  <c r="CM35" i="110"/>
  <c r="CM7" i="110"/>
  <c r="CM24" i="110"/>
  <c r="DE91" i="110"/>
  <c r="DF88" i="110"/>
  <c r="DF92" i="110"/>
  <c r="CK95" i="110"/>
  <c r="DF95" i="110"/>
  <c r="DF96" i="110"/>
  <c r="CK43" i="110"/>
  <c r="DF93" i="110"/>
  <c r="DF43" i="110"/>
  <c r="CK93" i="110"/>
  <c r="CK92" i="110"/>
  <c r="DF87" i="110"/>
  <c r="CK96" i="110"/>
  <c r="CK88" i="110"/>
  <c r="CK87" i="110"/>
  <c r="T17" i="109"/>
  <c r="S19" i="109"/>
  <c r="V10" i="109"/>
  <c r="BR41" i="132"/>
  <c r="BR37" i="132"/>
  <c r="BR40" i="132"/>
  <c r="BR42" i="132"/>
  <c r="BR40" i="131"/>
  <c r="BR28" i="130"/>
  <c r="Q28" i="130" s="1"/>
  <c r="BR34" i="130"/>
  <c r="Q34" i="130" s="1"/>
  <c r="BR40" i="130"/>
  <c r="BR32" i="130"/>
  <c r="Q32" i="130" s="1"/>
  <c r="BR30" i="130"/>
  <c r="Q30" i="130" s="1"/>
  <c r="BR104" i="130"/>
  <c r="BR27" i="130"/>
  <c r="Q27" i="130" s="1"/>
  <c r="BR97" i="132"/>
  <c r="BR104" i="131"/>
  <c r="BR104" i="132"/>
  <c r="BR43" i="131"/>
  <c r="BR37" i="131"/>
  <c r="BR97" i="130"/>
  <c r="Q97" i="130" s="1"/>
  <c r="BR27" i="131"/>
  <c r="BR41" i="131"/>
  <c r="BR29" i="130"/>
  <c r="Q29" i="130" s="1"/>
  <c r="BR43" i="132"/>
  <c r="BR28" i="131"/>
  <c r="BR34" i="131"/>
  <c r="BR42" i="131"/>
  <c r="BR32" i="131"/>
  <c r="BR41" i="130"/>
  <c r="Q41" i="130" s="1"/>
  <c r="BR42" i="130"/>
  <c r="Q42" i="130" s="1"/>
  <c r="BR35" i="130"/>
  <c r="Q35" i="130" s="1"/>
  <c r="BR97" i="131"/>
  <c r="BR37" i="130"/>
  <c r="Q37" i="130" s="1"/>
  <c r="BR29" i="131"/>
  <c r="BR43" i="130"/>
  <c r="Q43" i="130" s="1"/>
  <c r="BR19" i="131"/>
  <c r="BR19" i="132"/>
  <c r="BR19" i="130"/>
  <c r="BR32" i="132"/>
  <c r="BR35" i="131"/>
  <c r="BR34" i="132"/>
  <c r="BR28" i="132"/>
  <c r="BR29" i="132"/>
  <c r="BR27" i="132"/>
  <c r="BR30" i="131"/>
  <c r="BR35" i="132"/>
  <c r="BR30" i="132"/>
  <c r="BR20" i="130"/>
  <c r="BR31" i="131"/>
  <c r="BR36" i="131"/>
  <c r="BR20" i="132"/>
  <c r="BR31" i="130"/>
  <c r="Q31" i="130" s="1"/>
  <c r="BR20" i="131"/>
  <c r="BR31" i="132"/>
  <c r="BR36" i="130"/>
  <c r="Q36" i="130" s="1"/>
  <c r="BR36" i="132"/>
  <c r="V14" i="109"/>
  <c r="CN36" i="110"/>
  <c r="CN39" i="110"/>
  <c r="CN37" i="110"/>
  <c r="CN8" i="110"/>
  <c r="CN38" i="110"/>
  <c r="CN34" i="110"/>
  <c r="CN17" i="110"/>
  <c r="CN14" i="110"/>
  <c r="CN12" i="110"/>
  <c r="CN10" i="110"/>
  <c r="CN25" i="110"/>
  <c r="CN30" i="110"/>
  <c r="CN29" i="110"/>
  <c r="CN32" i="110"/>
  <c r="CN31" i="110"/>
  <c r="CN15" i="110"/>
  <c r="CN40" i="110"/>
  <c r="CN11" i="110"/>
  <c r="CN28" i="110"/>
  <c r="CN27" i="110"/>
  <c r="CN18" i="110"/>
  <c r="AW97" i="130"/>
  <c r="P97" i="130" s="1"/>
  <c r="AW97" i="132"/>
  <c r="AW97" i="131"/>
  <c r="CK91" i="126" l="1"/>
  <c r="DE44" i="126"/>
  <c r="DE41" i="126" s="1"/>
  <c r="CJ44" i="127"/>
  <c r="CJ41" i="127" s="1"/>
  <c r="CJ5" i="127" s="1"/>
  <c r="CJ44" i="126"/>
  <c r="CJ41" i="126" s="1"/>
  <c r="CJ5" i="126" s="1"/>
  <c r="CK91" i="127"/>
  <c r="DE44" i="127"/>
  <c r="DE41" i="127" s="1"/>
  <c r="DE5" i="127" s="1"/>
  <c r="AV86" i="127"/>
  <c r="DF86" i="127"/>
  <c r="AT5" i="126"/>
  <c r="AV35" i="127"/>
  <c r="DH35" i="127"/>
  <c r="DG6" i="127"/>
  <c r="AT5" i="127"/>
  <c r="CN16" i="126"/>
  <c r="DH16" i="127"/>
  <c r="AU6" i="127"/>
  <c r="CM6" i="127"/>
  <c r="CM6" i="126"/>
  <c r="CN24" i="127"/>
  <c r="DF45" i="110"/>
  <c r="DG6" i="126"/>
  <c r="AV24" i="127"/>
  <c r="CN16" i="127"/>
  <c r="BR16" i="126"/>
  <c r="BR6" i="126" s="1"/>
  <c r="DF86" i="126"/>
  <c r="CK86" i="126"/>
  <c r="CK45" i="110"/>
  <c r="BP5" i="127"/>
  <c r="AV24" i="126"/>
  <c r="Y24" i="126" s="1"/>
  <c r="AV16" i="127"/>
  <c r="AV91" i="127"/>
  <c r="BR45" i="126"/>
  <c r="BR44" i="126" s="1"/>
  <c r="BR41" i="126" s="1"/>
  <c r="DF91" i="126"/>
  <c r="DE5" i="126"/>
  <c r="CO23" i="126"/>
  <c r="CO23" i="110"/>
  <c r="CO23" i="127"/>
  <c r="CO42" i="127"/>
  <c r="CO33" i="127"/>
  <c r="CO42" i="126"/>
  <c r="CO33" i="126"/>
  <c r="CO12" i="127"/>
  <c r="CO12" i="126"/>
  <c r="CO33" i="110"/>
  <c r="CO20" i="110"/>
  <c r="CO20" i="126"/>
  <c r="CO20" i="127"/>
  <c r="CO21" i="110"/>
  <c r="CO21" i="127"/>
  <c r="CO21" i="126"/>
  <c r="CO14" i="126"/>
  <c r="CO9" i="126"/>
  <c r="CO11" i="126"/>
  <c r="CO25" i="127"/>
  <c r="CO36" i="127"/>
  <c r="CO22" i="126"/>
  <c r="CO22" i="110"/>
  <c r="CO22" i="127"/>
  <c r="CO31" i="126"/>
  <c r="CO15" i="127"/>
  <c r="CO27" i="126"/>
  <c r="CO26" i="127"/>
  <c r="CO25" i="126"/>
  <c r="CO40" i="126"/>
  <c r="CO19" i="127"/>
  <c r="CO37" i="127"/>
  <c r="CO32" i="127"/>
  <c r="CO40" i="127"/>
  <c r="CO14" i="127"/>
  <c r="CO9" i="127"/>
  <c r="CO11" i="127"/>
  <c r="CO29" i="126"/>
  <c r="CO28" i="126"/>
  <c r="CO36" i="126"/>
  <c r="CO15" i="126"/>
  <c r="CO10" i="127"/>
  <c r="CO29" i="127"/>
  <c r="CO8" i="127"/>
  <c r="CO38" i="126"/>
  <c r="CO8" i="126"/>
  <c r="CO31" i="127"/>
  <c r="CO32" i="126"/>
  <c r="CO19" i="126"/>
  <c r="CO39" i="127"/>
  <c r="CO30" i="126"/>
  <c r="CO27" i="127"/>
  <c r="CO28" i="127"/>
  <c r="CO26" i="126"/>
  <c r="CO38" i="127"/>
  <c r="CO37" i="126"/>
  <c r="CO30" i="127"/>
  <c r="CO39" i="126"/>
  <c r="CO10" i="126"/>
  <c r="CO34" i="127"/>
  <c r="CO34" i="126"/>
  <c r="CO17" i="127"/>
  <c r="CO18" i="126"/>
  <c r="CO18" i="127"/>
  <c r="CO17" i="126"/>
  <c r="CL58" i="127"/>
  <c r="DG58" i="127"/>
  <c r="CL57" i="126"/>
  <c r="DG57" i="126"/>
  <c r="DG83" i="126"/>
  <c r="DG56" i="127"/>
  <c r="CL55" i="126"/>
  <c r="DG55" i="126"/>
  <c r="CL83" i="126"/>
  <c r="CL84" i="127"/>
  <c r="CL56" i="127"/>
  <c r="DG85" i="126"/>
  <c r="CL85" i="126"/>
  <c r="CL84" i="110"/>
  <c r="DG55" i="127"/>
  <c r="CL65" i="126"/>
  <c r="DG58" i="126"/>
  <c r="CL83" i="110"/>
  <c r="DG84" i="127"/>
  <c r="DG84" i="110"/>
  <c r="CL55" i="127"/>
  <c r="CL57" i="127"/>
  <c r="DG57" i="127"/>
  <c r="CL58" i="126"/>
  <c r="DG84" i="126"/>
  <c r="DG57" i="110"/>
  <c r="DG65" i="126"/>
  <c r="DG56" i="126"/>
  <c r="CL84" i="126"/>
  <c r="CL57" i="110"/>
  <c r="CL56" i="110"/>
  <c r="CL58" i="110"/>
  <c r="DG85" i="127"/>
  <c r="DG83" i="110"/>
  <c r="DG83" i="127"/>
  <c r="CL83" i="127"/>
  <c r="CL56" i="126"/>
  <c r="CL65" i="127"/>
  <c r="DG65" i="127"/>
  <c r="CL85" i="110"/>
  <c r="DG56" i="110"/>
  <c r="DG85" i="110"/>
  <c r="DG55" i="110"/>
  <c r="DG65" i="110"/>
  <c r="DG58" i="110"/>
  <c r="CL55" i="110"/>
  <c r="CL65" i="110"/>
  <c r="CL85" i="127"/>
  <c r="CL48" i="127"/>
  <c r="DG47" i="126"/>
  <c r="CL47" i="127"/>
  <c r="DG47" i="127"/>
  <c r="CL47" i="126"/>
  <c r="DG48" i="126"/>
  <c r="DG47" i="110"/>
  <c r="CL47" i="110"/>
  <c r="CL48" i="126"/>
  <c r="DG48" i="127"/>
  <c r="DG48" i="110"/>
  <c r="CL48" i="110"/>
  <c r="CL62" i="126"/>
  <c r="CL80" i="110"/>
  <c r="CL80" i="126"/>
  <c r="DG78" i="110"/>
  <c r="CL78" i="110"/>
  <c r="DG78" i="127"/>
  <c r="CL78" i="127"/>
  <c r="DG76" i="126"/>
  <c r="DG63" i="110"/>
  <c r="DG63" i="127"/>
  <c r="DG62" i="127"/>
  <c r="DG61" i="110"/>
  <c r="CL80" i="127"/>
  <c r="CL79" i="110"/>
  <c r="CL79" i="126"/>
  <c r="DG54" i="110"/>
  <c r="CL54" i="126"/>
  <c r="DG53" i="110"/>
  <c r="DG62" i="110"/>
  <c r="DG77" i="110"/>
  <c r="CL76" i="126"/>
  <c r="DG74" i="110"/>
  <c r="DG73" i="110"/>
  <c r="CL46" i="127"/>
  <c r="CL63" i="110"/>
  <c r="CL63" i="127"/>
  <c r="CL62" i="127"/>
  <c r="DG79" i="126"/>
  <c r="DG62" i="126"/>
  <c r="CL79" i="127"/>
  <c r="DG54" i="127"/>
  <c r="CL54" i="127"/>
  <c r="CL75" i="110"/>
  <c r="DG75" i="127"/>
  <c r="CL75" i="127"/>
  <c r="DG76" i="110"/>
  <c r="DG74" i="127"/>
  <c r="CL73" i="110"/>
  <c r="CL73" i="127"/>
  <c r="DG46" i="127"/>
  <c r="CL61" i="127"/>
  <c r="CL61" i="126"/>
  <c r="DG75" i="110"/>
  <c r="CL74" i="127"/>
  <c r="CL53" i="110"/>
  <c r="CL52" i="110"/>
  <c r="DG75" i="126"/>
  <c r="DG76" i="127"/>
  <c r="CL74" i="126"/>
  <c r="DG74" i="126"/>
  <c r="CL46" i="126"/>
  <c r="CL62" i="110"/>
  <c r="DG80" i="110"/>
  <c r="CL77" i="110"/>
  <c r="CL61" i="110"/>
  <c r="DG79" i="110"/>
  <c r="DG78" i="126"/>
  <c r="CL76" i="127"/>
  <c r="DG73" i="126"/>
  <c r="DG63" i="126"/>
  <c r="CL63" i="126"/>
  <c r="DG80" i="126"/>
  <c r="DG79" i="127"/>
  <c r="CL76" i="110"/>
  <c r="CL74" i="110"/>
  <c r="DG61" i="127"/>
  <c r="CL75" i="126"/>
  <c r="CL73" i="126"/>
  <c r="DG61" i="126"/>
  <c r="DG73" i="127"/>
  <c r="DG80" i="127"/>
  <c r="CL78" i="126"/>
  <c r="CL54" i="110"/>
  <c r="DG54" i="126"/>
  <c r="DG52" i="110"/>
  <c r="DG46" i="126"/>
  <c r="DG59" i="127"/>
  <c r="DG67" i="127"/>
  <c r="DG67" i="126"/>
  <c r="CL70" i="127"/>
  <c r="CL67" i="126"/>
  <c r="DG70" i="126"/>
  <c r="DG70" i="127"/>
  <c r="CL66" i="110"/>
  <c r="DG66" i="110"/>
  <c r="DG66" i="127"/>
  <c r="CL60" i="126"/>
  <c r="CL59" i="126"/>
  <c r="DG60" i="126"/>
  <c r="CL66" i="127"/>
  <c r="DG64" i="127"/>
  <c r="DG81" i="127"/>
  <c r="DG69" i="127"/>
  <c r="DG71" i="110"/>
  <c r="DG72" i="126"/>
  <c r="CL59" i="110"/>
  <c r="CL68" i="110"/>
  <c r="CL59" i="127"/>
  <c r="CL70" i="126"/>
  <c r="CL68" i="126"/>
  <c r="CL64" i="126"/>
  <c r="CL71" i="127"/>
  <c r="CL82" i="126"/>
  <c r="DG82" i="126"/>
  <c r="DG59" i="110"/>
  <c r="DG67" i="110"/>
  <c r="CL67" i="127"/>
  <c r="DG68" i="126"/>
  <c r="DG64" i="126"/>
  <c r="CL64" i="127"/>
  <c r="CL81" i="127"/>
  <c r="CL71" i="110"/>
  <c r="DG70" i="110"/>
  <c r="DG60" i="110"/>
  <c r="CL60" i="127"/>
  <c r="CL66" i="126"/>
  <c r="CL81" i="110"/>
  <c r="DG69" i="110"/>
  <c r="CL69" i="126"/>
  <c r="CL60" i="110"/>
  <c r="CL69" i="127"/>
  <c r="CL72" i="126"/>
  <c r="CL68" i="127"/>
  <c r="DG71" i="127"/>
  <c r="DG66" i="126"/>
  <c r="DG64" i="110"/>
  <c r="CL81" i="126"/>
  <c r="CL69" i="110"/>
  <c r="CL82" i="110"/>
  <c r="CL51" i="126"/>
  <c r="CL50" i="127"/>
  <c r="CL49" i="110"/>
  <c r="CL93" i="126"/>
  <c r="CL49" i="126"/>
  <c r="CL51" i="110"/>
  <c r="DG89" i="126"/>
  <c r="DG68" i="127"/>
  <c r="CL64" i="110"/>
  <c r="DG81" i="110"/>
  <c r="DG81" i="126"/>
  <c r="DG69" i="126"/>
  <c r="DG82" i="127"/>
  <c r="DG72" i="127"/>
  <c r="CL72" i="110"/>
  <c r="DG72" i="110"/>
  <c r="DG51" i="126"/>
  <c r="DG52" i="126"/>
  <c r="CL49" i="127"/>
  <c r="DG92" i="127"/>
  <c r="DG49" i="110"/>
  <c r="DG51" i="127"/>
  <c r="DG59" i="126"/>
  <c r="CL67" i="110"/>
  <c r="DG60" i="127"/>
  <c r="CL71" i="126"/>
  <c r="DG82" i="110"/>
  <c r="CL82" i="127"/>
  <c r="DG53" i="126"/>
  <c r="DG49" i="127"/>
  <c r="CL92" i="127"/>
  <c r="DG50" i="127"/>
  <c r="CL51" i="127"/>
  <c r="DG93" i="126"/>
  <c r="DG50" i="126"/>
  <c r="CL70" i="110"/>
  <c r="DG89" i="127"/>
  <c r="DG52" i="127"/>
  <c r="CL92" i="126"/>
  <c r="CL50" i="110"/>
  <c r="DG68" i="110"/>
  <c r="CL72" i="127"/>
  <c r="CL50" i="126"/>
  <c r="CL52" i="126"/>
  <c r="CL53" i="126"/>
  <c r="CL89" i="126"/>
  <c r="CL53" i="127"/>
  <c r="DG53" i="127"/>
  <c r="DG50" i="110"/>
  <c r="DG71" i="126"/>
  <c r="CL93" i="127"/>
  <c r="CL89" i="127"/>
  <c r="DG49" i="126"/>
  <c r="DG51" i="110"/>
  <c r="CL52" i="127"/>
  <c r="DG92" i="126"/>
  <c r="DG93" i="127"/>
  <c r="CL77" i="126"/>
  <c r="DG87" i="126"/>
  <c r="CL88" i="126"/>
  <c r="CL95" i="126"/>
  <c r="DG96" i="126"/>
  <c r="DG77" i="127"/>
  <c r="CL96" i="127"/>
  <c r="DG95" i="126"/>
  <c r="DG88" i="127"/>
  <c r="CL96" i="126"/>
  <c r="CL77" i="127"/>
  <c r="DG77" i="126"/>
  <c r="CL87" i="127"/>
  <c r="DG87" i="127"/>
  <c r="DG96" i="127"/>
  <c r="CL87" i="126"/>
  <c r="DG95" i="127"/>
  <c r="CL95" i="127"/>
  <c r="DG88" i="126"/>
  <c r="CL88" i="127"/>
  <c r="CL43" i="126"/>
  <c r="DG43" i="127"/>
  <c r="DG43" i="126"/>
  <c r="CL43" i="127"/>
  <c r="DG90" i="126"/>
  <c r="CL90" i="127"/>
  <c r="DG90" i="127"/>
  <c r="CL90" i="126"/>
  <c r="AV39" i="130"/>
  <c r="AV39" i="132"/>
  <c r="AW23" i="127"/>
  <c r="AV39" i="131"/>
  <c r="AW23" i="110"/>
  <c r="AW23" i="126"/>
  <c r="AW58" i="127"/>
  <c r="Y58" i="127" s="1"/>
  <c r="AV59" i="132"/>
  <c r="P59" i="132" s="1"/>
  <c r="N59" i="132" s="1"/>
  <c r="P59" i="118" s="1"/>
  <c r="AW56" i="127"/>
  <c r="Y56" i="127" s="1"/>
  <c r="AV86" i="132"/>
  <c r="P86" i="132" s="1"/>
  <c r="N86" i="132" s="1"/>
  <c r="P86" i="118" s="1"/>
  <c r="AV67" i="132"/>
  <c r="AV67" i="131"/>
  <c r="AV58" i="132"/>
  <c r="P58" i="132" s="1"/>
  <c r="N58" i="132" s="1"/>
  <c r="P58" i="118" s="1"/>
  <c r="AV60" i="132"/>
  <c r="P60" i="132" s="1"/>
  <c r="N60" i="132" s="1"/>
  <c r="P60" i="118" s="1"/>
  <c r="AV87" i="132"/>
  <c r="P87" i="132" s="1"/>
  <c r="N87" i="132" s="1"/>
  <c r="P87" i="118" s="1"/>
  <c r="AW84" i="127"/>
  <c r="Y84" i="127" s="1"/>
  <c r="AV57" i="132"/>
  <c r="P57" i="132" s="1"/>
  <c r="N57" i="132" s="1"/>
  <c r="P57" i="118" s="1"/>
  <c r="AV85" i="132"/>
  <c r="P85" i="132" s="1"/>
  <c r="N85" i="132" s="1"/>
  <c r="P85" i="118" s="1"/>
  <c r="AV67" i="130"/>
  <c r="AW57" i="127"/>
  <c r="Y57" i="127" s="1"/>
  <c r="AW65" i="126"/>
  <c r="AW85" i="127"/>
  <c r="Y85" i="127" s="1"/>
  <c r="AW65" i="110"/>
  <c r="AW83" i="127"/>
  <c r="Y83" i="127" s="1"/>
  <c r="AW55" i="127"/>
  <c r="Y55" i="127" s="1"/>
  <c r="AW65" i="127"/>
  <c r="AV45" i="132"/>
  <c r="P45" i="132" s="1"/>
  <c r="N45" i="132" s="1"/>
  <c r="P45" i="118" s="1"/>
  <c r="AW20" i="127"/>
  <c r="Y20" i="127" s="1"/>
  <c r="AW21" i="126"/>
  <c r="AW21" i="110"/>
  <c r="AW21" i="127"/>
  <c r="AV62" i="131"/>
  <c r="AV69" i="131"/>
  <c r="AW67" i="126"/>
  <c r="AW70" i="126"/>
  <c r="AW70" i="127"/>
  <c r="AV55" i="132"/>
  <c r="P55" i="132" s="1"/>
  <c r="N55" i="132" s="1"/>
  <c r="P55" i="118" s="1"/>
  <c r="AW66" i="127"/>
  <c r="AV53" i="131"/>
  <c r="AV72" i="131"/>
  <c r="AW68" i="126"/>
  <c r="AW64" i="127"/>
  <c r="AV83" i="131"/>
  <c r="P83" i="131" s="1"/>
  <c r="N83" i="131" s="1"/>
  <c r="O83" i="118" s="1"/>
  <c r="AV83" i="132"/>
  <c r="AW67" i="127"/>
  <c r="AW60" i="126"/>
  <c r="AW59" i="126"/>
  <c r="AW66" i="110"/>
  <c r="AV66" i="130"/>
  <c r="AV71" i="131"/>
  <c r="AV51" i="130"/>
  <c r="AW82" i="126"/>
  <c r="Y82" i="126" s="1"/>
  <c r="AW72" i="126"/>
  <c r="AV74" i="132"/>
  <c r="AV53" i="130"/>
  <c r="AV72" i="130"/>
  <c r="AV72" i="132"/>
  <c r="AW66" i="126"/>
  <c r="AW68" i="127"/>
  <c r="AW64" i="126"/>
  <c r="AV52" i="130"/>
  <c r="AW71" i="110"/>
  <c r="AW71" i="127"/>
  <c r="AV84" i="132"/>
  <c r="AV74" i="130"/>
  <c r="AW59" i="110"/>
  <c r="AW59" i="127"/>
  <c r="AV51" i="131"/>
  <c r="AV54" i="132"/>
  <c r="P54" i="132" s="1"/>
  <c r="N54" i="132" s="1"/>
  <c r="P54" i="118" s="1"/>
  <c r="AW67" i="110"/>
  <c r="AW60" i="110"/>
  <c r="AW64" i="110"/>
  <c r="AV52" i="131"/>
  <c r="AW69" i="126"/>
  <c r="AV71" i="130"/>
  <c r="AV52" i="132"/>
  <c r="AV68" i="131"/>
  <c r="AV53" i="132"/>
  <c r="AW68" i="110"/>
  <c r="AW81" i="127"/>
  <c r="AV71" i="132"/>
  <c r="AV73" i="132"/>
  <c r="AW70" i="110"/>
  <c r="AW69" i="127"/>
  <c r="AV66" i="132"/>
  <c r="AW81" i="126"/>
  <c r="Y81" i="126" s="1"/>
  <c r="AV73" i="131"/>
  <c r="AW82" i="127"/>
  <c r="AW51" i="126"/>
  <c r="AW49" i="110"/>
  <c r="AW51" i="127"/>
  <c r="AW60" i="127"/>
  <c r="AV84" i="131"/>
  <c r="P84" i="131" s="1"/>
  <c r="N84" i="131" s="1"/>
  <c r="O84" i="118" s="1"/>
  <c r="AV74" i="131"/>
  <c r="AW89" i="127"/>
  <c r="Y89" i="127" s="1"/>
  <c r="AW49" i="127"/>
  <c r="AW69" i="110"/>
  <c r="AV73" i="130"/>
  <c r="AW72" i="127"/>
  <c r="AV70" i="131"/>
  <c r="AW71" i="126"/>
  <c r="AV61" i="132"/>
  <c r="AV69" i="132"/>
  <c r="AV69" i="130"/>
  <c r="AV61" i="130"/>
  <c r="AV70" i="130"/>
  <c r="AV68" i="132"/>
  <c r="AV68" i="130"/>
  <c r="AW72" i="110"/>
  <c r="AV61" i="131"/>
  <c r="AW52" i="127"/>
  <c r="Y52" i="127" s="1"/>
  <c r="AV79" i="132"/>
  <c r="P79" i="132" s="1"/>
  <c r="N79" i="132" s="1"/>
  <c r="P79" i="118" s="1"/>
  <c r="AV62" i="130"/>
  <c r="AW92" i="127"/>
  <c r="AW53" i="127"/>
  <c r="Y53" i="127" s="1"/>
  <c r="AW50" i="110"/>
  <c r="AV51" i="132"/>
  <c r="AW50" i="126"/>
  <c r="AW49" i="126"/>
  <c r="AW51" i="110"/>
  <c r="AW93" i="127"/>
  <c r="Y93" i="127" s="1"/>
  <c r="AV70" i="132"/>
  <c r="AV62" i="132"/>
  <c r="AV66" i="131"/>
  <c r="AW50" i="127"/>
  <c r="AW77" i="127"/>
  <c r="Y77" i="127" s="1"/>
  <c r="AW95" i="127"/>
  <c r="AW87" i="127"/>
  <c r="Y87" i="127" s="1"/>
  <c r="AW96" i="127"/>
  <c r="Y96" i="127" s="1"/>
  <c r="AW88" i="127"/>
  <c r="Y88" i="127" s="1"/>
  <c r="AW22" i="126"/>
  <c r="AW22" i="127"/>
  <c r="AW42" i="127"/>
  <c r="AW22" i="110"/>
  <c r="AW17" i="126"/>
  <c r="AW17" i="127"/>
  <c r="AW30" i="127"/>
  <c r="Y30" i="127" s="1"/>
  <c r="AW18" i="126"/>
  <c r="AW18" i="127"/>
  <c r="AW39" i="127"/>
  <c r="Y39" i="127" s="1"/>
  <c r="AW36" i="127"/>
  <c r="AW26" i="127"/>
  <c r="Y26" i="127" s="1"/>
  <c r="AW43" i="127"/>
  <c r="Y43" i="127" s="1"/>
  <c r="AW19" i="127"/>
  <c r="AW90" i="127"/>
  <c r="AW25" i="127"/>
  <c r="AV86" i="126"/>
  <c r="Y90" i="126"/>
  <c r="AV35" i="126"/>
  <c r="Y35" i="126" s="1"/>
  <c r="Y36" i="126"/>
  <c r="R88" i="126"/>
  <c r="S88" i="126"/>
  <c r="Q88" i="126"/>
  <c r="AO87" i="133" s="1"/>
  <c r="AV94" i="126"/>
  <c r="Y94" i="126" s="1"/>
  <c r="Y95" i="126"/>
  <c r="AV45" i="126"/>
  <c r="AV91" i="126"/>
  <c r="Y91" i="126" s="1"/>
  <c r="Y92" i="126"/>
  <c r="AV45" i="110"/>
  <c r="AV44" i="110" s="1"/>
  <c r="AV41" i="110" s="1"/>
  <c r="S52" i="126"/>
  <c r="R52" i="126"/>
  <c r="Q52" i="126"/>
  <c r="AO51" i="133" s="1"/>
  <c r="S82" i="110"/>
  <c r="R82" i="110"/>
  <c r="Q82" i="110"/>
  <c r="AN81" i="133" s="1"/>
  <c r="S20" i="126"/>
  <c r="R20" i="126"/>
  <c r="Q20" i="126"/>
  <c r="AO19" i="133" s="1"/>
  <c r="DH24" i="127"/>
  <c r="DH7" i="126"/>
  <c r="DH35" i="126"/>
  <c r="DH7" i="127"/>
  <c r="CN35" i="127"/>
  <c r="CN24" i="126"/>
  <c r="CN7" i="126"/>
  <c r="CN13" i="127"/>
  <c r="BR16" i="127"/>
  <c r="Z19" i="127"/>
  <c r="CK86" i="127"/>
  <c r="DF94" i="127"/>
  <c r="CK94" i="127"/>
  <c r="DF91" i="127"/>
  <c r="DF45" i="127"/>
  <c r="CI41" i="127"/>
  <c r="BP5" i="126"/>
  <c r="S10" i="126"/>
  <c r="Q10" i="126"/>
  <c r="AO9" i="133" s="1"/>
  <c r="R10" i="126"/>
  <c r="DC5" i="127"/>
  <c r="AV16" i="126"/>
  <c r="Y19" i="126"/>
  <c r="AV7" i="127"/>
  <c r="Y7" i="127" s="1"/>
  <c r="Y10" i="127"/>
  <c r="S77" i="126"/>
  <c r="R77" i="126"/>
  <c r="Q77" i="126"/>
  <c r="AO76" i="133" s="1"/>
  <c r="Q53" i="126"/>
  <c r="AO52" i="133" s="1"/>
  <c r="R53" i="126"/>
  <c r="S53" i="126"/>
  <c r="AV45" i="127"/>
  <c r="Q93" i="126"/>
  <c r="AO92" i="133" s="1"/>
  <c r="R93" i="126"/>
  <c r="S93" i="126"/>
  <c r="AU44" i="127"/>
  <c r="AU41" i="127" s="1"/>
  <c r="DH13" i="127"/>
  <c r="CN13" i="126"/>
  <c r="BR86" i="127"/>
  <c r="Z86" i="127" s="1"/>
  <c r="Z90" i="127"/>
  <c r="BR35" i="127"/>
  <c r="Z35" i="127" s="1"/>
  <c r="Z36" i="127"/>
  <c r="Y25" i="126"/>
  <c r="DI23" i="110"/>
  <c r="DI23" i="126"/>
  <c r="DI23" i="127"/>
  <c r="DI42" i="127"/>
  <c r="DI33" i="127"/>
  <c r="DI42" i="126"/>
  <c r="DI33" i="126"/>
  <c r="DI12" i="126"/>
  <c r="DI12" i="127"/>
  <c r="DI33" i="110"/>
  <c r="DI20" i="126"/>
  <c r="DI20" i="127"/>
  <c r="DI20" i="110"/>
  <c r="DI21" i="127"/>
  <c r="DI21" i="110"/>
  <c r="DI21" i="126"/>
  <c r="DI8" i="127"/>
  <c r="DI9" i="127"/>
  <c r="DI39" i="127"/>
  <c r="DI29" i="126"/>
  <c r="DI28" i="126"/>
  <c r="DI37" i="126"/>
  <c r="DI30" i="127"/>
  <c r="DI39" i="126"/>
  <c r="DI28" i="127"/>
  <c r="DI25" i="127"/>
  <c r="DI32" i="127"/>
  <c r="DI40" i="127"/>
  <c r="DI8" i="126"/>
  <c r="DI11" i="127"/>
  <c r="DI26" i="127"/>
  <c r="DI36" i="126"/>
  <c r="DI10" i="127"/>
  <c r="DI38" i="126"/>
  <c r="DI38" i="127"/>
  <c r="DI15" i="126"/>
  <c r="DI31" i="126"/>
  <c r="DI19" i="126"/>
  <c r="DI15" i="127"/>
  <c r="DI40" i="126"/>
  <c r="DI31" i="127"/>
  <c r="DI22" i="126"/>
  <c r="DI22" i="127"/>
  <c r="DI11" i="126"/>
  <c r="DI37" i="127"/>
  <c r="DI27" i="127"/>
  <c r="DI29" i="127"/>
  <c r="DI26" i="126"/>
  <c r="DI27" i="126"/>
  <c r="DI30" i="126"/>
  <c r="DI25" i="126"/>
  <c r="DI19" i="127"/>
  <c r="DI10" i="126"/>
  <c r="DI14" i="127"/>
  <c r="DI22" i="110"/>
  <c r="DI32" i="126"/>
  <c r="DI14" i="126"/>
  <c r="DI9" i="126"/>
  <c r="DI36" i="127"/>
  <c r="DI34" i="127"/>
  <c r="DI34" i="126"/>
  <c r="DI17" i="127"/>
  <c r="DI18" i="127"/>
  <c r="DI18" i="126"/>
  <c r="DI17" i="126"/>
  <c r="BQ6" i="126"/>
  <c r="AU6" i="126"/>
  <c r="Y7" i="126"/>
  <c r="Q42" i="126"/>
  <c r="AO41" i="133" s="1"/>
  <c r="R42" i="126"/>
  <c r="S42" i="126"/>
  <c r="AV94" i="127"/>
  <c r="R87" i="126"/>
  <c r="Q87" i="126"/>
  <c r="S87" i="126"/>
  <c r="BQ6" i="127"/>
  <c r="DH16" i="126"/>
  <c r="DH24" i="126"/>
  <c r="CN35" i="126"/>
  <c r="BQ44" i="126"/>
  <c r="BQ41" i="126" s="1"/>
  <c r="Z86" i="126"/>
  <c r="BR24" i="127"/>
  <c r="Z24" i="127" s="1"/>
  <c r="Z25" i="127"/>
  <c r="BR94" i="127"/>
  <c r="Z94" i="127" s="1"/>
  <c r="Z95" i="127"/>
  <c r="BR45" i="110"/>
  <c r="BR44" i="110" s="1"/>
  <c r="BR41" i="110" s="1"/>
  <c r="DF45" i="126"/>
  <c r="CK45" i="127"/>
  <c r="BQ44" i="127"/>
  <c r="BQ41" i="127" s="1"/>
  <c r="BS39" i="131"/>
  <c r="Q39" i="131" s="1"/>
  <c r="BS39" i="132"/>
  <c r="BS67" i="132"/>
  <c r="BS67" i="131"/>
  <c r="Q67" i="131" s="1"/>
  <c r="BS70" i="131"/>
  <c r="Q70" i="131" s="1"/>
  <c r="BS53" i="131"/>
  <c r="Q53" i="131" s="1"/>
  <c r="BS68" i="131"/>
  <c r="Q68" i="131" s="1"/>
  <c r="BS52" i="131"/>
  <c r="Q52" i="131" s="1"/>
  <c r="BS73" i="131"/>
  <c r="Q73" i="131" s="1"/>
  <c r="BS74" i="131"/>
  <c r="Q74" i="131" s="1"/>
  <c r="BS71" i="131"/>
  <c r="Q71" i="131" s="1"/>
  <c r="BS73" i="132"/>
  <c r="BS72" i="132"/>
  <c r="BS51" i="132"/>
  <c r="BS53" i="132"/>
  <c r="BS74" i="132"/>
  <c r="BS71" i="132"/>
  <c r="BS52" i="132"/>
  <c r="BS66" i="131"/>
  <c r="Q66" i="131" s="1"/>
  <c r="BS51" i="131"/>
  <c r="Q51" i="131" s="1"/>
  <c r="BS66" i="132"/>
  <c r="BS72" i="131"/>
  <c r="Q72" i="131" s="1"/>
  <c r="BS61" i="131"/>
  <c r="Q61" i="131" s="1"/>
  <c r="BS69" i="132"/>
  <c r="BS61" i="132"/>
  <c r="BS62" i="132"/>
  <c r="BS69" i="131"/>
  <c r="Q69" i="131" s="1"/>
  <c r="BS62" i="131"/>
  <c r="Q62" i="131" s="1"/>
  <c r="BS68" i="132"/>
  <c r="BS70" i="132"/>
  <c r="BS23" i="127"/>
  <c r="BS23" i="126"/>
  <c r="BS23" i="110"/>
  <c r="Z23" i="110" s="1"/>
  <c r="BS65" i="126"/>
  <c r="BS65" i="110"/>
  <c r="Z65" i="110" s="1"/>
  <c r="BS65" i="127"/>
  <c r="BS21" i="126"/>
  <c r="BS21" i="110"/>
  <c r="Z21" i="110" s="1"/>
  <c r="BS21" i="127"/>
  <c r="BS22" i="126"/>
  <c r="BS22" i="110"/>
  <c r="Z22" i="110" s="1"/>
  <c r="BS22" i="127"/>
  <c r="BS59" i="126"/>
  <c r="BS67" i="127"/>
  <c r="BS70" i="127"/>
  <c r="BS60" i="126"/>
  <c r="BS67" i="126"/>
  <c r="BS66" i="110"/>
  <c r="Z66" i="110" s="1"/>
  <c r="BS64" i="127"/>
  <c r="BS59" i="127"/>
  <c r="BS70" i="126"/>
  <c r="BS68" i="126"/>
  <c r="BS64" i="126"/>
  <c r="BS60" i="127"/>
  <c r="BS66" i="126"/>
  <c r="BS66" i="127"/>
  <c r="BS81" i="127"/>
  <c r="Z81" i="127" s="1"/>
  <c r="BS71" i="110"/>
  <c r="Z71" i="110" s="1"/>
  <c r="BS67" i="110"/>
  <c r="Z67" i="110" s="1"/>
  <c r="BS69" i="127"/>
  <c r="BS72" i="126"/>
  <c r="BS64" i="110"/>
  <c r="Z64" i="110" s="1"/>
  <c r="BS60" i="110"/>
  <c r="Z60" i="110" s="1"/>
  <c r="BS68" i="127"/>
  <c r="BS68" i="110"/>
  <c r="Z68" i="110" s="1"/>
  <c r="BS59" i="110"/>
  <c r="Z59" i="110" s="1"/>
  <c r="BS71" i="127"/>
  <c r="BS69" i="110"/>
  <c r="Z69" i="110" s="1"/>
  <c r="BS71" i="126"/>
  <c r="BS82" i="127"/>
  <c r="Z82" i="127" s="1"/>
  <c r="BS72" i="127"/>
  <c r="BS69" i="126"/>
  <c r="BS72" i="110"/>
  <c r="Z72" i="110" s="1"/>
  <c r="BS49" i="127"/>
  <c r="BS70" i="110"/>
  <c r="Z70" i="110" s="1"/>
  <c r="BS50" i="126"/>
  <c r="BS51" i="126"/>
  <c r="BS50" i="127"/>
  <c r="BS49" i="110"/>
  <c r="BS51" i="110"/>
  <c r="Z51" i="110" s="1"/>
  <c r="BS51" i="127"/>
  <c r="BS49" i="126"/>
  <c r="BS50" i="110"/>
  <c r="Z50" i="110" s="1"/>
  <c r="BS17" i="127"/>
  <c r="BS17" i="126"/>
  <c r="BS18" i="127"/>
  <c r="BS18" i="126"/>
  <c r="Q43" i="126"/>
  <c r="R43" i="126"/>
  <c r="S43" i="126"/>
  <c r="R96" i="126"/>
  <c r="S96" i="126"/>
  <c r="Q96" i="126"/>
  <c r="AO95" i="133" s="1"/>
  <c r="R89" i="126"/>
  <c r="Q89" i="126"/>
  <c r="AO88" i="133" s="1"/>
  <c r="S89" i="126"/>
  <c r="Q81" i="110"/>
  <c r="AN80" i="133" s="1"/>
  <c r="R81" i="110"/>
  <c r="S81" i="110"/>
  <c r="CN7" i="127"/>
  <c r="BR91" i="127"/>
  <c r="Z91" i="127" s="1"/>
  <c r="Z92" i="127"/>
  <c r="BR45" i="127"/>
  <c r="CK45" i="126"/>
  <c r="BP5" i="110"/>
  <c r="BQ5" i="110"/>
  <c r="AU6" i="110"/>
  <c r="AT5" i="110"/>
  <c r="CM6" i="110"/>
  <c r="DG6" i="110"/>
  <c r="Q43" i="110"/>
  <c r="S43" i="110"/>
  <c r="C249" i="138" s="1"/>
  <c r="R7" i="110"/>
  <c r="C18" i="138" s="1"/>
  <c r="Q7" i="110"/>
  <c r="Q35" i="110"/>
  <c r="R35" i="110"/>
  <c r="C164" i="138" s="1"/>
  <c r="AU44" i="110"/>
  <c r="AU41" i="110" s="1"/>
  <c r="S86" i="110"/>
  <c r="S35" i="110"/>
  <c r="C165" i="138" s="1"/>
  <c r="CL89" i="110"/>
  <c r="DG89" i="110"/>
  <c r="AV89" i="132"/>
  <c r="P89" i="132" s="1"/>
  <c r="N89" i="132" s="1"/>
  <c r="P89" i="118" s="1"/>
  <c r="AV88" i="132"/>
  <c r="P88" i="132" s="1"/>
  <c r="N88" i="132" s="1"/>
  <c r="P88" i="118" s="1"/>
  <c r="AV44" i="132"/>
  <c r="P44" i="132" s="1"/>
  <c r="N44" i="132" s="1"/>
  <c r="P44" i="118" s="1"/>
  <c r="AV18" i="132"/>
  <c r="P18" i="132" s="1"/>
  <c r="N18" i="132" s="1"/>
  <c r="P18" i="118" s="1"/>
  <c r="AV99" i="132"/>
  <c r="P99" i="132" s="1"/>
  <c r="N99" i="132" s="1"/>
  <c r="P99" i="118" s="1"/>
  <c r="AV43" i="132"/>
  <c r="AV93" i="132"/>
  <c r="P93" i="132" s="1"/>
  <c r="N93" i="132" s="1"/>
  <c r="P93" i="118" s="1"/>
  <c r="AV97" i="132"/>
  <c r="AV104" i="132"/>
  <c r="AV90" i="132"/>
  <c r="P90" i="132" s="1"/>
  <c r="N90" i="132" s="1"/>
  <c r="P90" i="118" s="1"/>
  <c r="AV94" i="132"/>
  <c r="P94" i="132" s="1"/>
  <c r="N94" i="132" s="1"/>
  <c r="P94" i="118" s="1"/>
  <c r="AV40" i="130"/>
  <c r="AV29" i="131"/>
  <c r="AV42" i="132"/>
  <c r="AV92" i="132"/>
  <c r="P92" i="132" s="1"/>
  <c r="N92" i="132" s="1"/>
  <c r="P92" i="118" s="1"/>
  <c r="AV95" i="132"/>
  <c r="P95" i="132" s="1"/>
  <c r="N95" i="132" s="1"/>
  <c r="P95" i="118" s="1"/>
  <c r="AV19" i="131"/>
  <c r="AV40" i="132"/>
  <c r="AV27" i="131"/>
  <c r="AV28" i="131"/>
  <c r="AV30" i="132"/>
  <c r="AV31" i="132"/>
  <c r="AV20" i="132"/>
  <c r="AV34" i="132"/>
  <c r="AV100" i="132"/>
  <c r="P100" i="132" s="1"/>
  <c r="N100" i="132" s="1"/>
  <c r="P100" i="118" s="1"/>
  <c r="AV41" i="130"/>
  <c r="AV36" i="130"/>
  <c r="AV104" i="130"/>
  <c r="AV32" i="130"/>
  <c r="AV43" i="130"/>
  <c r="AV41" i="132"/>
  <c r="AV37" i="132"/>
  <c r="AV32" i="131"/>
  <c r="AV37" i="131"/>
  <c r="AV31" i="131"/>
  <c r="AV102" i="132"/>
  <c r="P102" i="132" s="1"/>
  <c r="N102" i="132" s="1"/>
  <c r="P102" i="118" s="1"/>
  <c r="AV30" i="130"/>
  <c r="AV34" i="130"/>
  <c r="AV104" i="131"/>
  <c r="AV35" i="132"/>
  <c r="AV25" i="132"/>
  <c r="P25" i="132" s="1"/>
  <c r="N25" i="132" s="1"/>
  <c r="P25" i="118" s="1"/>
  <c r="U9" i="109"/>
  <c r="AV91" i="132"/>
  <c r="P91" i="132" s="1"/>
  <c r="N91" i="132" s="1"/>
  <c r="P91" i="118" s="1"/>
  <c r="AV19" i="130"/>
  <c r="AW24" i="110"/>
  <c r="AV41" i="131"/>
  <c r="AV43" i="131"/>
  <c r="AV17" i="132"/>
  <c r="P17" i="132" s="1"/>
  <c r="N17" i="132" s="1"/>
  <c r="P17" i="118" s="1"/>
  <c r="AV29" i="132"/>
  <c r="AV101" i="132"/>
  <c r="P101" i="132" s="1"/>
  <c r="N101" i="132" s="1"/>
  <c r="P101" i="118" s="1"/>
  <c r="AV42" i="130"/>
  <c r="AV30" i="131"/>
  <c r="AW18" i="110"/>
  <c r="AV20" i="130"/>
  <c r="AV19" i="132"/>
  <c r="AV27" i="130"/>
  <c r="AV36" i="131"/>
  <c r="AV32" i="132"/>
  <c r="AV28" i="132"/>
  <c r="AW17" i="110"/>
  <c r="AV29" i="130"/>
  <c r="AV40" i="131"/>
  <c r="AV34" i="131"/>
  <c r="AV20" i="131"/>
  <c r="AV36" i="132"/>
  <c r="AV103" i="132"/>
  <c r="P103" i="132" s="1"/>
  <c r="N103" i="132" s="1"/>
  <c r="P103" i="118" s="1"/>
  <c r="AV37" i="130"/>
  <c r="AV35" i="131"/>
  <c r="AV42" i="131"/>
  <c r="AV96" i="132"/>
  <c r="P96" i="132" s="1"/>
  <c r="N96" i="132" s="1"/>
  <c r="P96" i="118" s="1"/>
  <c r="AV35" i="130"/>
  <c r="AV28" i="130"/>
  <c r="AV27" i="132"/>
  <c r="AV31" i="130"/>
  <c r="R94" i="110"/>
  <c r="Q94" i="110"/>
  <c r="AN93" i="133" s="1"/>
  <c r="CO42" i="110"/>
  <c r="CO9" i="110"/>
  <c r="Q91" i="110"/>
  <c r="AN90" i="133" s="1"/>
  <c r="R91" i="110"/>
  <c r="Q86" i="110"/>
  <c r="AN85" i="133" s="1"/>
  <c r="R86" i="110"/>
  <c r="S91" i="110"/>
  <c r="R95" i="110"/>
  <c r="Q95" i="110"/>
  <c r="AN94" i="133" s="1"/>
  <c r="AV16" i="110"/>
  <c r="AV6" i="110" s="1"/>
  <c r="DI42" i="110"/>
  <c r="DI9" i="110"/>
  <c r="R92" i="110"/>
  <c r="Q92" i="110"/>
  <c r="AN91" i="133" s="1"/>
  <c r="S92" i="110"/>
  <c r="DE44" i="110"/>
  <c r="DE41" i="110" s="1"/>
  <c r="DE5" i="110" s="1"/>
  <c r="CN16" i="110"/>
  <c r="BR16" i="110"/>
  <c r="BR6" i="110" s="1"/>
  <c r="DH16" i="110"/>
  <c r="CJ44" i="110"/>
  <c r="CJ41" i="110" s="1"/>
  <c r="CJ5" i="110" s="1"/>
  <c r="DH7" i="110"/>
  <c r="DI26" i="110"/>
  <c r="DI19" i="110"/>
  <c r="DI31" i="110"/>
  <c r="DI10" i="110"/>
  <c r="DI34" i="110"/>
  <c r="DI32" i="110"/>
  <c r="DI40" i="110"/>
  <c r="DI18" i="110"/>
  <c r="DI37" i="110"/>
  <c r="DI15" i="110"/>
  <c r="DI30" i="110"/>
  <c r="DI38" i="110"/>
  <c r="DI8" i="110"/>
  <c r="V15" i="109"/>
  <c r="DI12" i="110"/>
  <c r="DI36" i="110"/>
  <c r="DI29" i="110"/>
  <c r="DI11" i="110"/>
  <c r="DI39" i="110"/>
  <c r="DI25" i="110"/>
  <c r="DI28" i="110"/>
  <c r="DI17" i="110"/>
  <c r="DI14" i="110"/>
  <c r="DI27" i="110"/>
  <c r="DH35" i="110"/>
  <c r="CO19" i="110"/>
  <c r="CO26" i="110"/>
  <c r="BS18" i="110"/>
  <c r="V11" i="109"/>
  <c r="BS17" i="110"/>
  <c r="BS24" i="110"/>
  <c r="DG46" i="110"/>
  <c r="CL46" i="110"/>
  <c r="CL90" i="110"/>
  <c r="DG90" i="110"/>
  <c r="DH13" i="110"/>
  <c r="DH24" i="110"/>
  <c r="CK86" i="110"/>
  <c r="DF86" i="110"/>
  <c r="CN13" i="110"/>
  <c r="CN7" i="110"/>
  <c r="DF94" i="110"/>
  <c r="CN24" i="110"/>
  <c r="CK94" i="110"/>
  <c r="CK91" i="110"/>
  <c r="DF91" i="110"/>
  <c r="CN35" i="110"/>
  <c r="N97" i="130"/>
  <c r="N97" i="118" s="1"/>
  <c r="U17" i="109"/>
  <c r="T19" i="109"/>
  <c r="CL43" i="110"/>
  <c r="CL87" i="110"/>
  <c r="CL95" i="110"/>
  <c r="DG96" i="110"/>
  <c r="DG88" i="110"/>
  <c r="DG93" i="110"/>
  <c r="DG43" i="110"/>
  <c r="CL92" i="110"/>
  <c r="CL88" i="110"/>
  <c r="DG92" i="110"/>
  <c r="CL93" i="110"/>
  <c r="DG87" i="110"/>
  <c r="CL96" i="110"/>
  <c r="DG95" i="110"/>
  <c r="AX97" i="132"/>
  <c r="AX97" i="131"/>
  <c r="P97" i="131" s="1"/>
  <c r="AY16" i="110"/>
  <c r="CO31" i="110"/>
  <c r="W14" i="109"/>
  <c r="CO32" i="110"/>
  <c r="CO12" i="110"/>
  <c r="CO17" i="110"/>
  <c r="CO34" i="110"/>
  <c r="CO39" i="110"/>
  <c r="CO37" i="110"/>
  <c r="CO30" i="110"/>
  <c r="CO8" i="110"/>
  <c r="CO38" i="110"/>
  <c r="CO29" i="110"/>
  <c r="CO15" i="110"/>
  <c r="CO36" i="110"/>
  <c r="CO10" i="110"/>
  <c r="CO25" i="110"/>
  <c r="CO11" i="110"/>
  <c r="CO27" i="110"/>
  <c r="CO14" i="110"/>
  <c r="CO40" i="110"/>
  <c r="CO18" i="110"/>
  <c r="CO28" i="110"/>
  <c r="U28" i="110"/>
  <c r="U30" i="110"/>
  <c r="U29" i="110"/>
  <c r="U38" i="110"/>
  <c r="U37" i="110"/>
  <c r="W10" i="109"/>
  <c r="BS41" i="132"/>
  <c r="BS97" i="132"/>
  <c r="BS40" i="131"/>
  <c r="BS104" i="132"/>
  <c r="BS40" i="132"/>
  <c r="BS37" i="132"/>
  <c r="BS40" i="130"/>
  <c r="BS27" i="132"/>
  <c r="BS42" i="132"/>
  <c r="BS104" i="130"/>
  <c r="BS97" i="131"/>
  <c r="Q97" i="131" s="1"/>
  <c r="BS29" i="131"/>
  <c r="Q29" i="131" s="1"/>
  <c r="BS43" i="131"/>
  <c r="Q43" i="131" s="1"/>
  <c r="BS42" i="131"/>
  <c r="Q42" i="131" s="1"/>
  <c r="BS35" i="131"/>
  <c r="Q35" i="131" s="1"/>
  <c r="BS34" i="132"/>
  <c r="BS30" i="131"/>
  <c r="Q30" i="131" s="1"/>
  <c r="BS30" i="132"/>
  <c r="BS104" i="131"/>
  <c r="BS37" i="131"/>
  <c r="Q37" i="131" s="1"/>
  <c r="BS27" i="131"/>
  <c r="Q27" i="131" s="1"/>
  <c r="BS41" i="131"/>
  <c r="Q41" i="131" s="1"/>
  <c r="BS43" i="132"/>
  <c r="BS19" i="131"/>
  <c r="BS19" i="132"/>
  <c r="BS19" i="130"/>
  <c r="BS28" i="131"/>
  <c r="Q28" i="131" s="1"/>
  <c r="BS34" i="131"/>
  <c r="Q34" i="131" s="1"/>
  <c r="BS32" i="132"/>
  <c r="BS32" i="131"/>
  <c r="Q32" i="131" s="1"/>
  <c r="BS28" i="132"/>
  <c r="BS29" i="132"/>
  <c r="BS35" i="132"/>
  <c r="BS36" i="131"/>
  <c r="Q36" i="131" s="1"/>
  <c r="BS20" i="131"/>
  <c r="BS20" i="132"/>
  <c r="BS20" i="130"/>
  <c r="BS31" i="131"/>
  <c r="Q31" i="131" s="1"/>
  <c r="BS31" i="132"/>
  <c r="BS36" i="132"/>
  <c r="U27" i="110"/>
  <c r="U32" i="110"/>
  <c r="U31" i="110"/>
  <c r="U39" i="110"/>
  <c r="U36" i="110"/>
  <c r="AN42" i="133" l="1"/>
  <c r="C247" i="138"/>
  <c r="DI13" i="126"/>
  <c r="AU5" i="127"/>
  <c r="DG94" i="126"/>
  <c r="DG91" i="126"/>
  <c r="AN34" i="133"/>
  <c r="C163" i="138"/>
  <c r="AN6" i="133"/>
  <c r="C17" i="138"/>
  <c r="DF44" i="127"/>
  <c r="DF41" i="127" s="1"/>
  <c r="DF5" i="127" s="1"/>
  <c r="AV44" i="127"/>
  <c r="AV41" i="127" s="1"/>
  <c r="DF44" i="126"/>
  <c r="DF41" i="126" s="1"/>
  <c r="DF5" i="126" s="1"/>
  <c r="BQ5" i="126"/>
  <c r="AV6" i="126"/>
  <c r="CO13" i="127"/>
  <c r="DH6" i="127"/>
  <c r="CN6" i="127"/>
  <c r="CN6" i="126"/>
  <c r="DG86" i="127"/>
  <c r="CL45" i="110"/>
  <c r="CL91" i="126"/>
  <c r="BR5" i="126"/>
  <c r="DI13" i="127"/>
  <c r="AW45" i="126"/>
  <c r="AW44" i="126" s="1"/>
  <c r="AW41" i="126" s="1"/>
  <c r="DG45" i="110"/>
  <c r="CK44" i="126"/>
  <c r="CK41" i="126" s="1"/>
  <c r="CK5" i="126" s="1"/>
  <c r="CO16" i="127"/>
  <c r="CO7" i="127"/>
  <c r="R87" i="127"/>
  <c r="S87" i="127"/>
  <c r="Q87" i="127"/>
  <c r="AW45" i="127"/>
  <c r="S82" i="126"/>
  <c r="Q82" i="126"/>
  <c r="AO81" i="133" s="1"/>
  <c r="R82" i="126"/>
  <c r="R20" i="127"/>
  <c r="S20" i="127"/>
  <c r="Q20" i="127"/>
  <c r="AP19" i="133" s="1"/>
  <c r="CL86" i="126"/>
  <c r="CL94" i="126"/>
  <c r="CO16" i="126"/>
  <c r="BT23" i="127"/>
  <c r="BT23" i="126"/>
  <c r="Z23" i="126" s="1"/>
  <c r="BT65" i="126"/>
  <c r="Z65" i="126" s="1"/>
  <c r="BT65" i="127"/>
  <c r="BT21" i="127"/>
  <c r="BT21" i="126"/>
  <c r="Z21" i="126" s="1"/>
  <c r="BT22" i="126"/>
  <c r="Z22" i="126" s="1"/>
  <c r="BT22" i="127"/>
  <c r="BT70" i="127"/>
  <c r="BT59" i="126"/>
  <c r="Z59" i="126" s="1"/>
  <c r="BT70" i="126"/>
  <c r="Z70" i="126" s="1"/>
  <c r="BT60" i="126"/>
  <c r="Z60" i="126" s="1"/>
  <c r="BT64" i="126"/>
  <c r="Z64" i="126" s="1"/>
  <c r="BT67" i="127"/>
  <c r="BT66" i="127"/>
  <c r="BT68" i="126"/>
  <c r="Z68" i="126" s="1"/>
  <c r="BT72" i="126"/>
  <c r="Z72" i="126" s="1"/>
  <c r="BT71" i="127"/>
  <c r="BT59" i="127"/>
  <c r="BT64" i="127"/>
  <c r="BT69" i="127"/>
  <c r="BT60" i="127"/>
  <c r="BT68" i="127"/>
  <c r="BT66" i="126"/>
  <c r="Z66" i="126" s="1"/>
  <c r="BT67" i="126"/>
  <c r="Z67" i="126" s="1"/>
  <c r="BT71" i="126"/>
  <c r="Z71" i="126" s="1"/>
  <c r="BT72" i="127"/>
  <c r="BT51" i="127"/>
  <c r="BT50" i="127"/>
  <c r="BT49" i="127"/>
  <c r="BT69" i="126"/>
  <c r="Z69" i="126" s="1"/>
  <c r="BT51" i="126"/>
  <c r="Z51" i="126" s="1"/>
  <c r="BT49" i="126"/>
  <c r="BT50" i="126"/>
  <c r="Z50" i="126" s="1"/>
  <c r="BT17" i="127"/>
  <c r="BT17" i="126"/>
  <c r="Z17" i="126" s="1"/>
  <c r="BT18" i="126"/>
  <c r="BT18" i="127"/>
  <c r="R7" i="127"/>
  <c r="S7" i="127"/>
  <c r="Q7" i="127"/>
  <c r="AP6" i="133" s="1"/>
  <c r="CK44" i="127"/>
  <c r="CK41" i="127" s="1"/>
  <c r="CK5" i="127" s="1"/>
  <c r="DH6" i="126"/>
  <c r="AU5" i="126"/>
  <c r="DI16" i="126"/>
  <c r="DI35" i="126"/>
  <c r="R19" i="126"/>
  <c r="S19" i="126"/>
  <c r="Q19" i="126"/>
  <c r="AO18" i="133" s="1"/>
  <c r="R92" i="126"/>
  <c r="Q92" i="126"/>
  <c r="AO91" i="133" s="1"/>
  <c r="S92" i="126"/>
  <c r="Q94" i="126"/>
  <c r="AO93" i="133" s="1"/>
  <c r="R94" i="126"/>
  <c r="S94" i="126"/>
  <c r="Q43" i="127"/>
  <c r="S43" i="127"/>
  <c r="R43" i="127"/>
  <c r="AW94" i="127"/>
  <c r="Y94" i="127" s="1"/>
  <c r="Y95" i="127"/>
  <c r="Q53" i="127"/>
  <c r="AP52" i="133" s="1"/>
  <c r="S53" i="127"/>
  <c r="R53" i="127"/>
  <c r="Q52" i="127"/>
  <c r="AP51" i="133" s="1"/>
  <c r="S52" i="127"/>
  <c r="R52" i="127"/>
  <c r="Q89" i="127"/>
  <c r="AP88" i="133" s="1"/>
  <c r="S89" i="127"/>
  <c r="R89" i="127"/>
  <c r="DG91" i="127"/>
  <c r="CO7" i="126"/>
  <c r="CP23" i="110"/>
  <c r="AA23" i="110" s="1"/>
  <c r="CP23" i="126"/>
  <c r="AA23" i="126" s="1"/>
  <c r="CP23" i="127"/>
  <c r="AA23" i="127" s="1"/>
  <c r="CP42" i="126"/>
  <c r="AA42" i="126" s="1"/>
  <c r="CP42" i="127"/>
  <c r="AA42" i="127" s="1"/>
  <c r="CP33" i="127"/>
  <c r="AA33" i="127" s="1"/>
  <c r="V33" i="127" s="1"/>
  <c r="CP33" i="126"/>
  <c r="AA33" i="126" s="1"/>
  <c r="V33" i="126" s="1"/>
  <c r="CP12" i="127"/>
  <c r="AA12" i="127" s="1"/>
  <c r="CP12" i="126"/>
  <c r="AA12" i="126" s="1"/>
  <c r="CP33" i="110"/>
  <c r="AA33" i="110" s="1"/>
  <c r="V33" i="110" s="1"/>
  <c r="C133" i="138" s="1"/>
  <c r="CP20" i="126"/>
  <c r="AA20" i="126" s="1"/>
  <c r="CP20" i="127"/>
  <c r="AA20" i="127" s="1"/>
  <c r="T20" i="127" s="1"/>
  <c r="CP20" i="110"/>
  <c r="AA20" i="110" s="1"/>
  <c r="CP21" i="126"/>
  <c r="AA21" i="126" s="1"/>
  <c r="CP21" i="110"/>
  <c r="AA21" i="110" s="1"/>
  <c r="CP21" i="127"/>
  <c r="AA21" i="127" s="1"/>
  <c r="CP40" i="127"/>
  <c r="AA40" i="127" s="1"/>
  <c r="V40" i="127" s="1"/>
  <c r="CP26" i="127"/>
  <c r="AA26" i="127" s="1"/>
  <c r="V26" i="127" s="1"/>
  <c r="CP18" i="126"/>
  <c r="AA18" i="126" s="1"/>
  <c r="CP37" i="126"/>
  <c r="AA37" i="126" s="1"/>
  <c r="V37" i="126" s="1"/>
  <c r="CP36" i="127"/>
  <c r="CP22" i="126"/>
  <c r="AA22" i="126" s="1"/>
  <c r="CP22" i="127"/>
  <c r="AA22" i="127" s="1"/>
  <c r="CP32" i="127"/>
  <c r="AA32" i="127" s="1"/>
  <c r="V32" i="127" s="1"/>
  <c r="CP19" i="126"/>
  <c r="AA19" i="126" s="1"/>
  <c r="CP8" i="127"/>
  <c r="CP27" i="126"/>
  <c r="AA27" i="126" s="1"/>
  <c r="V27" i="126" s="1"/>
  <c r="CP9" i="127"/>
  <c r="AA9" i="127" s="1"/>
  <c r="CP30" i="126"/>
  <c r="AA30" i="126" s="1"/>
  <c r="V30" i="126" s="1"/>
  <c r="CP38" i="127"/>
  <c r="AA38" i="127" s="1"/>
  <c r="V38" i="127" s="1"/>
  <c r="CP31" i="127"/>
  <c r="AA31" i="127" s="1"/>
  <c r="V31" i="127" s="1"/>
  <c r="CP15" i="126"/>
  <c r="AA15" i="126" s="1"/>
  <c r="CP37" i="127"/>
  <c r="AA37" i="127" s="1"/>
  <c r="V37" i="127" s="1"/>
  <c r="CP22" i="110"/>
  <c r="AA22" i="110" s="1"/>
  <c r="CP17" i="126"/>
  <c r="CP15" i="127"/>
  <c r="AA15" i="127" s="1"/>
  <c r="CP14" i="127"/>
  <c r="CP8" i="126"/>
  <c r="CP39" i="127"/>
  <c r="AA39" i="127" s="1"/>
  <c r="V39" i="127" s="1"/>
  <c r="CP28" i="126"/>
  <c r="AA28" i="126" s="1"/>
  <c r="V28" i="126" s="1"/>
  <c r="CP39" i="126"/>
  <c r="AA39" i="126" s="1"/>
  <c r="V39" i="126" s="1"/>
  <c r="CP11" i="127"/>
  <c r="AA11" i="127" s="1"/>
  <c r="CP25" i="126"/>
  <c r="CP36" i="126"/>
  <c r="CP10" i="127"/>
  <c r="AA10" i="127" s="1"/>
  <c r="CP40" i="126"/>
  <c r="AA40" i="126" s="1"/>
  <c r="V40" i="126" s="1"/>
  <c r="CP27" i="127"/>
  <c r="AA27" i="127" s="1"/>
  <c r="V27" i="127" s="1"/>
  <c r="CP9" i="126"/>
  <c r="AA9" i="126" s="1"/>
  <c r="CP28" i="127"/>
  <c r="AA28" i="127" s="1"/>
  <c r="V28" i="127" s="1"/>
  <c r="CP10" i="126"/>
  <c r="AA10" i="126" s="1"/>
  <c r="CP29" i="126"/>
  <c r="AA29" i="126" s="1"/>
  <c r="V29" i="126" s="1"/>
  <c r="CP30" i="127"/>
  <c r="AA30" i="127" s="1"/>
  <c r="V30" i="127" s="1"/>
  <c r="CP29" i="127"/>
  <c r="AA29" i="127" s="1"/>
  <c r="V29" i="127" s="1"/>
  <c r="CP11" i="126"/>
  <c r="AA11" i="126" s="1"/>
  <c r="CP32" i="126"/>
  <c r="AA32" i="126" s="1"/>
  <c r="V32" i="126" s="1"/>
  <c r="CP31" i="126"/>
  <c r="AA31" i="126" s="1"/>
  <c r="V31" i="126" s="1"/>
  <c r="CP38" i="126"/>
  <c r="AA38" i="126" s="1"/>
  <c r="V38" i="126" s="1"/>
  <c r="CP19" i="127"/>
  <c r="AA19" i="127" s="1"/>
  <c r="CP14" i="126"/>
  <c r="CP26" i="126"/>
  <c r="AA26" i="126" s="1"/>
  <c r="V26" i="126" s="1"/>
  <c r="CP25" i="127"/>
  <c r="CP34" i="127"/>
  <c r="AA34" i="127" s="1"/>
  <c r="V34" i="127" s="1"/>
  <c r="CP34" i="126"/>
  <c r="AA34" i="126" s="1"/>
  <c r="V34" i="126" s="1"/>
  <c r="CP17" i="127"/>
  <c r="AA17" i="127" s="1"/>
  <c r="CP18" i="127"/>
  <c r="S7" i="126"/>
  <c r="R7" i="126"/>
  <c r="Q7" i="126"/>
  <c r="AO6" i="133" s="1"/>
  <c r="DI7" i="126"/>
  <c r="DI7" i="127"/>
  <c r="AW16" i="127"/>
  <c r="Y19" i="127"/>
  <c r="BT39" i="132"/>
  <c r="Q39" i="132" s="1"/>
  <c r="BT67" i="132"/>
  <c r="Q67" i="132" s="1"/>
  <c r="BT53" i="132"/>
  <c r="Q53" i="132" s="1"/>
  <c r="BT71" i="132"/>
  <c r="Q71" i="132" s="1"/>
  <c r="BT51" i="132"/>
  <c r="Q51" i="132" s="1"/>
  <c r="BT74" i="132"/>
  <c r="Q74" i="132" s="1"/>
  <c r="BT73" i="132"/>
  <c r="Q73" i="132" s="1"/>
  <c r="BT66" i="132"/>
  <c r="Q66" i="132" s="1"/>
  <c r="BT68" i="132"/>
  <c r="Q68" i="132" s="1"/>
  <c r="BT69" i="132"/>
  <c r="Q69" i="132" s="1"/>
  <c r="BT61" i="132"/>
  <c r="Q61" i="132" s="1"/>
  <c r="BT72" i="132"/>
  <c r="Q72" i="132" s="1"/>
  <c r="BT70" i="132"/>
  <c r="Q70" i="132" s="1"/>
  <c r="BT52" i="132"/>
  <c r="Q52" i="132" s="1"/>
  <c r="BT62" i="132"/>
  <c r="Q62" i="132" s="1"/>
  <c r="AX23" i="127"/>
  <c r="AW39" i="130"/>
  <c r="P39" i="130" s="1"/>
  <c r="N39" i="130" s="1"/>
  <c r="N39" i="118" s="1"/>
  <c r="AW39" i="131"/>
  <c r="AX23" i="110"/>
  <c r="Y23" i="110" s="1"/>
  <c r="AX23" i="126"/>
  <c r="AW39" i="132"/>
  <c r="AW67" i="132"/>
  <c r="AW67" i="131"/>
  <c r="AW67" i="130"/>
  <c r="P67" i="130" s="1"/>
  <c r="N67" i="130" s="1"/>
  <c r="N67" i="118" s="1"/>
  <c r="AX65" i="126"/>
  <c r="AX65" i="110"/>
  <c r="Y65" i="110" s="1"/>
  <c r="AX65" i="127"/>
  <c r="AX21" i="110"/>
  <c r="Y21" i="110" s="1"/>
  <c r="AX21" i="127"/>
  <c r="AX21" i="126"/>
  <c r="AW62" i="131"/>
  <c r="AW69" i="131"/>
  <c r="AX59" i="126"/>
  <c r="AX70" i="127"/>
  <c r="AX59" i="127"/>
  <c r="AX70" i="126"/>
  <c r="AX60" i="126"/>
  <c r="AX66" i="110"/>
  <c r="Y66" i="110" s="1"/>
  <c r="AX67" i="126"/>
  <c r="AX64" i="126"/>
  <c r="AW52" i="132"/>
  <c r="AX81" i="127"/>
  <c r="Y81" i="127" s="1"/>
  <c r="AW83" i="132"/>
  <c r="P83" i="132" s="1"/>
  <c r="N83" i="132" s="1"/>
  <c r="P83" i="118" s="1"/>
  <c r="AW72" i="131"/>
  <c r="AX68" i="126"/>
  <c r="AX64" i="127"/>
  <c r="AX69" i="127"/>
  <c r="AW71" i="132"/>
  <c r="AW73" i="132"/>
  <c r="AX67" i="110"/>
  <c r="Y67" i="110" s="1"/>
  <c r="AW51" i="130"/>
  <c r="P51" i="130" s="1"/>
  <c r="N51" i="130" s="1"/>
  <c r="N51" i="118" s="1"/>
  <c r="AW84" i="132"/>
  <c r="P84" i="132" s="1"/>
  <c r="N84" i="132" s="1"/>
  <c r="P84" i="118" s="1"/>
  <c r="AW74" i="132"/>
  <c r="AX59" i="110"/>
  <c r="Y59" i="110" s="1"/>
  <c r="AW53" i="130"/>
  <c r="P53" i="130" s="1"/>
  <c r="N53" i="130" s="1"/>
  <c r="N53" i="118" s="1"/>
  <c r="AW53" i="131"/>
  <c r="AW71" i="131"/>
  <c r="AX71" i="110"/>
  <c r="Y71" i="110" s="1"/>
  <c r="AW51" i="131"/>
  <c r="AW74" i="130"/>
  <c r="P74" i="130" s="1"/>
  <c r="N74" i="130" s="1"/>
  <c r="N74" i="118" s="1"/>
  <c r="AW53" i="132"/>
  <c r="AW72" i="132"/>
  <c r="AW66" i="132"/>
  <c r="AW66" i="130"/>
  <c r="P66" i="130" s="1"/>
  <c r="N66" i="130" s="1"/>
  <c r="N66" i="118" s="1"/>
  <c r="AW52" i="130"/>
  <c r="P52" i="130" s="1"/>
  <c r="N52" i="130" s="1"/>
  <c r="N52" i="118" s="1"/>
  <c r="AX72" i="126"/>
  <c r="AX67" i="127"/>
  <c r="AX66" i="127"/>
  <c r="AX71" i="127"/>
  <c r="AX70" i="110"/>
  <c r="Y70" i="110" s="1"/>
  <c r="AW72" i="130"/>
  <c r="P72" i="130" s="1"/>
  <c r="N72" i="130" s="1"/>
  <c r="N72" i="118" s="1"/>
  <c r="AX60" i="127"/>
  <c r="AX66" i="126"/>
  <c r="AX68" i="127"/>
  <c r="AX68" i="110"/>
  <c r="Y68" i="110" s="1"/>
  <c r="AW66" i="131"/>
  <c r="AW52" i="131"/>
  <c r="AX72" i="110"/>
  <c r="Y72" i="110" s="1"/>
  <c r="AW70" i="131"/>
  <c r="AX49" i="110"/>
  <c r="AX49" i="126"/>
  <c r="AX60" i="110"/>
  <c r="Y60" i="110" s="1"/>
  <c r="AX64" i="110"/>
  <c r="Y64" i="110" s="1"/>
  <c r="AW51" i="132"/>
  <c r="AX82" i="127"/>
  <c r="Y82" i="127" s="1"/>
  <c r="AX49" i="127"/>
  <c r="AX51" i="127"/>
  <c r="AX69" i="110"/>
  <c r="Y69" i="110" s="1"/>
  <c r="AX69" i="126"/>
  <c r="AX50" i="127"/>
  <c r="AX50" i="126"/>
  <c r="AW61" i="131"/>
  <c r="AW62" i="132"/>
  <c r="AW70" i="130"/>
  <c r="P70" i="130" s="1"/>
  <c r="N70" i="130" s="1"/>
  <c r="N70" i="118" s="1"/>
  <c r="AW68" i="130"/>
  <c r="P68" i="130" s="1"/>
  <c r="N68" i="130" s="1"/>
  <c r="N68" i="118" s="1"/>
  <c r="AX71" i="126"/>
  <c r="AW73" i="130"/>
  <c r="P73" i="130" s="1"/>
  <c r="N73" i="130" s="1"/>
  <c r="N73" i="118" s="1"/>
  <c r="AX50" i="110"/>
  <c r="Y50" i="110" s="1"/>
  <c r="AW61" i="132"/>
  <c r="AW69" i="130"/>
  <c r="P69" i="130" s="1"/>
  <c r="N69" i="130" s="1"/>
  <c r="N69" i="118" s="1"/>
  <c r="AW61" i="130"/>
  <c r="P61" i="130" s="1"/>
  <c r="N61" i="130" s="1"/>
  <c r="N61" i="118" s="1"/>
  <c r="AW74" i="131"/>
  <c r="AW70" i="132"/>
  <c r="AW62" i="130"/>
  <c r="P62" i="130" s="1"/>
  <c r="N62" i="130" s="1"/>
  <c r="N62" i="118" s="1"/>
  <c r="AW71" i="130"/>
  <c r="P71" i="130" s="1"/>
  <c r="N71" i="130" s="1"/>
  <c r="N71" i="118" s="1"/>
  <c r="AX72" i="127"/>
  <c r="AX51" i="126"/>
  <c r="AX51" i="110"/>
  <c r="Y51" i="110" s="1"/>
  <c r="AW68" i="131"/>
  <c r="AW68" i="132"/>
  <c r="AW73" i="131"/>
  <c r="AW69" i="132"/>
  <c r="AX22" i="110"/>
  <c r="Y22" i="110" s="1"/>
  <c r="AX22" i="126"/>
  <c r="AX22" i="127"/>
  <c r="AX17" i="126"/>
  <c r="AX17" i="127"/>
  <c r="AX18" i="127"/>
  <c r="AX18" i="126"/>
  <c r="BS16" i="126"/>
  <c r="BS6" i="126" s="1"/>
  <c r="BS45" i="110"/>
  <c r="BS44" i="110" s="1"/>
  <c r="BS41" i="110" s="1"/>
  <c r="Z41" i="110" s="1"/>
  <c r="Z49" i="110"/>
  <c r="DI16" i="127"/>
  <c r="DI35" i="127"/>
  <c r="DI24" i="126"/>
  <c r="BR44" i="127"/>
  <c r="BR41" i="127" s="1"/>
  <c r="BR6" i="127"/>
  <c r="Q91" i="126"/>
  <c r="AO90" i="133" s="1"/>
  <c r="R91" i="126"/>
  <c r="S91" i="126"/>
  <c r="Q35" i="126"/>
  <c r="AO34" i="133" s="1"/>
  <c r="R35" i="126"/>
  <c r="S35" i="126"/>
  <c r="AW24" i="127"/>
  <c r="Y25" i="127"/>
  <c r="AW16" i="126"/>
  <c r="AW6" i="126" s="1"/>
  <c r="R88" i="127"/>
  <c r="S88" i="127"/>
  <c r="Q88" i="127"/>
  <c r="AP87" i="133" s="1"/>
  <c r="S77" i="127"/>
  <c r="R77" i="127"/>
  <c r="Q77" i="127"/>
  <c r="AP76" i="133" s="1"/>
  <c r="AW91" i="127"/>
  <c r="Y91" i="127" s="1"/>
  <c r="Y92" i="127"/>
  <c r="AW45" i="110"/>
  <c r="AW44" i="110" s="1"/>
  <c r="AW41" i="110" s="1"/>
  <c r="Q81" i="126"/>
  <c r="AO80" i="133" s="1"/>
  <c r="S81" i="126"/>
  <c r="R81" i="126"/>
  <c r="CL86" i="127"/>
  <c r="CL94" i="127"/>
  <c r="CL91" i="127"/>
  <c r="DG45" i="126"/>
  <c r="DG45" i="127"/>
  <c r="CL45" i="127"/>
  <c r="CO24" i="126"/>
  <c r="CO35" i="127"/>
  <c r="CO13" i="126"/>
  <c r="R95" i="126"/>
  <c r="Q95" i="126"/>
  <c r="AO94" i="133" s="1"/>
  <c r="S95" i="126"/>
  <c r="AV44" i="126"/>
  <c r="AV41" i="126" s="1"/>
  <c r="Y86" i="126"/>
  <c r="DH43" i="126"/>
  <c r="CM43" i="126"/>
  <c r="CM58" i="126"/>
  <c r="CM56" i="126"/>
  <c r="DH58" i="126"/>
  <c r="DH56" i="126"/>
  <c r="DH57" i="126"/>
  <c r="CM55" i="126"/>
  <c r="CM57" i="126"/>
  <c r="DH55" i="126"/>
  <c r="CM58" i="127"/>
  <c r="DH56" i="127"/>
  <c r="DH58" i="127"/>
  <c r="CM56" i="127"/>
  <c r="CM85" i="126"/>
  <c r="DH57" i="110"/>
  <c r="DH55" i="127"/>
  <c r="CM65" i="126"/>
  <c r="DH84" i="126"/>
  <c r="CM83" i="126"/>
  <c r="DH83" i="110"/>
  <c r="DH57" i="127"/>
  <c r="DH83" i="127"/>
  <c r="CM83" i="127"/>
  <c r="DH84" i="127"/>
  <c r="DH85" i="126"/>
  <c r="CM84" i="126"/>
  <c r="DH83" i="126"/>
  <c r="CM55" i="127"/>
  <c r="DH65" i="126"/>
  <c r="CM57" i="127"/>
  <c r="DH65" i="127"/>
  <c r="CM83" i="110"/>
  <c r="CM65" i="110"/>
  <c r="CM84" i="127"/>
  <c r="DH84" i="110"/>
  <c r="DH85" i="127"/>
  <c r="CM65" i="127"/>
  <c r="CM84" i="110"/>
  <c r="DH85" i="110"/>
  <c r="DH65" i="110"/>
  <c r="CM56" i="110"/>
  <c r="DH56" i="110"/>
  <c r="CM58" i="110"/>
  <c r="DH55" i="110"/>
  <c r="CM55" i="110"/>
  <c r="CM85" i="127"/>
  <c r="CM85" i="110"/>
  <c r="DH58" i="110"/>
  <c r="CM57" i="110"/>
  <c r="CM48" i="127"/>
  <c r="DH48" i="126"/>
  <c r="CM47" i="110"/>
  <c r="DH47" i="127"/>
  <c r="CM48" i="126"/>
  <c r="DH47" i="126"/>
  <c r="CM48" i="110"/>
  <c r="CM47" i="127"/>
  <c r="DH48" i="127"/>
  <c r="CM47" i="126"/>
  <c r="DH48" i="110"/>
  <c r="DH47" i="110"/>
  <c r="CM62" i="126"/>
  <c r="DH78" i="110"/>
  <c r="DH77" i="110"/>
  <c r="DH74" i="110"/>
  <c r="DH73" i="110"/>
  <c r="DH73" i="127"/>
  <c r="DH46" i="127"/>
  <c r="DH63" i="127"/>
  <c r="DH79" i="126"/>
  <c r="CM82" i="110"/>
  <c r="CM53" i="110"/>
  <c r="DH52" i="110"/>
  <c r="CM52" i="110"/>
  <c r="CM62" i="110"/>
  <c r="DH62" i="126"/>
  <c r="DH80" i="126"/>
  <c r="DH78" i="127"/>
  <c r="CM75" i="110"/>
  <c r="CM76" i="126"/>
  <c r="DH76" i="126"/>
  <c r="CM74" i="127"/>
  <c r="DH74" i="127"/>
  <c r="CM73" i="110"/>
  <c r="CM46" i="127"/>
  <c r="CM63" i="110"/>
  <c r="DH61" i="127"/>
  <c r="CM61" i="127"/>
  <c r="DH80" i="127"/>
  <c r="DH79" i="110"/>
  <c r="CM79" i="126"/>
  <c r="CM78" i="126"/>
  <c r="DH78" i="126"/>
  <c r="CM61" i="126"/>
  <c r="CM80" i="110"/>
  <c r="CM80" i="126"/>
  <c r="CM78" i="110"/>
  <c r="DH54" i="127"/>
  <c r="CM54" i="127"/>
  <c r="CM77" i="110"/>
  <c r="DH75" i="110"/>
  <c r="CM75" i="127"/>
  <c r="CM73" i="127"/>
  <c r="DH63" i="110"/>
  <c r="CM62" i="127"/>
  <c r="CM61" i="110"/>
  <c r="DH61" i="110"/>
  <c r="DH62" i="110"/>
  <c r="CM74" i="110"/>
  <c r="CM63" i="127"/>
  <c r="DH54" i="126"/>
  <c r="DH53" i="110"/>
  <c r="DH53" i="126"/>
  <c r="CM77" i="126"/>
  <c r="CM75" i="126"/>
  <c r="CM63" i="126"/>
  <c r="DH63" i="126"/>
  <c r="DH75" i="127"/>
  <c r="CM80" i="127"/>
  <c r="DH54" i="110"/>
  <c r="DH82" i="110"/>
  <c r="CM81" i="110"/>
  <c r="DH52" i="126"/>
  <c r="DH76" i="127"/>
  <c r="DH74" i="126"/>
  <c r="CM46" i="126"/>
  <c r="DH81" i="110"/>
  <c r="DH61" i="126"/>
  <c r="CM78" i="127"/>
  <c r="CM76" i="110"/>
  <c r="DH76" i="110"/>
  <c r="DH62" i="127"/>
  <c r="CM79" i="110"/>
  <c r="CM54" i="110"/>
  <c r="CM54" i="126"/>
  <c r="CM53" i="126"/>
  <c r="CM52" i="126"/>
  <c r="DH77" i="126"/>
  <c r="DH75" i="126"/>
  <c r="CM76" i="127"/>
  <c r="DH73" i="126"/>
  <c r="DH80" i="110"/>
  <c r="DH79" i="127"/>
  <c r="CM79" i="127"/>
  <c r="CM74" i="126"/>
  <c r="CM73" i="126"/>
  <c r="DH46" i="126"/>
  <c r="CM95" i="126"/>
  <c r="DH92" i="126"/>
  <c r="DH89" i="126"/>
  <c r="DH88" i="126"/>
  <c r="CM87" i="126"/>
  <c r="CM96" i="126"/>
  <c r="CM93" i="126"/>
  <c r="DH93" i="126"/>
  <c r="CM92" i="126"/>
  <c r="CM89" i="126"/>
  <c r="CM88" i="126"/>
  <c r="DH87" i="126"/>
  <c r="DH95" i="126"/>
  <c r="DH96" i="126"/>
  <c r="CM90" i="126"/>
  <c r="DH90" i="126"/>
  <c r="CM70" i="126"/>
  <c r="DH70" i="126"/>
  <c r="DH70" i="127"/>
  <c r="DH66" i="110"/>
  <c r="CM66" i="110"/>
  <c r="CM59" i="127"/>
  <c r="CM59" i="126"/>
  <c r="DH67" i="127"/>
  <c r="CM67" i="127"/>
  <c r="DH67" i="126"/>
  <c r="CM60" i="126"/>
  <c r="CM68" i="126"/>
  <c r="CM64" i="127"/>
  <c r="CM67" i="126"/>
  <c r="DH68" i="126"/>
  <c r="DH64" i="126"/>
  <c r="DH69" i="127"/>
  <c r="CM71" i="127"/>
  <c r="DH59" i="110"/>
  <c r="DH60" i="127"/>
  <c r="DH66" i="126"/>
  <c r="CM66" i="126"/>
  <c r="CM68" i="127"/>
  <c r="CM81" i="127"/>
  <c r="DH81" i="127"/>
  <c r="CM71" i="110"/>
  <c r="DH72" i="126"/>
  <c r="CM59" i="110"/>
  <c r="DH59" i="126"/>
  <c r="CM70" i="127"/>
  <c r="DH66" i="127"/>
  <c r="CM66" i="127"/>
  <c r="CM64" i="126"/>
  <c r="CM69" i="127"/>
  <c r="DH67" i="110"/>
  <c r="CM70" i="110"/>
  <c r="DH60" i="110"/>
  <c r="CM60" i="127"/>
  <c r="CM64" i="110"/>
  <c r="DH69" i="126"/>
  <c r="DH60" i="126"/>
  <c r="DH68" i="127"/>
  <c r="DH59" i="127"/>
  <c r="DH64" i="127"/>
  <c r="DH71" i="127"/>
  <c r="CM82" i="126"/>
  <c r="CM72" i="126"/>
  <c r="DH68" i="110"/>
  <c r="CM68" i="110"/>
  <c r="DH70" i="110"/>
  <c r="CM81" i="126"/>
  <c r="DH71" i="126"/>
  <c r="CM82" i="127"/>
  <c r="CM72" i="127"/>
  <c r="CM72" i="110"/>
  <c r="CM51" i="126"/>
  <c r="CM92" i="127"/>
  <c r="DH52" i="127"/>
  <c r="DH51" i="110"/>
  <c r="DH93" i="127"/>
  <c r="DH50" i="110"/>
  <c r="CM69" i="126"/>
  <c r="CM71" i="126"/>
  <c r="DH49" i="127"/>
  <c r="DH50" i="127"/>
  <c r="DH49" i="110"/>
  <c r="CM49" i="110"/>
  <c r="DH71" i="110"/>
  <c r="CM67" i="110"/>
  <c r="DH64" i="110"/>
  <c r="DH69" i="110"/>
  <c r="DH72" i="127"/>
  <c r="DH72" i="110"/>
  <c r="CM89" i="127"/>
  <c r="DH89" i="127"/>
  <c r="CM50" i="127"/>
  <c r="CM51" i="127"/>
  <c r="DH50" i="126"/>
  <c r="DH92" i="127"/>
  <c r="DH51" i="127"/>
  <c r="DH51" i="126"/>
  <c r="DH81" i="126"/>
  <c r="CM49" i="127"/>
  <c r="CM50" i="126"/>
  <c r="DH49" i="126"/>
  <c r="CM53" i="127"/>
  <c r="DH53" i="127"/>
  <c r="DH82" i="126"/>
  <c r="CM49" i="126"/>
  <c r="CM93" i="127"/>
  <c r="CM60" i="110"/>
  <c r="CM69" i="110"/>
  <c r="DH82" i="127"/>
  <c r="CM51" i="110"/>
  <c r="CM52" i="127"/>
  <c r="CM50" i="110"/>
  <c r="DH77" i="127"/>
  <c r="DH87" i="127"/>
  <c r="CM87" i="127"/>
  <c r="CM96" i="127"/>
  <c r="DH95" i="127"/>
  <c r="CM77" i="127"/>
  <c r="DH96" i="127"/>
  <c r="CM88" i="127"/>
  <c r="DH88" i="127"/>
  <c r="CM95" i="127"/>
  <c r="DH43" i="127"/>
  <c r="CM43" i="127"/>
  <c r="DH90" i="127"/>
  <c r="CM90" i="127"/>
  <c r="DJ23" i="110"/>
  <c r="DJ23" i="126"/>
  <c r="DJ23" i="127"/>
  <c r="DJ42" i="127"/>
  <c r="DJ33" i="126"/>
  <c r="DJ33" i="127"/>
  <c r="DJ42" i="126"/>
  <c r="DJ12" i="127"/>
  <c r="DJ12" i="126"/>
  <c r="DJ33" i="110"/>
  <c r="DJ20" i="127"/>
  <c r="DJ20" i="126"/>
  <c r="DJ20" i="110"/>
  <c r="DJ21" i="110"/>
  <c r="DJ21" i="127"/>
  <c r="DJ21" i="126"/>
  <c r="DJ22" i="127"/>
  <c r="DJ40" i="127"/>
  <c r="DJ39" i="127"/>
  <c r="DJ28" i="126"/>
  <c r="DJ38" i="127"/>
  <c r="DJ26" i="126"/>
  <c r="DJ22" i="110"/>
  <c r="DJ8" i="126"/>
  <c r="DJ9" i="127"/>
  <c r="DJ11" i="127"/>
  <c r="DJ30" i="126"/>
  <c r="DJ29" i="126"/>
  <c r="DJ38" i="126"/>
  <c r="DJ37" i="126"/>
  <c r="DJ22" i="126"/>
  <c r="DJ32" i="126"/>
  <c r="DJ19" i="126"/>
  <c r="DJ15" i="127"/>
  <c r="DJ14" i="127"/>
  <c r="DJ27" i="126"/>
  <c r="DJ36" i="126"/>
  <c r="DJ31" i="127"/>
  <c r="DJ15" i="126"/>
  <c r="DJ14" i="126"/>
  <c r="DJ10" i="127"/>
  <c r="DJ32" i="127"/>
  <c r="DJ11" i="126"/>
  <c r="DJ28" i="127"/>
  <c r="DJ26" i="127"/>
  <c r="DJ27" i="127"/>
  <c r="DJ9" i="126"/>
  <c r="DJ39" i="126"/>
  <c r="DJ40" i="126"/>
  <c r="DJ36" i="127"/>
  <c r="DJ31" i="126"/>
  <c r="DJ8" i="127"/>
  <c r="DJ25" i="126"/>
  <c r="DJ19" i="127"/>
  <c r="DJ37" i="127"/>
  <c r="DJ30" i="127"/>
  <c r="DJ29" i="127"/>
  <c r="DJ25" i="127"/>
  <c r="DJ10" i="126"/>
  <c r="DJ34" i="127"/>
  <c r="DJ34" i="126"/>
  <c r="DJ17" i="127"/>
  <c r="DJ17" i="126"/>
  <c r="DJ18" i="127"/>
  <c r="DJ18" i="126"/>
  <c r="Q24" i="126"/>
  <c r="AO23" i="133" s="1"/>
  <c r="R24" i="126"/>
  <c r="S24" i="126"/>
  <c r="BS16" i="127"/>
  <c r="BS6" i="127" s="1"/>
  <c r="BS45" i="126"/>
  <c r="BS44" i="126" s="1"/>
  <c r="BS41" i="126" s="1"/>
  <c r="BS45" i="127"/>
  <c r="BS44" i="127" s="1"/>
  <c r="BS41" i="127" s="1"/>
  <c r="BQ5" i="127"/>
  <c r="AV6" i="127"/>
  <c r="DI24" i="127"/>
  <c r="Q10" i="127"/>
  <c r="AP9" i="133" s="1"/>
  <c r="R10" i="127"/>
  <c r="S10" i="127"/>
  <c r="CI5" i="127"/>
  <c r="S90" i="126"/>
  <c r="Q90" i="126"/>
  <c r="AO89" i="133" s="1"/>
  <c r="R90" i="126"/>
  <c r="AW86" i="127"/>
  <c r="Y90" i="127"/>
  <c r="AW35" i="127"/>
  <c r="Y35" i="127" s="1"/>
  <c r="Y36" i="127"/>
  <c r="Y42" i="127"/>
  <c r="S96" i="127"/>
  <c r="Q96" i="127"/>
  <c r="AP95" i="133" s="1"/>
  <c r="R96" i="127"/>
  <c r="S93" i="127"/>
  <c r="R93" i="127"/>
  <c r="Q93" i="127"/>
  <c r="DG86" i="126"/>
  <c r="DG94" i="127"/>
  <c r="CL45" i="126"/>
  <c r="CO35" i="126"/>
  <c r="CO24" i="127"/>
  <c r="AU5" i="110"/>
  <c r="BR5" i="110"/>
  <c r="DH6" i="110"/>
  <c r="AV5" i="110"/>
  <c r="CN6" i="110"/>
  <c r="AO86" i="133"/>
  <c r="AO42" i="133"/>
  <c r="AW19" i="132"/>
  <c r="AX17" i="110"/>
  <c r="AW104" i="130"/>
  <c r="AW40" i="130"/>
  <c r="AW104" i="131"/>
  <c r="AW42" i="132"/>
  <c r="AW27" i="130"/>
  <c r="P27" i="130" s="1"/>
  <c r="N27" i="130" s="1"/>
  <c r="N27" i="118" s="1"/>
  <c r="AW30" i="131"/>
  <c r="AX24" i="110"/>
  <c r="AW28" i="131"/>
  <c r="AW27" i="132"/>
  <c r="AW19" i="131"/>
  <c r="AW28" i="132"/>
  <c r="AW31" i="132"/>
  <c r="AW36" i="132"/>
  <c r="AW36" i="130"/>
  <c r="P36" i="130" s="1"/>
  <c r="N36" i="130" s="1"/>
  <c r="N36" i="118" s="1"/>
  <c r="AW32" i="130"/>
  <c r="P32" i="130" s="1"/>
  <c r="N32" i="130" s="1"/>
  <c r="N32" i="118" s="1"/>
  <c r="AW28" i="130"/>
  <c r="P28" i="130" s="1"/>
  <c r="N28" i="130" s="1"/>
  <c r="N28" i="118" s="1"/>
  <c r="AW29" i="130"/>
  <c r="P29" i="130" s="1"/>
  <c r="N29" i="130" s="1"/>
  <c r="N29" i="118" s="1"/>
  <c r="AX18" i="110"/>
  <c r="Y18" i="110" s="1"/>
  <c r="AW40" i="132"/>
  <c r="AW34" i="131"/>
  <c r="AW29" i="132"/>
  <c r="AW31" i="131"/>
  <c r="AW42" i="130"/>
  <c r="P42" i="130" s="1"/>
  <c r="N42" i="130" s="1"/>
  <c r="N42" i="118" s="1"/>
  <c r="AW40" i="131"/>
  <c r="AW27" i="131"/>
  <c r="AW41" i="132"/>
  <c r="V9" i="109"/>
  <c r="AW34" i="132"/>
  <c r="AW43" i="131"/>
  <c r="AW29" i="131"/>
  <c r="AW104" i="132"/>
  <c r="AW20" i="131"/>
  <c r="AW41" i="130"/>
  <c r="P41" i="130" s="1"/>
  <c r="N41" i="130" s="1"/>
  <c r="N41" i="118" s="1"/>
  <c r="AW35" i="131"/>
  <c r="AW36" i="131"/>
  <c r="AW37" i="131"/>
  <c r="AW20" i="132"/>
  <c r="AW43" i="132"/>
  <c r="AW35" i="130"/>
  <c r="P35" i="130" s="1"/>
  <c r="N35" i="130" s="1"/>
  <c r="N35" i="118" s="1"/>
  <c r="AW30" i="130"/>
  <c r="P30" i="130" s="1"/>
  <c r="N30" i="130" s="1"/>
  <c r="N30" i="118" s="1"/>
  <c r="AW37" i="132"/>
  <c r="AW30" i="132"/>
  <c r="AW34" i="130"/>
  <c r="P34" i="130" s="1"/>
  <c r="N34" i="130" s="1"/>
  <c r="N34" i="118" s="1"/>
  <c r="AW43" i="130"/>
  <c r="P43" i="130" s="1"/>
  <c r="N43" i="130" s="1"/>
  <c r="N43" i="118" s="1"/>
  <c r="AW35" i="132"/>
  <c r="AW20" i="130"/>
  <c r="AW37" i="130"/>
  <c r="P37" i="130" s="1"/>
  <c r="N37" i="130" s="1"/>
  <c r="N37" i="118" s="1"/>
  <c r="AW42" i="131"/>
  <c r="AW31" i="130"/>
  <c r="P31" i="130" s="1"/>
  <c r="N31" i="130" s="1"/>
  <c r="N31" i="118" s="1"/>
  <c r="AW19" i="130"/>
  <c r="AW41" i="131"/>
  <c r="AW32" i="132"/>
  <c r="AW32" i="131"/>
  <c r="CM89" i="110"/>
  <c r="DH89" i="110"/>
  <c r="CP42" i="110"/>
  <c r="AA42" i="110" s="1"/>
  <c r="CP9" i="110"/>
  <c r="AA9" i="110" s="1"/>
  <c r="DJ42" i="110"/>
  <c r="DJ9" i="110"/>
  <c r="AW16" i="110"/>
  <c r="AW6" i="110" s="1"/>
  <c r="CO16" i="110"/>
  <c r="DI16" i="110"/>
  <c r="Z18" i="110"/>
  <c r="BS16" i="110"/>
  <c r="BS6" i="110" s="1"/>
  <c r="DF44" i="110"/>
  <c r="DF41" i="110" s="1"/>
  <c r="DF5" i="110" s="1"/>
  <c r="CK44" i="110"/>
  <c r="CK41" i="110" s="1"/>
  <c r="CK5" i="110" s="1"/>
  <c r="DI13" i="110"/>
  <c r="DG91" i="110"/>
  <c r="DI7" i="110"/>
  <c r="DI35" i="110"/>
  <c r="BT16" i="110"/>
  <c r="W11" i="109"/>
  <c r="BT24" i="110"/>
  <c r="DI24" i="110"/>
  <c r="DJ19" i="110"/>
  <c r="DJ26" i="110"/>
  <c r="DJ34" i="110"/>
  <c r="DJ37" i="110"/>
  <c r="DJ32" i="110"/>
  <c r="DJ40" i="110"/>
  <c r="DJ27" i="110"/>
  <c r="DJ8" i="110"/>
  <c r="DJ38" i="110"/>
  <c r="DJ12" i="110"/>
  <c r="DJ29" i="110"/>
  <c r="DJ30" i="110"/>
  <c r="DJ14" i="110"/>
  <c r="W15" i="109"/>
  <c r="DJ17" i="110"/>
  <c r="DJ39" i="110"/>
  <c r="DJ31" i="110"/>
  <c r="DJ18" i="110"/>
  <c r="DJ28" i="110"/>
  <c r="DJ36" i="110"/>
  <c r="DJ10" i="110"/>
  <c r="DJ25" i="110"/>
  <c r="DJ15" i="110"/>
  <c r="DJ11" i="110"/>
  <c r="DH46" i="110"/>
  <c r="CM46" i="110"/>
  <c r="DH90" i="110"/>
  <c r="CM90" i="110"/>
  <c r="CP26" i="110"/>
  <c r="AA26" i="110" s="1"/>
  <c r="V26" i="110" s="1"/>
  <c r="CP19" i="110"/>
  <c r="AA19" i="110" s="1"/>
  <c r="Z17" i="110"/>
  <c r="CO13" i="110"/>
  <c r="CO24" i="110"/>
  <c r="DG86" i="110"/>
  <c r="CL91" i="110"/>
  <c r="CO35" i="110"/>
  <c r="CO7" i="110"/>
  <c r="DG94" i="110"/>
  <c r="CL94" i="110"/>
  <c r="CL86" i="110"/>
  <c r="CM96" i="110"/>
  <c r="CM92" i="110"/>
  <c r="DH92" i="110"/>
  <c r="DH88" i="110"/>
  <c r="CM93" i="110"/>
  <c r="DH87" i="110"/>
  <c r="DH96" i="110"/>
  <c r="DH95" i="110"/>
  <c r="CM43" i="110"/>
  <c r="CM88" i="110"/>
  <c r="DH43" i="110"/>
  <c r="CM95" i="110"/>
  <c r="CM87" i="110"/>
  <c r="DH93" i="110"/>
  <c r="V17" i="109"/>
  <c r="U19" i="109"/>
  <c r="BT41" i="132"/>
  <c r="Q41" i="132" s="1"/>
  <c r="BT37" i="132"/>
  <c r="Q37" i="132" s="1"/>
  <c r="BT40" i="132"/>
  <c r="Q40" i="132" s="1"/>
  <c r="BT42" i="132"/>
  <c r="Q42" i="132" s="1"/>
  <c r="BT97" i="132"/>
  <c r="Q97" i="132" s="1"/>
  <c r="BT104" i="132"/>
  <c r="Q104" i="132" s="1"/>
  <c r="BT40" i="131"/>
  <c r="Q40" i="131" s="1"/>
  <c r="BT40" i="130"/>
  <c r="Q40" i="130" s="1"/>
  <c r="BT104" i="131"/>
  <c r="Q104" i="131" s="1"/>
  <c r="BT43" i="132"/>
  <c r="Q43" i="132" s="1"/>
  <c r="BT19" i="132"/>
  <c r="Q19" i="132" s="1"/>
  <c r="BT19" i="130"/>
  <c r="Q19" i="130" s="1"/>
  <c r="BT32" i="132"/>
  <c r="Q32" i="132" s="1"/>
  <c r="BT28" i="132"/>
  <c r="Q28" i="132" s="1"/>
  <c r="BT29" i="132"/>
  <c r="Q29" i="132" s="1"/>
  <c r="BT35" i="132"/>
  <c r="Q35" i="132" s="1"/>
  <c r="BT104" i="130"/>
  <c r="Q104" i="130" s="1"/>
  <c r="BT19" i="131"/>
  <c r="Q19" i="131" s="1"/>
  <c r="BT34" i="132"/>
  <c r="Q34" i="132" s="1"/>
  <c r="BT27" i="132"/>
  <c r="Q27" i="132" s="1"/>
  <c r="BT30" i="132"/>
  <c r="Q30" i="132" s="1"/>
  <c r="BT20" i="130"/>
  <c r="Q20" i="130" s="1"/>
  <c r="BT20" i="131"/>
  <c r="Q20" i="131" s="1"/>
  <c r="BT31" i="132"/>
  <c r="Q31" i="132" s="1"/>
  <c r="BT20" i="132"/>
  <c r="Q20" i="132" s="1"/>
  <c r="BT36" i="132"/>
  <c r="Q36" i="132" s="1"/>
  <c r="U24" i="110"/>
  <c r="U35" i="110"/>
  <c r="U25" i="110"/>
  <c r="U40" i="110"/>
  <c r="CP31" i="110"/>
  <c r="AA31" i="110" s="1"/>
  <c r="CP25" i="110"/>
  <c r="CP39" i="110"/>
  <c r="AA39" i="110" s="1"/>
  <c r="CP37" i="110"/>
  <c r="AA37" i="110" s="1"/>
  <c r="CP11" i="110"/>
  <c r="AA11" i="110" s="1"/>
  <c r="CP14" i="110"/>
  <c r="CP12" i="110"/>
  <c r="AA12" i="110" s="1"/>
  <c r="CP10" i="110"/>
  <c r="AA10" i="110" s="1"/>
  <c r="CP38" i="110"/>
  <c r="AA38" i="110" s="1"/>
  <c r="CP36" i="110"/>
  <c r="CP34" i="110"/>
  <c r="AA34" i="110" s="1"/>
  <c r="V34" i="110" s="1"/>
  <c r="C150" i="138" s="1"/>
  <c r="CP40" i="110"/>
  <c r="AA40" i="110" s="1"/>
  <c r="CP17" i="110"/>
  <c r="CP32" i="110"/>
  <c r="AA32" i="110" s="1"/>
  <c r="CP29" i="110"/>
  <c r="AA29" i="110" s="1"/>
  <c r="CP15" i="110"/>
  <c r="CP30" i="110"/>
  <c r="AA30" i="110" s="1"/>
  <c r="CP27" i="110"/>
  <c r="AA27" i="110" s="1"/>
  <c r="CP8" i="110"/>
  <c r="CP18" i="110"/>
  <c r="CP28" i="110"/>
  <c r="AA28" i="110" s="1"/>
  <c r="AY97" i="132"/>
  <c r="P97" i="132" s="1"/>
  <c r="AZ16" i="110"/>
  <c r="N97" i="131"/>
  <c r="O97" i="118" s="1"/>
  <c r="AW5" i="126" l="1"/>
  <c r="AV5" i="126"/>
  <c r="CM94" i="127"/>
  <c r="DH91" i="127"/>
  <c r="CM91" i="126"/>
  <c r="CM86" i="126"/>
  <c r="DG44" i="127"/>
  <c r="DG41" i="127" s="1"/>
  <c r="DG5" i="127" s="1"/>
  <c r="DG44" i="126"/>
  <c r="DG41" i="126" s="1"/>
  <c r="DG5" i="126" s="1"/>
  <c r="BS5" i="127"/>
  <c r="DJ24" i="126"/>
  <c r="DJ16" i="126"/>
  <c r="DJ13" i="127"/>
  <c r="CO6" i="127"/>
  <c r="BT16" i="127"/>
  <c r="BT6" i="127" s="1"/>
  <c r="BT45" i="127"/>
  <c r="BT44" i="127" s="1"/>
  <c r="BT41" i="127" s="1"/>
  <c r="CL44" i="126"/>
  <c r="CL41" i="126" s="1"/>
  <c r="CL5" i="126" s="1"/>
  <c r="AX16" i="127"/>
  <c r="AX6" i="127" s="1"/>
  <c r="CN43" i="126"/>
  <c r="CN43" i="127"/>
  <c r="DI43" i="126"/>
  <c r="DI43" i="127"/>
  <c r="DI58" i="127"/>
  <c r="DI56" i="126"/>
  <c r="CN56" i="126"/>
  <c r="DI57" i="127"/>
  <c r="DI58" i="126"/>
  <c r="CN57" i="127"/>
  <c r="CN58" i="126"/>
  <c r="CN58" i="127"/>
  <c r="DI55" i="127"/>
  <c r="DI56" i="127"/>
  <c r="DI55" i="126"/>
  <c r="DI57" i="126"/>
  <c r="CN56" i="127"/>
  <c r="CN55" i="127"/>
  <c r="CN57" i="126"/>
  <c r="CN55" i="126"/>
  <c r="CN85" i="126"/>
  <c r="DI85" i="126"/>
  <c r="CN84" i="126"/>
  <c r="CN84" i="110"/>
  <c r="CN65" i="126"/>
  <c r="DI84" i="127"/>
  <c r="CN83" i="127"/>
  <c r="DI83" i="127"/>
  <c r="CN83" i="126"/>
  <c r="DI85" i="127"/>
  <c r="DI57" i="110"/>
  <c r="DI84" i="110"/>
  <c r="DI84" i="126"/>
  <c r="CN56" i="110"/>
  <c r="DI56" i="110"/>
  <c r="DI58" i="110"/>
  <c r="CN83" i="110"/>
  <c r="CN85" i="127"/>
  <c r="CN57" i="110"/>
  <c r="DI65" i="126"/>
  <c r="CN65" i="127"/>
  <c r="DI65" i="110"/>
  <c r="CN85" i="110"/>
  <c r="CN84" i="127"/>
  <c r="CN58" i="110"/>
  <c r="CN55" i="110"/>
  <c r="DI65" i="127"/>
  <c r="DI55" i="110"/>
  <c r="DI83" i="126"/>
  <c r="DI83" i="110"/>
  <c r="DI85" i="110"/>
  <c r="CN65" i="110"/>
  <c r="DI48" i="110"/>
  <c r="CN48" i="110"/>
  <c r="DI47" i="110"/>
  <c r="DI47" i="127"/>
  <c r="CN48" i="126"/>
  <c r="CN48" i="127"/>
  <c r="CN47" i="126"/>
  <c r="CN47" i="110"/>
  <c r="DI47" i="126"/>
  <c r="DI48" i="126"/>
  <c r="CN47" i="127"/>
  <c r="DI48" i="127"/>
  <c r="CN62" i="126"/>
  <c r="DI79" i="127"/>
  <c r="CN79" i="127"/>
  <c r="CN54" i="127"/>
  <c r="DI77" i="110"/>
  <c r="DI75" i="110"/>
  <c r="CN75" i="127"/>
  <c r="DI76" i="110"/>
  <c r="DI76" i="126"/>
  <c r="CN76" i="126"/>
  <c r="CN74" i="110"/>
  <c r="CN73" i="110"/>
  <c r="DI73" i="127"/>
  <c r="CN63" i="110"/>
  <c r="DI63" i="127"/>
  <c r="CN62" i="127"/>
  <c r="CN80" i="127"/>
  <c r="DI79" i="126"/>
  <c r="DI78" i="126"/>
  <c r="DI81" i="110"/>
  <c r="CN81" i="126"/>
  <c r="DI81" i="126"/>
  <c r="DI53" i="110"/>
  <c r="DI77" i="126"/>
  <c r="CN62" i="110"/>
  <c r="CN78" i="127"/>
  <c r="CN82" i="126"/>
  <c r="DI82" i="126"/>
  <c r="DI53" i="127"/>
  <c r="CN53" i="127"/>
  <c r="CN52" i="127"/>
  <c r="CN77" i="127"/>
  <c r="CN75" i="110"/>
  <c r="CN76" i="110"/>
  <c r="DI74" i="127"/>
  <c r="DI73" i="110"/>
  <c r="CN73" i="127"/>
  <c r="CN63" i="127"/>
  <c r="CN61" i="110"/>
  <c r="CN79" i="110"/>
  <c r="CN78" i="126"/>
  <c r="CN63" i="126"/>
  <c r="CN61" i="126"/>
  <c r="DI80" i="110"/>
  <c r="CN80" i="126"/>
  <c r="DI78" i="110"/>
  <c r="DI52" i="127"/>
  <c r="DI77" i="127"/>
  <c r="DI75" i="127"/>
  <c r="CN74" i="127"/>
  <c r="CN46" i="127"/>
  <c r="DI46" i="127"/>
  <c r="DI61" i="127"/>
  <c r="DI63" i="126"/>
  <c r="DI61" i="126"/>
  <c r="CN80" i="110"/>
  <c r="CN78" i="110"/>
  <c r="DI54" i="127"/>
  <c r="DI63" i="110"/>
  <c r="CN61" i="127"/>
  <c r="DI79" i="110"/>
  <c r="CN82" i="110"/>
  <c r="CN81" i="110"/>
  <c r="DI75" i="126"/>
  <c r="CN73" i="126"/>
  <c r="DI62" i="110"/>
  <c r="DI80" i="126"/>
  <c r="DI62" i="127"/>
  <c r="DI80" i="127"/>
  <c r="CN79" i="126"/>
  <c r="DI54" i="110"/>
  <c r="CN54" i="110"/>
  <c r="DI82" i="110"/>
  <c r="CN53" i="110"/>
  <c r="DI52" i="110"/>
  <c r="CN52" i="110"/>
  <c r="DI52" i="126"/>
  <c r="CN77" i="126"/>
  <c r="DI78" i="127"/>
  <c r="DI74" i="110"/>
  <c r="DI61" i="110"/>
  <c r="CN53" i="126"/>
  <c r="DI53" i="126"/>
  <c r="CN52" i="126"/>
  <c r="CN76" i="127"/>
  <c r="DI76" i="127"/>
  <c r="DI74" i="126"/>
  <c r="DI73" i="126"/>
  <c r="CN46" i="126"/>
  <c r="DI46" i="126"/>
  <c r="DI62" i="126"/>
  <c r="CN77" i="110"/>
  <c r="DI54" i="126"/>
  <c r="CN54" i="126"/>
  <c r="CN75" i="126"/>
  <c r="CN74" i="126"/>
  <c r="CN89" i="126"/>
  <c r="DI89" i="126"/>
  <c r="DI88" i="126"/>
  <c r="CN87" i="126"/>
  <c r="CN96" i="126"/>
  <c r="CN95" i="126"/>
  <c r="DI93" i="127"/>
  <c r="CN92" i="126"/>
  <c r="CN88" i="126"/>
  <c r="DI87" i="126"/>
  <c r="CN95" i="127"/>
  <c r="DI92" i="127"/>
  <c r="DI89" i="127"/>
  <c r="DI88" i="127"/>
  <c r="DI87" i="127"/>
  <c r="CN96" i="127"/>
  <c r="DI96" i="127"/>
  <c r="DI96" i="126"/>
  <c r="CN87" i="127"/>
  <c r="DI95" i="126"/>
  <c r="CN93" i="127"/>
  <c r="DI92" i="126"/>
  <c r="DI93" i="126"/>
  <c r="CN93" i="126"/>
  <c r="CN91" i="126" s="1"/>
  <c r="CN92" i="127"/>
  <c r="CN91" i="127" s="1"/>
  <c r="CN89" i="127"/>
  <c r="CN88" i="127"/>
  <c r="DI95" i="127"/>
  <c r="DI90" i="127"/>
  <c r="CN90" i="126"/>
  <c r="CN90" i="127"/>
  <c r="DI90" i="126"/>
  <c r="CN59" i="127"/>
  <c r="DI59" i="126"/>
  <c r="CN67" i="126"/>
  <c r="DI70" i="126"/>
  <c r="DI67" i="127"/>
  <c r="CN67" i="127"/>
  <c r="DI67" i="126"/>
  <c r="DI70" i="127"/>
  <c r="CN60" i="126"/>
  <c r="CN66" i="127"/>
  <c r="CN59" i="126"/>
  <c r="DI60" i="126"/>
  <c r="DI66" i="110"/>
  <c r="CN64" i="126"/>
  <c r="CN69" i="127"/>
  <c r="CN70" i="127"/>
  <c r="CN66" i="110"/>
  <c r="DI68" i="126"/>
  <c r="CN68" i="126"/>
  <c r="DI64" i="127"/>
  <c r="CN64" i="127"/>
  <c r="DI69" i="127"/>
  <c r="DI71" i="110"/>
  <c r="CN71" i="110"/>
  <c r="DI71" i="127"/>
  <c r="DI67" i="110"/>
  <c r="CN67" i="110"/>
  <c r="DI68" i="110"/>
  <c r="CN70" i="126"/>
  <c r="DI66" i="127"/>
  <c r="CN59" i="110"/>
  <c r="DI59" i="110"/>
  <c r="DI64" i="126"/>
  <c r="CN60" i="110"/>
  <c r="CN60" i="127"/>
  <c r="DI60" i="127"/>
  <c r="DI66" i="126"/>
  <c r="CN68" i="127"/>
  <c r="DI69" i="110"/>
  <c r="DI69" i="126"/>
  <c r="DI59" i="127"/>
  <c r="CN81" i="127"/>
  <c r="DI81" i="127"/>
  <c r="CN71" i="127"/>
  <c r="DI60" i="110"/>
  <c r="DI68" i="127"/>
  <c r="DI72" i="126"/>
  <c r="DI70" i="110"/>
  <c r="CN66" i="126"/>
  <c r="CN69" i="110"/>
  <c r="CN69" i="126"/>
  <c r="CN82" i="127"/>
  <c r="DI72" i="127"/>
  <c r="CN51" i="126"/>
  <c r="CN50" i="127"/>
  <c r="DI50" i="126"/>
  <c r="CN49" i="126"/>
  <c r="CN72" i="126"/>
  <c r="DI64" i="110"/>
  <c r="CN71" i="126"/>
  <c r="DI82" i="127"/>
  <c r="CN72" i="110"/>
  <c r="DI51" i="126"/>
  <c r="CN49" i="127"/>
  <c r="DI51" i="127"/>
  <c r="CN70" i="110"/>
  <c r="CN68" i="110"/>
  <c r="DI71" i="126"/>
  <c r="CN72" i="127"/>
  <c r="DI72" i="110"/>
  <c r="DI49" i="127"/>
  <c r="DI50" i="127"/>
  <c r="DI49" i="110"/>
  <c r="CN49" i="110"/>
  <c r="CN64" i="110"/>
  <c r="CN51" i="127"/>
  <c r="CN51" i="110"/>
  <c r="CN50" i="126"/>
  <c r="DI49" i="126"/>
  <c r="DI51" i="110"/>
  <c r="CN50" i="110"/>
  <c r="DI50" i="110"/>
  <c r="AV5" i="127"/>
  <c r="R67" i="110"/>
  <c r="S67" i="110"/>
  <c r="Q67" i="110"/>
  <c r="AN66" i="133" s="1"/>
  <c r="T9" i="127"/>
  <c r="V9" i="127"/>
  <c r="T21" i="127"/>
  <c r="T42" i="126"/>
  <c r="V42" i="126"/>
  <c r="R95" i="127"/>
  <c r="Q95" i="127"/>
  <c r="AP94" i="133" s="1"/>
  <c r="S95" i="127"/>
  <c r="AX39" i="131"/>
  <c r="P39" i="131" s="1"/>
  <c r="N39" i="131" s="1"/>
  <c r="O39" i="118" s="1"/>
  <c r="AY23" i="127"/>
  <c r="AX39" i="132"/>
  <c r="AY23" i="126"/>
  <c r="Y23" i="126" s="1"/>
  <c r="V23" i="126" s="1"/>
  <c r="AX67" i="132"/>
  <c r="AX67" i="131"/>
  <c r="P67" i="131" s="1"/>
  <c r="N67" i="131" s="1"/>
  <c r="O67" i="118" s="1"/>
  <c r="AY65" i="126"/>
  <c r="Y65" i="126" s="1"/>
  <c r="AY65" i="127"/>
  <c r="AY21" i="127"/>
  <c r="AY21" i="126"/>
  <c r="Y21" i="126" s="1"/>
  <c r="V21" i="126" s="1"/>
  <c r="AX69" i="131"/>
  <c r="P69" i="131" s="1"/>
  <c r="N69" i="131" s="1"/>
  <c r="O69" i="118" s="1"/>
  <c r="AX62" i="131"/>
  <c r="P62" i="131" s="1"/>
  <c r="N62" i="131" s="1"/>
  <c r="O62" i="118" s="1"/>
  <c r="AX61" i="131"/>
  <c r="P61" i="131" s="1"/>
  <c r="N61" i="131" s="1"/>
  <c r="O61" i="118" s="1"/>
  <c r="AY67" i="127"/>
  <c r="AX53" i="131"/>
  <c r="P53" i="131" s="1"/>
  <c r="N53" i="131" s="1"/>
  <c r="O53" i="118" s="1"/>
  <c r="AY67" i="126"/>
  <c r="Y67" i="126" s="1"/>
  <c r="AX72" i="131"/>
  <c r="P72" i="131" s="1"/>
  <c r="N72" i="131" s="1"/>
  <c r="O72" i="118" s="1"/>
  <c r="AY70" i="126"/>
  <c r="Y70" i="126" s="1"/>
  <c r="AY60" i="126"/>
  <c r="Y60" i="126" s="1"/>
  <c r="AY68" i="126"/>
  <c r="Y68" i="126" s="1"/>
  <c r="AY59" i="127"/>
  <c r="AY69" i="127"/>
  <c r="AX51" i="131"/>
  <c r="P51" i="131" s="1"/>
  <c r="N51" i="131" s="1"/>
  <c r="O51" i="118" s="1"/>
  <c r="AY64" i="126"/>
  <c r="Y64" i="126" s="1"/>
  <c r="AY71" i="127"/>
  <c r="AX73" i="132"/>
  <c r="AY59" i="126"/>
  <c r="Y59" i="126" s="1"/>
  <c r="AY66" i="127"/>
  <c r="AY70" i="127"/>
  <c r="AY60" i="127"/>
  <c r="AX74" i="132"/>
  <c r="AY66" i="126"/>
  <c r="Y66" i="126" s="1"/>
  <c r="AY68" i="127"/>
  <c r="AX71" i="132"/>
  <c r="AX53" i="132"/>
  <c r="AX71" i="131"/>
  <c r="P71" i="131" s="1"/>
  <c r="N71" i="131" s="1"/>
  <c r="O71" i="118" s="1"/>
  <c r="AX52" i="131"/>
  <c r="P52" i="131" s="1"/>
  <c r="N52" i="131" s="1"/>
  <c r="O52" i="118" s="1"/>
  <c r="AY71" i="126"/>
  <c r="Y71" i="126" s="1"/>
  <c r="AX74" i="131"/>
  <c r="P74" i="131" s="1"/>
  <c r="N74" i="131" s="1"/>
  <c r="O74" i="118" s="1"/>
  <c r="AY51" i="126"/>
  <c r="Y51" i="126" s="1"/>
  <c r="AY49" i="127"/>
  <c r="AY51" i="127"/>
  <c r="AX52" i="132"/>
  <c r="AX66" i="132"/>
  <c r="AY64" i="127"/>
  <c r="AY72" i="126"/>
  <c r="Y72" i="126" s="1"/>
  <c r="AX72" i="132"/>
  <c r="AX66" i="131"/>
  <c r="P66" i="131" s="1"/>
  <c r="N66" i="131" s="1"/>
  <c r="O66" i="118" s="1"/>
  <c r="AY72" i="127"/>
  <c r="AY50" i="127"/>
  <c r="AY49" i="126"/>
  <c r="AX70" i="132"/>
  <c r="AX70" i="131"/>
  <c r="P70" i="131" s="1"/>
  <c r="N70" i="131" s="1"/>
  <c r="O70" i="118" s="1"/>
  <c r="AX68" i="131"/>
  <c r="P68" i="131" s="1"/>
  <c r="N68" i="131" s="1"/>
  <c r="O68" i="118" s="1"/>
  <c r="AX68" i="132"/>
  <c r="AY50" i="126"/>
  <c r="Y50" i="126" s="1"/>
  <c r="AX61" i="132"/>
  <c r="AX62" i="132"/>
  <c r="AY69" i="126"/>
  <c r="Y69" i="126" s="1"/>
  <c r="AX73" i="131"/>
  <c r="P73" i="131" s="1"/>
  <c r="N73" i="131" s="1"/>
  <c r="O73" i="118" s="1"/>
  <c r="AX51" i="132"/>
  <c r="AX69" i="132"/>
  <c r="AY22" i="127"/>
  <c r="AY17" i="126"/>
  <c r="Y17" i="126" s="1"/>
  <c r="AY17" i="127"/>
  <c r="AY22" i="126"/>
  <c r="Y22" i="126" s="1"/>
  <c r="V22" i="126" s="1"/>
  <c r="AY18" i="127"/>
  <c r="AY18" i="126"/>
  <c r="AW44" i="127"/>
  <c r="AW41" i="127" s="1"/>
  <c r="Y86" i="127"/>
  <c r="DJ16" i="127"/>
  <c r="DJ7" i="127"/>
  <c r="DJ13" i="126"/>
  <c r="DJ7" i="126"/>
  <c r="CM86" i="127"/>
  <c r="DH94" i="126"/>
  <c r="CM94" i="126"/>
  <c r="CM45" i="127"/>
  <c r="CL44" i="127"/>
  <c r="CL41" i="127" s="1"/>
  <c r="CL5" i="127" s="1"/>
  <c r="R22" i="110"/>
  <c r="Q22" i="110"/>
  <c r="AN21" i="133" s="1"/>
  <c r="S22" i="110"/>
  <c r="S82" i="127"/>
  <c r="R82" i="127"/>
  <c r="Q82" i="127"/>
  <c r="AP81" i="133" s="1"/>
  <c r="AX45" i="126"/>
  <c r="AX44" i="126" s="1"/>
  <c r="AX41" i="126" s="1"/>
  <c r="CP13" i="126"/>
  <c r="AA13" i="126" s="1"/>
  <c r="AA14" i="126"/>
  <c r="CP24" i="126"/>
  <c r="AA25" i="126"/>
  <c r="V25" i="126" s="1"/>
  <c r="CP16" i="126"/>
  <c r="AA16" i="126" s="1"/>
  <c r="AA17" i="126"/>
  <c r="T22" i="127"/>
  <c r="T18" i="126"/>
  <c r="V21" i="110"/>
  <c r="T21" i="110"/>
  <c r="T20" i="126"/>
  <c r="V20" i="126"/>
  <c r="T23" i="127"/>
  <c r="R94" i="127"/>
  <c r="S94" i="127"/>
  <c r="Q94" i="127"/>
  <c r="AP93" i="133" s="1"/>
  <c r="DI6" i="126"/>
  <c r="BT16" i="126"/>
  <c r="Z18" i="126"/>
  <c r="BT45" i="126"/>
  <c r="Z49" i="126"/>
  <c r="CM45" i="126"/>
  <c r="AW6" i="127"/>
  <c r="Y24" i="127"/>
  <c r="AX45" i="127"/>
  <c r="AX44" i="127" s="1"/>
  <c r="AX41" i="127" s="1"/>
  <c r="S72" i="110"/>
  <c r="R72" i="110"/>
  <c r="Q72" i="110"/>
  <c r="AN71" i="133" s="1"/>
  <c r="Q59" i="110"/>
  <c r="AN58" i="133" s="1"/>
  <c r="S59" i="110"/>
  <c r="R59" i="110"/>
  <c r="R66" i="110"/>
  <c r="Q66" i="110"/>
  <c r="AN65" i="133" s="1"/>
  <c r="S66" i="110"/>
  <c r="V9" i="126"/>
  <c r="T9" i="126"/>
  <c r="V15" i="127"/>
  <c r="T15" i="127"/>
  <c r="V20" i="127"/>
  <c r="CM45" i="110"/>
  <c r="DK23" i="110"/>
  <c r="AB23" i="110" s="1"/>
  <c r="DK23" i="126"/>
  <c r="AB23" i="126" s="1"/>
  <c r="DK23" i="127"/>
  <c r="AB23" i="127" s="1"/>
  <c r="DK33" i="127"/>
  <c r="AB33" i="127" s="1"/>
  <c r="W33" i="127" s="1"/>
  <c r="DK42" i="126"/>
  <c r="AB42" i="126" s="1"/>
  <c r="DK42" i="127"/>
  <c r="AB42" i="127" s="1"/>
  <c r="DK33" i="126"/>
  <c r="AB33" i="126" s="1"/>
  <c r="W33" i="126" s="1"/>
  <c r="DK12" i="126"/>
  <c r="AB12" i="126" s="1"/>
  <c r="DK12" i="127"/>
  <c r="AB12" i="127" s="1"/>
  <c r="DK33" i="110"/>
  <c r="AB33" i="110" s="1"/>
  <c r="W33" i="110" s="1"/>
  <c r="DK20" i="127"/>
  <c r="AB20" i="127" s="1"/>
  <c r="DK20" i="126"/>
  <c r="AB20" i="126" s="1"/>
  <c r="DK20" i="110"/>
  <c r="AB20" i="110" s="1"/>
  <c r="DK21" i="110"/>
  <c r="AB21" i="110" s="1"/>
  <c r="DK21" i="126"/>
  <c r="AB21" i="126" s="1"/>
  <c r="DK21" i="127"/>
  <c r="AB21" i="127" s="1"/>
  <c r="DK22" i="110"/>
  <c r="AB22" i="110" s="1"/>
  <c r="DK31" i="126"/>
  <c r="AB31" i="126" s="1"/>
  <c r="W31" i="126" s="1"/>
  <c r="DK15" i="127"/>
  <c r="AB15" i="127" s="1"/>
  <c r="DK8" i="127"/>
  <c r="DK28" i="126"/>
  <c r="AB28" i="126" s="1"/>
  <c r="W28" i="126" s="1"/>
  <c r="DK36" i="126"/>
  <c r="DK30" i="127"/>
  <c r="AB30" i="127" s="1"/>
  <c r="W30" i="127" s="1"/>
  <c r="DK29" i="127"/>
  <c r="AB29" i="127" s="1"/>
  <c r="W29" i="127" s="1"/>
  <c r="DK25" i="127"/>
  <c r="DK10" i="126"/>
  <c r="AB10" i="126" s="1"/>
  <c r="DK22" i="127"/>
  <c r="AB22" i="127" s="1"/>
  <c r="DK17" i="126"/>
  <c r="DK32" i="126"/>
  <c r="AB32" i="126" s="1"/>
  <c r="W32" i="126" s="1"/>
  <c r="DK40" i="127"/>
  <c r="AB40" i="127" s="1"/>
  <c r="W40" i="127" s="1"/>
  <c r="DK14" i="127"/>
  <c r="DK39" i="127"/>
  <c r="AB39" i="127" s="1"/>
  <c r="W39" i="127" s="1"/>
  <c r="DK30" i="126"/>
  <c r="AB30" i="126" s="1"/>
  <c r="W30" i="126" s="1"/>
  <c r="DK25" i="126"/>
  <c r="DK10" i="127"/>
  <c r="AB10" i="127" s="1"/>
  <c r="DK18" i="126"/>
  <c r="AB18" i="126" s="1"/>
  <c r="DK38" i="126"/>
  <c r="AB38" i="126" s="1"/>
  <c r="W38" i="126" s="1"/>
  <c r="DK40" i="126"/>
  <c r="AB40" i="126" s="1"/>
  <c r="W40" i="126" s="1"/>
  <c r="DK19" i="127"/>
  <c r="AB19" i="127" s="1"/>
  <c r="DK14" i="126"/>
  <c r="DK22" i="126"/>
  <c r="AB22" i="126" s="1"/>
  <c r="DK29" i="126"/>
  <c r="AB29" i="126" s="1"/>
  <c r="W29" i="126" s="1"/>
  <c r="DK37" i="126"/>
  <c r="AB37" i="126" s="1"/>
  <c r="W37" i="126" s="1"/>
  <c r="DK8" i="126"/>
  <c r="DK27" i="126"/>
  <c r="AB27" i="126" s="1"/>
  <c r="W27" i="126" s="1"/>
  <c r="DK9" i="126"/>
  <c r="AB9" i="126" s="1"/>
  <c r="DK19" i="126"/>
  <c r="AB19" i="126" s="1"/>
  <c r="DK9" i="127"/>
  <c r="AB9" i="127" s="1"/>
  <c r="DK15" i="126"/>
  <c r="AB15" i="126" s="1"/>
  <c r="DK11" i="126"/>
  <c r="AB11" i="126" s="1"/>
  <c r="DK39" i="126"/>
  <c r="AB39" i="126" s="1"/>
  <c r="W39" i="126" s="1"/>
  <c r="DK36" i="127"/>
  <c r="DK32" i="127"/>
  <c r="AB32" i="127" s="1"/>
  <c r="W32" i="127" s="1"/>
  <c r="DK26" i="127"/>
  <c r="AB26" i="127" s="1"/>
  <c r="W26" i="127" s="1"/>
  <c r="DK37" i="127"/>
  <c r="AB37" i="127" s="1"/>
  <c r="W37" i="127" s="1"/>
  <c r="DK26" i="126"/>
  <c r="AB26" i="126" s="1"/>
  <c r="W26" i="126" s="1"/>
  <c r="DK11" i="127"/>
  <c r="AB11" i="127" s="1"/>
  <c r="DK38" i="127"/>
  <c r="AB38" i="127" s="1"/>
  <c r="W38" i="127" s="1"/>
  <c r="DK31" i="127"/>
  <c r="AB31" i="127" s="1"/>
  <c r="W31" i="127" s="1"/>
  <c r="DK27" i="127"/>
  <c r="AB27" i="127" s="1"/>
  <c r="W27" i="127" s="1"/>
  <c r="DK28" i="127"/>
  <c r="AB28" i="127" s="1"/>
  <c r="W28" i="127" s="1"/>
  <c r="DK34" i="126"/>
  <c r="AB34" i="126" s="1"/>
  <c r="W34" i="126" s="1"/>
  <c r="DK34" i="127"/>
  <c r="AB34" i="127" s="1"/>
  <c r="W34" i="127" s="1"/>
  <c r="DK17" i="127"/>
  <c r="AB17" i="127" s="1"/>
  <c r="DK18" i="127"/>
  <c r="DH86" i="127"/>
  <c r="DH94" i="127"/>
  <c r="CM91" i="127"/>
  <c r="DH45" i="127"/>
  <c r="S92" i="127"/>
  <c r="Q92" i="127"/>
  <c r="AP91" i="133" s="1"/>
  <c r="R92" i="127"/>
  <c r="BS5" i="126"/>
  <c r="Q51" i="110"/>
  <c r="AN50" i="133" s="1"/>
  <c r="S51" i="110"/>
  <c r="R51" i="110"/>
  <c r="S69" i="110"/>
  <c r="Q69" i="110"/>
  <c r="AN68" i="133" s="1"/>
  <c r="R69" i="110"/>
  <c r="AX45" i="110"/>
  <c r="Y49" i="110"/>
  <c r="R21" i="110"/>
  <c r="S21" i="110"/>
  <c r="Q21" i="110"/>
  <c r="AN20" i="133" s="1"/>
  <c r="R19" i="127"/>
  <c r="S19" i="127"/>
  <c r="Q19" i="127"/>
  <c r="AP18" i="133" s="1"/>
  <c r="T19" i="127"/>
  <c r="V19" i="127"/>
  <c r="T11" i="126"/>
  <c r="V11" i="126"/>
  <c r="T10" i="126"/>
  <c r="V10" i="126"/>
  <c r="V11" i="127"/>
  <c r="T11" i="127"/>
  <c r="CP7" i="126"/>
  <c r="AA7" i="126" s="1"/>
  <c r="AA8" i="126"/>
  <c r="T22" i="110"/>
  <c r="V22" i="110"/>
  <c r="CP7" i="127"/>
  <c r="AA7" i="127" s="1"/>
  <c r="AA8" i="127"/>
  <c r="T22" i="126"/>
  <c r="T21" i="126"/>
  <c r="T23" i="126"/>
  <c r="CO6" i="126"/>
  <c r="Q90" i="127"/>
  <c r="AP89" i="133" s="1"/>
  <c r="R90" i="127"/>
  <c r="S90" i="127"/>
  <c r="DJ35" i="126"/>
  <c r="S50" i="110"/>
  <c r="R50" i="110"/>
  <c r="Q50" i="110"/>
  <c r="AN49" i="133" s="1"/>
  <c r="R60" i="110"/>
  <c r="S60" i="110"/>
  <c r="Q60" i="110"/>
  <c r="AN59" i="133" s="1"/>
  <c r="Q70" i="110"/>
  <c r="AN69" i="133" s="1"/>
  <c r="R70" i="110"/>
  <c r="S70" i="110"/>
  <c r="R71" i="110"/>
  <c r="Q71" i="110"/>
  <c r="AN70" i="133" s="1"/>
  <c r="S71" i="110"/>
  <c r="Q81" i="127"/>
  <c r="AP80" i="133" s="1"/>
  <c r="R81" i="127"/>
  <c r="S81" i="127"/>
  <c r="T17" i="127"/>
  <c r="CP35" i="126"/>
  <c r="AA35" i="126" s="1"/>
  <c r="V35" i="126" s="1"/>
  <c r="AA36" i="126"/>
  <c r="V36" i="126" s="1"/>
  <c r="T15" i="126"/>
  <c r="V15" i="126"/>
  <c r="T12" i="127"/>
  <c r="V12" i="127"/>
  <c r="DH45" i="110"/>
  <c r="BU23" i="127"/>
  <c r="Z23" i="127" s="1"/>
  <c r="BU65" i="127"/>
  <c r="Z65" i="127" s="1"/>
  <c r="BU21" i="127"/>
  <c r="Z21" i="127" s="1"/>
  <c r="BU22" i="127"/>
  <c r="Z22" i="127" s="1"/>
  <c r="BU59" i="127"/>
  <c r="Z59" i="127" s="1"/>
  <c r="BU66" i="127"/>
  <c r="Z66" i="127" s="1"/>
  <c r="BU67" i="127"/>
  <c r="Z67" i="127" s="1"/>
  <c r="BU70" i="127"/>
  <c r="Z70" i="127" s="1"/>
  <c r="BU71" i="127"/>
  <c r="Z71" i="127" s="1"/>
  <c r="BU64" i="127"/>
  <c r="Z64" i="127" s="1"/>
  <c r="BU69" i="127"/>
  <c r="Z69" i="127" s="1"/>
  <c r="BU60" i="127"/>
  <c r="Z60" i="127" s="1"/>
  <c r="BU68" i="127"/>
  <c r="Z68" i="127" s="1"/>
  <c r="BU72" i="127"/>
  <c r="Z72" i="127" s="1"/>
  <c r="BU49" i="127"/>
  <c r="BU50" i="127"/>
  <c r="Z50" i="127" s="1"/>
  <c r="BU51" i="127"/>
  <c r="Z51" i="127" s="1"/>
  <c r="BU17" i="127"/>
  <c r="Z17" i="127" s="1"/>
  <c r="BU18" i="127"/>
  <c r="Q42" i="127"/>
  <c r="AP41" i="133" s="1"/>
  <c r="R42" i="127"/>
  <c r="S42" i="127"/>
  <c r="S35" i="127"/>
  <c r="R35" i="127"/>
  <c r="Q35" i="127"/>
  <c r="AP34" i="133" s="1"/>
  <c r="DJ24" i="127"/>
  <c r="DJ35" i="127"/>
  <c r="DH86" i="126"/>
  <c r="DH91" i="126"/>
  <c r="DH45" i="126"/>
  <c r="S86" i="126"/>
  <c r="R86" i="126"/>
  <c r="Q86" i="126"/>
  <c r="AO85" i="133" s="1"/>
  <c r="R91" i="127"/>
  <c r="Q91" i="127"/>
  <c r="AP90" i="133" s="1"/>
  <c r="S91" i="127"/>
  <c r="BR5" i="127"/>
  <c r="DI6" i="127"/>
  <c r="AX16" i="126"/>
  <c r="AX6" i="126" s="1"/>
  <c r="S64" i="110"/>
  <c r="R64" i="110"/>
  <c r="Q64" i="110"/>
  <c r="AN63" i="133" s="1"/>
  <c r="Q68" i="110"/>
  <c r="AN67" i="133" s="1"/>
  <c r="R68" i="110"/>
  <c r="S68" i="110"/>
  <c r="R23" i="110"/>
  <c r="Q23" i="110"/>
  <c r="AN22" i="133" s="1"/>
  <c r="CP16" i="127"/>
  <c r="AA18" i="127"/>
  <c r="CP24" i="127"/>
  <c r="AA24" i="127" s="1"/>
  <c r="AA25" i="127"/>
  <c r="V25" i="127" s="1"/>
  <c r="T10" i="127"/>
  <c r="V10" i="127"/>
  <c r="CP13" i="127"/>
  <c r="AA13" i="127" s="1"/>
  <c r="AA14" i="127"/>
  <c r="T19" i="126"/>
  <c r="V19" i="126"/>
  <c r="CP35" i="127"/>
  <c r="AA35" i="127" s="1"/>
  <c r="V35" i="127" s="1"/>
  <c r="AA36" i="127"/>
  <c r="V36" i="127" s="1"/>
  <c r="T20" i="110"/>
  <c r="V20" i="110"/>
  <c r="T12" i="126"/>
  <c r="V12" i="126"/>
  <c r="T42" i="127"/>
  <c r="V42" i="127"/>
  <c r="T23" i="110"/>
  <c r="V23" i="110"/>
  <c r="S23" i="110"/>
  <c r="BT6" i="110"/>
  <c r="BT5" i="110" s="1"/>
  <c r="DI6" i="110"/>
  <c r="BS5" i="110"/>
  <c r="AW5" i="110"/>
  <c r="CO6" i="110"/>
  <c r="S18" i="110"/>
  <c r="AP42" i="133"/>
  <c r="V9" i="110"/>
  <c r="T9" i="110"/>
  <c r="AX43" i="132"/>
  <c r="AX19" i="132"/>
  <c r="AX104" i="130"/>
  <c r="AX36" i="131"/>
  <c r="P36" i="131" s="1"/>
  <c r="N36" i="131" s="1"/>
  <c r="O36" i="118" s="1"/>
  <c r="AX42" i="132"/>
  <c r="AX29" i="131"/>
  <c r="P29" i="131" s="1"/>
  <c r="N29" i="131" s="1"/>
  <c r="O29" i="118" s="1"/>
  <c r="AX28" i="131"/>
  <c r="P28" i="131" s="1"/>
  <c r="N28" i="131" s="1"/>
  <c r="O28" i="118" s="1"/>
  <c r="AX37" i="132"/>
  <c r="AX34" i="131"/>
  <c r="P34" i="131" s="1"/>
  <c r="N34" i="131" s="1"/>
  <c r="O34" i="118" s="1"/>
  <c r="AX37" i="131"/>
  <c r="P37" i="131" s="1"/>
  <c r="N37" i="131" s="1"/>
  <c r="O37" i="118" s="1"/>
  <c r="AX20" i="131"/>
  <c r="AX34" i="132"/>
  <c r="AX19" i="131"/>
  <c r="AY24" i="110"/>
  <c r="AY6" i="110" s="1"/>
  <c r="AY5" i="110" s="1"/>
  <c r="AX43" i="131"/>
  <c r="P43" i="131" s="1"/>
  <c r="N43" i="131" s="1"/>
  <c r="O43" i="118" s="1"/>
  <c r="AX27" i="131"/>
  <c r="P27" i="131" s="1"/>
  <c r="N27" i="131" s="1"/>
  <c r="O27" i="118" s="1"/>
  <c r="AX28" i="132"/>
  <c r="AX20" i="130"/>
  <c r="AX40" i="132"/>
  <c r="AX35" i="132"/>
  <c r="AX20" i="132"/>
  <c r="AX35" i="131"/>
  <c r="P35" i="131" s="1"/>
  <c r="N35" i="131" s="1"/>
  <c r="O35" i="118" s="1"/>
  <c r="AX32" i="132"/>
  <c r="AX30" i="132"/>
  <c r="AX31" i="131"/>
  <c r="P31" i="131" s="1"/>
  <c r="N31" i="131" s="1"/>
  <c r="O31" i="118" s="1"/>
  <c r="AX40" i="130"/>
  <c r="AX32" i="131"/>
  <c r="P32" i="131" s="1"/>
  <c r="N32" i="131" s="1"/>
  <c r="O32" i="118" s="1"/>
  <c r="AX31" i="132"/>
  <c r="AX40" i="131"/>
  <c r="AX30" i="131"/>
  <c r="P30" i="131" s="1"/>
  <c r="N30" i="131" s="1"/>
  <c r="O30" i="118" s="1"/>
  <c r="AX36" i="132"/>
  <c r="AX41" i="131"/>
  <c r="P41" i="131" s="1"/>
  <c r="N41" i="131" s="1"/>
  <c r="O41" i="118" s="1"/>
  <c r="AX27" i="132"/>
  <c r="W9" i="109"/>
  <c r="AX104" i="132"/>
  <c r="AX41" i="132"/>
  <c r="AX29" i="132"/>
  <c r="AX19" i="130"/>
  <c r="AX104" i="131"/>
  <c r="AX42" i="131"/>
  <c r="P42" i="131" s="1"/>
  <c r="N42" i="131" s="1"/>
  <c r="O42" i="118" s="1"/>
  <c r="AX16" i="110"/>
  <c r="AX6" i="110" s="1"/>
  <c r="Y17" i="110"/>
  <c r="DI89" i="110"/>
  <c r="CN89" i="110"/>
  <c r="AP92" i="133"/>
  <c r="DK42" i="110"/>
  <c r="AB42" i="110" s="1"/>
  <c r="DK9" i="110"/>
  <c r="AB9" i="110" s="1"/>
  <c r="AP86" i="133"/>
  <c r="T42" i="110"/>
  <c r="V42" i="110"/>
  <c r="Q18" i="110"/>
  <c r="AN17" i="133" s="1"/>
  <c r="R18" i="110"/>
  <c r="CL44" i="110"/>
  <c r="CL41" i="110" s="1"/>
  <c r="CL5" i="110" s="1"/>
  <c r="DJ16" i="110"/>
  <c r="AA18" i="110"/>
  <c r="V18" i="110" s="1"/>
  <c r="CP16" i="110"/>
  <c r="DG44" i="110"/>
  <c r="DG41" i="110" s="1"/>
  <c r="DG5" i="110" s="1"/>
  <c r="CM94" i="110"/>
  <c r="DJ35" i="110"/>
  <c r="T19" i="110"/>
  <c r="V19" i="110"/>
  <c r="DJ13" i="110"/>
  <c r="Z45" i="110"/>
  <c r="DI46" i="110"/>
  <c r="CN46" i="110"/>
  <c r="DI90" i="110"/>
  <c r="CN90" i="110"/>
  <c r="DJ24" i="110"/>
  <c r="DJ7" i="110"/>
  <c r="DK26" i="110"/>
  <c r="AB26" i="110" s="1"/>
  <c r="W26" i="110" s="1"/>
  <c r="DK19" i="110"/>
  <c r="AB19" i="110" s="1"/>
  <c r="DK12" i="110"/>
  <c r="AB12" i="110" s="1"/>
  <c r="DK34" i="110"/>
  <c r="AB34" i="110" s="1"/>
  <c r="W34" i="110" s="1"/>
  <c r="DK25" i="110"/>
  <c r="DK32" i="110"/>
  <c r="AB32" i="110" s="1"/>
  <c r="W32" i="110" s="1"/>
  <c r="DK28" i="110"/>
  <c r="AB28" i="110" s="1"/>
  <c r="W28" i="110" s="1"/>
  <c r="DK18" i="110"/>
  <c r="DK10" i="110"/>
  <c r="AB10" i="110" s="1"/>
  <c r="DK39" i="110"/>
  <c r="AB39" i="110" s="1"/>
  <c r="W39" i="110" s="1"/>
  <c r="DK31" i="110"/>
  <c r="AB31" i="110" s="1"/>
  <c r="W31" i="110" s="1"/>
  <c r="DK11" i="110"/>
  <c r="AB11" i="110" s="1"/>
  <c r="DK27" i="110"/>
  <c r="AB27" i="110" s="1"/>
  <c r="W27" i="110" s="1"/>
  <c r="DK37" i="110"/>
  <c r="AB37" i="110" s="1"/>
  <c r="W37" i="110" s="1"/>
  <c r="DK38" i="110"/>
  <c r="AB38" i="110" s="1"/>
  <c r="W38" i="110" s="1"/>
  <c r="DK15" i="110"/>
  <c r="AB15" i="110" s="1"/>
  <c r="DK30" i="110"/>
  <c r="AB30" i="110" s="1"/>
  <c r="W30" i="110" s="1"/>
  <c r="DK8" i="110"/>
  <c r="DK17" i="110"/>
  <c r="AB17" i="110" s="1"/>
  <c r="DK36" i="110"/>
  <c r="DK29" i="110"/>
  <c r="AB29" i="110" s="1"/>
  <c r="W29" i="110" s="1"/>
  <c r="DK40" i="110"/>
  <c r="AB40" i="110" s="1"/>
  <c r="W40" i="110" s="1"/>
  <c r="DK14" i="110"/>
  <c r="BU24" i="110"/>
  <c r="BU16" i="110"/>
  <c r="DH94" i="110"/>
  <c r="CP7" i="110"/>
  <c r="CP35" i="110"/>
  <c r="AA35" i="110" s="1"/>
  <c r="CM86" i="110"/>
  <c r="DH86" i="110"/>
  <c r="CM91" i="110"/>
  <c r="CP24" i="110"/>
  <c r="AA17" i="110"/>
  <c r="AA14" i="110"/>
  <c r="T14" i="110" s="1"/>
  <c r="CP13" i="110"/>
  <c r="AA13" i="110" s="1"/>
  <c r="DH91" i="110"/>
  <c r="N97" i="132"/>
  <c r="P97" i="118" s="1"/>
  <c r="DI95" i="110"/>
  <c r="DI92" i="110"/>
  <c r="CN43" i="110"/>
  <c r="CN96" i="110"/>
  <c r="DI87" i="110"/>
  <c r="DI96" i="110"/>
  <c r="CN92" i="110"/>
  <c r="DI88" i="110"/>
  <c r="DI93" i="110"/>
  <c r="CN87" i="110"/>
  <c r="CN88" i="110"/>
  <c r="CN95" i="110"/>
  <c r="DI43" i="110"/>
  <c r="CN93" i="110"/>
  <c r="W17" i="109"/>
  <c r="W19" i="109" s="1"/>
  <c r="V19" i="109"/>
  <c r="V28" i="110"/>
  <c r="T28" i="110"/>
  <c r="AA8" i="110"/>
  <c r="V27" i="110"/>
  <c r="T27" i="110"/>
  <c r="AA15" i="110"/>
  <c r="V29" i="110"/>
  <c r="T29" i="110"/>
  <c r="V32" i="110"/>
  <c r="T32" i="110"/>
  <c r="T40" i="110"/>
  <c r="V40" i="110"/>
  <c r="AA36" i="110"/>
  <c r="T10" i="110"/>
  <c r="V10" i="110"/>
  <c r="T37" i="110"/>
  <c r="V37" i="110"/>
  <c r="AA25" i="110"/>
  <c r="T30" i="110"/>
  <c r="V30" i="110"/>
  <c r="T38" i="110"/>
  <c r="V38" i="110"/>
  <c r="T12" i="110"/>
  <c r="V12" i="110"/>
  <c r="T11" i="110"/>
  <c r="V11" i="110"/>
  <c r="V39" i="110"/>
  <c r="T39" i="110"/>
  <c r="T31" i="110"/>
  <c r="V31" i="110"/>
  <c r="AW5" i="127" l="1"/>
  <c r="V24" i="127"/>
  <c r="CN86" i="127"/>
  <c r="DI91" i="126"/>
  <c r="DK13" i="110"/>
  <c r="DI94" i="127"/>
  <c r="CN94" i="127"/>
  <c r="AX5" i="126"/>
  <c r="DI45" i="110"/>
  <c r="BT5" i="127"/>
  <c r="AX5" i="127"/>
  <c r="CN45" i="110"/>
  <c r="DH44" i="126"/>
  <c r="DH41" i="126" s="1"/>
  <c r="DH5" i="126" s="1"/>
  <c r="CM44" i="126"/>
  <c r="CM41" i="126" s="1"/>
  <c r="CM5" i="126" s="1"/>
  <c r="CN86" i="126"/>
  <c r="DI94" i="126"/>
  <c r="DJ6" i="126"/>
  <c r="CM44" i="127"/>
  <c r="CM41" i="127" s="1"/>
  <c r="CM5" i="127" s="1"/>
  <c r="AY16" i="127"/>
  <c r="AY6" i="127" s="1"/>
  <c r="BU16" i="127"/>
  <c r="Z18" i="127"/>
  <c r="BU45" i="127"/>
  <c r="Z49" i="127"/>
  <c r="U19" i="126"/>
  <c r="W19" i="126"/>
  <c r="U19" i="127"/>
  <c r="W19" i="127"/>
  <c r="U10" i="127"/>
  <c r="W10" i="127"/>
  <c r="DK13" i="127"/>
  <c r="AB13" i="127" s="1"/>
  <c r="AB14" i="127"/>
  <c r="U22" i="127"/>
  <c r="U15" i="127"/>
  <c r="W15" i="127"/>
  <c r="U21" i="126"/>
  <c r="W21" i="126"/>
  <c r="U20" i="127"/>
  <c r="W20" i="127"/>
  <c r="U23" i="127"/>
  <c r="S24" i="127"/>
  <c r="Q24" i="127"/>
  <c r="AP23" i="133" s="1"/>
  <c r="R24" i="127"/>
  <c r="T16" i="126"/>
  <c r="V13" i="126"/>
  <c r="T13" i="126"/>
  <c r="DJ6" i="127"/>
  <c r="Q69" i="126"/>
  <c r="AO68" i="133" s="1"/>
  <c r="R69" i="126"/>
  <c r="S69" i="126"/>
  <c r="AY45" i="126"/>
  <c r="Y49" i="126"/>
  <c r="Q59" i="126"/>
  <c r="AO58" i="133" s="1"/>
  <c r="S59" i="126"/>
  <c r="R59" i="126"/>
  <c r="Q60" i="126"/>
  <c r="AO59" i="133" s="1"/>
  <c r="R60" i="126"/>
  <c r="S60" i="126"/>
  <c r="CN45" i="127"/>
  <c r="T18" i="127"/>
  <c r="DH44" i="127"/>
  <c r="DH41" i="127" s="1"/>
  <c r="DH5" i="127" s="1"/>
  <c r="W11" i="126"/>
  <c r="U11" i="126"/>
  <c r="U9" i="126"/>
  <c r="W9" i="126"/>
  <c r="DK24" i="126"/>
  <c r="AB25" i="126"/>
  <c r="W25" i="126" s="1"/>
  <c r="U10" i="126"/>
  <c r="W10" i="126"/>
  <c r="DK35" i="126"/>
  <c r="AB35" i="126" s="1"/>
  <c r="W35" i="126" s="1"/>
  <c r="AB36" i="126"/>
  <c r="W36" i="126" s="1"/>
  <c r="W21" i="110"/>
  <c r="U21" i="110"/>
  <c r="U42" i="127"/>
  <c r="W42" i="127"/>
  <c r="U23" i="126"/>
  <c r="W23" i="126"/>
  <c r="BT44" i="126"/>
  <c r="Z45" i="126"/>
  <c r="S86" i="127"/>
  <c r="Q86" i="127"/>
  <c r="AP85" i="133" s="1"/>
  <c r="R86" i="127"/>
  <c r="S22" i="126"/>
  <c r="Q22" i="126"/>
  <c r="AO21" i="133" s="1"/>
  <c r="R22" i="126"/>
  <c r="Q72" i="126"/>
  <c r="AO71" i="133" s="1"/>
  <c r="R72" i="126"/>
  <c r="S72" i="126"/>
  <c r="Q71" i="126"/>
  <c r="AO70" i="133" s="1"/>
  <c r="R71" i="126"/>
  <c r="S71" i="126"/>
  <c r="R70" i="126"/>
  <c r="Q70" i="126"/>
  <c r="AO69" i="133" s="1"/>
  <c r="S70" i="126"/>
  <c r="Q21" i="126"/>
  <c r="AO20" i="133" s="1"/>
  <c r="R21" i="126"/>
  <c r="S21" i="126"/>
  <c r="DI45" i="126"/>
  <c r="T13" i="127"/>
  <c r="V13" i="127"/>
  <c r="AY39" i="132"/>
  <c r="P39" i="132" s="1"/>
  <c r="N39" i="132" s="1"/>
  <c r="P39" i="118" s="1"/>
  <c r="AZ23" i="127"/>
  <c r="Y23" i="127" s="1"/>
  <c r="W23" i="127" s="1"/>
  <c r="AY67" i="132"/>
  <c r="P67" i="132" s="1"/>
  <c r="N67" i="132" s="1"/>
  <c r="P67" i="118" s="1"/>
  <c r="AZ65" i="127"/>
  <c r="Y65" i="127" s="1"/>
  <c r="AZ21" i="127"/>
  <c r="Y21" i="127" s="1"/>
  <c r="AZ67" i="127"/>
  <c r="Y67" i="127" s="1"/>
  <c r="AZ69" i="127"/>
  <c r="Y69" i="127" s="1"/>
  <c r="AZ59" i="127"/>
  <c r="Y59" i="127" s="1"/>
  <c r="AZ66" i="127"/>
  <c r="Y66" i="127" s="1"/>
  <c r="AZ64" i="127"/>
  <c r="Y64" i="127" s="1"/>
  <c r="AY52" i="132"/>
  <c r="P52" i="132" s="1"/>
  <c r="N52" i="132" s="1"/>
  <c r="P52" i="118" s="1"/>
  <c r="AZ71" i="127"/>
  <c r="Y71" i="127" s="1"/>
  <c r="AY72" i="132"/>
  <c r="P72" i="132" s="1"/>
  <c r="N72" i="132" s="1"/>
  <c r="P72" i="118" s="1"/>
  <c r="AY73" i="132"/>
  <c r="P73" i="132" s="1"/>
  <c r="N73" i="132" s="1"/>
  <c r="P73" i="118" s="1"/>
  <c r="AZ70" i="127"/>
  <c r="Y70" i="127" s="1"/>
  <c r="AY71" i="132"/>
  <c r="P71" i="132" s="1"/>
  <c r="N71" i="132" s="1"/>
  <c r="P71" i="118" s="1"/>
  <c r="AY66" i="132"/>
  <c r="P66" i="132" s="1"/>
  <c r="N66" i="132" s="1"/>
  <c r="P66" i="118" s="1"/>
  <c r="AZ68" i="127"/>
  <c r="Y68" i="127" s="1"/>
  <c r="AZ60" i="127"/>
  <c r="Y60" i="127" s="1"/>
  <c r="AY74" i="132"/>
  <c r="P74" i="132" s="1"/>
  <c r="N74" i="132" s="1"/>
  <c r="P74" i="118" s="1"/>
  <c r="AZ50" i="127"/>
  <c r="Y50" i="127" s="1"/>
  <c r="AY53" i="132"/>
  <c r="P53" i="132" s="1"/>
  <c r="N53" i="132" s="1"/>
  <c r="P53" i="118" s="1"/>
  <c r="AY51" i="132"/>
  <c r="P51" i="132" s="1"/>
  <c r="N51" i="132" s="1"/>
  <c r="P51" i="118" s="1"/>
  <c r="AZ72" i="127"/>
  <c r="Y72" i="127" s="1"/>
  <c r="AZ49" i="127"/>
  <c r="AY69" i="132"/>
  <c r="P69" i="132" s="1"/>
  <c r="N69" i="132" s="1"/>
  <c r="P69" i="118" s="1"/>
  <c r="AY61" i="132"/>
  <c r="P61" i="132" s="1"/>
  <c r="N61" i="132" s="1"/>
  <c r="P61" i="118" s="1"/>
  <c r="AZ51" i="127"/>
  <c r="Y51" i="127" s="1"/>
  <c r="AY70" i="132"/>
  <c r="P70" i="132" s="1"/>
  <c r="N70" i="132" s="1"/>
  <c r="P70" i="118" s="1"/>
  <c r="AY62" i="132"/>
  <c r="P62" i="132" s="1"/>
  <c r="N62" i="132" s="1"/>
  <c r="P62" i="118" s="1"/>
  <c r="AY68" i="132"/>
  <c r="P68" i="132" s="1"/>
  <c r="N68" i="132" s="1"/>
  <c r="P68" i="118" s="1"/>
  <c r="AZ17" i="127"/>
  <c r="Y17" i="127" s="1"/>
  <c r="W17" i="127" s="1"/>
  <c r="AZ22" i="127"/>
  <c r="Y22" i="127" s="1"/>
  <c r="AZ18" i="127"/>
  <c r="DJ43" i="127"/>
  <c r="CO43" i="127"/>
  <c r="CO43" i="126"/>
  <c r="DJ43" i="126"/>
  <c r="CO57" i="127"/>
  <c r="DJ57" i="127"/>
  <c r="DJ58" i="127"/>
  <c r="CO58" i="127"/>
  <c r="DJ56" i="126"/>
  <c r="DJ58" i="126"/>
  <c r="CO58" i="126"/>
  <c r="CO56" i="126"/>
  <c r="DJ56" i="127"/>
  <c r="CO57" i="126"/>
  <c r="CO55" i="126"/>
  <c r="DJ55" i="127"/>
  <c r="CO55" i="127"/>
  <c r="DJ57" i="126"/>
  <c r="CO56" i="127"/>
  <c r="DJ55" i="126"/>
  <c r="CO83" i="127"/>
  <c r="DJ83" i="127"/>
  <c r="DJ84" i="126"/>
  <c r="DJ83" i="126"/>
  <c r="DJ85" i="126"/>
  <c r="CO83" i="126"/>
  <c r="DJ85" i="127"/>
  <c r="CO85" i="127"/>
  <c r="DJ57" i="110"/>
  <c r="DJ65" i="110"/>
  <c r="CO57" i="110"/>
  <c r="CO84" i="127"/>
  <c r="CO65" i="126"/>
  <c r="DJ65" i="126"/>
  <c r="DJ84" i="110"/>
  <c r="CO85" i="110"/>
  <c r="CO65" i="110"/>
  <c r="DJ56" i="110"/>
  <c r="CO58" i="110"/>
  <c r="DJ84" i="127"/>
  <c r="CO84" i="126"/>
  <c r="CO84" i="110"/>
  <c r="CO65" i="127"/>
  <c r="DJ65" i="127"/>
  <c r="CO83" i="110"/>
  <c r="DJ85" i="110"/>
  <c r="DJ83" i="110"/>
  <c r="CO56" i="110"/>
  <c r="CO55" i="110"/>
  <c r="DJ58" i="110"/>
  <c r="DJ55" i="110"/>
  <c r="CO85" i="126"/>
  <c r="DJ48" i="127"/>
  <c r="DJ47" i="126"/>
  <c r="CO48" i="110"/>
  <c r="DJ48" i="126"/>
  <c r="DJ47" i="127"/>
  <c r="DJ48" i="110"/>
  <c r="CO47" i="126"/>
  <c r="CO48" i="126"/>
  <c r="CO47" i="127"/>
  <c r="DJ47" i="110"/>
  <c r="CO48" i="127"/>
  <c r="CO47" i="110"/>
  <c r="DJ62" i="110"/>
  <c r="CO61" i="126"/>
  <c r="DJ80" i="110"/>
  <c r="DJ79" i="127"/>
  <c r="CO78" i="127"/>
  <c r="CO54" i="127"/>
  <c r="CO82" i="126"/>
  <c r="CO81" i="127"/>
  <c r="CO52" i="127"/>
  <c r="DJ52" i="127"/>
  <c r="DJ77" i="110"/>
  <c r="DJ75" i="127"/>
  <c r="DJ74" i="110"/>
  <c r="DJ74" i="127"/>
  <c r="CO73" i="110"/>
  <c r="DJ73" i="127"/>
  <c r="CO46" i="127"/>
  <c r="CO63" i="110"/>
  <c r="DJ63" i="127"/>
  <c r="CO61" i="127"/>
  <c r="CO79" i="126"/>
  <c r="CO54" i="110"/>
  <c r="CO50" i="110"/>
  <c r="CO49" i="110"/>
  <c r="DJ82" i="110"/>
  <c r="DJ82" i="127"/>
  <c r="CO53" i="110"/>
  <c r="CO53" i="126"/>
  <c r="CO80" i="110"/>
  <c r="CO79" i="127"/>
  <c r="DJ78" i="110"/>
  <c r="CO78" i="110"/>
  <c r="DJ78" i="127"/>
  <c r="DJ54" i="127"/>
  <c r="DJ82" i="126"/>
  <c r="DJ53" i="127"/>
  <c r="CO77" i="127"/>
  <c r="CO75" i="110"/>
  <c r="CO75" i="127"/>
  <c r="DJ76" i="110"/>
  <c r="CO74" i="127"/>
  <c r="DJ46" i="127"/>
  <c r="CO63" i="127"/>
  <c r="CO62" i="127"/>
  <c r="CO80" i="127"/>
  <c r="DJ79" i="110"/>
  <c r="CO79" i="110"/>
  <c r="CO68" i="110"/>
  <c r="CO62" i="110"/>
  <c r="CO62" i="126"/>
  <c r="CO80" i="126"/>
  <c r="DJ67" i="110"/>
  <c r="CO59" i="110"/>
  <c r="DJ59" i="110"/>
  <c r="DJ81" i="127"/>
  <c r="DJ75" i="110"/>
  <c r="CO76" i="110"/>
  <c r="CO76" i="126"/>
  <c r="DJ73" i="110"/>
  <c r="DJ63" i="110"/>
  <c r="DJ62" i="127"/>
  <c r="DJ61" i="110"/>
  <c r="CO77" i="110"/>
  <c r="CO73" i="127"/>
  <c r="DJ54" i="126"/>
  <c r="CO54" i="126"/>
  <c r="CO72" i="110"/>
  <c r="CO71" i="110"/>
  <c r="DJ77" i="126"/>
  <c r="CO76" i="127"/>
  <c r="DJ74" i="126"/>
  <c r="CO74" i="126"/>
  <c r="DJ62" i="126"/>
  <c r="CO67" i="110"/>
  <c r="CO53" i="127"/>
  <c r="DJ77" i="127"/>
  <c r="CO78" i="126"/>
  <c r="DJ68" i="110"/>
  <c r="CO66" i="110"/>
  <c r="DJ66" i="110"/>
  <c r="DJ54" i="110"/>
  <c r="CO60" i="110"/>
  <c r="CO51" i="110"/>
  <c r="CO82" i="127"/>
  <c r="DJ81" i="110"/>
  <c r="CO81" i="110"/>
  <c r="DJ81" i="126"/>
  <c r="DJ72" i="110"/>
  <c r="DJ71" i="110"/>
  <c r="CO64" i="110"/>
  <c r="DJ52" i="126"/>
  <c r="DJ76" i="127"/>
  <c r="CO73" i="126"/>
  <c r="DJ46" i="126"/>
  <c r="DJ49" i="110"/>
  <c r="DJ70" i="110"/>
  <c r="CO69" i="110"/>
  <c r="DJ64" i="110"/>
  <c r="CO52" i="110"/>
  <c r="DJ63" i="126"/>
  <c r="DJ61" i="126"/>
  <c r="DJ76" i="126"/>
  <c r="CO74" i="110"/>
  <c r="DJ61" i="127"/>
  <c r="DJ79" i="126"/>
  <c r="DJ78" i="126"/>
  <c r="DJ51" i="110"/>
  <c r="CO81" i="126"/>
  <c r="DJ69" i="110"/>
  <c r="DJ53" i="126"/>
  <c r="CO77" i="126"/>
  <c r="DJ75" i="126"/>
  <c r="CO75" i="126"/>
  <c r="CO46" i="126"/>
  <c r="CO63" i="126"/>
  <c r="DJ80" i="126"/>
  <c r="CO61" i="110"/>
  <c r="DJ80" i="127"/>
  <c r="DJ60" i="110"/>
  <c r="DJ50" i="110"/>
  <c r="CO82" i="110"/>
  <c r="CO70" i="110"/>
  <c r="DJ53" i="110"/>
  <c r="DJ52" i="110"/>
  <c r="CO52" i="126"/>
  <c r="DJ73" i="126"/>
  <c r="DJ96" i="127"/>
  <c r="CO96" i="127"/>
  <c r="DJ93" i="127"/>
  <c r="CO89" i="126"/>
  <c r="DJ88" i="126"/>
  <c r="DJ96" i="126"/>
  <c r="DJ95" i="126"/>
  <c r="DJ92" i="127"/>
  <c r="DJ93" i="126"/>
  <c r="CO89" i="127"/>
  <c r="CO93" i="127"/>
  <c r="DJ89" i="126"/>
  <c r="CO88" i="126"/>
  <c r="CO96" i="126"/>
  <c r="CO95" i="126"/>
  <c r="CO92" i="126"/>
  <c r="DJ92" i="126"/>
  <c r="CO87" i="126"/>
  <c r="DJ87" i="126"/>
  <c r="CO95" i="127"/>
  <c r="CO93" i="126"/>
  <c r="CO92" i="127"/>
  <c r="DJ88" i="127"/>
  <c r="DJ87" i="127"/>
  <c r="DJ95" i="127"/>
  <c r="DJ94" i="127" s="1"/>
  <c r="DJ89" i="127"/>
  <c r="CO88" i="127"/>
  <c r="CO87" i="127"/>
  <c r="CO90" i="127"/>
  <c r="DJ90" i="126"/>
  <c r="DJ90" i="127"/>
  <c r="CO90" i="126"/>
  <c r="DJ67" i="127"/>
  <c r="CO70" i="126"/>
  <c r="CO70" i="127"/>
  <c r="CO60" i="126"/>
  <c r="DJ59" i="127"/>
  <c r="CO67" i="127"/>
  <c r="DJ70" i="127"/>
  <c r="CO59" i="126"/>
  <c r="DJ59" i="126"/>
  <c r="DJ60" i="126"/>
  <c r="CO66" i="127"/>
  <c r="CO69" i="127"/>
  <c r="CO59" i="127"/>
  <c r="DJ66" i="127"/>
  <c r="DJ68" i="126"/>
  <c r="DJ64" i="126"/>
  <c r="CO64" i="127"/>
  <c r="CO71" i="127"/>
  <c r="CO72" i="126"/>
  <c r="DJ68" i="127"/>
  <c r="CO68" i="127"/>
  <c r="DJ70" i="126"/>
  <c r="DJ64" i="127"/>
  <c r="DJ71" i="127"/>
  <c r="CO67" i="126"/>
  <c r="DJ67" i="126"/>
  <c r="CO68" i="126"/>
  <c r="DJ69" i="127"/>
  <c r="DJ66" i="126"/>
  <c r="DJ69" i="126"/>
  <c r="CO60" i="127"/>
  <c r="CO66" i="126"/>
  <c r="DJ72" i="127"/>
  <c r="CO50" i="127"/>
  <c r="DJ49" i="126"/>
  <c r="CO64" i="126"/>
  <c r="DJ72" i="126"/>
  <c r="DJ71" i="126"/>
  <c r="DJ60" i="127"/>
  <c r="CO69" i="126"/>
  <c r="CO51" i="126"/>
  <c r="DJ49" i="127"/>
  <c r="CO49" i="127"/>
  <c r="DJ51" i="127"/>
  <c r="DJ50" i="126"/>
  <c r="CO50" i="126"/>
  <c r="DJ50" i="127"/>
  <c r="CO51" i="127"/>
  <c r="CO49" i="126"/>
  <c r="CO71" i="126"/>
  <c r="CO72" i="127"/>
  <c r="DJ51" i="126"/>
  <c r="CP6" i="127"/>
  <c r="AA16" i="127"/>
  <c r="V8" i="127"/>
  <c r="T8" i="127"/>
  <c r="T8" i="126"/>
  <c r="V8" i="126"/>
  <c r="S49" i="110"/>
  <c r="R49" i="110"/>
  <c r="Q49" i="110"/>
  <c r="AN48" i="133" s="1"/>
  <c r="DK16" i="127"/>
  <c r="AB18" i="127"/>
  <c r="U11" i="127"/>
  <c r="W11" i="127"/>
  <c r="U15" i="126"/>
  <c r="W15" i="126"/>
  <c r="U22" i="126"/>
  <c r="W22" i="126"/>
  <c r="DK24" i="127"/>
  <c r="AB24" i="127" s="1"/>
  <c r="W24" i="127" s="1"/>
  <c r="AB25" i="127"/>
  <c r="W25" i="127" s="1"/>
  <c r="U22" i="110"/>
  <c r="W22" i="110"/>
  <c r="U20" i="110"/>
  <c r="W20" i="110"/>
  <c r="U12" i="127"/>
  <c r="W12" i="127"/>
  <c r="U42" i="126"/>
  <c r="W42" i="126"/>
  <c r="U23" i="110"/>
  <c r="W23" i="110"/>
  <c r="CP6" i="126"/>
  <c r="AA24" i="126"/>
  <c r="V24" i="126" s="1"/>
  <c r="AY45" i="127"/>
  <c r="AY44" i="127" s="1"/>
  <c r="AY41" i="127" s="1"/>
  <c r="DI86" i="127"/>
  <c r="CN94" i="126"/>
  <c r="CN45" i="126"/>
  <c r="DK43" i="127"/>
  <c r="CP43" i="127"/>
  <c r="CP43" i="126"/>
  <c r="DK43" i="126"/>
  <c r="AB43" i="126" s="1"/>
  <c r="DK57" i="127"/>
  <c r="AB57" i="127" s="1"/>
  <c r="W57" i="127" s="1"/>
  <c r="CP58" i="127"/>
  <c r="DK56" i="126"/>
  <c r="CP57" i="127"/>
  <c r="AA57" i="127" s="1"/>
  <c r="V57" i="127" s="1"/>
  <c r="DK58" i="126"/>
  <c r="AB58" i="126" s="1"/>
  <c r="W58" i="126" s="1"/>
  <c r="CP56" i="126"/>
  <c r="CP58" i="126"/>
  <c r="DK58" i="127"/>
  <c r="CP55" i="127"/>
  <c r="DK56" i="127"/>
  <c r="DK65" i="126"/>
  <c r="CP57" i="126"/>
  <c r="DK55" i="126"/>
  <c r="CP65" i="126"/>
  <c r="CP56" i="127"/>
  <c r="CP55" i="126"/>
  <c r="DK55" i="127"/>
  <c r="DK57" i="126"/>
  <c r="DK84" i="127"/>
  <c r="AB84" i="127" s="1"/>
  <c r="W84" i="127" s="1"/>
  <c r="CP83" i="126"/>
  <c r="DK85" i="127"/>
  <c r="CP84" i="127"/>
  <c r="CP83" i="127"/>
  <c r="DK85" i="126"/>
  <c r="AB85" i="126" s="1"/>
  <c r="W85" i="126" s="1"/>
  <c r="DK83" i="126"/>
  <c r="DK84" i="110"/>
  <c r="AB84" i="110" s="1"/>
  <c r="DK83" i="127"/>
  <c r="CP85" i="126"/>
  <c r="CP84" i="126"/>
  <c r="CP84" i="110"/>
  <c r="DK84" i="126"/>
  <c r="CP65" i="127"/>
  <c r="CP83" i="110"/>
  <c r="DK85" i="110"/>
  <c r="CP85" i="110"/>
  <c r="AA85" i="110" s="1"/>
  <c r="CP58" i="110"/>
  <c r="DK55" i="110"/>
  <c r="CP85" i="127"/>
  <c r="DK83" i="110"/>
  <c r="DK57" i="110"/>
  <c r="AB57" i="110" s="1"/>
  <c r="W57" i="110" s="1"/>
  <c r="CP56" i="110"/>
  <c r="CP55" i="110"/>
  <c r="DK65" i="127"/>
  <c r="AB65" i="127" s="1"/>
  <c r="W65" i="127" s="1"/>
  <c r="CP57" i="110"/>
  <c r="DK56" i="110"/>
  <c r="AB56" i="110" s="1"/>
  <c r="W56" i="110" s="1"/>
  <c r="DK58" i="110"/>
  <c r="CP65" i="110"/>
  <c r="DK65" i="110"/>
  <c r="CP47" i="126"/>
  <c r="CP48" i="110"/>
  <c r="AA48" i="110" s="1"/>
  <c r="CP47" i="110"/>
  <c r="AA47" i="110" s="1"/>
  <c r="CP47" i="127"/>
  <c r="AA47" i="127" s="1"/>
  <c r="DK48" i="110"/>
  <c r="AB48" i="110" s="1"/>
  <c r="DK48" i="126"/>
  <c r="DK47" i="110"/>
  <c r="CP48" i="127"/>
  <c r="DK48" i="127"/>
  <c r="DK47" i="127"/>
  <c r="DK47" i="126"/>
  <c r="CP48" i="126"/>
  <c r="DK63" i="126"/>
  <c r="DK61" i="126"/>
  <c r="CP79" i="127"/>
  <c r="DK78" i="110"/>
  <c r="CP68" i="126"/>
  <c r="DK54" i="127"/>
  <c r="CP51" i="126"/>
  <c r="DK82" i="126"/>
  <c r="DK81" i="127"/>
  <c r="DK70" i="126"/>
  <c r="CP70" i="126"/>
  <c r="AA70" i="126" s="1"/>
  <c r="DK53" i="127"/>
  <c r="CP75" i="127"/>
  <c r="CP74" i="127"/>
  <c r="DK63" i="127"/>
  <c r="CP62" i="127"/>
  <c r="DK62" i="127"/>
  <c r="CP80" i="127"/>
  <c r="CP78" i="126"/>
  <c r="DK66" i="110"/>
  <c r="CP66" i="110"/>
  <c r="DK54" i="110"/>
  <c r="DK54" i="126"/>
  <c r="CP60" i="110"/>
  <c r="DK51" i="110"/>
  <c r="DK50" i="110"/>
  <c r="CP50" i="126"/>
  <c r="AA50" i="126" s="1"/>
  <c r="DK82" i="110"/>
  <c r="AB82" i="110" s="1"/>
  <c r="DK81" i="110"/>
  <c r="DK72" i="126"/>
  <c r="AB72" i="126" s="1"/>
  <c r="DK69" i="110"/>
  <c r="CP64" i="110"/>
  <c r="CP52" i="110"/>
  <c r="CP52" i="126"/>
  <c r="DK75" i="126"/>
  <c r="AB75" i="126" s="1"/>
  <c r="W75" i="126" s="1"/>
  <c r="CP62" i="110"/>
  <c r="AA62" i="110" s="1"/>
  <c r="CP62" i="126"/>
  <c r="AA62" i="126" s="1"/>
  <c r="DK62" i="126"/>
  <c r="CP78" i="110"/>
  <c r="AA78" i="110" s="1"/>
  <c r="DK67" i="110"/>
  <c r="CP67" i="126"/>
  <c r="DK67" i="126"/>
  <c r="DK60" i="126"/>
  <c r="AB60" i="126" s="1"/>
  <c r="CP59" i="110"/>
  <c r="AA59" i="110" s="1"/>
  <c r="CP81" i="127"/>
  <c r="CP53" i="127"/>
  <c r="AA53" i="127" s="1"/>
  <c r="DK75" i="110"/>
  <c r="AB75" i="110" s="1"/>
  <c r="W75" i="110" s="1"/>
  <c r="DK75" i="127"/>
  <c r="CP76" i="126"/>
  <c r="AA76" i="126" s="1"/>
  <c r="DK76" i="126"/>
  <c r="CP63" i="110"/>
  <c r="CP63" i="127"/>
  <c r="DK61" i="110"/>
  <c r="AB61" i="110" s="1"/>
  <c r="CP61" i="110"/>
  <c r="DK61" i="127"/>
  <c r="AB61" i="127" s="1"/>
  <c r="DK79" i="110"/>
  <c r="CP79" i="110"/>
  <c r="CP79" i="126"/>
  <c r="CP63" i="126"/>
  <c r="CP80" i="110"/>
  <c r="AA80" i="110" s="1"/>
  <c r="CP80" i="126"/>
  <c r="DK79" i="127"/>
  <c r="DK78" i="127"/>
  <c r="CP54" i="127"/>
  <c r="CP60" i="126"/>
  <c r="AA60" i="126" s="1"/>
  <c r="DK52" i="127"/>
  <c r="DK77" i="110"/>
  <c r="CP77" i="110"/>
  <c r="DK77" i="127"/>
  <c r="CP77" i="127"/>
  <c r="CP75" i="110"/>
  <c r="CP76" i="110"/>
  <c r="AA76" i="110" s="1"/>
  <c r="DK74" i="110"/>
  <c r="CP73" i="110"/>
  <c r="AA73" i="110" s="1"/>
  <c r="DK73" i="127"/>
  <c r="AB73" i="127" s="1"/>
  <c r="W73" i="127" s="1"/>
  <c r="CP73" i="127"/>
  <c r="DK46" i="127"/>
  <c r="CP46" i="127"/>
  <c r="DK63" i="110"/>
  <c r="AB63" i="110" s="1"/>
  <c r="CP78" i="127"/>
  <c r="AA78" i="127" s="1"/>
  <c r="CP52" i="127"/>
  <c r="DK73" i="110"/>
  <c r="AB73" i="110" s="1"/>
  <c r="DK80" i="127"/>
  <c r="DK68" i="110"/>
  <c r="DK59" i="126"/>
  <c r="DK50" i="126"/>
  <c r="AB50" i="126" s="1"/>
  <c r="CP49" i="110"/>
  <c r="AA49" i="110" s="1"/>
  <c r="DK71" i="126"/>
  <c r="DK70" i="110"/>
  <c r="CP70" i="110"/>
  <c r="DK53" i="126"/>
  <c r="CP53" i="126"/>
  <c r="DK52" i="126"/>
  <c r="DK73" i="126"/>
  <c r="DK68" i="126"/>
  <c r="CP74" i="110"/>
  <c r="DK74" i="127"/>
  <c r="AB74" i="127" s="1"/>
  <c r="CP61" i="127"/>
  <c r="DK60" i="110"/>
  <c r="CP51" i="110"/>
  <c r="CP81" i="126"/>
  <c r="CP71" i="126"/>
  <c r="CP69" i="110"/>
  <c r="CP69" i="126"/>
  <c r="DK69" i="126"/>
  <c r="DK64" i="110"/>
  <c r="DK53" i="110"/>
  <c r="DK77" i="126"/>
  <c r="AB77" i="126" s="1"/>
  <c r="CP76" i="127"/>
  <c r="AA76" i="127" s="1"/>
  <c r="DK46" i="126"/>
  <c r="CP46" i="126"/>
  <c r="CP49" i="126"/>
  <c r="CP81" i="110"/>
  <c r="AA81" i="110" s="1"/>
  <c r="DK81" i="126"/>
  <c r="AB81" i="126" s="1"/>
  <c r="CP72" i="126"/>
  <c r="CP71" i="110"/>
  <c r="DK76" i="127"/>
  <c r="DK80" i="110"/>
  <c r="AB80" i="110" s="1"/>
  <c r="DK80" i="126"/>
  <c r="AB80" i="126" s="1"/>
  <c r="CP67" i="110"/>
  <c r="DK51" i="126"/>
  <c r="AB51" i="126" s="1"/>
  <c r="DK76" i="110"/>
  <c r="DK78" i="126"/>
  <c r="CP66" i="126"/>
  <c r="CP59" i="126"/>
  <c r="AA59" i="126" s="1"/>
  <c r="CP50" i="110"/>
  <c r="AA50" i="110" s="1"/>
  <c r="DK49" i="110"/>
  <c r="CP82" i="110"/>
  <c r="AA82" i="110" s="1"/>
  <c r="CP72" i="110"/>
  <c r="DK72" i="110"/>
  <c r="CP64" i="126"/>
  <c r="CP53" i="110"/>
  <c r="CP77" i="126"/>
  <c r="CP75" i="126"/>
  <c r="CP74" i="126"/>
  <c r="AA74" i="126" s="1"/>
  <c r="CP73" i="126"/>
  <c r="AA73" i="126" s="1"/>
  <c r="V73" i="126" s="1"/>
  <c r="DK62" i="110"/>
  <c r="CP61" i="126"/>
  <c r="DK59" i="110"/>
  <c r="CP82" i="126"/>
  <c r="DK79" i="126"/>
  <c r="CP68" i="110"/>
  <c r="DK66" i="126"/>
  <c r="CP54" i="110"/>
  <c r="CP54" i="126"/>
  <c r="AA54" i="126" s="1"/>
  <c r="DK49" i="126"/>
  <c r="CP82" i="127"/>
  <c r="AA82" i="127" s="1"/>
  <c r="DK82" i="127"/>
  <c r="DK71" i="110"/>
  <c r="DK64" i="126"/>
  <c r="DK52" i="110"/>
  <c r="AB52" i="110" s="1"/>
  <c r="DK74" i="126"/>
  <c r="CP89" i="126"/>
  <c r="AA89" i="126" s="1"/>
  <c r="DK87" i="126"/>
  <c r="CP96" i="127"/>
  <c r="AA96" i="127" s="1"/>
  <c r="DK93" i="127"/>
  <c r="AB93" i="127" s="1"/>
  <c r="CP92" i="126"/>
  <c r="AA92" i="126" s="1"/>
  <c r="DK92" i="126"/>
  <c r="AB92" i="126" s="1"/>
  <c r="DK88" i="126"/>
  <c r="CP96" i="126"/>
  <c r="DK95" i="127"/>
  <c r="CP89" i="127"/>
  <c r="DK87" i="127"/>
  <c r="CP88" i="127"/>
  <c r="AA88" i="127" s="1"/>
  <c r="DK96" i="127"/>
  <c r="CP95" i="126"/>
  <c r="DK95" i="126"/>
  <c r="DK89" i="126"/>
  <c r="CP88" i="126"/>
  <c r="CP87" i="126"/>
  <c r="CP95" i="127"/>
  <c r="DK93" i="126"/>
  <c r="CP92" i="127"/>
  <c r="DK89" i="127"/>
  <c r="DK88" i="127"/>
  <c r="CP87" i="127"/>
  <c r="DK92" i="127"/>
  <c r="CP93" i="127"/>
  <c r="DK96" i="126"/>
  <c r="CP93" i="126"/>
  <c r="CP90" i="127"/>
  <c r="CP90" i="126"/>
  <c r="DK90" i="127"/>
  <c r="DK90" i="126"/>
  <c r="CP59" i="127"/>
  <c r="DK59" i="127"/>
  <c r="AB59" i="127" s="1"/>
  <c r="CP67" i="127"/>
  <c r="AA67" i="127" s="1"/>
  <c r="CP70" i="127"/>
  <c r="AA70" i="127" s="1"/>
  <c r="DK67" i="127"/>
  <c r="CP66" i="127"/>
  <c r="CP69" i="127"/>
  <c r="DK70" i="127"/>
  <c r="AB70" i="127" s="1"/>
  <c r="DK66" i="127"/>
  <c r="CP64" i="127"/>
  <c r="AA64" i="127" s="1"/>
  <c r="DK71" i="127"/>
  <c r="DK64" i="127"/>
  <c r="AB64" i="127" s="1"/>
  <c r="CP71" i="127"/>
  <c r="DK69" i="127"/>
  <c r="CP60" i="127"/>
  <c r="DK60" i="127"/>
  <c r="AB60" i="127" s="1"/>
  <c r="CP68" i="127"/>
  <c r="DK68" i="127"/>
  <c r="CP72" i="127"/>
  <c r="DK51" i="127"/>
  <c r="DK72" i="127"/>
  <c r="CP49" i="127"/>
  <c r="CP50" i="127"/>
  <c r="AA50" i="127" s="1"/>
  <c r="DK49" i="127"/>
  <c r="DK50" i="127"/>
  <c r="CP51" i="127"/>
  <c r="V14" i="127"/>
  <c r="T14" i="127"/>
  <c r="T7" i="127"/>
  <c r="V7" i="127"/>
  <c r="T7" i="126"/>
  <c r="V7" i="126"/>
  <c r="U17" i="127"/>
  <c r="DK35" i="127"/>
  <c r="AB35" i="127" s="1"/>
  <c r="W35" i="127" s="1"/>
  <c r="AB36" i="127"/>
  <c r="W36" i="127" s="1"/>
  <c r="W9" i="127"/>
  <c r="U9" i="127"/>
  <c r="DK7" i="126"/>
  <c r="AB7" i="126" s="1"/>
  <c r="AB8" i="126"/>
  <c r="DK13" i="126"/>
  <c r="AB13" i="126" s="1"/>
  <c r="AB14" i="126"/>
  <c r="U18" i="126"/>
  <c r="DK16" i="126"/>
  <c r="AB16" i="126" s="1"/>
  <c r="AB17" i="126"/>
  <c r="DK7" i="127"/>
  <c r="AB7" i="127" s="1"/>
  <c r="AB8" i="127"/>
  <c r="U21" i="127"/>
  <c r="W20" i="126"/>
  <c r="U20" i="126"/>
  <c r="U12" i="126"/>
  <c r="W12" i="126"/>
  <c r="BT6" i="126"/>
  <c r="Z16" i="126"/>
  <c r="T17" i="126"/>
  <c r="V17" i="126"/>
  <c r="T14" i="126"/>
  <c r="V14" i="126"/>
  <c r="AY16" i="126"/>
  <c r="Y18" i="126"/>
  <c r="W18" i="126" s="1"/>
  <c r="R17" i="126"/>
  <c r="S17" i="126"/>
  <c r="Q17" i="126"/>
  <c r="R50" i="126"/>
  <c r="Q50" i="126"/>
  <c r="AO49" i="133" s="1"/>
  <c r="S50" i="126"/>
  <c r="R51" i="126"/>
  <c r="S51" i="126"/>
  <c r="Q51" i="126"/>
  <c r="AO50" i="133" s="1"/>
  <c r="Q66" i="126"/>
  <c r="AO65" i="133" s="1"/>
  <c r="R66" i="126"/>
  <c r="S66" i="126"/>
  <c r="S64" i="126"/>
  <c r="R64" i="126"/>
  <c r="Q64" i="126"/>
  <c r="AO63" i="133" s="1"/>
  <c r="S68" i="126"/>
  <c r="R68" i="126"/>
  <c r="Q68" i="126"/>
  <c r="AO67" i="133" s="1"/>
  <c r="R67" i="126"/>
  <c r="S67" i="126"/>
  <c r="Q67" i="126"/>
  <c r="AO66" i="133" s="1"/>
  <c r="R23" i="126"/>
  <c r="S23" i="126"/>
  <c r="Q23" i="126"/>
  <c r="AO22" i="133" s="1"/>
  <c r="DI86" i="126"/>
  <c r="DI91" i="127"/>
  <c r="DI45" i="127"/>
  <c r="DJ6" i="110"/>
  <c r="AA24" i="110"/>
  <c r="CP6" i="110"/>
  <c r="Z24" i="110"/>
  <c r="BU6" i="110"/>
  <c r="S17" i="110"/>
  <c r="V17" i="110"/>
  <c r="AX44" i="110"/>
  <c r="Y45" i="110"/>
  <c r="U42" i="110"/>
  <c r="W42" i="110"/>
  <c r="DK89" i="110"/>
  <c r="CP89" i="110"/>
  <c r="W9" i="110"/>
  <c r="U9" i="110"/>
  <c r="CO89" i="110"/>
  <c r="DJ89" i="110"/>
  <c r="Q17" i="110"/>
  <c r="R17" i="110"/>
  <c r="AY36" i="132"/>
  <c r="P36" i="132" s="1"/>
  <c r="N36" i="132" s="1"/>
  <c r="P36" i="118" s="1"/>
  <c r="AY104" i="130"/>
  <c r="P104" i="130" s="1"/>
  <c r="N104" i="130" s="1"/>
  <c r="N104" i="118" s="1"/>
  <c r="AY27" i="132"/>
  <c r="P27" i="132" s="1"/>
  <c r="N27" i="132" s="1"/>
  <c r="P27" i="118" s="1"/>
  <c r="AY41" i="132"/>
  <c r="P41" i="132" s="1"/>
  <c r="N41" i="132" s="1"/>
  <c r="P41" i="118" s="1"/>
  <c r="AY30" i="132"/>
  <c r="P30" i="132" s="1"/>
  <c r="N30" i="132" s="1"/>
  <c r="P30" i="118" s="1"/>
  <c r="AY34" i="132"/>
  <c r="P34" i="132" s="1"/>
  <c r="N34" i="132" s="1"/>
  <c r="P34" i="118" s="1"/>
  <c r="AY28" i="132"/>
  <c r="P28" i="132" s="1"/>
  <c r="N28" i="132" s="1"/>
  <c r="P28" i="118" s="1"/>
  <c r="AY104" i="131"/>
  <c r="P104" i="131" s="1"/>
  <c r="N104" i="131" s="1"/>
  <c r="O104" i="118" s="1"/>
  <c r="AY20" i="131"/>
  <c r="P20" i="131" s="1"/>
  <c r="N20" i="131" s="1"/>
  <c r="O20" i="118" s="1"/>
  <c r="AY20" i="132"/>
  <c r="P20" i="132" s="1"/>
  <c r="N20" i="132" s="1"/>
  <c r="P20" i="118" s="1"/>
  <c r="AY19" i="132"/>
  <c r="P19" i="132" s="1"/>
  <c r="N19" i="132" s="1"/>
  <c r="P19" i="118" s="1"/>
  <c r="AY19" i="130"/>
  <c r="P19" i="130" s="1"/>
  <c r="N19" i="130" s="1"/>
  <c r="N19" i="118" s="1"/>
  <c r="AY19" i="131"/>
  <c r="P19" i="131" s="1"/>
  <c r="N19" i="131" s="1"/>
  <c r="O19" i="118" s="1"/>
  <c r="AY20" i="130"/>
  <c r="P20" i="130" s="1"/>
  <c r="N20" i="130" s="1"/>
  <c r="N20" i="118" s="1"/>
  <c r="AY43" i="132"/>
  <c r="P43" i="132" s="1"/>
  <c r="N43" i="132" s="1"/>
  <c r="P43" i="118" s="1"/>
  <c r="AY29" i="132"/>
  <c r="P29" i="132" s="1"/>
  <c r="N29" i="132" s="1"/>
  <c r="P29" i="118" s="1"/>
  <c r="AY35" i="132"/>
  <c r="P35" i="132" s="1"/>
  <c r="N35" i="132" s="1"/>
  <c r="P35" i="118" s="1"/>
  <c r="AY40" i="130"/>
  <c r="P40" i="130" s="1"/>
  <c r="N40" i="130" s="1"/>
  <c r="N40" i="118" s="1"/>
  <c r="AY32" i="132"/>
  <c r="P32" i="132" s="1"/>
  <c r="N32" i="132" s="1"/>
  <c r="P32" i="118" s="1"/>
  <c r="AY104" i="132"/>
  <c r="P104" i="132" s="1"/>
  <c r="N104" i="132" s="1"/>
  <c r="P104" i="118" s="1"/>
  <c r="AY37" i="132"/>
  <c r="P37" i="132" s="1"/>
  <c r="N37" i="132" s="1"/>
  <c r="P37" i="118" s="1"/>
  <c r="AY40" i="131"/>
  <c r="P40" i="131" s="1"/>
  <c r="N40" i="131" s="1"/>
  <c r="O40" i="118" s="1"/>
  <c r="AY31" i="132"/>
  <c r="P31" i="132" s="1"/>
  <c r="N31" i="132" s="1"/>
  <c r="P31" i="118" s="1"/>
  <c r="AY40" i="132"/>
  <c r="P40" i="132" s="1"/>
  <c r="N40" i="132" s="1"/>
  <c r="P40" i="118" s="1"/>
  <c r="AY42" i="132"/>
  <c r="P42" i="132" s="1"/>
  <c r="N42" i="132" s="1"/>
  <c r="P42" i="118" s="1"/>
  <c r="T18" i="110"/>
  <c r="AB18" i="110"/>
  <c r="W18" i="110" s="1"/>
  <c r="DK16" i="110"/>
  <c r="AB16" i="110" s="1"/>
  <c r="U16" i="110" s="1"/>
  <c r="DH44" i="110"/>
  <c r="DH41" i="110" s="1"/>
  <c r="DH5" i="110" s="1"/>
  <c r="CM44" i="110"/>
  <c r="CM41" i="110" s="1"/>
  <c r="CM5" i="110" s="1"/>
  <c r="Z44" i="110"/>
  <c r="DK7" i="110"/>
  <c r="Z16" i="110"/>
  <c r="AB14" i="110"/>
  <c r="W14" i="110" s="1"/>
  <c r="U17" i="110"/>
  <c r="W17" i="110"/>
  <c r="AB8" i="110"/>
  <c r="DJ46" i="110"/>
  <c r="CO46" i="110"/>
  <c r="CO90" i="110"/>
  <c r="DJ90" i="110"/>
  <c r="W12" i="110"/>
  <c r="U12" i="110"/>
  <c r="AB13" i="110"/>
  <c r="DK46" i="110"/>
  <c r="CP46" i="110"/>
  <c r="CP90" i="110"/>
  <c r="DK90" i="110"/>
  <c r="DK35" i="110"/>
  <c r="AB35" i="110" s="1"/>
  <c r="W35" i="110" s="1"/>
  <c r="AB36" i="110"/>
  <c r="W36" i="110" s="1"/>
  <c r="U10" i="110"/>
  <c r="W10" i="110"/>
  <c r="U19" i="110"/>
  <c r="W19" i="110"/>
  <c r="U15" i="110"/>
  <c r="W15" i="110"/>
  <c r="U11" i="110"/>
  <c r="W11" i="110"/>
  <c r="DK24" i="110"/>
  <c r="AB25" i="110"/>
  <c r="W25" i="110" s="1"/>
  <c r="V14" i="110"/>
  <c r="AA7" i="110"/>
  <c r="V7" i="110" s="1"/>
  <c r="C21" i="138" s="1"/>
  <c r="DI94" i="110"/>
  <c r="T17" i="110"/>
  <c r="CN86" i="110"/>
  <c r="CN91" i="110"/>
  <c r="CN94" i="110"/>
  <c r="DI91" i="110"/>
  <c r="DI86" i="110"/>
  <c r="DK96" i="110"/>
  <c r="CP96" i="110"/>
  <c r="CP92" i="110"/>
  <c r="DK88" i="110"/>
  <c r="DK43" i="110"/>
  <c r="CP43" i="110"/>
  <c r="CP93" i="110"/>
  <c r="CP88" i="110"/>
  <c r="DK92" i="110"/>
  <c r="DK87" i="110"/>
  <c r="CP95" i="110"/>
  <c r="CP87" i="110"/>
  <c r="DK95" i="110"/>
  <c r="DK93" i="110"/>
  <c r="CO43" i="110"/>
  <c r="CO92" i="110"/>
  <c r="DJ93" i="110"/>
  <c r="DJ95" i="110"/>
  <c r="CO93" i="110"/>
  <c r="DJ43" i="110"/>
  <c r="CO87" i="110"/>
  <c r="CO96" i="110"/>
  <c r="DJ92" i="110"/>
  <c r="DJ96" i="110"/>
  <c r="DJ88" i="110"/>
  <c r="CO88" i="110"/>
  <c r="DJ87" i="110"/>
  <c r="CO95" i="110"/>
  <c r="AA16" i="110"/>
  <c r="T25" i="110"/>
  <c r="V25" i="110"/>
  <c r="T36" i="110"/>
  <c r="V36" i="110"/>
  <c r="V15" i="110"/>
  <c r="T15" i="110"/>
  <c r="V8" i="110"/>
  <c r="T8" i="110"/>
  <c r="Y16" i="110"/>
  <c r="T24" i="110"/>
  <c r="C115" i="138" s="1"/>
  <c r="T35" i="110"/>
  <c r="C166" i="138" s="1"/>
  <c r="V35" i="110"/>
  <c r="C167" i="138" s="1"/>
  <c r="V13" i="110"/>
  <c r="C38" i="138" s="1"/>
  <c r="T13" i="110"/>
  <c r="C37" i="138" s="1"/>
  <c r="AA43" i="127" l="1"/>
  <c r="W73" i="110"/>
  <c r="U73" i="110"/>
  <c r="V73" i="110"/>
  <c r="T73" i="110"/>
  <c r="V85" i="110"/>
  <c r="T85" i="110"/>
  <c r="AA68" i="110"/>
  <c r="AB72" i="110"/>
  <c r="W72" i="110" s="1"/>
  <c r="AB76" i="110"/>
  <c r="W76" i="110" s="1"/>
  <c r="AA71" i="126"/>
  <c r="T71" i="126" s="1"/>
  <c r="AA61" i="127"/>
  <c r="AB79" i="127"/>
  <c r="U79" i="127" s="1"/>
  <c r="AB67" i="126"/>
  <c r="U67" i="126" s="1"/>
  <c r="AB50" i="110"/>
  <c r="W50" i="110" s="1"/>
  <c r="AB70" i="126"/>
  <c r="AB48" i="126"/>
  <c r="U48" i="126" s="1"/>
  <c r="AA85" i="127"/>
  <c r="V85" i="127" s="1"/>
  <c r="AA56" i="126"/>
  <c r="V56" i="126" s="1"/>
  <c r="AA58" i="127"/>
  <c r="V58" i="127" s="1"/>
  <c r="AA71" i="127"/>
  <c r="V71" i="127" s="1"/>
  <c r="AB66" i="127"/>
  <c r="U66" i="127" s="1"/>
  <c r="AB76" i="127"/>
  <c r="U76" i="127" s="1"/>
  <c r="AB69" i="126"/>
  <c r="AA81" i="126"/>
  <c r="T81" i="126" s="1"/>
  <c r="AB70" i="110"/>
  <c r="W70" i="110" s="1"/>
  <c r="AB77" i="127"/>
  <c r="W77" i="127" s="1"/>
  <c r="AA81" i="127"/>
  <c r="V81" i="127" s="1"/>
  <c r="AB63" i="126"/>
  <c r="U63" i="126" s="1"/>
  <c r="AA56" i="110"/>
  <c r="V56" i="110" s="1"/>
  <c r="AB83" i="126"/>
  <c r="W83" i="126" s="1"/>
  <c r="AB55" i="127"/>
  <c r="W55" i="127" s="1"/>
  <c r="AB55" i="126"/>
  <c r="W55" i="126" s="1"/>
  <c r="AB49" i="127"/>
  <c r="U49" i="127" s="1"/>
  <c r="AA71" i="110"/>
  <c r="V71" i="110" s="1"/>
  <c r="AA53" i="126"/>
  <c r="AB71" i="126"/>
  <c r="W71" i="126" s="1"/>
  <c r="AA73" i="127"/>
  <c r="V73" i="127" s="1"/>
  <c r="AB75" i="127"/>
  <c r="W75" i="127" s="1"/>
  <c r="AB67" i="110"/>
  <c r="AB66" i="110"/>
  <c r="W66" i="110" s="1"/>
  <c r="AA62" i="127"/>
  <c r="V62" i="127" s="1"/>
  <c r="AB53" i="127"/>
  <c r="U53" i="127" s="1"/>
  <c r="AA48" i="126"/>
  <c r="AA85" i="126"/>
  <c r="V85" i="126" s="1"/>
  <c r="AA51" i="127"/>
  <c r="V51" i="127" s="1"/>
  <c r="AB68" i="127"/>
  <c r="U68" i="127" s="1"/>
  <c r="AB69" i="127"/>
  <c r="U69" i="127" s="1"/>
  <c r="AB64" i="126"/>
  <c r="U64" i="126" s="1"/>
  <c r="AA61" i="126"/>
  <c r="V61" i="126" s="1"/>
  <c r="AB64" i="110"/>
  <c r="W64" i="110" s="1"/>
  <c r="AB73" i="126"/>
  <c r="W73" i="126" s="1"/>
  <c r="AA70" i="110"/>
  <c r="V70" i="110" s="1"/>
  <c r="AB52" i="127"/>
  <c r="U52" i="127" s="1"/>
  <c r="AB76" i="126"/>
  <c r="W76" i="126" s="1"/>
  <c r="AB54" i="127"/>
  <c r="W54" i="127" s="1"/>
  <c r="AB58" i="110"/>
  <c r="W58" i="110" s="1"/>
  <c r="AB85" i="110"/>
  <c r="AA84" i="110"/>
  <c r="V84" i="110" s="1"/>
  <c r="AB57" i="126"/>
  <c r="W57" i="126" s="1"/>
  <c r="CN44" i="127"/>
  <c r="CN41" i="127" s="1"/>
  <c r="CN5" i="127" s="1"/>
  <c r="AB87" i="127"/>
  <c r="W87" i="127" s="1"/>
  <c r="CO94" i="127"/>
  <c r="AA87" i="127"/>
  <c r="T87" i="127" s="1"/>
  <c r="AB89" i="126"/>
  <c r="U89" i="126" s="1"/>
  <c r="AB89" i="127"/>
  <c r="U89" i="127" s="1"/>
  <c r="AA87" i="126"/>
  <c r="T87" i="126" s="1"/>
  <c r="AA89" i="127"/>
  <c r="T89" i="127" s="1"/>
  <c r="AA54" i="110"/>
  <c r="V54" i="110" s="1"/>
  <c r="AA67" i="110"/>
  <c r="V67" i="110" s="1"/>
  <c r="AA69" i="126"/>
  <c r="T69" i="126" s="1"/>
  <c r="AA57" i="126"/>
  <c r="V57" i="126" s="1"/>
  <c r="AB51" i="127"/>
  <c r="U51" i="127" s="1"/>
  <c r="AB82" i="127"/>
  <c r="W82" i="127" s="1"/>
  <c r="AA66" i="126"/>
  <c r="V66" i="126" s="1"/>
  <c r="AB68" i="110"/>
  <c r="W68" i="110" s="1"/>
  <c r="AA54" i="127"/>
  <c r="T54" i="127" s="1"/>
  <c r="AB79" i="110"/>
  <c r="W79" i="110" s="1"/>
  <c r="AA64" i="110"/>
  <c r="AA60" i="110"/>
  <c r="V60" i="110" s="1"/>
  <c r="AB65" i="110"/>
  <c r="W65" i="110" s="1"/>
  <c r="AA83" i="126"/>
  <c r="V83" i="126" s="1"/>
  <c r="AB71" i="127"/>
  <c r="W71" i="127" s="1"/>
  <c r="AA69" i="127"/>
  <c r="V69" i="127" s="1"/>
  <c r="AB59" i="110"/>
  <c r="W59" i="110" s="1"/>
  <c r="AA64" i="126"/>
  <c r="V64" i="126" s="1"/>
  <c r="AB78" i="126"/>
  <c r="U78" i="126" s="1"/>
  <c r="AB53" i="126"/>
  <c r="W53" i="126" s="1"/>
  <c r="AB80" i="127"/>
  <c r="W80" i="127" s="1"/>
  <c r="AA75" i="110"/>
  <c r="V75" i="110" s="1"/>
  <c r="AA63" i="110"/>
  <c r="V63" i="110" s="1"/>
  <c r="AA79" i="127"/>
  <c r="V79" i="127" s="1"/>
  <c r="AB47" i="126"/>
  <c r="W47" i="126" s="1"/>
  <c r="AB47" i="110"/>
  <c r="W47" i="110" s="1"/>
  <c r="AB83" i="127"/>
  <c r="W83" i="127" s="1"/>
  <c r="AB65" i="126"/>
  <c r="W65" i="126" s="1"/>
  <c r="T84" i="110"/>
  <c r="AA84" i="127"/>
  <c r="V84" i="127" s="1"/>
  <c r="W84" i="110"/>
  <c r="U84" i="110"/>
  <c r="AX41" i="110"/>
  <c r="Y41" i="110" s="1"/>
  <c r="Q41" i="110" s="1"/>
  <c r="AN40" i="133" s="1"/>
  <c r="B10" i="125" s="1"/>
  <c r="Y44" i="110"/>
  <c r="Q44" i="110" s="1"/>
  <c r="C230" i="138" s="1"/>
  <c r="AY5" i="127"/>
  <c r="AN16" i="133"/>
  <c r="AB50" i="127"/>
  <c r="U50" i="127" s="1"/>
  <c r="AB71" i="110"/>
  <c r="U71" i="110" s="1"/>
  <c r="AB79" i="126"/>
  <c r="U79" i="126" s="1"/>
  <c r="AB62" i="110"/>
  <c r="W62" i="110" s="1"/>
  <c r="AA52" i="127"/>
  <c r="T52" i="127" s="1"/>
  <c r="AB74" i="110"/>
  <c r="W74" i="110" s="1"/>
  <c r="AB81" i="110"/>
  <c r="W81" i="110" s="1"/>
  <c r="AB62" i="127"/>
  <c r="W62" i="127" s="1"/>
  <c r="AA68" i="126"/>
  <c r="T68" i="126" s="1"/>
  <c r="AB48" i="127"/>
  <c r="W48" i="127" s="1"/>
  <c r="AA83" i="110"/>
  <c r="AA84" i="126"/>
  <c r="V84" i="126" s="1"/>
  <c r="AA55" i="127"/>
  <c r="V55" i="127" s="1"/>
  <c r="AB43" i="127"/>
  <c r="U43" i="127" s="1"/>
  <c r="DJ91" i="127"/>
  <c r="AA72" i="127"/>
  <c r="T72" i="127" s="1"/>
  <c r="AA60" i="127"/>
  <c r="V60" i="127" s="1"/>
  <c r="AB88" i="127"/>
  <c r="U88" i="127" s="1"/>
  <c r="AB95" i="126"/>
  <c r="W95" i="126" s="1"/>
  <c r="AA72" i="126"/>
  <c r="T72" i="126" s="1"/>
  <c r="AA69" i="110"/>
  <c r="V69" i="110" s="1"/>
  <c r="AB68" i="126"/>
  <c r="U68" i="126" s="1"/>
  <c r="AB78" i="127"/>
  <c r="U78" i="127" s="1"/>
  <c r="AB69" i="110"/>
  <c r="W69" i="110" s="1"/>
  <c r="AB54" i="126"/>
  <c r="W54" i="126" s="1"/>
  <c r="AA78" i="126"/>
  <c r="V78" i="126" s="1"/>
  <c r="AA65" i="110"/>
  <c r="V65" i="110" s="1"/>
  <c r="AA83" i="127"/>
  <c r="V83" i="127" s="1"/>
  <c r="AB56" i="126"/>
  <c r="W56" i="126" s="1"/>
  <c r="CO91" i="127"/>
  <c r="CO94" i="126"/>
  <c r="DJ94" i="126"/>
  <c r="CO45" i="110"/>
  <c r="AA49" i="127"/>
  <c r="T49" i="127" s="1"/>
  <c r="AA66" i="127"/>
  <c r="V66" i="127" s="1"/>
  <c r="AA93" i="127"/>
  <c r="V93" i="127" s="1"/>
  <c r="AA95" i="126"/>
  <c r="T95" i="126" s="1"/>
  <c r="AB87" i="126"/>
  <c r="U87" i="126" s="1"/>
  <c r="AB49" i="126"/>
  <c r="W49" i="126" s="1"/>
  <c r="AA75" i="126"/>
  <c r="V75" i="126" s="1"/>
  <c r="AA77" i="127"/>
  <c r="T77" i="127" s="1"/>
  <c r="AA79" i="126"/>
  <c r="V79" i="126" s="1"/>
  <c r="AA61" i="110"/>
  <c r="T61" i="110" s="1"/>
  <c r="AB62" i="126"/>
  <c r="U62" i="126" s="1"/>
  <c r="AA52" i="126"/>
  <c r="V52" i="126" s="1"/>
  <c r="AB54" i="110"/>
  <c r="U54" i="110" s="1"/>
  <c r="AA80" i="127"/>
  <c r="V80" i="127" s="1"/>
  <c r="AA74" i="127"/>
  <c r="T74" i="127" s="1"/>
  <c r="AB61" i="126"/>
  <c r="U61" i="126" s="1"/>
  <c r="AB47" i="127"/>
  <c r="U47" i="127" s="1"/>
  <c r="AA55" i="110"/>
  <c r="V55" i="110" s="1"/>
  <c r="AA65" i="126"/>
  <c r="V65" i="126" s="1"/>
  <c r="AB56" i="127"/>
  <c r="W56" i="127" s="1"/>
  <c r="CO45" i="126"/>
  <c r="CO86" i="127"/>
  <c r="CO91" i="126"/>
  <c r="W13" i="126"/>
  <c r="U13" i="126"/>
  <c r="T64" i="127"/>
  <c r="V64" i="127"/>
  <c r="U92" i="126"/>
  <c r="W92" i="126"/>
  <c r="U76" i="110"/>
  <c r="U64" i="110"/>
  <c r="CP45" i="127"/>
  <c r="AA46" i="127"/>
  <c r="T53" i="127"/>
  <c r="V53" i="127"/>
  <c r="U70" i="126"/>
  <c r="W70" i="126"/>
  <c r="T48" i="110"/>
  <c r="V48" i="110"/>
  <c r="DJ91" i="126"/>
  <c r="Q22" i="127"/>
  <c r="AP21" i="133" s="1"/>
  <c r="S22" i="127"/>
  <c r="R22" i="127"/>
  <c r="V22" i="127"/>
  <c r="AZ45" i="127"/>
  <c r="Y49" i="127"/>
  <c r="Q50" i="127"/>
  <c r="AP49" i="133" s="1"/>
  <c r="R50" i="127"/>
  <c r="S50" i="127"/>
  <c r="S66" i="127"/>
  <c r="R66" i="127"/>
  <c r="Q66" i="127"/>
  <c r="AP65" i="133" s="1"/>
  <c r="CP45" i="110"/>
  <c r="DJ45" i="110"/>
  <c r="U8" i="127"/>
  <c r="W8" i="127"/>
  <c r="U8" i="126"/>
  <c r="W8" i="126"/>
  <c r="AB72" i="127"/>
  <c r="AA68" i="127"/>
  <c r="AB67" i="127"/>
  <c r="AA59" i="127"/>
  <c r="CP86" i="127"/>
  <c r="AA90" i="127"/>
  <c r="DK91" i="127"/>
  <c r="AB92" i="127"/>
  <c r="CP91" i="127"/>
  <c r="AA92" i="127"/>
  <c r="AA88" i="126"/>
  <c r="AB96" i="127"/>
  <c r="DK94" i="127"/>
  <c r="AB94" i="127" s="1"/>
  <c r="AB95" i="127"/>
  <c r="V92" i="126"/>
  <c r="T92" i="126"/>
  <c r="V89" i="126"/>
  <c r="T89" i="126"/>
  <c r="T54" i="126"/>
  <c r="V54" i="126"/>
  <c r="U62" i="110"/>
  <c r="AA77" i="126"/>
  <c r="AA72" i="110"/>
  <c r="V59" i="126"/>
  <c r="T59" i="126"/>
  <c r="U51" i="126"/>
  <c r="W51" i="126"/>
  <c r="W76" i="127"/>
  <c r="T81" i="110"/>
  <c r="V81" i="110"/>
  <c r="T76" i="127"/>
  <c r="V76" i="127"/>
  <c r="W69" i="126"/>
  <c r="U69" i="126"/>
  <c r="V81" i="126"/>
  <c r="U74" i="127"/>
  <c r="W74" i="127"/>
  <c r="AB52" i="126"/>
  <c r="U70" i="110"/>
  <c r="AB59" i="126"/>
  <c r="DK45" i="127"/>
  <c r="AB46" i="127"/>
  <c r="U74" i="110"/>
  <c r="U77" i="127"/>
  <c r="T60" i="126"/>
  <c r="V60" i="126"/>
  <c r="AA80" i="126"/>
  <c r="AA79" i="110"/>
  <c r="U61" i="110"/>
  <c r="W61" i="110"/>
  <c r="V76" i="126"/>
  <c r="T76" i="126"/>
  <c r="T81" i="127"/>
  <c r="AA67" i="126"/>
  <c r="V62" i="126"/>
  <c r="T62" i="126"/>
  <c r="AA52" i="110"/>
  <c r="AB51" i="110"/>
  <c r="AA66" i="110"/>
  <c r="U62" i="127"/>
  <c r="AA75" i="127"/>
  <c r="V75" i="127" s="1"/>
  <c r="AB81" i="127"/>
  <c r="W63" i="126"/>
  <c r="U48" i="110"/>
  <c r="W48" i="110"/>
  <c r="AA47" i="126"/>
  <c r="AB55" i="110"/>
  <c r="W55" i="110" s="1"/>
  <c r="AB85" i="127"/>
  <c r="W85" i="127" s="1"/>
  <c r="CO86" i="126"/>
  <c r="DJ45" i="126"/>
  <c r="DJ45" i="127"/>
  <c r="R17" i="127"/>
  <c r="S17" i="127"/>
  <c r="Q17" i="127"/>
  <c r="V17" i="127"/>
  <c r="Q51" i="127"/>
  <c r="AP50" i="133" s="1"/>
  <c r="R51" i="127"/>
  <c r="S51" i="127"/>
  <c r="R72" i="127"/>
  <c r="S72" i="127"/>
  <c r="Q72" i="127"/>
  <c r="AP71" i="133" s="1"/>
  <c r="S71" i="127"/>
  <c r="R71" i="127"/>
  <c r="Q71" i="127"/>
  <c r="AP70" i="133" s="1"/>
  <c r="S59" i="127"/>
  <c r="R59" i="127"/>
  <c r="Q59" i="127"/>
  <c r="AP58" i="133" s="1"/>
  <c r="W22" i="127"/>
  <c r="U16" i="126"/>
  <c r="CP86" i="126"/>
  <c r="AA90" i="126"/>
  <c r="T68" i="110"/>
  <c r="V68" i="110"/>
  <c r="U72" i="110"/>
  <c r="U80" i="110"/>
  <c r="W80" i="110"/>
  <c r="DK45" i="126"/>
  <c r="AB46" i="126"/>
  <c r="T61" i="127"/>
  <c r="V61" i="127"/>
  <c r="W50" i="126"/>
  <c r="U50" i="126"/>
  <c r="U72" i="126"/>
  <c r="W72" i="126"/>
  <c r="U54" i="127"/>
  <c r="W48" i="126"/>
  <c r="T43" i="127"/>
  <c r="V43" i="127"/>
  <c r="Q21" i="127"/>
  <c r="AP20" i="133" s="1"/>
  <c r="R21" i="127"/>
  <c r="S21" i="127"/>
  <c r="V21" i="127"/>
  <c r="DK45" i="110"/>
  <c r="Z6" i="126"/>
  <c r="U7" i="127"/>
  <c r="W7" i="127"/>
  <c r="U7" i="126"/>
  <c r="W7" i="126"/>
  <c r="U60" i="127"/>
  <c r="W60" i="127"/>
  <c r="W64" i="127"/>
  <c r="U64" i="127"/>
  <c r="U70" i="127"/>
  <c r="W70" i="127"/>
  <c r="T70" i="127"/>
  <c r="V70" i="127"/>
  <c r="DK86" i="126"/>
  <c r="AB90" i="126"/>
  <c r="CP91" i="126"/>
  <c r="AA93" i="126"/>
  <c r="V87" i="127"/>
  <c r="DK91" i="126"/>
  <c r="AB93" i="126"/>
  <c r="T88" i="127"/>
  <c r="V88" i="127"/>
  <c r="CP94" i="126"/>
  <c r="AA96" i="126"/>
  <c r="U93" i="127"/>
  <c r="W93" i="127"/>
  <c r="AB74" i="126"/>
  <c r="U82" i="127"/>
  <c r="AA82" i="126"/>
  <c r="AA53" i="110"/>
  <c r="V82" i="110"/>
  <c r="T82" i="110"/>
  <c r="T66" i="126"/>
  <c r="T67" i="110"/>
  <c r="T71" i="110"/>
  <c r="AA49" i="126"/>
  <c r="W77" i="126"/>
  <c r="U77" i="126"/>
  <c r="V69" i="126"/>
  <c r="AA51" i="110"/>
  <c r="AA74" i="110"/>
  <c r="T53" i="126"/>
  <c r="V53" i="126"/>
  <c r="U71" i="126"/>
  <c r="U68" i="110"/>
  <c r="T78" i="127"/>
  <c r="V78" i="127"/>
  <c r="V76" i="110"/>
  <c r="T76" i="110"/>
  <c r="AA77" i="110"/>
  <c r="T80" i="110"/>
  <c r="V80" i="110"/>
  <c r="U79" i="110"/>
  <c r="AA63" i="127"/>
  <c r="V59" i="110"/>
  <c r="T59" i="110"/>
  <c r="U67" i="110"/>
  <c r="W67" i="110"/>
  <c r="V62" i="110"/>
  <c r="T62" i="110"/>
  <c r="V64" i="110"/>
  <c r="T64" i="110"/>
  <c r="U82" i="110"/>
  <c r="W82" i="110"/>
  <c r="T60" i="110"/>
  <c r="U66" i="110"/>
  <c r="AB82" i="126"/>
  <c r="AB78" i="110"/>
  <c r="V48" i="126"/>
  <c r="T48" i="126"/>
  <c r="AA48" i="127"/>
  <c r="T47" i="127"/>
  <c r="V47" i="127"/>
  <c r="AA57" i="110"/>
  <c r="V57" i="110" s="1"/>
  <c r="AA58" i="110"/>
  <c r="V58" i="110" s="1"/>
  <c r="AA65" i="127"/>
  <c r="V65" i="127" s="1"/>
  <c r="AA55" i="126"/>
  <c r="V55" i="126" s="1"/>
  <c r="AB58" i="127"/>
  <c r="W58" i="127" s="1"/>
  <c r="U43" i="126"/>
  <c r="W43" i="126"/>
  <c r="CN44" i="126"/>
  <c r="CN41" i="126" s="1"/>
  <c r="CN5" i="126" s="1"/>
  <c r="U18" i="127"/>
  <c r="DJ86" i="127"/>
  <c r="CO45" i="127"/>
  <c r="S60" i="127"/>
  <c r="Q60" i="127"/>
  <c r="AP59" i="133" s="1"/>
  <c r="R60" i="127"/>
  <c r="S70" i="127"/>
  <c r="Q70" i="127"/>
  <c r="AP69" i="133" s="1"/>
  <c r="R70" i="127"/>
  <c r="S69" i="127"/>
  <c r="Q69" i="127"/>
  <c r="AP68" i="133" s="1"/>
  <c r="R69" i="127"/>
  <c r="BU6" i="127"/>
  <c r="Z16" i="127"/>
  <c r="AY6" i="126"/>
  <c r="Y16" i="126"/>
  <c r="W16" i="126" s="1"/>
  <c r="W69" i="127"/>
  <c r="U59" i="127"/>
  <c r="W59" i="127"/>
  <c r="T50" i="110"/>
  <c r="V50" i="110"/>
  <c r="W81" i="126"/>
  <c r="U81" i="126"/>
  <c r="V71" i="126"/>
  <c r="T70" i="110"/>
  <c r="U76" i="126"/>
  <c r="U50" i="110"/>
  <c r="AA6" i="127"/>
  <c r="DI44" i="127"/>
  <c r="DI41" i="127" s="1"/>
  <c r="DI5" i="127" s="1"/>
  <c r="S18" i="126"/>
  <c r="Q18" i="126"/>
  <c r="AO17" i="133" s="1"/>
  <c r="R18" i="126"/>
  <c r="V18" i="126"/>
  <c r="W21" i="127"/>
  <c r="U17" i="126"/>
  <c r="W17" i="126"/>
  <c r="U14" i="126"/>
  <c r="W14" i="126"/>
  <c r="T50" i="127"/>
  <c r="V50" i="127"/>
  <c r="V72" i="127"/>
  <c r="T67" i="127"/>
  <c r="V67" i="127"/>
  <c r="DK86" i="127"/>
  <c r="AB90" i="127"/>
  <c r="DK94" i="126"/>
  <c r="AB96" i="126"/>
  <c r="CP94" i="127"/>
  <c r="AA94" i="127" s="1"/>
  <c r="AA95" i="127"/>
  <c r="AB88" i="126"/>
  <c r="T96" i="127"/>
  <c r="V96" i="127"/>
  <c r="W52" i="110"/>
  <c r="U52" i="110"/>
  <c r="T82" i="127"/>
  <c r="V82" i="127"/>
  <c r="AB66" i="126"/>
  <c r="U59" i="110"/>
  <c r="V74" i="126"/>
  <c r="T74" i="126"/>
  <c r="AB49" i="110"/>
  <c r="U80" i="126"/>
  <c r="W80" i="126"/>
  <c r="V72" i="126"/>
  <c r="CP45" i="126"/>
  <c r="AA46" i="126"/>
  <c r="AB53" i="110"/>
  <c r="T69" i="110"/>
  <c r="AB60" i="110"/>
  <c r="T49" i="110"/>
  <c r="V49" i="110"/>
  <c r="U63" i="110"/>
  <c r="W63" i="110"/>
  <c r="AB77" i="110"/>
  <c r="AA63" i="126"/>
  <c r="U61" i="127"/>
  <c r="W61" i="127"/>
  <c r="T63" i="110"/>
  <c r="W60" i="126"/>
  <c r="U60" i="126"/>
  <c r="V78" i="110"/>
  <c r="T78" i="110"/>
  <c r="U69" i="110"/>
  <c r="V50" i="126"/>
  <c r="T50" i="126"/>
  <c r="AB63" i="127"/>
  <c r="V70" i="126"/>
  <c r="T70" i="126"/>
  <c r="AA51" i="126"/>
  <c r="U47" i="126"/>
  <c r="U47" i="110"/>
  <c r="T47" i="110"/>
  <c r="V47" i="110"/>
  <c r="AB83" i="110"/>
  <c r="AB84" i="126"/>
  <c r="W84" i="126" s="1"/>
  <c r="AA56" i="127"/>
  <c r="V56" i="127" s="1"/>
  <c r="AA58" i="126"/>
  <c r="V58" i="126" s="1"/>
  <c r="AA43" i="126"/>
  <c r="AA6" i="126"/>
  <c r="DK6" i="127"/>
  <c r="AB16" i="127"/>
  <c r="T16" i="127"/>
  <c r="DJ86" i="126"/>
  <c r="AZ16" i="127"/>
  <c r="Y18" i="127"/>
  <c r="S68" i="127"/>
  <c r="R68" i="127"/>
  <c r="Q68" i="127"/>
  <c r="AP67" i="133" s="1"/>
  <c r="S64" i="127"/>
  <c r="R64" i="127"/>
  <c r="Q64" i="127"/>
  <c r="AP63" i="133" s="1"/>
  <c r="R67" i="127"/>
  <c r="S67" i="127"/>
  <c r="Q67" i="127"/>
  <c r="AP66" i="133" s="1"/>
  <c r="R23" i="127"/>
  <c r="S23" i="127"/>
  <c r="Q23" i="127"/>
  <c r="AP22" i="133" s="1"/>
  <c r="V23" i="127"/>
  <c r="DI44" i="126"/>
  <c r="DI41" i="126" s="1"/>
  <c r="DI5" i="126" s="1"/>
  <c r="R49" i="126"/>
  <c r="S49" i="126"/>
  <c r="Q49" i="126"/>
  <c r="AO48" i="133" s="1"/>
  <c r="U14" i="127"/>
  <c r="W14" i="127"/>
  <c r="BT41" i="126"/>
  <c r="Z41" i="126" s="1"/>
  <c r="Z44" i="126"/>
  <c r="DK6" i="126"/>
  <c r="AB24" i="126"/>
  <c r="W24" i="126" s="1"/>
  <c r="AY44" i="126"/>
  <c r="Y45" i="126"/>
  <c r="W13" i="127"/>
  <c r="U13" i="127"/>
  <c r="BU44" i="127"/>
  <c r="Z45" i="127"/>
  <c r="BU5" i="110"/>
  <c r="Z5" i="110" s="1"/>
  <c r="Z6" i="110"/>
  <c r="AB24" i="110"/>
  <c r="DK6" i="110"/>
  <c r="AA6" i="110"/>
  <c r="AB7" i="110"/>
  <c r="W7" i="110" s="1"/>
  <c r="U18" i="110"/>
  <c r="AZ24" i="110"/>
  <c r="AZ6" i="110" s="1"/>
  <c r="AB89" i="110"/>
  <c r="AO16" i="133"/>
  <c r="Q45" i="110"/>
  <c r="AN44" i="133" s="1"/>
  <c r="R45" i="110"/>
  <c r="AA89" i="110"/>
  <c r="S45" i="110"/>
  <c r="DI44" i="110"/>
  <c r="DI41" i="110" s="1"/>
  <c r="DI5" i="110" s="1"/>
  <c r="CN44" i="110"/>
  <c r="CN41" i="110" s="1"/>
  <c r="CN5" i="110" s="1"/>
  <c r="DK94" i="110"/>
  <c r="U14" i="110"/>
  <c r="AB90" i="110"/>
  <c r="W90" i="110" s="1"/>
  <c r="AA90" i="110"/>
  <c r="U13" i="110"/>
  <c r="W13" i="110"/>
  <c r="AA46" i="110"/>
  <c r="AB46" i="110"/>
  <c r="W8" i="110"/>
  <c r="U8" i="110"/>
  <c r="CP86" i="110"/>
  <c r="T7" i="110"/>
  <c r="C20" i="138" s="1"/>
  <c r="CP94" i="110"/>
  <c r="DK86" i="110"/>
  <c r="DK91" i="110"/>
  <c r="CO94" i="110"/>
  <c r="CO86" i="110"/>
  <c r="DJ94" i="110"/>
  <c r="DJ86" i="110"/>
  <c r="DJ91" i="110"/>
  <c r="CO91" i="110"/>
  <c r="CP91" i="110"/>
  <c r="AA43" i="110"/>
  <c r="AA96" i="110"/>
  <c r="T96" i="110" s="1"/>
  <c r="AA93" i="110"/>
  <c r="V93" i="110" s="1"/>
  <c r="AA95" i="110"/>
  <c r="AB95" i="110"/>
  <c r="AB87" i="110"/>
  <c r="AB92" i="110"/>
  <c r="AB96" i="110"/>
  <c r="AA87" i="110"/>
  <c r="AA88" i="110"/>
  <c r="AB93" i="110"/>
  <c r="AB43" i="110"/>
  <c r="AA92" i="110"/>
  <c r="AB88" i="110"/>
  <c r="R16" i="110"/>
  <c r="C96" i="138" s="1"/>
  <c r="S16" i="110"/>
  <c r="C97" i="138" s="1"/>
  <c r="Q16" i="110"/>
  <c r="C95" i="138" s="1"/>
  <c r="W16" i="110"/>
  <c r="V16" i="110"/>
  <c r="C99" i="138" s="1"/>
  <c r="T16" i="110"/>
  <c r="C98" i="138" s="1"/>
  <c r="W43" i="127" l="1"/>
  <c r="T54" i="110"/>
  <c r="U80" i="127"/>
  <c r="V83" i="110"/>
  <c r="T83" i="110"/>
  <c r="W83" i="110"/>
  <c r="U83" i="110"/>
  <c r="W85" i="110"/>
  <c r="U85" i="110"/>
  <c r="W79" i="127"/>
  <c r="W66" i="127"/>
  <c r="W52" i="127"/>
  <c r="T64" i="126"/>
  <c r="T61" i="126"/>
  <c r="U87" i="127"/>
  <c r="T62" i="127"/>
  <c r="V52" i="127"/>
  <c r="W49" i="127"/>
  <c r="W67" i="126"/>
  <c r="U54" i="126"/>
  <c r="W89" i="127"/>
  <c r="T51" i="127"/>
  <c r="V77" i="127"/>
  <c r="T71" i="127"/>
  <c r="AB94" i="126"/>
  <c r="W94" i="126" s="1"/>
  <c r="V74" i="127"/>
  <c r="AA91" i="126"/>
  <c r="T91" i="126" s="1"/>
  <c r="T93" i="127"/>
  <c r="W62" i="126"/>
  <c r="V95" i="126"/>
  <c r="W68" i="127"/>
  <c r="V68" i="126"/>
  <c r="W50" i="127"/>
  <c r="T60" i="127"/>
  <c r="W61" i="126"/>
  <c r="W53" i="127"/>
  <c r="V87" i="126"/>
  <c r="T80" i="127"/>
  <c r="W79" i="126"/>
  <c r="V61" i="110"/>
  <c r="W64" i="126"/>
  <c r="T79" i="127"/>
  <c r="U53" i="126"/>
  <c r="U95" i="126"/>
  <c r="CO44" i="127"/>
  <c r="CO41" i="127" s="1"/>
  <c r="CO5" i="127" s="1"/>
  <c r="V54" i="127"/>
  <c r="T69" i="127"/>
  <c r="W51" i="127"/>
  <c r="W88" i="127"/>
  <c r="V89" i="127"/>
  <c r="AB91" i="126"/>
  <c r="W91" i="126" s="1"/>
  <c r="AA91" i="127"/>
  <c r="V91" i="127" s="1"/>
  <c r="AN43" i="133"/>
  <c r="W87" i="126"/>
  <c r="T78" i="126"/>
  <c r="AB91" i="127"/>
  <c r="W91" i="127" s="1"/>
  <c r="W89" i="126"/>
  <c r="AB86" i="127"/>
  <c r="W86" i="127" s="1"/>
  <c r="S41" i="110"/>
  <c r="U81" i="110"/>
  <c r="R41" i="110"/>
  <c r="AA45" i="126"/>
  <c r="T45" i="126" s="1"/>
  <c r="W68" i="126"/>
  <c r="U71" i="127"/>
  <c r="T52" i="126"/>
  <c r="W78" i="126"/>
  <c r="T79" i="126"/>
  <c r="U48" i="127"/>
  <c r="AX5" i="110"/>
  <c r="W71" i="110"/>
  <c r="AN15" i="133"/>
  <c r="W78" i="127"/>
  <c r="AA94" i="126"/>
  <c r="V94" i="126" s="1"/>
  <c r="T66" i="127"/>
  <c r="CO44" i="126"/>
  <c r="CO41" i="126" s="1"/>
  <c r="CO5" i="126" s="1"/>
  <c r="W47" i="127"/>
  <c r="W54" i="110"/>
  <c r="U49" i="126"/>
  <c r="DJ44" i="127"/>
  <c r="DJ41" i="127" s="1"/>
  <c r="DJ5" i="127" s="1"/>
  <c r="AA86" i="127"/>
  <c r="V86" i="127" s="1"/>
  <c r="V51" i="126"/>
  <c r="T51" i="126"/>
  <c r="Y6" i="126"/>
  <c r="V6" i="126" s="1"/>
  <c r="T51" i="110"/>
  <c r="V51" i="110"/>
  <c r="U74" i="126"/>
  <c r="W74" i="126"/>
  <c r="T66" i="110"/>
  <c r="V66" i="110"/>
  <c r="T92" i="127"/>
  <c r="V92" i="127"/>
  <c r="U53" i="110"/>
  <c r="W53" i="110"/>
  <c r="W96" i="126"/>
  <c r="U96" i="126"/>
  <c r="V63" i="127"/>
  <c r="T63" i="127"/>
  <c r="T49" i="126"/>
  <c r="V49" i="126"/>
  <c r="U93" i="126"/>
  <c r="W93" i="126"/>
  <c r="W51" i="110"/>
  <c r="U51" i="110"/>
  <c r="W94" i="127"/>
  <c r="U94" i="127"/>
  <c r="AZ44" i="127"/>
  <c r="Y45" i="127"/>
  <c r="CP44" i="127"/>
  <c r="AA45" i="127"/>
  <c r="BU41" i="127"/>
  <c r="Z41" i="127" s="1"/>
  <c r="Z44" i="127"/>
  <c r="AY41" i="126"/>
  <c r="Y41" i="126" s="1"/>
  <c r="S41" i="126" s="1"/>
  <c r="Y44" i="126"/>
  <c r="R18" i="127"/>
  <c r="Q18" i="127"/>
  <c r="AP17" i="133" s="1"/>
  <c r="S18" i="127"/>
  <c r="V18" i="127"/>
  <c r="W60" i="110"/>
  <c r="U60" i="110"/>
  <c r="T46" i="126"/>
  <c r="V46" i="126"/>
  <c r="W49" i="110"/>
  <c r="U49" i="110"/>
  <c r="T94" i="127"/>
  <c r="V94" i="127"/>
  <c r="Z6" i="127"/>
  <c r="W18" i="127"/>
  <c r="T48" i="127"/>
  <c r="V48" i="127"/>
  <c r="W82" i="126"/>
  <c r="U82" i="126"/>
  <c r="V53" i="110"/>
  <c r="T53" i="110"/>
  <c r="V91" i="126"/>
  <c r="BT5" i="126"/>
  <c r="Z5" i="126" s="1"/>
  <c r="U46" i="126"/>
  <c r="W46" i="126"/>
  <c r="V90" i="126"/>
  <c r="T90" i="126"/>
  <c r="T79" i="110"/>
  <c r="V79" i="110"/>
  <c r="U46" i="127"/>
  <c r="W46" i="127"/>
  <c r="U59" i="126"/>
  <c r="W59" i="126"/>
  <c r="T72" i="110"/>
  <c r="V72" i="110"/>
  <c r="U96" i="127"/>
  <c r="W96" i="127"/>
  <c r="U92" i="127"/>
  <c r="W92" i="127"/>
  <c r="V59" i="127"/>
  <c r="T59" i="127"/>
  <c r="AB6" i="126"/>
  <c r="AB6" i="127"/>
  <c r="V63" i="126"/>
  <c r="T63" i="126"/>
  <c r="U88" i="126"/>
  <c r="W88" i="126"/>
  <c r="T77" i="110"/>
  <c r="V77" i="110"/>
  <c r="DK44" i="126"/>
  <c r="AB86" i="126"/>
  <c r="W81" i="127"/>
  <c r="U81" i="127"/>
  <c r="T52" i="110"/>
  <c r="V52" i="110"/>
  <c r="U95" i="127"/>
  <c r="W95" i="127"/>
  <c r="T90" i="127"/>
  <c r="V90" i="127"/>
  <c r="V68" i="127"/>
  <c r="T68" i="127"/>
  <c r="Q49" i="127"/>
  <c r="AP48" i="133" s="1"/>
  <c r="R49" i="127"/>
  <c r="S49" i="127"/>
  <c r="V46" i="127"/>
  <c r="T46" i="127"/>
  <c r="V49" i="127"/>
  <c r="S45" i="126"/>
  <c r="R45" i="126"/>
  <c r="Q45" i="126"/>
  <c r="AO44" i="133" s="1"/>
  <c r="T6" i="126"/>
  <c r="U66" i="126"/>
  <c r="W66" i="126"/>
  <c r="T95" i="127"/>
  <c r="V95" i="127"/>
  <c r="U78" i="110"/>
  <c r="W78" i="110"/>
  <c r="T93" i="126"/>
  <c r="V93" i="126"/>
  <c r="DJ44" i="126"/>
  <c r="DJ41" i="126" s="1"/>
  <c r="DJ5" i="126" s="1"/>
  <c r="U52" i="126"/>
  <c r="W52" i="126"/>
  <c r="U72" i="127"/>
  <c r="W72" i="127"/>
  <c r="AZ6" i="127"/>
  <c r="Y16" i="127"/>
  <c r="W16" i="127" s="1"/>
  <c r="U16" i="127"/>
  <c r="V43" i="126"/>
  <c r="T43" i="126"/>
  <c r="U63" i="127"/>
  <c r="W63" i="127"/>
  <c r="W77" i="110"/>
  <c r="U77" i="110"/>
  <c r="U90" i="127"/>
  <c r="W90" i="127"/>
  <c r="T6" i="127"/>
  <c r="Q16" i="126"/>
  <c r="AO15" i="133" s="1"/>
  <c r="R16" i="126"/>
  <c r="S16" i="126"/>
  <c r="V16" i="126"/>
  <c r="T74" i="110"/>
  <c r="V74" i="110"/>
  <c r="T82" i="126"/>
  <c r="V82" i="126"/>
  <c r="T96" i="126"/>
  <c r="V96" i="126"/>
  <c r="U90" i="126"/>
  <c r="W90" i="126"/>
  <c r="AB45" i="126"/>
  <c r="CP44" i="126"/>
  <c r="AA86" i="126"/>
  <c r="V47" i="126"/>
  <c r="T47" i="126"/>
  <c r="V67" i="126"/>
  <c r="T67" i="126"/>
  <c r="V80" i="126"/>
  <c r="T80" i="126"/>
  <c r="DK44" i="127"/>
  <c r="AB45" i="127"/>
  <c r="V77" i="126"/>
  <c r="T77" i="126"/>
  <c r="V88" i="126"/>
  <c r="T88" i="126"/>
  <c r="U67" i="127"/>
  <c r="W67" i="127"/>
  <c r="S44" i="110"/>
  <c r="C232" i="138" s="1"/>
  <c r="AZ5" i="110"/>
  <c r="Y6" i="110"/>
  <c r="AB6" i="110"/>
  <c r="T43" i="110"/>
  <c r="R44" i="110"/>
  <c r="C231" i="138" s="1"/>
  <c r="U7" i="110"/>
  <c r="W89" i="110"/>
  <c r="U89" i="110"/>
  <c r="V89" i="110"/>
  <c r="T89" i="110"/>
  <c r="AP16" i="133"/>
  <c r="Y24" i="110"/>
  <c r="CO44" i="110"/>
  <c r="CO41" i="110" s="1"/>
  <c r="CO5" i="110" s="1"/>
  <c r="DJ44" i="110"/>
  <c r="DJ41" i="110" s="1"/>
  <c r="DJ5" i="110" s="1"/>
  <c r="DK44" i="110"/>
  <c r="DK41" i="110" s="1"/>
  <c r="CP44" i="110"/>
  <c r="CP41" i="110" s="1"/>
  <c r="U90" i="110"/>
  <c r="T90" i="110"/>
  <c r="V90" i="110"/>
  <c r="U46" i="110"/>
  <c r="W46" i="110"/>
  <c r="T46" i="110"/>
  <c r="V46" i="110"/>
  <c r="AA91" i="110"/>
  <c r="T91" i="110" s="1"/>
  <c r="AB86" i="110"/>
  <c r="W86" i="110" s="1"/>
  <c r="AA86" i="110"/>
  <c r="V86" i="110" s="1"/>
  <c r="T93" i="110"/>
  <c r="AB94" i="110"/>
  <c r="W94" i="110" s="1"/>
  <c r="V96" i="110"/>
  <c r="V43" i="110"/>
  <c r="C251" i="138" s="1"/>
  <c r="AA94" i="110"/>
  <c r="V94" i="110" s="1"/>
  <c r="U96" i="110"/>
  <c r="W96" i="110"/>
  <c r="U93" i="110"/>
  <c r="W93" i="110"/>
  <c r="T92" i="110"/>
  <c r="V92" i="110"/>
  <c r="AB91" i="110"/>
  <c r="U88" i="110"/>
  <c r="W88" i="110"/>
  <c r="T88" i="110"/>
  <c r="V88" i="110"/>
  <c r="U87" i="110"/>
  <c r="W87" i="110"/>
  <c r="U95" i="110"/>
  <c r="W95" i="110"/>
  <c r="U43" i="110"/>
  <c r="W43" i="110"/>
  <c r="AA45" i="110"/>
  <c r="T87" i="110"/>
  <c r="V87" i="110"/>
  <c r="U92" i="110"/>
  <c r="W92" i="110"/>
  <c r="T95" i="110"/>
  <c r="V95" i="110"/>
  <c r="AB45" i="110"/>
  <c r="U91" i="126" l="1"/>
  <c r="T94" i="126"/>
  <c r="U94" i="126"/>
  <c r="U91" i="127"/>
  <c r="T91" i="127"/>
  <c r="V45" i="126"/>
  <c r="T86" i="127"/>
  <c r="U86" i="127"/>
  <c r="Y5" i="110"/>
  <c r="Y6" i="127"/>
  <c r="W6" i="127" s="1"/>
  <c r="Q45" i="127"/>
  <c r="AP44" i="133" s="1"/>
  <c r="R45" i="127"/>
  <c r="S45" i="127"/>
  <c r="AZ41" i="127"/>
  <c r="Y41" i="127" s="1"/>
  <c r="Y44" i="127"/>
  <c r="W45" i="127"/>
  <c r="U45" i="127"/>
  <c r="V86" i="126"/>
  <c r="T86" i="126"/>
  <c r="DK41" i="126"/>
  <c r="AB44" i="126"/>
  <c r="BU5" i="127"/>
  <c r="Z5" i="127" s="1"/>
  <c r="R44" i="126"/>
  <c r="S44" i="126"/>
  <c r="Q44" i="126"/>
  <c r="V45" i="127"/>
  <c r="T45" i="127"/>
  <c r="R6" i="126"/>
  <c r="Q6" i="126"/>
  <c r="AO5" i="133" s="1"/>
  <c r="C9" i="125" s="1"/>
  <c r="S6" i="126"/>
  <c r="W45" i="126"/>
  <c r="U45" i="126"/>
  <c r="W86" i="126"/>
  <c r="U86" i="126"/>
  <c r="W6" i="126"/>
  <c r="U6" i="126"/>
  <c r="DK41" i="127"/>
  <c r="AB44" i="127"/>
  <c r="CP41" i="126"/>
  <c r="AA44" i="126"/>
  <c r="R16" i="127"/>
  <c r="Q16" i="127"/>
  <c r="AP15" i="133" s="1"/>
  <c r="S16" i="127"/>
  <c r="V16" i="127"/>
  <c r="U6" i="127"/>
  <c r="R41" i="126"/>
  <c r="Q41" i="126"/>
  <c r="AO40" i="133" s="1"/>
  <c r="C10" i="125" s="1"/>
  <c r="CP41" i="127"/>
  <c r="AA44" i="127"/>
  <c r="AY5" i="126"/>
  <c r="Y5" i="126" s="1"/>
  <c r="AB41" i="110"/>
  <c r="DK5" i="110"/>
  <c r="AB5" i="110" s="1"/>
  <c r="AA41" i="110"/>
  <c r="T41" i="110" s="1"/>
  <c r="CP5" i="110"/>
  <c r="AA5" i="110" s="1"/>
  <c r="R6" i="110"/>
  <c r="C173" i="138" s="1"/>
  <c r="S6" i="110"/>
  <c r="C174" i="138" s="1"/>
  <c r="Q6" i="110"/>
  <c r="R24" i="110"/>
  <c r="C113" i="138" s="1"/>
  <c r="V24" i="110"/>
  <c r="C116" i="138" s="1"/>
  <c r="S24" i="110"/>
  <c r="C114" i="138" s="1"/>
  <c r="Q24" i="110"/>
  <c r="W24" i="110"/>
  <c r="U94" i="110"/>
  <c r="V91" i="110"/>
  <c r="T86" i="110"/>
  <c r="U86" i="110"/>
  <c r="T94" i="110"/>
  <c r="U45" i="110"/>
  <c r="W45" i="110"/>
  <c r="AA44" i="110"/>
  <c r="AB44" i="110"/>
  <c r="T45" i="110"/>
  <c r="V45" i="110"/>
  <c r="U91" i="110"/>
  <c r="W91" i="110"/>
  <c r="AN23" i="133" l="1"/>
  <c r="C112" i="138"/>
  <c r="AN5" i="133"/>
  <c r="B9" i="125" s="1"/>
  <c r="C172" i="138"/>
  <c r="V44" i="126"/>
  <c r="T44" i="126"/>
  <c r="AB41" i="126"/>
  <c r="DK5" i="126"/>
  <c r="AB5" i="126" s="1"/>
  <c r="Q5" i="126"/>
  <c r="S5" i="126"/>
  <c r="R5" i="126"/>
  <c r="Q44" i="127"/>
  <c r="AP43" i="133" s="1"/>
  <c r="S44" i="127"/>
  <c r="R44" i="127"/>
  <c r="V44" i="127"/>
  <c r="T44" i="127"/>
  <c r="W44" i="127"/>
  <c r="U44" i="127"/>
  <c r="R41" i="127"/>
  <c r="S41" i="127"/>
  <c r="Q41" i="127"/>
  <c r="AP40" i="133" s="1"/>
  <c r="D10" i="125" s="1"/>
  <c r="Q6" i="127"/>
  <c r="AP5" i="133" s="1"/>
  <c r="D9" i="125" s="1"/>
  <c r="R6" i="127"/>
  <c r="S6" i="127"/>
  <c r="V6" i="127"/>
  <c r="AA41" i="126"/>
  <c r="CP5" i="126"/>
  <c r="AA5" i="126" s="1"/>
  <c r="AA41" i="127"/>
  <c r="CP5" i="127"/>
  <c r="AA5" i="127" s="1"/>
  <c r="AB41" i="127"/>
  <c r="DK5" i="127"/>
  <c r="AB5" i="127" s="1"/>
  <c r="W44" i="126"/>
  <c r="U44" i="126"/>
  <c r="AZ5" i="127"/>
  <c r="Y5" i="127" s="1"/>
  <c r="V41" i="110"/>
  <c r="W41" i="110"/>
  <c r="U41" i="110"/>
  <c r="R5" i="110"/>
  <c r="Q5" i="110"/>
  <c r="S5" i="110"/>
  <c r="T44" i="110"/>
  <c r="C233" i="138" s="1"/>
  <c r="V44" i="110"/>
  <c r="C234" i="138" s="1"/>
  <c r="U5" i="110"/>
  <c r="W5" i="110"/>
  <c r="U44" i="110"/>
  <c r="W44" i="110"/>
  <c r="V5" i="110"/>
  <c r="T5" i="110"/>
  <c r="AN4" i="133" l="1"/>
  <c r="B11" i="125" s="1"/>
  <c r="U5" i="126"/>
  <c r="W5" i="126"/>
  <c r="V5" i="126"/>
  <c r="T5" i="126"/>
  <c r="W41" i="126"/>
  <c r="U41" i="126"/>
  <c r="R5" i="127"/>
  <c r="S5" i="127"/>
  <c r="Q5" i="127"/>
  <c r="AP4" i="133" s="1"/>
  <c r="D11" i="125" s="1"/>
  <c r="U41" i="127"/>
  <c r="W41" i="127"/>
  <c r="T41" i="126"/>
  <c r="V41" i="126"/>
  <c r="T41" i="127"/>
  <c r="V41" i="127"/>
  <c r="W5" i="127"/>
  <c r="U5" i="127"/>
  <c r="V5" i="127"/>
  <c r="T5" i="127"/>
  <c r="V6" i="110"/>
  <c r="C176" i="138" s="1"/>
  <c r="T6" i="110"/>
  <c r="C175" i="138" s="1"/>
  <c r="W6" i="110"/>
  <c r="U6" i="110"/>
  <c r="B51" i="125"/>
  <c r="B5" i="125"/>
  <c r="E51" i="125" l="1"/>
  <c r="H29" i="135" l="1"/>
  <c r="H29" i="136"/>
  <c r="K29" i="136" s="1"/>
  <c r="B4" i="125"/>
  <c r="B38" i="125"/>
  <c r="AO43" i="133" l="1"/>
  <c r="AO4" i="133" l="1"/>
  <c r="C11" i="125" s="1"/>
  <c r="E38" i="125"/>
  <c r="H28" i="136" l="1"/>
  <c r="H28" i="135"/>
  <c r="H30" i="135" s="1"/>
  <c r="H32" i="135" s="1"/>
  <c r="H34" i="135" s="1"/>
  <c r="H36" i="135" s="1"/>
  <c r="D5" i="125"/>
  <c r="D4" i="125"/>
  <c r="D51" i="125"/>
  <c r="D38" i="125"/>
  <c r="C38" i="125"/>
  <c r="C51" i="125"/>
  <c r="H30" i="136" l="1"/>
  <c r="H32" i="136" s="1"/>
  <c r="H34" i="136" s="1"/>
  <c r="H36" i="136" s="1"/>
  <c r="H39" i="136" s="1"/>
  <c r="H45" i="136" s="1"/>
  <c r="K28" i="136"/>
  <c r="K30" i="136" s="1"/>
  <c r="C5" i="125"/>
  <c r="C4" i="125"/>
  <c r="E5" i="125" l="1"/>
  <c r="F5" i="125" l="1"/>
  <c r="F29" i="134"/>
  <c r="E4" i="125"/>
  <c r="F4" i="125" l="1"/>
  <c r="F28" i="134"/>
  <c r="F30" i="134" s="1"/>
  <c r="F32" i="134" s="1"/>
  <c r="F34" i="134" s="1"/>
  <c r="F36" i="134" s="1"/>
</calcChain>
</file>

<file path=xl/comments1.xml><?xml version="1.0" encoding="utf-8"?>
<comments xmlns="http://schemas.openxmlformats.org/spreadsheetml/2006/main">
  <authors>
    <author>Martinez, Don</author>
  </authors>
  <commentList>
    <comment ref="F22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See L24.  Estimated amount will be $188,940 and will use $200,00 for the Summary.
</t>
        </r>
      </text>
    </comment>
  </commentList>
</comments>
</file>

<file path=xl/comments2.xml><?xml version="1.0" encoding="utf-8"?>
<comments xmlns="http://schemas.openxmlformats.org/spreadsheetml/2006/main">
  <authors>
    <author>Martinez, Don</author>
  </authors>
  <commentList>
    <comment ref="F22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See L24.  Estimated amount will be $195,757 and will use $200,00 for the Summary.
</t>
        </r>
      </text>
    </comment>
  </commentList>
</comments>
</file>

<file path=xl/comments3.xml><?xml version="1.0" encoding="utf-8"?>
<comments xmlns="http://schemas.openxmlformats.org/spreadsheetml/2006/main">
  <authors>
    <author>Martinez, Don</author>
  </authors>
  <commentList>
    <comment ref="F22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See L24.  Estimated amount will be $195,757 and will use $200,00 for the Summary.
</t>
        </r>
      </text>
    </comment>
  </commentList>
</comments>
</file>

<file path=xl/sharedStrings.xml><?xml version="1.0" encoding="utf-8"?>
<sst xmlns="http://schemas.openxmlformats.org/spreadsheetml/2006/main" count="2789" uniqueCount="675">
  <si>
    <t>ENERGY STAR Dehumidifier</t>
  </si>
  <si>
    <t>ENERGY STAR Refrigerator</t>
  </si>
  <si>
    <t>Measure Life</t>
  </si>
  <si>
    <t>Admin</t>
  </si>
  <si>
    <t>Eval</t>
  </si>
  <si>
    <t>Delivery</t>
  </si>
  <si>
    <t>Market</t>
  </si>
  <si>
    <t>Incremental Cost</t>
  </si>
  <si>
    <t>Exit Sign</t>
  </si>
  <si>
    <t>VFD</t>
  </si>
  <si>
    <t>CFL</t>
  </si>
  <si>
    <t>LED</t>
  </si>
  <si>
    <t>Residential</t>
  </si>
  <si>
    <t>Chiller</t>
  </si>
  <si>
    <t>Wall Insulation</t>
  </si>
  <si>
    <t>Air Sealing</t>
  </si>
  <si>
    <t>Low Flow Showerhead</t>
  </si>
  <si>
    <t>Lighting Controls</t>
  </si>
  <si>
    <t>CAC 65 - 135 kBtuh</t>
  </si>
  <si>
    <t>CAC 135 - 240 kBtuh</t>
  </si>
  <si>
    <t>Split Package Heat Pump</t>
  </si>
  <si>
    <t>Single System Heat Pump</t>
  </si>
  <si>
    <t>Attic Insulation</t>
  </si>
  <si>
    <t>High Performance T8</t>
  </si>
  <si>
    <t>CAC 240 - 760 kBtuh</t>
  </si>
  <si>
    <t>CAC &gt;760 kBtuh</t>
  </si>
  <si>
    <t>CAC SEER 15</t>
  </si>
  <si>
    <t>CAC SEER 16</t>
  </si>
  <si>
    <t>Heat Pump SEER 16</t>
  </si>
  <si>
    <t>Heat Pump SEER 15</t>
  </si>
  <si>
    <t>Faucet Aerator - Kitchen</t>
  </si>
  <si>
    <t>Faucet Aerator - Bathroom</t>
  </si>
  <si>
    <t>Advanced Power Strip</t>
  </si>
  <si>
    <t>Geothermal EER ≥21</t>
  </si>
  <si>
    <t>Water Heater Temperature Setback</t>
  </si>
  <si>
    <t>C&amp;I Prescriptive</t>
  </si>
  <si>
    <t>$/Ton</t>
  </si>
  <si>
    <t>Ductless Mini-Split SEER 21</t>
  </si>
  <si>
    <t>Water Heater Tank Wrap</t>
  </si>
  <si>
    <t>Hot Water Pipe Insulation</t>
  </si>
  <si>
    <t>Illinois</t>
  </si>
  <si>
    <t>Lifetime (years)</t>
  </si>
  <si>
    <t>kWh Saved per Unit</t>
  </si>
  <si>
    <t>Coincidence Factor</t>
  </si>
  <si>
    <t>Ohio</t>
  </si>
  <si>
    <t>Annual Operating Hours</t>
  </si>
  <si>
    <t>Energy Savings Factor</t>
  </si>
  <si>
    <t>Motor Efficiency</t>
  </si>
  <si>
    <t>Horsepower</t>
  </si>
  <si>
    <t>Variable Frequency Drive</t>
  </si>
  <si>
    <t>Arkansas</t>
  </si>
  <si>
    <t>New Motor Efficiency</t>
  </si>
  <si>
    <t>Existing Motor Efficiency</t>
  </si>
  <si>
    <t>Motors</t>
  </si>
  <si>
    <t>Tons</t>
  </si>
  <si>
    <t>Mass</t>
  </si>
  <si>
    <t>Michigan</t>
  </si>
  <si>
    <t>CEE</t>
  </si>
  <si>
    <t>Standard Unit HSPF/COP</t>
  </si>
  <si>
    <t>Efficient Unit SEER/EER</t>
  </si>
  <si>
    <t>Standard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</si>
  <si>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</si>
  <si>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</si>
  <si>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</si>
  <si>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</si>
  <si>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</si>
  <si>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</si>
  <si>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</si>
  <si>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</si>
  <si>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&gt;760 kBtuh</t>
  </si>
  <si>
    <t>240 - 760 kBtuh</t>
  </si>
  <si>
    <t>135 - 240 kBtuh</t>
  </si>
  <si>
    <t>65 - 135 kBtuh</t>
  </si>
  <si>
    <t>Central Air Conditioners</t>
  </si>
  <si>
    <t>PSC Colorado</t>
  </si>
  <si>
    <t>Wattspost</t>
  </si>
  <si>
    <t>Wattspre</t>
  </si>
  <si>
    <t>LED Exit Sign</t>
  </si>
  <si>
    <t>Efficient Watts</t>
  </si>
  <si>
    <t>Incandescent Watts</t>
  </si>
  <si>
    <t>Incandescent</t>
  </si>
  <si>
    <t>LED Bulb</t>
  </si>
  <si>
    <t>CFL Bulb</t>
  </si>
  <si>
    <t>In-Service Rate</t>
  </si>
  <si>
    <t>Inefficient Watts</t>
  </si>
  <si>
    <t>Metal Halide</t>
  </si>
  <si>
    <t>Base</t>
  </si>
  <si>
    <t>High Bay Fluorescent Fixture</t>
  </si>
  <si>
    <t>Office</t>
  </si>
  <si>
    <t>Measure</t>
  </si>
  <si>
    <t>Sector</t>
  </si>
  <si>
    <t>Public Service Company of Colorado. (February 2012). 2012/2013 Demand-Side Management Plan: Electric &amp; Natural Gas.  Docket No. 11A-631EG.</t>
  </si>
  <si>
    <t>Public Utilities Commission of Ohio (2010). State of Ohio Energy Efficiency Technical Reference Manual. Prepared by Vermont Energy Investment Corporation.</t>
  </si>
  <si>
    <t>NYSERDA (2011). Advanced Power Strip Research Report. Prepared by Lockheed Martin and Energy Solutions.</t>
  </si>
  <si>
    <t>NYSERDA</t>
  </si>
  <si>
    <t>NMR Group, Inc. (2011). Massachusetts Appliance Turn-In Program Impact Evaluation.</t>
  </si>
  <si>
    <t>NMR</t>
  </si>
  <si>
    <t>New York Standard Approach for Estimating Energy Savings from Energy Efficiency Programs (October 15, 2010).</t>
  </si>
  <si>
    <t>New York</t>
  </si>
  <si>
    <t>Michigan Public Service Commission (2013). Michigan Energy Measures Database.  Prepared by Morgan Marketing Partners.</t>
  </si>
  <si>
    <t>Mass Save (2010). Massachusetts Technical Reference Manual for Estimating Savings from Energy Efficiency Measures. 2011 Program Year.</t>
  </si>
  <si>
    <t>State of Illinois. Energy Efficiency Technical Reference Manual (2012).</t>
  </si>
  <si>
    <t>ENERGY STAR. Revisions to Existing Specifications. www.energystar.gov/; ENERGY STAR. Qualified Product Savings Calculator. https://www.energystar.gov/index.cfm?c=products.pr_find_es_products</t>
  </si>
  <si>
    <t>ENERGY STAR</t>
  </si>
  <si>
    <t>U.S. Department of Energy. Building Technologies Program: Residential Products.  www1.eere.energy.gov/buildings/appliance_standards/residential_products.html</t>
  </si>
  <si>
    <t>DOE</t>
  </si>
  <si>
    <t>Connecticut Energy Efficiency Fund. Connecticut Program Savings Documentation for 2012 Program Year.</t>
  </si>
  <si>
    <t>CT</t>
  </si>
  <si>
    <t>Consortium for Energy Efficiency. High-Efficiency Commercial Air Conditioning and Heat Pump Initiative. http://www.cee1.org/com/hecac/hecac-main.php3</t>
  </si>
  <si>
    <t>Frontier Associates, LLC (2010). Arkansas Comprehensive Programs Deemed Savings. Prepared by Nexant.</t>
  </si>
  <si>
    <t>American Council for and Energy-Efficient Economy.  Water Heating. http://aceee.org/consumer/water-heating</t>
  </si>
  <si>
    <t>ACEEE</t>
  </si>
  <si>
    <t>C&amp;I</t>
  </si>
  <si>
    <t>Heat Pump &gt;240 kBtuh</t>
  </si>
  <si>
    <t>Heat Pump 135 &lt; 240 kBtuh</t>
  </si>
  <si>
    <t>Heat Pump 65 &lt; 135 kBtuh</t>
  </si>
  <si>
    <t>Illinois/Energy Star</t>
  </si>
  <si>
    <t>CAC</t>
  </si>
  <si>
    <t>Energy Star</t>
  </si>
  <si>
    <t>Energy Star/Michigan</t>
  </si>
  <si>
    <t>ES Dishwasher (Gas DHW)</t>
  </si>
  <si>
    <t>ES Dishwasher (Electric DHW)</t>
  </si>
  <si>
    <t>Recovery of Hot Water Heater</t>
  </si>
  <si>
    <t>Well/Pipe Water Temperature (°F)</t>
  </si>
  <si>
    <t>Tank Water Temperature (°F)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</si>
  <si>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</si>
  <si>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</si>
  <si>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</si>
  <si>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</si>
  <si>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</si>
  <si>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Water Heater Wrap</t>
  </si>
  <si>
    <t>Standard Unit HSPF</t>
  </si>
  <si>
    <t>Standard Unit EER</t>
  </si>
  <si>
    <t>Standard Unit SEER</t>
  </si>
  <si>
    <t>Efficient Unit COP</t>
  </si>
  <si>
    <t>Efficient Unit EER</t>
  </si>
  <si>
    <t>Geothermal Heat Pump</t>
  </si>
  <si>
    <t>Efficient Unit HSPF</t>
  </si>
  <si>
    <t>Efficient Unit SEER</t>
  </si>
  <si>
    <t>Capacity (Btu/h)</t>
  </si>
  <si>
    <t>January 2015 Federal standards effective</t>
  </si>
  <si>
    <t>Ductless Mini-Split Heat Pump</t>
  </si>
  <si>
    <t>SEER 16</t>
  </si>
  <si>
    <t>SEER 15</t>
  </si>
  <si>
    <t>Air Source Heat Pump</t>
  </si>
  <si>
    <t>Efficient Unit</t>
  </si>
  <si>
    <t>HP SEER 16</t>
  </si>
  <si>
    <t>HP SEER 15</t>
  </si>
  <si>
    <t>Central Air Conditioner</t>
  </si>
  <si>
    <t>NY TRM</t>
  </si>
  <si>
    <t>Cooling</t>
  </si>
  <si>
    <t>Heating</t>
  </si>
  <si>
    <t>Thermostat Savings</t>
  </si>
  <si>
    <t>Existing Heating Unit HSPF</t>
  </si>
  <si>
    <t>ASHP</t>
  </si>
  <si>
    <t>Hours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</si>
  <si>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</si>
  <si>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</si>
  <si>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</si>
  <si>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</si>
  <si>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</si>
  <si>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</si>
  <si>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</si>
  <si>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</si>
  <si>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Faucet Aerator (Bath)</t>
  </si>
  <si>
    <t>Facuet Aerator (Kitchen)</t>
  </si>
  <si>
    <t>Window Area (sq ft)</t>
  </si>
  <si>
    <t>Wall Area (sq ft)</t>
  </si>
  <si>
    <t>Conditioned Space (sq ft)</t>
  </si>
  <si>
    <t>Heating Degree Days</t>
  </si>
  <si>
    <t>Cooling Degree Days</t>
  </si>
  <si>
    <t>% Summer Air Conditioner Usage</t>
  </si>
  <si>
    <t>Existing Cooling Unit SEER</t>
  </si>
  <si>
    <t>Efficient R-Value</t>
  </si>
  <si>
    <t>Existing R-Value</t>
  </si>
  <si>
    <t>Insulation</t>
  </si>
  <si>
    <t>CFM50 Post</t>
  </si>
  <si>
    <t>CFM50 Pre</t>
  </si>
  <si>
    <t>June 2014 Federal standard effective</t>
  </si>
  <si>
    <t>Energy Star Room Air Conditioner</t>
  </si>
  <si>
    <t>Coincident Factor</t>
  </si>
  <si>
    <t>% Energy Consumption for Water Heating</t>
  </si>
  <si>
    <t>Annual Dishwasher Cycles</t>
  </si>
  <si>
    <t>Energy Star Unit kWh</t>
  </si>
  <si>
    <t>Standard Unit kWh</t>
  </si>
  <si>
    <t>Gas DHW</t>
  </si>
  <si>
    <t>Electric DHW</t>
  </si>
  <si>
    <t>Energy Star Dishwasher</t>
  </si>
  <si>
    <t>Adjusted Volume (Cubic Feet)</t>
  </si>
  <si>
    <t>% Electric Dryer</t>
  </si>
  <si>
    <t>% Electric Hot Water</t>
  </si>
  <si>
    <t>% Energy Consumption for Dryer</t>
  </si>
  <si>
    <t>% Energy Consumption for Clothes Washer</t>
  </si>
  <si>
    <t>Annual Clothes Washer Cycles</t>
  </si>
  <si>
    <t>MEFee</t>
  </si>
  <si>
    <t>MEFbase</t>
  </si>
  <si>
    <t>Capacity (cubic feet)</t>
  </si>
  <si>
    <t>March 2015 Federal standard effective</t>
  </si>
  <si>
    <t>Energy Star Clothes Washer</t>
  </si>
  <si>
    <t>Conversion (Pint to Liter)</t>
  </si>
  <si>
    <t>Capacity (Pint/Day)</t>
  </si>
  <si>
    <t>Efficient Energy Factor (Liter/kWh)</t>
  </si>
  <si>
    <t>Base Energy Factor (Liter/kWh)</t>
  </si>
  <si>
    <t>Energy Star Dehumidifier</t>
  </si>
  <si>
    <t>Energy Star Fixture</t>
  </si>
  <si>
    <t>CDD</t>
  </si>
  <si>
    <t>HDD</t>
  </si>
  <si>
    <t>HVAC</t>
  </si>
  <si>
    <t>Lighting</t>
  </si>
  <si>
    <t>Programmable Thermostat</t>
  </si>
  <si>
    <t>TRC</t>
  </si>
  <si>
    <t>Participants</t>
  </si>
  <si>
    <t>Program</t>
  </si>
  <si>
    <t>Program Delivery Costs</t>
  </si>
  <si>
    <t>Participant Incentives</t>
  </si>
  <si>
    <t>Participant Bill Savings</t>
  </si>
  <si>
    <t>Avoided Environmental Costs</t>
  </si>
  <si>
    <t>Avoided Energy Cost</t>
  </si>
  <si>
    <t>Participant</t>
  </si>
  <si>
    <t>Societal</t>
  </si>
  <si>
    <t>Utility</t>
  </si>
  <si>
    <t>RIM</t>
  </si>
  <si>
    <t>Participation</t>
  </si>
  <si>
    <t>Net Present Value</t>
  </si>
  <si>
    <t>B/C Ratio -- Cost Tests</t>
  </si>
  <si>
    <t>Year</t>
  </si>
  <si>
    <t>Avoided Energy Cost ($/kWh)</t>
  </si>
  <si>
    <t>Avoided Demand Forecast ($/kW-year)</t>
  </si>
  <si>
    <t>Industrial</t>
  </si>
  <si>
    <t>Commercial</t>
  </si>
  <si>
    <t>Escalation Rate</t>
  </si>
  <si>
    <t>Discount Rate</t>
  </si>
  <si>
    <t>Peak Line Losses</t>
  </si>
  <si>
    <t>C&amp;I Custom</t>
  </si>
  <si>
    <t>TOTAL COMMERCIAL / INDUSTRIAL</t>
  </si>
  <si>
    <t>Residential Audits</t>
  </si>
  <si>
    <t>TOTAL RESIDENTIAL</t>
  </si>
  <si>
    <t>C&amp;I Custom Rebate</t>
  </si>
  <si>
    <t>Heat Pump Water Heater</t>
  </si>
  <si>
    <t>Refrigerator Recycle</t>
  </si>
  <si>
    <t>kWh</t>
  </si>
  <si>
    <t>Energy Line Losses</t>
  </si>
  <si>
    <t>Appliance Recycling</t>
  </si>
  <si>
    <t>Savings</t>
  </si>
  <si>
    <t>Water Heating</t>
  </si>
  <si>
    <t>LIGHTING SERVICE</t>
  </si>
  <si>
    <t>TOTAL Small General Service</t>
  </si>
  <si>
    <t>General Service - Total Electric</t>
  </si>
  <si>
    <t>General Service</t>
  </si>
  <si>
    <t>TOTAL Residential Service</t>
  </si>
  <si>
    <t>Residential Total Electric</t>
  </si>
  <si>
    <t>Actual Expenditures</t>
  </si>
  <si>
    <t xml:space="preserve">Black Hills Power - South Dakota </t>
  </si>
  <si>
    <t>Refrigerator Recycling</t>
  </si>
  <si>
    <t>Geothermal Heat Pumps</t>
  </si>
  <si>
    <t>ASHP Retro-Commissioning Rebate</t>
  </si>
  <si>
    <t>School Based Education</t>
  </si>
  <si>
    <t>Weatherization</t>
  </si>
  <si>
    <t>C&amp;I Lighting</t>
  </si>
  <si>
    <t>C&amp;I Motors</t>
  </si>
  <si>
    <t>C&amp;I VFDs</t>
  </si>
  <si>
    <t>C&amp;I Air Source Heat Pumps</t>
  </si>
  <si>
    <t>C&amp;I Ground Source Heat Pumps</t>
  </si>
  <si>
    <t>C&amp;I Water Heaters</t>
  </si>
  <si>
    <t>C&amp;I Refrigerator Recycling</t>
  </si>
  <si>
    <t>Cross Marketing &amp; Training</t>
  </si>
  <si>
    <t>General Administration</t>
  </si>
  <si>
    <t>Total Program</t>
  </si>
  <si>
    <t>Annual kWh Savings</t>
  </si>
  <si>
    <t>Annual kW Savings</t>
  </si>
  <si>
    <t>Participation Goal</t>
  </si>
  <si>
    <t>Year 2 (Sept 1, 2012 - August 31, 2013)</t>
  </si>
  <si>
    <t>Year 1 (Sept 1, 2011 - August 31, 2012)</t>
  </si>
  <si>
    <t>16.5 SEER, 3.6 COP</t>
  </si>
  <si>
    <t>Program Modifications</t>
  </si>
  <si>
    <t>≤50 gallon tank = 0.94 EF
&gt;50 gallon tank = 0.92 EF</t>
  </si>
  <si>
    <t>Incentives</t>
  </si>
  <si>
    <t>Total Costs</t>
  </si>
  <si>
    <t>Environmental Costs ($/kWh)</t>
  </si>
  <si>
    <t>Residential All Electric</t>
  </si>
  <si>
    <t>Average Retail Rate ($/kWh)</t>
  </si>
  <si>
    <t>Black Hills Power - South Dakota</t>
  </si>
  <si>
    <t>kW</t>
  </si>
  <si>
    <t>Avoided Energy &amp; Demand Savings</t>
  </si>
  <si>
    <t>ENERGY STAR Freezer</t>
  </si>
  <si>
    <t>Freezer</t>
  </si>
  <si>
    <t>Refrigerator</t>
  </si>
  <si>
    <t>Demand Savings Factor</t>
  </si>
  <si>
    <t>Efficient Energy Factor</t>
  </si>
  <si>
    <t>Standard Energy Factor</t>
  </si>
  <si>
    <t>Arkansas/Michigan/ASHRAE</t>
  </si>
  <si>
    <t>Illinois/CEE</t>
  </si>
  <si>
    <t>PSC Colorado/Illinois</t>
  </si>
  <si>
    <t>Ohio/Arkansas</t>
  </si>
  <si>
    <t>Mass/CT/DOE</t>
  </si>
  <si>
    <t>n/a</t>
  </si>
  <si>
    <t>Freezer Recycle</t>
  </si>
  <si>
    <t>Energy Star/DOE</t>
  </si>
  <si>
    <t>ENERGY STAR Room Air Conditioner</t>
  </si>
  <si>
    <t>Illinois/Energy Star/DOE</t>
  </si>
  <si>
    <t>ENERGY STAR/DOE</t>
  </si>
  <si>
    <t>ENERGY STAR/Illinois</t>
  </si>
  <si>
    <t>CF</t>
  </si>
  <si>
    <t>Rapid City, SD</t>
  </si>
  <si>
    <t>Rapid City, SD Degree Days</t>
  </si>
  <si>
    <t>Annual Heating Hrs (Rapid City)</t>
  </si>
  <si>
    <t>Annual Cooling Hrs (Rapid City)</t>
  </si>
  <si>
    <t>Measure Screening</t>
  </si>
  <si>
    <t>Halogen Watts</t>
  </si>
  <si>
    <t>ENERGY STAR Fixture</t>
  </si>
  <si>
    <t>September 2014 ENERGY STAR/Federal standard effective</t>
  </si>
  <si>
    <t>DOE/ENERGY STAR</t>
  </si>
  <si>
    <t>Pascal Conversion Factor</t>
  </si>
  <si>
    <t>Insulated Area (sq ft)</t>
  </si>
  <si>
    <t>Framing Factor</t>
  </si>
  <si>
    <t>http://www.energystar.gov/?c=home_sealing.hm_improvement_insulation_table</t>
  </si>
  <si>
    <t>Attic Insulation 
(R-40)</t>
  </si>
  <si>
    <t>Wall Insulation
(R-13)</t>
  </si>
  <si>
    <t>CAC SEER 14</t>
  </si>
  <si>
    <t>Illinois/DOE/ES</t>
  </si>
  <si>
    <t>Air Source Heat Pumps</t>
  </si>
  <si>
    <t>Standard Unit COP</t>
  </si>
  <si>
    <t>Water Heaters</t>
  </si>
  <si>
    <t>Heat Pump</t>
  </si>
  <si>
    <t>Vision DSM</t>
  </si>
  <si>
    <r>
      <t>Electric Storage Water Heater (</t>
    </r>
    <r>
      <rPr>
        <sz val="9"/>
        <color theme="1"/>
        <rFont val="Calibri"/>
        <family val="2"/>
      </rPr>
      <t>&gt;</t>
    </r>
    <r>
      <rPr>
        <sz val="9"/>
        <color theme="1"/>
        <rFont val="Arial"/>
        <family val="2"/>
      </rPr>
      <t>50 gallons)</t>
    </r>
  </si>
  <si>
    <t>Fan</t>
  </si>
  <si>
    <t>Pump</t>
  </si>
  <si>
    <t>VisionDSM</t>
  </si>
  <si>
    <t>Minimum</t>
  </si>
  <si>
    <t>VFD Fan</t>
  </si>
  <si>
    <t>VFD Pump</t>
  </si>
  <si>
    <t>TEFC Motor</t>
  </si>
  <si>
    <t>ODP</t>
  </si>
  <si>
    <t>TEFC</t>
  </si>
  <si>
    <t>1800 RPM</t>
  </si>
  <si>
    <t>ODC Motor</t>
  </si>
  <si>
    <t>Standard Full Load/IPLV</t>
  </si>
  <si>
    <t>Efficient Full Load/IPLV</t>
  </si>
  <si>
    <t>Vision DSM Retail</t>
  </si>
  <si>
    <t>EFLH</t>
  </si>
  <si>
    <t>Fixture Mount Photo Sensor</t>
  </si>
  <si>
    <t>Ceiling Mount Occupancy</t>
  </si>
  <si>
    <t>Wall Mount Occupancy</t>
  </si>
  <si>
    <t>Fixture Mount Occupancy</t>
  </si>
  <si>
    <t>Savings Factor</t>
  </si>
  <si>
    <t>T12 or T8</t>
  </si>
  <si>
    <t>LED (5 ≤ 10W)</t>
  </si>
  <si>
    <t>LED (&gt;10W)</t>
  </si>
  <si>
    <t>LED (≤5W)</t>
  </si>
  <si>
    <t>WATTbase</t>
  </si>
  <si>
    <t>WATTee</t>
  </si>
  <si>
    <t>PSC Colorado, Vision DSM</t>
  </si>
  <si>
    <t>Pulse Start 
(≤175W)</t>
  </si>
  <si>
    <t>Pulse Start 
(175 &lt; 320 W)</t>
  </si>
  <si>
    <t>Pulse Start 
(320 &lt; 750 W)</t>
  </si>
  <si>
    <t>Pulse Start 
(≥750 W)</t>
  </si>
  <si>
    <t>Multi-CFL Fixture</t>
  </si>
  <si>
    <t>Delamping (T8 to T8)</t>
  </si>
  <si>
    <t>Delamping (T12 to T8)</t>
  </si>
  <si>
    <t>(5-8 ft, 1-2 Lamp)</t>
  </si>
  <si>
    <t>T12, Incandescent</t>
  </si>
  <si>
    <t>T12</t>
  </si>
  <si>
    <t>T8 Lamps</t>
  </si>
  <si>
    <t>(≤4 ft, 1-2 Lamp)</t>
  </si>
  <si>
    <t>(≤4 ft, 3-4 Lamp)</t>
  </si>
  <si>
    <t>1-2 Lamp</t>
  </si>
  <si>
    <t>3-4 Lamp</t>
  </si>
  <si>
    <t>Standard T8</t>
  </si>
  <si>
    <t xml:space="preserve">Low-Wattage T8 </t>
  </si>
  <si>
    <t>Pin-Based CFL 19W or 32W</t>
  </si>
  <si>
    <t>Pin-Based CFL ≥32W</t>
  </si>
  <si>
    <t>Pin-Based CFL ≤18W</t>
  </si>
  <si>
    <t>Pulse Start Metal Halide (≤175W)</t>
  </si>
  <si>
    <t>Pulse Start Metal Halide (175 &lt; 320 W)</t>
  </si>
  <si>
    <t>Pulse Start Metal Halide (320 &lt; 750 W)</t>
  </si>
  <si>
    <t>Pulse Start Metal Halide (≥750 W)</t>
  </si>
  <si>
    <t>Ceramic Integrated Metal Halide (≤150W)</t>
  </si>
  <si>
    <t>Ceramic Integrated Metal Halide (150 &lt; 250W)</t>
  </si>
  <si>
    <t>Ceramic Integrated Metal Halide (≥250 W)</t>
  </si>
  <si>
    <t>T8 (≤4 ft, 1-2 Lamp)</t>
  </si>
  <si>
    <t>T8 (≤4 ft, 3-4 Lamp)</t>
  </si>
  <si>
    <t>T8 (5-8 ft, 1-2 Lamp)</t>
  </si>
  <si>
    <t>High Bay Fluorescent Fixture (replace 400W HID)</t>
  </si>
  <si>
    <t>High Bay Fluorescent Fixture (replace 1000 W HID)</t>
  </si>
  <si>
    <t>High Performance T8 (1-2 Lamp)</t>
  </si>
  <si>
    <t>High Performance T8 (3-4 Lamp)</t>
  </si>
  <si>
    <t>Total Portfolio</t>
  </si>
  <si>
    <t>Total Incentives</t>
  </si>
  <si>
    <t>Incentive per Participant</t>
  </si>
  <si>
    <t>Total Budget</t>
  </si>
  <si>
    <t>Total kWh Savings</t>
  </si>
  <si>
    <t>Total kW Savings</t>
  </si>
  <si>
    <t>Custom</t>
  </si>
  <si>
    <t>SBDI</t>
  </si>
  <si>
    <t>Total Cost</t>
  </si>
  <si>
    <t>Full Cost</t>
  </si>
  <si>
    <t>Non-Incentive Costs</t>
  </si>
  <si>
    <t>Programmable Tstat</t>
  </si>
  <si>
    <t>Res All Electric</t>
  </si>
  <si>
    <t>Standard</t>
  </si>
  <si>
    <t>Participant Bill Savings - Res All Electric</t>
  </si>
  <si>
    <t>Participant 
(Res All Electric)</t>
  </si>
  <si>
    <t>RIM
(Res All Electric)</t>
  </si>
  <si>
    <t>CFL ≤19W</t>
  </si>
  <si>
    <t>CFL 19 &lt; 32W</t>
  </si>
  <si>
    <t>CFL ≥32W</t>
  </si>
  <si>
    <t>Ceramic Metal Halide
(≤150W)</t>
  </si>
  <si>
    <t>Ceramic Metal Halide
(150 &lt; 250W)</t>
  </si>
  <si>
    <t>Ceramic Metal Halide
(≥250 W)</t>
  </si>
  <si>
    <t>≤ 300 W</t>
  </si>
  <si>
    <t>≤ 900 W</t>
  </si>
  <si>
    <t>LED Linear Replacement Lamp (≤4ft)</t>
  </si>
  <si>
    <t>LED Linear Replacement Lamp (5-8ft)</t>
  </si>
  <si>
    <t>Metal Halide Fixture</t>
  </si>
  <si>
    <t>Incremental Cost per Unit</t>
  </si>
  <si>
    <t>Total Annual Savings</t>
  </si>
  <si>
    <t xml:space="preserve"> MWh Savings</t>
  </si>
  <si>
    <t xml:space="preserve"> Coincident kW Savings</t>
  </si>
  <si>
    <t>Early Retirement</t>
  </si>
  <si>
    <t>New/Replacement</t>
  </si>
  <si>
    <t>Early Retirement CAC SEER 14</t>
  </si>
  <si>
    <t>Early Retirement CAC SEER 15</t>
  </si>
  <si>
    <t>Early Retirement CAC SEER 16</t>
  </si>
  <si>
    <t>New Efficient Unit</t>
  </si>
  <si>
    <t>Base Unit</t>
  </si>
  <si>
    <t>Future Avoided Cost</t>
  </si>
  <si>
    <t>Remaining Life</t>
  </si>
  <si>
    <t>Gross Savings per Unit</t>
  </si>
  <si>
    <t>Ret. kWh</t>
  </si>
  <si>
    <t>Ret. Peak kW</t>
  </si>
  <si>
    <t>Ret. kW</t>
  </si>
  <si>
    <t>Annual Savings</t>
  </si>
  <si>
    <t>Early Retirement Heat Pump SEER 15</t>
  </si>
  <si>
    <t>Early Retirement Heat Pump SEER 16</t>
  </si>
  <si>
    <t>Programmable Tstat CAC</t>
  </si>
  <si>
    <t>2014 Rates were increased 8% per Jim &amp; Don (12.11.13 meeting)</t>
  </si>
  <si>
    <t>Pages from Energy Efficiency Solutions Plan_RateAssumptions (see email from Don Martinez 11/4/2013)</t>
  </si>
  <si>
    <t>Residential Lighting &amp; Appliances</t>
  </si>
  <si>
    <t>MN TRM</t>
  </si>
  <si>
    <t>ENERGY STAR Clothes Washer</t>
  </si>
  <si>
    <t>Fridge (Top-Freezer)</t>
  </si>
  <si>
    <t>Energy Star Refrigerator/Freezer</t>
  </si>
  <si>
    <t>ECM Blower Motors</t>
  </si>
  <si>
    <t>ECM Blower Motor</t>
  </si>
  <si>
    <t>NPV (Current Avoided Costs)</t>
  </si>
  <si>
    <t>Avoided Demand Costs</t>
  </si>
  <si>
    <t>Avoided Energy Costs</t>
  </si>
  <si>
    <t>Avoided Energy Savings</t>
  </si>
  <si>
    <t>Avoided Demand Savings</t>
  </si>
  <si>
    <t>High Efficiency HVAC</t>
  </si>
  <si>
    <t>Maintenance Energy Savings Factor</t>
  </si>
  <si>
    <t>Maintenance Demand Savings Factor</t>
  </si>
  <si>
    <t>CAC/ASHP Tune-Up</t>
  </si>
  <si>
    <t>Bill Savings/Lost Revenue</t>
  </si>
  <si>
    <t>Whole House Efficiency</t>
  </si>
  <si>
    <t>kW Saved per Unit</t>
  </si>
  <si>
    <t>School-Based Education</t>
  </si>
  <si>
    <t>3rd Year</t>
  </si>
  <si>
    <t>2nd Year</t>
  </si>
  <si>
    <t>1st Year</t>
  </si>
  <si>
    <t>Program Costs</t>
  </si>
  <si>
    <t>Percent of Rev.</t>
  </si>
  <si>
    <t>Energy Star/DOE/MN TRM</t>
  </si>
  <si>
    <t>Illinois/PSC Colorado/EIA</t>
  </si>
  <si>
    <t>MN TRM/Energy Star</t>
  </si>
  <si>
    <t>New York/DOE/Energy Star</t>
  </si>
  <si>
    <t>Non-Residential Measures</t>
  </si>
  <si>
    <t>Minnesota Department of Commerce. State of Minnesota Technical Reference Manual for Energy Conservation Improvement Programs.  (Version 1.0) Effective January 1 to December 31, 2014.</t>
  </si>
  <si>
    <t># Customers</t>
  </si>
  <si>
    <t>Large General Service &amp; Industrial</t>
  </si>
  <si>
    <t>Revenue</t>
  </si>
  <si>
    <t>See 2/4/14 email from Don Martinez 'BHP-SD Customer Stats_EES as percentage of Revenue'</t>
  </si>
  <si>
    <t>Year 1</t>
  </si>
  <si>
    <t>Percentage of Revenue</t>
  </si>
  <si>
    <t>Year 3</t>
  </si>
  <si>
    <t>Year 2</t>
  </si>
  <si>
    <t>Coincident Peak kW</t>
  </si>
  <si>
    <t>Electric Heat</t>
  </si>
  <si>
    <t>Gas Heat</t>
  </si>
  <si>
    <t>Air Sealing (Electric Heat)</t>
  </si>
  <si>
    <t>Air Sealing (Gas Heat)</t>
  </si>
  <si>
    <t>CAC Tune-Up</t>
  </si>
  <si>
    <t>http://energy.gov/eere/buildings/downloads/ba-analysis-existing-homes</t>
  </si>
  <si>
    <t>Illinois/Michgan</t>
  </si>
  <si>
    <t>Electric Storage</t>
  </si>
  <si>
    <t>Unit Count</t>
  </si>
  <si>
    <t>Remove 1 Lamp</t>
  </si>
  <si>
    <t>1 T8 Lamp</t>
  </si>
  <si>
    <t>2 T8 Lamps</t>
  </si>
  <si>
    <t>Delamp T12 to T8 (2-Lamp Fixtures)</t>
  </si>
  <si>
    <t>Delamp T12 to T8 (3-4 Lamp Fixtures)</t>
  </si>
  <si>
    <t>Delamp T12 to T8 (2 Lamp Fixtures)</t>
  </si>
  <si>
    <t>Illinois (Office)</t>
  </si>
  <si>
    <t>WHFe</t>
  </si>
  <si>
    <t>WHFd</t>
  </si>
  <si>
    <t>Small Business Direct Install</t>
  </si>
  <si>
    <t>Illinois/Michigan</t>
  </si>
  <si>
    <t>SEER 14.5</t>
  </si>
  <si>
    <t>CAC SEER 14.5</t>
  </si>
  <si>
    <t>New</t>
  </si>
  <si>
    <t>Early Ret</t>
  </si>
  <si>
    <t>Early Retirement Geothermal EER ≥21</t>
  </si>
  <si>
    <t>Michigan/Illinois</t>
  </si>
  <si>
    <t>Efficient Unit HSPF/COP</t>
  </si>
  <si>
    <t>Gallons per Day</t>
  </si>
  <si>
    <t>EFbase</t>
  </si>
  <si>
    <t>EFee</t>
  </si>
  <si>
    <t>Ambient Air Temperature (°F)</t>
  </si>
  <si>
    <t>Recovery Efficency</t>
  </si>
  <si>
    <t>Capacity</t>
  </si>
  <si>
    <t>Tank Volume</t>
  </si>
  <si>
    <t>Storage Water Heater (April 2015)</t>
  </si>
  <si>
    <t>Tank Heat Loss Coefficient (base)</t>
  </si>
  <si>
    <t>Tank Heat Loss Coefficient (efficient)</t>
  </si>
  <si>
    <t>Electric Storage Water Heater</t>
  </si>
  <si>
    <t>Residential Audit</t>
  </si>
  <si>
    <t>4-ft</t>
  </si>
  <si>
    <t>Two 4-ft</t>
  </si>
  <si>
    <t>8-ft</t>
  </si>
  <si>
    <t>Two 8-ft</t>
  </si>
  <si>
    <t>Fluorescent Fixture w/ Specular Reflectors</t>
  </si>
  <si>
    <t>(BHE CO Inputs)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</si>
  <si>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</si>
  <si>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</si>
  <si>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</si>
  <si>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</si>
  <si>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Indirect Fixtures</t>
  </si>
  <si>
    <t>Indirect Fixture</t>
  </si>
  <si>
    <t>LED Fixtures for Exterior &amp; Parking Garage Installations</t>
  </si>
  <si>
    <t>25W or less</t>
  </si>
  <si>
    <t>HID</t>
  </si>
  <si>
    <t>25 - 60W</t>
  </si>
  <si>
    <t>60 - 100W</t>
  </si>
  <si>
    <r>
      <rPr>
        <sz val="9"/>
        <rFont val="Calibri"/>
        <family val="2"/>
      </rPr>
      <t>≤</t>
    </r>
    <r>
      <rPr>
        <sz val="9"/>
        <rFont val="Arial"/>
        <family val="2"/>
      </rPr>
      <t>25 W LED Fixtures (Exterior/Parking Garage)</t>
    </r>
  </si>
  <si>
    <r>
      <rPr>
        <sz val="9"/>
        <rFont val="Calibri"/>
        <family val="2"/>
      </rPr>
      <t>25≤</t>
    </r>
    <r>
      <rPr>
        <sz val="9"/>
        <rFont val="Arial"/>
        <family val="2"/>
      </rPr>
      <t>60 W LED Fixtures (Exterior/Parking Garage)</t>
    </r>
  </si>
  <si>
    <r>
      <rPr>
        <sz val="9"/>
        <rFont val="Calibri"/>
        <family val="2"/>
      </rPr>
      <t>60≤15</t>
    </r>
    <r>
      <rPr>
        <sz val="9"/>
        <rFont val="Arial"/>
        <family val="2"/>
      </rPr>
      <t>5 W LED Fixtures (Exterior/Parking Garage)</t>
    </r>
  </si>
  <si>
    <t>≤25 W LED Fixtures (Exterior/Parking Garage)</t>
  </si>
  <si>
    <t>25≤60 W LED Fixtures (Exterior/Parking Garage)</t>
  </si>
  <si>
    <t>60≤155 W LED Fixtures (Exterior/Parking Garage)</t>
  </si>
  <si>
    <t>C&amp;I Programs</t>
  </si>
  <si>
    <t>Residential Programs</t>
  </si>
  <si>
    <t>Commercial &amp; Industrial Programs</t>
  </si>
  <si>
    <t>BLACK HILLS POWER</t>
  </si>
  <si>
    <t>Energy Efficiency Solution (EES) Program</t>
  </si>
  <si>
    <t>Overall Summary - EES Revenues and Expenses</t>
  </si>
  <si>
    <t>Line</t>
  </si>
  <si>
    <t>Revenues Available for EES</t>
  </si>
  <si>
    <t>Balancing Account</t>
  </si>
  <si>
    <t>(September 2011 through December 2013)</t>
  </si>
  <si>
    <t>DSM Revenue</t>
  </si>
  <si>
    <t>(January 2014 through May 2017)</t>
  </si>
  <si>
    <t>41 months @$30,000/month</t>
  </si>
  <si>
    <t>Total $ Available for EES</t>
  </si>
  <si>
    <t>(lines 2 +3)</t>
  </si>
  <si>
    <t>Expenses Associated with EES</t>
  </si>
  <si>
    <t>Administrative Costs $4,000/mo</t>
  </si>
  <si>
    <t>Charges on Current Program</t>
  </si>
  <si>
    <t>Douglas Schools Rebate</t>
  </si>
  <si>
    <t>(January through May 2014)</t>
  </si>
  <si>
    <t>Geothermal</t>
  </si>
  <si>
    <t>LivingWise Program</t>
  </si>
  <si>
    <t>Development Cost of New Program</t>
  </si>
  <si>
    <t>New Programs</t>
  </si>
  <si>
    <t>(June 2014 to May 2015)</t>
  </si>
  <si>
    <t>(June 2015 to May 2016)</t>
  </si>
  <si>
    <t>(June 2016 to May 2017)</t>
  </si>
  <si>
    <t>New Program Costs:</t>
  </si>
  <si>
    <t>(lines 8 +9 +10)</t>
  </si>
  <si>
    <t>Total Expenses Associated with EES</t>
  </si>
  <si>
    <t>(lines 6 +7 +11)</t>
  </si>
  <si>
    <t>Commercial/</t>
  </si>
  <si>
    <t>41 months @$17,600/mo &amp; $12,300/mo</t>
  </si>
  <si>
    <t>Lost Margin Recovery @30%</t>
  </si>
  <si>
    <t>Sub-Total Program Costs</t>
  </si>
  <si>
    <t>(line 12 x 0.30)</t>
  </si>
  <si>
    <t>(lines 12 +13)</t>
  </si>
  <si>
    <t>5 months @$17,600/mo &amp; $12,300/mo</t>
  </si>
  <si>
    <t>(line 14 - Line 4)</t>
  </si>
  <si>
    <t>Residential - 43,400,000 kWh/mo</t>
  </si>
  <si>
    <t>June 2014 through May 2017 (36 month)</t>
  </si>
  <si>
    <t>C/I - 60,000,000 kWh/mo</t>
  </si>
  <si>
    <t>Forecasted kWh</t>
  </si>
  <si>
    <t>Program Costs Remaining to be Collected</t>
  </si>
  <si>
    <t>New EESA Rate - Effective June 1, 2014</t>
  </si>
  <si>
    <t>(line 15 ÷ Line 16)</t>
  </si>
  <si>
    <t>/kWh</t>
  </si>
  <si>
    <t>ORIGINAL PLAN</t>
  </si>
  <si>
    <t>EESA Rate</t>
  </si>
  <si>
    <t>Plan</t>
  </si>
  <si>
    <t xml:space="preserve">ADMIN + </t>
  </si>
  <si>
    <t>Marketing/Training</t>
  </si>
  <si>
    <t>Heat Pump SEER 15 Replace Electric Furnace</t>
  </si>
  <si>
    <t>Air Source Heat Pump Replace Resistance Heat</t>
  </si>
  <si>
    <t>Existing Unit SEER</t>
  </si>
  <si>
    <t>Existing Unit EER</t>
  </si>
  <si>
    <t>Existing Unit HSPF</t>
  </si>
  <si>
    <t>DOE/Energy Star</t>
  </si>
  <si>
    <t>Avg kWh / Residential Customer</t>
  </si>
  <si>
    <t>see 'BHP-SD Customer Stats_EES as percentage of Revenue' from Don Martinex Feb 3, 2014</t>
  </si>
  <si>
    <t>Table ES1: PY1 Budget by Sector</t>
  </si>
  <si>
    <t>PY1 Goal</t>
  </si>
  <si>
    <t xml:space="preserve">PY1 Actual </t>
  </si>
  <si>
    <t>% of Budget</t>
  </si>
  <si>
    <t>Total</t>
  </si>
  <si>
    <t>Table ES2: PY1 Utility Budget and Expenditures by Program</t>
  </si>
  <si>
    <t>PY1 Budget</t>
  </si>
  <si>
    <t>PY1 Expenditures</t>
  </si>
  <si>
    <t>Residential Lighting and Appliance Program</t>
  </si>
  <si>
    <t>Residential High Efficiency HVAC</t>
  </si>
  <si>
    <t>Whole House Efficiency–Home Energy Audits</t>
  </si>
  <si>
    <t>Residential Evaluation – Online Audit</t>
  </si>
  <si>
    <t>Prescriptive</t>
  </si>
  <si>
    <t xml:space="preserve"> </t>
  </si>
  <si>
    <t xml:space="preserve">Total </t>
  </si>
  <si>
    <t>Table ES3: PY1 Energy Savings (kWh) by Sector</t>
  </si>
  <si>
    <t>% of Goal</t>
  </si>
  <si>
    <t>Table ES4: PY1 Energy Savings (kWh) by Program</t>
  </si>
  <si>
    <t>PY1 Actual</t>
  </si>
  <si>
    <t>C&amp;I  Programs</t>
  </si>
  <si>
    <t>Table ES5: PY1 Demand Savings (kW) by Sector</t>
  </si>
  <si>
    <t>ES6: PY1 Demand Savings (kW) by Program</t>
  </si>
  <si>
    <t>Non-Residential  Programs</t>
  </si>
  <si>
    <t>Table ES7: Total Portfolio Cost-Effectiveness Results</t>
  </si>
  <si>
    <t>Test</t>
  </si>
  <si>
    <t>PY1</t>
  </si>
  <si>
    <t>Total Resource Cost Test</t>
  </si>
  <si>
    <t xml:space="preserve">Utility Cost Test </t>
  </si>
  <si>
    <t xml:space="preserve">Societal Cost Test </t>
  </si>
  <si>
    <t>Participant Test</t>
  </si>
  <si>
    <t>Ratepayer Impact Measure Test</t>
  </si>
  <si>
    <t>Table 1: Residential Lighting and Appliance PY1 Summary</t>
  </si>
  <si>
    <t>Goal</t>
  </si>
  <si>
    <t>Actual</t>
  </si>
  <si>
    <t>% Goal Achieved</t>
  </si>
  <si>
    <t xml:space="preserve">Participation </t>
  </si>
  <si>
    <t>ES Refrigerator</t>
  </si>
  <si>
    <t>ES Light Fixture</t>
  </si>
  <si>
    <t>Advance Power Strip</t>
  </si>
  <si>
    <t>Expenditures</t>
  </si>
  <si>
    <t>Energy Impacts (kWh)</t>
  </si>
  <si>
    <t>Demand Impacts (kW)</t>
  </si>
  <si>
    <t>Table 2: Residential Water Heating Program Cost-Effectiveness Results</t>
  </si>
  <si>
    <t>Table 3: Residential Refrigerator Recycling PY1 Summary</t>
  </si>
  <si>
    <t>Table 4: Residential Refrigerator Recycling Program Cost-Effectiveness Results</t>
  </si>
  <si>
    <t>Table 5: Residential High Efficiency HVAC Budget versus to Expenditures</t>
  </si>
  <si>
    <t>ER Air Source Heat Pump</t>
  </si>
  <si>
    <t>Water Heater</t>
  </si>
  <si>
    <t>ES Geothermal Heat Pump</t>
  </si>
  <si>
    <t>ER ES Geothermal Heat Pump</t>
  </si>
  <si>
    <t>Electric Furnace to Heat Pump</t>
  </si>
  <si>
    <t>Total:</t>
  </si>
  <si>
    <t>Table 6: Residential High Efficiency HVAC Energy Savings Goal versus Actual</t>
  </si>
  <si>
    <t>Table 7: Residential High Efficiency HVAC Demand Savings Goal versus Actual</t>
  </si>
  <si>
    <t>Table 8: Residential High Efficiency HVAC Participation Goal versus Actual</t>
  </si>
  <si>
    <t>Table 9: Residential High Efficiency HVAC Program Cost-Effectiveness Results</t>
  </si>
  <si>
    <t>Table 10: Whole House Efficiency Program PY1 Summary</t>
  </si>
  <si>
    <t>Table 11: Whole House Efficiency Program Cost-Effectiveness Results</t>
  </si>
  <si>
    <t>Table 12: Residential Evaluation Program PY1 Summary</t>
  </si>
  <si>
    <t>Table 13: Residential Evaluation Program Cost-Effectiveness Results</t>
  </si>
  <si>
    <t>Table 14: School-Based Education Program PY1 Summary</t>
  </si>
  <si>
    <t>Table 15: School-Based Education Program Cost-Effectiveness Results</t>
  </si>
  <si>
    <t>Table 16: Weatherization Program PY1 Summary</t>
  </si>
  <si>
    <t>Table 17: Weatherization Program Cost-Effectiveness Results</t>
  </si>
  <si>
    <t>Table 18: Combined Residential Program Cost-Effectiveness Results</t>
  </si>
  <si>
    <t>Table 21: Commercial Prescriptive Budget versus to Expenditures</t>
  </si>
  <si>
    <t>Budget</t>
  </si>
  <si>
    <t>C&amp;I Split Package Heat Pumps</t>
  </si>
  <si>
    <t>Table 22: Commercial Prescriptive Energy Savings Goal versus Actual</t>
  </si>
  <si>
    <t>Table 23: Commercial Prescriptive Demand Savings Goal versus Actual</t>
  </si>
  <si>
    <t>Table 24: Commercial Prescriptive Participation Goal versus Actual</t>
  </si>
  <si>
    <t>Table 25: Commercial Prescriptive Program Cost-Effectiveness Results</t>
  </si>
  <si>
    <t>Table 26: Commercial Custom Program PY1 Summary</t>
  </si>
  <si>
    <t>Table 27: Commercial Custom Program Cost-Effectiveness Results</t>
  </si>
  <si>
    <t>Markting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</si>
</sst>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_);_(* \(#,##0.0\);_(* &quot;-&quot;??_);_(@_)"/>
    <numFmt numFmtId="167" formatCode="0.000"/>
    <numFmt numFmtId="168" formatCode="&quot;$&quot;#,##0"/>
    <numFmt numFmtId="169" formatCode="&quot;$&quot;#,##0.00"/>
    <numFmt numFmtId="170" formatCode="0.0%"/>
    <numFmt numFmtId="171" formatCode="&quot;$&quot;#,##0;\-&quot;$&quot;#,##0"/>
    <numFmt numFmtId="172" formatCode="mmmm\ d\,\ yyyy"/>
    <numFmt numFmtId="173" formatCode="0.0"/>
    <numFmt numFmtId="174" formatCode="_([$€-2]* #,##0.00_);_([$€-2]* \(#,##0.00\);_([$€-2]* &quot;-&quot;??_)"/>
    <numFmt numFmtId="175" formatCode="0.0_);\(0.0\)"/>
    <numFmt numFmtId="176" formatCode="0.00_);\(0.00\)"/>
    <numFmt numFmtId="177" formatCode="0.0000"/>
    <numFmt numFmtId="178" formatCode="_(* #,##0.0000_);_(* \(#,##0.0000\);_(* &quot;-&quot;??_);_(@_)"/>
    <numFmt numFmtId="179" formatCode="_(* #,##0.0_);_(* \(#,##0.0\);_(* &quot;-&quot;?_);_(@_)"/>
    <numFmt numFmtId="180" formatCode="_(* #,##0_);_(* \(#,##0\);_(* &quot;-&quot;?_);_(@_)"/>
    <numFmt numFmtId="181" formatCode="0.000000"/>
    <numFmt numFmtId="182" formatCode="00\-0000\-00\-0000\-000"/>
    <numFmt numFmtId="183" formatCode="0;[Red]0"/>
    <numFmt numFmtId="184" formatCode="0.00_);[Red]\(0.00\)"/>
    <numFmt numFmtId="185" formatCode="0.00;[Red]0.00"/>
    <numFmt numFmtId="186" formatCode="&quot;$&quot;#,##0\ ;\(&quot;$&quot;#,##0\)"/>
    <numFmt numFmtId="187" formatCode="&quot;£&quot;#,##0;[Red]\-&quot;£&quot;#,##0"/>
    <numFmt numFmtId="188" formatCode="_-* #,##0_-;\-* #,##0_-;_-* &quot;-&quot;_-;_-@_-"/>
    <numFmt numFmtId="189" formatCode="_-* #,##0.00_-;\-* #,##0.00_-;_-* &quot;-&quot;??_-;_-@_-"/>
    <numFmt numFmtId="190" formatCode="General_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\ &quot;Pts&quot;_-;\-* #,##0\ &quot;Pts&quot;_-;_-* &quot;-&quot;\ &quot;Pts&quot;_-;_-@_-"/>
    <numFmt numFmtId="194" formatCode="_-* #,##0.00\ &quot;Pts&quot;_-;\-* #,##0.00\ &quot;Pts&quot;_-;_-* &quot;-&quot;??\ &quot;Pts&quot;_-;_-@_-"/>
    <numFmt numFmtId="195" formatCode="mmm\ d\ \(ddd\)\ h\ AM/PM"/>
    <numFmt numFmtId="196" formatCode="#,##0;#,##0;;"/>
    <numFmt numFmtId="197" formatCode="0.00_)"/>
    <numFmt numFmtId="198" formatCode="#,##0.00_ ;[Red]\-#,##0.00;\ _-* &quot;-&quot;??_-;\ \ _-@_-"/>
    <numFmt numFmtId="199" formatCode="0%;\(0%\)"/>
    <numFmt numFmtId="200" formatCode="&quot;FY94P&quot;#"/>
    <numFmt numFmtId="201" formatCode="00\-0000\-00\-0000"/>
    <numFmt numFmtId="202" formatCode="0_);\(0\)"/>
    <numFmt numFmtId="203" formatCode="0.0_);[Red]\(0.0\)"/>
    <numFmt numFmtId="204" formatCode="h:mm:ss;@"/>
    <numFmt numFmtId="205" formatCode="ddmmyy"/>
    <numFmt numFmtId="206" formatCode="#,##0.0_);[Red]\(#,##0.0\)"/>
    <numFmt numFmtId="207" formatCode="&quot;£ &quot;#,##0;[Red]\-&quot;£ &quot;#,##0"/>
    <numFmt numFmtId="208" formatCode="&quot;£ &quot;#,##0.00;\-&quot;£ &quot;#,##0.00"/>
    <numFmt numFmtId="209" formatCode="_-&quot;£&quot;* #,##0_-;\-&quot;£&quot;* #,##0_-;_-&quot;£&quot;* &quot;-&quot;_-;_-@_-"/>
    <numFmt numFmtId="210" formatCode="_-&quot;£&quot;* #,##0.00_-;\-&quot;£&quot;* #,##0.00_-;_-&quot;£&quot;* &quot;-&quot;??_-;_-@_-"/>
    <numFmt numFmtId="211" formatCode="00000"/>
    <numFmt numFmtId="212" formatCode="[$-409]mmm\-yy;@"/>
    <numFmt numFmtId="213" formatCode="[$-409]mmmm\ d\,\ yyyy;@"/>
    <numFmt numFmtId="214" formatCode=";;;"/>
    <numFmt numFmtId="215" formatCode="_(&quot;$&quot;#,##0_);_(&quot;$&quot;\(#,##0\);_(\ &quot;--&quot;_);_(@_)"/>
    <numFmt numFmtId="216" formatCode="_(&quot;$&quot;\ #,##0_);_(&quot;$&quot;\(#,##0\);_(\ &quot;--&quot;_);_(@_)"/>
    <numFmt numFmtId="217" formatCode="#,##0;\(#,##0\)"/>
    <numFmt numFmtId="218" formatCode="#,##0.000_);[Red]\(#,##0.000\)"/>
    <numFmt numFmtId="219" formatCode="_(&quot;$&quot;* #,##0_);[Red]_(&quot;$&quot;* \(#,##0\);_(&quot;$&quot;* &quot;0&quot;_);_(@_)"/>
    <numFmt numFmtId="220" formatCode="_(&quot;$&quot;* #,##0.00_);[Red]_(&quot;$&quot;* \(#,##0.00\);_(&quot;$&quot;* &quot;0.00&quot;_);_(@_)"/>
    <numFmt numFmtId="221" formatCode="_(&quot;$&quot;* #,##0.000_);[Red]_(&quot;$&quot;* \(#,##0.000\);_(&quot;$&quot;* &quot;0.000&quot;_);_(@_)"/>
    <numFmt numFmtId="222" formatCode="_(&quot;$&quot;* #,##0.00000_);[Red]_(&quot;$&quot;* \(#,##0.00000\);_(&quot;$&quot;* &quot;0.00000&quot;_);_(@_)"/>
    <numFmt numFmtId="223" formatCode="0%;\(0\)%"/>
    <numFmt numFmtId="224" formatCode="0.00%;\(0.00\)%"/>
    <numFmt numFmtId="225" formatCode="0.0%;\(0.0%\)"/>
    <numFmt numFmtId="226" formatCode="&quot;$&quot;#,##0.0;[Blue]\(#,##0.0\)"/>
    <numFmt numFmtId="227" formatCode="#,###,_);[Red]\(#,###,\)"/>
    <numFmt numFmtId="228" formatCode="_(&quot;L&quot;* #,##0_);_(&quot;L&quot;* \(#,##0\);_(&quot;L&quot;* &quot;-&quot;_);_(@_)"/>
    <numFmt numFmtId="229" formatCode="#,##0.0,;[Red]\(#,##0.0,\)"/>
    <numFmt numFmtId="230" formatCode="&quot;$&quot;#,##0.000"/>
    <numFmt numFmtId="231" formatCode="&quot;$&quot;#,##0.0000_);\(&quot;$&quot;#,##0.0000\)"/>
    <numFmt numFmtId="232" formatCode="0."/>
    <numFmt numFmtId="233" formatCode="_(&quot;$&quot;* #,##0_);_(&quot;$&quot;* \(#,##0\);_(&quot;$&quot;* &quot;-&quot;??_);_(@_)"/>
    <numFmt numFmtId="234" formatCode="&quot;$&quot;#,##0.0000"/>
    <numFmt numFmtId="235" formatCode="_(* #,##0.00000_);_(* \(#,##0.00000\);_(* &quot;-&quot;??_);_(@_)"/>
  </numFmts>
  <fonts count="17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QTHelvetCnd"/>
    </font>
    <font>
      <sz val="9"/>
      <color theme="1"/>
      <name val="Calibri"/>
      <family val="2"/>
    </font>
    <font>
      <sz val="10"/>
      <name val="Genev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 Narrow"/>
      <family val="2"/>
    </font>
    <font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8"/>
      <name val="Times New Roman"/>
      <family val="1"/>
    </font>
    <font>
      <sz val="7"/>
      <name val="Ariel"/>
    </font>
    <font>
      <sz val="8"/>
      <color indexed="10"/>
      <name val="Arial"/>
      <family val="2"/>
    </font>
    <font>
      <b/>
      <sz val="8"/>
      <color indexed="52"/>
      <name val="Comic Sans MS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1"/>
      <color theme="1"/>
      <name val="Calisto MT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BERNHARD"/>
    </font>
    <font>
      <sz val="10"/>
      <name val="Helv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sz val="12"/>
      <color indexed="24"/>
      <name val="Arial"/>
      <family val="2"/>
    </font>
    <font>
      <sz val="10"/>
      <name val="MS Sans Serif"/>
      <family val="2"/>
    </font>
    <font>
      <sz val="9"/>
      <name val="Times"/>
      <family val="1"/>
    </font>
    <font>
      <b/>
      <sz val="12"/>
      <name val="Arial"/>
      <family val="2"/>
    </font>
    <font>
      <b/>
      <i/>
      <sz val="9"/>
      <name val="Arial"/>
      <family val="2"/>
    </font>
    <font>
      <b/>
      <sz val="18"/>
      <name val="Arial"/>
      <family val="2"/>
    </font>
    <font>
      <b/>
      <sz val="13"/>
      <color indexed="56"/>
      <name val="Comic Sans MS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0"/>
      <name val="Times New Roman"/>
      <family val="1"/>
    </font>
    <font>
      <sz val="8"/>
      <color indexed="62"/>
      <name val="Comic Sans MS"/>
      <family val="2"/>
    </font>
    <font>
      <b/>
      <sz val="36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8"/>
      <color indexed="63"/>
      <name val="Comic Sans MS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i/>
      <sz val="12"/>
      <color indexed="9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1"/>
      <name val="Times New Roman"/>
      <family val="1"/>
    </font>
    <font>
      <b/>
      <sz val="6"/>
      <name val="Arial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2"/>
      <name val="Tms Rmn"/>
    </font>
    <font>
      <b/>
      <sz val="11"/>
      <color indexed="10"/>
      <name val="Calibri"/>
      <family val="2"/>
    </font>
    <font>
      <b/>
      <sz val="11"/>
      <color indexed="52"/>
      <name val="Calibri"/>
      <family val="2"/>
      <scheme val="minor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i/>
      <u/>
      <sz val="12"/>
      <color indexed="10"/>
      <name val="Arial"/>
      <family val="2"/>
    </font>
    <font>
      <b/>
      <sz val="15"/>
      <color indexed="62"/>
      <name val="Calibri"/>
      <family val="2"/>
    </font>
    <font>
      <b/>
      <sz val="15"/>
      <name val="Times New Roman"/>
      <family val="1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name val="Helv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12"/>
      <name val="Arial MT"/>
    </font>
    <font>
      <sz val="11"/>
      <name val="Arial"/>
      <family val="2"/>
    </font>
    <font>
      <b/>
      <sz val="16"/>
      <color indexed="16"/>
      <name val="Arial"/>
      <family val="2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8"/>
      <color indexed="62"/>
      <name val="Cambria"/>
      <family val="2"/>
    </font>
    <font>
      <b/>
      <i/>
      <sz val="8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4F81BD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10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22"/>
      </patternFill>
    </fill>
    <fill>
      <patternFill patternType="solid">
        <fgColor indexed="9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029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8" fontId="6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22" borderId="15" applyNumberFormat="0" applyAlignment="0" applyProtection="0"/>
    <xf numFmtId="0" fontId="12" fillId="23" borderId="16" applyNumberFormat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" fillId="0" borderId="0" applyFill="0" applyBorder="0" applyAlignment="0" applyProtection="0"/>
    <xf numFmtId="44" fontId="2" fillId="0" borderId="0" applyFont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ill="0" applyBorder="0" applyAlignment="0" applyProtection="0"/>
    <xf numFmtId="0" fontId="14" fillId="6" borderId="0" applyNumberFormat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15" applyNumberFormat="0" applyAlignment="0" applyProtection="0"/>
    <xf numFmtId="0" fontId="19" fillId="0" borderId="20" applyNumberFormat="0" applyFill="0" applyAlignment="0" applyProtection="0"/>
    <xf numFmtId="0" fontId="20" fillId="24" borderId="0" applyNumberFormat="0" applyBorder="0" applyAlignment="0" applyProtection="0"/>
    <xf numFmtId="0" fontId="3" fillId="0" borderId="0"/>
    <xf numFmtId="0" fontId="21" fillId="25" borderId="21" applyNumberFormat="0" applyFont="0" applyAlignment="0" applyProtection="0"/>
    <xf numFmtId="0" fontId="22" fillId="22" borderId="22" applyNumberFormat="0" applyAlignment="0" applyProtection="0"/>
    <xf numFmtId="0" fontId="23" fillId="0" borderId="0" applyNumberFormat="0" applyFill="0" applyBorder="0" applyAlignment="0" applyProtection="0"/>
    <xf numFmtId="0" fontId="8" fillId="0" borderId="23" applyNumberFormat="0" applyFill="0" applyAlignment="0" applyProtection="0"/>
    <xf numFmtId="0" fontId="24" fillId="0" borderId="0" applyNumberFormat="0" applyFill="0" applyBorder="0" applyAlignment="0" applyProtection="0"/>
    <xf numFmtId="1" fontId="3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27" fillId="0" borderId="0" applyFont="0" applyFill="0" applyBorder="0" applyAlignment="0" applyProtection="0">
      <alignment horizontal="right"/>
    </xf>
    <xf numFmtId="2" fontId="27" fillId="0" borderId="0" applyFont="0" applyFill="0" applyBorder="0" applyAlignment="0" applyProtection="0">
      <alignment horizontal="right"/>
    </xf>
    <xf numFmtId="3" fontId="27" fillId="0" borderId="0" applyFont="0" applyFill="0" applyBorder="0" applyAlignment="0" applyProtection="0">
      <alignment horizontal="right"/>
    </xf>
    <xf numFmtId="168" fontId="27" fillId="0" borderId="0"/>
    <xf numFmtId="0" fontId="28" fillId="0" borderId="6" applyFill="0" applyProtection="0">
      <alignment horizontal="right" wrapText="1"/>
    </xf>
    <xf numFmtId="0" fontId="30" fillId="0" borderId="0" applyFill="0" applyBorder="0" applyProtection="0">
      <alignment horizontal="left" wrapText="1"/>
    </xf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33" borderId="0" applyNumberFormat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" fillId="0" borderId="0"/>
    <xf numFmtId="0" fontId="43" fillId="0" borderId="0"/>
    <xf numFmtId="9" fontId="43" fillId="0" borderId="0" applyFont="0" applyFill="0" applyBorder="0" applyAlignment="0" applyProtection="0"/>
    <xf numFmtId="0" fontId="45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6" fillId="0" borderId="0"/>
    <xf numFmtId="0" fontId="48" fillId="0" borderId="0"/>
    <xf numFmtId="0" fontId="3" fillId="0" borderId="0"/>
    <xf numFmtId="0" fontId="47" fillId="0" borderId="0"/>
    <xf numFmtId="0" fontId="50" fillId="0" borderId="0" applyNumberFormat="0" applyFill="0" applyBorder="0" applyAlignment="0" applyProtection="0"/>
    <xf numFmtId="181" fontId="3" fillId="0" borderId="0">
      <alignment horizontal="left" wrapText="1"/>
    </xf>
    <xf numFmtId="0" fontId="3" fillId="0" borderId="0"/>
    <xf numFmtId="0" fontId="48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" fillId="0" borderId="0"/>
    <xf numFmtId="0" fontId="51" fillId="0" borderId="0"/>
    <xf numFmtId="0" fontId="3" fillId="0" borderId="0"/>
    <xf numFmtId="0" fontId="3" fillId="0" borderId="0"/>
    <xf numFmtId="0" fontId="47" fillId="0" borderId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47" borderId="0" applyNumberFormat="0" applyBorder="0" applyAlignment="0" applyProtection="0"/>
    <xf numFmtId="0" fontId="52" fillId="0" borderId="0">
      <alignment horizontal="center" wrapText="1"/>
      <protection locked="0"/>
    </xf>
    <xf numFmtId="0" fontId="53" fillId="0" borderId="0" applyNumberFormat="0" applyProtection="0"/>
    <xf numFmtId="0" fontId="3" fillId="48" borderId="1"/>
    <xf numFmtId="0" fontId="3" fillId="49" borderId="1"/>
    <xf numFmtId="0" fontId="3" fillId="50" borderId="1"/>
    <xf numFmtId="0" fontId="3" fillId="51" borderId="1"/>
    <xf numFmtId="0" fontId="3" fillId="52" borderId="1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3" fillId="53" borderId="8" applyBorder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2" fontId="54" fillId="47" borderId="0" applyAlignment="0">
      <alignment horizontal="right"/>
    </xf>
    <xf numFmtId="3" fontId="28" fillId="54" borderId="0" applyNumberFormat="0" applyBorder="0" applyAlignment="0" applyProtection="0"/>
    <xf numFmtId="181" fontId="3" fillId="0" borderId="0" applyFill="0" applyBorder="0" applyAlignment="0"/>
    <xf numFmtId="166" fontId="3" fillId="0" borderId="0" applyFill="0" applyBorder="0" applyAlignment="0"/>
    <xf numFmtId="183" fontId="3" fillId="0" borderId="0" applyFill="0" applyBorder="0" applyAlignment="0"/>
    <xf numFmtId="184" fontId="3" fillId="0" borderId="0" applyFill="0" applyBorder="0" applyAlignment="0"/>
    <xf numFmtId="17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3" fontId="27" fillId="0" borderId="0" applyNumberFormat="0" applyFill="0" applyBorder="0"/>
    <xf numFmtId="3" fontId="27" fillId="0" borderId="0" applyNumberFormat="0" applyFill="0" applyBorder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1" fillId="0" borderId="0"/>
    <xf numFmtId="0" fontId="56" fillId="55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3" fontId="57" fillId="56" borderId="26">
      <alignment horizontal="right"/>
    </xf>
    <xf numFmtId="0" fontId="12" fillId="23" borderId="16" applyNumberFormat="0" applyAlignment="0" applyProtection="0"/>
    <xf numFmtId="0" fontId="12" fillId="23" borderId="16" applyNumberFormat="0" applyAlignment="0" applyProtection="0"/>
    <xf numFmtId="0" fontId="12" fillId="23" borderId="16" applyNumberFormat="0" applyAlignment="0" applyProtection="0"/>
    <xf numFmtId="0" fontId="27" fillId="0" borderId="0" applyNumberFormat="0" applyFill="0" applyBorder="0" applyProtection="0">
      <alignment horizontal="center" wrapText="1"/>
    </xf>
    <xf numFmtId="0" fontId="27" fillId="0" borderId="0" applyNumberFormat="0" applyFill="0" applyBorder="0" applyProtection="0">
      <alignment horizontal="center" wrapText="1"/>
    </xf>
    <xf numFmtId="4" fontId="28" fillId="57" borderId="27" applyNumberFormat="0" applyProtection="0">
      <alignment horizontal="right" wrapText="1"/>
    </xf>
    <xf numFmtId="18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61" fillId="0" borderId="0"/>
    <xf numFmtId="0" fontId="62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ill="0" applyBorder="0" applyAlignment="0" applyProtection="0"/>
    <xf numFmtId="0" fontId="61" fillId="0" borderId="0"/>
    <xf numFmtId="0" fontId="62" fillId="0" borderId="0"/>
    <xf numFmtId="0" fontId="63" fillId="0" borderId="24" applyBorder="0" applyProtection="0"/>
    <xf numFmtId="0" fontId="64" fillId="0" borderId="0" applyNumberFormat="0" applyAlignment="0">
      <alignment horizontal="left"/>
    </xf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56" fillId="58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3" fillId="47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6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7" fillId="59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187" fontId="68" fillId="60" borderId="26">
      <alignment horizontal="right"/>
    </xf>
    <xf numFmtId="0" fontId="27" fillId="0" borderId="0" applyNumberFormat="0" applyAlignment="0">
      <alignment horizont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49" fillId="0" borderId="0" applyFill="0" applyBorder="0" applyAlignment="0"/>
    <xf numFmtId="0" fontId="30" fillId="47" borderId="0" applyNumberFormat="0" applyBorder="0" applyAlignment="0" applyProtection="0"/>
    <xf numFmtId="0" fontId="69" fillId="0" borderId="0">
      <alignment horizontal="left" vertical="top" wrapText="1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0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8" fontId="73" fillId="61" borderId="0" applyNumberFormat="0" applyFont="0" applyAlignment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74" fillId="61" borderId="1"/>
    <xf numFmtId="38" fontId="27" fillId="54" borderId="0" applyNumberFormat="0" applyBorder="0" applyAlignment="0" applyProtection="0"/>
    <xf numFmtId="38" fontId="27" fillId="54" borderId="0" applyNumberFormat="0" applyBorder="0" applyAlignment="0" applyProtection="0"/>
    <xf numFmtId="38" fontId="27" fillId="54" borderId="0" applyNumberFormat="0" applyBorder="0" applyAlignment="0" applyProtection="0"/>
    <xf numFmtId="0" fontId="57" fillId="53" borderId="28">
      <alignment vertical="top" wrapText="1"/>
    </xf>
    <xf numFmtId="0" fontId="75" fillId="0" borderId="29" applyNumberFormat="0" applyAlignment="0" applyProtection="0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4" fontId="76" fillId="54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8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9" fillId="0" borderId="0"/>
    <xf numFmtId="0" fontId="79" fillId="0" borderId="0"/>
    <xf numFmtId="0" fontId="3" fillId="0" borderId="0"/>
    <xf numFmtId="0" fontId="80" fillId="0" borderId="30">
      <alignment horizontal="center"/>
    </xf>
    <xf numFmtId="0" fontId="80" fillId="0" borderId="0">
      <alignment horizontal="center"/>
    </xf>
    <xf numFmtId="0" fontId="81" fillId="0" borderId="0">
      <alignment vertical="center"/>
    </xf>
    <xf numFmtId="0" fontId="82" fillId="0" borderId="0"/>
    <xf numFmtId="0" fontId="82" fillId="0" borderId="6" applyFill="0" applyBorder="0" applyProtection="0">
      <alignment horizontal="center" wrapText="1"/>
    </xf>
    <xf numFmtId="0" fontId="82" fillId="0" borderId="0" applyFill="0" applyBorder="0" applyProtection="0">
      <alignment horizontal="left" vertical="top" wrapText="1"/>
    </xf>
    <xf numFmtId="190" fontId="83" fillId="0" borderId="0">
      <protection hidden="1"/>
    </xf>
    <xf numFmtId="10" fontId="27" fillId="62" borderId="1" applyNumberFormat="0" applyBorder="0" applyAlignment="0" applyProtection="0"/>
    <xf numFmtId="10" fontId="27" fillId="62" borderId="1" applyNumberFormat="0" applyBorder="0" applyAlignment="0" applyProtection="0"/>
    <xf numFmtId="10" fontId="27" fillId="62" borderId="1" applyNumberFormat="0" applyBorder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0" fontId="85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" fillId="0" borderId="1" applyNumberFormat="0">
      <alignment horizontal="left" wrapText="1"/>
      <protection locked="0"/>
    </xf>
    <xf numFmtId="0" fontId="3" fillId="0" borderId="1" applyNumberFormat="0">
      <alignment horizontal="left" wrapText="1"/>
      <protection locked="0"/>
    </xf>
    <xf numFmtId="0" fontId="3" fillId="63" borderId="1" applyFont="0" applyFill="0" applyBorder="0" applyAlignment="0" applyProtection="0">
      <alignment horizontal="center"/>
      <protection locked="0"/>
    </xf>
    <xf numFmtId="0" fontId="3" fillId="62" borderId="1" applyNumberFormat="0" applyProtection="0">
      <alignment vertical="center" wrapText="1"/>
    </xf>
    <xf numFmtId="0" fontId="3" fillId="62" borderId="1" applyNumberFormat="0" applyProtection="0">
      <alignment vertical="center" wrapText="1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9" fontId="28" fillId="54" borderId="0" applyNumberFormat="0" applyFont="0" applyBorder="0" applyAlignment="0">
      <protection locked="0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5" fontId="79" fillId="64" borderId="31" applyNumberFormat="0" applyAlignment="0" applyProtection="0">
      <alignment horizontal="left"/>
    </xf>
    <xf numFmtId="196" fontId="82" fillId="0" borderId="0" applyFont="0" applyFill="0" applyBorder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37" fontId="87" fillId="0" borderId="0"/>
    <xf numFmtId="0" fontId="3" fillId="0" borderId="32">
      <alignment horizontal="center"/>
    </xf>
    <xf numFmtId="0" fontId="83" fillId="0" borderId="0"/>
    <xf numFmtId="0" fontId="3" fillId="54" borderId="1" applyNumberFormat="0" applyAlignment="0"/>
    <xf numFmtId="0" fontId="3" fillId="54" borderId="1" applyNumberFormat="0" applyAlignment="0"/>
    <xf numFmtId="197" fontId="8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60" fillId="0" borderId="0"/>
    <xf numFmtId="0" fontId="60" fillId="0" borderId="0"/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8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39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59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6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6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" fillId="65" borderId="1" applyNumberFormat="0" applyFont="0" applyBorder="0" applyAlignment="0" applyProtection="0"/>
    <xf numFmtId="0" fontId="7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7" fillId="25" borderId="21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198" fontId="91" fillId="58" borderId="26">
      <alignment horizontal="right"/>
    </xf>
    <xf numFmtId="49" fontId="92" fillId="66" borderId="0" applyFont="0" applyFill="0" applyBorder="0" applyAlignment="0">
      <alignment horizontal="right"/>
    </xf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14" fontId="52" fillId="0" borderId="0">
      <alignment horizontal="center" wrapText="1"/>
      <protection locked="0"/>
    </xf>
    <xf numFmtId="0" fontId="27" fillId="0" borderId="0"/>
    <xf numFmtId="0" fontId="27" fillId="0" borderId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200" fontId="82" fillId="0" borderId="0" applyFont="0" applyFill="0" applyBorder="0" applyProtection="0">
      <alignment horizontal="center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3" fillId="0" borderId="0" applyFill="0" applyBorder="0">
      <alignment vertical="top"/>
    </xf>
    <xf numFmtId="0" fontId="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201" fontId="27" fillId="0" borderId="0" applyFont="0" applyFill="0" applyBorder="0" applyAlignment="0" applyProtection="0"/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0" fontId="73" fillId="67" borderId="0" applyNumberFormat="0" applyFont="0" applyBorder="0" applyAlignment="0" applyProtection="0"/>
    <xf numFmtId="38" fontId="3" fillId="0" borderId="0" applyFill="0" applyBorder="0">
      <alignment horizontal="center" vertical="top"/>
    </xf>
    <xf numFmtId="38" fontId="3" fillId="0" borderId="0" applyFill="0" applyBorder="0">
      <alignment horizontal="center" vertical="top"/>
    </xf>
    <xf numFmtId="0" fontId="95" fillId="68" borderId="0" applyNumberFormat="0" applyFont="0" applyBorder="0" applyAlignment="0">
      <alignment horizontal="center"/>
    </xf>
    <xf numFmtId="0" fontId="96" fillId="0" borderId="0" applyNumberFormat="0" applyFill="0" applyBorder="0" applyAlignment="0" applyProtection="0">
      <alignment horizontal="left"/>
    </xf>
    <xf numFmtId="38" fontId="96" fillId="0" borderId="0"/>
    <xf numFmtId="3" fontId="28" fillId="57" borderId="27" applyNumberFormat="0" applyFill="0" applyBorder="0" applyProtection="0">
      <alignment horizontal="left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7" fillId="53" borderId="0" applyAlignment="0"/>
    <xf numFmtId="0" fontId="98" fillId="0" borderId="0" applyNumberFormat="0" applyFill="0" applyBorder="0" applyAlignment="0">
      <alignment horizontal="center"/>
    </xf>
    <xf numFmtId="0" fontId="3" fillId="69" borderId="0"/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4" fontId="3" fillId="70" borderId="26">
      <alignment horizontal="right"/>
    </xf>
    <xf numFmtId="0" fontId="99" fillId="0" borderId="1">
      <alignment horizontal="center"/>
    </xf>
    <xf numFmtId="0" fontId="46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99" fillId="0" borderId="0">
      <alignment horizontal="center" vertical="center"/>
    </xf>
    <xf numFmtId="0" fontId="100" fillId="71" borderId="0" applyNumberFormat="0" applyFill="0">
      <alignment horizontal="left" vertical="center"/>
    </xf>
    <xf numFmtId="0" fontId="101" fillId="0" borderId="24"/>
    <xf numFmtId="40" fontId="102" fillId="0" borderId="0" applyBorder="0">
      <alignment horizontal="right"/>
    </xf>
    <xf numFmtId="0" fontId="3" fillId="0" borderId="0"/>
    <xf numFmtId="0" fontId="57" fillId="62" borderId="1" applyNumberFormat="0" applyAlignment="0">
      <alignment horizontal="center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49" fontId="49" fillId="0" borderId="0" applyFill="0" applyBorder="0" applyAlignment="0"/>
    <xf numFmtId="202" fontId="3" fillId="0" borderId="0" applyFill="0" applyBorder="0" applyAlignment="0"/>
    <xf numFmtId="203" fontId="3" fillId="0" borderId="0" applyFill="0" applyBorder="0" applyAlignment="0"/>
    <xf numFmtId="0" fontId="3" fillId="0" borderId="0" applyFont="0" applyFill="0" applyBorder="0" applyAlignment="0" applyProtection="0"/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40" fontId="10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4" fillId="72" borderId="0" applyNumberFormat="0" applyFont="0" applyBorder="0" applyAlignment="0">
      <alignment wrapText="1"/>
    </xf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205" fontId="84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107" fillId="73" borderId="0">
      <alignment horizontal="center"/>
    </xf>
    <xf numFmtId="207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209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8" fillId="0" borderId="35" applyNumberFormat="0" applyBorder="0">
      <alignment wrapText="1"/>
    </xf>
    <xf numFmtId="211" fontId="109" fillId="66" borderId="0" applyFont="0" applyFill="0"/>
    <xf numFmtId="0" fontId="3" fillId="0" borderId="0"/>
    <xf numFmtId="43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84" fillId="0" borderId="0" applyFont="0" applyFill="0" applyBorder="0" applyAlignment="0"/>
    <xf numFmtId="0" fontId="52" fillId="0" borderId="0"/>
    <xf numFmtId="0" fontId="52" fillId="0" borderId="0"/>
    <xf numFmtId="0" fontId="41" fillId="0" borderId="0" applyFont="0" applyAlignment="0">
      <alignment horizontal="center" vertical="center"/>
    </xf>
    <xf numFmtId="0" fontId="84" fillId="0" borderId="0"/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84" fillId="0" borderId="0"/>
    <xf numFmtId="0" fontId="84" fillId="0" borderId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164" fontId="125" fillId="0" borderId="1" applyNumberFormat="0" applyFill="0" applyBorder="0" applyAlignment="0" applyProtection="0">
      <alignment horizontal="right"/>
    </xf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2" fillId="4" borderId="0" applyNumberFormat="0" applyBorder="0" applyAlignment="0" applyProtection="0"/>
    <xf numFmtId="212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4" borderId="0" applyNumberFormat="0" applyBorder="0" applyAlignment="0" applyProtection="0"/>
    <xf numFmtId="212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3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213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2" fillId="5" borderId="0" applyNumberFormat="0" applyBorder="0" applyAlignment="0" applyProtection="0"/>
    <xf numFmtId="212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5" borderId="0" applyNumberFormat="0" applyBorder="0" applyAlignment="0" applyProtection="0"/>
    <xf numFmtId="212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2" fillId="6" borderId="0" applyNumberFormat="0" applyBorder="0" applyAlignment="0" applyProtection="0"/>
    <xf numFmtId="212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6" borderId="0" applyNumberFormat="0" applyBorder="0" applyAlignment="0" applyProtection="0"/>
    <xf numFmtId="212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2" fillId="7" borderId="0" applyNumberFormat="0" applyBorder="0" applyAlignment="0" applyProtection="0"/>
    <xf numFmtId="212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212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212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3" borderId="0" applyNumberFormat="0" applyBorder="0" applyAlignment="0" applyProtection="0"/>
    <xf numFmtId="212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3" borderId="0" applyNumberFormat="0" applyBorder="0" applyAlignment="0" applyProtection="0"/>
    <xf numFmtId="212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8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164" fontId="126" fillId="0" borderId="1" applyNumberFormat="0" applyFill="0" applyBorder="0" applyAlignment="0" applyProtection="0"/>
    <xf numFmtId="10" fontId="127" fillId="0" borderId="1" applyNumberFormat="0" applyFill="0" applyBorder="0" applyAlignment="0" applyProtection="0">
      <alignment horizontal="right"/>
    </xf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2" fillId="10" borderId="0" applyNumberFormat="0" applyBorder="0" applyAlignment="0" applyProtection="0"/>
    <xf numFmtId="212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212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9" borderId="0" applyNumberFormat="0" applyBorder="0" applyAlignment="0" applyProtection="0"/>
    <xf numFmtId="212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9" borderId="0" applyNumberFormat="0" applyBorder="0" applyAlignment="0" applyProtection="0"/>
    <xf numFmtId="212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12" borderId="0" applyNumberFormat="0" applyBorder="0" applyAlignment="0" applyProtection="0"/>
    <xf numFmtId="212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7" borderId="0" applyNumberFormat="0" applyBorder="0" applyAlignment="0" applyProtection="0"/>
    <xf numFmtId="212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212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12" fontId="2" fillId="13" borderId="0" applyNumberFormat="0" applyBorder="0" applyAlignment="0" applyProtection="0"/>
    <xf numFmtId="212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13" borderId="0" applyNumberFormat="0" applyBorder="0" applyAlignment="0" applyProtection="0"/>
    <xf numFmtId="0" fontId="3" fillId="0" borderId="0"/>
    <xf numFmtId="0" fontId="3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45" fillId="81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212" fontId="45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212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83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45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1" borderId="0" applyNumberFormat="0" applyBorder="0" applyAlignment="0" applyProtection="0"/>
    <xf numFmtId="212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45" fillId="85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212" fontId="45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212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7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212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9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45" fillId="9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212" fontId="45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212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212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45" fillId="35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45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212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212" fontId="45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212" fontId="9" fillId="92" borderId="0" applyNumberFormat="0" applyBorder="0" applyAlignment="0" applyProtection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9" fillId="18" borderId="0" applyNumberFormat="0" applyBorder="0" applyAlignment="0" applyProtection="0"/>
    <xf numFmtId="212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82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45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9" borderId="0" applyNumberFormat="0" applyBorder="0" applyAlignment="0" applyProtection="0"/>
    <xf numFmtId="212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45" fillId="84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212" fontId="45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212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6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212" fontId="9" fillId="93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3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8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90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45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212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212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38" fontId="96" fillId="0" borderId="0" applyBorder="0" applyAlignment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15" fillId="76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15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212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212" fontId="115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212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212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2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9" fillId="79" borderId="39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30" fillId="73" borderId="45" applyNumberFormat="0" applyAlignment="0" applyProtection="0"/>
    <xf numFmtId="0" fontId="3" fillId="0" borderId="0"/>
    <xf numFmtId="0" fontId="131" fillId="22" borderId="39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212" fontId="11" fillId="22" borderId="45" applyNumberFormat="0" applyAlignment="0" applyProtection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30" fillId="73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3" borderId="45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1" fillId="80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1" fillId="80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2" fontId="49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13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3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3" fillId="0" borderId="0"/>
    <xf numFmtId="43" fontId="8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49" fillId="0" borderId="0"/>
    <xf numFmtId="0" fontId="3" fillId="0" borderId="0"/>
    <xf numFmtId="42" fontId="49" fillId="0" borderId="0"/>
    <xf numFmtId="42" fontId="49" fillId="0" borderId="0"/>
    <xf numFmtId="0" fontId="3" fillId="0" borderId="0"/>
    <xf numFmtId="42" fontId="49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1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3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71" borderId="0" applyFont="0" applyFill="0" applyBorder="0" applyAlignment="0" applyProtection="0"/>
    <xf numFmtId="212" fontId="3" fillId="71" borderId="0" applyFont="0" applyFill="0" applyBorder="0" applyAlignment="0" applyProtection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212" fontId="3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2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2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14" fillId="75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212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212" fontId="1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212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212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38" fontId="27" fillId="54" borderId="0" applyNumberFormat="0" applyBorder="0" applyAlignment="0" applyProtection="0"/>
    <xf numFmtId="0" fontId="3" fillId="0" borderId="0"/>
    <xf numFmtId="0" fontId="3" fillId="0" borderId="0"/>
    <xf numFmtId="0" fontId="135" fillId="0" borderId="0">
      <alignment horizontal="left"/>
    </xf>
    <xf numFmtId="212" fontId="135" fillId="0" borderId="0">
      <alignment horizontal="left"/>
    </xf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11" fillId="0" borderId="3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212" fontId="136" fillId="0" borderId="46" applyNumberFormat="0" applyFill="0" applyAlignment="0" applyProtection="0"/>
    <xf numFmtId="0" fontId="136" fillId="0" borderId="46" applyNumberFormat="0" applyFill="0" applyAlignment="0" applyProtection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12" fillId="0" borderId="3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212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13" fillId="0" borderId="3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212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13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212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212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10" fontId="27" fillId="62" borderId="1" applyNumberFormat="0" applyBorder="0" applyAlignment="0" applyProtection="0"/>
    <xf numFmtId="0" fontId="3" fillId="0" borderId="0"/>
    <xf numFmtId="0" fontId="3" fillId="0" borderId="0"/>
    <xf numFmtId="10" fontId="27" fillId="62" borderId="1" applyNumberFormat="0" applyBorder="0" applyAlignment="0" applyProtection="0"/>
    <xf numFmtId="0" fontId="3" fillId="0" borderId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17" fillId="78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212" fontId="18" fillId="9" borderId="45" applyNumberFormat="0" applyAlignment="0" applyProtection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27" fillId="54" borderId="0"/>
    <xf numFmtId="0" fontId="3" fillId="0" borderId="0"/>
    <xf numFmtId="0" fontId="27" fillId="54" borderId="0"/>
    <xf numFmtId="0" fontId="3" fillId="0" borderId="0"/>
    <xf numFmtId="212" fontId="27" fillId="54" borderId="0"/>
    <xf numFmtId="0" fontId="3" fillId="0" borderId="0"/>
    <xf numFmtId="0" fontId="3" fillId="0" borderId="0"/>
    <xf numFmtId="0" fontId="27" fillId="54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20" fillId="0" borderId="41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212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212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17" fontId="140" fillId="0" borderId="0">
      <alignment horizontal="center"/>
    </xf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16" fillId="77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142" fillId="77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212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212" fontId="142" fillId="7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52" fillId="0" borderId="0" applyNumberFormat="0" applyFill="0" applyBorder="0" applyAlignment="0" applyProtection="0"/>
    <xf numFmtId="37" fontId="87" fillId="0" borderId="0"/>
    <xf numFmtId="0" fontId="3" fillId="0" borderId="0"/>
    <xf numFmtId="0" fontId="3" fillId="0" borderId="0"/>
    <xf numFmtId="37" fontId="87" fillId="0" borderId="0"/>
    <xf numFmtId="0" fontId="3" fillId="0" borderId="0"/>
    <xf numFmtId="0" fontId="3" fillId="0" borderId="0"/>
    <xf numFmtId="37" fontId="87" fillId="0" borderId="0"/>
    <xf numFmtId="37" fontId="87" fillId="0" borderId="0"/>
    <xf numFmtId="0" fontId="3" fillId="0" borderId="0"/>
    <xf numFmtId="0" fontId="3" fillId="0" borderId="0"/>
    <xf numFmtId="0" fontId="3" fillId="0" borderId="0"/>
    <xf numFmtId="197" fontId="8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212" fontId="2" fillId="0" borderId="0"/>
    <xf numFmtId="212" fontId="2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0" fontId="49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213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9" fontId="143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39" fontId="8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1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2" fillId="0" borderId="0"/>
    <xf numFmtId="0" fontId="2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9" fillId="0" borderId="0"/>
    <xf numFmtId="0" fontId="8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212" fontId="84" fillId="0" borderId="0"/>
    <xf numFmtId="0" fontId="7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213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7" fillId="34" borderId="25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212" fontId="3" fillId="25" borderId="50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212" fontId="7" fillId="34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2" fillId="34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118" fillId="79" borderId="40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118" fillId="22" borderId="40" applyNumberFormat="0" applyAlignment="0" applyProtection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73" borderId="51" applyNumberFormat="0" applyAlignment="0" applyProtection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3" borderId="51" applyNumberFormat="0" applyAlignment="0" applyProtection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49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25" fontId="57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7" borderId="0" applyNumberFormat="0" applyFont="0" applyBorder="0" applyAlignment="0" applyProtection="0"/>
    <xf numFmtId="212" fontId="73" fillId="67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7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67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144" fillId="58" borderId="6">
      <alignment horizontal="right"/>
    </xf>
    <xf numFmtId="38" fontId="3" fillId="94" borderId="0" applyNumberFormat="0" applyFont="0" applyBorder="0" applyAlignment="0" applyProtection="0"/>
    <xf numFmtId="38" fontId="3" fillId="94" borderId="0" applyNumberFormat="0" applyFont="0" applyBorder="0" applyAlignment="0" applyProtection="0"/>
    <xf numFmtId="0" fontId="3" fillId="0" borderId="0"/>
    <xf numFmtId="0" fontId="3" fillId="0" borderId="0"/>
    <xf numFmtId="38" fontId="3" fillId="94" borderId="0" applyNumberFormat="0" applyFont="0" applyBorder="0" applyAlignment="0" applyProtection="0"/>
    <xf numFmtId="38" fontId="3" fillId="94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94" borderId="0" applyNumberFormat="0" applyFont="0" applyBorder="0" applyAlignment="0" applyProtection="0"/>
    <xf numFmtId="0" fontId="3" fillId="0" borderId="0"/>
    <xf numFmtId="0" fontId="3" fillId="0" borderId="0"/>
    <xf numFmtId="38" fontId="3" fillId="94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145" fillId="0" borderId="0" applyNumberFormat="0">
      <alignment horizontal="left"/>
    </xf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37" fontId="146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7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8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6" fontId="144" fillId="0" borderId="0"/>
    <xf numFmtId="0" fontId="3" fillId="0" borderId="0"/>
    <xf numFmtId="0" fontId="3" fillId="0" borderId="0"/>
    <xf numFmtId="0" fontId="3" fillId="0" borderId="0"/>
    <xf numFmtId="227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10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212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212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124" fillId="0" borderId="4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124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212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212" fontId="124" fillId="0" borderId="52" applyNumberFormat="0" applyFill="0" applyAlignment="0" applyProtection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122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1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2" fillId="0" borderId="0"/>
    <xf numFmtId="0" fontId="153" fillId="0" borderId="0"/>
    <xf numFmtId="0" fontId="1" fillId="0" borderId="0"/>
    <xf numFmtId="44" fontId="1" fillId="0" borderId="0" applyFont="0" applyFill="0" applyBorder="0" applyAlignment="0" applyProtection="0"/>
  </cellStyleXfs>
  <cellXfs count="822">
    <xf numFmtId="0" fontId="0" fillId="0" borderId="0" xfId="0"/>
    <xf numFmtId="0" fontId="26" fillId="2" borderId="0" xfId="0" applyFont="1" applyFill="1" applyAlignment="1">
      <alignment horizontal="right"/>
    </xf>
    <xf numFmtId="0" fontId="26" fillId="2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horizontal="right"/>
    </xf>
    <xf numFmtId="168" fontId="27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167" fontId="27" fillId="2" borderId="0" xfId="0" applyNumberFormat="1" applyFont="1" applyFill="1" applyAlignment="1">
      <alignment horizontal="left"/>
    </xf>
    <xf numFmtId="3" fontId="27" fillId="2" borderId="0" xfId="0" applyNumberFormat="1" applyFont="1" applyFill="1" applyAlignment="1">
      <alignment horizontal="left"/>
    </xf>
    <xf numFmtId="9" fontId="27" fillId="2" borderId="0" xfId="2" applyFont="1" applyFill="1" applyAlignment="1">
      <alignment horizontal="left"/>
    </xf>
    <xf numFmtId="0" fontId="27" fillId="2" borderId="0" xfId="0" applyFont="1" applyFill="1" applyBorder="1"/>
    <xf numFmtId="164" fontId="27" fillId="2" borderId="0" xfId="1" applyNumberFormat="1" applyFont="1" applyFill="1"/>
    <xf numFmtId="0" fontId="27" fillId="2" borderId="1" xfId="0" applyFont="1" applyFill="1" applyBorder="1"/>
    <xf numFmtId="165" fontId="27" fillId="2" borderId="0" xfId="1" applyNumberFormat="1" applyFont="1" applyFill="1" applyAlignment="1">
      <alignment horizontal="left"/>
    </xf>
    <xf numFmtId="168" fontId="27" fillId="2" borderId="0" xfId="0" applyNumberFormat="1" applyFont="1" applyFill="1"/>
    <xf numFmtId="0" fontId="28" fillId="2" borderId="0" xfId="0" applyFont="1" applyFill="1"/>
    <xf numFmtId="0" fontId="37" fillId="2" borderId="0" xfId="0" applyFont="1" applyFill="1"/>
    <xf numFmtId="168" fontId="27" fillId="2" borderId="0" xfId="0" applyNumberFormat="1" applyFont="1" applyFill="1" applyAlignment="1">
      <alignment horizontal="left" wrapText="1"/>
    </xf>
    <xf numFmtId="168" fontId="27" fillId="2" borderId="0" xfId="0" applyNumberFormat="1" applyFont="1" applyFill="1" applyAlignment="1">
      <alignment horizontal="left"/>
    </xf>
    <xf numFmtId="164" fontId="27" fillId="26" borderId="9" xfId="1" applyNumberFormat="1" applyFont="1" applyFill="1" applyBorder="1" applyAlignment="1">
      <alignment horizontal="right"/>
    </xf>
    <xf numFmtId="164" fontId="27" fillId="26" borderId="9" xfId="1" applyNumberFormat="1" applyFont="1" applyFill="1" applyBorder="1" applyAlignment="1">
      <alignment horizontal="right" wrapText="1"/>
    </xf>
    <xf numFmtId="5" fontId="27" fillId="26" borderId="10" xfId="1" applyNumberFormat="1" applyFont="1" applyFill="1" applyBorder="1" applyAlignment="1">
      <alignment horizontal="right"/>
    </xf>
    <xf numFmtId="168" fontId="27" fillId="26" borderId="10" xfId="1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/>
    <xf numFmtId="164" fontId="27" fillId="26" borderId="7" xfId="1" applyNumberFormat="1" applyFont="1" applyFill="1" applyBorder="1" applyAlignment="1">
      <alignment horizontal="right"/>
    </xf>
    <xf numFmtId="175" fontId="27" fillId="26" borderId="4" xfId="1" applyNumberFormat="1" applyFont="1" applyFill="1" applyBorder="1" applyAlignment="1">
      <alignment horizontal="right"/>
    </xf>
    <xf numFmtId="164" fontId="27" fillId="26" borderId="10" xfId="1" applyNumberFormat="1" applyFont="1" applyFill="1" applyBorder="1" applyAlignment="1">
      <alignment horizontal="right" wrapText="1"/>
    </xf>
    <xf numFmtId="164" fontId="27" fillId="26" borderId="2" xfId="1" applyNumberFormat="1" applyFont="1" applyFill="1" applyBorder="1" applyAlignment="1">
      <alignment horizontal="right"/>
    </xf>
    <xf numFmtId="168" fontId="27" fillId="26" borderId="24" xfId="0" applyNumberFormat="1" applyFont="1" applyFill="1" applyBorder="1" applyAlignment="1"/>
    <xf numFmtId="168" fontId="27" fillId="26" borderId="24" xfId="0" applyNumberFormat="1" applyFont="1" applyFill="1" applyBorder="1" applyAlignment="1">
      <alignment horizontal="right"/>
    </xf>
    <xf numFmtId="0" fontId="27" fillId="26" borderId="3" xfId="0" applyFont="1" applyFill="1" applyBorder="1" applyAlignment="1">
      <alignment horizontal="right"/>
    </xf>
    <xf numFmtId="0" fontId="27" fillId="26" borderId="24" xfId="0" applyFont="1" applyFill="1" applyBorder="1" applyAlignment="1">
      <alignment horizontal="right"/>
    </xf>
    <xf numFmtId="0" fontId="27" fillId="26" borderId="13" xfId="0" applyFont="1" applyFill="1" applyBorder="1" applyAlignment="1">
      <alignment horizontal="right"/>
    </xf>
    <xf numFmtId="9" fontId="27" fillId="26" borderId="24" xfId="0" applyNumberFormat="1" applyFont="1" applyFill="1" applyBorder="1" applyAlignment="1">
      <alignment horizontal="right"/>
    </xf>
    <xf numFmtId="0" fontId="27" fillId="26" borderId="10" xfId="0" applyFont="1" applyFill="1" applyBorder="1" applyAlignment="1">
      <alignment horizontal="right"/>
    </xf>
    <xf numFmtId="0" fontId="27" fillId="26" borderId="5" xfId="0" applyFont="1" applyFill="1" applyBorder="1" applyAlignment="1">
      <alignment horizontal="right"/>
    </xf>
    <xf numFmtId="175" fontId="27" fillId="26" borderId="7" xfId="1" applyNumberFormat="1" applyFont="1" applyFill="1" applyBorder="1" applyAlignment="1">
      <alignment horizontal="right"/>
    </xf>
    <xf numFmtId="9" fontId="27" fillId="26" borderId="9" xfId="2" applyNumberFormat="1" applyFont="1" applyFill="1" applyBorder="1"/>
    <xf numFmtId="164" fontId="27" fillId="26" borderId="24" xfId="1" applyNumberFormat="1" applyFont="1" applyFill="1" applyBorder="1"/>
    <xf numFmtId="10" fontId="27" fillId="26" borderId="24" xfId="2" applyNumberFormat="1" applyFont="1" applyFill="1" applyBorder="1"/>
    <xf numFmtId="43" fontId="27" fillId="26" borderId="24" xfId="1" applyNumberFormat="1" applyFont="1" applyFill="1" applyBorder="1"/>
    <xf numFmtId="164" fontId="27" fillId="26" borderId="10" xfId="1" applyNumberFormat="1" applyFont="1" applyFill="1" applyBorder="1"/>
    <xf numFmtId="9" fontId="27" fillId="26" borderId="9" xfId="2" applyFont="1" applyFill="1" applyBorder="1" applyAlignment="1">
      <alignment horizontal="right"/>
    </xf>
    <xf numFmtId="168" fontId="27" fillId="26" borderId="13" xfId="0" applyNumberFormat="1" applyFont="1" applyFill="1" applyBorder="1" applyAlignment="1">
      <alignment horizontal="right"/>
    </xf>
    <xf numFmtId="168" fontId="27" fillId="2" borderId="0" xfId="0" applyNumberFormat="1" applyFont="1" applyFill="1" applyBorder="1"/>
    <xf numFmtId="164" fontId="27" fillId="26" borderId="24" xfId="1" applyNumberFormat="1" applyFont="1" applyFill="1" applyBorder="1" applyAlignment="1">
      <alignment horizontal="right"/>
    </xf>
    <xf numFmtId="168" fontId="27" fillId="2" borderId="0" xfId="0" applyNumberFormat="1" applyFont="1" applyFill="1" applyBorder="1" applyAlignment="1">
      <alignment horizontal="left"/>
    </xf>
    <xf numFmtId="175" fontId="27" fillId="26" borderId="24" xfId="1" applyNumberFormat="1" applyFont="1" applyFill="1" applyBorder="1" applyAlignment="1">
      <alignment horizontal="right"/>
    </xf>
    <xf numFmtId="0" fontId="27" fillId="2" borderId="0" xfId="0" applyFont="1" applyFill="1" applyAlignment="1">
      <alignment wrapText="1"/>
    </xf>
    <xf numFmtId="168" fontId="28" fillId="2" borderId="0" xfId="0" applyNumberFormat="1" applyFont="1" applyFill="1" applyAlignment="1">
      <alignment horizontal="left"/>
    </xf>
    <xf numFmtId="177" fontId="27" fillId="2" borderId="0" xfId="0" applyNumberFormat="1" applyFont="1" applyFill="1"/>
    <xf numFmtId="176" fontId="27" fillId="26" borderId="7" xfId="1" applyNumberFormat="1" applyFont="1" applyFill="1" applyBorder="1" applyAlignment="1">
      <alignment horizontal="right"/>
    </xf>
    <xf numFmtId="166" fontId="27" fillId="26" borderId="9" xfId="1" applyNumberFormat="1" applyFont="1" applyFill="1" applyBorder="1" applyAlignment="1">
      <alignment horizontal="right"/>
    </xf>
    <xf numFmtId="166" fontId="27" fillId="26" borderId="24" xfId="1" applyNumberFormat="1" applyFont="1" applyFill="1" applyBorder="1" applyAlignment="1">
      <alignment horizontal="right"/>
    </xf>
    <xf numFmtId="168" fontId="27" fillId="29" borderId="3" xfId="0" applyNumberFormat="1" applyFont="1" applyFill="1" applyBorder="1" applyAlignment="1">
      <alignment horizontal="right"/>
    </xf>
    <xf numFmtId="0" fontId="27" fillId="29" borderId="13" xfId="129" applyFont="1" applyFill="1" applyBorder="1" applyAlignment="1">
      <alignment horizontal="right"/>
    </xf>
    <xf numFmtId="0" fontId="27" fillId="29" borderId="5" xfId="129" applyFont="1" applyFill="1" applyBorder="1" applyAlignment="1">
      <alignment horizontal="right"/>
    </xf>
    <xf numFmtId="0" fontId="28" fillId="26" borderId="10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right"/>
    </xf>
    <xf numFmtId="9" fontId="26" fillId="2" borderId="0" xfId="2" applyFont="1" applyFill="1" applyAlignment="1">
      <alignment horizontal="left"/>
    </xf>
    <xf numFmtId="168" fontId="27" fillId="2" borderId="0" xfId="0" applyNumberFormat="1" applyFont="1" applyFill="1" applyAlignment="1">
      <alignment horizontal="right" wrapText="1"/>
    </xf>
    <xf numFmtId="175" fontId="27" fillId="26" borderId="9" xfId="1" applyNumberFormat="1" applyFont="1" applyFill="1" applyBorder="1" applyAlignment="1">
      <alignment horizontal="right"/>
    </xf>
    <xf numFmtId="1" fontId="27" fillId="26" borderId="10" xfId="0" applyNumberFormat="1" applyFont="1" applyFill="1" applyBorder="1" applyAlignment="1">
      <alignment horizontal="right"/>
    </xf>
    <xf numFmtId="0" fontId="28" fillId="26" borderId="4" xfId="0" applyFont="1" applyFill="1" applyBorder="1" applyAlignment="1">
      <alignment horizontal="center"/>
    </xf>
    <xf numFmtId="0" fontId="29" fillId="26" borderId="10" xfId="0" applyFont="1" applyFill="1" applyBorder="1" applyAlignment="1">
      <alignment horizontal="center"/>
    </xf>
    <xf numFmtId="164" fontId="27" fillId="26" borderId="9" xfId="1" applyNumberFormat="1" applyFont="1" applyFill="1" applyBorder="1" applyAlignment="1">
      <alignment horizontal="center"/>
    </xf>
    <xf numFmtId="164" fontId="27" fillId="26" borderId="24" xfId="1" applyNumberFormat="1" applyFont="1" applyFill="1" applyBorder="1" applyAlignment="1">
      <alignment horizontal="center"/>
    </xf>
    <xf numFmtId="43" fontId="27" fillId="26" borderId="10" xfId="1" applyNumberFormat="1" applyFont="1" applyFill="1" applyBorder="1" applyAlignment="1">
      <alignment horizontal="center"/>
    </xf>
    <xf numFmtId="9" fontId="27" fillId="26" borderId="24" xfId="2" applyFont="1" applyFill="1" applyBorder="1"/>
    <xf numFmtId="164" fontId="27" fillId="26" borderId="24" xfId="1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/>
    <xf numFmtId="164" fontId="27" fillId="26" borderId="9" xfId="1" applyNumberFormat="1" applyFont="1" applyFill="1" applyBorder="1" applyAlignment="1">
      <alignment wrapText="1"/>
    </xf>
    <xf numFmtId="168" fontId="27" fillId="26" borderId="10" xfId="0" applyNumberFormat="1" applyFont="1" applyFill="1" applyBorder="1"/>
    <xf numFmtId="169" fontId="27" fillId="26" borderId="10" xfId="0" applyNumberFormat="1" applyFont="1" applyFill="1" applyBorder="1"/>
    <xf numFmtId="164" fontId="27" fillId="26" borderId="9" xfId="0" applyNumberFormat="1" applyFont="1" applyFill="1" applyBorder="1"/>
    <xf numFmtId="167" fontId="27" fillId="26" borderId="10" xfId="0" applyNumberFormat="1" applyFont="1" applyFill="1" applyBorder="1"/>
    <xf numFmtId="0" fontId="28" fillId="26" borderId="10" xfId="1" applyNumberFormat="1" applyFont="1" applyFill="1" applyBorder="1" applyAlignment="1">
      <alignment horizontal="center"/>
    </xf>
    <xf numFmtId="0" fontId="27" fillId="26" borderId="9" xfId="0" applyFont="1" applyFill="1" applyBorder="1" applyAlignment="1">
      <alignment horizontal="right"/>
    </xf>
    <xf numFmtId="164" fontId="27" fillId="26" borderId="13" xfId="1" applyNumberFormat="1" applyFont="1" applyFill="1" applyBorder="1" applyAlignment="1">
      <alignment horizontal="right" wrapText="1"/>
    </xf>
    <xf numFmtId="164" fontId="27" fillId="26" borderId="7" xfId="1" applyNumberFormat="1" applyFont="1" applyFill="1" applyBorder="1"/>
    <xf numFmtId="0" fontId="28" fillId="26" borderId="1" xfId="0" applyFont="1" applyFill="1" applyBorder="1" applyAlignment="1">
      <alignment horizontal="right"/>
    </xf>
    <xf numFmtId="164" fontId="28" fillId="26" borderId="1" xfId="1" applyNumberFormat="1" applyFont="1" applyFill="1" applyBorder="1" applyAlignment="1">
      <alignment horizontal="center"/>
    </xf>
    <xf numFmtId="0" fontId="27" fillId="26" borderId="9" xfId="0" applyFont="1" applyFill="1" applyBorder="1"/>
    <xf numFmtId="168" fontId="27" fillId="26" borderId="24" xfId="1" applyNumberFormat="1" applyFont="1" applyFill="1" applyBorder="1" applyAlignment="1">
      <alignment horizontal="right"/>
    </xf>
    <xf numFmtId="1" fontId="27" fillId="26" borderId="9" xfId="0" applyNumberFormat="1" applyFont="1" applyFill="1" applyBorder="1"/>
    <xf numFmtId="164" fontId="27" fillId="26" borderId="3" xfId="1" applyNumberFormat="1" applyFont="1" applyFill="1" applyBorder="1" applyAlignment="1">
      <alignment horizontal="right" wrapText="1"/>
    </xf>
    <xf numFmtId="165" fontId="27" fillId="26" borderId="24" xfId="0" applyNumberFormat="1" applyFont="1" applyFill="1" applyBorder="1"/>
    <xf numFmtId="9" fontId="27" fillId="26" borderId="9" xfId="2" applyFont="1" applyFill="1" applyBorder="1"/>
    <xf numFmtId="0" fontId="28" fillId="2" borderId="0" xfId="0" applyFont="1" applyFill="1" applyBorder="1" applyAlignment="1">
      <alignment horizontal="left"/>
    </xf>
    <xf numFmtId="168" fontId="27" fillId="26" borderId="10" xfId="1" applyNumberFormat="1" applyFont="1" applyFill="1" applyBorder="1" applyAlignment="1">
      <alignment horizontal="right"/>
    </xf>
    <xf numFmtId="2" fontId="27" fillId="26" borderId="10" xfId="0" applyNumberFormat="1" applyFont="1" applyFill="1" applyBorder="1"/>
    <xf numFmtId="9" fontId="27" fillId="26" borderId="10" xfId="2" applyFont="1" applyFill="1" applyBorder="1"/>
    <xf numFmtId="164" fontId="27" fillId="2" borderId="0" xfId="1" applyNumberFormat="1" applyFont="1" applyFill="1" applyBorder="1" applyAlignment="1">
      <alignment horizontal="right" wrapText="1"/>
    </xf>
    <xf numFmtId="2" fontId="27" fillId="26" borderId="24" xfId="0" applyNumberFormat="1" applyFont="1" applyFill="1" applyBorder="1"/>
    <xf numFmtId="0" fontId="27" fillId="26" borderId="2" xfId="129" applyFont="1" applyFill="1" applyBorder="1" applyAlignment="1">
      <alignment horizontal="right"/>
    </xf>
    <xf numFmtId="0" fontId="27" fillId="26" borderId="9" xfId="129" applyFont="1" applyFill="1" applyBorder="1" applyAlignment="1">
      <alignment horizontal="right"/>
    </xf>
    <xf numFmtId="168" fontId="27" fillId="26" borderId="4" xfId="129" applyNumberFormat="1" applyFont="1" applyFill="1" applyBorder="1" applyAlignment="1">
      <alignment horizontal="right"/>
    </xf>
    <xf numFmtId="168" fontId="27" fillId="26" borderId="10" xfId="129" applyNumberFormat="1" applyFont="1" applyFill="1" applyBorder="1" applyAlignment="1">
      <alignment horizontal="right"/>
    </xf>
    <xf numFmtId="164" fontId="27" fillId="26" borderId="7" xfId="0" applyNumberFormat="1" applyFont="1" applyFill="1" applyBorder="1"/>
    <xf numFmtId="164" fontId="27" fillId="26" borderId="24" xfId="0" applyNumberFormat="1" applyFont="1" applyFill="1" applyBorder="1"/>
    <xf numFmtId="165" fontId="27" fillId="26" borderId="10" xfId="0" applyNumberFormat="1" applyFont="1" applyFill="1" applyBorder="1"/>
    <xf numFmtId="0" fontId="27" fillId="26" borderId="10" xfId="0" applyFont="1" applyFill="1" applyBorder="1"/>
    <xf numFmtId="168" fontId="27" fillId="26" borderId="24" xfId="0" applyNumberFormat="1" applyFont="1" applyFill="1" applyBorder="1"/>
    <xf numFmtId="164" fontId="27" fillId="26" borderId="9" xfId="0" applyNumberFormat="1" applyFont="1" applyFill="1" applyBorder="1" applyAlignment="1">
      <alignment horizontal="right"/>
    </xf>
    <xf numFmtId="165" fontId="27" fillId="26" borderId="10" xfId="0" applyNumberFormat="1" applyFont="1" applyFill="1" applyBorder="1" applyAlignment="1">
      <alignment horizontal="right"/>
    </xf>
    <xf numFmtId="164" fontId="27" fillId="26" borderId="5" xfId="1" applyNumberFormat="1" applyFont="1" applyFill="1" applyBorder="1" applyAlignment="1">
      <alignment horizontal="right" wrapText="1"/>
    </xf>
    <xf numFmtId="164" fontId="27" fillId="26" borderId="1" xfId="1" applyNumberFormat="1" applyFont="1" applyFill="1" applyBorder="1" applyAlignment="1">
      <alignment horizontal="right" wrapText="1"/>
    </xf>
    <xf numFmtId="2" fontId="27" fillId="26" borderId="24" xfId="129" applyNumberFormat="1" applyFont="1" applyFill="1" applyBorder="1"/>
    <xf numFmtId="1" fontId="27" fillId="26" borderId="24" xfId="129" applyNumberFormat="1" applyFont="1" applyFill="1" applyBorder="1"/>
    <xf numFmtId="0" fontId="28" fillId="26" borderId="10" xfId="0" applyFont="1" applyFill="1" applyBorder="1" applyAlignment="1">
      <alignment horizontal="center" wrapText="1"/>
    </xf>
    <xf numFmtId="0" fontId="28" fillId="26" borderId="9" xfId="0" applyFont="1" applyFill="1" applyBorder="1" applyAlignment="1">
      <alignment horizontal="right"/>
    </xf>
    <xf numFmtId="164" fontId="27" fillId="26" borderId="6" xfId="1" applyNumberFormat="1" applyFont="1" applyFill="1" applyBorder="1"/>
    <xf numFmtId="168" fontId="27" fillId="26" borderId="0" xfId="0" applyNumberFormat="1" applyFont="1" applyFill="1" applyBorder="1"/>
    <xf numFmtId="164" fontId="27" fillId="26" borderId="3" xfId="0" applyNumberFormat="1" applyFont="1" applyFill="1" applyBorder="1" applyAlignment="1">
      <alignment horizontal="right"/>
    </xf>
    <xf numFmtId="165" fontId="27" fillId="26" borderId="5" xfId="0" applyNumberFormat="1" applyFont="1" applyFill="1" applyBorder="1" applyAlignment="1">
      <alignment horizontal="right"/>
    </xf>
    <xf numFmtId="0" fontId="28" fillId="26" borderId="5" xfId="0" applyFont="1" applyFill="1" applyBorder="1" applyAlignment="1">
      <alignment horizontal="center" wrapText="1"/>
    </xf>
    <xf numFmtId="168" fontId="27" fillId="26" borderId="9" xfId="131" applyNumberFormat="1" applyFont="1" applyFill="1" applyBorder="1"/>
    <xf numFmtId="168" fontId="27" fillId="26" borderId="3" xfId="131" applyNumberFormat="1" applyFont="1" applyFill="1" applyBorder="1"/>
    <xf numFmtId="168" fontId="27" fillId="26" borderId="3" xfId="4" applyNumberFormat="1" applyFont="1" applyFill="1" applyBorder="1" applyAlignment="1">
      <alignment wrapText="1"/>
    </xf>
    <xf numFmtId="168" fontId="27" fillId="26" borderId="24" xfId="131" applyNumberFormat="1" applyFont="1" applyFill="1" applyBorder="1"/>
    <xf numFmtId="168" fontId="27" fillId="26" borderId="13" xfId="4" applyNumberFormat="1" applyFont="1" applyFill="1" applyBorder="1" applyAlignment="1">
      <alignment wrapText="1"/>
    </xf>
    <xf numFmtId="0" fontId="28" fillId="26" borderId="1" xfId="0" applyFont="1" applyFill="1" applyBorder="1"/>
    <xf numFmtId="0" fontId="27" fillId="30" borderId="4" xfId="0" applyFont="1" applyFill="1" applyBorder="1"/>
    <xf numFmtId="0" fontId="27" fillId="30" borderId="5" xfId="129" applyFont="1" applyFill="1" applyBorder="1" applyAlignment="1">
      <alignment horizontal="right"/>
    </xf>
    <xf numFmtId="164" fontId="27" fillId="30" borderId="0" xfId="1" applyNumberFormat="1" applyFont="1" applyFill="1" applyBorder="1"/>
    <xf numFmtId="0" fontId="27" fillId="30" borderId="13" xfId="129" applyFont="1" applyFill="1" applyBorder="1" applyAlignment="1">
      <alignment horizontal="right"/>
    </xf>
    <xf numFmtId="170" fontId="27" fillId="26" borderId="9" xfId="2" applyNumberFormat="1" applyFont="1" applyFill="1" applyBorder="1" applyAlignment="1">
      <alignment wrapText="1"/>
    </xf>
    <xf numFmtId="0" fontId="27" fillId="26" borderId="24" xfId="0" applyFont="1" applyFill="1" applyBorder="1"/>
    <xf numFmtId="43" fontId="27" fillId="26" borderId="10" xfId="1" applyNumberFormat="1" applyFont="1" applyFill="1" applyBorder="1" applyAlignment="1">
      <alignment horizontal="right" wrapText="1"/>
    </xf>
    <xf numFmtId="168" fontId="27" fillId="26" borderId="24" xfId="1" applyNumberFormat="1" applyFont="1" applyFill="1" applyBorder="1" applyAlignment="1">
      <alignment wrapText="1"/>
    </xf>
    <xf numFmtId="167" fontId="27" fillId="26" borderId="24" xfId="0" applyNumberFormat="1" applyFont="1" applyFill="1" applyBorder="1"/>
    <xf numFmtId="9" fontId="27" fillId="26" borderId="9" xfId="2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horizontal="right"/>
    </xf>
    <xf numFmtId="43" fontId="27" fillId="26" borderId="10" xfId="1" applyNumberFormat="1" applyFont="1" applyFill="1" applyBorder="1" applyAlignment="1">
      <alignment horizontal="right"/>
    </xf>
    <xf numFmtId="0" fontId="27" fillId="26" borderId="2" xfId="0" applyFont="1" applyFill="1" applyBorder="1" applyAlignment="1">
      <alignment horizontal="right" readingOrder="1"/>
    </xf>
    <xf numFmtId="168" fontId="27" fillId="26" borderId="4" xfId="1" applyNumberFormat="1" applyFont="1" applyFill="1" applyBorder="1" applyAlignment="1">
      <alignment horizontal="right" readingOrder="1"/>
    </xf>
    <xf numFmtId="164" fontId="27" fillId="26" borderId="2" xfId="1" applyNumberFormat="1" applyFont="1" applyFill="1" applyBorder="1" applyAlignment="1">
      <alignment horizontal="right" readingOrder="1"/>
    </xf>
    <xf numFmtId="9" fontId="27" fillId="26" borderId="9" xfId="2" applyNumberFormat="1" applyFont="1" applyFill="1" applyBorder="1" applyAlignment="1">
      <alignment horizontal="right" wrapText="1" readingOrder="1"/>
    </xf>
    <xf numFmtId="164" fontId="27" fillId="26" borderId="24" xfId="1" applyNumberFormat="1" applyFont="1" applyFill="1" applyBorder="1" applyAlignment="1">
      <alignment horizontal="right" readingOrder="1"/>
    </xf>
    <xf numFmtId="173" fontId="27" fillId="26" borderId="24" xfId="129" applyNumberFormat="1" applyFont="1" applyFill="1" applyBorder="1" applyAlignment="1">
      <alignment horizontal="right" vertical="center" wrapText="1" readingOrder="1"/>
    </xf>
    <xf numFmtId="49" fontId="27" fillId="31" borderId="13" xfId="4" applyNumberFormat="1" applyFont="1" applyFill="1" applyBorder="1" applyAlignment="1">
      <alignment horizontal="right" wrapText="1"/>
    </xf>
    <xf numFmtId="166" fontId="27" fillId="26" borderId="24" xfId="129" applyNumberFormat="1" applyFont="1" applyFill="1" applyBorder="1" applyAlignment="1">
      <alignment horizontal="right" vertical="center" wrapText="1" readingOrder="1"/>
    </xf>
    <xf numFmtId="164" fontId="27" fillId="26" borderId="10" xfId="1" applyNumberFormat="1" applyFont="1" applyFill="1" applyBorder="1" applyAlignment="1">
      <alignment horizontal="right" vertical="center" wrapText="1" readingOrder="1"/>
    </xf>
    <xf numFmtId="0" fontId="27" fillId="2" borderId="0" xfId="0" applyFont="1" applyFill="1" applyBorder="1" applyAlignment="1"/>
    <xf numFmtId="0" fontId="28" fillId="2" borderId="0" xfId="0" applyFont="1" applyFill="1" applyBorder="1" applyAlignment="1"/>
    <xf numFmtId="6" fontId="27" fillId="26" borderId="10" xfId="0" applyNumberFormat="1" applyFont="1" applyFill="1" applyBorder="1"/>
    <xf numFmtId="43" fontId="27" fillId="26" borderId="10" xfId="1" applyFont="1" applyFill="1" applyBorder="1" applyAlignment="1">
      <alignment horizontal="right"/>
    </xf>
    <xf numFmtId="170" fontId="27" fillId="26" borderId="24" xfId="2" applyNumberFormat="1" applyFont="1" applyFill="1" applyBorder="1" applyAlignment="1">
      <alignment horizontal="right"/>
    </xf>
    <xf numFmtId="9" fontId="27" fillId="26" borderId="24" xfId="2" applyFont="1" applyFill="1" applyBorder="1" applyAlignment="1">
      <alignment horizontal="right"/>
    </xf>
    <xf numFmtId="49" fontId="27" fillId="31" borderId="5" xfId="4" applyNumberFormat="1" applyFont="1" applyFill="1" applyBorder="1" applyAlignment="1">
      <alignment horizontal="right" wrapText="1"/>
    </xf>
    <xf numFmtId="0" fontId="28" fillId="2" borderId="0" xfId="0" applyFont="1" applyFill="1" applyBorder="1" applyAlignment="1">
      <alignment wrapText="1"/>
    </xf>
    <xf numFmtId="43" fontId="27" fillId="26" borderId="24" xfId="1" applyNumberFormat="1" applyFont="1" applyFill="1" applyBorder="1" applyAlignment="1">
      <alignment horizontal="right"/>
    </xf>
    <xf numFmtId="1" fontId="27" fillId="26" borderId="10" xfId="129" applyNumberFormat="1" applyFont="1" applyFill="1" applyBorder="1"/>
    <xf numFmtId="0" fontId="27" fillId="26" borderId="10" xfId="0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wrapText="1"/>
    </xf>
    <xf numFmtId="0" fontId="28" fillId="2" borderId="0" xfId="0" applyFont="1" applyFill="1" applyAlignment="1">
      <alignment horizontal="right" wrapText="1"/>
    </xf>
    <xf numFmtId="10" fontId="27" fillId="26" borderId="24" xfId="2" applyNumberFormat="1" applyFont="1" applyFill="1" applyBorder="1" applyAlignment="1">
      <alignment horizontal="right"/>
    </xf>
    <xf numFmtId="49" fontId="27" fillId="31" borderId="3" xfId="4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 applyProtection="1"/>
    <xf numFmtId="165" fontId="27" fillId="26" borderId="24" xfId="1" applyNumberFormat="1" applyFont="1" applyFill="1" applyBorder="1" applyProtection="1"/>
    <xf numFmtId="0" fontId="27" fillId="26" borderId="24" xfId="129" applyFont="1" applyFill="1" applyBorder="1" applyAlignment="1"/>
    <xf numFmtId="0" fontId="27" fillId="26" borderId="13" xfId="129" applyFont="1" applyFill="1" applyBorder="1" applyAlignment="1">
      <alignment horizontal="right"/>
    </xf>
    <xf numFmtId="164" fontId="27" fillId="26" borderId="24" xfId="1" applyNumberFormat="1" applyFont="1" applyFill="1" applyBorder="1" applyAlignment="1"/>
    <xf numFmtId="164" fontId="27" fillId="26" borderId="24" xfId="1" applyNumberFormat="1" applyFont="1" applyFill="1" applyBorder="1" applyAlignment="1" applyProtection="1"/>
    <xf numFmtId="177" fontId="27" fillId="26" borderId="7" xfId="0" applyNumberFormat="1" applyFont="1" applyFill="1" applyBorder="1"/>
    <xf numFmtId="9" fontId="27" fillId="26" borderId="24" xfId="2" applyFont="1" applyFill="1" applyBorder="1" applyAlignment="1">
      <alignment wrapText="1"/>
    </xf>
    <xf numFmtId="3" fontId="37" fillId="2" borderId="0" xfId="0" applyNumberFormat="1" applyFont="1" applyFill="1" applyAlignment="1">
      <alignment horizontal="right"/>
    </xf>
    <xf numFmtId="164" fontId="37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 applyAlignment="1">
      <alignment horizontal="right"/>
    </xf>
    <xf numFmtId="164" fontId="40" fillId="2" borderId="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right"/>
    </xf>
    <xf numFmtId="0" fontId="40" fillId="2" borderId="0" xfId="0" applyFont="1" applyFill="1"/>
    <xf numFmtId="168" fontId="40" fillId="2" borderId="0" xfId="0" applyNumberFormat="1" applyFont="1" applyFill="1" applyAlignment="1">
      <alignment horizontal="right"/>
    </xf>
    <xf numFmtId="168" fontId="40" fillId="2" borderId="1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/>
    </xf>
    <xf numFmtId="165" fontId="40" fillId="2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Alignment="1">
      <alignment horizontal="left"/>
    </xf>
    <xf numFmtId="0" fontId="44" fillId="2" borderId="0" xfId="0" applyFont="1" applyFill="1" applyAlignment="1">
      <alignment horizontal="left"/>
    </xf>
    <xf numFmtId="9" fontId="42" fillId="3" borderId="10" xfId="2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68" fontId="40" fillId="2" borderId="9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 wrapText="1"/>
    </xf>
    <xf numFmtId="165" fontId="37" fillId="2" borderId="1" xfId="1" applyNumberFormat="1" applyFont="1" applyFill="1" applyBorder="1" applyAlignment="1">
      <alignment horizontal="right"/>
    </xf>
    <xf numFmtId="164" fontId="44" fillId="2" borderId="0" xfId="1" applyNumberFormat="1" applyFont="1" applyFill="1" applyAlignment="1">
      <alignment horizontal="left"/>
    </xf>
    <xf numFmtId="1" fontId="44" fillId="2" borderId="0" xfId="0" applyNumberFormat="1" applyFont="1" applyFill="1" applyAlignment="1">
      <alignment horizontal="left"/>
    </xf>
    <xf numFmtId="167" fontId="40" fillId="2" borderId="0" xfId="0" applyNumberFormat="1" applyFont="1" applyFill="1" applyAlignment="1">
      <alignment horizontal="left"/>
    </xf>
    <xf numFmtId="3" fontId="40" fillId="2" borderId="0" xfId="0" applyNumberFormat="1" applyFont="1" applyFill="1" applyAlignment="1">
      <alignment horizontal="left"/>
    </xf>
    <xf numFmtId="164" fontId="37" fillId="2" borderId="0" xfId="1" applyNumberFormat="1" applyFont="1" applyFill="1" applyBorder="1"/>
    <xf numFmtId="164" fontId="37" fillId="2" borderId="0" xfId="1" applyNumberFormat="1" applyFont="1" applyFill="1"/>
    <xf numFmtId="0" fontId="42" fillId="2" borderId="0" xfId="0" applyFont="1" applyFill="1"/>
    <xf numFmtId="168" fontId="37" fillId="0" borderId="0" xfId="0" applyNumberFormat="1" applyFont="1"/>
    <xf numFmtId="164" fontId="26" fillId="2" borderId="1" xfId="1" applyNumberFormat="1" applyFont="1" applyFill="1" applyBorder="1"/>
    <xf numFmtId="168" fontId="26" fillId="2" borderId="0" xfId="0" applyNumberFormat="1" applyFont="1" applyFill="1"/>
    <xf numFmtId="0" fontId="26" fillId="0" borderId="0" xfId="0" applyFont="1"/>
    <xf numFmtId="164" fontId="26" fillId="0" borderId="0" xfId="1" applyNumberFormat="1" applyFont="1"/>
    <xf numFmtId="0" fontId="40" fillId="0" borderId="0" xfId="0" applyFont="1"/>
    <xf numFmtId="168" fontId="40" fillId="0" borderId="0" xfId="0" applyNumberFormat="1" applyFont="1"/>
    <xf numFmtId="169" fontId="40" fillId="2" borderId="1" xfId="0" applyNumberFormat="1" applyFont="1" applyFill="1" applyBorder="1"/>
    <xf numFmtId="0" fontId="40" fillId="0" borderId="0" xfId="0" applyFont="1" applyAlignment="1">
      <alignment horizontal="right"/>
    </xf>
    <xf numFmtId="168" fontId="40" fillId="2" borderId="0" xfId="36359" applyNumberFormat="1" applyFont="1" applyFill="1"/>
    <xf numFmtId="10" fontId="40" fillId="2" borderId="1" xfId="138" applyNumberFormat="1" applyFont="1" applyFill="1" applyBorder="1"/>
    <xf numFmtId="169" fontId="40" fillId="95" borderId="1" xfId="0" applyNumberFormat="1" applyFont="1" applyFill="1" applyBorder="1"/>
    <xf numFmtId="230" fontId="40" fillId="0" borderId="1" xfId="0" applyNumberFormat="1" applyFont="1" applyBorder="1"/>
    <xf numFmtId="10" fontId="40" fillId="2" borderId="1" xfId="0" applyNumberFormat="1" applyFont="1" applyFill="1" applyBorder="1" applyAlignment="1">
      <alignment horizontal="center" wrapText="1"/>
    </xf>
    <xf numFmtId="168" fontId="40" fillId="2" borderId="0" xfId="138" applyNumberFormat="1" applyFont="1" applyFill="1" applyAlignment="1">
      <alignment wrapText="1"/>
    </xf>
    <xf numFmtId="0" fontId="40" fillId="0" borderId="0" xfId="0" applyFont="1" applyAlignment="1">
      <alignment horizontal="center" wrapText="1"/>
    </xf>
    <xf numFmtId="0" fontId="41" fillId="0" borderId="0" xfId="0" applyFont="1"/>
    <xf numFmtId="168" fontId="26" fillId="0" borderId="0" xfId="0" applyNumberFormat="1" applyFont="1"/>
    <xf numFmtId="169" fontId="26" fillId="0" borderId="0" xfId="0" applyNumberFormat="1" applyFont="1"/>
    <xf numFmtId="0" fontId="26" fillId="0" borderId="0" xfId="0" applyFont="1" applyAlignment="1">
      <alignment horizontal="right"/>
    </xf>
    <xf numFmtId="168" fontId="26" fillId="0" borderId="0" xfId="0" applyNumberFormat="1" applyFont="1" applyAlignment="1">
      <alignment wrapText="1"/>
    </xf>
    <xf numFmtId="165" fontId="26" fillId="0" borderId="0" xfId="1" applyNumberFormat="1" applyFont="1"/>
    <xf numFmtId="168" fontId="26" fillId="2" borderId="1" xfId="0" applyNumberFormat="1" applyFont="1" applyFill="1" applyBorder="1" applyAlignment="1">
      <alignment horizontal="center" wrapText="1"/>
    </xf>
    <xf numFmtId="168" fontId="26" fillId="95" borderId="1" xfId="140" applyNumberFormat="1" applyFont="1" applyFill="1" applyBorder="1"/>
    <xf numFmtId="168" fontId="26" fillId="95" borderId="1" xfId="142" applyNumberFormat="1" applyFont="1" applyFill="1" applyBorder="1"/>
    <xf numFmtId="164" fontId="26" fillId="2" borderId="1" xfId="139" applyNumberFormat="1" applyFont="1" applyFill="1" applyBorder="1"/>
    <xf numFmtId="0" fontId="29" fillId="0" borderId="0" xfId="0" applyFont="1" applyAlignment="1">
      <alignment horizontal="center" wrapText="1"/>
    </xf>
    <xf numFmtId="0" fontId="29" fillId="2" borderId="0" xfId="0" applyFont="1" applyFill="1" applyAlignment="1">
      <alignment horizontal="center" wrapText="1"/>
    </xf>
    <xf numFmtId="164" fontId="29" fillId="3" borderId="1" xfId="1" applyNumberFormat="1" applyFont="1" applyFill="1" applyBorder="1" applyAlignment="1">
      <alignment horizontal="center" wrapText="1"/>
    </xf>
    <xf numFmtId="0" fontId="29" fillId="3" borderId="1" xfId="139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left" wrapText="1"/>
    </xf>
    <xf numFmtId="168" fontId="29" fillId="2" borderId="0" xfId="0" applyNumberFormat="1" applyFont="1" applyFill="1"/>
    <xf numFmtId="0" fontId="26" fillId="74" borderId="11" xfId="0" applyFont="1" applyFill="1" applyBorder="1" applyAlignment="1">
      <alignment horizontal="right"/>
    </xf>
    <xf numFmtId="0" fontId="26" fillId="74" borderId="12" xfId="0" applyFont="1" applyFill="1" applyBorder="1"/>
    <xf numFmtId="9" fontId="40" fillId="2" borderId="0" xfId="2" applyFont="1" applyFill="1"/>
    <xf numFmtId="0" fontId="28" fillId="26" borderId="10" xfId="0" applyFont="1" applyFill="1" applyBorder="1" applyAlignment="1">
      <alignment horizontal="right"/>
    </xf>
    <xf numFmtId="164" fontId="27" fillId="26" borderId="1" xfId="1" applyNumberFormat="1" applyFont="1" applyFill="1" applyBorder="1" applyAlignment="1">
      <alignment wrapText="1"/>
    </xf>
    <xf numFmtId="43" fontId="27" fillId="26" borderId="7" xfId="1" applyFont="1" applyFill="1" applyBorder="1" applyAlignment="1">
      <alignment horizontal="right" readingOrder="1"/>
    </xf>
    <xf numFmtId="165" fontId="27" fillId="2" borderId="0" xfId="1" applyNumberFormat="1" applyFont="1" applyFill="1"/>
    <xf numFmtId="165" fontId="40" fillId="0" borderId="1" xfId="1" applyNumberFormat="1" applyFont="1" applyBorder="1"/>
    <xf numFmtId="0" fontId="44" fillId="2" borderId="0" xfId="0" applyFont="1" applyFill="1"/>
    <xf numFmtId="0" fontId="37" fillId="2" borderId="1" xfId="0" applyFont="1" applyFill="1" applyBorder="1"/>
    <xf numFmtId="164" fontId="37" fillId="2" borderId="1" xfId="1" applyNumberFormat="1" applyFont="1" applyFill="1" applyBorder="1"/>
    <xf numFmtId="0" fontId="40" fillId="2" borderId="0" xfId="0" applyFont="1" applyFill="1" applyAlignment="1">
      <alignment horizontal="left"/>
    </xf>
    <xf numFmtId="168" fontId="40" fillId="2" borderId="1" xfId="2" applyNumberFormat="1" applyFont="1" applyFill="1" applyBorder="1" applyAlignment="1">
      <alignment horizontal="right"/>
    </xf>
    <xf numFmtId="0" fontId="37" fillId="2" borderId="0" xfId="0" applyFont="1" applyFill="1" applyAlignment="1">
      <alignment horizontal="left"/>
    </xf>
    <xf numFmtId="9" fontId="42" fillId="3" borderId="1" xfId="2" applyFont="1" applyFill="1" applyBorder="1" applyAlignment="1">
      <alignment horizontal="left" vertical="center" wrapText="1"/>
    </xf>
    <xf numFmtId="43" fontId="41" fillId="3" borderId="1" xfId="1" applyFont="1" applyFill="1" applyBorder="1" applyAlignment="1">
      <alignment horizontal="left" vertical="center" wrapText="1"/>
    </xf>
    <xf numFmtId="168" fontId="41" fillId="3" borderId="1" xfId="0" applyNumberFormat="1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/>
    </xf>
    <xf numFmtId="167" fontId="37" fillId="2" borderId="0" xfId="0" applyNumberFormat="1" applyFont="1" applyFill="1" applyAlignment="1">
      <alignment horizontal="left" vertical="center"/>
    </xf>
    <xf numFmtId="167" fontId="37" fillId="2" borderId="0" xfId="0" applyNumberFormat="1" applyFont="1" applyFill="1" applyAlignment="1">
      <alignment horizontal="left"/>
    </xf>
    <xf numFmtId="0" fontId="40" fillId="2" borderId="0" xfId="129" applyFont="1" applyFill="1" applyBorder="1" applyAlignment="1">
      <alignment horizontal="left"/>
    </xf>
    <xf numFmtId="167" fontId="37" fillId="2" borderId="0" xfId="0" applyNumberFormat="1" applyFont="1" applyFill="1" applyBorder="1" applyAlignment="1">
      <alignment horizontal="left"/>
    </xf>
    <xf numFmtId="168" fontId="40" fillId="2" borderId="0" xfId="0" applyNumberFormat="1" applyFont="1" applyFill="1"/>
    <xf numFmtId="0" fontId="37" fillId="2" borderId="1" xfId="0" applyFont="1" applyFill="1" applyBorder="1" applyAlignment="1">
      <alignment vertical="center"/>
    </xf>
    <xf numFmtId="168" fontId="40" fillId="2" borderId="0" xfId="0" applyNumberFormat="1" applyFont="1" applyFill="1" applyAlignment="1"/>
    <xf numFmtId="0" fontId="37" fillId="2" borderId="0" xfId="50293" applyFont="1" applyFill="1"/>
    <xf numFmtId="168" fontId="40" fillId="2" borderId="1" xfId="0" applyNumberFormat="1" applyFont="1" applyFill="1" applyBorder="1" applyAlignment="1">
      <alignment horizontal="left"/>
    </xf>
    <xf numFmtId="9" fontId="37" fillId="2" borderId="0" xfId="2" applyFont="1" applyFill="1" applyBorder="1" applyAlignment="1">
      <alignment horizontal="left"/>
    </xf>
    <xf numFmtId="1" fontId="37" fillId="2" borderId="0" xfId="0" applyNumberFormat="1" applyFont="1" applyFill="1" applyBorder="1" applyAlignment="1">
      <alignment horizontal="left"/>
    </xf>
    <xf numFmtId="167" fontId="40" fillId="2" borderId="0" xfId="0" applyNumberFormat="1" applyFont="1" applyFill="1" applyBorder="1" applyAlignment="1">
      <alignment horizontal="left" wrapText="1"/>
    </xf>
    <xf numFmtId="168" fontId="37" fillId="2" borderId="0" xfId="0" applyNumberFormat="1" applyFont="1" applyFill="1" applyBorder="1" applyAlignment="1">
      <alignment horizontal="left"/>
    </xf>
    <xf numFmtId="0" fontId="37" fillId="2" borderId="0" xfId="0" applyFont="1" applyFill="1" applyBorder="1" applyAlignment="1">
      <alignment vertical="center"/>
    </xf>
    <xf numFmtId="0" fontId="40" fillId="2" borderId="0" xfId="0" applyFont="1" applyFill="1" applyBorder="1" applyAlignment="1">
      <alignment horizontal="left"/>
    </xf>
    <xf numFmtId="0" fontId="40" fillId="2" borderId="0" xfId="0" applyFont="1" applyFill="1" applyBorder="1" applyAlignment="1">
      <alignment horizontal="left" wrapText="1"/>
    </xf>
    <xf numFmtId="164" fontId="40" fillId="2" borderId="0" xfId="1" applyNumberFormat="1" applyFont="1" applyFill="1" applyAlignment="1">
      <alignment horizontal="left"/>
    </xf>
    <xf numFmtId="1" fontId="40" fillId="2" borderId="0" xfId="0" applyNumberFormat="1" applyFont="1" applyFill="1" applyAlignment="1">
      <alignment horizontal="left"/>
    </xf>
    <xf numFmtId="1" fontId="37" fillId="2" borderId="0" xfId="0" applyNumberFormat="1" applyFont="1" applyFill="1" applyAlignment="1">
      <alignment horizontal="left"/>
    </xf>
    <xf numFmtId="0" fontId="40" fillId="2" borderId="0" xfId="0" applyFont="1" applyFill="1" applyAlignment="1">
      <alignment horizontal="left" vertical="center"/>
    </xf>
    <xf numFmtId="2" fontId="27" fillId="31" borderId="10" xfId="4" applyNumberFormat="1" applyFont="1" applyFill="1" applyBorder="1" applyAlignment="1"/>
    <xf numFmtId="2" fontId="27" fillId="31" borderId="24" xfId="4" applyNumberFormat="1" applyFont="1" applyFill="1" applyBorder="1" applyAlignment="1"/>
    <xf numFmtId="9" fontId="27" fillId="26" borderId="10" xfId="0" applyNumberFormat="1" applyFont="1" applyFill="1" applyBorder="1"/>
    <xf numFmtId="164" fontId="27" fillId="2" borderId="0" xfId="0" applyNumberFormat="1" applyFont="1" applyFill="1"/>
    <xf numFmtId="0" fontId="27" fillId="2" borderId="0" xfId="50293" applyFont="1" applyFill="1"/>
    <xf numFmtId="0" fontId="28" fillId="2" borderId="0" xfId="0" applyFont="1" applyFill="1" applyBorder="1" applyAlignment="1">
      <alignment horizontal="left" wrapText="1"/>
    </xf>
    <xf numFmtId="180" fontId="27" fillId="26" borderId="10" xfId="0" applyNumberFormat="1" applyFont="1" applyFill="1" applyBorder="1" applyAlignment="1">
      <alignment horizontal="right" wrapText="1"/>
    </xf>
    <xf numFmtId="179" fontId="27" fillId="2" borderId="0" xfId="0" applyNumberFormat="1" applyFont="1" applyFill="1"/>
    <xf numFmtId="180" fontId="27" fillId="26" borderId="24" xfId="0" applyNumberFormat="1" applyFont="1" applyFill="1" applyBorder="1" applyAlignment="1">
      <alignment horizontal="right" wrapText="1"/>
    </xf>
    <xf numFmtId="0" fontId="27" fillId="26" borderId="24" xfId="0" applyFont="1" applyFill="1" applyBorder="1" applyAlignment="1">
      <alignment horizontal="right" wrapText="1"/>
    </xf>
    <xf numFmtId="0" fontId="27" fillId="26" borderId="24" xfId="0" applyFont="1" applyFill="1" applyBorder="1" applyAlignment="1">
      <alignment wrapText="1"/>
    </xf>
    <xf numFmtId="164" fontId="27" fillId="26" borderId="24" xfId="1" applyNumberFormat="1" applyFont="1" applyFill="1" applyBorder="1" applyAlignment="1">
      <alignment wrapText="1"/>
    </xf>
    <xf numFmtId="9" fontId="27" fillId="26" borderId="24" xfId="0" applyNumberFormat="1" applyFont="1" applyFill="1" applyBorder="1" applyAlignment="1">
      <alignment wrapText="1"/>
    </xf>
    <xf numFmtId="0" fontId="28" fillId="2" borderId="0" xfId="0" applyFont="1" applyFill="1" applyBorder="1"/>
    <xf numFmtId="0" fontId="27" fillId="26" borderId="10" xfId="0" applyFont="1" applyFill="1" applyBorder="1" applyAlignment="1">
      <alignment wrapText="1"/>
    </xf>
    <xf numFmtId="1" fontId="27" fillId="26" borderId="24" xfId="0" applyNumberFormat="1" applyFont="1" applyFill="1" applyBorder="1" applyAlignment="1">
      <alignment wrapText="1"/>
    </xf>
    <xf numFmtId="1" fontId="27" fillId="26" borderId="24" xfId="0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 applyAlignment="1">
      <alignment wrapText="1"/>
    </xf>
    <xf numFmtId="1" fontId="27" fillId="26" borderId="24" xfId="0" applyNumberFormat="1" applyFont="1" applyFill="1" applyBorder="1"/>
    <xf numFmtId="0" fontId="27" fillId="26" borderId="4" xfId="0" applyFont="1" applyFill="1" applyBorder="1"/>
    <xf numFmtId="2" fontId="27" fillId="26" borderId="7" xfId="0" applyNumberFormat="1" applyFont="1" applyFill="1" applyBorder="1"/>
    <xf numFmtId="173" fontId="27" fillId="26" borderId="24" xfId="0" applyNumberFormat="1" applyFont="1" applyFill="1" applyBorder="1"/>
    <xf numFmtId="173" fontId="27" fillId="26" borderId="7" xfId="0" applyNumberFormat="1" applyFont="1" applyFill="1" applyBorder="1"/>
    <xf numFmtId="0" fontId="27" fillId="26" borderId="7" xfId="0" applyFont="1" applyFill="1" applyBorder="1"/>
    <xf numFmtId="9" fontId="27" fillId="26" borderId="24" xfId="0" applyNumberFormat="1" applyFont="1" applyFill="1" applyBorder="1"/>
    <xf numFmtId="9" fontId="27" fillId="26" borderId="7" xfId="0" applyNumberFormat="1" applyFont="1" applyFill="1" applyBorder="1"/>
    <xf numFmtId="178" fontId="27" fillId="26" borderId="24" xfId="1" applyNumberFormat="1" applyFont="1" applyFill="1" applyBorder="1"/>
    <xf numFmtId="10" fontId="27" fillId="26" borderId="24" xfId="0" applyNumberFormat="1" applyFont="1" applyFill="1" applyBorder="1"/>
    <xf numFmtId="10" fontId="27" fillId="26" borderId="7" xfId="0" applyNumberFormat="1" applyFont="1" applyFill="1" applyBorder="1"/>
    <xf numFmtId="164" fontId="27" fillId="30" borderId="44" xfId="1" applyNumberFormat="1" applyFont="1" applyFill="1" applyBorder="1" applyAlignment="1">
      <alignment horizontal="left"/>
    </xf>
    <xf numFmtId="164" fontId="27" fillId="30" borderId="0" xfId="1" applyNumberFormat="1" applyFont="1" applyFill="1" applyBorder="1" applyAlignment="1">
      <alignment horizontal="left"/>
    </xf>
    <xf numFmtId="0" fontId="27" fillId="30" borderId="7" xfId="0" applyFont="1" applyFill="1" applyBorder="1"/>
    <xf numFmtId="0" fontId="27" fillId="30" borderId="13" xfId="7" applyFont="1" applyFill="1" applyBorder="1" applyAlignment="1">
      <alignment horizontal="right"/>
    </xf>
    <xf numFmtId="10" fontId="27" fillId="30" borderId="0" xfId="1" applyNumberFormat="1" applyFont="1" applyFill="1" applyBorder="1" applyAlignment="1">
      <alignment horizontal="right"/>
    </xf>
    <xf numFmtId="170" fontId="27" fillId="30" borderId="44" xfId="1" applyNumberFormat="1" applyFont="1" applyFill="1" applyBorder="1" applyAlignment="1">
      <alignment horizontal="right"/>
    </xf>
    <xf numFmtId="0" fontId="27" fillId="26" borderId="5" xfId="7" applyFont="1" applyFill="1" applyBorder="1" applyAlignment="1">
      <alignment horizontal="right" wrapText="1"/>
    </xf>
    <xf numFmtId="164" fontId="27" fillId="26" borderId="10" xfId="15" applyNumberFormat="1" applyFont="1" applyFill="1" applyBorder="1" applyAlignment="1">
      <alignment horizontal="right"/>
    </xf>
    <xf numFmtId="0" fontId="27" fillId="2" borderId="0" xfId="7" applyFont="1" applyFill="1" applyBorder="1" applyAlignment="1"/>
    <xf numFmtId="0" fontId="27" fillId="26" borderId="13" xfId="7" applyFont="1" applyFill="1" applyBorder="1" applyAlignment="1">
      <alignment horizontal="right" wrapText="1"/>
    </xf>
    <xf numFmtId="43" fontId="27" fillId="26" borderId="24" xfId="15" applyNumberFormat="1" applyFont="1" applyFill="1" applyBorder="1" applyAlignment="1">
      <alignment horizontal="right"/>
    </xf>
    <xf numFmtId="5" fontId="27" fillId="2" borderId="1" xfId="0" applyNumberFormat="1" applyFont="1" applyFill="1" applyBorder="1"/>
    <xf numFmtId="7" fontId="27" fillId="2" borderId="0" xfId="0" applyNumberFormat="1" applyFont="1" applyFill="1"/>
    <xf numFmtId="0" fontId="27" fillId="26" borderId="10" xfId="7" applyFont="1" applyFill="1" applyBorder="1" applyAlignment="1">
      <alignment horizontal="right" wrapText="1"/>
    </xf>
    <xf numFmtId="0" fontId="27" fillId="26" borderId="24" xfId="7" applyFont="1" applyFill="1" applyBorder="1" applyAlignment="1">
      <alignment horizontal="right" wrapText="1"/>
    </xf>
    <xf numFmtId="164" fontId="27" fillId="26" borderId="24" xfId="15" applyNumberFormat="1" applyFont="1" applyFill="1" applyBorder="1" applyAlignment="1">
      <alignment horizontal="right"/>
    </xf>
    <xf numFmtId="43" fontId="27" fillId="26" borderId="9" xfId="15" applyNumberFormat="1" applyFont="1" applyFill="1" applyBorder="1" applyAlignment="1">
      <alignment horizontal="right"/>
    </xf>
    <xf numFmtId="166" fontId="27" fillId="26" borderId="24" xfId="15" applyNumberFormat="1" applyFont="1" applyFill="1" applyBorder="1" applyAlignment="1">
      <alignment horizontal="right"/>
    </xf>
    <xf numFmtId="166" fontId="27" fillId="26" borderId="24" xfId="7" applyNumberFormat="1" applyFont="1" applyFill="1" applyBorder="1" applyAlignment="1">
      <alignment horizontal="right" wrapText="1"/>
    </xf>
    <xf numFmtId="43" fontId="27" fillId="26" borderId="4" xfId="15" applyNumberFormat="1" applyFont="1" applyFill="1" applyBorder="1" applyAlignment="1">
      <alignment horizontal="right"/>
    </xf>
    <xf numFmtId="43" fontId="27" fillId="26" borderId="7" xfId="15" applyNumberFormat="1" applyFont="1" applyFill="1" applyBorder="1" applyAlignment="1">
      <alignment horizontal="right"/>
    </xf>
    <xf numFmtId="164" fontId="27" fillId="26" borderId="7" xfId="15" applyNumberFormat="1" applyFont="1" applyFill="1" applyBorder="1" applyAlignment="1">
      <alignment horizontal="right"/>
    </xf>
    <xf numFmtId="164" fontId="41" fillId="3" borderId="10" xfId="1" applyNumberFormat="1" applyFont="1" applyFill="1" applyBorder="1" applyAlignment="1">
      <alignment horizontal="center" vertical="center" wrapText="1"/>
    </xf>
    <xf numFmtId="43" fontId="37" fillId="2" borderId="1" xfId="0" applyNumberFormat="1" applyFont="1" applyFill="1" applyBorder="1"/>
    <xf numFmtId="0" fontId="42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 wrapText="1"/>
    </xf>
    <xf numFmtId="0" fontId="40" fillId="2" borderId="1" xfId="0" applyFont="1" applyFill="1" applyBorder="1" applyAlignment="1">
      <alignment horizontal="right" vertical="center"/>
    </xf>
    <xf numFmtId="43" fontId="27" fillId="26" borderId="7" xfId="0" applyNumberFormat="1" applyFont="1" applyFill="1" applyBorder="1"/>
    <xf numFmtId="168" fontId="27" fillId="26" borderId="5" xfId="1" applyNumberFormat="1" applyFont="1" applyFill="1" applyBorder="1" applyAlignment="1">
      <alignment horizontal="right" wrapText="1"/>
    </xf>
    <xf numFmtId="10" fontId="27" fillId="26" borderId="9" xfId="0" applyNumberFormat="1" applyFont="1" applyFill="1" applyBorder="1" applyAlignment="1">
      <alignment wrapText="1"/>
    </xf>
    <xf numFmtId="168" fontId="41" fillId="3" borderId="1" xfId="0" applyNumberFormat="1" applyFont="1" applyFill="1" applyBorder="1" applyAlignment="1">
      <alignment horizontal="center" vertical="center" wrapText="1"/>
    </xf>
    <xf numFmtId="164" fontId="27" fillId="29" borderId="4" xfId="1" applyNumberFormat="1" applyFont="1" applyFill="1" applyBorder="1" applyAlignment="1">
      <alignment horizontal="right"/>
    </xf>
    <xf numFmtId="164" fontId="27" fillId="29" borderId="7" xfId="1" applyNumberFormat="1" applyFont="1" applyFill="1" applyBorder="1" applyAlignment="1">
      <alignment horizontal="right"/>
    </xf>
    <xf numFmtId="170" fontId="27" fillId="29" borderId="2" xfId="2" applyNumberFormat="1" applyFont="1" applyFill="1" applyBorder="1" applyAlignment="1">
      <alignment horizontal="right"/>
    </xf>
    <xf numFmtId="168" fontId="150" fillId="26" borderId="1" xfId="0" applyNumberFormat="1" applyFont="1" applyFill="1" applyBorder="1" applyAlignment="1">
      <alignment horizontal="center"/>
    </xf>
    <xf numFmtId="0" fontId="150" fillId="26" borderId="1" xfId="0" applyFont="1" applyFill="1" applyBorder="1" applyAlignment="1">
      <alignment horizontal="center"/>
    </xf>
    <xf numFmtId="164" fontId="28" fillId="26" borderId="12" xfId="1" applyNumberFormat="1" applyFont="1" applyFill="1" applyBorder="1" applyAlignment="1">
      <alignment horizontal="center"/>
    </xf>
    <xf numFmtId="164" fontId="28" fillId="26" borderId="10" xfId="1" applyNumberFormat="1" applyFont="1" applyFill="1" applyBorder="1" applyAlignment="1">
      <alignment horizontal="center" wrapText="1"/>
    </xf>
    <xf numFmtId="0" fontId="27" fillId="26" borderId="0" xfId="0" applyFont="1" applyFill="1" applyBorder="1" applyAlignment="1">
      <alignment horizontal="right"/>
    </xf>
    <xf numFmtId="9" fontId="27" fillId="26" borderId="2" xfId="2" applyFont="1" applyFill="1" applyBorder="1"/>
    <xf numFmtId="0" fontId="28" fillId="26" borderId="1" xfId="0" applyFont="1" applyFill="1" applyBorder="1" applyAlignment="1">
      <alignment horizontal="right" wrapText="1"/>
    </xf>
    <xf numFmtId="0" fontId="29" fillId="26" borderId="12" xfId="0" applyFont="1" applyFill="1" applyBorder="1" applyAlignment="1">
      <alignment horizontal="center" wrapText="1"/>
    </xf>
    <xf numFmtId="0" fontId="29" fillId="26" borderId="1" xfId="0" applyFont="1" applyFill="1" applyBorder="1" applyAlignment="1">
      <alignment horizontal="center"/>
    </xf>
    <xf numFmtId="43" fontId="27" fillId="26" borderId="24" xfId="1" applyNumberFormat="1" applyFont="1" applyFill="1" applyBorder="1" applyAlignment="1">
      <alignment horizontal="center"/>
    </xf>
    <xf numFmtId="43" fontId="27" fillId="26" borderId="9" xfId="1" applyNumberFormat="1" applyFont="1" applyFill="1" applyBorder="1"/>
    <xf numFmtId="0" fontId="40" fillId="2" borderId="11" xfId="0" applyFont="1" applyFill="1" applyBorder="1" applyAlignment="1">
      <alignment horizontal="left"/>
    </xf>
    <xf numFmtId="164" fontId="28" fillId="26" borderId="1" xfId="1" applyNumberFormat="1" applyFont="1" applyFill="1" applyBorder="1" applyAlignment="1">
      <alignment horizontal="center" vertical="center" wrapText="1"/>
    </xf>
    <xf numFmtId="164" fontId="27" fillId="26" borderId="4" xfId="1" applyNumberFormat="1" applyFont="1" applyFill="1" applyBorder="1"/>
    <xf numFmtId="0" fontId="32" fillId="28" borderId="1" xfId="0" applyFont="1" applyFill="1" applyBorder="1"/>
    <xf numFmtId="0" fontId="28" fillId="2" borderId="1" xfId="0" applyFont="1" applyFill="1" applyBorder="1" applyAlignment="1">
      <alignment horizontal="right"/>
    </xf>
    <xf numFmtId="0" fontId="28" fillId="2" borderId="1" xfId="0" applyFont="1" applyFill="1" applyBorder="1" applyAlignment="1">
      <alignment horizontal="right" wrapText="1"/>
    </xf>
    <xf numFmtId="0" fontId="32" fillId="28" borderId="1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right" wrapText="1"/>
    </xf>
    <xf numFmtId="43" fontId="26" fillId="0" borderId="0" xfId="1" applyNumberFormat="1" applyFont="1"/>
    <xf numFmtId="43" fontId="29" fillId="3" borderId="1" xfId="1" applyNumberFormat="1" applyFont="1" applyFill="1" applyBorder="1" applyAlignment="1">
      <alignment horizontal="center" wrapText="1"/>
    </xf>
    <xf numFmtId="169" fontId="29" fillId="3" borderId="1" xfId="141" applyNumberFormat="1" applyFont="1" applyFill="1" applyBorder="1" applyAlignment="1">
      <alignment horizontal="center" wrapText="1"/>
    </xf>
    <xf numFmtId="169" fontId="26" fillId="0" borderId="0" xfId="0" applyNumberFormat="1" applyFont="1" applyAlignment="1">
      <alignment wrapText="1"/>
    </xf>
    <xf numFmtId="169" fontId="26" fillId="0" borderId="0" xfId="0" applyNumberFormat="1" applyFont="1" applyAlignment="1">
      <alignment horizontal="right"/>
    </xf>
    <xf numFmtId="164" fontId="32" fillId="28" borderId="1" xfId="139" applyNumberFormat="1" applyFont="1" applyFill="1" applyBorder="1"/>
    <xf numFmtId="164" fontId="32" fillId="28" borderId="1" xfId="1" applyNumberFormat="1" applyFont="1" applyFill="1" applyBorder="1"/>
    <xf numFmtId="168" fontId="32" fillId="28" borderId="1" xfId="142" applyNumberFormat="1" applyFont="1" applyFill="1" applyBorder="1"/>
    <xf numFmtId="43" fontId="32" fillId="28" borderId="1" xfId="140" applyNumberFormat="1" applyFont="1" applyFill="1" applyBorder="1" applyAlignment="1">
      <alignment horizontal="right"/>
    </xf>
    <xf numFmtId="43" fontId="32" fillId="28" borderId="1" xfId="1" applyFont="1" applyFill="1" applyBorder="1" applyAlignment="1">
      <alignment horizontal="right"/>
    </xf>
    <xf numFmtId="168" fontId="32" fillId="28" borderId="1" xfId="0" applyNumberFormat="1" applyFont="1" applyFill="1" applyBorder="1" applyAlignment="1">
      <alignment horizontal="center" wrapText="1"/>
    </xf>
    <xf numFmtId="164" fontId="29" fillId="29" borderId="1" xfId="139" applyNumberFormat="1" applyFont="1" applyFill="1" applyBorder="1"/>
    <xf numFmtId="0" fontId="41" fillId="2" borderId="0" xfId="0" applyFont="1" applyFill="1"/>
    <xf numFmtId="5" fontId="40" fillId="2" borderId="1" xfId="1" applyNumberFormat="1" applyFont="1" applyFill="1" applyBorder="1" applyAlignment="1">
      <alignment horizontal="right"/>
    </xf>
    <xf numFmtId="168" fontId="44" fillId="2" borderId="0" xfId="0" applyNumberFormat="1" applyFont="1" applyFill="1" applyAlignment="1">
      <alignment horizontal="right"/>
    </xf>
    <xf numFmtId="0" fontId="151" fillId="2" borderId="0" xfId="0" applyFont="1" applyFill="1"/>
    <xf numFmtId="43" fontId="37" fillId="2" borderId="0" xfId="0" applyNumberFormat="1" applyFont="1" applyFill="1"/>
    <xf numFmtId="164" fontId="37" fillId="2" borderId="11" xfId="1" applyNumberFormat="1" applyFont="1" applyFill="1" applyBorder="1" applyAlignment="1">
      <alignment horizontal="right"/>
    </xf>
    <xf numFmtId="164" fontId="37" fillId="2" borderId="0" xfId="0" applyNumberFormat="1" applyFont="1" applyFill="1"/>
    <xf numFmtId="1" fontId="152" fillId="96" borderId="1" xfId="0" applyNumberFormat="1" applyFont="1" applyFill="1" applyBorder="1" applyAlignment="1">
      <alignment horizontal="left"/>
    </xf>
    <xf numFmtId="164" fontId="152" fillId="96" borderId="1" xfId="1" applyNumberFormat="1" applyFont="1" applyFill="1" applyBorder="1" applyAlignment="1">
      <alignment horizontal="center"/>
    </xf>
    <xf numFmtId="169" fontId="152" fillId="96" borderId="1" xfId="0" applyNumberFormat="1" applyFont="1" applyFill="1" applyBorder="1" applyAlignment="1">
      <alignment horizontal="left"/>
    </xf>
    <xf numFmtId="164" fontId="41" fillId="29" borderId="1" xfId="1" applyNumberFormat="1" applyFont="1" applyFill="1" applyBorder="1" applyAlignment="1">
      <alignment horizontal="right"/>
    </xf>
    <xf numFmtId="5" fontId="41" fillId="29" borderId="1" xfId="1" applyNumberFormat="1" applyFont="1" applyFill="1" applyBorder="1" applyAlignment="1">
      <alignment horizontal="right"/>
    </xf>
    <xf numFmtId="164" fontId="42" fillId="29" borderId="1" xfId="1" applyNumberFormat="1" applyFont="1" applyFill="1" applyBorder="1" applyAlignment="1">
      <alignment horizontal="right"/>
    </xf>
    <xf numFmtId="168" fontId="42" fillId="29" borderId="1" xfId="1" applyNumberFormat="1" applyFont="1" applyFill="1" applyBorder="1" applyAlignment="1">
      <alignment horizontal="right"/>
    </xf>
    <xf numFmtId="168" fontId="41" fillId="29" borderId="1" xfId="0" applyNumberFormat="1" applyFont="1" applyFill="1" applyBorder="1" applyAlignment="1">
      <alignment horizontal="right" vertical="center"/>
    </xf>
    <xf numFmtId="170" fontId="41" fillId="29" borderId="1" xfId="2" applyNumberFormat="1" applyFont="1" applyFill="1" applyBorder="1" applyAlignment="1">
      <alignment horizontal="right" vertical="center"/>
    </xf>
    <xf numFmtId="9" fontId="41" fillId="29" borderId="1" xfId="2" applyNumberFormat="1" applyFont="1" applyFill="1" applyBorder="1" applyAlignment="1">
      <alignment horizontal="right" vertical="center"/>
    </xf>
    <xf numFmtId="164" fontId="41" fillId="29" borderId="1" xfId="1" applyNumberFormat="1" applyFont="1" applyFill="1" applyBorder="1" applyAlignment="1">
      <alignment horizontal="left"/>
    </xf>
    <xf numFmtId="1" fontId="152" fillId="96" borderId="1" xfId="0" applyNumberFormat="1" applyFont="1" applyFill="1" applyBorder="1" applyAlignment="1">
      <alignment horizontal="center"/>
    </xf>
    <xf numFmtId="168" fontId="41" fillId="29" borderId="1" xfId="0" applyNumberFormat="1" applyFont="1" applyFill="1" applyBorder="1" applyAlignment="1">
      <alignment horizontal="right"/>
    </xf>
    <xf numFmtId="168" fontId="41" fillId="29" borderId="1" xfId="2" applyNumberFormat="1" applyFont="1" applyFill="1" applyBorder="1" applyAlignment="1">
      <alignment horizontal="right" vertical="center"/>
    </xf>
    <xf numFmtId="9" fontId="41" fillId="29" borderId="1" xfId="2" applyFont="1" applyFill="1" applyBorder="1" applyAlignment="1">
      <alignment horizontal="right"/>
    </xf>
    <xf numFmtId="0" fontId="41" fillId="29" borderId="1" xfId="0" applyFont="1" applyFill="1" applyBorder="1" applyAlignment="1">
      <alignment horizontal="left"/>
    </xf>
    <xf numFmtId="43" fontId="41" fillId="29" borderId="1" xfId="132" applyNumberFormat="1" applyFont="1" applyFill="1" applyBorder="1"/>
    <xf numFmtId="0" fontId="41" fillId="29" borderId="1" xfId="0" applyFont="1" applyFill="1" applyBorder="1"/>
    <xf numFmtId="169" fontId="41" fillId="29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Border="1" applyAlignment="1">
      <alignment horizontal="right" vertical="center"/>
    </xf>
    <xf numFmtId="7" fontId="40" fillId="2" borderId="1" xfId="1" applyNumberFormat="1" applyFont="1" applyFill="1" applyBorder="1" applyAlignment="1">
      <alignment horizontal="right"/>
    </xf>
    <xf numFmtId="5" fontId="37" fillId="2" borderId="1" xfId="1" applyNumberFormat="1" applyFont="1" applyFill="1" applyBorder="1"/>
    <xf numFmtId="1" fontId="37" fillId="2" borderId="0" xfId="0" applyNumberFormat="1" applyFont="1" applyFill="1"/>
    <xf numFmtId="164" fontId="41" fillId="97" borderId="1" xfId="1" applyNumberFormat="1" applyFont="1" applyFill="1" applyBorder="1" applyAlignment="1">
      <alignment horizontal="right"/>
    </xf>
    <xf numFmtId="169" fontId="41" fillId="97" borderId="1" xfId="1" applyNumberFormat="1" applyFont="1" applyFill="1" applyBorder="1" applyAlignment="1">
      <alignment horizontal="right"/>
    </xf>
    <xf numFmtId="168" fontId="42" fillId="97" borderId="1" xfId="1" applyNumberFormat="1" applyFont="1" applyFill="1" applyBorder="1" applyAlignment="1">
      <alignment horizontal="right"/>
    </xf>
    <xf numFmtId="164" fontId="37" fillId="2" borderId="0" xfId="1" applyNumberFormat="1" applyFont="1" applyFill="1" applyAlignment="1">
      <alignment horizontal="right"/>
    </xf>
    <xf numFmtId="43" fontId="40" fillId="2" borderId="0" xfId="1" applyFont="1" applyFill="1" applyAlignment="1">
      <alignment horizontal="left"/>
    </xf>
    <xf numFmtId="43" fontId="37" fillId="2" borderId="0" xfId="1" applyFont="1" applyFill="1"/>
    <xf numFmtId="43" fontId="44" fillId="2" borderId="0" xfId="1" applyFont="1" applyFill="1" applyAlignment="1">
      <alignment horizontal="left"/>
    </xf>
    <xf numFmtId="43" fontId="40" fillId="2" borderId="0" xfId="1" applyNumberFormat="1" applyFont="1" applyFill="1" applyAlignment="1">
      <alignment horizontal="left"/>
    </xf>
    <xf numFmtId="43" fontId="37" fillId="2" borderId="1" xfId="1" applyNumberFormat="1" applyFont="1" applyFill="1" applyBorder="1" applyAlignment="1">
      <alignment horizontal="right"/>
    </xf>
    <xf numFmtId="168" fontId="27" fillId="26" borderId="24" xfId="1" applyNumberFormat="1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horizontal="right"/>
    </xf>
    <xf numFmtId="168" fontId="37" fillId="2" borderId="1" xfId="1" applyNumberFormat="1" applyFont="1" applyFill="1" applyBorder="1" applyAlignment="1">
      <alignment horizontal="right"/>
    </xf>
    <xf numFmtId="168" fontId="40" fillId="2" borderId="0" xfId="1" applyNumberFormat="1" applyFont="1" applyFill="1" applyAlignment="1">
      <alignment horizontal="right"/>
    </xf>
    <xf numFmtId="43" fontId="37" fillId="2" borderId="0" xfId="1" applyNumberFormat="1" applyFont="1" applyFill="1" applyAlignment="1">
      <alignment horizontal="right"/>
    </xf>
    <xf numFmtId="43" fontId="152" fillId="96" borderId="1" xfId="0" applyNumberFormat="1" applyFont="1" applyFill="1" applyBorder="1" applyAlignment="1">
      <alignment horizontal="left"/>
    </xf>
    <xf numFmtId="43" fontId="41" fillId="29" borderId="1" xfId="1" applyNumberFormat="1" applyFont="1" applyFill="1" applyBorder="1" applyAlignment="1">
      <alignment horizontal="right"/>
    </xf>
    <xf numFmtId="43" fontId="41" fillId="29" borderId="1" xfId="0" applyNumberFormat="1" applyFont="1" applyFill="1" applyBorder="1" applyAlignment="1">
      <alignment horizontal="right"/>
    </xf>
    <xf numFmtId="43" fontId="40" fillId="2" borderId="1" xfId="1" applyNumberFormat="1" applyFont="1" applyFill="1" applyBorder="1" applyAlignment="1">
      <alignment horizontal="right"/>
    </xf>
    <xf numFmtId="43" fontId="41" fillId="97" borderId="1" xfId="1" applyNumberFormat="1" applyFont="1" applyFill="1" applyBorder="1" applyAlignment="1">
      <alignment horizontal="right"/>
    </xf>
    <xf numFmtId="7" fontId="40" fillId="2" borderId="1" xfId="0" applyNumberFormat="1" applyFont="1" applyFill="1" applyBorder="1" applyAlignment="1">
      <alignment horizontal="right"/>
    </xf>
    <xf numFmtId="5" fontId="40" fillId="2" borderId="1" xfId="0" applyNumberFormat="1" applyFont="1" applyFill="1" applyBorder="1" applyAlignment="1">
      <alignment horizontal="right"/>
    </xf>
    <xf numFmtId="5" fontId="41" fillId="29" borderId="1" xfId="0" applyNumberFormat="1" applyFont="1" applyFill="1" applyBorder="1" applyAlignment="1">
      <alignment horizontal="right"/>
    </xf>
    <xf numFmtId="43" fontId="27" fillId="2" borderId="0" xfId="1" applyFont="1" applyFill="1"/>
    <xf numFmtId="5" fontId="41" fillId="97" borderId="1" xfId="1" applyNumberFormat="1" applyFont="1" applyFill="1" applyBorder="1" applyAlignment="1">
      <alignment horizontal="right"/>
    </xf>
    <xf numFmtId="164" fontId="41" fillId="29" borderId="10" xfId="1" applyNumberFormat="1" applyFont="1" applyFill="1" applyBorder="1" applyAlignment="1">
      <alignment horizontal="right"/>
    </xf>
    <xf numFmtId="164" fontId="42" fillId="2" borderId="0" xfId="1" applyNumberFormat="1" applyFont="1" applyFill="1" applyAlignment="1">
      <alignment horizontal="right"/>
    </xf>
    <xf numFmtId="5" fontId="41" fillId="29" borderId="10" xfId="1" applyNumberFormat="1" applyFont="1" applyFill="1" applyBorder="1" applyAlignment="1">
      <alignment horizontal="right"/>
    </xf>
    <xf numFmtId="43" fontId="41" fillId="29" borderId="10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/>
    </xf>
    <xf numFmtId="5" fontId="152" fillId="96" borderId="1" xfId="1" applyNumberFormat="1" applyFont="1" applyFill="1" applyBorder="1" applyAlignment="1">
      <alignment horizontal="center"/>
    </xf>
    <xf numFmtId="168" fontId="44" fillId="2" borderId="0" xfId="0" applyNumberFormat="1" applyFont="1" applyFill="1" applyAlignment="1">
      <alignment horizontal="left"/>
    </xf>
    <xf numFmtId="168" fontId="40" fillId="2" borderId="0" xfId="1" applyNumberFormat="1" applyFont="1" applyFill="1" applyAlignment="1">
      <alignment horizontal="left"/>
    </xf>
    <xf numFmtId="5" fontId="26" fillId="2" borderId="1" xfId="139" applyNumberFormat="1" applyFont="1" applyFill="1" applyBorder="1"/>
    <xf numFmtId="167" fontId="41" fillId="3" borderId="1" xfId="1" applyNumberFormat="1" applyFont="1" applyFill="1" applyBorder="1" applyAlignment="1">
      <alignment horizontal="center" vertical="center" wrapText="1"/>
    </xf>
    <xf numFmtId="0" fontId="32" fillId="27" borderId="1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0" fontId="40" fillId="2" borderId="0" xfId="0" applyNumberFormat="1" applyFont="1" applyFill="1" applyBorder="1" applyAlignment="1">
      <alignment horizontal="center" wrapText="1"/>
    </xf>
    <xf numFmtId="230" fontId="40" fillId="0" borderId="0" xfId="0" applyNumberFormat="1" applyFont="1" applyBorder="1"/>
    <xf numFmtId="43" fontId="40" fillId="2" borderId="1" xfId="132" applyNumberFormat="1" applyFont="1" applyFill="1" applyBorder="1"/>
    <xf numFmtId="0" fontId="28" fillId="29" borderId="1" xfId="0" applyFont="1" applyFill="1" applyBorder="1"/>
    <xf numFmtId="0" fontId="27" fillId="2" borderId="1" xfId="0" applyFont="1" applyFill="1" applyBorder="1" applyAlignment="1">
      <alignment horizontal="right"/>
    </xf>
    <xf numFmtId="0" fontId="28" fillId="98" borderId="1" xfId="0" applyFont="1" applyFill="1" applyBorder="1" applyAlignment="1">
      <alignment horizontal="right"/>
    </xf>
    <xf numFmtId="164" fontId="27" fillId="2" borderId="1" xfId="139" applyNumberFormat="1" applyFont="1" applyFill="1" applyBorder="1"/>
    <xf numFmtId="168" fontId="26" fillId="98" borderId="1" xfId="140" applyNumberFormat="1" applyFont="1" applyFill="1" applyBorder="1"/>
    <xf numFmtId="168" fontId="26" fillId="98" borderId="1" xfId="142" applyNumberFormat="1" applyFont="1" applyFill="1" applyBorder="1"/>
    <xf numFmtId="168" fontId="28" fillId="98" borderId="1" xfId="0" applyNumberFormat="1" applyFont="1" applyFill="1" applyBorder="1" applyAlignment="1">
      <alignment horizontal="center" wrapText="1"/>
    </xf>
    <xf numFmtId="43" fontId="28" fillId="98" borderId="1" xfId="140" applyNumberFormat="1" applyFont="1" applyFill="1" applyBorder="1" applyAlignment="1">
      <alignment horizontal="right"/>
    </xf>
    <xf numFmtId="43" fontId="28" fillId="98" borderId="1" xfId="1" applyFont="1" applyFill="1" applyBorder="1" applyAlignment="1">
      <alignment horizontal="right"/>
    </xf>
    <xf numFmtId="0" fontId="28" fillId="98" borderId="1" xfId="0" applyFont="1" applyFill="1" applyBorder="1" applyAlignment="1">
      <alignment horizontal="right" wrapText="1"/>
    </xf>
    <xf numFmtId="43" fontId="27" fillId="99" borderId="1" xfId="140" applyNumberFormat="1" applyFont="1" applyFill="1" applyBorder="1" applyAlignment="1">
      <alignment horizontal="right"/>
    </xf>
    <xf numFmtId="43" fontId="27" fillId="99" borderId="1" xfId="1" applyFont="1" applyFill="1" applyBorder="1" applyAlignment="1">
      <alignment horizontal="right"/>
    </xf>
    <xf numFmtId="43" fontId="26" fillId="99" borderId="1" xfId="140" applyNumberFormat="1" applyFont="1" applyFill="1" applyBorder="1" applyAlignment="1">
      <alignment horizontal="right"/>
    </xf>
    <xf numFmtId="43" fontId="26" fillId="99" borderId="1" xfId="1" applyFont="1" applyFill="1" applyBorder="1" applyAlignment="1">
      <alignment horizontal="right"/>
    </xf>
    <xf numFmtId="169" fontId="32" fillId="28" borderId="1" xfId="141" applyNumberFormat="1" applyFont="1" applyFill="1" applyBorder="1" applyAlignment="1">
      <alignment horizontal="left" wrapText="1"/>
    </xf>
    <xf numFmtId="0" fontId="28" fillId="29" borderId="1" xfId="0" applyFont="1" applyFill="1" applyBorder="1" applyAlignment="1">
      <alignment horizontal="right"/>
    </xf>
    <xf numFmtId="43" fontId="28" fillId="29" borderId="1" xfId="140" applyNumberFormat="1" applyFont="1" applyFill="1" applyBorder="1" applyAlignment="1">
      <alignment horizontal="right"/>
    </xf>
    <xf numFmtId="43" fontId="28" fillId="29" borderId="1" xfId="1" applyFont="1" applyFill="1" applyBorder="1" applyAlignment="1">
      <alignment horizontal="right"/>
    </xf>
    <xf numFmtId="168" fontId="28" fillId="29" borderId="1" xfId="140" applyNumberFormat="1" applyFont="1" applyFill="1" applyBorder="1"/>
    <xf numFmtId="168" fontId="28" fillId="29" borderId="1" xfId="142" applyNumberFormat="1" applyFont="1" applyFill="1" applyBorder="1"/>
    <xf numFmtId="168" fontId="28" fillId="29" borderId="1" xfId="0" applyNumberFormat="1" applyFont="1" applyFill="1" applyBorder="1" applyAlignment="1">
      <alignment horizontal="center" wrapText="1"/>
    </xf>
    <xf numFmtId="168" fontId="28" fillId="98" borderId="1" xfId="140" applyNumberFormat="1" applyFont="1" applyFill="1" applyBorder="1"/>
    <xf numFmtId="168" fontId="28" fillId="98" borderId="1" xfId="142" applyNumberFormat="1" applyFont="1" applyFill="1" applyBorder="1"/>
    <xf numFmtId="0" fontId="28" fillId="0" borderId="0" xfId="0" applyFont="1"/>
    <xf numFmtId="43" fontId="41" fillId="97" borderId="1" xfId="132" applyNumberFormat="1" applyFont="1" applyFill="1" applyBorder="1"/>
    <xf numFmtId="39" fontId="40" fillId="2" borderId="1" xfId="1" applyNumberFormat="1" applyFont="1" applyFill="1" applyBorder="1" applyAlignment="1">
      <alignment horizontal="right"/>
    </xf>
    <xf numFmtId="43" fontId="40" fillId="2" borderId="0" xfId="1" applyFont="1" applyFill="1"/>
    <xf numFmtId="5" fontId="29" fillId="29" borderId="1" xfId="139" applyNumberFormat="1" applyFont="1" applyFill="1" applyBorder="1"/>
    <xf numFmtId="164" fontId="29" fillId="98" borderId="1" xfId="139" applyNumberFormat="1" applyFont="1" applyFill="1" applyBorder="1"/>
    <xf numFmtId="5" fontId="29" fillId="98" borderId="1" xfId="139" applyNumberFormat="1" applyFont="1" applyFill="1" applyBorder="1"/>
    <xf numFmtId="5" fontId="27" fillId="26" borderId="5" xfId="1" applyNumberFormat="1" applyFont="1" applyFill="1" applyBorder="1" applyAlignment="1">
      <alignment horizontal="right"/>
    </xf>
    <xf numFmtId="164" fontId="27" fillId="26" borderId="3" xfId="1" applyNumberFormat="1" applyFont="1" applyFill="1" applyBorder="1" applyAlignment="1">
      <alignment horizontal="center"/>
    </xf>
    <xf numFmtId="169" fontId="27" fillId="26" borderId="4" xfId="0" applyNumberFormat="1" applyFont="1" applyFill="1" applyBorder="1"/>
    <xf numFmtId="164" fontId="27" fillId="26" borderId="2" xfId="1" applyNumberFormat="1" applyFont="1" applyFill="1" applyBorder="1" applyAlignment="1">
      <alignment wrapText="1"/>
    </xf>
    <xf numFmtId="43" fontId="152" fillId="28" borderId="1" xfId="132" applyNumberFormat="1" applyFont="1" applyFill="1" applyBorder="1"/>
    <xf numFmtId="9" fontId="152" fillId="28" borderId="1" xfId="2" applyFont="1" applyFill="1" applyBorder="1" applyAlignment="1">
      <alignment horizontal="center" vertical="center" wrapText="1"/>
    </xf>
    <xf numFmtId="0" fontId="152" fillId="28" borderId="1" xfId="0" applyFont="1" applyFill="1" applyBorder="1" applyAlignment="1">
      <alignment horizontal="right" wrapText="1"/>
    </xf>
    <xf numFmtId="0" fontId="40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/>
    <xf numFmtId="0" fontId="26" fillId="26" borderId="13" xfId="7" applyFont="1" applyFill="1" applyBorder="1" applyAlignment="1">
      <alignment horizontal="right" wrapText="1"/>
    </xf>
    <xf numFmtId="0" fontId="26" fillId="2" borderId="0" xfId="7" applyFont="1" applyFill="1" applyBorder="1" applyAlignment="1"/>
    <xf numFmtId="0" fontId="26" fillId="26" borderId="3" xfId="7" applyFont="1" applyFill="1" applyBorder="1" applyAlignment="1">
      <alignment horizontal="right" wrapText="1"/>
    </xf>
    <xf numFmtId="170" fontId="27" fillId="30" borderId="0" xfId="2" applyNumberFormat="1" applyFont="1" applyFill="1" applyBorder="1"/>
    <xf numFmtId="164" fontId="27" fillId="30" borderId="12" xfId="1" applyNumberFormat="1" applyFont="1" applyFill="1" applyBorder="1" applyAlignment="1">
      <alignment horizontal="right" wrapText="1"/>
    </xf>
    <xf numFmtId="0" fontId="27" fillId="30" borderId="14" xfId="129" applyFont="1" applyFill="1" applyBorder="1" applyAlignment="1">
      <alignment horizontal="right"/>
    </xf>
    <xf numFmtId="0" fontId="27" fillId="30" borderId="11" xfId="7" applyFont="1" applyFill="1" applyBorder="1" applyAlignment="1"/>
    <xf numFmtId="0" fontId="26" fillId="2" borderId="1" xfId="0" applyFont="1" applyFill="1" applyBorder="1"/>
    <xf numFmtId="168" fontId="27" fillId="2" borderId="1" xfId="0" applyNumberFormat="1" applyFont="1" applyFill="1" applyBorder="1"/>
    <xf numFmtId="168" fontId="27" fillId="26" borderId="10" xfId="131" applyNumberFormat="1" applyFont="1" applyFill="1" applyBorder="1"/>
    <xf numFmtId="168" fontId="27" fillId="26" borderId="9" xfId="50294" applyNumberFormat="1" applyFont="1" applyFill="1" applyBorder="1"/>
    <xf numFmtId="165" fontId="40" fillId="2" borderId="9" xfId="1" applyNumberFormat="1" applyFont="1" applyFill="1" applyBorder="1" applyAlignment="1">
      <alignment horizontal="right"/>
    </xf>
    <xf numFmtId="43" fontId="27" fillId="2" borderId="1" xfId="139" applyNumberFormat="1" applyFont="1" applyFill="1" applyBorder="1"/>
    <xf numFmtId="0" fontId="151" fillId="0" borderId="0" xfId="0" applyFont="1" applyAlignment="1">
      <alignment horizontal="left"/>
    </xf>
    <xf numFmtId="39" fontId="41" fillId="97" borderId="1" xfId="1" applyNumberFormat="1" applyFont="1" applyFill="1" applyBorder="1" applyAlignment="1">
      <alignment horizontal="right"/>
    </xf>
    <xf numFmtId="0" fontId="28" fillId="26" borderId="1" xfId="0" applyFont="1" applyFill="1" applyBorder="1" applyAlignment="1">
      <alignment horizontal="center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0" fontId="32" fillId="27" borderId="1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 wrapText="1"/>
    </xf>
    <xf numFmtId="164" fontId="40" fillId="2" borderId="0" xfId="1" applyNumberFormat="1" applyFont="1" applyFill="1" applyBorder="1" applyAlignment="1">
      <alignment horizontal="right" vertical="center"/>
    </xf>
    <xf numFmtId="169" fontId="40" fillId="2" borderId="1" xfId="2" applyNumberFormat="1" applyFont="1" applyFill="1" applyBorder="1" applyAlignment="1">
      <alignment horizontal="right" vertical="center"/>
    </xf>
    <xf numFmtId="170" fontId="40" fillId="2" borderId="1" xfId="2" applyNumberFormat="1" applyFont="1" applyFill="1" applyBorder="1" applyAlignment="1">
      <alignment horizontal="right" vertical="center"/>
    </xf>
    <xf numFmtId="9" fontId="40" fillId="2" borderId="1" xfId="2" applyNumberFormat="1" applyFont="1" applyFill="1" applyBorder="1" applyAlignment="1">
      <alignment horizontal="right" vertical="center"/>
    </xf>
    <xf numFmtId="0" fontId="26" fillId="26" borderId="1" xfId="7" applyFont="1" applyFill="1" applyBorder="1" applyAlignment="1">
      <alignment horizontal="right" wrapText="1"/>
    </xf>
    <xf numFmtId="9" fontId="27" fillId="26" borderId="1" xfId="2" applyFont="1" applyFill="1" applyBorder="1" applyAlignment="1">
      <alignment horizontal="right"/>
    </xf>
    <xf numFmtId="168" fontId="37" fillId="2" borderId="9" xfId="0" applyNumberFormat="1" applyFont="1" applyFill="1" applyBorder="1" applyAlignment="1">
      <alignment horizontal="right"/>
    </xf>
    <xf numFmtId="10" fontId="40" fillId="2" borderId="0" xfId="138" applyNumberFormat="1" applyFont="1" applyFill="1" applyBorder="1"/>
    <xf numFmtId="165" fontId="40" fillId="0" borderId="0" xfId="1" applyNumberFormat="1" applyFont="1" applyBorder="1"/>
    <xf numFmtId="169" fontId="40" fillId="100" borderId="1" xfId="0" applyNumberFormat="1" applyFont="1" applyFill="1" applyBorder="1"/>
    <xf numFmtId="169" fontId="40" fillId="100" borderId="1" xfId="138" applyNumberFormat="1" applyFont="1" applyFill="1" applyBorder="1"/>
    <xf numFmtId="0" fontId="41" fillId="100" borderId="1" xfId="0" applyFont="1" applyFill="1" applyBorder="1"/>
    <xf numFmtId="0" fontId="41" fillId="0" borderId="1" xfId="0" applyFont="1" applyBorder="1"/>
    <xf numFmtId="169" fontId="29" fillId="3" borderId="1" xfId="140" applyNumberFormat="1" applyFont="1" applyFill="1" applyBorder="1" applyAlignment="1">
      <alignment horizontal="center" wrapText="1"/>
    </xf>
    <xf numFmtId="0" fontId="26" fillId="26" borderId="5" xfId="7" applyFont="1" applyFill="1" applyBorder="1" applyAlignment="1">
      <alignment horizontal="right" wrapText="1"/>
    </xf>
    <xf numFmtId="9" fontId="37" fillId="2" borderId="0" xfId="2" applyFont="1" applyFill="1"/>
    <xf numFmtId="164" fontId="28" fillId="3" borderId="1" xfId="1" applyNumberFormat="1" applyFont="1" applyFill="1" applyBorder="1" applyAlignment="1">
      <alignment horizontal="center" vertical="center" wrapText="1"/>
    </xf>
    <xf numFmtId="164" fontId="27" fillId="29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 applyAlignment="1">
      <alignment horizontal="right"/>
    </xf>
    <xf numFmtId="164" fontId="27" fillId="98" borderId="1" xfId="1" applyNumberFormat="1" applyFont="1" applyFill="1" applyBorder="1" applyAlignment="1">
      <alignment horizontal="right"/>
    </xf>
    <xf numFmtId="43" fontId="26" fillId="0" borderId="0" xfId="1" applyFont="1"/>
    <xf numFmtId="43" fontId="29" fillId="3" borderId="1" xfId="1" applyFont="1" applyFill="1" applyBorder="1" applyAlignment="1">
      <alignment horizontal="center" wrapText="1"/>
    </xf>
    <xf numFmtId="43" fontId="32" fillId="28" borderId="1" xfId="1" applyFont="1" applyFill="1" applyBorder="1"/>
    <xf numFmtId="43" fontId="28" fillId="29" borderId="1" xfId="1" applyFont="1" applyFill="1" applyBorder="1" applyAlignment="1">
      <alignment horizontal="center" wrapText="1"/>
    </xf>
    <xf numFmtId="43" fontId="27" fillId="2" borderId="1" xfId="1" applyFont="1" applyFill="1" applyBorder="1" applyAlignment="1">
      <alignment horizontal="right"/>
    </xf>
    <xf numFmtId="43" fontId="28" fillId="29" borderId="1" xfId="1" applyFont="1" applyFill="1" applyBorder="1"/>
    <xf numFmtId="43" fontId="28" fillId="98" borderId="1" xfId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/>
    <xf numFmtId="164" fontId="28" fillId="98" borderId="1" xfId="1" applyNumberFormat="1" applyFont="1" applyFill="1" applyBorder="1" applyAlignment="1">
      <alignment horizontal="center" wrapText="1"/>
    </xf>
    <xf numFmtId="164" fontId="26" fillId="0" borderId="0" xfId="1" applyNumberFormat="1" applyFont="1" applyAlignment="1">
      <alignment wrapText="1"/>
    </xf>
    <xf numFmtId="43" fontId="32" fillId="28" borderId="0" xfId="1" applyFont="1" applyFill="1" applyBorder="1"/>
    <xf numFmtId="7" fontId="27" fillId="2" borderId="1" xfId="1" applyNumberFormat="1" applyFont="1" applyFill="1" applyBorder="1" applyAlignment="1">
      <alignment horizontal="right"/>
    </xf>
    <xf numFmtId="7" fontId="28" fillId="29" borderId="1" xfId="1" applyNumberFormat="1" applyFont="1" applyFill="1" applyBorder="1" applyAlignment="1">
      <alignment horizontal="right"/>
    </xf>
    <xf numFmtId="168" fontId="26" fillId="29" borderId="1" xfId="0" applyNumberFormat="1" applyFont="1" applyFill="1" applyBorder="1" applyAlignment="1">
      <alignment horizontal="center" wrapText="1"/>
    </xf>
    <xf numFmtId="43" fontId="26" fillId="29" borderId="1" xfId="1" applyFont="1" applyFill="1" applyBorder="1" applyAlignment="1">
      <alignment horizontal="right"/>
    </xf>
    <xf numFmtId="43" fontId="29" fillId="29" borderId="1" xfId="1" applyFont="1" applyFill="1" applyBorder="1" applyAlignment="1">
      <alignment horizontal="right"/>
    </xf>
    <xf numFmtId="43" fontId="29" fillId="98" borderId="1" xfId="1" applyFont="1" applyFill="1" applyBorder="1" applyAlignment="1">
      <alignment horizontal="right"/>
    </xf>
    <xf numFmtId="168" fontId="29" fillId="29" borderId="1" xfId="0" applyNumberFormat="1" applyFont="1" applyFill="1" applyBorder="1" applyAlignment="1">
      <alignment horizontal="center" wrapText="1"/>
    </xf>
    <xf numFmtId="168" fontId="29" fillId="98" borderId="1" xfId="140" applyNumberFormat="1" applyFont="1" applyFill="1" applyBorder="1"/>
    <xf numFmtId="168" fontId="29" fillId="29" borderId="1" xfId="140" applyNumberFormat="1" applyFont="1" applyFill="1" applyBorder="1"/>
    <xf numFmtId="164" fontId="28" fillId="29" borderId="1" xfId="1" applyNumberFormat="1" applyFont="1" applyFill="1" applyBorder="1" applyAlignment="1">
      <alignment horizontal="right"/>
    </xf>
    <xf numFmtId="0" fontId="29" fillId="3" borderId="1" xfId="140" applyFont="1" applyFill="1" applyBorder="1" applyAlignment="1">
      <alignment horizontal="center" wrapText="1"/>
    </xf>
    <xf numFmtId="0" fontId="32" fillId="27" borderId="0" xfId="0" applyFont="1" applyFill="1"/>
    <xf numFmtId="0" fontId="154" fillId="2" borderId="0" xfId="0" applyFont="1" applyFill="1" applyBorder="1" applyAlignment="1">
      <alignment vertical="center"/>
    </xf>
    <xf numFmtId="0" fontId="155" fillId="2" borderId="0" xfId="0" applyFont="1" applyFill="1"/>
    <xf numFmtId="0" fontId="156" fillId="28" borderId="1" xfId="0" applyFont="1" applyFill="1" applyBorder="1" applyAlignment="1">
      <alignment horizontal="left" vertical="center" wrapText="1"/>
    </xf>
    <xf numFmtId="0" fontId="156" fillId="28" borderId="1" xfId="0" applyFont="1" applyFill="1" applyBorder="1" applyAlignment="1">
      <alignment horizontal="center" vertical="center" wrapText="1"/>
    </xf>
    <xf numFmtId="0" fontId="156" fillId="28" borderId="1" xfId="0" applyFont="1" applyFill="1" applyBorder="1" applyAlignment="1">
      <alignment horizontal="center" vertical="center"/>
    </xf>
    <xf numFmtId="0" fontId="154" fillId="32" borderId="1" xfId="0" applyFont="1" applyFill="1" applyBorder="1"/>
    <xf numFmtId="5" fontId="157" fillId="32" borderId="1" xfId="0" applyNumberFormat="1" applyFont="1" applyFill="1" applyBorder="1"/>
    <xf numFmtId="164" fontId="157" fillId="32" borderId="1" xfId="1" applyNumberFormat="1" applyFont="1" applyFill="1" applyBorder="1"/>
    <xf numFmtId="166" fontId="157" fillId="32" borderId="1" xfId="1" applyNumberFormat="1" applyFont="1" applyFill="1" applyBorder="1"/>
    <xf numFmtId="0" fontId="158" fillId="2" borderId="1" xfId="0" applyFont="1" applyFill="1" applyBorder="1" applyAlignment="1">
      <alignment horizontal="right"/>
    </xf>
    <xf numFmtId="5" fontId="155" fillId="2" borderId="1" xfId="0" applyNumberFormat="1" applyFont="1" applyFill="1" applyBorder="1"/>
    <xf numFmtId="37" fontId="155" fillId="2" borderId="1" xfId="0" applyNumberFormat="1" applyFont="1" applyFill="1" applyBorder="1"/>
    <xf numFmtId="166" fontId="155" fillId="2" borderId="1" xfId="1" applyNumberFormat="1" applyFont="1" applyFill="1" applyBorder="1"/>
    <xf numFmtId="0" fontId="159" fillId="2" borderId="1" xfId="0" applyFont="1" applyFill="1" applyBorder="1" applyAlignment="1">
      <alignment horizontal="right" wrapText="1"/>
    </xf>
    <xf numFmtId="7" fontId="155" fillId="2" borderId="0" xfId="0" applyNumberFormat="1" applyFont="1" applyFill="1"/>
    <xf numFmtId="5" fontId="158" fillId="2" borderId="1" xfId="0" applyNumberFormat="1" applyFont="1" applyFill="1" applyBorder="1" applyAlignment="1">
      <alignment horizontal="right"/>
    </xf>
    <xf numFmtId="164" fontId="155" fillId="2" borderId="1" xfId="1" applyNumberFormat="1" applyFont="1" applyFill="1" applyBorder="1"/>
    <xf numFmtId="4" fontId="155" fillId="2" borderId="1" xfId="0" applyNumberFormat="1" applyFont="1" applyFill="1" applyBorder="1" applyAlignment="1">
      <alignment horizontal="center"/>
    </xf>
    <xf numFmtId="166" fontId="155" fillId="2" borderId="1" xfId="1" applyNumberFormat="1" applyFont="1" applyFill="1" applyBorder="1" applyAlignment="1">
      <alignment horizontal="center"/>
    </xf>
    <xf numFmtId="164" fontId="155" fillId="2" borderId="1" xfId="1" applyNumberFormat="1" applyFont="1" applyFill="1" applyBorder="1" applyAlignment="1">
      <alignment horizontal="center"/>
    </xf>
    <xf numFmtId="43" fontId="157" fillId="32" borderId="1" xfId="1" applyFont="1" applyFill="1" applyBorder="1" applyAlignment="1">
      <alignment horizontal="center"/>
    </xf>
    <xf numFmtId="166" fontId="157" fillId="32" borderId="1" xfId="1" applyNumberFormat="1" applyFont="1" applyFill="1" applyBorder="1" applyAlignment="1">
      <alignment horizontal="center"/>
    </xf>
    <xf numFmtId="0" fontId="154" fillId="32" borderId="1" xfId="0" applyFont="1" applyFill="1" applyBorder="1" applyAlignment="1">
      <alignment horizontal="left"/>
    </xf>
    <xf numFmtId="43" fontId="157" fillId="32" borderId="1" xfId="1" applyFont="1" applyFill="1" applyBorder="1"/>
    <xf numFmtId="0" fontId="156" fillId="28" borderId="1" xfId="0" applyFont="1" applyFill="1" applyBorder="1"/>
    <xf numFmtId="5" fontId="160" fillId="28" borderId="1" xfId="0" applyNumberFormat="1" applyFont="1" applyFill="1" applyBorder="1"/>
    <xf numFmtId="164" fontId="160" fillId="28" borderId="1" xfId="1" applyNumberFormat="1" applyFont="1" applyFill="1" applyBorder="1"/>
    <xf numFmtId="166" fontId="160" fillId="28" borderId="1" xfId="1" applyNumberFormat="1" applyFont="1" applyFill="1" applyBorder="1"/>
    <xf numFmtId="0" fontId="161" fillId="2" borderId="0" xfId="0" applyFont="1" applyFill="1"/>
    <xf numFmtId="167" fontId="41" fillId="3" borderId="1" xfId="1" applyNumberFormat="1" applyFont="1" applyFill="1" applyBorder="1" applyAlignment="1">
      <alignment horizontal="center" vertical="center" wrapText="1"/>
    </xf>
    <xf numFmtId="0" fontId="40" fillId="2" borderId="0" xfId="5709" applyFont="1" applyFill="1" applyBorder="1" applyAlignment="1"/>
    <xf numFmtId="0" fontId="37" fillId="2" borderId="0" xfId="0" applyFont="1" applyFill="1" applyBorder="1"/>
    <xf numFmtId="0" fontId="40" fillId="2" borderId="0" xfId="5709" applyFont="1" applyFill="1" applyBorder="1"/>
    <xf numFmtId="0" fontId="40" fillId="2" borderId="0" xfId="5709" applyFont="1" applyFill="1" applyBorder="1" applyAlignment="1">
      <alignment horizontal="right"/>
    </xf>
    <xf numFmtId="43" fontId="40" fillId="2" borderId="0" xfId="1" applyFont="1" applyFill="1" applyBorder="1"/>
    <xf numFmtId="164" fontId="40" fillId="2" borderId="0" xfId="5710" applyNumberFormat="1" applyFont="1" applyFill="1" applyBorder="1" applyAlignment="1"/>
    <xf numFmtId="0" fontId="40" fillId="2" borderId="1" xfId="5709" applyFont="1" applyFill="1" applyBorder="1" applyAlignment="1"/>
    <xf numFmtId="164" fontId="37" fillId="2" borderId="1" xfId="5710" applyNumberFormat="1" applyFont="1" applyFill="1" applyBorder="1" applyAlignment="1"/>
    <xf numFmtId="0" fontId="40" fillId="2" borderId="1" xfId="5709" applyFont="1" applyFill="1" applyBorder="1" applyAlignment="1">
      <alignment horizontal="right"/>
    </xf>
    <xf numFmtId="164" fontId="40" fillId="2" borderId="1" xfId="5710" applyNumberFormat="1" applyFont="1" applyFill="1" applyBorder="1" applyAlignment="1"/>
    <xf numFmtId="10" fontId="40" fillId="2" borderId="1" xfId="5709" applyNumberFormat="1" applyFont="1" applyFill="1" applyBorder="1"/>
    <xf numFmtId="0" fontId="41" fillId="3" borderId="1" xfId="5709" applyFont="1" applyFill="1" applyBorder="1" applyAlignment="1">
      <alignment horizontal="center"/>
    </xf>
    <xf numFmtId="0" fontId="40" fillId="2" borderId="1" xfId="5709" applyFont="1" applyFill="1" applyBorder="1" applyAlignment="1">
      <alignment horizontal="left"/>
    </xf>
    <xf numFmtId="0" fontId="40" fillId="26" borderId="12" xfId="5709" applyFont="1" applyFill="1" applyBorder="1"/>
    <xf numFmtId="168" fontId="40" fillId="2" borderId="1" xfId="5709" applyNumberFormat="1" applyFont="1" applyFill="1" applyBorder="1"/>
    <xf numFmtId="168" fontId="37" fillId="2" borderId="0" xfId="0" applyNumberFormat="1" applyFont="1" applyFill="1"/>
    <xf numFmtId="168" fontId="40" fillId="26" borderId="11" xfId="5709" applyNumberFormat="1" applyFont="1" applyFill="1" applyBorder="1"/>
    <xf numFmtId="0" fontId="41" fillId="3" borderId="1" xfId="5709" applyFont="1" applyFill="1" applyBorder="1"/>
    <xf numFmtId="9" fontId="37" fillId="2" borderId="0" xfId="0" applyNumberFormat="1" applyFont="1" applyFill="1"/>
    <xf numFmtId="10" fontId="37" fillId="2" borderId="1" xfId="2" applyNumberFormat="1" applyFont="1" applyFill="1" applyBorder="1"/>
    <xf numFmtId="43" fontId="27" fillId="26" borderId="10" xfId="0" applyNumberFormat="1" applyFont="1" applyFill="1" applyBorder="1"/>
    <xf numFmtId="165" fontId="27" fillId="26" borderId="24" xfId="1" applyNumberFormat="1" applyFont="1" applyFill="1" applyBorder="1"/>
    <xf numFmtId="166" fontId="27" fillId="26" borderId="10" xfId="1" applyNumberFormat="1" applyFont="1" applyFill="1" applyBorder="1"/>
    <xf numFmtId="177" fontId="27" fillId="26" borderId="24" xfId="0" applyNumberFormat="1" applyFont="1" applyFill="1" applyBorder="1"/>
    <xf numFmtId="164" fontId="27" fillId="2" borderId="1" xfId="1" applyNumberFormat="1" applyFont="1" applyFill="1" applyBorder="1"/>
    <xf numFmtId="0" fontId="27" fillId="30" borderId="1" xfId="0" applyFont="1" applyFill="1" applyBorder="1"/>
    <xf numFmtId="164" fontId="27" fillId="30" borderId="1" xfId="1" applyNumberFormat="1" applyFont="1" applyFill="1" applyBorder="1"/>
    <xf numFmtId="164" fontId="27" fillId="2" borderId="1" xfId="1" applyNumberFormat="1" applyFont="1" applyFill="1" applyBorder="1" applyAlignment="1">
      <alignment horizontal="left"/>
    </xf>
    <xf numFmtId="164" fontId="27" fillId="26" borderId="9" xfId="1" applyNumberFormat="1" applyFont="1" applyFill="1" applyBorder="1" applyAlignment="1"/>
    <xf numFmtId="43" fontId="27" fillId="26" borderId="10" xfId="1" applyFont="1" applyFill="1" applyBorder="1" applyAlignment="1"/>
    <xf numFmtId="167" fontId="27" fillId="26" borderId="44" xfId="1" applyNumberFormat="1" applyFont="1" applyFill="1" applyBorder="1" applyAlignment="1">
      <alignment horizontal="right"/>
    </xf>
    <xf numFmtId="164" fontId="38" fillId="26" borderId="3" xfId="0" applyNumberFormat="1" applyFont="1" applyFill="1" applyBorder="1" applyAlignment="1">
      <alignment vertical="top" wrapText="1"/>
    </xf>
    <xf numFmtId="164" fontId="41" fillId="3" borderId="1" xfId="1" applyNumberFormat="1" applyFont="1" applyFill="1" applyBorder="1" applyAlignment="1">
      <alignment horizontal="center" vertical="center" wrapText="1"/>
    </xf>
    <xf numFmtId="9" fontId="40" fillId="2" borderId="0" xfId="2" applyFont="1" applyFill="1" applyBorder="1"/>
    <xf numFmtId="164" fontId="40" fillId="2" borderId="0" xfId="0" applyNumberFormat="1" applyFont="1" applyFill="1"/>
    <xf numFmtId="43" fontId="27" fillId="2" borderId="1" xfId="1" applyNumberFormat="1" applyFont="1" applyFill="1" applyBorder="1" applyAlignment="1">
      <alignment horizontal="right"/>
    </xf>
    <xf numFmtId="169" fontId="27" fillId="2" borderId="0" xfId="0" applyNumberFormat="1" applyFont="1" applyFill="1"/>
    <xf numFmtId="5" fontId="37" fillId="2" borderId="1" xfId="0" applyNumberFormat="1" applyFont="1" applyFill="1" applyBorder="1"/>
    <xf numFmtId="0" fontId="29" fillId="26" borderId="1" xfId="0" applyFont="1" applyFill="1" applyBorder="1" applyAlignment="1">
      <alignment horizontal="center" wrapText="1"/>
    </xf>
    <xf numFmtId="168" fontId="27" fillId="26" borderId="13" xfId="1" applyNumberFormat="1" applyFont="1" applyFill="1" applyBorder="1" applyAlignment="1">
      <alignment horizontal="right" wrapText="1"/>
    </xf>
    <xf numFmtId="5" fontId="27" fillId="26" borderId="0" xfId="1" applyNumberFormat="1" applyFont="1" applyFill="1" applyBorder="1" applyAlignment="1">
      <alignment horizontal="right"/>
    </xf>
    <xf numFmtId="164" fontId="27" fillId="26" borderId="6" xfId="1" applyNumberFormat="1" applyFont="1" applyFill="1" applyBorder="1" applyAlignment="1">
      <alignment horizontal="center"/>
    </xf>
    <xf numFmtId="5" fontId="27" fillId="26" borderId="44" xfId="1" applyNumberFormat="1" applyFont="1" applyFill="1" applyBorder="1" applyAlignment="1">
      <alignment horizontal="right"/>
    </xf>
    <xf numFmtId="168" fontId="27" fillId="26" borderId="44" xfId="0" applyNumberFormat="1" applyFont="1" applyFill="1" applyBorder="1"/>
    <xf numFmtId="164" fontId="27" fillId="26" borderId="6" xfId="1" applyNumberFormat="1" applyFont="1" applyFill="1" applyBorder="1" applyAlignment="1">
      <alignment wrapText="1"/>
    </xf>
    <xf numFmtId="164" fontId="27" fillId="26" borderId="44" xfId="1" applyNumberFormat="1" applyFont="1" applyFill="1" applyBorder="1"/>
    <xf numFmtId="7" fontId="26" fillId="2" borderId="1" xfId="139" applyNumberFormat="1" applyFont="1" applyFill="1" applyBorder="1"/>
    <xf numFmtId="7" fontId="29" fillId="29" borderId="1" xfId="139" applyNumberFormat="1" applyFont="1" applyFill="1" applyBorder="1"/>
    <xf numFmtId="0" fontId="37" fillId="2" borderId="0" xfId="0" applyFont="1" applyFill="1" applyBorder="1" applyAlignment="1">
      <alignment horizontal="right"/>
    </xf>
    <xf numFmtId="164" fontId="37" fillId="2" borderId="0" xfId="1" applyNumberFormat="1" applyFont="1" applyFill="1" applyBorder="1" applyAlignment="1">
      <alignment horizontal="right"/>
    </xf>
    <xf numFmtId="43" fontId="37" fillId="2" borderId="0" xfId="1" applyNumberFormat="1" applyFont="1" applyFill="1" applyBorder="1" applyAlignment="1">
      <alignment horizontal="right"/>
    </xf>
    <xf numFmtId="168" fontId="37" fillId="2" borderId="0" xfId="1" applyNumberFormat="1" applyFont="1" applyFill="1" applyBorder="1" applyAlignment="1">
      <alignment horizontal="right"/>
    </xf>
    <xf numFmtId="5" fontId="37" fillId="2" borderId="1" xfId="1" applyNumberFormat="1" applyFont="1" applyFill="1" applyBorder="1" applyAlignment="1">
      <alignment horizontal="right"/>
    </xf>
    <xf numFmtId="178" fontId="40" fillId="0" borderId="0" xfId="1" applyNumberFormat="1" applyFont="1" applyBorder="1"/>
    <xf numFmtId="43" fontId="27" fillId="26" borderId="7" xfId="1" applyNumberFormat="1" applyFont="1" applyFill="1" applyBorder="1"/>
    <xf numFmtId="43" fontId="28" fillId="29" borderId="1" xfId="1" applyNumberFormat="1" applyFont="1" applyFill="1" applyBorder="1" applyAlignment="1">
      <alignment horizontal="right"/>
    </xf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" xfId="1" applyNumberFormat="1" applyFont="1" applyFill="1" applyBorder="1" applyAlignment="1">
      <alignment horizontal="center" vertical="center" wrapText="1"/>
    </xf>
    <xf numFmtId="0" fontId="28" fillId="26" borderId="12" xfId="0" applyFont="1" applyFill="1" applyBorder="1" applyAlignment="1">
      <alignment horizontal="center" wrapText="1"/>
    </xf>
    <xf numFmtId="0" fontId="28" fillId="26" borderId="11" xfId="0" applyFont="1" applyFill="1" applyBorder="1" applyAlignment="1">
      <alignment horizontal="center" wrapText="1"/>
    </xf>
    <xf numFmtId="164" fontId="28" fillId="26" borderId="1" xfId="1" applyNumberFormat="1" applyFont="1" applyFill="1" applyBorder="1" applyAlignment="1">
      <alignment horizontal="center" wrapText="1"/>
    </xf>
    <xf numFmtId="164" fontId="28" fillId="26" borderId="10" xfId="1" applyNumberFormat="1" applyFont="1" applyFill="1" applyBorder="1" applyAlignment="1">
      <alignment horizontal="center"/>
    </xf>
    <xf numFmtId="0" fontId="28" fillId="26" borderId="1" xfId="0" applyFont="1" applyFill="1" applyBorder="1" applyAlignment="1">
      <alignment horizontal="center" wrapText="1"/>
    </xf>
    <xf numFmtId="168" fontId="27" fillId="26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 wrapText="1"/>
    </xf>
    <xf numFmtId="9" fontId="26" fillId="2" borderId="0" xfId="2" applyFont="1" applyFill="1" applyBorder="1" applyAlignment="1">
      <alignment horizontal="left"/>
    </xf>
    <xf numFmtId="1" fontId="26" fillId="2" borderId="0" xfId="0" applyNumberFormat="1" applyFont="1" applyFill="1" applyBorder="1" applyAlignment="1">
      <alignment horizontal="left"/>
    </xf>
    <xf numFmtId="0" fontId="27" fillId="2" borderId="0" xfId="0" applyFont="1" applyFill="1" applyAlignment="1">
      <alignment horizontal="left"/>
    </xf>
    <xf numFmtId="168" fontId="26" fillId="2" borderId="0" xfId="0" applyNumberFormat="1" applyFont="1" applyFill="1" applyBorder="1" applyAlignment="1">
      <alignment horizontal="left"/>
    </xf>
    <xf numFmtId="176" fontId="27" fillId="26" borderId="10" xfId="1" applyNumberFormat="1" applyFont="1" applyFill="1" applyBorder="1" applyAlignment="1">
      <alignment horizontal="right"/>
    </xf>
    <xf numFmtId="37" fontId="155" fillId="2" borderId="0" xfId="0" applyNumberFormat="1" applyFont="1" applyFill="1"/>
    <xf numFmtId="9" fontId="155" fillId="2" borderId="0" xfId="2" applyFont="1" applyFill="1"/>
    <xf numFmtId="9" fontId="37" fillId="2" borderId="0" xfId="2" applyFont="1" applyFill="1" applyAlignment="1">
      <alignment horizontal="right"/>
    </xf>
    <xf numFmtId="43" fontId="26" fillId="2" borderId="0" xfId="0" applyNumberFormat="1" applyFont="1" applyFill="1"/>
    <xf numFmtId="0" fontId="28" fillId="26" borderId="12" xfId="0" applyFont="1" applyFill="1" applyBorder="1" applyAlignment="1">
      <alignment horizontal="center"/>
    </xf>
    <xf numFmtId="164" fontId="28" fillId="26" borderId="10" xfId="1" applyNumberFormat="1" applyFont="1" applyFill="1" applyBorder="1" applyAlignment="1">
      <alignment horizontal="center"/>
    </xf>
    <xf numFmtId="164" fontId="28" fillId="101" borderId="1" xfId="1" applyNumberFormat="1" applyFont="1" applyFill="1" applyBorder="1" applyAlignment="1">
      <alignment horizontal="center"/>
    </xf>
    <xf numFmtId="0" fontId="28" fillId="101" borderId="1" xfId="0" applyFont="1" applyFill="1" applyBorder="1" applyAlignment="1">
      <alignment horizontal="center"/>
    </xf>
    <xf numFmtId="164" fontId="27" fillId="26" borderId="5" xfId="1" applyNumberFormat="1" applyFont="1" applyFill="1" applyBorder="1"/>
    <xf numFmtId="164" fontId="27" fillId="26" borderId="3" xfId="1" applyNumberFormat="1" applyFont="1" applyFill="1" applyBorder="1"/>
    <xf numFmtId="164" fontId="28" fillId="26" borderId="5" xfId="1" applyNumberFormat="1" applyFont="1" applyFill="1" applyBorder="1" applyAlignment="1">
      <alignment horizontal="center"/>
    </xf>
    <xf numFmtId="164" fontId="152" fillId="96" borderId="10" xfId="1" applyNumberFormat="1" applyFont="1" applyFill="1" applyBorder="1" applyAlignment="1">
      <alignment horizontal="center"/>
    </xf>
    <xf numFmtId="169" fontId="152" fillId="96" borderId="10" xfId="0" applyNumberFormat="1" applyFont="1" applyFill="1" applyBorder="1" applyAlignment="1">
      <alignment horizontal="left"/>
    </xf>
    <xf numFmtId="43" fontId="152" fillId="96" borderId="10" xfId="0" applyNumberFormat="1" applyFont="1" applyFill="1" applyBorder="1" applyAlignment="1">
      <alignment horizontal="left"/>
    </xf>
    <xf numFmtId="5" fontId="152" fillId="96" borderId="10" xfId="1" applyNumberFormat="1" applyFont="1" applyFill="1" applyBorder="1" applyAlignment="1">
      <alignment horizontal="center"/>
    </xf>
    <xf numFmtId="168" fontId="32" fillId="28" borderId="1" xfId="140" applyNumberFormat="1" applyFont="1" applyFill="1" applyBorder="1"/>
    <xf numFmtId="0" fontId="32" fillId="27" borderId="1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231" fontId="26" fillId="2" borderId="0" xfId="0" applyNumberFormat="1" applyFont="1" applyFill="1" applyAlignment="1">
      <alignment horizontal="center" wrapText="1"/>
    </xf>
    <xf numFmtId="0" fontId="163" fillId="0" borderId="0" xfId="50295" applyFont="1"/>
    <xf numFmtId="0" fontId="90" fillId="0" borderId="0" xfId="50295" applyFont="1"/>
    <xf numFmtId="0" fontId="164" fillId="0" borderId="0" xfId="50295" applyFont="1"/>
    <xf numFmtId="0" fontId="165" fillId="0" borderId="0" xfId="50295" applyFont="1"/>
    <xf numFmtId="232" fontId="90" fillId="0" borderId="0" xfId="50295" applyNumberFormat="1" applyFont="1"/>
    <xf numFmtId="233" fontId="90" fillId="0" borderId="0" xfId="50296" applyNumberFormat="1" applyFont="1"/>
    <xf numFmtId="44" fontId="90" fillId="0" borderId="0" xfId="50296" applyFont="1"/>
    <xf numFmtId="44" fontId="2" fillId="0" borderId="0" xfId="50296" applyFont="1"/>
    <xf numFmtId="0" fontId="90" fillId="0" borderId="54" xfId="50295" applyFont="1" applyBorder="1"/>
    <xf numFmtId="233" fontId="90" fillId="0" borderId="0" xfId="50295" applyNumberFormat="1" applyFont="1"/>
    <xf numFmtId="44" fontId="2" fillId="0" borderId="6" xfId="50296" applyFont="1" applyBorder="1"/>
    <xf numFmtId="44" fontId="90" fillId="0" borderId="0" xfId="50295" applyNumberFormat="1" applyFont="1"/>
    <xf numFmtId="233" fontId="90" fillId="0" borderId="54" xfId="50296" applyNumberFormat="1" applyFont="1" applyBorder="1"/>
    <xf numFmtId="0" fontId="90" fillId="0" borderId="0" xfId="50295" applyFont="1" applyAlignment="1">
      <alignment horizontal="right"/>
    </xf>
    <xf numFmtId="0" fontId="90" fillId="0" borderId="0" xfId="50295" applyFont="1" applyAlignment="1">
      <alignment horizontal="center"/>
    </xf>
    <xf numFmtId="0" fontId="90" fillId="0" borderId="30" xfId="50295" applyFont="1" applyBorder="1" applyAlignment="1">
      <alignment horizontal="center"/>
    </xf>
    <xf numFmtId="0" fontId="90" fillId="0" borderId="0" xfId="50295" applyFont="1" applyBorder="1"/>
    <xf numFmtId="233" fontId="90" fillId="0" borderId="0" xfId="50296" applyNumberFormat="1" applyFont="1" applyBorder="1"/>
    <xf numFmtId="233" fontId="90" fillId="0" borderId="0" xfId="50295" applyNumberFormat="1" applyFont="1" applyBorder="1"/>
    <xf numFmtId="3" fontId="90" fillId="0" borderId="0" xfId="50295" applyNumberFormat="1" applyFont="1"/>
    <xf numFmtId="234" fontId="90" fillId="0" borderId="0" xfId="50295" applyNumberFormat="1" applyFont="1"/>
    <xf numFmtId="0" fontId="90" fillId="0" borderId="0" xfId="50295" applyFont="1" applyBorder="1" applyAlignment="1">
      <alignment horizontal="center"/>
    </xf>
    <xf numFmtId="234" fontId="90" fillId="0" borderId="0" xfId="50295" quotePrefix="1" applyNumberFormat="1" applyFont="1"/>
    <xf numFmtId="168" fontId="90" fillId="0" borderId="0" xfId="50295" applyNumberFormat="1" applyFont="1"/>
    <xf numFmtId="233" fontId="90" fillId="0" borderId="54" xfId="50295" applyNumberFormat="1" applyFont="1" applyBorder="1"/>
    <xf numFmtId="0" fontId="37" fillId="97" borderId="12" xfId="0" applyFont="1" applyFill="1" applyBorder="1" applyAlignment="1">
      <alignment horizontal="right"/>
    </xf>
    <xf numFmtId="164" fontId="37" fillId="97" borderId="11" xfId="1" applyNumberFormat="1" applyFont="1" applyFill="1" applyBorder="1" applyAlignment="1">
      <alignment horizontal="right"/>
    </xf>
    <xf numFmtId="0" fontId="40" fillId="2" borderId="1" xfId="0" applyFont="1" applyFill="1" applyBorder="1"/>
    <xf numFmtId="0" fontId="37" fillId="2" borderId="1" xfId="0" applyFont="1" applyFill="1" applyBorder="1" applyAlignment="1">
      <alignment horizontal="left"/>
    </xf>
    <xf numFmtId="164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right"/>
    </xf>
    <xf numFmtId="166" fontId="41" fillId="29" borderId="1" xfId="1" applyNumberFormat="1" applyFont="1" applyFill="1" applyBorder="1" applyAlignment="1">
      <alignment horizontal="right"/>
    </xf>
    <xf numFmtId="235" fontId="40" fillId="2" borderId="1" xfId="1" applyNumberFormat="1" applyFont="1" applyFill="1" applyBorder="1" applyAlignment="1">
      <alignment horizontal="left"/>
    </xf>
    <xf numFmtId="178" fontId="37" fillId="2" borderId="0" xfId="1" applyNumberFormat="1" applyFont="1" applyFill="1" applyAlignment="1">
      <alignment horizontal="right"/>
    </xf>
    <xf numFmtId="0" fontId="168" fillId="0" borderId="0" xfId="0" applyFont="1" applyAlignment="1">
      <alignment vertical="center"/>
    </xf>
    <xf numFmtId="0" fontId="170" fillId="102" borderId="55" xfId="0" applyFont="1" applyFill="1" applyBorder="1" applyAlignment="1">
      <alignment vertical="center" wrapText="1"/>
    </xf>
    <xf numFmtId="0" fontId="170" fillId="102" borderId="56" xfId="0" applyFont="1" applyFill="1" applyBorder="1" applyAlignment="1">
      <alignment horizontal="center" vertical="center" wrapText="1"/>
    </xf>
    <xf numFmtId="0" fontId="171" fillId="103" borderId="57" xfId="0" applyFont="1" applyFill="1" applyBorder="1" applyAlignment="1">
      <alignment vertical="center"/>
    </xf>
    <xf numFmtId="6" fontId="0" fillId="0" borderId="0" xfId="0" applyNumberFormat="1"/>
    <xf numFmtId="6" fontId="171" fillId="103" borderId="58" xfId="0" applyNumberFormat="1" applyFont="1" applyFill="1" applyBorder="1" applyAlignment="1">
      <alignment horizontal="right" vertical="center"/>
    </xf>
    <xf numFmtId="9" fontId="171" fillId="103" borderId="58" xfId="0" applyNumberFormat="1" applyFont="1" applyFill="1" applyBorder="1" applyAlignment="1">
      <alignment horizontal="right" vertical="center"/>
    </xf>
    <xf numFmtId="0" fontId="171" fillId="103" borderId="58" xfId="0" applyFont="1" applyFill="1" applyBorder="1" applyAlignment="1">
      <alignment horizontal="right" vertical="center"/>
    </xf>
    <xf numFmtId="0" fontId="172" fillId="103" borderId="57" xfId="0" applyFont="1" applyFill="1" applyBorder="1" applyAlignment="1">
      <alignment vertical="center"/>
    </xf>
    <xf numFmtId="6" fontId="172" fillId="103" borderId="58" xfId="0" applyNumberFormat="1" applyFont="1" applyFill="1" applyBorder="1" applyAlignment="1">
      <alignment horizontal="right" vertical="center"/>
    </xf>
    <xf numFmtId="9" fontId="172" fillId="103" borderId="58" xfId="0" applyNumberFormat="1" applyFont="1" applyFill="1" applyBorder="1" applyAlignment="1">
      <alignment horizontal="right" vertical="center"/>
    </xf>
    <xf numFmtId="0" fontId="169" fillId="102" borderId="55" xfId="0" applyFont="1" applyFill="1" applyBorder="1" applyAlignment="1">
      <alignment wrapText="1"/>
    </xf>
    <xf numFmtId="0" fontId="171" fillId="103" borderId="57" xfId="0" applyFont="1" applyFill="1" applyBorder="1" applyAlignment="1">
      <alignment horizontal="right" vertical="center"/>
    </xf>
    <xf numFmtId="6" fontId="37" fillId="0" borderId="58" xfId="0" applyNumberFormat="1" applyFont="1" applyBorder="1" applyAlignment="1">
      <alignment horizontal="right" vertical="center"/>
    </xf>
    <xf numFmtId="9" fontId="37" fillId="0" borderId="58" xfId="0" applyNumberFormat="1" applyFont="1" applyBorder="1" applyAlignment="1">
      <alignment horizontal="right" vertical="center"/>
    </xf>
    <xf numFmtId="0" fontId="171" fillId="0" borderId="57" xfId="0" applyFont="1" applyBorder="1" applyAlignment="1">
      <alignment horizontal="right" vertical="center"/>
    </xf>
    <xf numFmtId="6" fontId="171" fillId="0" borderId="58" xfId="0" applyNumberFormat="1" applyFont="1" applyBorder="1" applyAlignment="1">
      <alignment horizontal="right" vertical="center"/>
    </xf>
    <xf numFmtId="0" fontId="171" fillId="0" borderId="58" xfId="0" applyFont="1" applyBorder="1" applyAlignment="1">
      <alignment horizontal="right" vertical="center"/>
    </xf>
    <xf numFmtId="9" fontId="171" fillId="0" borderId="58" xfId="0" applyNumberFormat="1" applyFont="1" applyBorder="1" applyAlignment="1">
      <alignment horizontal="right" vertical="center"/>
    </xf>
    <xf numFmtId="0" fontId="169" fillId="103" borderId="58" xfId="0" applyFont="1" applyFill="1" applyBorder="1" applyAlignment="1">
      <alignment vertical="top"/>
    </xf>
    <xf numFmtId="6" fontId="37" fillId="103" borderId="58" xfId="0" applyNumberFormat="1" applyFont="1" applyFill="1" applyBorder="1" applyAlignment="1">
      <alignment horizontal="right" vertical="center"/>
    </xf>
    <xf numFmtId="0" fontId="37" fillId="103" borderId="58" xfId="0" applyFont="1" applyFill="1" applyBorder="1" applyAlignment="1">
      <alignment horizontal="right" vertical="center"/>
    </xf>
    <xf numFmtId="0" fontId="42" fillId="104" borderId="57" xfId="0" applyFont="1" applyFill="1" applyBorder="1" applyAlignment="1">
      <alignment horizontal="right" vertical="center"/>
    </xf>
    <xf numFmtId="6" fontId="42" fillId="104" borderId="58" xfId="0" applyNumberFormat="1" applyFont="1" applyFill="1" applyBorder="1" applyAlignment="1">
      <alignment horizontal="right" vertical="center"/>
    </xf>
    <xf numFmtId="9" fontId="42" fillId="104" borderId="58" xfId="0" applyNumberFormat="1" applyFont="1" applyFill="1" applyBorder="1" applyAlignment="1">
      <alignment horizontal="right" vertical="center"/>
    </xf>
    <xf numFmtId="3" fontId="171" fillId="103" borderId="58" xfId="0" applyNumberFormat="1" applyFont="1" applyFill="1" applyBorder="1" applyAlignment="1">
      <alignment horizontal="right" vertical="center"/>
    </xf>
    <xf numFmtId="3" fontId="172" fillId="103" borderId="58" xfId="0" applyNumberFormat="1" applyFont="1" applyFill="1" applyBorder="1" applyAlignment="1">
      <alignment horizontal="right" vertical="center"/>
    </xf>
    <xf numFmtId="3" fontId="171" fillId="0" borderId="58" xfId="0" applyNumberFormat="1" applyFont="1" applyBorder="1" applyAlignment="1">
      <alignment horizontal="right" vertical="center"/>
    </xf>
    <xf numFmtId="4" fontId="171" fillId="0" borderId="58" xfId="0" applyNumberFormat="1" applyFont="1" applyBorder="1" applyAlignment="1">
      <alignment horizontal="right" vertical="center"/>
    </xf>
    <xf numFmtId="0" fontId="42" fillId="102" borderId="56" xfId="0" applyFont="1" applyFill="1" applyBorder="1" applyAlignment="1">
      <alignment horizontal="center" vertical="center" wrapText="1"/>
    </xf>
    <xf numFmtId="0" fontId="37" fillId="0" borderId="58" xfId="0" applyFont="1" applyBorder="1" applyAlignment="1">
      <alignment horizontal="right" vertical="center"/>
    </xf>
    <xf numFmtId="0" fontId="170" fillId="102" borderId="55" xfId="0" applyFont="1" applyFill="1" applyBorder="1" applyAlignment="1">
      <alignment horizontal="center" vertical="center" wrapText="1"/>
    </xf>
    <xf numFmtId="43" fontId="41" fillId="29" borderId="10" xfId="1" applyNumberFormat="1" applyFont="1" applyFill="1" applyBorder="1" applyAlignment="1">
      <alignment horizontal="right"/>
    </xf>
    <xf numFmtId="0" fontId="169" fillId="102" borderId="55" xfId="0" applyFont="1" applyFill="1" applyBorder="1"/>
    <xf numFmtId="0" fontId="169" fillId="103" borderId="30" xfId="0" applyFont="1" applyFill="1" applyBorder="1" applyAlignment="1">
      <alignment vertical="top"/>
    </xf>
    <xf numFmtId="43" fontId="171" fillId="0" borderId="58" xfId="0" applyNumberFormat="1" applyFont="1" applyBorder="1" applyAlignment="1">
      <alignment horizontal="right" vertical="center"/>
    </xf>
    <xf numFmtId="0" fontId="37" fillId="103" borderId="57" xfId="0" applyFont="1" applyFill="1" applyBorder="1" applyAlignment="1">
      <alignment vertical="center"/>
    </xf>
    <xf numFmtId="43" fontId="171" fillId="103" borderId="58" xfId="0" applyNumberFormat="1" applyFont="1" applyFill="1" applyBorder="1" applyAlignment="1">
      <alignment horizontal="center" vertical="center"/>
    </xf>
    <xf numFmtId="0" fontId="169" fillId="102" borderId="57" xfId="0" applyFont="1" applyFill="1" applyBorder="1" applyAlignment="1">
      <alignment wrapText="1"/>
    </xf>
    <xf numFmtId="0" fontId="170" fillId="102" borderId="58" xfId="0" applyFont="1" applyFill="1" applyBorder="1" applyAlignment="1">
      <alignment horizontal="right" vertical="center" wrapText="1"/>
    </xf>
    <xf numFmtId="0" fontId="170" fillId="102" borderId="56" xfId="0" applyFont="1" applyFill="1" applyBorder="1" applyAlignment="1">
      <alignment horizontal="right" vertical="center" wrapText="1"/>
    </xf>
    <xf numFmtId="0" fontId="171" fillId="103" borderId="1" xfId="0" applyFont="1" applyFill="1" applyBorder="1" applyAlignment="1">
      <alignment vertical="center"/>
    </xf>
    <xf numFmtId="0" fontId="171" fillId="103" borderId="1" xfId="0" applyFont="1" applyFill="1" applyBorder="1" applyAlignment="1">
      <alignment horizontal="right" vertical="center"/>
    </xf>
    <xf numFmtId="6" fontId="37" fillId="0" borderId="1" xfId="0" applyNumberFormat="1" applyFont="1" applyBorder="1" applyAlignment="1">
      <alignment horizontal="right" vertical="center"/>
    </xf>
    <xf numFmtId="0" fontId="171" fillId="0" borderId="1" xfId="0" applyFont="1" applyBorder="1" applyAlignment="1">
      <alignment horizontal="right" vertical="center"/>
    </xf>
    <xf numFmtId="0" fontId="171" fillId="0" borderId="1" xfId="0" applyFont="1" applyBorder="1" applyAlignment="1">
      <alignment vertical="center"/>
    </xf>
    <xf numFmtId="6" fontId="37" fillId="103" borderId="1" xfId="0" applyNumberFormat="1" applyFont="1" applyFill="1" applyBorder="1" applyAlignment="1">
      <alignment horizontal="right" vertical="center"/>
    </xf>
    <xf numFmtId="8" fontId="171" fillId="103" borderId="1" xfId="0" applyNumberFormat="1" applyFont="1" applyFill="1" applyBorder="1" applyAlignment="1">
      <alignment vertical="center"/>
    </xf>
    <xf numFmtId="8" fontId="171" fillId="0" borderId="1" xfId="0" applyNumberFormat="1" applyFont="1" applyBorder="1" applyAlignment="1">
      <alignment vertical="center"/>
    </xf>
    <xf numFmtId="43" fontId="0" fillId="0" borderId="0" xfId="1" applyFont="1"/>
    <xf numFmtId="43" fontId="171" fillId="103" borderId="1" xfId="1" applyFont="1" applyFill="1" applyBorder="1" applyAlignment="1">
      <alignment vertical="center"/>
    </xf>
    <xf numFmtId="43" fontId="37" fillId="0" borderId="1" xfId="1" applyFont="1" applyBorder="1" applyAlignment="1">
      <alignment horizontal="right" vertical="center"/>
    </xf>
    <xf numFmtId="43" fontId="171" fillId="103" borderId="1" xfId="1" applyFont="1" applyFill="1" applyBorder="1" applyAlignment="1">
      <alignment horizontal="right" vertical="center"/>
    </xf>
    <xf numFmtId="43" fontId="171" fillId="0" borderId="1" xfId="1" applyFont="1" applyBorder="1" applyAlignment="1">
      <alignment vertical="center"/>
    </xf>
    <xf numFmtId="43" fontId="171" fillId="0" borderId="1" xfId="1" applyFont="1" applyBorder="1" applyAlignment="1">
      <alignment horizontal="right" vertical="center"/>
    </xf>
    <xf numFmtId="9" fontId="42" fillId="0" borderId="58" xfId="0" applyNumberFormat="1" applyFont="1" applyBorder="1" applyAlignment="1">
      <alignment horizontal="right" vertical="center"/>
    </xf>
    <xf numFmtId="0" fontId="171" fillId="0" borderId="60" xfId="0" applyFont="1" applyFill="1" applyBorder="1" applyAlignment="1">
      <alignment horizontal="right" vertical="center"/>
    </xf>
    <xf numFmtId="3" fontId="0" fillId="0" borderId="0" xfId="0" applyNumberFormat="1"/>
    <xf numFmtId="173" fontId="171" fillId="103" borderId="58" xfId="0" applyNumberFormat="1" applyFont="1" applyFill="1" applyBorder="1" applyAlignment="1">
      <alignment horizontal="right" vertical="center"/>
    </xf>
    <xf numFmtId="173" fontId="172" fillId="103" borderId="58" xfId="0" applyNumberFormat="1" applyFont="1" applyFill="1" applyBorder="1" applyAlignment="1">
      <alignment horizontal="right" vertical="center"/>
    </xf>
    <xf numFmtId="173" fontId="37" fillId="0" borderId="58" xfId="0" applyNumberFormat="1" applyFont="1" applyBorder="1" applyAlignment="1">
      <alignment horizontal="right" vertical="center"/>
    </xf>
    <xf numFmtId="173" fontId="37" fillId="103" borderId="58" xfId="0" applyNumberFormat="1" applyFont="1" applyFill="1" applyBorder="1" applyAlignment="1">
      <alignment horizontal="right" vertical="center"/>
    </xf>
    <xf numFmtId="173" fontId="42" fillId="104" borderId="58" xfId="0" applyNumberFormat="1" applyFont="1" applyFill="1" applyBorder="1" applyAlignment="1">
      <alignment horizontal="right" vertical="center"/>
    </xf>
    <xf numFmtId="9" fontId="0" fillId="0" borderId="0" xfId="2" applyFont="1"/>
    <xf numFmtId="173" fontId="171" fillId="0" borderId="58" xfId="0" applyNumberFormat="1" applyFont="1" applyBorder="1" applyAlignment="1">
      <alignment horizontal="right" vertical="center"/>
    </xf>
    <xf numFmtId="0" fontId="41" fillId="2" borderId="6" xfId="5709" applyFont="1" applyFill="1" applyBorder="1" applyAlignment="1">
      <alignment horizontal="left"/>
    </xf>
    <xf numFmtId="0" fontId="37" fillId="0" borderId="5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7" fillId="0" borderId="56" xfId="0" applyFont="1" applyBorder="1" applyAlignment="1">
      <alignment vertical="center"/>
    </xf>
    <xf numFmtId="0" fontId="171" fillId="103" borderId="59" xfId="0" applyFont="1" applyFill="1" applyBorder="1" applyAlignment="1">
      <alignment vertical="center"/>
    </xf>
    <xf numFmtId="0" fontId="171" fillId="103" borderId="29" xfId="0" applyFont="1" applyFill="1" applyBorder="1" applyAlignment="1">
      <alignment vertical="center"/>
    </xf>
    <xf numFmtId="0" fontId="171" fillId="103" borderId="56" xfId="0" applyFont="1" applyFill="1" applyBorder="1" applyAlignment="1">
      <alignment vertical="center"/>
    </xf>
    <xf numFmtId="0" fontId="171" fillId="0" borderId="59" xfId="0" applyFont="1" applyBorder="1" applyAlignment="1">
      <alignment vertical="center"/>
    </xf>
    <xf numFmtId="0" fontId="171" fillId="0" borderId="29" xfId="0" applyFont="1" applyBorder="1" applyAlignment="1">
      <alignment vertical="center"/>
    </xf>
    <xf numFmtId="0" fontId="171" fillId="0" borderId="56" xfId="0" applyFont="1" applyBorder="1" applyAlignment="1">
      <alignment vertical="center"/>
    </xf>
    <xf numFmtId="0" fontId="37" fillId="103" borderId="59" xfId="0" applyFont="1" applyFill="1" applyBorder="1" applyAlignment="1">
      <alignment vertical="center"/>
    </xf>
    <xf numFmtId="0" fontId="37" fillId="103" borderId="29" xfId="0" applyFont="1" applyFill="1" applyBorder="1" applyAlignment="1">
      <alignment vertical="center"/>
    </xf>
    <xf numFmtId="0" fontId="37" fillId="103" borderId="56" xfId="0" applyFont="1" applyFill="1" applyBorder="1" applyAlignment="1">
      <alignment vertical="center"/>
    </xf>
    <xf numFmtId="0" fontId="170" fillId="102" borderId="59" xfId="0" applyFont="1" applyFill="1" applyBorder="1" applyAlignment="1">
      <alignment horizontal="center" vertical="center" wrapText="1"/>
    </xf>
    <xf numFmtId="0" fontId="170" fillId="102" borderId="29" xfId="0" applyFont="1" applyFill="1" applyBorder="1" applyAlignment="1">
      <alignment horizontal="center" vertical="center" wrapText="1"/>
    </xf>
    <xf numFmtId="0" fontId="170" fillId="102" borderId="56" xfId="0" applyFont="1" applyFill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0" fontId="42" fillId="3" borderId="1" xfId="140" applyFont="1" applyFill="1" applyBorder="1" applyAlignment="1">
      <alignment horizontal="center" wrapText="1"/>
    </xf>
    <xf numFmtId="167" fontId="41" fillId="3" borderId="1" xfId="1" applyNumberFormat="1" applyFont="1" applyFill="1" applyBorder="1" applyAlignment="1">
      <alignment horizontal="center" vertical="center" wrapText="1"/>
    </xf>
    <xf numFmtId="43" fontId="41" fillId="3" borderId="1" xfId="1" applyFont="1" applyFill="1" applyBorder="1" applyAlignment="1">
      <alignment horizontal="center" vertical="center" wrapText="1"/>
    </xf>
    <xf numFmtId="168" fontId="41" fillId="3" borderId="12" xfId="0" applyNumberFormat="1" applyFont="1" applyFill="1" applyBorder="1" applyAlignment="1">
      <alignment horizontal="center" vertical="center" wrapText="1"/>
    </xf>
    <xf numFmtId="168" fontId="41" fillId="3" borderId="14" xfId="0" applyNumberFormat="1" applyFont="1" applyFill="1" applyBorder="1" applyAlignment="1">
      <alignment horizontal="center" vertical="center" wrapText="1"/>
    </xf>
    <xf numFmtId="168" fontId="41" fillId="3" borderId="11" xfId="0" applyNumberFormat="1" applyFont="1" applyFill="1" applyBorder="1" applyAlignment="1">
      <alignment horizontal="center" vertical="center" wrapText="1"/>
    </xf>
    <xf numFmtId="43" fontId="41" fillId="3" borderId="1" xfId="1" applyNumberFormat="1" applyFont="1" applyFill="1" applyBorder="1" applyAlignment="1">
      <alignment horizontal="center" vertical="center" wrapText="1"/>
    </xf>
    <xf numFmtId="168" fontId="32" fillId="27" borderId="12" xfId="0" applyNumberFormat="1" applyFont="1" applyFill="1" applyBorder="1" applyAlignment="1">
      <alignment horizontal="center" wrapText="1"/>
    </xf>
    <xf numFmtId="168" fontId="32" fillId="27" borderId="14" xfId="0" applyNumberFormat="1" applyFont="1" applyFill="1" applyBorder="1" applyAlignment="1">
      <alignment horizontal="center" wrapText="1"/>
    </xf>
    <xf numFmtId="0" fontId="32" fillId="27" borderId="1" xfId="0" applyFont="1" applyFill="1" applyBorder="1" applyAlignment="1">
      <alignment horizontal="center" wrapText="1"/>
    </xf>
    <xf numFmtId="0" fontId="29" fillId="3" borderId="12" xfId="132" applyFont="1" applyFill="1" applyBorder="1" applyAlignment="1">
      <alignment horizontal="center" wrapText="1"/>
    </xf>
    <xf numFmtId="0" fontId="29" fillId="3" borderId="14" xfId="132" applyFont="1" applyFill="1" applyBorder="1" applyAlignment="1">
      <alignment horizontal="center" wrapText="1"/>
    </xf>
    <xf numFmtId="0" fontId="29" fillId="3" borderId="11" xfId="132" applyFont="1" applyFill="1" applyBorder="1" applyAlignment="1">
      <alignment horizontal="center" wrapText="1"/>
    </xf>
    <xf numFmtId="168" fontId="29" fillId="3" borderId="12" xfId="140" applyNumberFormat="1" applyFont="1" applyFill="1" applyBorder="1" applyAlignment="1">
      <alignment horizontal="center" wrapText="1"/>
    </xf>
    <xf numFmtId="168" fontId="29" fillId="3" borderId="14" xfId="140" applyNumberFormat="1" applyFont="1" applyFill="1" applyBorder="1" applyAlignment="1">
      <alignment horizontal="center" wrapText="1"/>
    </xf>
    <xf numFmtId="168" fontId="29" fillId="3" borderId="11" xfId="140" applyNumberFormat="1" applyFont="1" applyFill="1" applyBorder="1" applyAlignment="1">
      <alignment horizontal="center" wrapText="1"/>
    </xf>
    <xf numFmtId="0" fontId="32" fillId="27" borderId="12" xfId="0" applyFont="1" applyFill="1" applyBorder="1" applyAlignment="1">
      <alignment horizontal="center" wrapText="1"/>
    </xf>
    <xf numFmtId="0" fontId="32" fillId="27" borderId="14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/>
    </xf>
    <xf numFmtId="0" fontId="156" fillId="28" borderId="12" xfId="0" applyFont="1" applyFill="1" applyBorder="1" applyAlignment="1">
      <alignment horizontal="center" vertical="center" wrapText="1"/>
    </xf>
    <xf numFmtId="0" fontId="156" fillId="28" borderId="14" xfId="0" applyFont="1" applyFill="1" applyBorder="1" applyAlignment="1">
      <alignment horizontal="center" vertical="center" wrapText="1"/>
    </xf>
    <xf numFmtId="0" fontId="156" fillId="28" borderId="11" xfId="0" applyFont="1" applyFill="1" applyBorder="1" applyAlignment="1">
      <alignment horizontal="center" vertical="center" wrapText="1"/>
    </xf>
    <xf numFmtId="0" fontId="37" fillId="2" borderId="12" xfId="0" applyFont="1" applyFill="1" applyBorder="1" applyAlignment="1">
      <alignment horizontal="center"/>
    </xf>
    <xf numFmtId="0" fontId="37" fillId="2" borderId="14" xfId="0" applyFont="1" applyFill="1" applyBorder="1" applyAlignment="1">
      <alignment horizontal="center"/>
    </xf>
    <xf numFmtId="0" fontId="37" fillId="2" borderId="11" xfId="0" applyFont="1" applyFill="1" applyBorder="1" applyAlignment="1">
      <alignment horizontal="center"/>
    </xf>
    <xf numFmtId="1" fontId="41" fillId="3" borderId="1" xfId="1" applyNumberFormat="1" applyFont="1" applyFill="1" applyBorder="1" applyAlignment="1">
      <alignment horizontal="center" vertical="center" wrapText="1"/>
    </xf>
    <xf numFmtId="167" fontId="41" fillId="3" borderId="12" xfId="1" applyNumberFormat="1" applyFont="1" applyFill="1" applyBorder="1" applyAlignment="1">
      <alignment horizontal="center" vertical="center" wrapText="1"/>
    </xf>
    <xf numFmtId="167" fontId="41" fillId="3" borderId="14" xfId="1" applyNumberFormat="1" applyFont="1" applyFill="1" applyBorder="1" applyAlignment="1">
      <alignment horizontal="center" vertical="center" wrapText="1"/>
    </xf>
    <xf numFmtId="167" fontId="41" fillId="3" borderId="11" xfId="1" applyNumberFormat="1" applyFont="1" applyFill="1" applyBorder="1" applyAlignment="1">
      <alignment horizontal="center" vertical="center" wrapText="1"/>
    </xf>
    <xf numFmtId="0" fontId="32" fillId="27" borderId="11" xfId="0" applyFont="1" applyFill="1" applyBorder="1" applyAlignment="1">
      <alignment horizontal="center" wrapText="1"/>
    </xf>
    <xf numFmtId="168" fontId="32" fillId="27" borderId="11" xfId="0" applyNumberFormat="1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/>
    </xf>
    <xf numFmtId="0" fontId="28" fillId="26" borderId="12" xfId="0" applyFont="1" applyFill="1" applyBorder="1" applyAlignment="1">
      <alignment horizontal="center" wrapText="1"/>
    </xf>
    <xf numFmtId="0" fontId="28" fillId="26" borderId="11" xfId="0" applyFont="1" applyFill="1" applyBorder="1" applyAlignment="1">
      <alignment horizontal="center" wrapText="1"/>
    </xf>
    <xf numFmtId="0" fontId="28" fillId="30" borderId="12" xfId="129" applyFont="1" applyFill="1" applyBorder="1" applyAlignment="1">
      <alignment horizontal="center"/>
    </xf>
    <xf numFmtId="0" fontId="28" fillId="30" borderId="14" xfId="129" applyFont="1" applyFill="1" applyBorder="1" applyAlignment="1">
      <alignment horizontal="center"/>
    </xf>
    <xf numFmtId="0" fontId="28" fillId="30" borderId="11" xfId="129" applyFont="1" applyFill="1" applyBorder="1" applyAlignment="1">
      <alignment horizontal="center"/>
    </xf>
    <xf numFmtId="0" fontId="28" fillId="26" borderId="14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  <xf numFmtId="0" fontId="28" fillId="101" borderId="12" xfId="0" applyFont="1" applyFill="1" applyBorder="1" applyAlignment="1">
      <alignment horizontal="center" wrapText="1"/>
    </xf>
    <xf numFmtId="0" fontId="28" fillId="101" borderId="14" xfId="0" applyFont="1" applyFill="1" applyBorder="1" applyAlignment="1">
      <alignment horizontal="center" wrapText="1"/>
    </xf>
    <xf numFmtId="0" fontId="28" fillId="101" borderId="11" xfId="0" applyFont="1" applyFill="1" applyBorder="1" applyAlignment="1">
      <alignment horizontal="center" wrapText="1"/>
    </xf>
    <xf numFmtId="164" fontId="28" fillId="26" borderId="1" xfId="1" applyNumberFormat="1" applyFont="1" applyFill="1" applyBorder="1" applyAlignment="1">
      <alignment horizontal="center" wrapText="1"/>
    </xf>
    <xf numFmtId="0" fontId="28" fillId="101" borderId="12" xfId="0" applyFont="1" applyFill="1" applyBorder="1" applyAlignment="1">
      <alignment horizontal="center"/>
    </xf>
    <xf numFmtId="0" fontId="28" fillId="101" borderId="11" xfId="0" applyFont="1" applyFill="1" applyBorder="1" applyAlignment="1">
      <alignment horizontal="center"/>
    </xf>
    <xf numFmtId="0" fontId="28" fillId="26" borderId="12" xfId="0" applyFont="1" applyFill="1" applyBorder="1" applyAlignment="1">
      <alignment horizontal="center"/>
    </xf>
    <xf numFmtId="0" fontId="28" fillId="26" borderId="11" xfId="0" applyFont="1" applyFill="1" applyBorder="1" applyAlignment="1">
      <alignment horizontal="center"/>
    </xf>
    <xf numFmtId="164" fontId="28" fillId="101" borderId="5" xfId="1" applyNumberFormat="1" applyFont="1" applyFill="1" applyBorder="1" applyAlignment="1">
      <alignment horizontal="center" wrapText="1"/>
    </xf>
    <xf numFmtId="164" fontId="28" fillId="101" borderId="3" xfId="1" applyNumberFormat="1" applyFont="1" applyFill="1" applyBorder="1" applyAlignment="1">
      <alignment horizontal="center" wrapText="1"/>
    </xf>
    <xf numFmtId="164" fontId="28" fillId="101" borderId="10" xfId="1" applyNumberFormat="1" applyFont="1" applyFill="1" applyBorder="1" applyAlignment="1">
      <alignment horizontal="center"/>
    </xf>
    <xf numFmtId="164" fontId="28" fillId="101" borderId="9" xfId="1" applyNumberFormat="1" applyFont="1" applyFill="1" applyBorder="1" applyAlignment="1">
      <alignment horizontal="center"/>
    </xf>
  </cellXfs>
  <cellStyles count="50297">
    <cellStyle name=" 1" xfId="5712"/>
    <cellStyle name=" _x0007_LÓ_x0018_ÄþÍN^NuNVþˆHÁ_x0001__x0018_(n" xfId="143"/>
    <cellStyle name="%" xfId="144"/>
    <cellStyle name="% 10" xfId="5713"/>
    <cellStyle name="% 10 2" xfId="5714"/>
    <cellStyle name="% 10 3" xfId="5715"/>
    <cellStyle name="% 11" xfId="5716"/>
    <cellStyle name="% 11 2" xfId="5717"/>
    <cellStyle name="% 11 3" xfId="5718"/>
    <cellStyle name="% 12" xfId="5719"/>
    <cellStyle name="% 12 2" xfId="5720"/>
    <cellStyle name="% 12 3" xfId="5721"/>
    <cellStyle name="% 13" xfId="5722"/>
    <cellStyle name="% 13 2" xfId="5723"/>
    <cellStyle name="% 13 3" xfId="5724"/>
    <cellStyle name="% 14" xfId="5725"/>
    <cellStyle name="% 14 2" xfId="5726"/>
    <cellStyle name="% 14 3" xfId="5727"/>
    <cellStyle name="% 15" xfId="5728"/>
    <cellStyle name="% 15 2" xfId="5729"/>
    <cellStyle name="% 15 3" xfId="5730"/>
    <cellStyle name="% 16" xfId="5731"/>
    <cellStyle name="% 16 2" xfId="5732"/>
    <cellStyle name="% 16 3" xfId="5733"/>
    <cellStyle name="% 17" xfId="5734"/>
    <cellStyle name="% 17 2" xfId="5735"/>
    <cellStyle name="% 17 3" xfId="5736"/>
    <cellStyle name="% 18" xfId="5737"/>
    <cellStyle name="% 18 2" xfId="5738"/>
    <cellStyle name="% 18 3" xfId="5739"/>
    <cellStyle name="% 19" xfId="5740"/>
    <cellStyle name="% 19 2" xfId="5741"/>
    <cellStyle name="% 19 3" xfId="5742"/>
    <cellStyle name="% 2" xfId="5743"/>
    <cellStyle name="% 2 10" xfId="5744"/>
    <cellStyle name="% 2 11" xfId="5745"/>
    <cellStyle name="% 2 12" xfId="5746"/>
    <cellStyle name="% 2 13" xfId="5747"/>
    <cellStyle name="% 2 14" xfId="5748"/>
    <cellStyle name="% 2 2" xfId="5749"/>
    <cellStyle name="% 2 2 2" xfId="5750"/>
    <cellStyle name="% 2 2 2 2" xfId="5751"/>
    <cellStyle name="% 2 2 3" xfId="5752"/>
    <cellStyle name="% 2 3" xfId="5753"/>
    <cellStyle name="% 2 3 2" xfId="5754"/>
    <cellStyle name="% 2 3 3" xfId="5755"/>
    <cellStyle name="% 2 3 4" xfId="5756"/>
    <cellStyle name="% 2 4" xfId="5757"/>
    <cellStyle name="% 2 4 2" xfId="5758"/>
    <cellStyle name="% 2 4 3" xfId="5759"/>
    <cellStyle name="% 2 5" xfId="5760"/>
    <cellStyle name="% 2 5 2" xfId="5761"/>
    <cellStyle name="% 2 5 3" xfId="5762"/>
    <cellStyle name="% 2 6" xfId="5763"/>
    <cellStyle name="% 2 7" xfId="5764"/>
    <cellStyle name="% 2 8" xfId="5765"/>
    <cellStyle name="% 2 9" xfId="5766"/>
    <cellStyle name="% 2_2009 Actual" xfId="5767"/>
    <cellStyle name="% 20" xfId="5768"/>
    <cellStyle name="% 20 2" xfId="5769"/>
    <cellStyle name="% 20 3" xfId="5770"/>
    <cellStyle name="% 21" xfId="5771"/>
    <cellStyle name="% 21 2" xfId="5772"/>
    <cellStyle name="% 21 3" xfId="5773"/>
    <cellStyle name="% 22" xfId="5774"/>
    <cellStyle name="% 22 2" xfId="5775"/>
    <cellStyle name="% 23" xfId="5776"/>
    <cellStyle name="% 24" xfId="5777"/>
    <cellStyle name="% 25" xfId="5778"/>
    <cellStyle name="% 26" xfId="5779"/>
    <cellStyle name="% 27" xfId="5780"/>
    <cellStyle name="% 28" xfId="5781"/>
    <cellStyle name="% 29" xfId="5782"/>
    <cellStyle name="% 3" xfId="5783"/>
    <cellStyle name="% 3 10" xfId="5784"/>
    <cellStyle name="% 3 11" xfId="5785"/>
    <cellStyle name="% 3 12" xfId="5786"/>
    <cellStyle name="% 3 13" xfId="5787"/>
    <cellStyle name="% 3 2" xfId="5788"/>
    <cellStyle name="% 3 2 2" xfId="5789"/>
    <cellStyle name="% 3 2 3" xfId="5790"/>
    <cellStyle name="% 3 2 4" xfId="5791"/>
    <cellStyle name="% 3 3" xfId="5792"/>
    <cellStyle name="% 3 3 2" xfId="5793"/>
    <cellStyle name="% 3 3 3" xfId="5794"/>
    <cellStyle name="% 3 4" xfId="5795"/>
    <cellStyle name="% 3 4 2" xfId="5796"/>
    <cellStyle name="% 3 4 3" xfId="5797"/>
    <cellStyle name="% 3 5" xfId="5798"/>
    <cellStyle name="% 3 5 2" xfId="5799"/>
    <cellStyle name="% 3 5 3" xfId="5800"/>
    <cellStyle name="% 3 6" xfId="5801"/>
    <cellStyle name="% 3 7" xfId="5802"/>
    <cellStyle name="% 3 8" xfId="5803"/>
    <cellStyle name="% 3 9" xfId="5804"/>
    <cellStyle name="% 3_2009 Actual" xfId="5805"/>
    <cellStyle name="% 30" xfId="5806"/>
    <cellStyle name="% 31" xfId="5807"/>
    <cellStyle name="% 32" xfId="5808"/>
    <cellStyle name="% 33" xfId="5809"/>
    <cellStyle name="% 4" xfId="5810"/>
    <cellStyle name="% 4 10" xfId="5811"/>
    <cellStyle name="% 4 11" xfId="5812"/>
    <cellStyle name="% 4 12" xfId="5813"/>
    <cellStyle name="% 4 13" xfId="5814"/>
    <cellStyle name="% 4 14" xfId="5815"/>
    <cellStyle name="% 4 15" xfId="5816"/>
    <cellStyle name="% 4 16" xfId="5817"/>
    <cellStyle name="% 4 17" xfId="5818"/>
    <cellStyle name="% 4 18" xfId="5819"/>
    <cellStyle name="% 4 19" xfId="5820"/>
    <cellStyle name="% 4 2" xfId="5821"/>
    <cellStyle name="% 4 20" xfId="5822"/>
    <cellStyle name="% 4 21" xfId="5823"/>
    <cellStyle name="% 4 22" xfId="5824"/>
    <cellStyle name="% 4 23" xfId="5825"/>
    <cellStyle name="% 4 3" xfId="5826"/>
    <cellStyle name="% 4 4" xfId="5827"/>
    <cellStyle name="% 4 5" xfId="5828"/>
    <cellStyle name="% 4 6" xfId="5829"/>
    <cellStyle name="% 4 7" xfId="5830"/>
    <cellStyle name="% 4 8" xfId="5831"/>
    <cellStyle name="% 4 9" xfId="5832"/>
    <cellStyle name="% 4_2010 Actual" xfId="5833"/>
    <cellStyle name="% 5" xfId="5834"/>
    <cellStyle name="% 5 10" xfId="5835"/>
    <cellStyle name="% 5 11" xfId="5836"/>
    <cellStyle name="% 5 12" xfId="5837"/>
    <cellStyle name="% 5 13" xfId="5838"/>
    <cellStyle name="% 5 14" xfId="5839"/>
    <cellStyle name="% 5 15" xfId="5840"/>
    <cellStyle name="% 5 16" xfId="5841"/>
    <cellStyle name="% 5 17" xfId="5842"/>
    <cellStyle name="% 5 18" xfId="5843"/>
    <cellStyle name="% 5 19" xfId="5844"/>
    <cellStyle name="% 5 2" xfId="5845"/>
    <cellStyle name="% 5 20" xfId="5846"/>
    <cellStyle name="% 5 21" xfId="5847"/>
    <cellStyle name="% 5 22" xfId="5848"/>
    <cellStyle name="% 5 3" xfId="5849"/>
    <cellStyle name="% 5 4" xfId="5850"/>
    <cellStyle name="% 5 5" xfId="5851"/>
    <cellStyle name="% 5 6" xfId="5852"/>
    <cellStyle name="% 5 7" xfId="5853"/>
    <cellStyle name="% 5 8" xfId="5854"/>
    <cellStyle name="% 5 9" xfId="5855"/>
    <cellStyle name="% 5_2010 Actual" xfId="5856"/>
    <cellStyle name="% 6" xfId="5857"/>
    <cellStyle name="% 6 10" xfId="5858"/>
    <cellStyle name="% 6 11" xfId="5859"/>
    <cellStyle name="% 6 12" xfId="5860"/>
    <cellStyle name="% 6 13" xfId="5861"/>
    <cellStyle name="% 6 14" xfId="5862"/>
    <cellStyle name="% 6 15" xfId="5863"/>
    <cellStyle name="% 6 16" xfId="5864"/>
    <cellStyle name="% 6 17" xfId="5865"/>
    <cellStyle name="% 6 18" xfId="5866"/>
    <cellStyle name="% 6 19" xfId="5867"/>
    <cellStyle name="% 6 2" xfId="5868"/>
    <cellStyle name="% 6 20" xfId="5869"/>
    <cellStyle name="% 6 21" xfId="5870"/>
    <cellStyle name="% 6 22" xfId="5871"/>
    <cellStyle name="% 6 3" xfId="5872"/>
    <cellStyle name="% 6 4" xfId="5873"/>
    <cellStyle name="% 6 5" xfId="5874"/>
    <cellStyle name="% 6 6" xfId="5875"/>
    <cellStyle name="% 6 7" xfId="5876"/>
    <cellStyle name="% 6 8" xfId="5877"/>
    <cellStyle name="% 6 9" xfId="5878"/>
    <cellStyle name="% 6_2010 Actual" xfId="5879"/>
    <cellStyle name="% 7" xfId="5880"/>
    <cellStyle name="% 7 2" xfId="5881"/>
    <cellStyle name="% 7 3" xfId="5882"/>
    <cellStyle name="% 8" xfId="5883"/>
    <cellStyle name="% 8 2" xfId="5884"/>
    <cellStyle name="% 8 3" xfId="5885"/>
    <cellStyle name="% 9" xfId="5886"/>
    <cellStyle name="% 9 2" xfId="5887"/>
    <cellStyle name="% 9 3" xfId="5888"/>
    <cellStyle name="%_1-10 BHU IS" xfId="5889"/>
    <cellStyle name="%_2010 Actual" xfId="5890"/>
    <cellStyle name="%_2010 Rating Agency Plan 04 26 10" xfId="5891"/>
    <cellStyle name="%_2011 Budget 09 10 10" xfId="5892"/>
    <cellStyle name="%_BH Electric Utilities 2010 Strategic Plan" xfId="5893"/>
    <cellStyle name="%_BHCOE" xfId="5894"/>
    <cellStyle name="%_BHCOE 2" xfId="5895"/>
    <cellStyle name="%_BHIAG.2010.09.Sep.NewEXEC" xfId="5896"/>
    <cellStyle name="%_BHIAG.2010.09.Sep.NewEXEC 2" xfId="5897"/>
    <cellStyle name="%_BHIAG.2010.09.Sep.NewEXEC 3" xfId="5898"/>
    <cellStyle name="%_BHKSG.2010.09.Sep.NewEXEC" xfId="5899"/>
    <cellStyle name="%_BHKSG.2010.09.Sep.NewEXEC 2" xfId="5900"/>
    <cellStyle name="%_BHKSG.2010.09.Sep.NewEXEC 3" xfId="5901"/>
    <cellStyle name="%_BHKSG.2011.03.Mar.NewEXEC" xfId="5902"/>
    <cellStyle name="%_BHNEG.2010.07.July.EXEC" xfId="5903"/>
    <cellStyle name="%_BHNEG.2010.07.July.EXEC 2" xfId="5904"/>
    <cellStyle name="%_BHNEG.2010.07.July.EXEC 3" xfId="5905"/>
    <cellStyle name="%_BHP Detail" xfId="5906"/>
    <cellStyle name="%_BHP Detail 2" xfId="5907"/>
    <cellStyle name="%_BHP Detail 3" xfId="5908"/>
    <cellStyle name="%_BUDGET YEAR 2009 $-BY CC" xfId="5909"/>
    <cellStyle name="%_CapX" xfId="5910"/>
    <cellStyle name="%_CapX 2" xfId="5911"/>
    <cellStyle name="%_CapX 3" xfId="5912"/>
    <cellStyle name="%_CLFP Executive Summary - 2009 December" xfId="5913"/>
    <cellStyle name="%_Colo Gas" xfId="5914"/>
    <cellStyle name="%_Colo Gas 2" xfId="5915"/>
    <cellStyle name="%_Colo Gas 3" xfId="5916"/>
    <cellStyle name="%_Colo IPP" xfId="5917"/>
    <cellStyle name="%_Colo IPP 2" xfId="5918"/>
    <cellStyle name="%_Colo IPP 3" xfId="5919"/>
    <cellStyle name="%_CURRENT YEAR 2009 $-BY CC" xfId="5920"/>
    <cellStyle name="%_CURRENT YEAR 2009 $-BY CC 2" xfId="5921"/>
    <cellStyle name="%_CURRENT YEAR 2009 $-BY CC 3" xfId="5922"/>
    <cellStyle name="%_CURRENT YEAR 2010 $-BY CC" xfId="5923"/>
    <cellStyle name="%_Current Year Actual " xfId="5924"/>
    <cellStyle name="%_Current Year Actual _1" xfId="5925"/>
    <cellStyle name="%_Dakota Panel" xfId="5926"/>
    <cellStyle name="%_Dakota Panel 2" xfId="5927"/>
    <cellStyle name="%_Data Input" xfId="5928"/>
    <cellStyle name="%_Data Input_1" xfId="5929"/>
    <cellStyle name="%_Data Input_1 2" xfId="5930"/>
    <cellStyle name="%_Data Input_1_2010 Actual" xfId="5931"/>
    <cellStyle name="%_Explanations" xfId="5932"/>
    <cellStyle name="%_NGU 2010 3Q Ops Review.Oct22,2010" xfId="5933"/>
    <cellStyle name="%_NGU 2010 3Q Ops Review.Oct22,2010_Ops Review UIP_Metrics Gas &amp; Electric 2011" xfId="5934"/>
    <cellStyle name="%_NGU 2010 3Q Ops Review.Oct22,2010_Ops Review UIP_Metrics Gas &amp; Electric 2011 2" xfId="5935"/>
    <cellStyle name="%_NGU 2010 3Q Ops Review.Oct22,2010_Ops Review UIP_Metrics Gas &amp; Electric 2011 3" xfId="5936"/>
    <cellStyle name="%_Other Income_Expense" xfId="5937"/>
    <cellStyle name="%_Other Income_Expense 2" xfId="5938"/>
    <cellStyle name="%_Other Income_Expense_2010 Actual" xfId="5939"/>
    <cellStyle name="%_Other Income_Expense_Explanations" xfId="5940"/>
    <cellStyle name="%_R&amp;O_2010_NE0101810" xfId="5941"/>
    <cellStyle name="%_R&amp;O_2010_NE0101810 2" xfId="5942"/>
    <cellStyle name="%_R&amp;O_2010_NE0101810 3" xfId="5943"/>
    <cellStyle name="%_Revenue and COGS" xfId="5944"/>
    <cellStyle name="%_Revenue and COGS 2" xfId="5945"/>
    <cellStyle name="%_Revenue and COGS_2010 Actual" xfId="5946"/>
    <cellStyle name="%_Revenue and COGS_Explanations" xfId="5947"/>
    <cellStyle name="%_Summary IS" xfId="5948"/>
    <cellStyle name="%_Summary IS 2" xfId="5949"/>
    <cellStyle name="%_Summary IS_2010 Actual" xfId="5950"/>
    <cellStyle name="%_Summary IS_Explanations" xfId="5951"/>
    <cellStyle name=";;;" xfId="5952"/>
    <cellStyle name="\" xfId="5953"/>
    <cellStyle name="\_bluebirdacdil13" xfId="5954"/>
    <cellStyle name="\_data" xfId="5955"/>
    <cellStyle name="\_ecomps7w" xfId="5956"/>
    <cellStyle name="\_equitycomps8" xfId="5957"/>
    <cellStyle name="\_equitycomps9" xfId="5958"/>
    <cellStyle name="\_houston Isabel" xfId="5959"/>
    <cellStyle name="\_hybrid2" xfId="5960"/>
    <cellStyle name="\_ITXCcomps" xfId="5961"/>
    <cellStyle name="\_newcomps16" xfId="5962"/>
    <cellStyle name="\_ravenpitch3" xfId="5963"/>
    <cellStyle name="\_ravenpitch32" xfId="5964"/>
    <cellStyle name="__CO CAPEX Strat Plan 2010-14_v5a" xfId="5965"/>
    <cellStyle name="__CO CAPEX Strat Plan 2010-14_v5a 2" xfId="5966"/>
    <cellStyle name="__CO CAPEX Strat Plan 2010-14_v5a 3" xfId="5967"/>
    <cellStyle name="_033103 13 week CF1" xfId="5968"/>
    <cellStyle name="_033103 13 week CF1 2" xfId="5969"/>
    <cellStyle name="_033103 13 week CF1 2 2" xfId="5970"/>
    <cellStyle name="_033103 13 week CF1 2 3" xfId="5971"/>
    <cellStyle name="_033103 13 week CF1 3" xfId="5972"/>
    <cellStyle name="_033103 13 week CF1 3 2" xfId="5973"/>
    <cellStyle name="_033103 13 week CF1 3 3" xfId="5974"/>
    <cellStyle name="_033103 13 week CF1 4" xfId="5975"/>
    <cellStyle name="_033103 13 week CF1 4 2" xfId="5976"/>
    <cellStyle name="_033103 13 week CF1 4 3" xfId="5977"/>
    <cellStyle name="_033103 13 week CF1 5" xfId="5978"/>
    <cellStyle name="_181000-189000" xfId="5979"/>
    <cellStyle name="_181000-189000 2" xfId="5980"/>
    <cellStyle name="_181000-189000 2 2" xfId="5981"/>
    <cellStyle name="_181000-189000 2 3" xfId="5982"/>
    <cellStyle name="_181000-189000 3" xfId="5983"/>
    <cellStyle name="_181000-189000 3 2" xfId="5984"/>
    <cellStyle name="_181000-189000 3 3" xfId="5985"/>
    <cellStyle name="_181000-189000 4" xfId="5986"/>
    <cellStyle name="_181000-189000 4 2" xfId="5987"/>
    <cellStyle name="_181000-189000 4 3" xfId="5988"/>
    <cellStyle name="_181000-189000 5" xfId="5989"/>
    <cellStyle name="_2002  What- No Cap X Morgan" xfId="5990"/>
    <cellStyle name="_2002  What- No Cap X Morgan 2" xfId="5991"/>
    <cellStyle name="_2002  What- No Cap X Morgan 2 2" xfId="5992"/>
    <cellStyle name="_2002  What- No Cap X Morgan 2 3" xfId="5993"/>
    <cellStyle name="_2002  What- No Cap X Morgan 3" xfId="5994"/>
    <cellStyle name="_2002  What- No Cap X Morgan 3 2" xfId="5995"/>
    <cellStyle name="_2002  What- No Cap X Morgan 3 3" xfId="5996"/>
    <cellStyle name="_2002  What- No Cap X Morgan 4" xfId="5997"/>
    <cellStyle name="_2002  What- No Cap X Morgan 4 2" xfId="5998"/>
    <cellStyle name="_2002  What- No Cap X Morgan 4 3" xfId="5999"/>
    <cellStyle name="_2002  What- No Cap X Morgan 5" xfId="6000"/>
    <cellStyle name="_2008 GDM ALLOCATIONS-Oct2007 (3)" xfId="145"/>
    <cellStyle name="_2009-2013 Strategic Plan 7 15 08 Final" xfId="6001"/>
    <cellStyle name="_2009-2013 Strategic Plan 7 15 08 Final (2)" xfId="6002"/>
    <cellStyle name="_2009-2013 Strategic Plan 7 15 08 Final (2) 2" xfId="6003"/>
    <cellStyle name="_2009-2013 Strategic Plan 7 15 08 Final (2) 3" xfId="6004"/>
    <cellStyle name="_2009-2013 Strategic Plan 7 15 08 Final (2)_11 NGU 1Q Ops Review 04_2011 DRAFT New" xfId="6005"/>
    <cellStyle name="_2009-2013 Strategic Plan 7 15 08 Final (2)_BHIAG 2011 Q1 Ops Highlights_Outlook" xfId="6006"/>
    <cellStyle name="_2009-2013 Strategic Plan 7 15 08 Final (2)_BHKSG 2011 Q1 Ops Highlights_Outlook" xfId="6007"/>
    <cellStyle name="_2009-2013 Strategic Plan 7 15 08 Final (2)_BHKSG.2010.12.Dec.NewEXEC" xfId="6008"/>
    <cellStyle name="_2009-2013 Strategic Plan 7 15 08 Final (2)_BHKSG.2010.12.Dec.NewEXEC 2" xfId="6009"/>
    <cellStyle name="_2009-2013 Strategic Plan 7 15 08 Final (2)_BHKSG.2010.12.Dec.NewEXEC 3" xfId="6010"/>
    <cellStyle name="_2009-2013 Strategic Plan 7 15 08 Final (2)_BHKSG.2011.03.Mar.NewEXEC" xfId="6011"/>
    <cellStyle name="_2009-2013 Strategic Plan 7 15 08 Final (2)_NGU 2011 Apr NewEXEC DRAFT FORMAT" xfId="6012"/>
    <cellStyle name="_2009-2013 Strategic Plan 7 15 08 Final (2)_NGU.2011Budget.BHKSG" xfId="6013"/>
    <cellStyle name="_2009-2013 Strategic Plan 7 15 08 Final 10" xfId="6014"/>
    <cellStyle name="_2009-2013 Strategic Plan 7 15 08 Final 11" xfId="6015"/>
    <cellStyle name="_2009-2013 Strategic Plan 7 15 08 Final 12" xfId="6016"/>
    <cellStyle name="_2009-2013 Strategic Plan 7 15 08 Final 13" xfId="6017"/>
    <cellStyle name="_2009-2013 Strategic Plan 7 15 08 Final 2" xfId="6018"/>
    <cellStyle name="_2009-2013 Strategic Plan 7 15 08 Final 3" xfId="6019"/>
    <cellStyle name="_2009-2013 Strategic Plan 7 15 08 Final 4" xfId="6020"/>
    <cellStyle name="_2009-2013 Strategic Plan 7 15 08 Final 5" xfId="6021"/>
    <cellStyle name="_2009-2013 Strategic Plan 7 15 08 Final 6" xfId="6022"/>
    <cellStyle name="_2009-2013 Strategic Plan 7 15 08 Final 7" xfId="6023"/>
    <cellStyle name="_2009-2013 Strategic Plan 7 15 08 Final 8" xfId="6024"/>
    <cellStyle name="_2009-2013 Strategic Plan 7 15 08 Final 9" xfId="6025"/>
    <cellStyle name="_2009-2013 Strategic Plan 7 15 08 Final_11 NGU 1Q Ops Review 04_2011 DRAFT New" xfId="6026"/>
    <cellStyle name="_2009-2013 Strategic Plan 7 15 08 Final_BHIAG 2011 Q1 Ops Highlights_Outlook" xfId="6027"/>
    <cellStyle name="_2009-2013 Strategic Plan 7 15 08 Final_BHKSG 2011 Q1 Ops Highlights_Outlook" xfId="6028"/>
    <cellStyle name="_2009-2013 Strategic Plan 7 15 08 Final_BHKSG.2010.12.Dec.NewEXEC" xfId="6029"/>
    <cellStyle name="_2009-2013 Strategic Plan 7 15 08 Final_BHKSG.2010.12.Dec.NewEXEC 2" xfId="6030"/>
    <cellStyle name="_2009-2013 Strategic Plan 7 15 08 Final_BHKSG.2010.12.Dec.NewEXEC 3" xfId="6031"/>
    <cellStyle name="_2009-2013 Strategic Plan 7 15 08 Final_BHKSG.2011.03.Mar.NewEXEC" xfId="6032"/>
    <cellStyle name="_2009-2013 Strategic Plan 7 15 08 Final_NGU 2011 Apr NewEXEC DRAFT FORMAT" xfId="6033"/>
    <cellStyle name="_2009-2013 Strategic Plan 7 15 08 Final_NGU.2011Budget.BHKSG" xfId="6034"/>
    <cellStyle name="_2010 Budget -- Net Plant Work_NE 09222009" xfId="6035"/>
    <cellStyle name="_2010 Budget OM Summary for Pella 20100112 For 4th Qtr" xfId="6036"/>
    <cellStyle name="_2010 Budget OM Summary for Pella 20100112 For 4th Qtr_Ops Review UIP_Metrics Gas &amp; Electric 2011" xfId="6037"/>
    <cellStyle name="_2010 Budget OM Summary for Pella 20100112 For 4th Qtr_Ops Review UIP_Metrics Gas &amp; Electric 2011 2" xfId="6038"/>
    <cellStyle name="_2010 Budget OM Summary for Pella 20100112 For 4th Qtr_Ops Review UIP_Metrics Gas &amp; Electric 2011 3" xfId="6039"/>
    <cellStyle name="_2010 BUDGET Presentation 09172009" xfId="6040"/>
    <cellStyle name="_2011 Budget 09 10 10" xfId="6041"/>
    <cellStyle name="_2011 Budget Bridge 9 1 10" xfId="6042"/>
    <cellStyle name="_AOC EAC Summary" xfId="146"/>
    <cellStyle name="_Appendix D- IT-INF Rate Cards" xfId="147"/>
    <cellStyle name="_Baseline Rollforward Support 050817" xfId="6043"/>
    <cellStyle name="_Baseline Rollforward Support 050817 2" xfId="6044"/>
    <cellStyle name="_Baseline Rollforward Support 050817 2 2" xfId="6045"/>
    <cellStyle name="_Baseline Rollforward Support 050817 2 3" xfId="6046"/>
    <cellStyle name="_Baseline Rollforward Support 050817 3" xfId="6047"/>
    <cellStyle name="_Baseline Rollforward Support 050817 3 2" xfId="6048"/>
    <cellStyle name="_Baseline Rollforward Support 050817 3 3" xfId="6049"/>
    <cellStyle name="_Baseline Rollforward Support 050817 4" xfId="6050"/>
    <cellStyle name="_Baseline Rollforward Support 050817 4 2" xfId="6051"/>
    <cellStyle name="_Baseline Rollforward Support 050817 4 3" xfId="6052"/>
    <cellStyle name="_Baseline Rollforward Support 050817 5" xfId="6053"/>
    <cellStyle name="_BHIAG.2010.03.Mar.BOYForecast" xfId="6054"/>
    <cellStyle name="_BHIAG.2010.08.Aug.NewEXEC" xfId="6055"/>
    <cellStyle name="_BHNEG.RegMargins&amp;Stats.2010" xfId="6056"/>
    <cellStyle name="_Book1" xfId="148"/>
    <cellStyle name="_Book2" xfId="6057"/>
    <cellStyle name="_BP Recompete General Pricing v02" xfId="149"/>
    <cellStyle name="_BP TGEM General Pricing v01" xfId="150"/>
    <cellStyle name="_Cabernet Valuation Backup" xfId="6058"/>
    <cellStyle name="_Cabernet Valuation Backup 2" xfId="6059"/>
    <cellStyle name="_Cabernet Valuation Backup 3" xfId="6060"/>
    <cellStyle name="_Cabernet Valuation Backup 4" xfId="6061"/>
    <cellStyle name="_Court QRAMs v2" xfId="151"/>
    <cellStyle name="_Credit Memo - CO21 version" xfId="152"/>
    <cellStyle name="_CSFB MergerCon D-CMS 5 18 02" xfId="6062"/>
    <cellStyle name="_CSFB MergerCon D-CMS 5 18 02 2" xfId="6063"/>
    <cellStyle name="_CSFB MergerCon D-CMS 5 18 02 3" xfId="6064"/>
    <cellStyle name="_CSFB MergerCon D-CMS 5 18 02 4" xfId="6065"/>
    <cellStyle name="_Direct_O&amp;M_BHCOE_2010_2014_v2" xfId="6066"/>
    <cellStyle name="_Direct_O&amp;M_BHCOE_2010_2014_v2 2" xfId="6067"/>
    <cellStyle name="_Direct_O&amp;M_BHCOE_2010_2014_v2 3" xfId="6068"/>
    <cellStyle name="_Duke Pricing Model v03" xfId="153"/>
    <cellStyle name="_EGTG_2003_YTD_Cash_Flow" xfId="6069"/>
    <cellStyle name="_EGTG_2003_YTD_Cash_Flow 2" xfId="6070"/>
    <cellStyle name="_EGTG_2003_YTD_Cash_Flow 2 2" xfId="6071"/>
    <cellStyle name="_EGTG_2003_YTD_Cash_Flow 2 3" xfId="6072"/>
    <cellStyle name="_EGTG_2003_YTD_Cash_Flow 3" xfId="6073"/>
    <cellStyle name="_EGTG_2003_YTD_Cash_Flow 3 2" xfId="6074"/>
    <cellStyle name="_EGTG_2003_YTD_Cash_Flow 3 3" xfId="6075"/>
    <cellStyle name="_EGTG_2003_YTD_Cash_Flow 4" xfId="6076"/>
    <cellStyle name="_EGTG_2003_YTD_Cash_Flow 4 2" xfId="6077"/>
    <cellStyle name="_EGTG_2003_YTD_Cash_Flow 4 3" xfId="6078"/>
    <cellStyle name="_EGTG_2003_YTD_Cash_Flow 5" xfId="6079"/>
    <cellStyle name="_Everest_Board_Book_2003_FINAL" xfId="6080"/>
    <cellStyle name="_Everest_Board_Book_2003_FINAL 2" xfId="6081"/>
    <cellStyle name="_Everest_Board_Book_2003_FINAL 2 2" xfId="6082"/>
    <cellStyle name="_Everest_Board_Book_2003_FINAL 2 3" xfId="6083"/>
    <cellStyle name="_Everest_Board_Book_2003_FINAL 3" xfId="6084"/>
    <cellStyle name="_Everest_Board_Book_2003_FINAL 3 2" xfId="6085"/>
    <cellStyle name="_Everest_Board_Book_2003_FINAL 3 3" xfId="6086"/>
    <cellStyle name="_Everest_Board_Book_2003_FINAL 4" xfId="6087"/>
    <cellStyle name="_Everest_Board_Book_2003_FINAL 4 2" xfId="6088"/>
    <cellStyle name="_Everest_Board_Book_2003_FINAL 4 3" xfId="6089"/>
    <cellStyle name="_Everest_Board_Book_2003_FINAL 5" xfId="6090"/>
    <cellStyle name="_Exelon General Pricing v03" xfId="154"/>
    <cellStyle name="_FP Revenue 12628 INEOS P08-08" xfId="155"/>
    <cellStyle name="_FTE by tower by location.v.3 sdm" xfId="156"/>
    <cellStyle name="_HA Pricing Assumptions-FINAL drk ok" xfId="157"/>
    <cellStyle name="_hours and tickets" xfId="158"/>
    <cellStyle name="_hours and tickets_Calpine Pricing Model v12" xfId="159"/>
    <cellStyle name="_IFOX" xfId="160"/>
    <cellStyle name="_Inv #21-13849-25 Jul'08 True Up FY09 P08 Approved 081508" xfId="161"/>
    <cellStyle name="_Iowa_EssBase_2008.12.Dec" xfId="6091"/>
    <cellStyle name="_Iowa_EssBase_2009.04.Apr" xfId="6092"/>
    <cellStyle name="_IS and EBITDA Reconciliation_vr7" xfId="6093"/>
    <cellStyle name="_IS and EBITDA Reconciliation_vr7 2" xfId="6094"/>
    <cellStyle name="_IS and EBITDA Reconciliation_vr7 2 2" xfId="6095"/>
    <cellStyle name="_IS and EBITDA Reconciliation_vr7 2 3" xfId="6096"/>
    <cellStyle name="_IS and EBITDA Reconciliation_vr7 3" xfId="6097"/>
    <cellStyle name="_IS and EBITDA Reconciliation_vr7 3 2" xfId="6098"/>
    <cellStyle name="_IS and EBITDA Reconciliation_vr7 3 3" xfId="6099"/>
    <cellStyle name="_IS and EBITDA Reconciliation_vr7 4" xfId="6100"/>
    <cellStyle name="_IS and EBITDA Reconciliation_vr7 4 2" xfId="6101"/>
    <cellStyle name="_IS and EBITDA Reconciliation_vr7 4 3" xfId="6102"/>
    <cellStyle name="_IS and EBITDA Reconciliation_vr7 5" xfId="6103"/>
    <cellStyle name="_ITS Sourcing General Pricing v01" xfId="162"/>
    <cellStyle name="_ITS Sourcing Pricing Model v07" xfId="163"/>
    <cellStyle name="_Labor Build Up Template v01" xfId="164"/>
    <cellStyle name="_LE_201001_SAIC_MDM_UGBU_Gantt_Final" xfId="165"/>
    <cellStyle name="_Nebraska StratPlan 2010-2014" xfId="6104"/>
    <cellStyle name="_Nebraska StratPlan 2010-2014 2" xfId="6105"/>
    <cellStyle name="_Nebraska StratPlan 2010-2014 3" xfId="6106"/>
    <cellStyle name="_NEBRASKA_Budget 2011_Bridge to 2Q FC" xfId="6107"/>
    <cellStyle name="_Network Costs" xfId="166"/>
    <cellStyle name="_NGU 2010.02.Feb.Forecast" xfId="6108"/>
    <cellStyle name="_NGU.FM.Calendar.Sept7,2010" xfId="6109"/>
    <cellStyle name="_November 2008 SLR Performance Summary" xfId="167"/>
    <cellStyle name="_Oct03_Everest_Board_Financial_Operating_Report" xfId="6110"/>
    <cellStyle name="_Oct03_Everest_Board_Financial_Operating_Report 2" xfId="6111"/>
    <cellStyle name="_Oct03_Everest_Board_Financial_Operating_Report 2 2" xfId="6112"/>
    <cellStyle name="_Oct03_Everest_Board_Financial_Operating_Report 2 3" xfId="6113"/>
    <cellStyle name="_Oct03_Everest_Board_Financial_Operating_Report 3" xfId="6114"/>
    <cellStyle name="_Oct03_Everest_Board_Financial_Operating_Report 3 2" xfId="6115"/>
    <cellStyle name="_Oct03_Everest_Board_Financial_Operating_Report 3 3" xfId="6116"/>
    <cellStyle name="_Oct03_Everest_Board_Financial_Operating_Report 4" xfId="6117"/>
    <cellStyle name="_Oct03_Everest_Board_Financial_Operating_Report 4 2" xfId="6118"/>
    <cellStyle name="_Oct03_Everest_Board_Financial_Operating_Report 4 3" xfId="6119"/>
    <cellStyle name="_Oct03_Everest_Board_Financial_Operating_Report 5" xfId="6120"/>
    <cellStyle name="_Paramount CONTRACT Cost Build Version 081206 - GETRONICS" xfId="168"/>
    <cellStyle name="_Paramount CONTRACT Cost Build Version 081206 - GETRONICS_Calpine Pricing Model v12" xfId="169"/>
    <cellStyle name="_PepsiCo Annex C-2 (Pricing Model - TRANSITION) 23 May 06_Final" xfId="170"/>
    <cellStyle name="_PI Data Center Data Collection Template 11.17.04" xfId="171"/>
    <cellStyle name="_PI Data Center Data Collection Template 11.17.04_Calpine Pricing Model v12" xfId="172"/>
    <cellStyle name="_PI Network Data Collection Template 11.16.04" xfId="173"/>
    <cellStyle name="_PI Network Data Collection Template 11.16.04_Calpine Pricing Model v12" xfId="174"/>
    <cellStyle name="_PNMR Cumulative Invoice Dollar Value Summary" xfId="175"/>
    <cellStyle name="_PNMR General Pricing v01" xfId="176"/>
    <cellStyle name="_Pricing Model to tie to SAIC 2007 FTE Submission 9-17-06" xfId="177"/>
    <cellStyle name="_Project 132 CapEx Detail 2007-2014 Budget (2)" xfId="6121"/>
    <cellStyle name="_Project 132 CapEx Detail 2007-2014 Budget (2) 2" xfId="6122"/>
    <cellStyle name="_Project 132 CapEx Detail 2007-2014 Budget (2) 2 2" xfId="6123"/>
    <cellStyle name="_Project 132 CapEx Detail 2007-2014 Budget (2) 2 3" xfId="6124"/>
    <cellStyle name="_Project 132 CapEx Detail 2007-2014 Budget (2) 3" xfId="6125"/>
    <cellStyle name="_Project 132 CapEx Detail 2007-2014 Budget (2) 3 2" xfId="6126"/>
    <cellStyle name="_Project 132 CapEx Detail 2007-2014 Budget (2) 3 3" xfId="6127"/>
    <cellStyle name="_Project 132 CapEx Detail 2007-2014 Budget (2) 4" xfId="6128"/>
    <cellStyle name="_Project 132 CapEx Detail 2007-2014 Budget (2) 4 2" xfId="6129"/>
    <cellStyle name="_Project 132 CapEx Detail 2007-2014 Budget (2) 4 3" xfId="6130"/>
    <cellStyle name="_Project 132 CapEx Detail 2007-2014 Budget (2) 5" xfId="6131"/>
    <cellStyle name="_Project 132 Capital Expenditures Detail" xfId="6132"/>
    <cellStyle name="_Project 132 Capital Expenditures Detail 2" xfId="6133"/>
    <cellStyle name="_Project 132 Capital Expenditures Detail 2 2" xfId="6134"/>
    <cellStyle name="_Project 132 Capital Expenditures Detail 2 3" xfId="6135"/>
    <cellStyle name="_Project 132 Capital Expenditures Detail 3" xfId="6136"/>
    <cellStyle name="_Project 132 Capital Expenditures Detail 3 2" xfId="6137"/>
    <cellStyle name="_Project 132 Capital Expenditures Detail 3 3" xfId="6138"/>
    <cellStyle name="_Project 132 Capital Expenditures Detail 4" xfId="6139"/>
    <cellStyle name="_Project 132 Capital Expenditures Detail 4 2" xfId="6140"/>
    <cellStyle name="_Project 132 Capital Expenditures Detail 4 3" xfId="6141"/>
    <cellStyle name="_Project 132 Capital Expenditures Detail 5" xfId="6142"/>
    <cellStyle name="_Rating Agency Analysis v2" xfId="6143"/>
    <cellStyle name="_Rating Agency Analysis v2 2" xfId="6144"/>
    <cellStyle name="_Rating Agency Analysis v2 3" xfId="6145"/>
    <cellStyle name="_Rating Agency Analysis v2 4" xfId="6146"/>
    <cellStyle name="_Rating Agency Analysis v2_BH Electric Utilities 2010 Strategic Plan" xfId="6147"/>
    <cellStyle name="_Rating Agency Analysis v2_BHCOE" xfId="6148"/>
    <cellStyle name="_Rating Agency Analysis v2_BHCOE 2" xfId="6149"/>
    <cellStyle name="_Rating Agency Analysis v2_Colo IPP" xfId="6150"/>
    <cellStyle name="_Rating Agency Analysis v2_Colo IPP 2" xfId="6151"/>
    <cellStyle name="_Rating Agency Analysis v2_Colo IPP 3" xfId="6152"/>
    <cellStyle name="_Rating Agency Analysis v2_Ops Review UIP_Metrics Gas &amp; Electric 2011" xfId="6153"/>
    <cellStyle name="_Rating Agency Analysis v2_Ops Review UIP_Metrics Gas &amp; Electric 2011 2" xfId="6154"/>
    <cellStyle name="_Rating Agency Analysis v2_Ops Review UIP_Metrics Gas &amp; Electric 2011 3" xfId="6155"/>
    <cellStyle name="_Rating Agency Analysis v2_Other Income_Expense" xfId="6156"/>
    <cellStyle name="_Rating Agency Analysis v2_Other Income_Expense 2" xfId="6157"/>
    <cellStyle name="_Rating Agency Analysis v2_Other Income_Expense_2010 Actual" xfId="6158"/>
    <cellStyle name="_Rating Agency Analysis v2_Other Income_Expense_Explanations" xfId="6159"/>
    <cellStyle name="_Rating Agency Analysis v2_Summary IS" xfId="6160"/>
    <cellStyle name="_Rating Agency Analysis v2_Summary IS 2" xfId="6161"/>
    <cellStyle name="_Rating Agency Analysis v2_Summary IS_2010 Actual" xfId="6162"/>
    <cellStyle name="_Rating Agency Analysis v2_Summary IS_Explanations" xfId="6163"/>
    <cellStyle name="_Revision III to Capital Budget 5 yr" xfId="6164"/>
    <cellStyle name="_Revision III to Capital Budget 5 yr_090810" xfId="6165"/>
    <cellStyle name="_SCSD Pricing Model v20" xfId="178"/>
    <cellStyle name="_SCSD Pricing Model_BAFO r4_BARFO gdw" xfId="179"/>
    <cellStyle name="_Semco Model 5-03-03_v2" xfId="6166"/>
    <cellStyle name="_Semco Model 5-03-03_v2 2" xfId="6167"/>
    <cellStyle name="_Semco Model 5-03-03_v2 2 2" xfId="6168"/>
    <cellStyle name="_Semco Model 5-03-03_v2 2 3" xfId="6169"/>
    <cellStyle name="_Semco Model 5-03-03_v2 3" xfId="6170"/>
    <cellStyle name="_Semco Model 5-03-03_v2 3 2" xfId="6171"/>
    <cellStyle name="_Semco Model 5-03-03_v2 3 3" xfId="6172"/>
    <cellStyle name="_Semco Model 5-03-03_v2 4" xfId="6173"/>
    <cellStyle name="_Semco Model 5-03-03_v2 4 2" xfId="6174"/>
    <cellStyle name="_Semco Model 5-03-03_v2 4 3" xfId="6175"/>
    <cellStyle name="_Semco Model 5-03-03_v2 5" xfId="6176"/>
    <cellStyle name="_Semco Model 5-03-03_v21" xfId="6177"/>
    <cellStyle name="_Semco Model 5-03-03_v21 2" xfId="6178"/>
    <cellStyle name="_Semco Model 5-03-03_v21 2 2" xfId="6179"/>
    <cellStyle name="_Semco Model 5-03-03_v21 2 3" xfId="6180"/>
    <cellStyle name="_Semco Model 5-03-03_v21 3" xfId="6181"/>
    <cellStyle name="_Semco Model 5-03-03_v21 3 2" xfId="6182"/>
    <cellStyle name="_Semco Model 5-03-03_v21 3 3" xfId="6183"/>
    <cellStyle name="_Semco Model 5-03-03_v21 4" xfId="6184"/>
    <cellStyle name="_Semco Model 5-03-03_v21 4 2" xfId="6185"/>
    <cellStyle name="_Semco Model 5-03-03_v21 4 3" xfId="6186"/>
    <cellStyle name="_Semco Model 5-03-03_v21 5" xfId="6187"/>
    <cellStyle name="_Semco Model 7-21-03" xfId="6188"/>
    <cellStyle name="_Semco Model 7-21-03 2" xfId="6189"/>
    <cellStyle name="_Semco Model 7-21-03 3" xfId="6190"/>
    <cellStyle name="_Semco Model 7-21-03 4" xfId="6191"/>
    <cellStyle name="_Semco Model 7-21-03_BH Electric Utilities 2010 Strategic Plan" xfId="6192"/>
    <cellStyle name="_Semco Model 7-21-03_BHCOE" xfId="6193"/>
    <cellStyle name="_Semco Model 7-21-03_BHCOE 2" xfId="6194"/>
    <cellStyle name="_Semco Model 7-21-03_Colo IPP" xfId="6195"/>
    <cellStyle name="_Semco Model 7-21-03_Colo IPP 2" xfId="6196"/>
    <cellStyle name="_Semco Model 7-21-03_Colo IPP 3" xfId="6197"/>
    <cellStyle name="_Semco Model 7-21-03_Ops Review UIP_Metrics Gas &amp; Electric 2011" xfId="6198"/>
    <cellStyle name="_Semco Model 7-21-03_Ops Review UIP_Metrics Gas &amp; Electric 2011 2" xfId="6199"/>
    <cellStyle name="_Semco Model 7-21-03_Ops Review UIP_Metrics Gas &amp; Electric 2011 3" xfId="6200"/>
    <cellStyle name="_Semco Model 7-21-03_Other Income_Expense" xfId="6201"/>
    <cellStyle name="_Semco Model 7-21-03_Other Income_Expense 2" xfId="6202"/>
    <cellStyle name="_Semco Model 7-21-03_Other Income_Expense_2010 Actual" xfId="6203"/>
    <cellStyle name="_Semco Model 7-21-03_Other Income_Expense_Explanations" xfId="6204"/>
    <cellStyle name="_Semco Model 7-21-03_Summary IS" xfId="6205"/>
    <cellStyle name="_Semco Model 7-21-03_Summary IS 2" xfId="6206"/>
    <cellStyle name="_Semco Model 7-21-03_Summary IS_2010 Actual" xfId="6207"/>
    <cellStyle name="_Semco Model 7-21-03_Summary IS_Explanations" xfId="6208"/>
    <cellStyle name="_Semco Model 8-11-03" xfId="6209"/>
    <cellStyle name="_Semco Model 8-11-03 2" xfId="6210"/>
    <cellStyle name="_Semco Model 8-11-03 2 2" xfId="6211"/>
    <cellStyle name="_Semco Model 8-11-03 2 3" xfId="6212"/>
    <cellStyle name="_Semco Model 8-11-03 3" xfId="6213"/>
    <cellStyle name="_Semco Model 8-11-03 3 2" xfId="6214"/>
    <cellStyle name="_Semco Model 8-11-03 3 3" xfId="6215"/>
    <cellStyle name="_Semco Model 8-11-03 4" xfId="6216"/>
    <cellStyle name="_Semco Model 8-11-03 4 2" xfId="6217"/>
    <cellStyle name="_Semco Model 8-11-03 4 3" xfId="6218"/>
    <cellStyle name="_Semco Model 8-11-03 5" xfId="6219"/>
    <cellStyle name="_Site Data" xfId="180"/>
    <cellStyle name="_SpreadSM" xfId="6220"/>
    <cellStyle name="_SpreadSM 2" xfId="6221"/>
    <cellStyle name="_SpreadSM 2 2" xfId="6222"/>
    <cellStyle name="_SpreadSM 2 3" xfId="6223"/>
    <cellStyle name="_SpreadSM 3" xfId="6224"/>
    <cellStyle name="_SpreadSM 3 2" xfId="6225"/>
    <cellStyle name="_SpreadSM 3 3" xfId="6226"/>
    <cellStyle name="_SpreadSM 4" xfId="6227"/>
    <cellStyle name="_SpreadSM 4 2" xfId="6228"/>
    <cellStyle name="_SpreadSM 4 3" xfId="6229"/>
    <cellStyle name="_SpreadSM 5" xfId="6230"/>
    <cellStyle name="_Summary" xfId="181"/>
    <cellStyle name="_TDSP-Network Hardware Estimates_v01 (12)sdm" xfId="182"/>
    <cellStyle name="_WACC DLJ" xfId="6231"/>
    <cellStyle name="_WACC DLJ 2" xfId="6232"/>
    <cellStyle name="_WACC DLJ 2 2" xfId="6233"/>
    <cellStyle name="_WACC DLJ 3" xfId="6234"/>
    <cellStyle name="_WACC DLJ 3 2" xfId="6235"/>
    <cellStyle name="_WACC DLJ 4" xfId="6236"/>
    <cellStyle name="_WACC DLJ 4 2" xfId="6237"/>
    <cellStyle name="_WACC DLJ_2011 Budget 11 16 10 June30Issuance" xfId="6238"/>
    <cellStyle name="_WACC DLJ_2011 Budget 11 16 10 June30Issuance 2" xfId="6239"/>
    <cellStyle name="_WACC DLJ_2011 Budget 11 16 10 June30Issuance 3" xfId="6240"/>
    <cellStyle name="_WACC DLJ_BH Electric Utilities 2010 Strategic Plan" xfId="6241"/>
    <cellStyle name="_WACC DLJ_BH Electric Utilities 2010 Strategic Plan 2" xfId="6242"/>
    <cellStyle name="_WACC DLJ_BHCOE" xfId="6243"/>
    <cellStyle name="_WACC DLJ_BHCOE 2" xfId="6244"/>
    <cellStyle name="_WACC DLJ_BHCOG.2010.09.Sep.NewEXEC" xfId="6245"/>
    <cellStyle name="_WACC DLJ_BHCOG.2010.09.Sep.NewEXEC_BHCOG 2010 12 Dec NewEXEC" xfId="6246"/>
    <cellStyle name="_WACC DLJ_BHCOG.2010.09.Sep.NewEXEC_BHCOG 2011 03 March NewEXEC (4)" xfId="6247"/>
    <cellStyle name="_WACC DLJ_BHCOG.2010.09.Sep.NewEXEC_BHCOG 2011 03 March NewEXEC (5)" xfId="6248"/>
    <cellStyle name="_WACC DLJ_BHCOG.2010.09.Sep.NewEXEC_BHKSG.2010.12.Dec.NewEXEC" xfId="6249"/>
    <cellStyle name="_WACC DLJ_BHCOG.2010.09.Sep.NewEXEC_BHKSG.2011.01.Jan.NewEXEC" xfId="6250"/>
    <cellStyle name="_WACC DLJ_BHCOG.2010.09.Sep.NewEXEC_BHKSG.2011.02.Feb.NewEXEC" xfId="6251"/>
    <cellStyle name="_WACC DLJ_BHCOG.2010.09.Sep.NewEXEC_BHNEG.2010.12.Dec.NewEXEC" xfId="6252"/>
    <cellStyle name="_WACC DLJ_BHCOG.2010.09.Sep.NewEXEC_Capex for ExecSummary" xfId="6253"/>
    <cellStyle name="_WACC DLJ_BHCOG.2010.09.Sep.NewEXEC_Exec Sum PY2010" xfId="6254"/>
    <cellStyle name="_WACC DLJ_Book4 (2)" xfId="6255"/>
    <cellStyle name="_WACC DLJ_Colo IPP" xfId="6256"/>
    <cellStyle name="_WACC DLJ_Other Income_Expense" xfId="6257"/>
    <cellStyle name="_WACC DLJ_Other Income_Expense 2" xfId="6258"/>
    <cellStyle name="_WACC DLJ_Other Income_Expense_2010 Actual" xfId="6259"/>
    <cellStyle name="_WACC DLJ_Other Income_Expense_Explanations" xfId="6260"/>
    <cellStyle name="_WACC DLJ_Summary IS" xfId="6261"/>
    <cellStyle name="_WACC DLJ_Summary IS 2" xfId="6262"/>
    <cellStyle name="_WACC DLJ_Summary IS_2010 Actual" xfId="6263"/>
    <cellStyle name="_WACC DLJ_Summary IS_Explanations" xfId="6264"/>
    <cellStyle name="¨_x000c_ LŒB" xfId="183"/>
    <cellStyle name="£ BP" xfId="6265"/>
    <cellStyle name="£ BP 2" xfId="6266"/>
    <cellStyle name="£ BP 3" xfId="6267"/>
    <cellStyle name="£ BP 4" xfId="6268"/>
    <cellStyle name="¥ JY" xfId="6269"/>
    <cellStyle name="¥ JY 2" xfId="6270"/>
    <cellStyle name="¥ JY 3" xfId="6271"/>
    <cellStyle name="¥ JY 4" xfId="6272"/>
    <cellStyle name="=C:\WINNT35\SYSTEM32\COMMAND.COM" xfId="6273"/>
    <cellStyle name="=C:\WINNT35\SYSTEM32\COMMAND.COM 2" xfId="6274"/>
    <cellStyle name="=C:\WINNT35\SYSTEM32\COMMAND.COM 3" xfId="6275"/>
    <cellStyle name="=C:\WINNT35\SYSTEM32\COMMAND.COM 4" xfId="6276"/>
    <cellStyle name="=C:\WINNT35\SYSTEM32\COMMAND.COM 5" xfId="6277"/>
    <cellStyle name="=C:\WINNT35\SYSTEM32\COMMAND.COM_BH Electric Utilities 2010 Strategic Plan" xfId="6278"/>
    <cellStyle name="•W€_GE 3 MINIMUM" xfId="6279"/>
    <cellStyle name="•W_GE 3 MINIMUM" xfId="6280"/>
    <cellStyle name="0" xfId="6281"/>
    <cellStyle name="0 2" xfId="6282"/>
    <cellStyle name="0 3" xfId="6283"/>
    <cellStyle name="0 4" xfId="6284"/>
    <cellStyle name="0,0_x000d__x000a_NA_x000d__x000a_" xfId="184"/>
    <cellStyle name="0_BH Electric Utilities 2010 Strategic Plan" xfId="6285"/>
    <cellStyle name="0_BHCOE" xfId="6286"/>
    <cellStyle name="0_BHCOE 2" xfId="6287"/>
    <cellStyle name="0_Colo IPP" xfId="6288"/>
    <cellStyle name="0_Colo IPP 2" xfId="6289"/>
    <cellStyle name="0_Colo IPP 3" xfId="6290"/>
    <cellStyle name="0_Ops Review UIP_Metrics Gas &amp; Electric 2011" xfId="6291"/>
    <cellStyle name="0_Ops Review UIP_Metrics Gas &amp; Electric 2011 2" xfId="6292"/>
    <cellStyle name="0_Ops Review UIP_Metrics Gas &amp; Electric 2011 3" xfId="6293"/>
    <cellStyle name="0_Other Income_Expense" xfId="6294"/>
    <cellStyle name="0_Other Income_Expense 2" xfId="6295"/>
    <cellStyle name="0_Other Income_Expense_2010 Actual" xfId="6296"/>
    <cellStyle name="0_Other Income_Expense_Explanations" xfId="6297"/>
    <cellStyle name="0_Summary IS" xfId="6298"/>
    <cellStyle name="0_Summary IS 2" xfId="6299"/>
    <cellStyle name="0_Summary IS_2010 Actual" xfId="6300"/>
    <cellStyle name="0_Summary IS_Explanations" xfId="6301"/>
    <cellStyle name="1" xfId="110"/>
    <cellStyle name="1-Black-Formula on Sheet" xfId="6302"/>
    <cellStyle name="2" xfId="111"/>
    <cellStyle name="20% - Accent1" xfId="139" builtinId="30"/>
    <cellStyle name="20% - Accent1 10" xfId="6303"/>
    <cellStyle name="20% - Accent1 10 2" xfId="6304"/>
    <cellStyle name="20% - Accent1 10 2 2" xfId="6305"/>
    <cellStyle name="20% - Accent1 10 2_4Q Ops Metrics Gas &amp; Electric 2010" xfId="6306"/>
    <cellStyle name="20% - Accent1 10 3" xfId="6307"/>
    <cellStyle name="20% - Accent1 10 3 2" xfId="6308"/>
    <cellStyle name="20% - Accent1 10 3_4Q Ops Metrics Gas &amp; Electric 2010" xfId="6309"/>
    <cellStyle name="20% - Accent1 10 4" xfId="6310"/>
    <cellStyle name="20% - Accent1 10 4 2" xfId="6311"/>
    <cellStyle name="20% - Accent1 10 4_4Q Ops Metrics Gas &amp; Electric 2010" xfId="6312"/>
    <cellStyle name="20% - Accent1 10 5" xfId="6313"/>
    <cellStyle name="20% - Accent1 10 5 2" xfId="6314"/>
    <cellStyle name="20% - Accent1 10 5 3" xfId="6315"/>
    <cellStyle name="20% - Accent1 10 5 4" xfId="6316"/>
    <cellStyle name="20% - Accent1 10 5 5" xfId="6317"/>
    <cellStyle name="20% - Accent1 10 5_4Q Ops Metrics Gas &amp; Electric 2010" xfId="6318"/>
    <cellStyle name="20% - Accent1 10 6" xfId="6319"/>
    <cellStyle name="20% - Accent1 10 6 2" xfId="6320"/>
    <cellStyle name="20% - Accent1 10 7" xfId="6321"/>
    <cellStyle name="20% - Accent1 10 7 2" xfId="6322"/>
    <cellStyle name="20% - Accent1 10_2009 Actual" xfId="6323"/>
    <cellStyle name="20% - Accent1 100" xfId="6324"/>
    <cellStyle name="20% - Accent1 100 2" xfId="6325"/>
    <cellStyle name="20% - Accent1 101" xfId="6326"/>
    <cellStyle name="20% - Accent1 101 2" xfId="6327"/>
    <cellStyle name="20% - Accent1 102" xfId="6328"/>
    <cellStyle name="20% - Accent1 102 2" xfId="6329"/>
    <cellStyle name="20% - Accent1 103" xfId="6330"/>
    <cellStyle name="20% - Accent1 103 2" xfId="6331"/>
    <cellStyle name="20% - Accent1 104" xfId="6332"/>
    <cellStyle name="20% - Accent1 104 2" xfId="6333"/>
    <cellStyle name="20% - Accent1 105" xfId="6334"/>
    <cellStyle name="20% - Accent1 105 2" xfId="6335"/>
    <cellStyle name="20% - Accent1 106" xfId="6336"/>
    <cellStyle name="20% - Accent1 107" xfId="6337"/>
    <cellStyle name="20% - Accent1 108" xfId="6338"/>
    <cellStyle name="20% - Accent1 109" xfId="6339"/>
    <cellStyle name="20% - Accent1 11" xfId="6340"/>
    <cellStyle name="20% - Accent1 11 2" xfId="6341"/>
    <cellStyle name="20% - Accent1 11 2 2" xfId="6342"/>
    <cellStyle name="20% - Accent1 11 2_4Q Ops Metrics Gas &amp; Electric 2010" xfId="6343"/>
    <cellStyle name="20% - Accent1 11 3" xfId="6344"/>
    <cellStyle name="20% - Accent1 11 3 2" xfId="6345"/>
    <cellStyle name="20% - Accent1 11 3_4Q Ops Metrics Gas &amp; Electric 2010" xfId="6346"/>
    <cellStyle name="20% - Accent1 11 4" xfId="6347"/>
    <cellStyle name="20% - Accent1 11 4 2" xfId="6348"/>
    <cellStyle name="20% - Accent1 11 4_4Q Ops Metrics Gas &amp; Electric 2010" xfId="6349"/>
    <cellStyle name="20% - Accent1 11 5" xfId="6350"/>
    <cellStyle name="20% - Accent1 11 5 2" xfId="6351"/>
    <cellStyle name="20% - Accent1 11 5 3" xfId="6352"/>
    <cellStyle name="20% - Accent1 11 5 4" xfId="6353"/>
    <cellStyle name="20% - Accent1 11 5 5" xfId="6354"/>
    <cellStyle name="20% - Accent1 11 5_4Q Ops Metrics Gas &amp; Electric 2010" xfId="6355"/>
    <cellStyle name="20% - Accent1 11 6" xfId="6356"/>
    <cellStyle name="20% - Accent1 11 6 2" xfId="6357"/>
    <cellStyle name="20% - Accent1 11 7" xfId="6358"/>
    <cellStyle name="20% - Accent1 11 7 2" xfId="6359"/>
    <cellStyle name="20% - Accent1 11_2009 Actual" xfId="6360"/>
    <cellStyle name="20% - Accent1 110" xfId="6361"/>
    <cellStyle name="20% - Accent1 111" xfId="6362"/>
    <cellStyle name="20% - Accent1 112" xfId="6363"/>
    <cellStyle name="20% - Accent1 113" xfId="6364"/>
    <cellStyle name="20% - Accent1 114" xfId="6365"/>
    <cellStyle name="20% - Accent1 115" xfId="6366"/>
    <cellStyle name="20% - Accent1 116" xfId="6367"/>
    <cellStyle name="20% - Accent1 117" xfId="6368"/>
    <cellStyle name="20% - Accent1 118" xfId="6369"/>
    <cellStyle name="20% - Accent1 119" xfId="6370"/>
    <cellStyle name="20% - Accent1 12" xfId="6371"/>
    <cellStyle name="20% - Accent1 12 10" xfId="6372"/>
    <cellStyle name="20% - Accent1 12 11" xfId="6373"/>
    <cellStyle name="20% - Accent1 12 2" xfId="6374"/>
    <cellStyle name="20% - Accent1 12 2 2" xfId="6375"/>
    <cellStyle name="20% - Accent1 12 2 2 2" xfId="6376"/>
    <cellStyle name="20% - Accent1 12 2 2 3" xfId="6377"/>
    <cellStyle name="20% - Accent1 12 2 2 4" xfId="6378"/>
    <cellStyle name="20% - Accent1 12 2 2_4Q Ops Metrics Gas &amp; Electric 2010" xfId="6379"/>
    <cellStyle name="20% - Accent1 12 2 3" xfId="6380"/>
    <cellStyle name="20% - Accent1 12 2 4" xfId="6381"/>
    <cellStyle name="20% - Accent1 12 2_2010 Actual" xfId="6382"/>
    <cellStyle name="20% - Accent1 12 3" xfId="6383"/>
    <cellStyle name="20% - Accent1 12 3 2" xfId="6384"/>
    <cellStyle name="20% - Accent1 12 3 2 2" xfId="6385"/>
    <cellStyle name="20% - Accent1 12 3 2 3" xfId="6386"/>
    <cellStyle name="20% - Accent1 12 3 2 4" xfId="6387"/>
    <cellStyle name="20% - Accent1 12 3 2_4Q Ops Metrics Gas &amp; Electric 2010" xfId="6388"/>
    <cellStyle name="20% - Accent1 12 3 3" xfId="6389"/>
    <cellStyle name="20% - Accent1 12 3 4" xfId="6390"/>
    <cellStyle name="20% - Accent1 12 3_2010 Actual" xfId="6391"/>
    <cellStyle name="20% - Accent1 12 4" xfId="6392"/>
    <cellStyle name="20% - Accent1 12 4 2" xfId="6393"/>
    <cellStyle name="20% - Accent1 12 4 2 2" xfId="6394"/>
    <cellStyle name="20% - Accent1 12 4 2 3" xfId="6395"/>
    <cellStyle name="20% - Accent1 12 4 2 4" xfId="6396"/>
    <cellStyle name="20% - Accent1 12 4 2_4Q Ops Metrics Gas &amp; Electric 2010" xfId="6397"/>
    <cellStyle name="20% - Accent1 12 4 3" xfId="6398"/>
    <cellStyle name="20% - Accent1 12 4 4" xfId="6399"/>
    <cellStyle name="20% - Accent1 12 4_2010 Actual" xfId="6400"/>
    <cellStyle name="20% - Accent1 12 5" xfId="6401"/>
    <cellStyle name="20% - Accent1 12 5 2" xfId="6402"/>
    <cellStyle name="20% - Accent1 12 5 3" xfId="6403"/>
    <cellStyle name="20% - Accent1 12 5 4" xfId="6404"/>
    <cellStyle name="20% - Accent1 12 5_2010 Actual" xfId="6405"/>
    <cellStyle name="20% - Accent1 12 6" xfId="6406"/>
    <cellStyle name="20% - Accent1 12 6 2" xfId="6407"/>
    <cellStyle name="20% - Accent1 12 6 3" xfId="6408"/>
    <cellStyle name="20% - Accent1 12 6 4" xfId="6409"/>
    <cellStyle name="20% - Accent1 12 6_BHP" xfId="6410"/>
    <cellStyle name="20% - Accent1 12 7" xfId="6411"/>
    <cellStyle name="20% - Accent1 12 8" xfId="6412"/>
    <cellStyle name="20% - Accent1 12 9" xfId="6413"/>
    <cellStyle name="20% - Accent1 12_2009 Actual" xfId="6414"/>
    <cellStyle name="20% - Accent1 120" xfId="6415"/>
    <cellStyle name="20% - Accent1 121" xfId="6416"/>
    <cellStyle name="20% - Accent1 122" xfId="6417"/>
    <cellStyle name="20% - Accent1 123" xfId="6418"/>
    <cellStyle name="20% - Accent1 124" xfId="6419"/>
    <cellStyle name="20% - Accent1 125" xfId="6420"/>
    <cellStyle name="20% - Accent1 126" xfId="6421"/>
    <cellStyle name="20% - Accent1 127" xfId="6422"/>
    <cellStyle name="20% - Accent1 13" xfId="6423"/>
    <cellStyle name="20% - Accent1 13 2" xfId="6424"/>
    <cellStyle name="20% - Accent1 13 2 2" xfId="6425"/>
    <cellStyle name="20% - Accent1 13 2 2 2" xfId="6426"/>
    <cellStyle name="20% - Accent1 13 2 2 3" xfId="6427"/>
    <cellStyle name="20% - Accent1 13 2 2 4" xfId="6428"/>
    <cellStyle name="20% - Accent1 13 2 2_4Q Ops Metrics Gas &amp; Electric 2010" xfId="6429"/>
    <cellStyle name="20% - Accent1 13 2 3" xfId="6430"/>
    <cellStyle name="20% - Accent1 13 2 4" xfId="6431"/>
    <cellStyle name="20% - Accent1 13 2_4Q Ops Metrics Gas &amp; Electric 2010" xfId="6432"/>
    <cellStyle name="20% - Accent1 13 3" xfId="6433"/>
    <cellStyle name="20% - Accent1 13 3 2" xfId="6434"/>
    <cellStyle name="20% - Accent1 13 3 2 2" xfId="6435"/>
    <cellStyle name="20% - Accent1 13 3 2 3" xfId="6436"/>
    <cellStyle name="20% - Accent1 13 3 2 4" xfId="6437"/>
    <cellStyle name="20% - Accent1 13 3 2_4Q Ops Metrics Gas &amp; Electric 2010" xfId="6438"/>
    <cellStyle name="20% - Accent1 13 3 3" xfId="6439"/>
    <cellStyle name="20% - Accent1 13 3 4" xfId="6440"/>
    <cellStyle name="20% - Accent1 13 3_4Q Ops Metrics Gas &amp; Electric 2010" xfId="6441"/>
    <cellStyle name="20% - Accent1 13 4" xfId="6442"/>
    <cellStyle name="20% - Accent1 13 4 2" xfId="6443"/>
    <cellStyle name="20% - Accent1 13 4 2 2" xfId="6444"/>
    <cellStyle name="20% - Accent1 13 4 2 3" xfId="6445"/>
    <cellStyle name="20% - Accent1 13 4 2 4" xfId="6446"/>
    <cellStyle name="20% - Accent1 13 4 2_4Q Ops Metrics Gas &amp; Electric 2010" xfId="6447"/>
    <cellStyle name="20% - Accent1 13 4 3" xfId="6448"/>
    <cellStyle name="20% - Accent1 13 4 4" xfId="6449"/>
    <cellStyle name="20% - Accent1 13 4_4Q Ops Metrics Gas &amp; Electric 2010" xfId="6450"/>
    <cellStyle name="20% - Accent1 13 5" xfId="6451"/>
    <cellStyle name="20% - Accent1 13 5 2" xfId="6452"/>
    <cellStyle name="20% - Accent1 13 5 3" xfId="6453"/>
    <cellStyle name="20% - Accent1 13 5 4" xfId="6454"/>
    <cellStyle name="20% - Accent1 13 5_4Q Ops Metrics Gas &amp; Electric 2010" xfId="6455"/>
    <cellStyle name="20% - Accent1 13 6" xfId="6456"/>
    <cellStyle name="20% - Accent1 13 7" xfId="6457"/>
    <cellStyle name="20% - Accent1 13_2009 Actual" xfId="6458"/>
    <cellStyle name="20% - Accent1 14" xfId="6459"/>
    <cellStyle name="20% - Accent1 14 2" xfId="6460"/>
    <cellStyle name="20% - Accent1 14 2 2" xfId="6461"/>
    <cellStyle name="20% - Accent1 14 2 2 2" xfId="6462"/>
    <cellStyle name="20% - Accent1 14 2 2 3" xfId="6463"/>
    <cellStyle name="20% - Accent1 14 2 2 4" xfId="6464"/>
    <cellStyle name="20% - Accent1 14 2 2_4Q Ops Metrics Gas &amp; Electric 2010" xfId="6465"/>
    <cellStyle name="20% - Accent1 14 2 3" xfId="6466"/>
    <cellStyle name="20% - Accent1 14 2 4" xfId="6467"/>
    <cellStyle name="20% - Accent1 14 2_4Q Ops Metrics Gas &amp; Electric 2010" xfId="6468"/>
    <cellStyle name="20% - Accent1 14 3" xfId="6469"/>
    <cellStyle name="20% - Accent1 14 3 2" xfId="6470"/>
    <cellStyle name="20% - Accent1 14 3 2 2" xfId="6471"/>
    <cellStyle name="20% - Accent1 14 3 2 3" xfId="6472"/>
    <cellStyle name="20% - Accent1 14 3 2 4" xfId="6473"/>
    <cellStyle name="20% - Accent1 14 3 2_4Q Ops Metrics Gas &amp; Electric 2010" xfId="6474"/>
    <cellStyle name="20% - Accent1 14 3 3" xfId="6475"/>
    <cellStyle name="20% - Accent1 14 3 4" xfId="6476"/>
    <cellStyle name="20% - Accent1 14 3_4Q Ops Metrics Gas &amp; Electric 2010" xfId="6477"/>
    <cellStyle name="20% - Accent1 14 4" xfId="6478"/>
    <cellStyle name="20% - Accent1 14 4 2" xfId="6479"/>
    <cellStyle name="20% - Accent1 14 4 2 2" xfId="6480"/>
    <cellStyle name="20% - Accent1 14 4 2 3" xfId="6481"/>
    <cellStyle name="20% - Accent1 14 4 2 4" xfId="6482"/>
    <cellStyle name="20% - Accent1 14 4 2_4Q Ops Metrics Gas &amp; Electric 2010" xfId="6483"/>
    <cellStyle name="20% - Accent1 14 4 3" xfId="6484"/>
    <cellStyle name="20% - Accent1 14 4 4" xfId="6485"/>
    <cellStyle name="20% - Accent1 14 4_4Q Ops Metrics Gas &amp; Electric 2010" xfId="6486"/>
    <cellStyle name="20% - Accent1 14 5" xfId="6487"/>
    <cellStyle name="20% - Accent1 14 5 2" xfId="6488"/>
    <cellStyle name="20% - Accent1 14 5 3" xfId="6489"/>
    <cellStyle name="20% - Accent1 14 5 4" xfId="6490"/>
    <cellStyle name="20% - Accent1 14 5_4Q Ops Metrics Gas &amp; Electric 2010" xfId="6491"/>
    <cellStyle name="20% - Accent1 14 6" xfId="6492"/>
    <cellStyle name="20% - Accent1 14 7" xfId="6493"/>
    <cellStyle name="20% - Accent1 14_2009 Actual" xfId="6494"/>
    <cellStyle name="20% - Accent1 15" xfId="6495"/>
    <cellStyle name="20% - Accent1 15 2" xfId="6496"/>
    <cellStyle name="20% - Accent1 15 2 2" xfId="6497"/>
    <cellStyle name="20% - Accent1 15 2 3" xfId="6498"/>
    <cellStyle name="20% - Accent1 15 2 4" xfId="6499"/>
    <cellStyle name="20% - Accent1 15 2 5" xfId="6500"/>
    <cellStyle name="20% - Accent1 15 2_4Q Ops Metrics Gas &amp; Electric 2010" xfId="6501"/>
    <cellStyle name="20% - Accent1 15 3" xfId="6502"/>
    <cellStyle name="20% - Accent1 15 3 2" xfId="6503"/>
    <cellStyle name="20% - Accent1 15 4" xfId="6504"/>
    <cellStyle name="20% - Accent1 15 4 2" xfId="6505"/>
    <cellStyle name="20% - Accent1 15 5" xfId="6506"/>
    <cellStyle name="20% - Accent1 15 6" xfId="6507"/>
    <cellStyle name="20% - Accent1 15_4Q Ops Metrics Gas &amp; Electric 2010" xfId="6508"/>
    <cellStyle name="20% - Accent1 16" xfId="6509"/>
    <cellStyle name="20% - Accent1 16 2" xfId="6510"/>
    <cellStyle name="20% - Accent1 16 3" xfId="6511"/>
    <cellStyle name="20% - Accent1 17" xfId="6512"/>
    <cellStyle name="20% - Accent1 17 2" xfId="6513"/>
    <cellStyle name="20% - Accent1 17 3" xfId="6514"/>
    <cellStyle name="20% - Accent1 18" xfId="6515"/>
    <cellStyle name="20% - Accent1 18 2" xfId="6516"/>
    <cellStyle name="20% - Accent1 18 3" xfId="6517"/>
    <cellStyle name="20% - Accent1 19" xfId="6518"/>
    <cellStyle name="20% - Accent1 19 2" xfId="6519"/>
    <cellStyle name="20% - Accent1 19 3" xfId="6520"/>
    <cellStyle name="20% - Accent1 19 4" xfId="6521"/>
    <cellStyle name="20% - Accent1 19_2010 Actual" xfId="6522"/>
    <cellStyle name="20% - Accent1 2" xfId="42"/>
    <cellStyle name="20% - Accent1 2 10" xfId="6523"/>
    <cellStyle name="20% - Accent1 2 10 2" xfId="6524"/>
    <cellStyle name="20% - Accent1 2 10 2 2" xfId="6525"/>
    <cellStyle name="20% - Accent1 2 10 3" xfId="6526"/>
    <cellStyle name="20% - Accent1 2 10 4" xfId="6527"/>
    <cellStyle name="20% - Accent1 2 10 5" xfId="6528"/>
    <cellStyle name="20% - Accent1 2 10 5 2" xfId="6529"/>
    <cellStyle name="20% - Accent1 2 10_2010 Actual" xfId="6530"/>
    <cellStyle name="20% - Accent1 2 100" xfId="6531"/>
    <cellStyle name="20% - Accent1 2 100 2" xfId="6532"/>
    <cellStyle name="20% - Accent1 2 100 2 2" xfId="6533"/>
    <cellStyle name="20% - Accent1 2 100 3" xfId="6534"/>
    <cellStyle name="20% - Accent1 2 100 4" xfId="6535"/>
    <cellStyle name="20% - Accent1 2 101" xfId="6536"/>
    <cellStyle name="20% - Accent1 2 101 2" xfId="6537"/>
    <cellStyle name="20% - Accent1 2 101 2 2" xfId="6538"/>
    <cellStyle name="20% - Accent1 2 101 3" xfId="6539"/>
    <cellStyle name="20% - Accent1 2 101 4" xfId="6540"/>
    <cellStyle name="20% - Accent1 2 102" xfId="6541"/>
    <cellStyle name="20% - Accent1 2 102 2" xfId="6542"/>
    <cellStyle name="20% - Accent1 2 102 2 2" xfId="6543"/>
    <cellStyle name="20% - Accent1 2 102 3" xfId="6544"/>
    <cellStyle name="20% - Accent1 2 102 4" xfId="6545"/>
    <cellStyle name="20% - Accent1 2 103" xfId="6546"/>
    <cellStyle name="20% - Accent1 2 103 2" xfId="6547"/>
    <cellStyle name="20% - Accent1 2 103 2 2" xfId="6548"/>
    <cellStyle name="20% - Accent1 2 103 3" xfId="6549"/>
    <cellStyle name="20% - Accent1 2 103 4" xfId="6550"/>
    <cellStyle name="20% - Accent1 2 104" xfId="6551"/>
    <cellStyle name="20% - Accent1 2 104 2" xfId="6552"/>
    <cellStyle name="20% - Accent1 2 104 2 2" xfId="6553"/>
    <cellStyle name="20% - Accent1 2 104 3" xfId="6554"/>
    <cellStyle name="20% - Accent1 2 104 4" xfId="6555"/>
    <cellStyle name="20% - Accent1 2 105" xfId="6556"/>
    <cellStyle name="20% - Accent1 2 105 2" xfId="6557"/>
    <cellStyle name="20% - Accent1 2 105 2 2" xfId="6558"/>
    <cellStyle name="20% - Accent1 2 105 3" xfId="6559"/>
    <cellStyle name="20% - Accent1 2 105 4" xfId="6560"/>
    <cellStyle name="20% - Accent1 2 106" xfId="6561"/>
    <cellStyle name="20% - Accent1 2 106 2" xfId="6562"/>
    <cellStyle name="20% - Accent1 2 106 2 2" xfId="6563"/>
    <cellStyle name="20% - Accent1 2 106 3" xfId="6564"/>
    <cellStyle name="20% - Accent1 2 106 4" xfId="6565"/>
    <cellStyle name="20% - Accent1 2 107" xfId="6566"/>
    <cellStyle name="20% - Accent1 2 107 2" xfId="6567"/>
    <cellStyle name="20% - Accent1 2 107 2 2" xfId="6568"/>
    <cellStyle name="20% - Accent1 2 107 3" xfId="6569"/>
    <cellStyle name="20% - Accent1 2 107 4" xfId="6570"/>
    <cellStyle name="20% - Accent1 2 108" xfId="6571"/>
    <cellStyle name="20% - Accent1 2 108 2" xfId="6572"/>
    <cellStyle name="20% - Accent1 2 108 2 2" xfId="6573"/>
    <cellStyle name="20% - Accent1 2 108 3" xfId="6574"/>
    <cellStyle name="20% - Accent1 2 108 4" xfId="6575"/>
    <cellStyle name="20% - Accent1 2 109" xfId="6576"/>
    <cellStyle name="20% - Accent1 2 109 2" xfId="6577"/>
    <cellStyle name="20% - Accent1 2 109 2 2" xfId="6578"/>
    <cellStyle name="20% - Accent1 2 109 3" xfId="6579"/>
    <cellStyle name="20% - Accent1 2 109 4" xfId="6580"/>
    <cellStyle name="20% - Accent1 2 11" xfId="6581"/>
    <cellStyle name="20% - Accent1 2 11 2" xfId="6582"/>
    <cellStyle name="20% - Accent1 2 11 2 2" xfId="6583"/>
    <cellStyle name="20% - Accent1 2 11 3" xfId="6584"/>
    <cellStyle name="20% - Accent1 2 11_4Q Ops Metrics Gas &amp; Electric 2010" xfId="6585"/>
    <cellStyle name="20% - Accent1 2 110" xfId="6586"/>
    <cellStyle name="20% - Accent1 2 110 2" xfId="6587"/>
    <cellStyle name="20% - Accent1 2 110 2 2" xfId="6588"/>
    <cellStyle name="20% - Accent1 2 110 3" xfId="6589"/>
    <cellStyle name="20% - Accent1 2 110 4" xfId="6590"/>
    <cellStyle name="20% - Accent1 2 111" xfId="6591"/>
    <cellStyle name="20% - Accent1 2 111 2" xfId="6592"/>
    <cellStyle name="20% - Accent1 2 111 2 2" xfId="6593"/>
    <cellStyle name="20% - Accent1 2 111 3" xfId="6594"/>
    <cellStyle name="20% - Accent1 2 111 4" xfId="6595"/>
    <cellStyle name="20% - Accent1 2 112" xfId="6596"/>
    <cellStyle name="20% - Accent1 2 112 2" xfId="6597"/>
    <cellStyle name="20% - Accent1 2 112 2 2" xfId="6598"/>
    <cellStyle name="20% - Accent1 2 112 3" xfId="6599"/>
    <cellStyle name="20% - Accent1 2 112 4" xfId="6600"/>
    <cellStyle name="20% - Accent1 2 113" xfId="6601"/>
    <cellStyle name="20% - Accent1 2 113 2" xfId="6602"/>
    <cellStyle name="20% - Accent1 2 113 2 2" xfId="6603"/>
    <cellStyle name="20% - Accent1 2 113 3" xfId="6604"/>
    <cellStyle name="20% - Accent1 2 113 4" xfId="6605"/>
    <cellStyle name="20% - Accent1 2 114" xfId="6606"/>
    <cellStyle name="20% - Accent1 2 114 2" xfId="6607"/>
    <cellStyle name="20% - Accent1 2 114 2 2" xfId="6608"/>
    <cellStyle name="20% - Accent1 2 114 3" xfId="6609"/>
    <cellStyle name="20% - Accent1 2 114 4" xfId="6610"/>
    <cellStyle name="20% - Accent1 2 115" xfId="6611"/>
    <cellStyle name="20% - Accent1 2 115 2" xfId="6612"/>
    <cellStyle name="20% - Accent1 2 115 2 2" xfId="6613"/>
    <cellStyle name="20% - Accent1 2 115 3" xfId="6614"/>
    <cellStyle name="20% - Accent1 2 115 4" xfId="6615"/>
    <cellStyle name="20% - Accent1 2 116" xfId="6616"/>
    <cellStyle name="20% - Accent1 2 116 2" xfId="6617"/>
    <cellStyle name="20% - Accent1 2 116 2 2" xfId="6618"/>
    <cellStyle name="20% - Accent1 2 116 3" xfId="6619"/>
    <cellStyle name="20% - Accent1 2 116 4" xfId="6620"/>
    <cellStyle name="20% - Accent1 2 117" xfId="6621"/>
    <cellStyle name="20% - Accent1 2 117 2" xfId="6622"/>
    <cellStyle name="20% - Accent1 2 117 2 2" xfId="6623"/>
    <cellStyle name="20% - Accent1 2 117 3" xfId="6624"/>
    <cellStyle name="20% - Accent1 2 117 4" xfId="6625"/>
    <cellStyle name="20% - Accent1 2 118" xfId="6626"/>
    <cellStyle name="20% - Accent1 2 118 2" xfId="6627"/>
    <cellStyle name="20% - Accent1 2 118 2 2" xfId="6628"/>
    <cellStyle name="20% - Accent1 2 118 3" xfId="6629"/>
    <cellStyle name="20% - Accent1 2 118 4" xfId="6630"/>
    <cellStyle name="20% - Accent1 2 119" xfId="6631"/>
    <cellStyle name="20% - Accent1 2 119 2" xfId="6632"/>
    <cellStyle name="20% - Accent1 2 119 2 2" xfId="6633"/>
    <cellStyle name="20% - Accent1 2 119 3" xfId="6634"/>
    <cellStyle name="20% - Accent1 2 119 4" xfId="6635"/>
    <cellStyle name="20% - Accent1 2 12" xfId="6636"/>
    <cellStyle name="20% - Accent1 2 12 2" xfId="6637"/>
    <cellStyle name="20% - Accent1 2 12 3" xfId="6638"/>
    <cellStyle name="20% - Accent1 2 12_4Q Ops Metrics Gas &amp; Electric 2010" xfId="6639"/>
    <cellStyle name="20% - Accent1 2 120" xfId="6640"/>
    <cellStyle name="20% - Accent1 2 120 2" xfId="6641"/>
    <cellStyle name="20% - Accent1 2 120 2 2" xfId="6642"/>
    <cellStyle name="20% - Accent1 2 120 3" xfId="6643"/>
    <cellStyle name="20% - Accent1 2 120 4" xfId="6644"/>
    <cellStyle name="20% - Accent1 2 121" xfId="6645"/>
    <cellStyle name="20% - Accent1 2 121 2" xfId="6646"/>
    <cellStyle name="20% - Accent1 2 122" xfId="6647"/>
    <cellStyle name="20% - Accent1 2 122 2" xfId="6648"/>
    <cellStyle name="20% - Accent1 2 123" xfId="6649"/>
    <cellStyle name="20% - Accent1 2 123 2" xfId="6650"/>
    <cellStyle name="20% - Accent1 2 124" xfId="6651"/>
    <cellStyle name="20% - Accent1 2 124 2" xfId="6652"/>
    <cellStyle name="20% - Accent1 2 125" xfId="6653"/>
    <cellStyle name="20% - Accent1 2 126" xfId="6654"/>
    <cellStyle name="20% - Accent1 2 127" xfId="6655"/>
    <cellStyle name="20% - Accent1 2 128" xfId="6656"/>
    <cellStyle name="20% - Accent1 2 129" xfId="6657"/>
    <cellStyle name="20% - Accent1 2 13" xfId="6658"/>
    <cellStyle name="20% - Accent1 2 13 2" xfId="6659"/>
    <cellStyle name="20% - Accent1 2 13 2 2" xfId="6660"/>
    <cellStyle name="20% - Accent1 2 13 2 3" xfId="6661"/>
    <cellStyle name="20% - Accent1 2 13 2 4" xfId="6662"/>
    <cellStyle name="20% - Accent1 2 13 2_4Q Ops Metrics Gas &amp; Electric 2010" xfId="6663"/>
    <cellStyle name="20% - Accent1 2 13 3" xfId="6664"/>
    <cellStyle name="20% - Accent1 2 13 4" xfId="6665"/>
    <cellStyle name="20% - Accent1 2 13_4Q Ops Metrics Gas &amp; Electric 2010" xfId="6666"/>
    <cellStyle name="20% - Accent1 2 130" xfId="6667"/>
    <cellStyle name="20% - Accent1 2 131" xfId="6668"/>
    <cellStyle name="20% - Accent1 2 132" xfId="6669"/>
    <cellStyle name="20% - Accent1 2 133" xfId="6670"/>
    <cellStyle name="20% - Accent1 2 134" xfId="6671"/>
    <cellStyle name="20% - Accent1 2 135" xfId="6672"/>
    <cellStyle name="20% - Accent1 2 136" xfId="6673"/>
    <cellStyle name="20% - Accent1 2 137" xfId="6674"/>
    <cellStyle name="20% - Accent1 2 138" xfId="6675"/>
    <cellStyle name="20% - Accent1 2 139" xfId="6676"/>
    <cellStyle name="20% - Accent1 2 14" xfId="6677"/>
    <cellStyle name="20% - Accent1 2 14 2" xfId="6678"/>
    <cellStyle name="20% - Accent1 2 14 2 2" xfId="6679"/>
    <cellStyle name="20% - Accent1 2 14 2 3" xfId="6680"/>
    <cellStyle name="20% - Accent1 2 14 2 4" xfId="6681"/>
    <cellStyle name="20% - Accent1 2 14 2_4Q Ops Metrics Gas &amp; Electric 2010" xfId="6682"/>
    <cellStyle name="20% - Accent1 2 14 3" xfId="6683"/>
    <cellStyle name="20% - Accent1 2 14 4" xfId="6684"/>
    <cellStyle name="20% - Accent1 2 14_4Q Ops Metrics Gas &amp; Electric 2010" xfId="6685"/>
    <cellStyle name="20% - Accent1 2 140" xfId="6686"/>
    <cellStyle name="20% - Accent1 2 141" xfId="6687"/>
    <cellStyle name="20% - Accent1 2 142" xfId="6688"/>
    <cellStyle name="20% - Accent1 2 143" xfId="6689"/>
    <cellStyle name="20% - Accent1 2 144" xfId="6690"/>
    <cellStyle name="20% - Accent1 2 145" xfId="6691"/>
    <cellStyle name="20% - Accent1 2 15" xfId="6692"/>
    <cellStyle name="20% - Accent1 2 15 2" xfId="6693"/>
    <cellStyle name="20% - Accent1 2 15 2 2" xfId="6694"/>
    <cellStyle name="20% - Accent1 2 15 2 3" xfId="6695"/>
    <cellStyle name="20% - Accent1 2 15 2 4" xfId="6696"/>
    <cellStyle name="20% - Accent1 2 15 2_4Q Ops Metrics Gas &amp; Electric 2010" xfId="6697"/>
    <cellStyle name="20% - Accent1 2 15 3" xfId="6698"/>
    <cellStyle name="20% - Accent1 2 15 4" xfId="6699"/>
    <cellStyle name="20% - Accent1 2 15 5" xfId="6700"/>
    <cellStyle name="20% - Accent1 2 15 6" xfId="6701"/>
    <cellStyle name="20% - Accent1 2 15_4Q Ops Metrics Gas &amp; Electric 2010" xfId="6702"/>
    <cellStyle name="20% - Accent1 2 16" xfId="6703"/>
    <cellStyle name="20% - Accent1 2 16 2" xfId="6704"/>
    <cellStyle name="20% - Accent1 2 16 3" xfId="6705"/>
    <cellStyle name="20% - Accent1 2 16 4" xfId="6706"/>
    <cellStyle name="20% - Accent1 2 16 5" xfId="6707"/>
    <cellStyle name="20% - Accent1 2 16_4Q Ops Metrics Gas &amp; Electric 2010" xfId="6708"/>
    <cellStyle name="20% - Accent1 2 17" xfId="6709"/>
    <cellStyle name="20% - Accent1 2 18" xfId="6710"/>
    <cellStyle name="20% - Accent1 2 19" xfId="6711"/>
    <cellStyle name="20% - Accent1 2 2" xfId="185"/>
    <cellStyle name="20% - Accent1 2 2 10" xfId="6712"/>
    <cellStyle name="20% - Accent1 2 2 10 2" xfId="6713"/>
    <cellStyle name="20% - Accent1 2 2 10 2 2" xfId="6714"/>
    <cellStyle name="20% - Accent1 2 2 10 2 3" xfId="6715"/>
    <cellStyle name="20% - Accent1 2 2 10 2 4" xfId="6716"/>
    <cellStyle name="20% - Accent1 2 2 10 2_4Q Ops Metrics Gas &amp; Electric 2010" xfId="6717"/>
    <cellStyle name="20% - Accent1 2 2 10 3" xfId="6718"/>
    <cellStyle name="20% - Accent1 2 2 10 4" xfId="6719"/>
    <cellStyle name="20% - Accent1 2 2 10_4Q Ops Metrics Gas &amp; Electric 2010" xfId="6720"/>
    <cellStyle name="20% - Accent1 2 2 11" xfId="6721"/>
    <cellStyle name="20% - Accent1 2 2 12" xfId="6722"/>
    <cellStyle name="20% - Accent1 2 2 13" xfId="6723"/>
    <cellStyle name="20% - Accent1 2 2 14" xfId="6724"/>
    <cellStyle name="20% - Accent1 2 2 15" xfId="6725"/>
    <cellStyle name="20% - Accent1 2 2 16" xfId="6726"/>
    <cellStyle name="20% - Accent1 2 2 17" xfId="6727"/>
    <cellStyle name="20% - Accent1 2 2 18" xfId="6728"/>
    <cellStyle name="20% - Accent1 2 2 19" xfId="6729"/>
    <cellStyle name="20% - Accent1 2 2 2" xfId="6730"/>
    <cellStyle name="20% - Accent1 2 2 2 10" xfId="6731"/>
    <cellStyle name="20% - Accent1 2 2 2 10 2" xfId="6732"/>
    <cellStyle name="20% - Accent1 2 2 2 10_4Q Ops Metrics Gas &amp; Electric 2010" xfId="6733"/>
    <cellStyle name="20% - Accent1 2 2 2 11" xfId="6734"/>
    <cellStyle name="20% - Accent1 2 2 2 11 2" xfId="6735"/>
    <cellStyle name="20% - Accent1 2 2 2 11 3" xfId="6736"/>
    <cellStyle name="20% - Accent1 2 2 2 11 4" xfId="6737"/>
    <cellStyle name="20% - Accent1 2 2 2 11_4Q Ops Metrics Gas &amp; Electric 2010" xfId="6738"/>
    <cellStyle name="20% - Accent1 2 2 2 12" xfId="6739"/>
    <cellStyle name="20% - Accent1 2 2 2 13" xfId="6740"/>
    <cellStyle name="20% - Accent1 2 2 2 14" xfId="6741"/>
    <cellStyle name="20% - Accent1 2 2 2 15" xfId="6742"/>
    <cellStyle name="20% - Accent1 2 2 2 16" xfId="6743"/>
    <cellStyle name="20% - Accent1 2 2 2 17" xfId="6744"/>
    <cellStyle name="20% - Accent1 2 2 2 18" xfId="6745"/>
    <cellStyle name="20% - Accent1 2 2 2 2" xfId="6746"/>
    <cellStyle name="20% - Accent1 2 2 2 2 10" xfId="6747"/>
    <cellStyle name="20% - Accent1 2 2 2 2 11" xfId="6748"/>
    <cellStyle name="20% - Accent1 2 2 2 2 12" xfId="6749"/>
    <cellStyle name="20% - Accent1 2 2 2 2 2" xfId="6750"/>
    <cellStyle name="20% - Accent1 2 2 2 2 2 10" xfId="6751"/>
    <cellStyle name="20% - Accent1 2 2 2 2 2 11" xfId="6752"/>
    <cellStyle name="20% - Accent1 2 2 2 2 2 12" xfId="6753"/>
    <cellStyle name="20% - Accent1 2 2 2 2 2 2" xfId="6754"/>
    <cellStyle name="20% - Accent1 2 2 2 2 2 3" xfId="6755"/>
    <cellStyle name="20% - Accent1 2 2 2 2 2 4" xfId="6756"/>
    <cellStyle name="20% - Accent1 2 2 2 2 2 5" xfId="6757"/>
    <cellStyle name="20% - Accent1 2 2 2 2 2 6" xfId="6758"/>
    <cellStyle name="20% - Accent1 2 2 2 2 2 7" xfId="6759"/>
    <cellStyle name="20% - Accent1 2 2 2 2 2 8" xfId="6760"/>
    <cellStyle name="20% - Accent1 2 2 2 2 2 9" xfId="6761"/>
    <cellStyle name="20% - Accent1 2 2 2 2 2_GEN Slides COPY" xfId="6762"/>
    <cellStyle name="20% - Accent1 2 2 2 2 3" xfId="6763"/>
    <cellStyle name="20% - Accent1 2 2 2 2 4" xfId="6764"/>
    <cellStyle name="20% - Accent1 2 2 2 2 5" xfId="6765"/>
    <cellStyle name="20% - Accent1 2 2 2 2 6" xfId="6766"/>
    <cellStyle name="20% - Accent1 2 2 2 2 7" xfId="6767"/>
    <cellStyle name="20% - Accent1 2 2 2 2 8" xfId="6768"/>
    <cellStyle name="20% - Accent1 2 2 2 2 9" xfId="6769"/>
    <cellStyle name="20% - Accent1 2 2 2 2_4Q Ops Metrics Gas &amp; Electric 2010" xfId="6770"/>
    <cellStyle name="20% - Accent1 2 2 2 3" xfId="6771"/>
    <cellStyle name="20% - Accent1 2 2 2 3 2" xfId="6772"/>
    <cellStyle name="20% - Accent1 2 2 2 3_4Q Ops Metrics Gas &amp; Electric 2010" xfId="6773"/>
    <cellStyle name="20% - Accent1 2 2 2 4" xfId="6774"/>
    <cellStyle name="20% - Accent1 2 2 2 4 2" xfId="6775"/>
    <cellStyle name="20% - Accent1 2 2 2 4_4Q Ops Metrics Gas &amp; Electric 2010" xfId="6776"/>
    <cellStyle name="20% - Accent1 2 2 2 5" xfId="6777"/>
    <cellStyle name="20% - Accent1 2 2 2 5 2" xfId="6778"/>
    <cellStyle name="20% - Accent1 2 2 2 5_4Q Ops Metrics Gas &amp; Electric 2010" xfId="6779"/>
    <cellStyle name="20% - Accent1 2 2 2 6" xfId="6780"/>
    <cellStyle name="20% - Accent1 2 2 2 6 2" xfId="6781"/>
    <cellStyle name="20% - Accent1 2 2 2 6_4Q Ops Metrics Gas &amp; Electric 2010" xfId="6782"/>
    <cellStyle name="20% - Accent1 2 2 2 7" xfId="6783"/>
    <cellStyle name="20% - Accent1 2 2 2 7 2" xfId="6784"/>
    <cellStyle name="20% - Accent1 2 2 2 7_4Q Ops Metrics Gas &amp; Electric 2010" xfId="6785"/>
    <cellStyle name="20% - Accent1 2 2 2 8" xfId="6786"/>
    <cellStyle name="20% - Accent1 2 2 2 8 2" xfId="6787"/>
    <cellStyle name="20% - Accent1 2 2 2 8_4Q Ops Metrics Gas &amp; Electric 2010" xfId="6788"/>
    <cellStyle name="20% - Accent1 2 2 2 9" xfId="6789"/>
    <cellStyle name="20% - Accent1 2 2 2 9 2" xfId="6790"/>
    <cellStyle name="20% - Accent1 2 2 2 9_4Q Ops Metrics Gas &amp; Electric 2010" xfId="6791"/>
    <cellStyle name="20% - Accent1 2 2 2_4Q Ops Metrics Gas &amp; Electric 2010" xfId="6792"/>
    <cellStyle name="20% - Accent1 2 2 20" xfId="6793"/>
    <cellStyle name="20% - Accent1 2 2 21" xfId="6794"/>
    <cellStyle name="20% - Accent1 2 2 22" xfId="6795"/>
    <cellStyle name="20% - Accent1 2 2 23" xfId="6796"/>
    <cellStyle name="20% - Accent1 2 2 24" xfId="6797"/>
    <cellStyle name="20% - Accent1 2 2 25" xfId="6798"/>
    <cellStyle name="20% - Accent1 2 2 26" xfId="6799"/>
    <cellStyle name="20% - Accent1 2 2 27" xfId="6800"/>
    <cellStyle name="20% - Accent1 2 2 28" xfId="6801"/>
    <cellStyle name="20% - Accent1 2 2 28 2" xfId="6802"/>
    <cellStyle name="20% - Accent1 2 2 28 2 2" xfId="6803"/>
    <cellStyle name="20% - Accent1 2 2 28 2 2 2" xfId="6804"/>
    <cellStyle name="20% - Accent1 2 2 28 2 2 3" xfId="6805"/>
    <cellStyle name="20% - Accent1 2 2 28 2 3" xfId="6806"/>
    <cellStyle name="20% - Accent1 2 2 28 2 3 2" xfId="6807"/>
    <cellStyle name="20% - Accent1 2 2 28 2 4" xfId="6808"/>
    <cellStyle name="20% - Accent1 2 2 28 2 5" xfId="6809"/>
    <cellStyle name="20% - Accent1 2 2 28 3" xfId="6810"/>
    <cellStyle name="20% - Accent1 2 2 28 3 2" xfId="6811"/>
    <cellStyle name="20% - Accent1 2 2 28 3 2 2" xfId="6812"/>
    <cellStyle name="20% - Accent1 2 2 28 3 3" xfId="6813"/>
    <cellStyle name="20% - Accent1 2 2 28 3 4" xfId="6814"/>
    <cellStyle name="20% - Accent1 2 2 28 4" xfId="6815"/>
    <cellStyle name="20% - Accent1 2 2 28 4 2" xfId="6816"/>
    <cellStyle name="20% - Accent1 2 2 28 4 2 2" xfId="6817"/>
    <cellStyle name="20% - Accent1 2 2 28 4 3" xfId="6818"/>
    <cellStyle name="20% - Accent1 2 2 28 4 4" xfId="6819"/>
    <cellStyle name="20% - Accent1 2 2 28 5" xfId="6820"/>
    <cellStyle name="20% - Accent1 2 2 28 5 2" xfId="6821"/>
    <cellStyle name="20% - Accent1 2 2 28 6" xfId="6822"/>
    <cellStyle name="20% - Accent1 2 2 28 7" xfId="6823"/>
    <cellStyle name="20% - Accent1 2 2 28 8" xfId="6824"/>
    <cellStyle name="20% - Accent1 2 2 29" xfId="6825"/>
    <cellStyle name="20% - Accent1 2 2 29 2" xfId="6826"/>
    <cellStyle name="20% - Accent1 2 2 29 2 2" xfId="6827"/>
    <cellStyle name="20% - Accent1 2 2 29 2 2 2" xfId="6828"/>
    <cellStyle name="20% - Accent1 2 2 29 2 2 3" xfId="6829"/>
    <cellStyle name="20% - Accent1 2 2 29 2 3" xfId="6830"/>
    <cellStyle name="20% - Accent1 2 2 29 2 3 2" xfId="6831"/>
    <cellStyle name="20% - Accent1 2 2 29 2 4" xfId="6832"/>
    <cellStyle name="20% - Accent1 2 2 29 2 5" xfId="6833"/>
    <cellStyle name="20% - Accent1 2 2 29 3" xfId="6834"/>
    <cellStyle name="20% - Accent1 2 2 29 3 2" xfId="6835"/>
    <cellStyle name="20% - Accent1 2 2 29 3 2 2" xfId="6836"/>
    <cellStyle name="20% - Accent1 2 2 29 3 3" xfId="6837"/>
    <cellStyle name="20% - Accent1 2 2 29 3 4" xfId="6838"/>
    <cellStyle name="20% - Accent1 2 2 29 4" xfId="6839"/>
    <cellStyle name="20% - Accent1 2 2 29 4 2" xfId="6840"/>
    <cellStyle name="20% - Accent1 2 2 29 4 2 2" xfId="6841"/>
    <cellStyle name="20% - Accent1 2 2 29 4 3" xfId="6842"/>
    <cellStyle name="20% - Accent1 2 2 29 4 4" xfId="6843"/>
    <cellStyle name="20% - Accent1 2 2 29 5" xfId="6844"/>
    <cellStyle name="20% - Accent1 2 2 29 5 2" xfId="6845"/>
    <cellStyle name="20% - Accent1 2 2 29 6" xfId="6846"/>
    <cellStyle name="20% - Accent1 2 2 29 7" xfId="6847"/>
    <cellStyle name="20% - Accent1 2 2 29 8" xfId="6848"/>
    <cellStyle name="20% - Accent1 2 2 3" xfId="6849"/>
    <cellStyle name="20% - Accent1 2 2 3 2" xfId="6850"/>
    <cellStyle name="20% - Accent1 2 2 3 2 2" xfId="6851"/>
    <cellStyle name="20% - Accent1 2 2 3 2 3" xfId="6852"/>
    <cellStyle name="20% - Accent1 2 2 3 2 4" xfId="6853"/>
    <cellStyle name="20% - Accent1 2 2 3 2_4Q Ops Metrics Gas &amp; Electric 2010" xfId="6854"/>
    <cellStyle name="20% - Accent1 2 2 3 3" xfId="6855"/>
    <cellStyle name="20% - Accent1 2 2 3 4" xfId="6856"/>
    <cellStyle name="20% - Accent1 2 2 3 5" xfId="6857"/>
    <cellStyle name="20% - Accent1 2 2 3 6" xfId="6858"/>
    <cellStyle name="20% - Accent1 2 2 3_4Q Ops Metrics Gas &amp; Electric 2010" xfId="6859"/>
    <cellStyle name="20% - Accent1 2 2 30" xfId="6860"/>
    <cellStyle name="20% - Accent1 2 2 30 2" xfId="6861"/>
    <cellStyle name="20% - Accent1 2 2 30 2 2" xfId="6862"/>
    <cellStyle name="20% - Accent1 2 2 30 2 2 2" xfId="6863"/>
    <cellStyle name="20% - Accent1 2 2 30 2 2 3" xfId="6864"/>
    <cellStyle name="20% - Accent1 2 2 30 2 3" xfId="6865"/>
    <cellStyle name="20% - Accent1 2 2 30 2 3 2" xfId="6866"/>
    <cellStyle name="20% - Accent1 2 2 30 2 4" xfId="6867"/>
    <cellStyle name="20% - Accent1 2 2 30 2 5" xfId="6868"/>
    <cellStyle name="20% - Accent1 2 2 30 3" xfId="6869"/>
    <cellStyle name="20% - Accent1 2 2 30 3 2" xfId="6870"/>
    <cellStyle name="20% - Accent1 2 2 30 3 2 2" xfId="6871"/>
    <cellStyle name="20% - Accent1 2 2 30 3 3" xfId="6872"/>
    <cellStyle name="20% - Accent1 2 2 30 3 4" xfId="6873"/>
    <cellStyle name="20% - Accent1 2 2 30 4" xfId="6874"/>
    <cellStyle name="20% - Accent1 2 2 30 4 2" xfId="6875"/>
    <cellStyle name="20% - Accent1 2 2 30 4 2 2" xfId="6876"/>
    <cellStyle name="20% - Accent1 2 2 30 4 3" xfId="6877"/>
    <cellStyle name="20% - Accent1 2 2 30 4 4" xfId="6878"/>
    <cellStyle name="20% - Accent1 2 2 30 5" xfId="6879"/>
    <cellStyle name="20% - Accent1 2 2 30 5 2" xfId="6880"/>
    <cellStyle name="20% - Accent1 2 2 30 6" xfId="6881"/>
    <cellStyle name="20% - Accent1 2 2 30 7" xfId="6882"/>
    <cellStyle name="20% - Accent1 2 2 30 8" xfId="6883"/>
    <cellStyle name="20% - Accent1 2 2 31" xfId="6884"/>
    <cellStyle name="20% - Accent1 2 2 31 2" xfId="6885"/>
    <cellStyle name="20% - Accent1 2 2 31 2 2" xfId="6886"/>
    <cellStyle name="20% - Accent1 2 2 31 2 2 2" xfId="6887"/>
    <cellStyle name="20% - Accent1 2 2 31 2 2 3" xfId="6888"/>
    <cellStyle name="20% - Accent1 2 2 31 2 3" xfId="6889"/>
    <cellStyle name="20% - Accent1 2 2 31 2 3 2" xfId="6890"/>
    <cellStyle name="20% - Accent1 2 2 31 2 4" xfId="6891"/>
    <cellStyle name="20% - Accent1 2 2 31 2 5" xfId="6892"/>
    <cellStyle name="20% - Accent1 2 2 31 3" xfId="6893"/>
    <cellStyle name="20% - Accent1 2 2 31 3 2" xfId="6894"/>
    <cellStyle name="20% - Accent1 2 2 31 3 2 2" xfId="6895"/>
    <cellStyle name="20% - Accent1 2 2 31 3 3" xfId="6896"/>
    <cellStyle name="20% - Accent1 2 2 31 3 4" xfId="6897"/>
    <cellStyle name="20% - Accent1 2 2 31 4" xfId="6898"/>
    <cellStyle name="20% - Accent1 2 2 31 4 2" xfId="6899"/>
    <cellStyle name="20% - Accent1 2 2 31 4 2 2" xfId="6900"/>
    <cellStyle name="20% - Accent1 2 2 31 4 3" xfId="6901"/>
    <cellStyle name="20% - Accent1 2 2 31 4 4" xfId="6902"/>
    <cellStyle name="20% - Accent1 2 2 31 5" xfId="6903"/>
    <cellStyle name="20% - Accent1 2 2 31 5 2" xfId="6904"/>
    <cellStyle name="20% - Accent1 2 2 31 6" xfId="6905"/>
    <cellStyle name="20% - Accent1 2 2 31 7" xfId="6906"/>
    <cellStyle name="20% - Accent1 2 2 31 8" xfId="6907"/>
    <cellStyle name="20% - Accent1 2 2 32" xfId="6908"/>
    <cellStyle name="20% - Accent1 2 2 32 2" xfId="6909"/>
    <cellStyle name="20% - Accent1 2 2 32 2 2" xfId="6910"/>
    <cellStyle name="20% - Accent1 2 2 32 2 2 2" xfId="6911"/>
    <cellStyle name="20% - Accent1 2 2 32 2 2 3" xfId="6912"/>
    <cellStyle name="20% - Accent1 2 2 32 2 3" xfId="6913"/>
    <cellStyle name="20% - Accent1 2 2 32 2 3 2" xfId="6914"/>
    <cellStyle name="20% - Accent1 2 2 32 2 4" xfId="6915"/>
    <cellStyle name="20% - Accent1 2 2 32 2 5" xfId="6916"/>
    <cellStyle name="20% - Accent1 2 2 32 3" xfId="6917"/>
    <cellStyle name="20% - Accent1 2 2 32 3 2" xfId="6918"/>
    <cellStyle name="20% - Accent1 2 2 32 3 2 2" xfId="6919"/>
    <cellStyle name="20% - Accent1 2 2 32 3 3" xfId="6920"/>
    <cellStyle name="20% - Accent1 2 2 32 3 4" xfId="6921"/>
    <cellStyle name="20% - Accent1 2 2 32 4" xfId="6922"/>
    <cellStyle name="20% - Accent1 2 2 32 4 2" xfId="6923"/>
    <cellStyle name="20% - Accent1 2 2 32 4 2 2" xfId="6924"/>
    <cellStyle name="20% - Accent1 2 2 32 4 3" xfId="6925"/>
    <cellStyle name="20% - Accent1 2 2 32 4 4" xfId="6926"/>
    <cellStyle name="20% - Accent1 2 2 32 5" xfId="6927"/>
    <cellStyle name="20% - Accent1 2 2 32 5 2" xfId="6928"/>
    <cellStyle name="20% - Accent1 2 2 32 6" xfId="6929"/>
    <cellStyle name="20% - Accent1 2 2 32 7" xfId="6930"/>
    <cellStyle name="20% - Accent1 2 2 32 8" xfId="6931"/>
    <cellStyle name="20% - Accent1 2 2 33" xfId="6932"/>
    <cellStyle name="20% - Accent1 2 2 33 2" xfId="6933"/>
    <cellStyle name="20% - Accent1 2 2 33 2 2" xfId="6934"/>
    <cellStyle name="20% - Accent1 2 2 33 2 2 2" xfId="6935"/>
    <cellStyle name="20% - Accent1 2 2 33 2 2 3" xfId="6936"/>
    <cellStyle name="20% - Accent1 2 2 33 2 3" xfId="6937"/>
    <cellStyle name="20% - Accent1 2 2 33 2 3 2" xfId="6938"/>
    <cellStyle name="20% - Accent1 2 2 33 2 4" xfId="6939"/>
    <cellStyle name="20% - Accent1 2 2 33 2 5" xfId="6940"/>
    <cellStyle name="20% - Accent1 2 2 33 3" xfId="6941"/>
    <cellStyle name="20% - Accent1 2 2 33 3 2" xfId="6942"/>
    <cellStyle name="20% - Accent1 2 2 33 3 2 2" xfId="6943"/>
    <cellStyle name="20% - Accent1 2 2 33 3 3" xfId="6944"/>
    <cellStyle name="20% - Accent1 2 2 33 3 4" xfId="6945"/>
    <cellStyle name="20% - Accent1 2 2 33 4" xfId="6946"/>
    <cellStyle name="20% - Accent1 2 2 33 4 2" xfId="6947"/>
    <cellStyle name="20% - Accent1 2 2 33 4 2 2" xfId="6948"/>
    <cellStyle name="20% - Accent1 2 2 33 4 3" xfId="6949"/>
    <cellStyle name="20% - Accent1 2 2 33 4 4" xfId="6950"/>
    <cellStyle name="20% - Accent1 2 2 33 5" xfId="6951"/>
    <cellStyle name="20% - Accent1 2 2 33 5 2" xfId="6952"/>
    <cellStyle name="20% - Accent1 2 2 33 6" xfId="6953"/>
    <cellStyle name="20% - Accent1 2 2 33 7" xfId="6954"/>
    <cellStyle name="20% - Accent1 2 2 33 8" xfId="6955"/>
    <cellStyle name="20% - Accent1 2 2 34" xfId="6956"/>
    <cellStyle name="20% - Accent1 2 2 34 2" xfId="6957"/>
    <cellStyle name="20% - Accent1 2 2 34 2 2" xfId="6958"/>
    <cellStyle name="20% - Accent1 2 2 34 2 2 2" xfId="6959"/>
    <cellStyle name="20% - Accent1 2 2 34 2 2 3" xfId="6960"/>
    <cellStyle name="20% - Accent1 2 2 34 2 3" xfId="6961"/>
    <cellStyle name="20% - Accent1 2 2 34 2 3 2" xfId="6962"/>
    <cellStyle name="20% - Accent1 2 2 34 2 4" xfId="6963"/>
    <cellStyle name="20% - Accent1 2 2 34 2 5" xfId="6964"/>
    <cellStyle name="20% - Accent1 2 2 34 3" xfId="6965"/>
    <cellStyle name="20% - Accent1 2 2 34 3 2" xfId="6966"/>
    <cellStyle name="20% - Accent1 2 2 34 3 2 2" xfId="6967"/>
    <cellStyle name="20% - Accent1 2 2 34 3 3" xfId="6968"/>
    <cellStyle name="20% - Accent1 2 2 34 3 4" xfId="6969"/>
    <cellStyle name="20% - Accent1 2 2 34 4" xfId="6970"/>
    <cellStyle name="20% - Accent1 2 2 34 4 2" xfId="6971"/>
    <cellStyle name="20% - Accent1 2 2 34 4 2 2" xfId="6972"/>
    <cellStyle name="20% - Accent1 2 2 34 4 3" xfId="6973"/>
    <cellStyle name="20% - Accent1 2 2 34 4 4" xfId="6974"/>
    <cellStyle name="20% - Accent1 2 2 34 5" xfId="6975"/>
    <cellStyle name="20% - Accent1 2 2 34 5 2" xfId="6976"/>
    <cellStyle name="20% - Accent1 2 2 34 6" xfId="6977"/>
    <cellStyle name="20% - Accent1 2 2 34 7" xfId="6978"/>
    <cellStyle name="20% - Accent1 2 2 34 8" xfId="6979"/>
    <cellStyle name="20% - Accent1 2 2 35" xfId="6980"/>
    <cellStyle name="20% - Accent1 2 2 35 2" xfId="6981"/>
    <cellStyle name="20% - Accent1 2 2 35 2 2" xfId="6982"/>
    <cellStyle name="20% - Accent1 2 2 35 2 2 2" xfId="6983"/>
    <cellStyle name="20% - Accent1 2 2 35 2 2 3" xfId="6984"/>
    <cellStyle name="20% - Accent1 2 2 35 2 3" xfId="6985"/>
    <cellStyle name="20% - Accent1 2 2 35 2 3 2" xfId="6986"/>
    <cellStyle name="20% - Accent1 2 2 35 2 4" xfId="6987"/>
    <cellStyle name="20% - Accent1 2 2 35 2 5" xfId="6988"/>
    <cellStyle name="20% - Accent1 2 2 35 3" xfId="6989"/>
    <cellStyle name="20% - Accent1 2 2 35 3 2" xfId="6990"/>
    <cellStyle name="20% - Accent1 2 2 35 3 2 2" xfId="6991"/>
    <cellStyle name="20% - Accent1 2 2 35 3 3" xfId="6992"/>
    <cellStyle name="20% - Accent1 2 2 35 3 4" xfId="6993"/>
    <cellStyle name="20% - Accent1 2 2 35 4" xfId="6994"/>
    <cellStyle name="20% - Accent1 2 2 35 4 2" xfId="6995"/>
    <cellStyle name="20% - Accent1 2 2 35 4 2 2" xfId="6996"/>
    <cellStyle name="20% - Accent1 2 2 35 4 3" xfId="6997"/>
    <cellStyle name="20% - Accent1 2 2 35 4 4" xfId="6998"/>
    <cellStyle name="20% - Accent1 2 2 35 5" xfId="6999"/>
    <cellStyle name="20% - Accent1 2 2 35 5 2" xfId="7000"/>
    <cellStyle name="20% - Accent1 2 2 35 6" xfId="7001"/>
    <cellStyle name="20% - Accent1 2 2 35 7" xfId="7002"/>
    <cellStyle name="20% - Accent1 2 2 35 8" xfId="7003"/>
    <cellStyle name="20% - Accent1 2 2 36" xfId="7004"/>
    <cellStyle name="20% - Accent1 2 2 36 2" xfId="7005"/>
    <cellStyle name="20% - Accent1 2 2 36 2 2" xfId="7006"/>
    <cellStyle name="20% - Accent1 2 2 36 2 2 2" xfId="7007"/>
    <cellStyle name="20% - Accent1 2 2 36 2 2 3" xfId="7008"/>
    <cellStyle name="20% - Accent1 2 2 36 2 3" xfId="7009"/>
    <cellStyle name="20% - Accent1 2 2 36 2 3 2" xfId="7010"/>
    <cellStyle name="20% - Accent1 2 2 36 2 4" xfId="7011"/>
    <cellStyle name="20% - Accent1 2 2 36 2 5" xfId="7012"/>
    <cellStyle name="20% - Accent1 2 2 36 3" xfId="7013"/>
    <cellStyle name="20% - Accent1 2 2 36 3 2" xfId="7014"/>
    <cellStyle name="20% - Accent1 2 2 36 3 2 2" xfId="7015"/>
    <cellStyle name="20% - Accent1 2 2 36 3 3" xfId="7016"/>
    <cellStyle name="20% - Accent1 2 2 36 3 4" xfId="7017"/>
    <cellStyle name="20% - Accent1 2 2 36 4" xfId="7018"/>
    <cellStyle name="20% - Accent1 2 2 36 4 2" xfId="7019"/>
    <cellStyle name="20% - Accent1 2 2 36 4 2 2" xfId="7020"/>
    <cellStyle name="20% - Accent1 2 2 36 4 3" xfId="7021"/>
    <cellStyle name="20% - Accent1 2 2 36 4 4" xfId="7022"/>
    <cellStyle name="20% - Accent1 2 2 36 5" xfId="7023"/>
    <cellStyle name="20% - Accent1 2 2 36 5 2" xfId="7024"/>
    <cellStyle name="20% - Accent1 2 2 36 6" xfId="7025"/>
    <cellStyle name="20% - Accent1 2 2 36 7" xfId="7026"/>
    <cellStyle name="20% - Accent1 2 2 36 8" xfId="7027"/>
    <cellStyle name="20% - Accent1 2 2 37" xfId="7028"/>
    <cellStyle name="20% - Accent1 2 2 37 2" xfId="7029"/>
    <cellStyle name="20% - Accent1 2 2 37 2 2" xfId="7030"/>
    <cellStyle name="20% - Accent1 2 2 37 2 2 2" xfId="7031"/>
    <cellStyle name="20% - Accent1 2 2 37 2 2 3" xfId="7032"/>
    <cellStyle name="20% - Accent1 2 2 37 2 3" xfId="7033"/>
    <cellStyle name="20% - Accent1 2 2 37 2 3 2" xfId="7034"/>
    <cellStyle name="20% - Accent1 2 2 37 2 4" xfId="7035"/>
    <cellStyle name="20% - Accent1 2 2 37 2 5" xfId="7036"/>
    <cellStyle name="20% - Accent1 2 2 37 3" xfId="7037"/>
    <cellStyle name="20% - Accent1 2 2 37 3 2" xfId="7038"/>
    <cellStyle name="20% - Accent1 2 2 37 3 2 2" xfId="7039"/>
    <cellStyle name="20% - Accent1 2 2 37 3 3" xfId="7040"/>
    <cellStyle name="20% - Accent1 2 2 37 3 4" xfId="7041"/>
    <cellStyle name="20% - Accent1 2 2 37 4" xfId="7042"/>
    <cellStyle name="20% - Accent1 2 2 37 4 2" xfId="7043"/>
    <cellStyle name="20% - Accent1 2 2 37 4 2 2" xfId="7044"/>
    <cellStyle name="20% - Accent1 2 2 37 4 3" xfId="7045"/>
    <cellStyle name="20% - Accent1 2 2 37 4 4" xfId="7046"/>
    <cellStyle name="20% - Accent1 2 2 37 5" xfId="7047"/>
    <cellStyle name="20% - Accent1 2 2 37 5 2" xfId="7048"/>
    <cellStyle name="20% - Accent1 2 2 37 6" xfId="7049"/>
    <cellStyle name="20% - Accent1 2 2 37 7" xfId="7050"/>
    <cellStyle name="20% - Accent1 2 2 37 8" xfId="7051"/>
    <cellStyle name="20% - Accent1 2 2 4" xfId="7052"/>
    <cellStyle name="20% - Accent1 2 2 4 2" xfId="7053"/>
    <cellStyle name="20% - Accent1 2 2 4 2 2" xfId="7054"/>
    <cellStyle name="20% - Accent1 2 2 4 2 3" xfId="7055"/>
    <cellStyle name="20% - Accent1 2 2 4 2 4" xfId="7056"/>
    <cellStyle name="20% - Accent1 2 2 4 2_4Q Ops Metrics Gas &amp; Electric 2010" xfId="7057"/>
    <cellStyle name="20% - Accent1 2 2 4 3" xfId="7058"/>
    <cellStyle name="20% - Accent1 2 2 4 4" xfId="7059"/>
    <cellStyle name="20% - Accent1 2 2 4 5" xfId="7060"/>
    <cellStyle name="20% - Accent1 2 2 4 6" xfId="7061"/>
    <cellStyle name="20% - Accent1 2 2 4_4Q Ops Metrics Gas &amp; Electric 2010" xfId="7062"/>
    <cellStyle name="20% - Accent1 2 2 5" xfId="7063"/>
    <cellStyle name="20% - Accent1 2 2 5 2" xfId="7064"/>
    <cellStyle name="20% - Accent1 2 2 5 2 2" xfId="7065"/>
    <cellStyle name="20% - Accent1 2 2 5 2 3" xfId="7066"/>
    <cellStyle name="20% - Accent1 2 2 5 2 4" xfId="7067"/>
    <cellStyle name="20% - Accent1 2 2 5 2_4Q Ops Metrics Gas &amp; Electric 2010" xfId="7068"/>
    <cellStyle name="20% - Accent1 2 2 5 3" xfId="7069"/>
    <cellStyle name="20% - Accent1 2 2 5 4" xfId="7070"/>
    <cellStyle name="20% - Accent1 2 2 5 5" xfId="7071"/>
    <cellStyle name="20% - Accent1 2 2 5 6" xfId="7072"/>
    <cellStyle name="20% - Accent1 2 2 5_4Q Ops Metrics Gas &amp; Electric 2010" xfId="7073"/>
    <cellStyle name="20% - Accent1 2 2 6" xfId="7074"/>
    <cellStyle name="20% - Accent1 2 2 6 2" xfId="7075"/>
    <cellStyle name="20% - Accent1 2 2 6 2 2" xfId="7076"/>
    <cellStyle name="20% - Accent1 2 2 6 2 3" xfId="7077"/>
    <cellStyle name="20% - Accent1 2 2 6 2 4" xfId="7078"/>
    <cellStyle name="20% - Accent1 2 2 6 2_4Q Ops Metrics Gas &amp; Electric 2010" xfId="7079"/>
    <cellStyle name="20% - Accent1 2 2 6 3" xfId="7080"/>
    <cellStyle name="20% - Accent1 2 2 6 4" xfId="7081"/>
    <cellStyle name="20% - Accent1 2 2 6 5" xfId="7082"/>
    <cellStyle name="20% - Accent1 2 2 6 6" xfId="7083"/>
    <cellStyle name="20% - Accent1 2 2 6_4Q Ops Metrics Gas &amp; Electric 2010" xfId="7084"/>
    <cellStyle name="20% - Accent1 2 2 7" xfId="7085"/>
    <cellStyle name="20% - Accent1 2 2 7 2" xfId="7086"/>
    <cellStyle name="20% - Accent1 2 2 7 2 2" xfId="7087"/>
    <cellStyle name="20% - Accent1 2 2 7 2 3" xfId="7088"/>
    <cellStyle name="20% - Accent1 2 2 7 2 4" xfId="7089"/>
    <cellStyle name="20% - Accent1 2 2 7 2_4Q Ops Metrics Gas &amp; Electric 2010" xfId="7090"/>
    <cellStyle name="20% - Accent1 2 2 7 3" xfId="7091"/>
    <cellStyle name="20% - Accent1 2 2 7 4" xfId="7092"/>
    <cellStyle name="20% - Accent1 2 2 7 5" xfId="7093"/>
    <cellStyle name="20% - Accent1 2 2 7 6" xfId="7094"/>
    <cellStyle name="20% - Accent1 2 2 7_4Q Ops Metrics Gas &amp; Electric 2010" xfId="7095"/>
    <cellStyle name="20% - Accent1 2 2 8" xfId="7096"/>
    <cellStyle name="20% - Accent1 2 2 8 2" xfId="7097"/>
    <cellStyle name="20% - Accent1 2 2 8 2 2" xfId="7098"/>
    <cellStyle name="20% - Accent1 2 2 8 2 3" xfId="7099"/>
    <cellStyle name="20% - Accent1 2 2 8 2 4" xfId="7100"/>
    <cellStyle name="20% - Accent1 2 2 8 2_4Q Ops Metrics Gas &amp; Electric 2010" xfId="7101"/>
    <cellStyle name="20% - Accent1 2 2 8 3" xfId="7102"/>
    <cellStyle name="20% - Accent1 2 2 8 4" xfId="7103"/>
    <cellStyle name="20% - Accent1 2 2 8_4Q Ops Metrics Gas &amp; Electric 2010" xfId="7104"/>
    <cellStyle name="20% - Accent1 2 2 9" xfId="7105"/>
    <cellStyle name="20% - Accent1 2 2 9 2" xfId="7106"/>
    <cellStyle name="20% - Accent1 2 2 9 2 2" xfId="7107"/>
    <cellStyle name="20% - Accent1 2 2 9 2 3" xfId="7108"/>
    <cellStyle name="20% - Accent1 2 2 9 2 4" xfId="7109"/>
    <cellStyle name="20% - Accent1 2 2 9 2_4Q Ops Metrics Gas &amp; Electric 2010" xfId="7110"/>
    <cellStyle name="20% - Accent1 2 2 9 3" xfId="7111"/>
    <cellStyle name="20% - Accent1 2 2 9 4" xfId="7112"/>
    <cellStyle name="20% - Accent1 2 2 9_4Q Ops Metrics Gas &amp; Electric 2010" xfId="7113"/>
    <cellStyle name="20% - Accent1 2 2_2009 Actual" xfId="7114"/>
    <cellStyle name="20% - Accent1 2 20" xfId="7115"/>
    <cellStyle name="20% - Accent1 2 21" xfId="7116"/>
    <cellStyle name="20% - Accent1 2 21 2" xfId="7117"/>
    <cellStyle name="20% - Accent1 2 21 2 2" xfId="7118"/>
    <cellStyle name="20% - Accent1 2 21 2 2 2" xfId="7119"/>
    <cellStyle name="20% - Accent1 2 21 2 2 3" xfId="7120"/>
    <cellStyle name="20% - Accent1 2 21 2 3" xfId="7121"/>
    <cellStyle name="20% - Accent1 2 21 2 3 2" xfId="7122"/>
    <cellStyle name="20% - Accent1 2 21 2 4" xfId="7123"/>
    <cellStyle name="20% - Accent1 2 21 2 5" xfId="7124"/>
    <cellStyle name="20% - Accent1 2 21 3" xfId="7125"/>
    <cellStyle name="20% - Accent1 2 21 3 2" xfId="7126"/>
    <cellStyle name="20% - Accent1 2 21 3 2 2" xfId="7127"/>
    <cellStyle name="20% - Accent1 2 21 3 3" xfId="7128"/>
    <cellStyle name="20% - Accent1 2 21 3 4" xfId="7129"/>
    <cellStyle name="20% - Accent1 2 21 4" xfId="7130"/>
    <cellStyle name="20% - Accent1 2 21 4 2" xfId="7131"/>
    <cellStyle name="20% - Accent1 2 21 4 2 2" xfId="7132"/>
    <cellStyle name="20% - Accent1 2 21 4 3" xfId="7133"/>
    <cellStyle name="20% - Accent1 2 21 4 4" xfId="7134"/>
    <cellStyle name="20% - Accent1 2 21 5" xfId="7135"/>
    <cellStyle name="20% - Accent1 2 21 5 2" xfId="7136"/>
    <cellStyle name="20% - Accent1 2 21 6" xfId="7137"/>
    <cellStyle name="20% - Accent1 2 21 7" xfId="7138"/>
    <cellStyle name="20% - Accent1 2 21 8" xfId="7139"/>
    <cellStyle name="20% - Accent1 2 22" xfId="7140"/>
    <cellStyle name="20% - Accent1 2 22 2" xfId="7141"/>
    <cellStyle name="20% - Accent1 2 22 2 2" xfId="7142"/>
    <cellStyle name="20% - Accent1 2 22 2 2 2" xfId="7143"/>
    <cellStyle name="20% - Accent1 2 22 2 2 3" xfId="7144"/>
    <cellStyle name="20% - Accent1 2 22 2 3" xfId="7145"/>
    <cellStyle name="20% - Accent1 2 22 2 3 2" xfId="7146"/>
    <cellStyle name="20% - Accent1 2 22 2 4" xfId="7147"/>
    <cellStyle name="20% - Accent1 2 22 2 5" xfId="7148"/>
    <cellStyle name="20% - Accent1 2 22 3" xfId="7149"/>
    <cellStyle name="20% - Accent1 2 22 3 2" xfId="7150"/>
    <cellStyle name="20% - Accent1 2 22 3 2 2" xfId="7151"/>
    <cellStyle name="20% - Accent1 2 22 3 3" xfId="7152"/>
    <cellStyle name="20% - Accent1 2 22 3 4" xfId="7153"/>
    <cellStyle name="20% - Accent1 2 22 4" xfId="7154"/>
    <cellStyle name="20% - Accent1 2 22 4 2" xfId="7155"/>
    <cellStyle name="20% - Accent1 2 22 4 2 2" xfId="7156"/>
    <cellStyle name="20% - Accent1 2 22 4 3" xfId="7157"/>
    <cellStyle name="20% - Accent1 2 22 4 4" xfId="7158"/>
    <cellStyle name="20% - Accent1 2 22 5" xfId="7159"/>
    <cellStyle name="20% - Accent1 2 22 5 2" xfId="7160"/>
    <cellStyle name="20% - Accent1 2 22 6" xfId="7161"/>
    <cellStyle name="20% - Accent1 2 22 7" xfId="7162"/>
    <cellStyle name="20% - Accent1 2 22 8" xfId="7163"/>
    <cellStyle name="20% - Accent1 2 23" xfId="7164"/>
    <cellStyle name="20% - Accent1 2 23 2" xfId="7165"/>
    <cellStyle name="20% - Accent1 2 23 2 2" xfId="7166"/>
    <cellStyle name="20% - Accent1 2 23 2 2 2" xfId="7167"/>
    <cellStyle name="20% - Accent1 2 23 2 2 3" xfId="7168"/>
    <cellStyle name="20% - Accent1 2 23 2 3" xfId="7169"/>
    <cellStyle name="20% - Accent1 2 23 2 3 2" xfId="7170"/>
    <cellStyle name="20% - Accent1 2 23 2 4" xfId="7171"/>
    <cellStyle name="20% - Accent1 2 23 2 5" xfId="7172"/>
    <cellStyle name="20% - Accent1 2 23 3" xfId="7173"/>
    <cellStyle name="20% - Accent1 2 23 3 2" xfId="7174"/>
    <cellStyle name="20% - Accent1 2 23 3 2 2" xfId="7175"/>
    <cellStyle name="20% - Accent1 2 23 3 3" xfId="7176"/>
    <cellStyle name="20% - Accent1 2 23 3 4" xfId="7177"/>
    <cellStyle name="20% - Accent1 2 23 4" xfId="7178"/>
    <cellStyle name="20% - Accent1 2 23 4 2" xfId="7179"/>
    <cellStyle name="20% - Accent1 2 23 4 2 2" xfId="7180"/>
    <cellStyle name="20% - Accent1 2 23 4 3" xfId="7181"/>
    <cellStyle name="20% - Accent1 2 23 4 4" xfId="7182"/>
    <cellStyle name="20% - Accent1 2 23 5" xfId="7183"/>
    <cellStyle name="20% - Accent1 2 23 5 2" xfId="7184"/>
    <cellStyle name="20% - Accent1 2 23 6" xfId="7185"/>
    <cellStyle name="20% - Accent1 2 23 7" xfId="7186"/>
    <cellStyle name="20% - Accent1 2 23 8" xfId="7187"/>
    <cellStyle name="20% - Accent1 2 24" xfId="7188"/>
    <cellStyle name="20% - Accent1 2 24 2" xfId="7189"/>
    <cellStyle name="20% - Accent1 2 24 2 2" xfId="7190"/>
    <cellStyle name="20% - Accent1 2 24 2 2 2" xfId="7191"/>
    <cellStyle name="20% - Accent1 2 24 2 2 3" xfId="7192"/>
    <cellStyle name="20% - Accent1 2 24 2 3" xfId="7193"/>
    <cellStyle name="20% - Accent1 2 24 2 3 2" xfId="7194"/>
    <cellStyle name="20% - Accent1 2 24 2 4" xfId="7195"/>
    <cellStyle name="20% - Accent1 2 24 2 5" xfId="7196"/>
    <cellStyle name="20% - Accent1 2 24 3" xfId="7197"/>
    <cellStyle name="20% - Accent1 2 24 3 2" xfId="7198"/>
    <cellStyle name="20% - Accent1 2 24 3 2 2" xfId="7199"/>
    <cellStyle name="20% - Accent1 2 24 3 3" xfId="7200"/>
    <cellStyle name="20% - Accent1 2 24 3 4" xfId="7201"/>
    <cellStyle name="20% - Accent1 2 24 4" xfId="7202"/>
    <cellStyle name="20% - Accent1 2 24 4 2" xfId="7203"/>
    <cellStyle name="20% - Accent1 2 24 4 2 2" xfId="7204"/>
    <cellStyle name="20% - Accent1 2 24 4 3" xfId="7205"/>
    <cellStyle name="20% - Accent1 2 24 4 4" xfId="7206"/>
    <cellStyle name="20% - Accent1 2 24 5" xfId="7207"/>
    <cellStyle name="20% - Accent1 2 24 5 2" xfId="7208"/>
    <cellStyle name="20% - Accent1 2 24 6" xfId="7209"/>
    <cellStyle name="20% - Accent1 2 24 7" xfId="7210"/>
    <cellStyle name="20% - Accent1 2 24 8" xfId="7211"/>
    <cellStyle name="20% - Accent1 2 25" xfId="7212"/>
    <cellStyle name="20% - Accent1 2 25 2" xfId="7213"/>
    <cellStyle name="20% - Accent1 2 25 2 2" xfId="7214"/>
    <cellStyle name="20% - Accent1 2 25 2 2 2" xfId="7215"/>
    <cellStyle name="20% - Accent1 2 25 2 2 3" xfId="7216"/>
    <cellStyle name="20% - Accent1 2 25 2 3" xfId="7217"/>
    <cellStyle name="20% - Accent1 2 25 2 3 2" xfId="7218"/>
    <cellStyle name="20% - Accent1 2 25 2 4" xfId="7219"/>
    <cellStyle name="20% - Accent1 2 25 2 5" xfId="7220"/>
    <cellStyle name="20% - Accent1 2 25 3" xfId="7221"/>
    <cellStyle name="20% - Accent1 2 25 3 2" xfId="7222"/>
    <cellStyle name="20% - Accent1 2 25 3 2 2" xfId="7223"/>
    <cellStyle name="20% - Accent1 2 25 3 3" xfId="7224"/>
    <cellStyle name="20% - Accent1 2 25 3 4" xfId="7225"/>
    <cellStyle name="20% - Accent1 2 25 4" xfId="7226"/>
    <cellStyle name="20% - Accent1 2 25 4 2" xfId="7227"/>
    <cellStyle name="20% - Accent1 2 25 4 2 2" xfId="7228"/>
    <cellStyle name="20% - Accent1 2 25 4 3" xfId="7229"/>
    <cellStyle name="20% - Accent1 2 25 4 4" xfId="7230"/>
    <cellStyle name="20% - Accent1 2 25 5" xfId="7231"/>
    <cellStyle name="20% - Accent1 2 25 5 2" xfId="7232"/>
    <cellStyle name="20% - Accent1 2 25 6" xfId="7233"/>
    <cellStyle name="20% - Accent1 2 25 7" xfId="7234"/>
    <cellStyle name="20% - Accent1 2 25 8" xfId="7235"/>
    <cellStyle name="20% - Accent1 2 26" xfId="7236"/>
    <cellStyle name="20% - Accent1 2 26 2" xfId="7237"/>
    <cellStyle name="20% - Accent1 2 26 2 2" xfId="7238"/>
    <cellStyle name="20% - Accent1 2 26 2 2 2" xfId="7239"/>
    <cellStyle name="20% - Accent1 2 26 2 2 3" xfId="7240"/>
    <cellStyle name="20% - Accent1 2 26 2 3" xfId="7241"/>
    <cellStyle name="20% - Accent1 2 26 2 3 2" xfId="7242"/>
    <cellStyle name="20% - Accent1 2 26 2 4" xfId="7243"/>
    <cellStyle name="20% - Accent1 2 26 2 5" xfId="7244"/>
    <cellStyle name="20% - Accent1 2 26 3" xfId="7245"/>
    <cellStyle name="20% - Accent1 2 26 3 2" xfId="7246"/>
    <cellStyle name="20% - Accent1 2 26 3 2 2" xfId="7247"/>
    <cellStyle name="20% - Accent1 2 26 3 3" xfId="7248"/>
    <cellStyle name="20% - Accent1 2 26 3 4" xfId="7249"/>
    <cellStyle name="20% - Accent1 2 26 4" xfId="7250"/>
    <cellStyle name="20% - Accent1 2 26 4 2" xfId="7251"/>
    <cellStyle name="20% - Accent1 2 26 4 2 2" xfId="7252"/>
    <cellStyle name="20% - Accent1 2 26 4 3" xfId="7253"/>
    <cellStyle name="20% - Accent1 2 26 4 4" xfId="7254"/>
    <cellStyle name="20% - Accent1 2 26 5" xfId="7255"/>
    <cellStyle name="20% - Accent1 2 26 5 2" xfId="7256"/>
    <cellStyle name="20% - Accent1 2 26 6" xfId="7257"/>
    <cellStyle name="20% - Accent1 2 26 7" xfId="7258"/>
    <cellStyle name="20% - Accent1 2 26 8" xfId="7259"/>
    <cellStyle name="20% - Accent1 2 27" xfId="7260"/>
    <cellStyle name="20% - Accent1 2 27 2" xfId="7261"/>
    <cellStyle name="20% - Accent1 2 27 2 2" xfId="7262"/>
    <cellStyle name="20% - Accent1 2 27 2 2 2" xfId="7263"/>
    <cellStyle name="20% - Accent1 2 27 2 2 3" xfId="7264"/>
    <cellStyle name="20% - Accent1 2 27 2 3" xfId="7265"/>
    <cellStyle name="20% - Accent1 2 27 2 3 2" xfId="7266"/>
    <cellStyle name="20% - Accent1 2 27 2 4" xfId="7267"/>
    <cellStyle name="20% - Accent1 2 27 2 5" xfId="7268"/>
    <cellStyle name="20% - Accent1 2 27 3" xfId="7269"/>
    <cellStyle name="20% - Accent1 2 27 3 2" xfId="7270"/>
    <cellStyle name="20% - Accent1 2 27 3 2 2" xfId="7271"/>
    <cellStyle name="20% - Accent1 2 27 3 3" xfId="7272"/>
    <cellStyle name="20% - Accent1 2 27 3 4" xfId="7273"/>
    <cellStyle name="20% - Accent1 2 27 4" xfId="7274"/>
    <cellStyle name="20% - Accent1 2 27 4 2" xfId="7275"/>
    <cellStyle name="20% - Accent1 2 27 4 2 2" xfId="7276"/>
    <cellStyle name="20% - Accent1 2 27 4 3" xfId="7277"/>
    <cellStyle name="20% - Accent1 2 27 4 4" xfId="7278"/>
    <cellStyle name="20% - Accent1 2 27 5" xfId="7279"/>
    <cellStyle name="20% - Accent1 2 27 5 2" xfId="7280"/>
    <cellStyle name="20% - Accent1 2 27 6" xfId="7281"/>
    <cellStyle name="20% - Accent1 2 27 7" xfId="7282"/>
    <cellStyle name="20% - Accent1 2 27 8" xfId="7283"/>
    <cellStyle name="20% - Accent1 2 28" xfId="7284"/>
    <cellStyle name="20% - Accent1 2 28 2" xfId="7285"/>
    <cellStyle name="20% - Accent1 2 28 2 2" xfId="7286"/>
    <cellStyle name="20% - Accent1 2 28 2 2 2" xfId="7287"/>
    <cellStyle name="20% - Accent1 2 28 2 2 3" xfId="7288"/>
    <cellStyle name="20% - Accent1 2 28 2 3" xfId="7289"/>
    <cellStyle name="20% - Accent1 2 28 2 3 2" xfId="7290"/>
    <cellStyle name="20% - Accent1 2 28 2 4" xfId="7291"/>
    <cellStyle name="20% - Accent1 2 28 2 5" xfId="7292"/>
    <cellStyle name="20% - Accent1 2 28 3" xfId="7293"/>
    <cellStyle name="20% - Accent1 2 28 3 2" xfId="7294"/>
    <cellStyle name="20% - Accent1 2 28 3 2 2" xfId="7295"/>
    <cellStyle name="20% - Accent1 2 28 3 3" xfId="7296"/>
    <cellStyle name="20% - Accent1 2 28 3 4" xfId="7297"/>
    <cellStyle name="20% - Accent1 2 28 4" xfId="7298"/>
    <cellStyle name="20% - Accent1 2 28 4 2" xfId="7299"/>
    <cellStyle name="20% - Accent1 2 28 4 2 2" xfId="7300"/>
    <cellStyle name="20% - Accent1 2 28 4 3" xfId="7301"/>
    <cellStyle name="20% - Accent1 2 28 4 4" xfId="7302"/>
    <cellStyle name="20% - Accent1 2 28 5" xfId="7303"/>
    <cellStyle name="20% - Accent1 2 28 5 2" xfId="7304"/>
    <cellStyle name="20% - Accent1 2 28 6" xfId="7305"/>
    <cellStyle name="20% - Accent1 2 28 7" xfId="7306"/>
    <cellStyle name="20% - Accent1 2 28 8" xfId="7307"/>
    <cellStyle name="20% - Accent1 2 29" xfId="7308"/>
    <cellStyle name="20% - Accent1 2 29 2" xfId="7309"/>
    <cellStyle name="20% - Accent1 2 29 2 2" xfId="7310"/>
    <cellStyle name="20% - Accent1 2 29 2 2 2" xfId="7311"/>
    <cellStyle name="20% - Accent1 2 29 2 2 3" xfId="7312"/>
    <cellStyle name="20% - Accent1 2 29 2 3" xfId="7313"/>
    <cellStyle name="20% - Accent1 2 29 2 3 2" xfId="7314"/>
    <cellStyle name="20% - Accent1 2 29 2 4" xfId="7315"/>
    <cellStyle name="20% - Accent1 2 29 2 5" xfId="7316"/>
    <cellStyle name="20% - Accent1 2 29 3" xfId="7317"/>
    <cellStyle name="20% - Accent1 2 29 3 2" xfId="7318"/>
    <cellStyle name="20% - Accent1 2 29 3 2 2" xfId="7319"/>
    <cellStyle name="20% - Accent1 2 29 3 3" xfId="7320"/>
    <cellStyle name="20% - Accent1 2 29 3 4" xfId="7321"/>
    <cellStyle name="20% - Accent1 2 29 4" xfId="7322"/>
    <cellStyle name="20% - Accent1 2 29 4 2" xfId="7323"/>
    <cellStyle name="20% - Accent1 2 29 4 2 2" xfId="7324"/>
    <cellStyle name="20% - Accent1 2 29 4 3" xfId="7325"/>
    <cellStyle name="20% - Accent1 2 29 4 4" xfId="7326"/>
    <cellStyle name="20% - Accent1 2 29 5" xfId="7327"/>
    <cellStyle name="20% - Accent1 2 29 5 2" xfId="7328"/>
    <cellStyle name="20% - Accent1 2 29 6" xfId="7329"/>
    <cellStyle name="20% - Accent1 2 29 7" xfId="7330"/>
    <cellStyle name="20% - Accent1 2 29 8" xfId="7331"/>
    <cellStyle name="20% - Accent1 2 3" xfId="186"/>
    <cellStyle name="20% - Accent1 2 3 10" xfId="7332"/>
    <cellStyle name="20% - Accent1 2 3 11" xfId="7333"/>
    <cellStyle name="20% - Accent1 2 3 12" xfId="7334"/>
    <cellStyle name="20% - Accent1 2 3 12 2" xfId="7335"/>
    <cellStyle name="20% - Accent1 2 3 2" xfId="187"/>
    <cellStyle name="20% - Accent1 2 3 2 2" xfId="188"/>
    <cellStyle name="20% - Accent1 2 3 2 2 2" xfId="189"/>
    <cellStyle name="20% - Accent1 2 3 2 3" xfId="190"/>
    <cellStyle name="20% - Accent1 2 3 3" xfId="191"/>
    <cellStyle name="20% - Accent1 2 3 3 2" xfId="192"/>
    <cellStyle name="20% - Accent1 2 3 3 2 2" xfId="7336"/>
    <cellStyle name="20% - Accent1 2 3 4" xfId="193"/>
    <cellStyle name="20% - Accent1 2 3 4 2" xfId="7337"/>
    <cellStyle name="20% - Accent1 2 3 4 2 2" xfId="7338"/>
    <cellStyle name="20% - Accent1 2 3 5" xfId="7339"/>
    <cellStyle name="20% - Accent1 2 3 5 2" xfId="7340"/>
    <cellStyle name="20% - Accent1 2 3 5 2 2" xfId="7341"/>
    <cellStyle name="20% - Accent1 2 3 6" xfId="7342"/>
    <cellStyle name="20% - Accent1 2 3 6 2" xfId="7343"/>
    <cellStyle name="20% - Accent1 2 3 6 3" xfId="7344"/>
    <cellStyle name="20% - Accent1 2 3 6 4" xfId="7345"/>
    <cellStyle name="20% - Accent1 2 3 6 4 2" xfId="7346"/>
    <cellStyle name="20% - Accent1 2 3 6_2010 Actual" xfId="7347"/>
    <cellStyle name="20% - Accent1 2 3 7" xfId="7348"/>
    <cellStyle name="20% - Accent1 2 3 7 2" xfId="7349"/>
    <cellStyle name="20% - Accent1 2 3 7 2 2" xfId="7350"/>
    <cellStyle name="20% - Accent1 2 3 8" xfId="7351"/>
    <cellStyle name="20% - Accent1 2 3 8 2" xfId="7352"/>
    <cellStyle name="20% - Accent1 2 3 8 2 2" xfId="7353"/>
    <cellStyle name="20% - Accent1 2 3 9" xfId="7354"/>
    <cellStyle name="20% - Accent1 2 3_2009 Actual" xfId="7355"/>
    <cellStyle name="20% - Accent1 2 30" xfId="7356"/>
    <cellStyle name="20% - Accent1 2 30 2" xfId="7357"/>
    <cellStyle name="20% - Accent1 2 30 2 2" xfId="7358"/>
    <cellStyle name="20% - Accent1 2 30 2 2 2" xfId="7359"/>
    <cellStyle name="20% - Accent1 2 30 2 2 3" xfId="7360"/>
    <cellStyle name="20% - Accent1 2 30 2 3" xfId="7361"/>
    <cellStyle name="20% - Accent1 2 30 2 3 2" xfId="7362"/>
    <cellStyle name="20% - Accent1 2 30 2 4" xfId="7363"/>
    <cellStyle name="20% - Accent1 2 30 2 5" xfId="7364"/>
    <cellStyle name="20% - Accent1 2 30 3" xfId="7365"/>
    <cellStyle name="20% - Accent1 2 30 3 2" xfId="7366"/>
    <cellStyle name="20% - Accent1 2 30 3 2 2" xfId="7367"/>
    <cellStyle name="20% - Accent1 2 30 3 3" xfId="7368"/>
    <cellStyle name="20% - Accent1 2 30 3 4" xfId="7369"/>
    <cellStyle name="20% - Accent1 2 30 4" xfId="7370"/>
    <cellStyle name="20% - Accent1 2 30 4 2" xfId="7371"/>
    <cellStyle name="20% - Accent1 2 30 4 2 2" xfId="7372"/>
    <cellStyle name="20% - Accent1 2 30 4 3" xfId="7373"/>
    <cellStyle name="20% - Accent1 2 30 4 4" xfId="7374"/>
    <cellStyle name="20% - Accent1 2 30 5" xfId="7375"/>
    <cellStyle name="20% - Accent1 2 30 5 2" xfId="7376"/>
    <cellStyle name="20% - Accent1 2 30 6" xfId="7377"/>
    <cellStyle name="20% - Accent1 2 30 7" xfId="7378"/>
    <cellStyle name="20% - Accent1 2 30 8" xfId="7379"/>
    <cellStyle name="20% - Accent1 2 31" xfId="7380"/>
    <cellStyle name="20% - Accent1 2 31 2" xfId="7381"/>
    <cellStyle name="20% - Accent1 2 31 2 2" xfId="7382"/>
    <cellStyle name="20% - Accent1 2 31 2 3" xfId="7383"/>
    <cellStyle name="20% - Accent1 2 31 3" xfId="7384"/>
    <cellStyle name="20% - Accent1 2 31 3 2" xfId="7385"/>
    <cellStyle name="20% - Accent1 2 31 4" xfId="7386"/>
    <cellStyle name="20% - Accent1 2 31 5" xfId="7387"/>
    <cellStyle name="20% - Accent1 2 32" xfId="7388"/>
    <cellStyle name="20% - Accent1 2 32 2" xfId="7389"/>
    <cellStyle name="20% - Accent1 2 32 2 2" xfId="7390"/>
    <cellStyle name="20% - Accent1 2 32 2 3" xfId="7391"/>
    <cellStyle name="20% - Accent1 2 32 3" xfId="7392"/>
    <cellStyle name="20% - Accent1 2 32 3 2" xfId="7393"/>
    <cellStyle name="20% - Accent1 2 32 4" xfId="7394"/>
    <cellStyle name="20% - Accent1 2 32 5" xfId="7395"/>
    <cellStyle name="20% - Accent1 2 33" xfId="7396"/>
    <cellStyle name="20% - Accent1 2 33 2" xfId="7397"/>
    <cellStyle name="20% - Accent1 2 33 2 2" xfId="7398"/>
    <cellStyle name="20% - Accent1 2 33 2 3" xfId="7399"/>
    <cellStyle name="20% - Accent1 2 33 3" xfId="7400"/>
    <cellStyle name="20% - Accent1 2 33 3 2" xfId="7401"/>
    <cellStyle name="20% - Accent1 2 33 4" xfId="7402"/>
    <cellStyle name="20% - Accent1 2 33 5" xfId="7403"/>
    <cellStyle name="20% - Accent1 2 34" xfId="7404"/>
    <cellStyle name="20% - Accent1 2 34 2" xfId="7405"/>
    <cellStyle name="20% - Accent1 2 34 2 2" xfId="7406"/>
    <cellStyle name="20% - Accent1 2 34 2 3" xfId="7407"/>
    <cellStyle name="20% - Accent1 2 34 3" xfId="7408"/>
    <cellStyle name="20% - Accent1 2 34 3 2" xfId="7409"/>
    <cellStyle name="20% - Accent1 2 34 4" xfId="7410"/>
    <cellStyle name="20% - Accent1 2 34 5" xfId="7411"/>
    <cellStyle name="20% - Accent1 2 35" xfId="7412"/>
    <cellStyle name="20% - Accent1 2 35 2" xfId="7413"/>
    <cellStyle name="20% - Accent1 2 35 2 2" xfId="7414"/>
    <cellStyle name="20% - Accent1 2 35 2 3" xfId="7415"/>
    <cellStyle name="20% - Accent1 2 35 3" xfId="7416"/>
    <cellStyle name="20% - Accent1 2 35 3 2" xfId="7417"/>
    <cellStyle name="20% - Accent1 2 35 4" xfId="7418"/>
    <cellStyle name="20% - Accent1 2 35 5" xfId="7419"/>
    <cellStyle name="20% - Accent1 2 36" xfId="7420"/>
    <cellStyle name="20% - Accent1 2 36 2" xfId="7421"/>
    <cellStyle name="20% - Accent1 2 36 2 2" xfId="7422"/>
    <cellStyle name="20% - Accent1 2 36 2 3" xfId="7423"/>
    <cellStyle name="20% - Accent1 2 36 3" xfId="7424"/>
    <cellStyle name="20% - Accent1 2 36 3 2" xfId="7425"/>
    <cellStyle name="20% - Accent1 2 36 4" xfId="7426"/>
    <cellStyle name="20% - Accent1 2 36 5" xfId="7427"/>
    <cellStyle name="20% - Accent1 2 37" xfId="7428"/>
    <cellStyle name="20% - Accent1 2 37 2" xfId="7429"/>
    <cellStyle name="20% - Accent1 2 37 2 2" xfId="7430"/>
    <cellStyle name="20% - Accent1 2 37 2 3" xfId="7431"/>
    <cellStyle name="20% - Accent1 2 37 3" xfId="7432"/>
    <cellStyle name="20% - Accent1 2 37 3 2" xfId="7433"/>
    <cellStyle name="20% - Accent1 2 37 4" xfId="7434"/>
    <cellStyle name="20% - Accent1 2 37 5" xfId="7435"/>
    <cellStyle name="20% - Accent1 2 38" xfId="7436"/>
    <cellStyle name="20% - Accent1 2 38 2" xfId="7437"/>
    <cellStyle name="20% - Accent1 2 38 2 2" xfId="7438"/>
    <cellStyle name="20% - Accent1 2 38 2 3" xfId="7439"/>
    <cellStyle name="20% - Accent1 2 38 3" xfId="7440"/>
    <cellStyle name="20% - Accent1 2 38 3 2" xfId="7441"/>
    <cellStyle name="20% - Accent1 2 38 4" xfId="7442"/>
    <cellStyle name="20% - Accent1 2 38 5" xfId="7443"/>
    <cellStyle name="20% - Accent1 2 39" xfId="7444"/>
    <cellStyle name="20% - Accent1 2 39 2" xfId="7445"/>
    <cellStyle name="20% - Accent1 2 39 2 2" xfId="7446"/>
    <cellStyle name="20% - Accent1 2 39 2 3" xfId="7447"/>
    <cellStyle name="20% - Accent1 2 39 3" xfId="7448"/>
    <cellStyle name="20% - Accent1 2 39 3 2" xfId="7449"/>
    <cellStyle name="20% - Accent1 2 39 4" xfId="7450"/>
    <cellStyle name="20% - Accent1 2 39 5" xfId="7451"/>
    <cellStyle name="20% - Accent1 2 4" xfId="194"/>
    <cellStyle name="20% - Accent1 2 4 2" xfId="195"/>
    <cellStyle name="20% - Accent1 2 4 2 2" xfId="196"/>
    <cellStyle name="20% - Accent1 2 4 3" xfId="197"/>
    <cellStyle name="20% - Accent1 2 4 4" xfId="7452"/>
    <cellStyle name="20% - Accent1 2 4 5" xfId="7453"/>
    <cellStyle name="20% - Accent1 2 4 6" xfId="7454"/>
    <cellStyle name="20% - Accent1 2 4 7" xfId="7455"/>
    <cellStyle name="20% - Accent1 2 4 8" xfId="7456"/>
    <cellStyle name="20% - Accent1 2 4 8 2" xfId="7457"/>
    <cellStyle name="20% - Accent1 2 4_2009 Actual" xfId="7458"/>
    <cellStyle name="20% - Accent1 2 40" xfId="7459"/>
    <cellStyle name="20% - Accent1 2 40 2" xfId="7460"/>
    <cellStyle name="20% - Accent1 2 40 2 2" xfId="7461"/>
    <cellStyle name="20% - Accent1 2 40 2 3" xfId="7462"/>
    <cellStyle name="20% - Accent1 2 40 3" xfId="7463"/>
    <cellStyle name="20% - Accent1 2 40 3 2" xfId="7464"/>
    <cellStyle name="20% - Accent1 2 40 4" xfId="7465"/>
    <cellStyle name="20% - Accent1 2 40 5" xfId="7466"/>
    <cellStyle name="20% - Accent1 2 41" xfId="7467"/>
    <cellStyle name="20% - Accent1 2 41 2" xfId="7468"/>
    <cellStyle name="20% - Accent1 2 41 2 2" xfId="7469"/>
    <cellStyle name="20% - Accent1 2 41 2 3" xfId="7470"/>
    <cellStyle name="20% - Accent1 2 41 3" xfId="7471"/>
    <cellStyle name="20% - Accent1 2 41 3 2" xfId="7472"/>
    <cellStyle name="20% - Accent1 2 41 4" xfId="7473"/>
    <cellStyle name="20% - Accent1 2 41 5" xfId="7474"/>
    <cellStyle name="20% - Accent1 2 42" xfId="7475"/>
    <cellStyle name="20% - Accent1 2 42 2" xfId="7476"/>
    <cellStyle name="20% - Accent1 2 42 2 2" xfId="7477"/>
    <cellStyle name="20% - Accent1 2 42 2 3" xfId="7478"/>
    <cellStyle name="20% - Accent1 2 42 3" xfId="7479"/>
    <cellStyle name="20% - Accent1 2 42 3 2" xfId="7480"/>
    <cellStyle name="20% - Accent1 2 42 4" xfId="7481"/>
    <cellStyle name="20% - Accent1 2 42 5" xfId="7482"/>
    <cellStyle name="20% - Accent1 2 43" xfId="7483"/>
    <cellStyle name="20% - Accent1 2 43 2" xfId="7484"/>
    <cellStyle name="20% - Accent1 2 43 2 2" xfId="7485"/>
    <cellStyle name="20% - Accent1 2 43 2 3" xfId="7486"/>
    <cellStyle name="20% - Accent1 2 43 3" xfId="7487"/>
    <cellStyle name="20% - Accent1 2 43 3 2" xfId="7488"/>
    <cellStyle name="20% - Accent1 2 43 4" xfId="7489"/>
    <cellStyle name="20% - Accent1 2 43 5" xfId="7490"/>
    <cellStyle name="20% - Accent1 2 44" xfId="7491"/>
    <cellStyle name="20% - Accent1 2 44 2" xfId="7492"/>
    <cellStyle name="20% - Accent1 2 44 2 2" xfId="7493"/>
    <cellStyle name="20% - Accent1 2 44 2 3" xfId="7494"/>
    <cellStyle name="20% - Accent1 2 44 3" xfId="7495"/>
    <cellStyle name="20% - Accent1 2 44 3 2" xfId="7496"/>
    <cellStyle name="20% - Accent1 2 44 4" xfId="7497"/>
    <cellStyle name="20% - Accent1 2 44 5" xfId="7498"/>
    <cellStyle name="20% - Accent1 2 45" xfId="7499"/>
    <cellStyle name="20% - Accent1 2 45 2" xfId="7500"/>
    <cellStyle name="20% - Accent1 2 45 2 2" xfId="7501"/>
    <cellStyle name="20% - Accent1 2 45 2 3" xfId="7502"/>
    <cellStyle name="20% - Accent1 2 45 3" xfId="7503"/>
    <cellStyle name="20% - Accent1 2 45 3 2" xfId="7504"/>
    <cellStyle name="20% - Accent1 2 45 4" xfId="7505"/>
    <cellStyle name="20% - Accent1 2 45 5" xfId="7506"/>
    <cellStyle name="20% - Accent1 2 46" xfId="7507"/>
    <cellStyle name="20% - Accent1 2 46 2" xfId="7508"/>
    <cellStyle name="20% - Accent1 2 46 2 2" xfId="7509"/>
    <cellStyle name="20% - Accent1 2 46 2 3" xfId="7510"/>
    <cellStyle name="20% - Accent1 2 46 3" xfId="7511"/>
    <cellStyle name="20% - Accent1 2 46 3 2" xfId="7512"/>
    <cellStyle name="20% - Accent1 2 46 4" xfId="7513"/>
    <cellStyle name="20% - Accent1 2 46 5" xfId="7514"/>
    <cellStyle name="20% - Accent1 2 47" xfId="7515"/>
    <cellStyle name="20% - Accent1 2 47 2" xfId="7516"/>
    <cellStyle name="20% - Accent1 2 47 2 2" xfId="7517"/>
    <cellStyle name="20% - Accent1 2 47 2 3" xfId="7518"/>
    <cellStyle name="20% - Accent1 2 47 3" xfId="7519"/>
    <cellStyle name="20% - Accent1 2 47 3 2" xfId="7520"/>
    <cellStyle name="20% - Accent1 2 47 4" xfId="7521"/>
    <cellStyle name="20% - Accent1 2 47 5" xfId="7522"/>
    <cellStyle name="20% - Accent1 2 48" xfId="7523"/>
    <cellStyle name="20% - Accent1 2 48 2" xfId="7524"/>
    <cellStyle name="20% - Accent1 2 48 2 2" xfId="7525"/>
    <cellStyle name="20% - Accent1 2 48 2 3" xfId="7526"/>
    <cellStyle name="20% - Accent1 2 48 3" xfId="7527"/>
    <cellStyle name="20% - Accent1 2 48 3 2" xfId="7528"/>
    <cellStyle name="20% - Accent1 2 48 4" xfId="7529"/>
    <cellStyle name="20% - Accent1 2 48 5" xfId="7530"/>
    <cellStyle name="20% - Accent1 2 49" xfId="7531"/>
    <cellStyle name="20% - Accent1 2 49 2" xfId="7532"/>
    <cellStyle name="20% - Accent1 2 49 2 2" xfId="7533"/>
    <cellStyle name="20% - Accent1 2 49 2 3" xfId="7534"/>
    <cellStyle name="20% - Accent1 2 49 3" xfId="7535"/>
    <cellStyle name="20% - Accent1 2 49 3 2" xfId="7536"/>
    <cellStyle name="20% - Accent1 2 49 4" xfId="7537"/>
    <cellStyle name="20% - Accent1 2 49 5" xfId="7538"/>
    <cellStyle name="20% - Accent1 2 5" xfId="198"/>
    <cellStyle name="20% - Accent1 2 5 2" xfId="199"/>
    <cellStyle name="20% - Accent1 2 5 3" xfId="7539"/>
    <cellStyle name="20% - Accent1 2 5 4" xfId="7540"/>
    <cellStyle name="20% - Accent1 2 5 5" xfId="7541"/>
    <cellStyle name="20% - Accent1 2 5 6" xfId="7542"/>
    <cellStyle name="20% - Accent1 2 5 7" xfId="7543"/>
    <cellStyle name="20% - Accent1 2 5 8" xfId="7544"/>
    <cellStyle name="20% - Accent1 2 5 8 2" xfId="7545"/>
    <cellStyle name="20% - Accent1 2 5_2009 Actual" xfId="7546"/>
    <cellStyle name="20% - Accent1 2 50" xfId="7547"/>
    <cellStyle name="20% - Accent1 2 50 2" xfId="7548"/>
    <cellStyle name="20% - Accent1 2 50 2 2" xfId="7549"/>
    <cellStyle name="20% - Accent1 2 50 2 3" xfId="7550"/>
    <cellStyle name="20% - Accent1 2 50 3" xfId="7551"/>
    <cellStyle name="20% - Accent1 2 50 3 2" xfId="7552"/>
    <cellStyle name="20% - Accent1 2 50 4" xfId="7553"/>
    <cellStyle name="20% - Accent1 2 50 5" xfId="7554"/>
    <cellStyle name="20% - Accent1 2 51" xfId="7555"/>
    <cellStyle name="20% - Accent1 2 51 2" xfId="7556"/>
    <cellStyle name="20% - Accent1 2 51 2 2" xfId="7557"/>
    <cellStyle name="20% - Accent1 2 51 2 3" xfId="7558"/>
    <cellStyle name="20% - Accent1 2 51 3" xfId="7559"/>
    <cellStyle name="20% - Accent1 2 51 3 2" xfId="7560"/>
    <cellStyle name="20% - Accent1 2 51 4" xfId="7561"/>
    <cellStyle name="20% - Accent1 2 51 5" xfId="7562"/>
    <cellStyle name="20% - Accent1 2 52" xfId="7563"/>
    <cellStyle name="20% - Accent1 2 52 2" xfId="7564"/>
    <cellStyle name="20% - Accent1 2 52 2 2" xfId="7565"/>
    <cellStyle name="20% - Accent1 2 52 2 3" xfId="7566"/>
    <cellStyle name="20% - Accent1 2 52 3" xfId="7567"/>
    <cellStyle name="20% - Accent1 2 52 3 2" xfId="7568"/>
    <cellStyle name="20% - Accent1 2 52 4" xfId="7569"/>
    <cellStyle name="20% - Accent1 2 52 5" xfId="7570"/>
    <cellStyle name="20% - Accent1 2 53" xfId="7571"/>
    <cellStyle name="20% - Accent1 2 53 2" xfId="7572"/>
    <cellStyle name="20% - Accent1 2 53 2 2" xfId="7573"/>
    <cellStyle name="20% - Accent1 2 53 2 3" xfId="7574"/>
    <cellStyle name="20% - Accent1 2 53 3" xfId="7575"/>
    <cellStyle name="20% - Accent1 2 53 3 2" xfId="7576"/>
    <cellStyle name="20% - Accent1 2 53 4" xfId="7577"/>
    <cellStyle name="20% - Accent1 2 53 5" xfId="7578"/>
    <cellStyle name="20% - Accent1 2 54" xfId="7579"/>
    <cellStyle name="20% - Accent1 2 54 2" xfId="7580"/>
    <cellStyle name="20% - Accent1 2 54 2 2" xfId="7581"/>
    <cellStyle name="20% - Accent1 2 54 2 3" xfId="7582"/>
    <cellStyle name="20% - Accent1 2 54 3" xfId="7583"/>
    <cellStyle name="20% - Accent1 2 54 3 2" xfId="7584"/>
    <cellStyle name="20% - Accent1 2 54 4" xfId="7585"/>
    <cellStyle name="20% - Accent1 2 54 5" xfId="7586"/>
    <cellStyle name="20% - Accent1 2 55" xfId="7587"/>
    <cellStyle name="20% - Accent1 2 55 2" xfId="7588"/>
    <cellStyle name="20% - Accent1 2 55 2 2" xfId="7589"/>
    <cellStyle name="20% - Accent1 2 55 2 3" xfId="7590"/>
    <cellStyle name="20% - Accent1 2 55 3" xfId="7591"/>
    <cellStyle name="20% - Accent1 2 55 3 2" xfId="7592"/>
    <cellStyle name="20% - Accent1 2 55 4" xfId="7593"/>
    <cellStyle name="20% - Accent1 2 55 5" xfId="7594"/>
    <cellStyle name="20% - Accent1 2 56" xfId="7595"/>
    <cellStyle name="20% - Accent1 2 56 2" xfId="7596"/>
    <cellStyle name="20% - Accent1 2 56 2 2" xfId="7597"/>
    <cellStyle name="20% - Accent1 2 56 2 3" xfId="7598"/>
    <cellStyle name="20% - Accent1 2 56 3" xfId="7599"/>
    <cellStyle name="20% - Accent1 2 56 3 2" xfId="7600"/>
    <cellStyle name="20% - Accent1 2 56 4" xfId="7601"/>
    <cellStyle name="20% - Accent1 2 56 5" xfId="7602"/>
    <cellStyle name="20% - Accent1 2 57" xfId="7603"/>
    <cellStyle name="20% - Accent1 2 57 2" xfId="7604"/>
    <cellStyle name="20% - Accent1 2 57 2 2" xfId="7605"/>
    <cellStyle name="20% - Accent1 2 57 2 3" xfId="7606"/>
    <cellStyle name="20% - Accent1 2 57 3" xfId="7607"/>
    <cellStyle name="20% - Accent1 2 57 3 2" xfId="7608"/>
    <cellStyle name="20% - Accent1 2 57 4" xfId="7609"/>
    <cellStyle name="20% - Accent1 2 57 5" xfId="7610"/>
    <cellStyle name="20% - Accent1 2 58" xfId="7611"/>
    <cellStyle name="20% - Accent1 2 58 2" xfId="7612"/>
    <cellStyle name="20% - Accent1 2 58 2 2" xfId="7613"/>
    <cellStyle name="20% - Accent1 2 58 2 3" xfId="7614"/>
    <cellStyle name="20% - Accent1 2 58 3" xfId="7615"/>
    <cellStyle name="20% - Accent1 2 58 3 2" xfId="7616"/>
    <cellStyle name="20% - Accent1 2 58 4" xfId="7617"/>
    <cellStyle name="20% - Accent1 2 58 5" xfId="7618"/>
    <cellStyle name="20% - Accent1 2 59" xfId="7619"/>
    <cellStyle name="20% - Accent1 2 59 2" xfId="7620"/>
    <cellStyle name="20% - Accent1 2 59 2 2" xfId="7621"/>
    <cellStyle name="20% - Accent1 2 59 2 3" xfId="7622"/>
    <cellStyle name="20% - Accent1 2 59 3" xfId="7623"/>
    <cellStyle name="20% - Accent1 2 59 3 2" xfId="7624"/>
    <cellStyle name="20% - Accent1 2 59 4" xfId="7625"/>
    <cellStyle name="20% - Accent1 2 59 5" xfId="7626"/>
    <cellStyle name="20% - Accent1 2 6" xfId="200"/>
    <cellStyle name="20% - Accent1 2 6 2" xfId="7627"/>
    <cellStyle name="20% - Accent1 2 6 3" xfId="7628"/>
    <cellStyle name="20% - Accent1 2 6 4" xfId="7629"/>
    <cellStyle name="20% - Accent1 2 6 5" xfId="7630"/>
    <cellStyle name="20% - Accent1 2 6 6" xfId="7631"/>
    <cellStyle name="20% - Accent1 2 6 7" xfId="7632"/>
    <cellStyle name="20% - Accent1 2 6 8" xfId="7633"/>
    <cellStyle name="20% - Accent1 2 6 8 2" xfId="7634"/>
    <cellStyle name="20% - Accent1 2 6_2009 Actual" xfId="7635"/>
    <cellStyle name="20% - Accent1 2 60" xfId="7636"/>
    <cellStyle name="20% - Accent1 2 60 2" xfId="7637"/>
    <cellStyle name="20% - Accent1 2 60 2 2" xfId="7638"/>
    <cellStyle name="20% - Accent1 2 60 2 3" xfId="7639"/>
    <cellStyle name="20% - Accent1 2 60 3" xfId="7640"/>
    <cellStyle name="20% - Accent1 2 60 3 2" xfId="7641"/>
    <cellStyle name="20% - Accent1 2 60 4" xfId="7642"/>
    <cellStyle name="20% - Accent1 2 60 5" xfId="7643"/>
    <cellStyle name="20% - Accent1 2 61" xfId="7644"/>
    <cellStyle name="20% - Accent1 2 61 2" xfId="7645"/>
    <cellStyle name="20% - Accent1 2 61 2 2" xfId="7646"/>
    <cellStyle name="20% - Accent1 2 61 2 3" xfId="7647"/>
    <cellStyle name="20% - Accent1 2 61 3" xfId="7648"/>
    <cellStyle name="20% - Accent1 2 61 3 2" xfId="7649"/>
    <cellStyle name="20% - Accent1 2 61 4" xfId="7650"/>
    <cellStyle name="20% - Accent1 2 61 5" xfId="7651"/>
    <cellStyle name="20% - Accent1 2 62" xfId="7652"/>
    <cellStyle name="20% - Accent1 2 62 2" xfId="7653"/>
    <cellStyle name="20% - Accent1 2 62 2 2" xfId="7654"/>
    <cellStyle name="20% - Accent1 2 62 2 3" xfId="7655"/>
    <cellStyle name="20% - Accent1 2 62 3" xfId="7656"/>
    <cellStyle name="20% - Accent1 2 62 3 2" xfId="7657"/>
    <cellStyle name="20% - Accent1 2 62 4" xfId="7658"/>
    <cellStyle name="20% - Accent1 2 62 5" xfId="7659"/>
    <cellStyle name="20% - Accent1 2 63" xfId="7660"/>
    <cellStyle name="20% - Accent1 2 63 2" xfId="7661"/>
    <cellStyle name="20% - Accent1 2 63 2 2" xfId="7662"/>
    <cellStyle name="20% - Accent1 2 63 2 3" xfId="7663"/>
    <cellStyle name="20% - Accent1 2 63 3" xfId="7664"/>
    <cellStyle name="20% - Accent1 2 63 3 2" xfId="7665"/>
    <cellStyle name="20% - Accent1 2 63 4" xfId="7666"/>
    <cellStyle name="20% - Accent1 2 63 5" xfId="7667"/>
    <cellStyle name="20% - Accent1 2 64" xfId="7668"/>
    <cellStyle name="20% - Accent1 2 64 2" xfId="7669"/>
    <cellStyle name="20% - Accent1 2 64 2 2" xfId="7670"/>
    <cellStyle name="20% - Accent1 2 64 2 3" xfId="7671"/>
    <cellStyle name="20% - Accent1 2 64 3" xfId="7672"/>
    <cellStyle name="20% - Accent1 2 64 3 2" xfId="7673"/>
    <cellStyle name="20% - Accent1 2 64 4" xfId="7674"/>
    <cellStyle name="20% - Accent1 2 64 5" xfId="7675"/>
    <cellStyle name="20% - Accent1 2 65" xfId="7676"/>
    <cellStyle name="20% - Accent1 2 65 2" xfId="7677"/>
    <cellStyle name="20% - Accent1 2 65 2 2" xfId="7678"/>
    <cellStyle name="20% - Accent1 2 65 2 3" xfId="7679"/>
    <cellStyle name="20% - Accent1 2 65 3" xfId="7680"/>
    <cellStyle name="20% - Accent1 2 65 3 2" xfId="7681"/>
    <cellStyle name="20% - Accent1 2 65 4" xfId="7682"/>
    <cellStyle name="20% - Accent1 2 65 5" xfId="7683"/>
    <cellStyle name="20% - Accent1 2 66" xfId="7684"/>
    <cellStyle name="20% - Accent1 2 66 2" xfId="7685"/>
    <cellStyle name="20% - Accent1 2 66 2 2" xfId="7686"/>
    <cellStyle name="20% - Accent1 2 66 2 3" xfId="7687"/>
    <cellStyle name="20% - Accent1 2 66 3" xfId="7688"/>
    <cellStyle name="20% - Accent1 2 66 3 2" xfId="7689"/>
    <cellStyle name="20% - Accent1 2 66 4" xfId="7690"/>
    <cellStyle name="20% - Accent1 2 66 5" xfId="7691"/>
    <cellStyle name="20% - Accent1 2 67" xfId="7692"/>
    <cellStyle name="20% - Accent1 2 67 2" xfId="7693"/>
    <cellStyle name="20% - Accent1 2 67 2 2" xfId="7694"/>
    <cellStyle name="20% - Accent1 2 67 2 3" xfId="7695"/>
    <cellStyle name="20% - Accent1 2 67 3" xfId="7696"/>
    <cellStyle name="20% - Accent1 2 67 3 2" xfId="7697"/>
    <cellStyle name="20% - Accent1 2 67 4" xfId="7698"/>
    <cellStyle name="20% - Accent1 2 67 5" xfId="7699"/>
    <cellStyle name="20% - Accent1 2 68" xfId="7700"/>
    <cellStyle name="20% - Accent1 2 68 2" xfId="7701"/>
    <cellStyle name="20% - Accent1 2 68 2 2" xfId="7702"/>
    <cellStyle name="20% - Accent1 2 68 2 3" xfId="7703"/>
    <cellStyle name="20% - Accent1 2 68 3" xfId="7704"/>
    <cellStyle name="20% - Accent1 2 68 3 2" xfId="7705"/>
    <cellStyle name="20% - Accent1 2 68 4" xfId="7706"/>
    <cellStyle name="20% - Accent1 2 68 5" xfId="7707"/>
    <cellStyle name="20% - Accent1 2 69" xfId="7708"/>
    <cellStyle name="20% - Accent1 2 69 2" xfId="7709"/>
    <cellStyle name="20% - Accent1 2 69 2 2" xfId="7710"/>
    <cellStyle name="20% - Accent1 2 69 2 3" xfId="7711"/>
    <cellStyle name="20% - Accent1 2 69 3" xfId="7712"/>
    <cellStyle name="20% - Accent1 2 69 3 2" xfId="7713"/>
    <cellStyle name="20% - Accent1 2 69 4" xfId="7714"/>
    <cellStyle name="20% - Accent1 2 69 5" xfId="7715"/>
    <cellStyle name="20% - Accent1 2 7" xfId="7716"/>
    <cellStyle name="20% - Accent1 2 7 2" xfId="7717"/>
    <cellStyle name="20% - Accent1 2 7 2 2" xfId="7718"/>
    <cellStyle name="20% - Accent1 2 7 3" xfId="7719"/>
    <cellStyle name="20% - Accent1 2 7 4" xfId="7720"/>
    <cellStyle name="20% - Accent1 2 7 5" xfId="7721"/>
    <cellStyle name="20% - Accent1 2 7 5 2" xfId="7722"/>
    <cellStyle name="20% - Accent1 2 7_2010 Actual" xfId="7723"/>
    <cellStyle name="20% - Accent1 2 70" xfId="7724"/>
    <cellStyle name="20% - Accent1 2 70 2" xfId="7725"/>
    <cellStyle name="20% - Accent1 2 70 2 2" xfId="7726"/>
    <cellStyle name="20% - Accent1 2 70 2 3" xfId="7727"/>
    <cellStyle name="20% - Accent1 2 70 3" xfId="7728"/>
    <cellStyle name="20% - Accent1 2 70 3 2" xfId="7729"/>
    <cellStyle name="20% - Accent1 2 70 4" xfId="7730"/>
    <cellStyle name="20% - Accent1 2 70 5" xfId="7731"/>
    <cellStyle name="20% - Accent1 2 71" xfId="7732"/>
    <cellStyle name="20% - Accent1 2 71 2" xfId="7733"/>
    <cellStyle name="20% - Accent1 2 71 2 2" xfId="7734"/>
    <cellStyle name="20% - Accent1 2 71 2 3" xfId="7735"/>
    <cellStyle name="20% - Accent1 2 71 3" xfId="7736"/>
    <cellStyle name="20% - Accent1 2 71 3 2" xfId="7737"/>
    <cellStyle name="20% - Accent1 2 71 4" xfId="7738"/>
    <cellStyle name="20% - Accent1 2 71 5" xfId="7739"/>
    <cellStyle name="20% - Accent1 2 72" xfId="7740"/>
    <cellStyle name="20% - Accent1 2 72 2" xfId="7741"/>
    <cellStyle name="20% - Accent1 2 72 2 2" xfId="7742"/>
    <cellStyle name="20% - Accent1 2 72 2 3" xfId="7743"/>
    <cellStyle name="20% - Accent1 2 72 3" xfId="7744"/>
    <cellStyle name="20% - Accent1 2 72 3 2" xfId="7745"/>
    <cellStyle name="20% - Accent1 2 72 4" xfId="7746"/>
    <cellStyle name="20% - Accent1 2 72 5" xfId="7747"/>
    <cellStyle name="20% - Accent1 2 73" xfId="7748"/>
    <cellStyle name="20% - Accent1 2 73 2" xfId="7749"/>
    <cellStyle name="20% - Accent1 2 73 2 2" xfId="7750"/>
    <cellStyle name="20% - Accent1 2 73 2 3" xfId="7751"/>
    <cellStyle name="20% - Accent1 2 73 3" xfId="7752"/>
    <cellStyle name="20% - Accent1 2 73 3 2" xfId="7753"/>
    <cellStyle name="20% - Accent1 2 73 4" xfId="7754"/>
    <cellStyle name="20% - Accent1 2 73 5" xfId="7755"/>
    <cellStyle name="20% - Accent1 2 74" xfId="7756"/>
    <cellStyle name="20% - Accent1 2 74 2" xfId="7757"/>
    <cellStyle name="20% - Accent1 2 74 2 2" xfId="7758"/>
    <cellStyle name="20% - Accent1 2 74 2 3" xfId="7759"/>
    <cellStyle name="20% - Accent1 2 74 3" xfId="7760"/>
    <cellStyle name="20% - Accent1 2 74 3 2" xfId="7761"/>
    <cellStyle name="20% - Accent1 2 74 4" xfId="7762"/>
    <cellStyle name="20% - Accent1 2 74 5" xfId="7763"/>
    <cellStyle name="20% - Accent1 2 75" xfId="7764"/>
    <cellStyle name="20% - Accent1 2 75 2" xfId="7765"/>
    <cellStyle name="20% - Accent1 2 75 2 2" xfId="7766"/>
    <cellStyle name="20% - Accent1 2 75 2 3" xfId="7767"/>
    <cellStyle name="20% - Accent1 2 75 3" xfId="7768"/>
    <cellStyle name="20% - Accent1 2 75 3 2" xfId="7769"/>
    <cellStyle name="20% - Accent1 2 75 4" xfId="7770"/>
    <cellStyle name="20% - Accent1 2 75 5" xfId="7771"/>
    <cellStyle name="20% - Accent1 2 76" xfId="7772"/>
    <cellStyle name="20% - Accent1 2 76 2" xfId="7773"/>
    <cellStyle name="20% - Accent1 2 76 2 2" xfId="7774"/>
    <cellStyle name="20% - Accent1 2 76 2 3" xfId="7775"/>
    <cellStyle name="20% - Accent1 2 76 3" xfId="7776"/>
    <cellStyle name="20% - Accent1 2 76 3 2" xfId="7777"/>
    <cellStyle name="20% - Accent1 2 76 4" xfId="7778"/>
    <cellStyle name="20% - Accent1 2 76 5" xfId="7779"/>
    <cellStyle name="20% - Accent1 2 77" xfId="7780"/>
    <cellStyle name="20% - Accent1 2 77 2" xfId="7781"/>
    <cellStyle name="20% - Accent1 2 77 2 2" xfId="7782"/>
    <cellStyle name="20% - Accent1 2 77 2 3" xfId="7783"/>
    <cellStyle name="20% - Accent1 2 77 3" xfId="7784"/>
    <cellStyle name="20% - Accent1 2 77 3 2" xfId="7785"/>
    <cellStyle name="20% - Accent1 2 77 4" xfId="7786"/>
    <cellStyle name="20% - Accent1 2 77 5" xfId="7787"/>
    <cellStyle name="20% - Accent1 2 78" xfId="7788"/>
    <cellStyle name="20% - Accent1 2 78 2" xfId="7789"/>
    <cellStyle name="20% - Accent1 2 78 2 2" xfId="7790"/>
    <cellStyle name="20% - Accent1 2 78 2 3" xfId="7791"/>
    <cellStyle name="20% - Accent1 2 78 3" xfId="7792"/>
    <cellStyle name="20% - Accent1 2 78 3 2" xfId="7793"/>
    <cellStyle name="20% - Accent1 2 78 4" xfId="7794"/>
    <cellStyle name="20% - Accent1 2 78 5" xfId="7795"/>
    <cellStyle name="20% - Accent1 2 79" xfId="7796"/>
    <cellStyle name="20% - Accent1 2 79 2" xfId="7797"/>
    <cellStyle name="20% - Accent1 2 79 2 2" xfId="7798"/>
    <cellStyle name="20% - Accent1 2 79 2 3" xfId="7799"/>
    <cellStyle name="20% - Accent1 2 79 3" xfId="7800"/>
    <cellStyle name="20% - Accent1 2 79 3 2" xfId="7801"/>
    <cellStyle name="20% - Accent1 2 79 4" xfId="7802"/>
    <cellStyle name="20% - Accent1 2 79 5" xfId="7803"/>
    <cellStyle name="20% - Accent1 2 8" xfId="7804"/>
    <cellStyle name="20% - Accent1 2 8 2" xfId="7805"/>
    <cellStyle name="20% - Accent1 2 8 2 2" xfId="7806"/>
    <cellStyle name="20% - Accent1 2 8 3" xfId="7807"/>
    <cellStyle name="20% - Accent1 2 8 4" xfId="7808"/>
    <cellStyle name="20% - Accent1 2 8 5" xfId="7809"/>
    <cellStyle name="20% - Accent1 2 8 5 2" xfId="7810"/>
    <cellStyle name="20% - Accent1 2 8_2010 Actual" xfId="7811"/>
    <cellStyle name="20% - Accent1 2 80" xfId="7812"/>
    <cellStyle name="20% - Accent1 2 80 2" xfId="7813"/>
    <cellStyle name="20% - Accent1 2 80 2 2" xfId="7814"/>
    <cellStyle name="20% - Accent1 2 80 2 3" xfId="7815"/>
    <cellStyle name="20% - Accent1 2 80 3" xfId="7816"/>
    <cellStyle name="20% - Accent1 2 80 3 2" xfId="7817"/>
    <cellStyle name="20% - Accent1 2 80 4" xfId="7818"/>
    <cellStyle name="20% - Accent1 2 80 5" xfId="7819"/>
    <cellStyle name="20% - Accent1 2 81" xfId="7820"/>
    <cellStyle name="20% - Accent1 2 81 2" xfId="7821"/>
    <cellStyle name="20% - Accent1 2 81 2 2" xfId="7822"/>
    <cellStyle name="20% - Accent1 2 81 2 3" xfId="7823"/>
    <cellStyle name="20% - Accent1 2 81 3" xfId="7824"/>
    <cellStyle name="20% - Accent1 2 81 3 2" xfId="7825"/>
    <cellStyle name="20% - Accent1 2 81 4" xfId="7826"/>
    <cellStyle name="20% - Accent1 2 81 5" xfId="7827"/>
    <cellStyle name="20% - Accent1 2 82" xfId="7828"/>
    <cellStyle name="20% - Accent1 2 82 2" xfId="7829"/>
    <cellStyle name="20% - Accent1 2 82 2 2" xfId="7830"/>
    <cellStyle name="20% - Accent1 2 82 2 3" xfId="7831"/>
    <cellStyle name="20% - Accent1 2 82 3" xfId="7832"/>
    <cellStyle name="20% - Accent1 2 82 3 2" xfId="7833"/>
    <cellStyle name="20% - Accent1 2 82 4" xfId="7834"/>
    <cellStyle name="20% - Accent1 2 82 5" xfId="7835"/>
    <cellStyle name="20% - Accent1 2 83" xfId="7836"/>
    <cellStyle name="20% - Accent1 2 83 2" xfId="7837"/>
    <cellStyle name="20% - Accent1 2 83 2 2" xfId="7838"/>
    <cellStyle name="20% - Accent1 2 83 2 3" xfId="7839"/>
    <cellStyle name="20% - Accent1 2 83 3" xfId="7840"/>
    <cellStyle name="20% - Accent1 2 83 3 2" xfId="7841"/>
    <cellStyle name="20% - Accent1 2 83 4" xfId="7842"/>
    <cellStyle name="20% - Accent1 2 83 5" xfId="7843"/>
    <cellStyle name="20% - Accent1 2 84" xfId="7844"/>
    <cellStyle name="20% - Accent1 2 84 2" xfId="7845"/>
    <cellStyle name="20% - Accent1 2 84 2 2" xfId="7846"/>
    <cellStyle name="20% - Accent1 2 84 2 3" xfId="7847"/>
    <cellStyle name="20% - Accent1 2 84 3" xfId="7848"/>
    <cellStyle name="20% - Accent1 2 84 3 2" xfId="7849"/>
    <cellStyle name="20% - Accent1 2 84 4" xfId="7850"/>
    <cellStyle name="20% - Accent1 2 84 5" xfId="7851"/>
    <cellStyle name="20% - Accent1 2 85" xfId="7852"/>
    <cellStyle name="20% - Accent1 2 85 2" xfId="7853"/>
    <cellStyle name="20% - Accent1 2 85 2 2" xfId="7854"/>
    <cellStyle name="20% - Accent1 2 85 2 3" xfId="7855"/>
    <cellStyle name="20% - Accent1 2 85 3" xfId="7856"/>
    <cellStyle name="20% - Accent1 2 85 3 2" xfId="7857"/>
    <cellStyle name="20% - Accent1 2 85 4" xfId="7858"/>
    <cellStyle name="20% - Accent1 2 85 5" xfId="7859"/>
    <cellStyle name="20% - Accent1 2 86" xfId="7860"/>
    <cellStyle name="20% - Accent1 2 86 2" xfId="7861"/>
    <cellStyle name="20% - Accent1 2 86 2 2" xfId="7862"/>
    <cellStyle name="20% - Accent1 2 86 2 3" xfId="7863"/>
    <cellStyle name="20% - Accent1 2 86 3" xfId="7864"/>
    <cellStyle name="20% - Accent1 2 86 3 2" xfId="7865"/>
    <cellStyle name="20% - Accent1 2 86 4" xfId="7866"/>
    <cellStyle name="20% - Accent1 2 86 5" xfId="7867"/>
    <cellStyle name="20% - Accent1 2 87" xfId="7868"/>
    <cellStyle name="20% - Accent1 2 87 2" xfId="7869"/>
    <cellStyle name="20% - Accent1 2 87 2 2" xfId="7870"/>
    <cellStyle name="20% - Accent1 2 87 2 3" xfId="7871"/>
    <cellStyle name="20% - Accent1 2 87 3" xfId="7872"/>
    <cellStyle name="20% - Accent1 2 87 3 2" xfId="7873"/>
    <cellStyle name="20% - Accent1 2 87 4" xfId="7874"/>
    <cellStyle name="20% - Accent1 2 87 5" xfId="7875"/>
    <cellStyle name="20% - Accent1 2 88" xfId="7876"/>
    <cellStyle name="20% - Accent1 2 88 2" xfId="7877"/>
    <cellStyle name="20% - Accent1 2 88 2 2" xfId="7878"/>
    <cellStyle name="20% - Accent1 2 88 2 3" xfId="7879"/>
    <cellStyle name="20% - Accent1 2 88 3" xfId="7880"/>
    <cellStyle name="20% - Accent1 2 88 3 2" xfId="7881"/>
    <cellStyle name="20% - Accent1 2 88 4" xfId="7882"/>
    <cellStyle name="20% - Accent1 2 88 5" xfId="7883"/>
    <cellStyle name="20% - Accent1 2 89" xfId="7884"/>
    <cellStyle name="20% - Accent1 2 89 2" xfId="7885"/>
    <cellStyle name="20% - Accent1 2 89 2 2" xfId="7886"/>
    <cellStyle name="20% - Accent1 2 89 2 3" xfId="7887"/>
    <cellStyle name="20% - Accent1 2 89 3" xfId="7888"/>
    <cellStyle name="20% - Accent1 2 89 3 2" xfId="7889"/>
    <cellStyle name="20% - Accent1 2 89 4" xfId="7890"/>
    <cellStyle name="20% - Accent1 2 89 5" xfId="7891"/>
    <cellStyle name="20% - Accent1 2 9" xfId="7892"/>
    <cellStyle name="20% - Accent1 2 9 2" xfId="7893"/>
    <cellStyle name="20% - Accent1 2 9 2 2" xfId="7894"/>
    <cellStyle name="20% - Accent1 2 9 3" xfId="7895"/>
    <cellStyle name="20% - Accent1 2 9 4" xfId="7896"/>
    <cellStyle name="20% - Accent1 2 9 5" xfId="7897"/>
    <cellStyle name="20% - Accent1 2 9 5 2" xfId="7898"/>
    <cellStyle name="20% - Accent1 2 9_2010 Actual" xfId="7899"/>
    <cellStyle name="20% - Accent1 2 90" xfId="7900"/>
    <cellStyle name="20% - Accent1 2 90 2" xfId="7901"/>
    <cellStyle name="20% - Accent1 2 90 2 2" xfId="7902"/>
    <cellStyle name="20% - Accent1 2 90 2 3" xfId="7903"/>
    <cellStyle name="20% - Accent1 2 90 3" xfId="7904"/>
    <cellStyle name="20% - Accent1 2 90 3 2" xfId="7905"/>
    <cellStyle name="20% - Accent1 2 90 4" xfId="7906"/>
    <cellStyle name="20% - Accent1 2 90 5" xfId="7907"/>
    <cellStyle name="20% - Accent1 2 91" xfId="7908"/>
    <cellStyle name="20% - Accent1 2 91 2" xfId="7909"/>
    <cellStyle name="20% - Accent1 2 91 2 2" xfId="7910"/>
    <cellStyle name="20% - Accent1 2 91 2 3" xfId="7911"/>
    <cellStyle name="20% - Accent1 2 91 3" xfId="7912"/>
    <cellStyle name="20% - Accent1 2 91 3 2" xfId="7913"/>
    <cellStyle name="20% - Accent1 2 91 4" xfId="7914"/>
    <cellStyle name="20% - Accent1 2 91 5" xfId="7915"/>
    <cellStyle name="20% - Accent1 2 92" xfId="7916"/>
    <cellStyle name="20% - Accent1 2 92 2" xfId="7917"/>
    <cellStyle name="20% - Accent1 2 92 2 2" xfId="7918"/>
    <cellStyle name="20% - Accent1 2 92 2 3" xfId="7919"/>
    <cellStyle name="20% - Accent1 2 92 3" xfId="7920"/>
    <cellStyle name="20% - Accent1 2 92 3 2" xfId="7921"/>
    <cellStyle name="20% - Accent1 2 92 4" xfId="7922"/>
    <cellStyle name="20% - Accent1 2 92 5" xfId="7923"/>
    <cellStyle name="20% - Accent1 2 93" xfId="7924"/>
    <cellStyle name="20% - Accent1 2 93 2" xfId="7925"/>
    <cellStyle name="20% - Accent1 2 93 2 2" xfId="7926"/>
    <cellStyle name="20% - Accent1 2 93 2 3" xfId="7927"/>
    <cellStyle name="20% - Accent1 2 93 3" xfId="7928"/>
    <cellStyle name="20% - Accent1 2 93 3 2" xfId="7929"/>
    <cellStyle name="20% - Accent1 2 93 4" xfId="7930"/>
    <cellStyle name="20% - Accent1 2 93 5" xfId="7931"/>
    <cellStyle name="20% - Accent1 2 94" xfId="7932"/>
    <cellStyle name="20% - Accent1 2 94 2" xfId="7933"/>
    <cellStyle name="20% - Accent1 2 94 2 2" xfId="7934"/>
    <cellStyle name="20% - Accent1 2 94 2 3" xfId="7935"/>
    <cellStyle name="20% - Accent1 2 94 3" xfId="7936"/>
    <cellStyle name="20% - Accent1 2 94 3 2" xfId="7937"/>
    <cellStyle name="20% - Accent1 2 94 4" xfId="7938"/>
    <cellStyle name="20% - Accent1 2 94 5" xfId="7939"/>
    <cellStyle name="20% - Accent1 2 95" xfId="7940"/>
    <cellStyle name="20% - Accent1 2 95 2" xfId="7941"/>
    <cellStyle name="20% - Accent1 2 95 2 2" xfId="7942"/>
    <cellStyle name="20% - Accent1 2 95 3" xfId="7943"/>
    <cellStyle name="20% - Accent1 2 95 4" xfId="7944"/>
    <cellStyle name="20% - Accent1 2 96" xfId="7945"/>
    <cellStyle name="20% - Accent1 2 96 2" xfId="7946"/>
    <cellStyle name="20% - Accent1 2 96 2 2" xfId="7947"/>
    <cellStyle name="20% - Accent1 2 96 3" xfId="7948"/>
    <cellStyle name="20% - Accent1 2 96 4" xfId="7949"/>
    <cellStyle name="20% - Accent1 2 97" xfId="7950"/>
    <cellStyle name="20% - Accent1 2 97 2" xfId="7951"/>
    <cellStyle name="20% - Accent1 2 97 2 2" xfId="7952"/>
    <cellStyle name="20% - Accent1 2 97 3" xfId="7953"/>
    <cellStyle name="20% - Accent1 2 97 4" xfId="7954"/>
    <cellStyle name="20% - Accent1 2 98" xfId="7955"/>
    <cellStyle name="20% - Accent1 2 98 2" xfId="7956"/>
    <cellStyle name="20% - Accent1 2 98 2 2" xfId="7957"/>
    <cellStyle name="20% - Accent1 2 98 3" xfId="7958"/>
    <cellStyle name="20% - Accent1 2 98 4" xfId="7959"/>
    <cellStyle name="20% - Accent1 2 99" xfId="7960"/>
    <cellStyle name="20% - Accent1 2 99 2" xfId="7961"/>
    <cellStyle name="20% - Accent1 2 99 2 2" xfId="7962"/>
    <cellStyle name="20% - Accent1 2 99 3" xfId="7963"/>
    <cellStyle name="20% - Accent1 2 99 4" xfId="7964"/>
    <cellStyle name="20% - Accent1 2_1-10 BHU IS" xfId="7965"/>
    <cellStyle name="20% - Accent1 20" xfId="7966"/>
    <cellStyle name="20% - Accent1 20 2" xfId="7967"/>
    <cellStyle name="20% - Accent1 20 3" xfId="7968"/>
    <cellStyle name="20% - Accent1 20_Data Input" xfId="7969"/>
    <cellStyle name="20% - Accent1 21" xfId="7970"/>
    <cellStyle name="20% - Accent1 21 2" xfId="7971"/>
    <cellStyle name="20% - Accent1 21 3" xfId="7972"/>
    <cellStyle name="20% - Accent1 22" xfId="7973"/>
    <cellStyle name="20% - Accent1 22 2" xfId="7974"/>
    <cellStyle name="20% - Accent1 22 3" xfId="7975"/>
    <cellStyle name="20% - Accent1 23" xfId="7976"/>
    <cellStyle name="20% - Accent1 23 2" xfId="7977"/>
    <cellStyle name="20% - Accent1 23 3" xfId="7978"/>
    <cellStyle name="20% - Accent1 23_Data Input" xfId="7979"/>
    <cellStyle name="20% - Accent1 24" xfId="7980"/>
    <cellStyle name="20% - Accent1 24 2" xfId="7981"/>
    <cellStyle name="20% - Accent1 24 3" xfId="7982"/>
    <cellStyle name="20% - Accent1 25" xfId="7983"/>
    <cellStyle name="20% - Accent1 25 2" xfId="7984"/>
    <cellStyle name="20% - Accent1 25 3" xfId="7985"/>
    <cellStyle name="20% - Accent1 26" xfId="7986"/>
    <cellStyle name="20% - Accent1 26 2" xfId="7987"/>
    <cellStyle name="20% - Accent1 26 3" xfId="7988"/>
    <cellStyle name="20% - Accent1 27" xfId="7989"/>
    <cellStyle name="20% - Accent1 27 2" xfId="7990"/>
    <cellStyle name="20% - Accent1 27 3" xfId="7991"/>
    <cellStyle name="20% - Accent1 28" xfId="7992"/>
    <cellStyle name="20% - Accent1 28 2" xfId="7993"/>
    <cellStyle name="20% - Accent1 28 3" xfId="7994"/>
    <cellStyle name="20% - Accent1 29" xfId="7995"/>
    <cellStyle name="20% - Accent1 29 2" xfId="7996"/>
    <cellStyle name="20% - Accent1 29 3" xfId="7997"/>
    <cellStyle name="20% - Accent1 3" xfId="201"/>
    <cellStyle name="20% - Accent1 3 10" xfId="7998"/>
    <cellStyle name="20% - Accent1 3 10 2" xfId="7999"/>
    <cellStyle name="20% - Accent1 3 10 2 2" xfId="8000"/>
    <cellStyle name="20% - Accent1 3 10 2 2 2" xfId="8001"/>
    <cellStyle name="20% - Accent1 3 10 2 2 3" xfId="8002"/>
    <cellStyle name="20% - Accent1 3 10 2 3" xfId="8003"/>
    <cellStyle name="20% - Accent1 3 10 2 3 2" xfId="8004"/>
    <cellStyle name="20% - Accent1 3 10 2 4" xfId="8005"/>
    <cellStyle name="20% - Accent1 3 10 2 5" xfId="8006"/>
    <cellStyle name="20% - Accent1 3 10 3" xfId="8007"/>
    <cellStyle name="20% - Accent1 3 10 3 2" xfId="8008"/>
    <cellStyle name="20% - Accent1 3 10 3 2 2" xfId="8009"/>
    <cellStyle name="20% - Accent1 3 10 3 3" xfId="8010"/>
    <cellStyle name="20% - Accent1 3 10 3 4" xfId="8011"/>
    <cellStyle name="20% - Accent1 3 10 4" xfId="8012"/>
    <cellStyle name="20% - Accent1 3 10 4 2" xfId="8013"/>
    <cellStyle name="20% - Accent1 3 10 4 2 2" xfId="8014"/>
    <cellStyle name="20% - Accent1 3 10 4 3" xfId="8015"/>
    <cellStyle name="20% - Accent1 3 10 4 4" xfId="8016"/>
    <cellStyle name="20% - Accent1 3 10 5" xfId="8017"/>
    <cellStyle name="20% - Accent1 3 10 5 2" xfId="8018"/>
    <cellStyle name="20% - Accent1 3 10 6" xfId="8019"/>
    <cellStyle name="20% - Accent1 3 10 7" xfId="8020"/>
    <cellStyle name="20% - Accent1 3 10 8" xfId="8021"/>
    <cellStyle name="20% - Accent1 3 11" xfId="8022"/>
    <cellStyle name="20% - Accent1 3 11 2" xfId="8023"/>
    <cellStyle name="20% - Accent1 3 11 2 2" xfId="8024"/>
    <cellStyle name="20% - Accent1 3 11 2 2 2" xfId="8025"/>
    <cellStyle name="20% - Accent1 3 11 2 2 3" xfId="8026"/>
    <cellStyle name="20% - Accent1 3 11 2 3" xfId="8027"/>
    <cellStyle name="20% - Accent1 3 11 2 3 2" xfId="8028"/>
    <cellStyle name="20% - Accent1 3 11 2 4" xfId="8029"/>
    <cellStyle name="20% - Accent1 3 11 2 5" xfId="8030"/>
    <cellStyle name="20% - Accent1 3 11 3" xfId="8031"/>
    <cellStyle name="20% - Accent1 3 11 3 2" xfId="8032"/>
    <cellStyle name="20% - Accent1 3 11 3 2 2" xfId="8033"/>
    <cellStyle name="20% - Accent1 3 11 3 3" xfId="8034"/>
    <cellStyle name="20% - Accent1 3 11 3 4" xfId="8035"/>
    <cellStyle name="20% - Accent1 3 11 4" xfId="8036"/>
    <cellStyle name="20% - Accent1 3 11 4 2" xfId="8037"/>
    <cellStyle name="20% - Accent1 3 11 4 2 2" xfId="8038"/>
    <cellStyle name="20% - Accent1 3 11 4 3" xfId="8039"/>
    <cellStyle name="20% - Accent1 3 11 4 4" xfId="8040"/>
    <cellStyle name="20% - Accent1 3 11 5" xfId="8041"/>
    <cellStyle name="20% - Accent1 3 11 5 2" xfId="8042"/>
    <cellStyle name="20% - Accent1 3 11 6" xfId="8043"/>
    <cellStyle name="20% - Accent1 3 11 7" xfId="8044"/>
    <cellStyle name="20% - Accent1 3 11 8" xfId="8045"/>
    <cellStyle name="20% - Accent1 3 12" xfId="8046"/>
    <cellStyle name="20% - Accent1 3 12 2" xfId="8047"/>
    <cellStyle name="20% - Accent1 3 12 2 2" xfId="8048"/>
    <cellStyle name="20% - Accent1 3 12 2 2 2" xfId="8049"/>
    <cellStyle name="20% - Accent1 3 12 2 2 3" xfId="8050"/>
    <cellStyle name="20% - Accent1 3 12 2 3" xfId="8051"/>
    <cellStyle name="20% - Accent1 3 12 2 3 2" xfId="8052"/>
    <cellStyle name="20% - Accent1 3 12 2 4" xfId="8053"/>
    <cellStyle name="20% - Accent1 3 12 2 5" xfId="8054"/>
    <cellStyle name="20% - Accent1 3 12 3" xfId="8055"/>
    <cellStyle name="20% - Accent1 3 12 3 2" xfId="8056"/>
    <cellStyle name="20% - Accent1 3 12 3 2 2" xfId="8057"/>
    <cellStyle name="20% - Accent1 3 12 3 3" xfId="8058"/>
    <cellStyle name="20% - Accent1 3 12 3 4" xfId="8059"/>
    <cellStyle name="20% - Accent1 3 12 4" xfId="8060"/>
    <cellStyle name="20% - Accent1 3 12 4 2" xfId="8061"/>
    <cellStyle name="20% - Accent1 3 12 4 2 2" xfId="8062"/>
    <cellStyle name="20% - Accent1 3 12 4 3" xfId="8063"/>
    <cellStyle name="20% - Accent1 3 12 4 4" xfId="8064"/>
    <cellStyle name="20% - Accent1 3 12 5" xfId="8065"/>
    <cellStyle name="20% - Accent1 3 12 5 2" xfId="8066"/>
    <cellStyle name="20% - Accent1 3 12 6" xfId="8067"/>
    <cellStyle name="20% - Accent1 3 12 7" xfId="8068"/>
    <cellStyle name="20% - Accent1 3 12 8" xfId="8069"/>
    <cellStyle name="20% - Accent1 3 2" xfId="202"/>
    <cellStyle name="20% - Accent1 3 2 2" xfId="8070"/>
    <cellStyle name="20% - Accent1 3 2 2 2" xfId="8071"/>
    <cellStyle name="20% - Accent1 3 2 3" xfId="8072"/>
    <cellStyle name="20% - Accent1 3 2 4" xfId="8073"/>
    <cellStyle name="20% - Accent1 3 2 5" xfId="8074"/>
    <cellStyle name="20% - Accent1 3 2 6" xfId="8075"/>
    <cellStyle name="20% - Accent1 3 2 7" xfId="8076"/>
    <cellStyle name="20% - Accent1 3 2 8" xfId="8077"/>
    <cellStyle name="20% - Accent1 3 2_2009 Actual" xfId="8078"/>
    <cellStyle name="20% - Accent1 3 3" xfId="8079"/>
    <cellStyle name="20% - Accent1 3 3 2" xfId="8080"/>
    <cellStyle name="20% - Accent1 3 4" xfId="8081"/>
    <cellStyle name="20% - Accent1 3 5" xfId="8082"/>
    <cellStyle name="20% - Accent1 3 6" xfId="8083"/>
    <cellStyle name="20% - Accent1 3 7" xfId="8084"/>
    <cellStyle name="20% - Accent1 3 8" xfId="8085"/>
    <cellStyle name="20% - Accent1 3 9" xfId="8086"/>
    <cellStyle name="20% - Accent1 3_2009 Actual" xfId="8087"/>
    <cellStyle name="20% - Accent1 30" xfId="8088"/>
    <cellStyle name="20% - Accent1 30 2" xfId="8089"/>
    <cellStyle name="20% - Accent1 30 3" xfId="8090"/>
    <cellStyle name="20% - Accent1 31" xfId="8091"/>
    <cellStyle name="20% - Accent1 32" xfId="8092"/>
    <cellStyle name="20% - Accent1 33" xfId="8093"/>
    <cellStyle name="20% - Accent1 33 2" xfId="8094"/>
    <cellStyle name="20% - Accent1 33 2 2" xfId="8095"/>
    <cellStyle name="20% - Accent1 33 2 2 2" xfId="8096"/>
    <cellStyle name="20% - Accent1 33 2 2 3" xfId="8097"/>
    <cellStyle name="20% - Accent1 33 2 3" xfId="8098"/>
    <cellStyle name="20% - Accent1 33 2 3 2" xfId="8099"/>
    <cellStyle name="20% - Accent1 33 2 4" xfId="8100"/>
    <cellStyle name="20% - Accent1 33 2 5" xfId="8101"/>
    <cellStyle name="20% - Accent1 33 3" xfId="8102"/>
    <cellStyle name="20% - Accent1 33 3 2" xfId="8103"/>
    <cellStyle name="20% - Accent1 33 3 2 2" xfId="8104"/>
    <cellStyle name="20% - Accent1 33 3 3" xfId="8105"/>
    <cellStyle name="20% - Accent1 33 3 4" xfId="8106"/>
    <cellStyle name="20% - Accent1 33 4" xfId="8107"/>
    <cellStyle name="20% - Accent1 33 4 2" xfId="8108"/>
    <cellStyle name="20% - Accent1 33 4 2 2" xfId="8109"/>
    <cellStyle name="20% - Accent1 33 4 3" xfId="8110"/>
    <cellStyle name="20% - Accent1 33 4 4" xfId="8111"/>
    <cellStyle name="20% - Accent1 33 5" xfId="8112"/>
    <cellStyle name="20% - Accent1 33 5 2" xfId="8113"/>
    <cellStyle name="20% - Accent1 33 6" xfId="8114"/>
    <cellStyle name="20% - Accent1 33 7" xfId="8115"/>
    <cellStyle name="20% - Accent1 33 8" xfId="8116"/>
    <cellStyle name="20% - Accent1 34" xfId="8117"/>
    <cellStyle name="20% - Accent1 34 2" xfId="8118"/>
    <cellStyle name="20% - Accent1 34 2 2" xfId="8119"/>
    <cellStyle name="20% - Accent1 34 2 2 2" xfId="8120"/>
    <cellStyle name="20% - Accent1 34 2 2 3" xfId="8121"/>
    <cellStyle name="20% - Accent1 34 2 3" xfId="8122"/>
    <cellStyle name="20% - Accent1 34 2 3 2" xfId="8123"/>
    <cellStyle name="20% - Accent1 34 2 4" xfId="8124"/>
    <cellStyle name="20% - Accent1 34 2 5" xfId="8125"/>
    <cellStyle name="20% - Accent1 34 3" xfId="8126"/>
    <cellStyle name="20% - Accent1 34 3 2" xfId="8127"/>
    <cellStyle name="20% - Accent1 34 3 2 2" xfId="8128"/>
    <cellStyle name="20% - Accent1 34 3 3" xfId="8129"/>
    <cellStyle name="20% - Accent1 34 3 4" xfId="8130"/>
    <cellStyle name="20% - Accent1 34 4" xfId="8131"/>
    <cellStyle name="20% - Accent1 34 4 2" xfId="8132"/>
    <cellStyle name="20% - Accent1 34 4 2 2" xfId="8133"/>
    <cellStyle name="20% - Accent1 34 4 3" xfId="8134"/>
    <cellStyle name="20% - Accent1 34 4 4" xfId="8135"/>
    <cellStyle name="20% - Accent1 34 5" xfId="8136"/>
    <cellStyle name="20% - Accent1 34 5 2" xfId="8137"/>
    <cellStyle name="20% - Accent1 34 6" xfId="8138"/>
    <cellStyle name="20% - Accent1 34 7" xfId="8139"/>
    <cellStyle name="20% - Accent1 34 8" xfId="8140"/>
    <cellStyle name="20% - Accent1 35" xfId="8141"/>
    <cellStyle name="20% - Accent1 35 2" xfId="8142"/>
    <cellStyle name="20% - Accent1 35 2 2" xfId="8143"/>
    <cellStyle name="20% - Accent1 35 2 2 2" xfId="8144"/>
    <cellStyle name="20% - Accent1 35 2 2 3" xfId="8145"/>
    <cellStyle name="20% - Accent1 35 2 3" xfId="8146"/>
    <cellStyle name="20% - Accent1 35 2 3 2" xfId="8147"/>
    <cellStyle name="20% - Accent1 35 2 4" xfId="8148"/>
    <cellStyle name="20% - Accent1 35 2 5" xfId="8149"/>
    <cellStyle name="20% - Accent1 35 3" xfId="8150"/>
    <cellStyle name="20% - Accent1 35 3 2" xfId="8151"/>
    <cellStyle name="20% - Accent1 35 3 2 2" xfId="8152"/>
    <cellStyle name="20% - Accent1 35 3 3" xfId="8153"/>
    <cellStyle name="20% - Accent1 35 3 4" xfId="8154"/>
    <cellStyle name="20% - Accent1 35 4" xfId="8155"/>
    <cellStyle name="20% - Accent1 35 4 2" xfId="8156"/>
    <cellStyle name="20% - Accent1 35 4 2 2" xfId="8157"/>
    <cellStyle name="20% - Accent1 35 4 3" xfId="8158"/>
    <cellStyle name="20% - Accent1 35 4 4" xfId="8159"/>
    <cellStyle name="20% - Accent1 35 5" xfId="8160"/>
    <cellStyle name="20% - Accent1 35 5 2" xfId="8161"/>
    <cellStyle name="20% - Accent1 35 6" xfId="8162"/>
    <cellStyle name="20% - Accent1 35 7" xfId="8163"/>
    <cellStyle name="20% - Accent1 35 8" xfId="8164"/>
    <cellStyle name="20% - Accent1 36" xfId="8165"/>
    <cellStyle name="20% - Accent1 36 2" xfId="8166"/>
    <cellStyle name="20% - Accent1 36 2 2" xfId="8167"/>
    <cellStyle name="20% - Accent1 36 2 2 2" xfId="8168"/>
    <cellStyle name="20% - Accent1 36 2 2 3" xfId="8169"/>
    <cellStyle name="20% - Accent1 36 2 3" xfId="8170"/>
    <cellStyle name="20% - Accent1 36 2 3 2" xfId="8171"/>
    <cellStyle name="20% - Accent1 36 2 4" xfId="8172"/>
    <cellStyle name="20% - Accent1 36 2 5" xfId="8173"/>
    <cellStyle name="20% - Accent1 36 3" xfId="8174"/>
    <cellStyle name="20% - Accent1 36 3 2" xfId="8175"/>
    <cellStyle name="20% - Accent1 36 3 2 2" xfId="8176"/>
    <cellStyle name="20% - Accent1 36 3 3" xfId="8177"/>
    <cellStyle name="20% - Accent1 36 3 4" xfId="8178"/>
    <cellStyle name="20% - Accent1 36 4" xfId="8179"/>
    <cellStyle name="20% - Accent1 36 4 2" xfId="8180"/>
    <cellStyle name="20% - Accent1 36 4 2 2" xfId="8181"/>
    <cellStyle name="20% - Accent1 36 4 3" xfId="8182"/>
    <cellStyle name="20% - Accent1 36 4 4" xfId="8183"/>
    <cellStyle name="20% - Accent1 36 5" xfId="8184"/>
    <cellStyle name="20% - Accent1 36 5 2" xfId="8185"/>
    <cellStyle name="20% - Accent1 36 6" xfId="8186"/>
    <cellStyle name="20% - Accent1 36 7" xfId="8187"/>
    <cellStyle name="20% - Accent1 36 8" xfId="8188"/>
    <cellStyle name="20% - Accent1 37" xfId="8189"/>
    <cellStyle name="20% - Accent1 37 2" xfId="8190"/>
    <cellStyle name="20% - Accent1 37 2 2" xfId="8191"/>
    <cellStyle name="20% - Accent1 37 2 2 2" xfId="8192"/>
    <cellStyle name="20% - Accent1 37 2 2 3" xfId="8193"/>
    <cellStyle name="20% - Accent1 37 2 3" xfId="8194"/>
    <cellStyle name="20% - Accent1 37 2 3 2" xfId="8195"/>
    <cellStyle name="20% - Accent1 37 2 4" xfId="8196"/>
    <cellStyle name="20% - Accent1 37 2 5" xfId="8197"/>
    <cellStyle name="20% - Accent1 37 3" xfId="8198"/>
    <cellStyle name="20% - Accent1 37 3 2" xfId="8199"/>
    <cellStyle name="20% - Accent1 37 3 2 2" xfId="8200"/>
    <cellStyle name="20% - Accent1 37 3 3" xfId="8201"/>
    <cellStyle name="20% - Accent1 37 3 4" xfId="8202"/>
    <cellStyle name="20% - Accent1 37 4" xfId="8203"/>
    <cellStyle name="20% - Accent1 37 4 2" xfId="8204"/>
    <cellStyle name="20% - Accent1 37 4 2 2" xfId="8205"/>
    <cellStyle name="20% - Accent1 37 4 3" xfId="8206"/>
    <cellStyle name="20% - Accent1 37 4 4" xfId="8207"/>
    <cellStyle name="20% - Accent1 37 5" xfId="8208"/>
    <cellStyle name="20% - Accent1 37 5 2" xfId="8209"/>
    <cellStyle name="20% - Accent1 37 6" xfId="8210"/>
    <cellStyle name="20% - Accent1 37 7" xfId="8211"/>
    <cellStyle name="20% - Accent1 37 8" xfId="8212"/>
    <cellStyle name="20% - Accent1 38" xfId="8213"/>
    <cellStyle name="20% - Accent1 38 2" xfId="8214"/>
    <cellStyle name="20% - Accent1 38 2 2" xfId="8215"/>
    <cellStyle name="20% - Accent1 38 2 3" xfId="8216"/>
    <cellStyle name="20% - Accent1 38 3" xfId="8217"/>
    <cellStyle name="20% - Accent1 38 3 2" xfId="8218"/>
    <cellStyle name="20% - Accent1 38 4" xfId="8219"/>
    <cellStyle name="20% - Accent1 38 5" xfId="8220"/>
    <cellStyle name="20% - Accent1 39" xfId="8221"/>
    <cellStyle name="20% - Accent1 39 2" xfId="8222"/>
    <cellStyle name="20% - Accent1 39 2 2" xfId="8223"/>
    <cellStyle name="20% - Accent1 39 2 3" xfId="8224"/>
    <cellStyle name="20% - Accent1 39 3" xfId="8225"/>
    <cellStyle name="20% - Accent1 39 3 2" xfId="8226"/>
    <cellStyle name="20% - Accent1 39 4" xfId="8227"/>
    <cellStyle name="20% - Accent1 39 5" xfId="8228"/>
    <cellStyle name="20% - Accent1 4" xfId="203"/>
    <cellStyle name="20% - Accent1 4 2" xfId="8229"/>
    <cellStyle name="20% - Accent1 4 2 2" xfId="8230"/>
    <cellStyle name="20% - Accent1 4 2 3" xfId="8231"/>
    <cellStyle name="20% - Accent1 4 2 4" xfId="8232"/>
    <cellStyle name="20% - Accent1 4 2 5" xfId="8233"/>
    <cellStyle name="20% - Accent1 4 2 6" xfId="8234"/>
    <cellStyle name="20% - Accent1 4 2 7" xfId="8235"/>
    <cellStyle name="20% - Accent1 4 2_2009 Actual" xfId="8236"/>
    <cellStyle name="20% - Accent1 4 3" xfId="8237"/>
    <cellStyle name="20% - Accent1 4 4" xfId="8238"/>
    <cellStyle name="20% - Accent1 4 5" xfId="8239"/>
    <cellStyle name="20% - Accent1 4 6" xfId="8240"/>
    <cellStyle name="20% - Accent1 4 7" xfId="8241"/>
    <cellStyle name="20% - Accent1 4 8" xfId="8242"/>
    <cellStyle name="20% - Accent1 4_2009 Actual" xfId="8243"/>
    <cellStyle name="20% - Accent1 40" xfId="8244"/>
    <cellStyle name="20% - Accent1 40 2" xfId="8245"/>
    <cellStyle name="20% - Accent1 40 2 2" xfId="8246"/>
    <cellStyle name="20% - Accent1 40 2 3" xfId="8247"/>
    <cellStyle name="20% - Accent1 40 3" xfId="8248"/>
    <cellStyle name="20% - Accent1 40 3 2" xfId="8249"/>
    <cellStyle name="20% - Accent1 40 4" xfId="8250"/>
    <cellStyle name="20% - Accent1 40 5" xfId="8251"/>
    <cellStyle name="20% - Accent1 41" xfId="8252"/>
    <cellStyle name="20% - Accent1 41 2" xfId="8253"/>
    <cellStyle name="20% - Accent1 41 2 2" xfId="8254"/>
    <cellStyle name="20% - Accent1 41 2 3" xfId="8255"/>
    <cellStyle name="20% - Accent1 41 3" xfId="8256"/>
    <cellStyle name="20% - Accent1 41 3 2" xfId="8257"/>
    <cellStyle name="20% - Accent1 41 4" xfId="8258"/>
    <cellStyle name="20% - Accent1 41 5" xfId="8259"/>
    <cellStyle name="20% - Accent1 42" xfId="8260"/>
    <cellStyle name="20% - Accent1 42 2" xfId="8261"/>
    <cellStyle name="20% - Accent1 42 2 2" xfId="8262"/>
    <cellStyle name="20% - Accent1 42 2 3" xfId="8263"/>
    <cellStyle name="20% - Accent1 42 3" xfId="8264"/>
    <cellStyle name="20% - Accent1 42 3 2" xfId="8265"/>
    <cellStyle name="20% - Accent1 42 4" xfId="8266"/>
    <cellStyle name="20% - Accent1 42 5" xfId="8267"/>
    <cellStyle name="20% - Accent1 43" xfId="8268"/>
    <cellStyle name="20% - Accent1 43 2" xfId="8269"/>
    <cellStyle name="20% - Accent1 43 2 2" xfId="8270"/>
    <cellStyle name="20% - Accent1 43 2 3" xfId="8271"/>
    <cellStyle name="20% - Accent1 43 3" xfId="8272"/>
    <cellStyle name="20% - Accent1 43 3 2" xfId="8273"/>
    <cellStyle name="20% - Accent1 43 4" xfId="8274"/>
    <cellStyle name="20% - Accent1 43 5" xfId="8275"/>
    <cellStyle name="20% - Accent1 44" xfId="8276"/>
    <cellStyle name="20% - Accent1 44 2" xfId="8277"/>
    <cellStyle name="20% - Accent1 44 2 2" xfId="8278"/>
    <cellStyle name="20% - Accent1 44 2 3" xfId="8279"/>
    <cellStyle name="20% - Accent1 44 3" xfId="8280"/>
    <cellStyle name="20% - Accent1 44 3 2" xfId="8281"/>
    <cellStyle name="20% - Accent1 44 4" xfId="8282"/>
    <cellStyle name="20% - Accent1 44 5" xfId="8283"/>
    <cellStyle name="20% - Accent1 45" xfId="8284"/>
    <cellStyle name="20% - Accent1 45 2" xfId="8285"/>
    <cellStyle name="20% - Accent1 45 2 2" xfId="8286"/>
    <cellStyle name="20% - Accent1 45 2 3" xfId="8287"/>
    <cellStyle name="20% - Accent1 45 3" xfId="8288"/>
    <cellStyle name="20% - Accent1 45 3 2" xfId="8289"/>
    <cellStyle name="20% - Accent1 45 4" xfId="8290"/>
    <cellStyle name="20% - Accent1 45 5" xfId="8291"/>
    <cellStyle name="20% - Accent1 46" xfId="8292"/>
    <cellStyle name="20% - Accent1 46 2" xfId="8293"/>
    <cellStyle name="20% - Accent1 46 2 2" xfId="8294"/>
    <cellStyle name="20% - Accent1 46 2 3" xfId="8295"/>
    <cellStyle name="20% - Accent1 46 3" xfId="8296"/>
    <cellStyle name="20% - Accent1 46 3 2" xfId="8297"/>
    <cellStyle name="20% - Accent1 46 4" xfId="8298"/>
    <cellStyle name="20% - Accent1 46 5" xfId="8299"/>
    <cellStyle name="20% - Accent1 47" xfId="8300"/>
    <cellStyle name="20% - Accent1 47 2" xfId="8301"/>
    <cellStyle name="20% - Accent1 47 2 2" xfId="8302"/>
    <cellStyle name="20% - Accent1 47 2 3" xfId="8303"/>
    <cellStyle name="20% - Accent1 47 3" xfId="8304"/>
    <cellStyle name="20% - Accent1 47 3 2" xfId="8305"/>
    <cellStyle name="20% - Accent1 47 4" xfId="8306"/>
    <cellStyle name="20% - Accent1 47 5" xfId="8307"/>
    <cellStyle name="20% - Accent1 48" xfId="8308"/>
    <cellStyle name="20% - Accent1 48 2" xfId="8309"/>
    <cellStyle name="20% - Accent1 48 2 2" xfId="8310"/>
    <cellStyle name="20% - Accent1 48 2 3" xfId="8311"/>
    <cellStyle name="20% - Accent1 48 3" xfId="8312"/>
    <cellStyle name="20% - Accent1 48 3 2" xfId="8313"/>
    <cellStyle name="20% - Accent1 48 4" xfId="8314"/>
    <cellStyle name="20% - Accent1 48 5" xfId="8315"/>
    <cellStyle name="20% - Accent1 49" xfId="8316"/>
    <cellStyle name="20% - Accent1 49 2" xfId="8317"/>
    <cellStyle name="20% - Accent1 49 2 2" xfId="8318"/>
    <cellStyle name="20% - Accent1 49 2 3" xfId="8319"/>
    <cellStyle name="20% - Accent1 49 3" xfId="8320"/>
    <cellStyle name="20% - Accent1 49 3 2" xfId="8321"/>
    <cellStyle name="20% - Accent1 49 4" xfId="8322"/>
    <cellStyle name="20% - Accent1 49 5" xfId="8323"/>
    <cellStyle name="20% - Accent1 5" xfId="8324"/>
    <cellStyle name="20% - Accent1 5 2" xfId="8325"/>
    <cellStyle name="20% - Accent1 5 2 2" xfId="8326"/>
    <cellStyle name="20% - Accent1 5 2 3" xfId="8327"/>
    <cellStyle name="20% - Accent1 5 2 4" xfId="8328"/>
    <cellStyle name="20% - Accent1 5 2 5" xfId="8329"/>
    <cellStyle name="20% - Accent1 5 2 6" xfId="8330"/>
    <cellStyle name="20% - Accent1 5 2 7" xfId="8331"/>
    <cellStyle name="20% - Accent1 5 2_2009 Actual" xfId="8332"/>
    <cellStyle name="20% - Accent1 5 3" xfId="8333"/>
    <cellStyle name="20% - Accent1 5 4" xfId="8334"/>
    <cellStyle name="20% - Accent1 5 5" xfId="8335"/>
    <cellStyle name="20% - Accent1 5 6" xfId="8336"/>
    <cellStyle name="20% - Accent1 5 7" xfId="8337"/>
    <cellStyle name="20% - Accent1 5 8" xfId="8338"/>
    <cellStyle name="20% - Accent1 5_2009 Actual" xfId="8339"/>
    <cellStyle name="20% - Accent1 50" xfId="8340"/>
    <cellStyle name="20% - Accent1 50 2" xfId="8341"/>
    <cellStyle name="20% - Accent1 50 2 2" xfId="8342"/>
    <cellStyle name="20% - Accent1 50 2 3" xfId="8343"/>
    <cellStyle name="20% - Accent1 50 3" xfId="8344"/>
    <cellStyle name="20% - Accent1 50 3 2" xfId="8345"/>
    <cellStyle name="20% - Accent1 50 4" xfId="8346"/>
    <cellStyle name="20% - Accent1 50 5" xfId="8347"/>
    <cellStyle name="20% - Accent1 51" xfId="8348"/>
    <cellStyle name="20% - Accent1 51 2" xfId="8349"/>
    <cellStyle name="20% - Accent1 51 2 2" xfId="8350"/>
    <cellStyle name="20% - Accent1 51 2 3" xfId="8351"/>
    <cellStyle name="20% - Accent1 51 3" xfId="8352"/>
    <cellStyle name="20% - Accent1 51 3 2" xfId="8353"/>
    <cellStyle name="20% - Accent1 51 4" xfId="8354"/>
    <cellStyle name="20% - Accent1 51 5" xfId="8355"/>
    <cellStyle name="20% - Accent1 52" xfId="8356"/>
    <cellStyle name="20% - Accent1 52 2" xfId="8357"/>
    <cellStyle name="20% - Accent1 52 2 2" xfId="8358"/>
    <cellStyle name="20% - Accent1 52 2 3" xfId="8359"/>
    <cellStyle name="20% - Accent1 52 3" xfId="8360"/>
    <cellStyle name="20% - Accent1 52 3 2" xfId="8361"/>
    <cellStyle name="20% - Accent1 52 4" xfId="8362"/>
    <cellStyle name="20% - Accent1 52 5" xfId="8363"/>
    <cellStyle name="20% - Accent1 53" xfId="8364"/>
    <cellStyle name="20% - Accent1 53 2" xfId="8365"/>
    <cellStyle name="20% - Accent1 53 2 2" xfId="8366"/>
    <cellStyle name="20% - Accent1 53 2 3" xfId="8367"/>
    <cellStyle name="20% - Accent1 53 3" xfId="8368"/>
    <cellStyle name="20% - Accent1 53 3 2" xfId="8369"/>
    <cellStyle name="20% - Accent1 53 4" xfId="8370"/>
    <cellStyle name="20% - Accent1 53 5" xfId="8371"/>
    <cellStyle name="20% - Accent1 54" xfId="8372"/>
    <cellStyle name="20% - Accent1 54 2" xfId="8373"/>
    <cellStyle name="20% - Accent1 54 2 2" xfId="8374"/>
    <cellStyle name="20% - Accent1 54 2 3" xfId="8375"/>
    <cellStyle name="20% - Accent1 54 3" xfId="8376"/>
    <cellStyle name="20% - Accent1 54 3 2" xfId="8377"/>
    <cellStyle name="20% - Accent1 54 4" xfId="8378"/>
    <cellStyle name="20% - Accent1 54 5" xfId="8379"/>
    <cellStyle name="20% - Accent1 55" xfId="8380"/>
    <cellStyle name="20% - Accent1 55 2" xfId="8381"/>
    <cellStyle name="20% - Accent1 55 2 2" xfId="8382"/>
    <cellStyle name="20% - Accent1 55 2 3" xfId="8383"/>
    <cellStyle name="20% - Accent1 55 3" xfId="8384"/>
    <cellStyle name="20% - Accent1 55 3 2" xfId="8385"/>
    <cellStyle name="20% - Accent1 55 4" xfId="8386"/>
    <cellStyle name="20% - Accent1 55 5" xfId="8387"/>
    <cellStyle name="20% - Accent1 56" xfId="8388"/>
    <cellStyle name="20% - Accent1 56 2" xfId="8389"/>
    <cellStyle name="20% - Accent1 56 2 2" xfId="8390"/>
    <cellStyle name="20% - Accent1 56 2 3" xfId="8391"/>
    <cellStyle name="20% - Accent1 56 3" xfId="8392"/>
    <cellStyle name="20% - Accent1 56 3 2" xfId="8393"/>
    <cellStyle name="20% - Accent1 56 4" xfId="8394"/>
    <cellStyle name="20% - Accent1 56 5" xfId="8395"/>
    <cellStyle name="20% - Accent1 57" xfId="8396"/>
    <cellStyle name="20% - Accent1 57 2" xfId="8397"/>
    <cellStyle name="20% - Accent1 57 2 2" xfId="8398"/>
    <cellStyle name="20% - Accent1 57 2 3" xfId="8399"/>
    <cellStyle name="20% - Accent1 57 3" xfId="8400"/>
    <cellStyle name="20% - Accent1 57 3 2" xfId="8401"/>
    <cellStyle name="20% - Accent1 57 4" xfId="8402"/>
    <cellStyle name="20% - Accent1 57 5" xfId="8403"/>
    <cellStyle name="20% - Accent1 58" xfId="8404"/>
    <cellStyle name="20% - Accent1 58 2" xfId="8405"/>
    <cellStyle name="20% - Accent1 58 2 2" xfId="8406"/>
    <cellStyle name="20% - Accent1 58 2 3" xfId="8407"/>
    <cellStyle name="20% - Accent1 58 3" xfId="8408"/>
    <cellStyle name="20% - Accent1 58 3 2" xfId="8409"/>
    <cellStyle name="20% - Accent1 58 4" xfId="8410"/>
    <cellStyle name="20% - Accent1 58 5" xfId="8411"/>
    <cellStyle name="20% - Accent1 59" xfId="8412"/>
    <cellStyle name="20% - Accent1 59 2" xfId="8413"/>
    <cellStyle name="20% - Accent1 59 2 2" xfId="8414"/>
    <cellStyle name="20% - Accent1 59 2 3" xfId="8415"/>
    <cellStyle name="20% - Accent1 59 3" xfId="8416"/>
    <cellStyle name="20% - Accent1 59 3 2" xfId="8417"/>
    <cellStyle name="20% - Accent1 59 4" xfId="8418"/>
    <cellStyle name="20% - Accent1 59 5" xfId="8419"/>
    <cellStyle name="20% - Accent1 6" xfId="8420"/>
    <cellStyle name="20% - Accent1 6 2" xfId="8421"/>
    <cellStyle name="20% - Accent1 6 2 2" xfId="8422"/>
    <cellStyle name="20% - Accent1 6 2_4Q Ops Metrics Gas &amp; Electric 2010" xfId="8423"/>
    <cellStyle name="20% - Accent1 6 3" xfId="8424"/>
    <cellStyle name="20% - Accent1 6 3 2" xfId="8425"/>
    <cellStyle name="20% - Accent1 6 3_4Q Ops Metrics Gas &amp; Electric 2010" xfId="8426"/>
    <cellStyle name="20% - Accent1 6 4" xfId="8427"/>
    <cellStyle name="20% - Accent1 6 4 2" xfId="8428"/>
    <cellStyle name="20% - Accent1 6 4_4Q Ops Metrics Gas &amp; Electric 2010" xfId="8429"/>
    <cellStyle name="20% - Accent1 6 5" xfId="8430"/>
    <cellStyle name="20% - Accent1 6 5 2" xfId="8431"/>
    <cellStyle name="20% - Accent1 6 5 3" xfId="8432"/>
    <cellStyle name="20% - Accent1 6 5 4" xfId="8433"/>
    <cellStyle name="20% - Accent1 6 5 5" xfId="8434"/>
    <cellStyle name="20% - Accent1 6 5_4Q Ops Metrics Gas &amp; Electric 2010" xfId="8435"/>
    <cellStyle name="20% - Accent1 6 6" xfId="8436"/>
    <cellStyle name="20% - Accent1 6 6 2" xfId="8437"/>
    <cellStyle name="20% - Accent1 6 7" xfId="8438"/>
    <cellStyle name="20% - Accent1 6 7 2" xfId="8439"/>
    <cellStyle name="20% - Accent1 6_2009 Actual" xfId="8440"/>
    <cellStyle name="20% - Accent1 60" xfId="8441"/>
    <cellStyle name="20% - Accent1 60 2" xfId="8442"/>
    <cellStyle name="20% - Accent1 60 2 2" xfId="8443"/>
    <cellStyle name="20% - Accent1 60 2 3" xfId="8444"/>
    <cellStyle name="20% - Accent1 60 3" xfId="8445"/>
    <cellStyle name="20% - Accent1 60 3 2" xfId="8446"/>
    <cellStyle name="20% - Accent1 60 4" xfId="8447"/>
    <cellStyle name="20% - Accent1 60 5" xfId="8448"/>
    <cellStyle name="20% - Accent1 61" xfId="8449"/>
    <cellStyle name="20% - Accent1 61 2" xfId="8450"/>
    <cellStyle name="20% - Accent1 61 2 2" xfId="8451"/>
    <cellStyle name="20% - Accent1 61 2 3" xfId="8452"/>
    <cellStyle name="20% - Accent1 61 3" xfId="8453"/>
    <cellStyle name="20% - Accent1 61 3 2" xfId="8454"/>
    <cellStyle name="20% - Accent1 61 4" xfId="8455"/>
    <cellStyle name="20% - Accent1 61 5" xfId="8456"/>
    <cellStyle name="20% - Accent1 62" xfId="8457"/>
    <cellStyle name="20% - Accent1 62 2" xfId="8458"/>
    <cellStyle name="20% - Accent1 62 2 2" xfId="8459"/>
    <cellStyle name="20% - Accent1 62 2 3" xfId="8460"/>
    <cellStyle name="20% - Accent1 62 3" xfId="8461"/>
    <cellStyle name="20% - Accent1 62 3 2" xfId="8462"/>
    <cellStyle name="20% - Accent1 62 4" xfId="8463"/>
    <cellStyle name="20% - Accent1 62 5" xfId="8464"/>
    <cellStyle name="20% - Accent1 63" xfId="8465"/>
    <cellStyle name="20% - Accent1 63 2" xfId="8466"/>
    <cellStyle name="20% - Accent1 63 2 2" xfId="8467"/>
    <cellStyle name="20% - Accent1 63 2 3" xfId="8468"/>
    <cellStyle name="20% - Accent1 63 3" xfId="8469"/>
    <cellStyle name="20% - Accent1 63 3 2" xfId="8470"/>
    <cellStyle name="20% - Accent1 63 4" xfId="8471"/>
    <cellStyle name="20% - Accent1 63 5" xfId="8472"/>
    <cellStyle name="20% - Accent1 64" xfId="8473"/>
    <cellStyle name="20% - Accent1 64 2" xfId="8474"/>
    <cellStyle name="20% - Accent1 64 2 2" xfId="8475"/>
    <cellStyle name="20% - Accent1 64 2 3" xfId="8476"/>
    <cellStyle name="20% - Accent1 64 3" xfId="8477"/>
    <cellStyle name="20% - Accent1 64 3 2" xfId="8478"/>
    <cellStyle name="20% - Accent1 64 4" xfId="8479"/>
    <cellStyle name="20% - Accent1 64 5" xfId="8480"/>
    <cellStyle name="20% - Accent1 65" xfId="8481"/>
    <cellStyle name="20% - Accent1 65 2" xfId="8482"/>
    <cellStyle name="20% - Accent1 65 2 2" xfId="8483"/>
    <cellStyle name="20% - Accent1 65 2 3" xfId="8484"/>
    <cellStyle name="20% - Accent1 65 3" xfId="8485"/>
    <cellStyle name="20% - Accent1 65 3 2" xfId="8486"/>
    <cellStyle name="20% - Accent1 65 4" xfId="8487"/>
    <cellStyle name="20% - Accent1 65 5" xfId="8488"/>
    <cellStyle name="20% - Accent1 66" xfId="8489"/>
    <cellStyle name="20% - Accent1 66 2" xfId="8490"/>
    <cellStyle name="20% - Accent1 66 2 2" xfId="8491"/>
    <cellStyle name="20% - Accent1 66 2 3" xfId="8492"/>
    <cellStyle name="20% - Accent1 66 3" xfId="8493"/>
    <cellStyle name="20% - Accent1 66 3 2" xfId="8494"/>
    <cellStyle name="20% - Accent1 66 4" xfId="8495"/>
    <cellStyle name="20% - Accent1 66 5" xfId="8496"/>
    <cellStyle name="20% - Accent1 67" xfId="8497"/>
    <cellStyle name="20% - Accent1 67 2" xfId="8498"/>
    <cellStyle name="20% - Accent1 67 2 2" xfId="8499"/>
    <cellStyle name="20% - Accent1 67 2 3" xfId="8500"/>
    <cellStyle name="20% - Accent1 67 3" xfId="8501"/>
    <cellStyle name="20% - Accent1 67 3 2" xfId="8502"/>
    <cellStyle name="20% - Accent1 67 4" xfId="8503"/>
    <cellStyle name="20% - Accent1 67 5" xfId="8504"/>
    <cellStyle name="20% - Accent1 68" xfId="8505"/>
    <cellStyle name="20% - Accent1 68 2" xfId="8506"/>
    <cellStyle name="20% - Accent1 68 2 2" xfId="8507"/>
    <cellStyle name="20% - Accent1 68 2 3" xfId="8508"/>
    <cellStyle name="20% - Accent1 68 3" xfId="8509"/>
    <cellStyle name="20% - Accent1 68 3 2" xfId="8510"/>
    <cellStyle name="20% - Accent1 68 4" xfId="8511"/>
    <cellStyle name="20% - Accent1 68 5" xfId="8512"/>
    <cellStyle name="20% - Accent1 69" xfId="8513"/>
    <cellStyle name="20% - Accent1 69 2" xfId="8514"/>
    <cellStyle name="20% - Accent1 69 2 2" xfId="8515"/>
    <cellStyle name="20% - Accent1 69 2 3" xfId="8516"/>
    <cellStyle name="20% - Accent1 69 3" xfId="8517"/>
    <cellStyle name="20% - Accent1 69 3 2" xfId="8518"/>
    <cellStyle name="20% - Accent1 69 4" xfId="8519"/>
    <cellStyle name="20% - Accent1 69 5" xfId="8520"/>
    <cellStyle name="20% - Accent1 7" xfId="8521"/>
    <cellStyle name="20% - Accent1 7 2" xfId="8522"/>
    <cellStyle name="20% - Accent1 7 2 2" xfId="8523"/>
    <cellStyle name="20% - Accent1 7 2_4Q Ops Metrics Gas &amp; Electric 2010" xfId="8524"/>
    <cellStyle name="20% - Accent1 7 3" xfId="8525"/>
    <cellStyle name="20% - Accent1 7 3 2" xfId="8526"/>
    <cellStyle name="20% - Accent1 7 3_4Q Ops Metrics Gas &amp; Electric 2010" xfId="8527"/>
    <cellStyle name="20% - Accent1 7 4" xfId="8528"/>
    <cellStyle name="20% - Accent1 7 4 2" xfId="8529"/>
    <cellStyle name="20% - Accent1 7 4_4Q Ops Metrics Gas &amp; Electric 2010" xfId="8530"/>
    <cellStyle name="20% - Accent1 7 5" xfId="8531"/>
    <cellStyle name="20% - Accent1 7 5 2" xfId="8532"/>
    <cellStyle name="20% - Accent1 7 5 3" xfId="8533"/>
    <cellStyle name="20% - Accent1 7 5 4" xfId="8534"/>
    <cellStyle name="20% - Accent1 7 5 5" xfId="8535"/>
    <cellStyle name="20% - Accent1 7 5_4Q Ops Metrics Gas &amp; Electric 2010" xfId="8536"/>
    <cellStyle name="20% - Accent1 7 6" xfId="8537"/>
    <cellStyle name="20% - Accent1 7 6 2" xfId="8538"/>
    <cellStyle name="20% - Accent1 7 7" xfId="8539"/>
    <cellStyle name="20% - Accent1 7 7 2" xfId="8540"/>
    <cellStyle name="20% - Accent1 7_2009 Actual" xfId="8541"/>
    <cellStyle name="20% - Accent1 70" xfId="8542"/>
    <cellStyle name="20% - Accent1 70 2" xfId="8543"/>
    <cellStyle name="20% - Accent1 70 2 2" xfId="8544"/>
    <cellStyle name="20% - Accent1 70 2 3" xfId="8545"/>
    <cellStyle name="20% - Accent1 70 3" xfId="8546"/>
    <cellStyle name="20% - Accent1 70 3 2" xfId="8547"/>
    <cellStyle name="20% - Accent1 70 4" xfId="8548"/>
    <cellStyle name="20% - Accent1 70 5" xfId="8549"/>
    <cellStyle name="20% - Accent1 71" xfId="8550"/>
    <cellStyle name="20% - Accent1 71 2" xfId="8551"/>
    <cellStyle name="20% - Accent1 71 2 2" xfId="8552"/>
    <cellStyle name="20% - Accent1 71 3" xfId="8553"/>
    <cellStyle name="20% - Accent1 71 4" xfId="8554"/>
    <cellStyle name="20% - Accent1 72" xfId="8555"/>
    <cellStyle name="20% - Accent1 72 2" xfId="8556"/>
    <cellStyle name="20% - Accent1 72 2 2" xfId="8557"/>
    <cellStyle name="20% - Accent1 72 3" xfId="8558"/>
    <cellStyle name="20% - Accent1 72 4" xfId="8559"/>
    <cellStyle name="20% - Accent1 73" xfId="8560"/>
    <cellStyle name="20% - Accent1 73 2" xfId="8561"/>
    <cellStyle name="20% - Accent1 73 2 2" xfId="8562"/>
    <cellStyle name="20% - Accent1 73 3" xfId="8563"/>
    <cellStyle name="20% - Accent1 73 4" xfId="8564"/>
    <cellStyle name="20% - Accent1 74" xfId="8565"/>
    <cellStyle name="20% - Accent1 74 2" xfId="8566"/>
    <cellStyle name="20% - Accent1 74 2 2" xfId="8567"/>
    <cellStyle name="20% - Accent1 74 3" xfId="8568"/>
    <cellStyle name="20% - Accent1 74 4" xfId="8569"/>
    <cellStyle name="20% - Accent1 75" xfId="8570"/>
    <cellStyle name="20% - Accent1 75 2" xfId="8571"/>
    <cellStyle name="20% - Accent1 75 2 2" xfId="8572"/>
    <cellStyle name="20% - Accent1 75 3" xfId="8573"/>
    <cellStyle name="20% - Accent1 75 4" xfId="8574"/>
    <cellStyle name="20% - Accent1 76" xfId="8575"/>
    <cellStyle name="20% - Accent1 76 2" xfId="8576"/>
    <cellStyle name="20% - Accent1 76 2 2" xfId="8577"/>
    <cellStyle name="20% - Accent1 76 3" xfId="8578"/>
    <cellStyle name="20% - Accent1 76 4" xfId="8579"/>
    <cellStyle name="20% - Accent1 77" xfId="8580"/>
    <cellStyle name="20% - Accent1 77 2" xfId="8581"/>
    <cellStyle name="20% - Accent1 77 2 2" xfId="8582"/>
    <cellStyle name="20% - Accent1 77 3" xfId="8583"/>
    <cellStyle name="20% - Accent1 77 4" xfId="8584"/>
    <cellStyle name="20% - Accent1 78" xfId="8585"/>
    <cellStyle name="20% - Accent1 78 2" xfId="8586"/>
    <cellStyle name="20% - Accent1 78 2 2" xfId="8587"/>
    <cellStyle name="20% - Accent1 78 3" xfId="8588"/>
    <cellStyle name="20% - Accent1 78 4" xfId="8589"/>
    <cellStyle name="20% - Accent1 79" xfId="8590"/>
    <cellStyle name="20% - Accent1 79 2" xfId="8591"/>
    <cellStyle name="20% - Accent1 79 2 2" xfId="8592"/>
    <cellStyle name="20% - Accent1 79 3" xfId="8593"/>
    <cellStyle name="20% - Accent1 79 4" xfId="8594"/>
    <cellStyle name="20% - Accent1 8" xfId="8595"/>
    <cellStyle name="20% - Accent1 8 2" xfId="8596"/>
    <cellStyle name="20% - Accent1 8 2 2" xfId="8597"/>
    <cellStyle name="20% - Accent1 8 2_4Q Ops Metrics Gas &amp; Electric 2010" xfId="8598"/>
    <cellStyle name="20% - Accent1 8 3" xfId="8599"/>
    <cellStyle name="20% - Accent1 8 3 2" xfId="8600"/>
    <cellStyle name="20% - Accent1 8 3_4Q Ops Metrics Gas &amp; Electric 2010" xfId="8601"/>
    <cellStyle name="20% - Accent1 8 4" xfId="8602"/>
    <cellStyle name="20% - Accent1 8 4 2" xfId="8603"/>
    <cellStyle name="20% - Accent1 8 4_4Q Ops Metrics Gas &amp; Electric 2010" xfId="8604"/>
    <cellStyle name="20% - Accent1 8 5" xfId="8605"/>
    <cellStyle name="20% - Accent1 8 5 2" xfId="8606"/>
    <cellStyle name="20% - Accent1 8 5 3" xfId="8607"/>
    <cellStyle name="20% - Accent1 8 5 4" xfId="8608"/>
    <cellStyle name="20% - Accent1 8 5 5" xfId="8609"/>
    <cellStyle name="20% - Accent1 8 5_4Q Ops Metrics Gas &amp; Electric 2010" xfId="8610"/>
    <cellStyle name="20% - Accent1 8 6" xfId="8611"/>
    <cellStyle name="20% - Accent1 8 6 2" xfId="8612"/>
    <cellStyle name="20% - Accent1 8 7" xfId="8613"/>
    <cellStyle name="20% - Accent1 8 7 2" xfId="8614"/>
    <cellStyle name="20% - Accent1 8_2009 Actual" xfId="8615"/>
    <cellStyle name="20% - Accent1 80" xfId="8616"/>
    <cellStyle name="20% - Accent1 80 2" xfId="8617"/>
    <cellStyle name="20% - Accent1 80 2 2" xfId="8618"/>
    <cellStyle name="20% - Accent1 80 3" xfId="8619"/>
    <cellStyle name="20% - Accent1 80 4" xfId="8620"/>
    <cellStyle name="20% - Accent1 81" xfId="8621"/>
    <cellStyle name="20% - Accent1 81 2" xfId="8622"/>
    <cellStyle name="20% - Accent1 81 2 2" xfId="8623"/>
    <cellStyle name="20% - Accent1 81 3" xfId="8624"/>
    <cellStyle name="20% - Accent1 81 4" xfId="8625"/>
    <cellStyle name="20% - Accent1 82" xfId="8626"/>
    <cellStyle name="20% - Accent1 82 2" xfId="8627"/>
    <cellStyle name="20% - Accent1 82 2 2" xfId="8628"/>
    <cellStyle name="20% - Accent1 82 3" xfId="8629"/>
    <cellStyle name="20% - Accent1 82 4" xfId="8630"/>
    <cellStyle name="20% - Accent1 83" xfId="8631"/>
    <cellStyle name="20% - Accent1 83 2" xfId="8632"/>
    <cellStyle name="20% - Accent1 83 2 2" xfId="8633"/>
    <cellStyle name="20% - Accent1 83 3" xfId="8634"/>
    <cellStyle name="20% - Accent1 83 4" xfId="8635"/>
    <cellStyle name="20% - Accent1 84" xfId="8636"/>
    <cellStyle name="20% - Accent1 84 2" xfId="8637"/>
    <cellStyle name="20% - Accent1 84 2 2" xfId="8638"/>
    <cellStyle name="20% - Accent1 84 3" xfId="8639"/>
    <cellStyle name="20% - Accent1 84 4" xfId="8640"/>
    <cellStyle name="20% - Accent1 85" xfId="8641"/>
    <cellStyle name="20% - Accent1 85 2" xfId="8642"/>
    <cellStyle name="20% - Accent1 85 2 2" xfId="8643"/>
    <cellStyle name="20% - Accent1 85 3" xfId="8644"/>
    <cellStyle name="20% - Accent1 85 4" xfId="8645"/>
    <cellStyle name="20% - Accent1 86" xfId="8646"/>
    <cellStyle name="20% - Accent1 86 2" xfId="8647"/>
    <cellStyle name="20% - Accent1 86 2 2" xfId="8648"/>
    <cellStyle name="20% - Accent1 86 3" xfId="8649"/>
    <cellStyle name="20% - Accent1 86 4" xfId="8650"/>
    <cellStyle name="20% - Accent1 87" xfId="8651"/>
    <cellStyle name="20% - Accent1 87 2" xfId="8652"/>
    <cellStyle name="20% - Accent1 87 2 2" xfId="8653"/>
    <cellStyle name="20% - Accent1 87 3" xfId="8654"/>
    <cellStyle name="20% - Accent1 87 4" xfId="8655"/>
    <cellStyle name="20% - Accent1 88" xfId="8656"/>
    <cellStyle name="20% - Accent1 88 2" xfId="8657"/>
    <cellStyle name="20% - Accent1 88 2 2" xfId="8658"/>
    <cellStyle name="20% - Accent1 88 3" xfId="8659"/>
    <cellStyle name="20% - Accent1 88 4" xfId="8660"/>
    <cellStyle name="20% - Accent1 89" xfId="8661"/>
    <cellStyle name="20% - Accent1 89 2" xfId="8662"/>
    <cellStyle name="20% - Accent1 89 2 2" xfId="8663"/>
    <cellStyle name="20% - Accent1 89 3" xfId="8664"/>
    <cellStyle name="20% - Accent1 89 4" xfId="8665"/>
    <cellStyle name="20% - Accent1 9" xfId="8666"/>
    <cellStyle name="20% - Accent1 9 2" xfId="8667"/>
    <cellStyle name="20% - Accent1 9 2 2" xfId="8668"/>
    <cellStyle name="20% - Accent1 9 2_4Q Ops Metrics Gas &amp; Electric 2010" xfId="8669"/>
    <cellStyle name="20% - Accent1 9 3" xfId="8670"/>
    <cellStyle name="20% - Accent1 9 3 2" xfId="8671"/>
    <cellStyle name="20% - Accent1 9 3_4Q Ops Metrics Gas &amp; Electric 2010" xfId="8672"/>
    <cellStyle name="20% - Accent1 9 4" xfId="8673"/>
    <cellStyle name="20% - Accent1 9 4 2" xfId="8674"/>
    <cellStyle name="20% - Accent1 9 4_4Q Ops Metrics Gas &amp; Electric 2010" xfId="8675"/>
    <cellStyle name="20% - Accent1 9 5" xfId="8676"/>
    <cellStyle name="20% - Accent1 9 5 2" xfId="8677"/>
    <cellStyle name="20% - Accent1 9 5 3" xfId="8678"/>
    <cellStyle name="20% - Accent1 9 5 4" xfId="8679"/>
    <cellStyle name="20% - Accent1 9 5 5" xfId="8680"/>
    <cellStyle name="20% - Accent1 9 5_4Q Ops Metrics Gas &amp; Electric 2010" xfId="8681"/>
    <cellStyle name="20% - Accent1 9 6" xfId="8682"/>
    <cellStyle name="20% - Accent1 9 6 2" xfId="8683"/>
    <cellStyle name="20% - Accent1 9 7" xfId="8684"/>
    <cellStyle name="20% - Accent1 9 7 2" xfId="8685"/>
    <cellStyle name="20% - Accent1 9_2009 Actual" xfId="8686"/>
    <cellStyle name="20% - Accent1 90" xfId="8687"/>
    <cellStyle name="20% - Accent1 90 2" xfId="8688"/>
    <cellStyle name="20% - Accent1 90 2 2" xfId="8689"/>
    <cellStyle name="20% - Accent1 90 3" xfId="8690"/>
    <cellStyle name="20% - Accent1 90 4" xfId="8691"/>
    <cellStyle name="20% - Accent1 91" xfId="8692"/>
    <cellStyle name="20% - Accent1 91 2" xfId="8693"/>
    <cellStyle name="20% - Accent1 91 2 2" xfId="8694"/>
    <cellStyle name="20% - Accent1 91 3" xfId="8695"/>
    <cellStyle name="20% - Accent1 91 4" xfId="8696"/>
    <cellStyle name="20% - Accent1 92" xfId="8697"/>
    <cellStyle name="20% - Accent1 92 2" xfId="8698"/>
    <cellStyle name="20% - Accent1 92 2 2" xfId="8699"/>
    <cellStyle name="20% - Accent1 92 3" xfId="8700"/>
    <cellStyle name="20% - Accent1 92 4" xfId="8701"/>
    <cellStyle name="20% - Accent1 93" xfId="8702"/>
    <cellStyle name="20% - Accent1 93 2" xfId="8703"/>
    <cellStyle name="20% - Accent1 93 2 2" xfId="8704"/>
    <cellStyle name="20% - Accent1 93 3" xfId="8705"/>
    <cellStyle name="20% - Accent1 93 4" xfId="8706"/>
    <cellStyle name="20% - Accent1 94" xfId="8707"/>
    <cellStyle name="20% - Accent1 94 2" xfId="8708"/>
    <cellStyle name="20% - Accent1 94 2 2" xfId="8709"/>
    <cellStyle name="20% - Accent1 94 3" xfId="8710"/>
    <cellStyle name="20% - Accent1 94 4" xfId="8711"/>
    <cellStyle name="20% - Accent1 95" xfId="8712"/>
    <cellStyle name="20% - Accent1 95 2" xfId="8713"/>
    <cellStyle name="20% - Accent1 95 2 2" xfId="8714"/>
    <cellStyle name="20% - Accent1 95 3" xfId="8715"/>
    <cellStyle name="20% - Accent1 95 4" xfId="8716"/>
    <cellStyle name="20% - Accent1 96" xfId="8717"/>
    <cellStyle name="20% - Accent1 96 2" xfId="8718"/>
    <cellStyle name="20% - Accent1 96 3" xfId="8719"/>
    <cellStyle name="20% - Accent1 97" xfId="8720"/>
    <cellStyle name="20% - Accent1 97 2" xfId="8721"/>
    <cellStyle name="20% - Accent1 98" xfId="8722"/>
    <cellStyle name="20% - Accent1 98 2" xfId="8723"/>
    <cellStyle name="20% - Accent1 99" xfId="8724"/>
    <cellStyle name="20% - Accent1 99 2" xfId="8725"/>
    <cellStyle name="20% - Accent2 10" xfId="8726"/>
    <cellStyle name="20% - Accent2 10 2" xfId="8727"/>
    <cellStyle name="20% - Accent2 10 2 2" xfId="8728"/>
    <cellStyle name="20% - Accent2 10 2_4Q Ops Metrics Gas &amp; Electric 2010" xfId="8729"/>
    <cellStyle name="20% - Accent2 10 3" xfId="8730"/>
    <cellStyle name="20% - Accent2 10 3 2" xfId="8731"/>
    <cellStyle name="20% - Accent2 10 3_4Q Ops Metrics Gas &amp; Electric 2010" xfId="8732"/>
    <cellStyle name="20% - Accent2 10 4" xfId="8733"/>
    <cellStyle name="20% - Accent2 10 4 2" xfId="8734"/>
    <cellStyle name="20% - Accent2 10 4_4Q Ops Metrics Gas &amp; Electric 2010" xfId="8735"/>
    <cellStyle name="20% - Accent2 10 5" xfId="8736"/>
    <cellStyle name="20% - Accent2 10 5 2" xfId="8737"/>
    <cellStyle name="20% - Accent2 10 5 3" xfId="8738"/>
    <cellStyle name="20% - Accent2 10 5 4" xfId="8739"/>
    <cellStyle name="20% - Accent2 10 5 5" xfId="8740"/>
    <cellStyle name="20% - Accent2 10 5_4Q Ops Metrics Gas &amp; Electric 2010" xfId="8741"/>
    <cellStyle name="20% - Accent2 10 6" xfId="8742"/>
    <cellStyle name="20% - Accent2 10 6 2" xfId="8743"/>
    <cellStyle name="20% - Accent2 10 7" xfId="8744"/>
    <cellStyle name="20% - Accent2 10 7 2" xfId="8745"/>
    <cellStyle name="20% - Accent2 10_2009 Actual" xfId="8746"/>
    <cellStyle name="20% - Accent2 100" xfId="8747"/>
    <cellStyle name="20% - Accent2 101" xfId="8748"/>
    <cellStyle name="20% - Accent2 102" xfId="8749"/>
    <cellStyle name="20% - Accent2 103" xfId="8750"/>
    <cellStyle name="20% - Accent2 104" xfId="8751"/>
    <cellStyle name="20% - Accent2 105" xfId="8752"/>
    <cellStyle name="20% - Accent2 106" xfId="8753"/>
    <cellStyle name="20% - Accent2 107" xfId="8754"/>
    <cellStyle name="20% - Accent2 108" xfId="8755"/>
    <cellStyle name="20% - Accent2 109" xfId="8756"/>
    <cellStyle name="20% - Accent2 11" xfId="8757"/>
    <cellStyle name="20% - Accent2 11 2" xfId="8758"/>
    <cellStyle name="20% - Accent2 11 2 2" xfId="8759"/>
    <cellStyle name="20% - Accent2 11 2_4Q Ops Metrics Gas &amp; Electric 2010" xfId="8760"/>
    <cellStyle name="20% - Accent2 11 3" xfId="8761"/>
    <cellStyle name="20% - Accent2 11 3 2" xfId="8762"/>
    <cellStyle name="20% - Accent2 11 3_4Q Ops Metrics Gas &amp; Electric 2010" xfId="8763"/>
    <cellStyle name="20% - Accent2 11 4" xfId="8764"/>
    <cellStyle name="20% - Accent2 11 4 2" xfId="8765"/>
    <cellStyle name="20% - Accent2 11 4_4Q Ops Metrics Gas &amp; Electric 2010" xfId="8766"/>
    <cellStyle name="20% - Accent2 11 5" xfId="8767"/>
    <cellStyle name="20% - Accent2 11 5 2" xfId="8768"/>
    <cellStyle name="20% - Accent2 11 5 3" xfId="8769"/>
    <cellStyle name="20% - Accent2 11 5 4" xfId="8770"/>
    <cellStyle name="20% - Accent2 11 5 5" xfId="8771"/>
    <cellStyle name="20% - Accent2 11 5_4Q Ops Metrics Gas &amp; Electric 2010" xfId="8772"/>
    <cellStyle name="20% - Accent2 11 6" xfId="8773"/>
    <cellStyle name="20% - Accent2 11 6 2" xfId="8774"/>
    <cellStyle name="20% - Accent2 11 7" xfId="8775"/>
    <cellStyle name="20% - Accent2 11 7 2" xfId="8776"/>
    <cellStyle name="20% - Accent2 11_2009 Actual" xfId="8777"/>
    <cellStyle name="20% - Accent2 110" xfId="8778"/>
    <cellStyle name="20% - Accent2 111" xfId="8779"/>
    <cellStyle name="20% - Accent2 112" xfId="8780"/>
    <cellStyle name="20% - Accent2 113" xfId="8781"/>
    <cellStyle name="20% - Accent2 114" xfId="8782"/>
    <cellStyle name="20% - Accent2 115" xfId="8783"/>
    <cellStyle name="20% - Accent2 116" xfId="8784"/>
    <cellStyle name="20% - Accent2 117" xfId="8785"/>
    <cellStyle name="20% - Accent2 118" xfId="8786"/>
    <cellStyle name="20% - Accent2 119" xfId="8787"/>
    <cellStyle name="20% - Accent2 12" xfId="8788"/>
    <cellStyle name="20% - Accent2 12 10" xfId="8789"/>
    <cellStyle name="20% - Accent2 12 11" xfId="8790"/>
    <cellStyle name="20% - Accent2 12 2" xfId="8791"/>
    <cellStyle name="20% - Accent2 12 2 2" xfId="8792"/>
    <cellStyle name="20% - Accent2 12 2 2 2" xfId="8793"/>
    <cellStyle name="20% - Accent2 12 2 2 3" xfId="8794"/>
    <cellStyle name="20% - Accent2 12 2 2 4" xfId="8795"/>
    <cellStyle name="20% - Accent2 12 2 2_4Q Ops Metrics Gas &amp; Electric 2010" xfId="8796"/>
    <cellStyle name="20% - Accent2 12 2 3" xfId="8797"/>
    <cellStyle name="20% - Accent2 12 2 4" xfId="8798"/>
    <cellStyle name="20% - Accent2 12 2_2010 Actual" xfId="8799"/>
    <cellStyle name="20% - Accent2 12 3" xfId="8800"/>
    <cellStyle name="20% - Accent2 12 3 2" xfId="8801"/>
    <cellStyle name="20% - Accent2 12 3 2 2" xfId="8802"/>
    <cellStyle name="20% - Accent2 12 3 2 3" xfId="8803"/>
    <cellStyle name="20% - Accent2 12 3 2 4" xfId="8804"/>
    <cellStyle name="20% - Accent2 12 3 2_4Q Ops Metrics Gas &amp; Electric 2010" xfId="8805"/>
    <cellStyle name="20% - Accent2 12 3 3" xfId="8806"/>
    <cellStyle name="20% - Accent2 12 3 4" xfId="8807"/>
    <cellStyle name="20% - Accent2 12 3_2010 Actual" xfId="8808"/>
    <cellStyle name="20% - Accent2 12 4" xfId="8809"/>
    <cellStyle name="20% - Accent2 12 4 2" xfId="8810"/>
    <cellStyle name="20% - Accent2 12 4 2 2" xfId="8811"/>
    <cellStyle name="20% - Accent2 12 4 2 3" xfId="8812"/>
    <cellStyle name="20% - Accent2 12 4 2 4" xfId="8813"/>
    <cellStyle name="20% - Accent2 12 4 2_4Q Ops Metrics Gas &amp; Electric 2010" xfId="8814"/>
    <cellStyle name="20% - Accent2 12 4 3" xfId="8815"/>
    <cellStyle name="20% - Accent2 12 4 4" xfId="8816"/>
    <cellStyle name="20% - Accent2 12 4_2010 Actual" xfId="8817"/>
    <cellStyle name="20% - Accent2 12 5" xfId="8818"/>
    <cellStyle name="20% - Accent2 12 5 2" xfId="8819"/>
    <cellStyle name="20% - Accent2 12 5 3" xfId="8820"/>
    <cellStyle name="20% - Accent2 12 5 4" xfId="8821"/>
    <cellStyle name="20% - Accent2 12 5_2010 Actual" xfId="8822"/>
    <cellStyle name="20% - Accent2 12 6" xfId="8823"/>
    <cellStyle name="20% - Accent2 12 6 2" xfId="8824"/>
    <cellStyle name="20% - Accent2 12 6 3" xfId="8825"/>
    <cellStyle name="20% - Accent2 12 6 4" xfId="8826"/>
    <cellStyle name="20% - Accent2 12 6_BHP" xfId="8827"/>
    <cellStyle name="20% - Accent2 12 7" xfId="8828"/>
    <cellStyle name="20% - Accent2 12 8" xfId="8829"/>
    <cellStyle name="20% - Accent2 12 9" xfId="8830"/>
    <cellStyle name="20% - Accent2 12_2009 Actual" xfId="8831"/>
    <cellStyle name="20% - Accent2 120" xfId="8832"/>
    <cellStyle name="20% - Accent2 13" xfId="8833"/>
    <cellStyle name="20% - Accent2 13 2" xfId="8834"/>
    <cellStyle name="20% - Accent2 13 2 2" xfId="8835"/>
    <cellStyle name="20% - Accent2 13 2 2 2" xfId="8836"/>
    <cellStyle name="20% - Accent2 13 2 2 3" xfId="8837"/>
    <cellStyle name="20% - Accent2 13 2 2 4" xfId="8838"/>
    <cellStyle name="20% - Accent2 13 2 2_4Q Ops Metrics Gas &amp; Electric 2010" xfId="8839"/>
    <cellStyle name="20% - Accent2 13 2 3" xfId="8840"/>
    <cellStyle name="20% - Accent2 13 2 4" xfId="8841"/>
    <cellStyle name="20% - Accent2 13 2_4Q Ops Metrics Gas &amp; Electric 2010" xfId="8842"/>
    <cellStyle name="20% - Accent2 13 3" xfId="8843"/>
    <cellStyle name="20% - Accent2 13 3 2" xfId="8844"/>
    <cellStyle name="20% - Accent2 13 3 2 2" xfId="8845"/>
    <cellStyle name="20% - Accent2 13 3 2 3" xfId="8846"/>
    <cellStyle name="20% - Accent2 13 3 2 4" xfId="8847"/>
    <cellStyle name="20% - Accent2 13 3 2_4Q Ops Metrics Gas &amp; Electric 2010" xfId="8848"/>
    <cellStyle name="20% - Accent2 13 3 3" xfId="8849"/>
    <cellStyle name="20% - Accent2 13 3 4" xfId="8850"/>
    <cellStyle name="20% - Accent2 13 3_4Q Ops Metrics Gas &amp; Electric 2010" xfId="8851"/>
    <cellStyle name="20% - Accent2 13 4" xfId="8852"/>
    <cellStyle name="20% - Accent2 13 4 2" xfId="8853"/>
    <cellStyle name="20% - Accent2 13 4 2 2" xfId="8854"/>
    <cellStyle name="20% - Accent2 13 4 2 3" xfId="8855"/>
    <cellStyle name="20% - Accent2 13 4 2 4" xfId="8856"/>
    <cellStyle name="20% - Accent2 13 4 2_4Q Ops Metrics Gas &amp; Electric 2010" xfId="8857"/>
    <cellStyle name="20% - Accent2 13 4 3" xfId="8858"/>
    <cellStyle name="20% - Accent2 13 4 4" xfId="8859"/>
    <cellStyle name="20% - Accent2 13 4_4Q Ops Metrics Gas &amp; Electric 2010" xfId="8860"/>
    <cellStyle name="20% - Accent2 13 5" xfId="8861"/>
    <cellStyle name="20% - Accent2 13 5 2" xfId="8862"/>
    <cellStyle name="20% - Accent2 13 5 3" xfId="8863"/>
    <cellStyle name="20% - Accent2 13 5 4" xfId="8864"/>
    <cellStyle name="20% - Accent2 13 5_4Q Ops Metrics Gas &amp; Electric 2010" xfId="8865"/>
    <cellStyle name="20% - Accent2 13 6" xfId="8866"/>
    <cellStyle name="20% - Accent2 13 7" xfId="8867"/>
    <cellStyle name="20% - Accent2 13_2009 Actual" xfId="8868"/>
    <cellStyle name="20% - Accent2 14" xfId="8869"/>
    <cellStyle name="20% - Accent2 14 2" xfId="8870"/>
    <cellStyle name="20% - Accent2 14 2 2" xfId="8871"/>
    <cellStyle name="20% - Accent2 14 2 2 2" xfId="8872"/>
    <cellStyle name="20% - Accent2 14 2 2 3" xfId="8873"/>
    <cellStyle name="20% - Accent2 14 2 2 4" xfId="8874"/>
    <cellStyle name="20% - Accent2 14 2 2_4Q Ops Metrics Gas &amp; Electric 2010" xfId="8875"/>
    <cellStyle name="20% - Accent2 14 2 3" xfId="8876"/>
    <cellStyle name="20% - Accent2 14 2 4" xfId="8877"/>
    <cellStyle name="20% - Accent2 14 2_4Q Ops Metrics Gas &amp; Electric 2010" xfId="8878"/>
    <cellStyle name="20% - Accent2 14 3" xfId="8879"/>
    <cellStyle name="20% - Accent2 14 3 2" xfId="8880"/>
    <cellStyle name="20% - Accent2 14 3 2 2" xfId="8881"/>
    <cellStyle name="20% - Accent2 14 3 2 3" xfId="8882"/>
    <cellStyle name="20% - Accent2 14 3 2 4" xfId="8883"/>
    <cellStyle name="20% - Accent2 14 3 2_4Q Ops Metrics Gas &amp; Electric 2010" xfId="8884"/>
    <cellStyle name="20% - Accent2 14 3 3" xfId="8885"/>
    <cellStyle name="20% - Accent2 14 3 4" xfId="8886"/>
    <cellStyle name="20% - Accent2 14 3_4Q Ops Metrics Gas &amp; Electric 2010" xfId="8887"/>
    <cellStyle name="20% - Accent2 14 4" xfId="8888"/>
    <cellStyle name="20% - Accent2 14 4 2" xfId="8889"/>
    <cellStyle name="20% - Accent2 14 4 2 2" xfId="8890"/>
    <cellStyle name="20% - Accent2 14 4 2 3" xfId="8891"/>
    <cellStyle name="20% - Accent2 14 4 2 4" xfId="8892"/>
    <cellStyle name="20% - Accent2 14 4 2_4Q Ops Metrics Gas &amp; Electric 2010" xfId="8893"/>
    <cellStyle name="20% - Accent2 14 4 3" xfId="8894"/>
    <cellStyle name="20% - Accent2 14 4 4" xfId="8895"/>
    <cellStyle name="20% - Accent2 14 4_4Q Ops Metrics Gas &amp; Electric 2010" xfId="8896"/>
    <cellStyle name="20% - Accent2 14 5" xfId="8897"/>
    <cellStyle name="20% - Accent2 14 5 2" xfId="8898"/>
    <cellStyle name="20% - Accent2 14 5 3" xfId="8899"/>
    <cellStyle name="20% - Accent2 14 5 4" xfId="8900"/>
    <cellStyle name="20% - Accent2 14 5_4Q Ops Metrics Gas &amp; Electric 2010" xfId="8901"/>
    <cellStyle name="20% - Accent2 14 6" xfId="8902"/>
    <cellStyle name="20% - Accent2 14 7" xfId="8903"/>
    <cellStyle name="20% - Accent2 14_2009 Actual" xfId="8904"/>
    <cellStyle name="20% - Accent2 15" xfId="8905"/>
    <cellStyle name="20% - Accent2 15 2" xfId="8906"/>
    <cellStyle name="20% - Accent2 15 2 2" xfId="8907"/>
    <cellStyle name="20% - Accent2 15 2 3" xfId="8908"/>
    <cellStyle name="20% - Accent2 15 2 4" xfId="8909"/>
    <cellStyle name="20% - Accent2 15 2 5" xfId="8910"/>
    <cellStyle name="20% - Accent2 15 2_4Q Ops Metrics Gas &amp; Electric 2010" xfId="8911"/>
    <cellStyle name="20% - Accent2 15 3" xfId="8912"/>
    <cellStyle name="20% - Accent2 15 3 2" xfId="8913"/>
    <cellStyle name="20% - Accent2 15 4" xfId="8914"/>
    <cellStyle name="20% - Accent2 15 4 2" xfId="8915"/>
    <cellStyle name="20% - Accent2 15 5" xfId="8916"/>
    <cellStyle name="20% - Accent2 15 6" xfId="8917"/>
    <cellStyle name="20% - Accent2 15_4Q Ops Metrics Gas &amp; Electric 2010" xfId="8918"/>
    <cellStyle name="20% - Accent2 16" xfId="8919"/>
    <cellStyle name="20% - Accent2 17" xfId="8920"/>
    <cellStyle name="20% - Accent2 18" xfId="8921"/>
    <cellStyle name="20% - Accent2 19" xfId="8922"/>
    <cellStyle name="20% - Accent2 19 2" xfId="8923"/>
    <cellStyle name="20% - Accent2 19 3" xfId="8924"/>
    <cellStyle name="20% - Accent2 19_2010 Actual" xfId="8925"/>
    <cellStyle name="20% - Accent2 2" xfId="43"/>
    <cellStyle name="20% - Accent2 2 10" xfId="8926"/>
    <cellStyle name="20% - Accent2 2 10 2" xfId="8927"/>
    <cellStyle name="20% - Accent2 2 10 2 2" xfId="8928"/>
    <cellStyle name="20% - Accent2 2 10 3" xfId="8929"/>
    <cellStyle name="20% - Accent2 2 10 4" xfId="8930"/>
    <cellStyle name="20% - Accent2 2 10 5" xfId="8931"/>
    <cellStyle name="20% - Accent2 2 10 5 2" xfId="8932"/>
    <cellStyle name="20% - Accent2 2 10_2010 Actual" xfId="8933"/>
    <cellStyle name="20% - Accent2 2 100" xfId="8934"/>
    <cellStyle name="20% - Accent2 2 100 2" xfId="8935"/>
    <cellStyle name="20% - Accent2 2 100 2 2" xfId="8936"/>
    <cellStyle name="20% - Accent2 2 100 3" xfId="8937"/>
    <cellStyle name="20% - Accent2 2 100 4" xfId="8938"/>
    <cellStyle name="20% - Accent2 2 101" xfId="8939"/>
    <cellStyle name="20% - Accent2 2 101 2" xfId="8940"/>
    <cellStyle name="20% - Accent2 2 101 2 2" xfId="8941"/>
    <cellStyle name="20% - Accent2 2 101 3" xfId="8942"/>
    <cellStyle name="20% - Accent2 2 101 4" xfId="8943"/>
    <cellStyle name="20% - Accent2 2 102" xfId="8944"/>
    <cellStyle name="20% - Accent2 2 102 2" xfId="8945"/>
    <cellStyle name="20% - Accent2 2 102 2 2" xfId="8946"/>
    <cellStyle name="20% - Accent2 2 102 3" xfId="8947"/>
    <cellStyle name="20% - Accent2 2 102 4" xfId="8948"/>
    <cellStyle name="20% - Accent2 2 103" xfId="8949"/>
    <cellStyle name="20% - Accent2 2 103 2" xfId="8950"/>
    <cellStyle name="20% - Accent2 2 103 2 2" xfId="8951"/>
    <cellStyle name="20% - Accent2 2 103 3" xfId="8952"/>
    <cellStyle name="20% - Accent2 2 103 4" xfId="8953"/>
    <cellStyle name="20% - Accent2 2 104" xfId="8954"/>
    <cellStyle name="20% - Accent2 2 104 2" xfId="8955"/>
    <cellStyle name="20% - Accent2 2 104 2 2" xfId="8956"/>
    <cellStyle name="20% - Accent2 2 104 3" xfId="8957"/>
    <cellStyle name="20% - Accent2 2 104 4" xfId="8958"/>
    <cellStyle name="20% - Accent2 2 105" xfId="8959"/>
    <cellStyle name="20% - Accent2 2 105 2" xfId="8960"/>
    <cellStyle name="20% - Accent2 2 105 2 2" xfId="8961"/>
    <cellStyle name="20% - Accent2 2 105 3" xfId="8962"/>
    <cellStyle name="20% - Accent2 2 105 4" xfId="8963"/>
    <cellStyle name="20% - Accent2 2 106" xfId="8964"/>
    <cellStyle name="20% - Accent2 2 106 2" xfId="8965"/>
    <cellStyle name="20% - Accent2 2 106 2 2" xfId="8966"/>
    <cellStyle name="20% - Accent2 2 106 3" xfId="8967"/>
    <cellStyle name="20% - Accent2 2 106 4" xfId="8968"/>
    <cellStyle name="20% - Accent2 2 107" xfId="8969"/>
    <cellStyle name="20% - Accent2 2 107 2" xfId="8970"/>
    <cellStyle name="20% - Accent2 2 107 2 2" xfId="8971"/>
    <cellStyle name="20% - Accent2 2 107 3" xfId="8972"/>
    <cellStyle name="20% - Accent2 2 107 4" xfId="8973"/>
    <cellStyle name="20% - Accent2 2 108" xfId="8974"/>
    <cellStyle name="20% - Accent2 2 108 2" xfId="8975"/>
    <cellStyle name="20% - Accent2 2 108 2 2" xfId="8976"/>
    <cellStyle name="20% - Accent2 2 108 3" xfId="8977"/>
    <cellStyle name="20% - Accent2 2 108 4" xfId="8978"/>
    <cellStyle name="20% - Accent2 2 109" xfId="8979"/>
    <cellStyle name="20% - Accent2 2 109 2" xfId="8980"/>
    <cellStyle name="20% - Accent2 2 109 2 2" xfId="8981"/>
    <cellStyle name="20% - Accent2 2 109 3" xfId="8982"/>
    <cellStyle name="20% - Accent2 2 109 4" xfId="8983"/>
    <cellStyle name="20% - Accent2 2 11" xfId="8984"/>
    <cellStyle name="20% - Accent2 2 11 2" xfId="8985"/>
    <cellStyle name="20% - Accent2 2 11 2 2" xfId="8986"/>
    <cellStyle name="20% - Accent2 2 11 3" xfId="8987"/>
    <cellStyle name="20% - Accent2 2 11_4Q Ops Metrics Gas &amp; Electric 2010" xfId="8988"/>
    <cellStyle name="20% - Accent2 2 110" xfId="8989"/>
    <cellStyle name="20% - Accent2 2 110 2" xfId="8990"/>
    <cellStyle name="20% - Accent2 2 110 2 2" xfId="8991"/>
    <cellStyle name="20% - Accent2 2 110 3" xfId="8992"/>
    <cellStyle name="20% - Accent2 2 110 4" xfId="8993"/>
    <cellStyle name="20% - Accent2 2 111" xfId="8994"/>
    <cellStyle name="20% - Accent2 2 111 2" xfId="8995"/>
    <cellStyle name="20% - Accent2 2 111 2 2" xfId="8996"/>
    <cellStyle name="20% - Accent2 2 111 3" xfId="8997"/>
    <cellStyle name="20% - Accent2 2 111 4" xfId="8998"/>
    <cellStyle name="20% - Accent2 2 112" xfId="8999"/>
    <cellStyle name="20% - Accent2 2 112 2" xfId="9000"/>
    <cellStyle name="20% - Accent2 2 112 2 2" xfId="9001"/>
    <cellStyle name="20% - Accent2 2 112 3" xfId="9002"/>
    <cellStyle name="20% - Accent2 2 112 4" xfId="9003"/>
    <cellStyle name="20% - Accent2 2 113" xfId="9004"/>
    <cellStyle name="20% - Accent2 2 113 2" xfId="9005"/>
    <cellStyle name="20% - Accent2 2 113 2 2" xfId="9006"/>
    <cellStyle name="20% - Accent2 2 113 3" xfId="9007"/>
    <cellStyle name="20% - Accent2 2 113 4" xfId="9008"/>
    <cellStyle name="20% - Accent2 2 114" xfId="9009"/>
    <cellStyle name="20% - Accent2 2 114 2" xfId="9010"/>
    <cellStyle name="20% - Accent2 2 114 2 2" xfId="9011"/>
    <cellStyle name="20% - Accent2 2 114 3" xfId="9012"/>
    <cellStyle name="20% - Accent2 2 114 4" xfId="9013"/>
    <cellStyle name="20% - Accent2 2 115" xfId="9014"/>
    <cellStyle name="20% - Accent2 2 115 2" xfId="9015"/>
    <cellStyle name="20% - Accent2 2 115 2 2" xfId="9016"/>
    <cellStyle name="20% - Accent2 2 115 3" xfId="9017"/>
    <cellStyle name="20% - Accent2 2 115 4" xfId="9018"/>
    <cellStyle name="20% - Accent2 2 116" xfId="9019"/>
    <cellStyle name="20% - Accent2 2 116 2" xfId="9020"/>
    <cellStyle name="20% - Accent2 2 116 2 2" xfId="9021"/>
    <cellStyle name="20% - Accent2 2 116 3" xfId="9022"/>
    <cellStyle name="20% - Accent2 2 116 4" xfId="9023"/>
    <cellStyle name="20% - Accent2 2 117" xfId="9024"/>
    <cellStyle name="20% - Accent2 2 117 2" xfId="9025"/>
    <cellStyle name="20% - Accent2 2 117 2 2" xfId="9026"/>
    <cellStyle name="20% - Accent2 2 117 3" xfId="9027"/>
    <cellStyle name="20% - Accent2 2 117 4" xfId="9028"/>
    <cellStyle name="20% - Accent2 2 118" xfId="9029"/>
    <cellStyle name="20% - Accent2 2 118 2" xfId="9030"/>
    <cellStyle name="20% - Accent2 2 118 2 2" xfId="9031"/>
    <cellStyle name="20% - Accent2 2 118 3" xfId="9032"/>
    <cellStyle name="20% - Accent2 2 118 4" xfId="9033"/>
    <cellStyle name="20% - Accent2 2 119" xfId="9034"/>
    <cellStyle name="20% - Accent2 2 119 2" xfId="9035"/>
    <cellStyle name="20% - Accent2 2 119 2 2" xfId="9036"/>
    <cellStyle name="20% - Accent2 2 119 3" xfId="9037"/>
    <cellStyle name="20% - Accent2 2 119 4" xfId="9038"/>
    <cellStyle name="20% - Accent2 2 12" xfId="9039"/>
    <cellStyle name="20% - Accent2 2 12 2" xfId="9040"/>
    <cellStyle name="20% - Accent2 2 12 3" xfId="9041"/>
    <cellStyle name="20% - Accent2 2 12_4Q Ops Metrics Gas &amp; Electric 2010" xfId="9042"/>
    <cellStyle name="20% - Accent2 2 120" xfId="9043"/>
    <cellStyle name="20% - Accent2 2 120 2" xfId="9044"/>
    <cellStyle name="20% - Accent2 2 120 2 2" xfId="9045"/>
    <cellStyle name="20% - Accent2 2 120 3" xfId="9046"/>
    <cellStyle name="20% - Accent2 2 120 4" xfId="9047"/>
    <cellStyle name="20% - Accent2 2 121" xfId="9048"/>
    <cellStyle name="20% - Accent2 2 121 2" xfId="9049"/>
    <cellStyle name="20% - Accent2 2 122" xfId="9050"/>
    <cellStyle name="20% - Accent2 2 122 2" xfId="9051"/>
    <cellStyle name="20% - Accent2 2 123" xfId="9052"/>
    <cellStyle name="20% - Accent2 2 123 2" xfId="9053"/>
    <cellStyle name="20% - Accent2 2 124" xfId="9054"/>
    <cellStyle name="20% - Accent2 2 124 2" xfId="9055"/>
    <cellStyle name="20% - Accent2 2 125" xfId="9056"/>
    <cellStyle name="20% - Accent2 2 126" xfId="9057"/>
    <cellStyle name="20% - Accent2 2 127" xfId="9058"/>
    <cellStyle name="20% - Accent2 2 128" xfId="9059"/>
    <cellStyle name="20% - Accent2 2 129" xfId="9060"/>
    <cellStyle name="20% - Accent2 2 13" xfId="9061"/>
    <cellStyle name="20% - Accent2 2 13 2" xfId="9062"/>
    <cellStyle name="20% - Accent2 2 13 2 2" xfId="9063"/>
    <cellStyle name="20% - Accent2 2 13 2 3" xfId="9064"/>
    <cellStyle name="20% - Accent2 2 13 2 4" xfId="9065"/>
    <cellStyle name="20% - Accent2 2 13 2_4Q Ops Metrics Gas &amp; Electric 2010" xfId="9066"/>
    <cellStyle name="20% - Accent2 2 13 3" xfId="9067"/>
    <cellStyle name="20% - Accent2 2 13 4" xfId="9068"/>
    <cellStyle name="20% - Accent2 2 13_4Q Ops Metrics Gas &amp; Electric 2010" xfId="9069"/>
    <cellStyle name="20% - Accent2 2 130" xfId="9070"/>
    <cellStyle name="20% - Accent2 2 131" xfId="9071"/>
    <cellStyle name="20% - Accent2 2 132" xfId="9072"/>
    <cellStyle name="20% - Accent2 2 133" xfId="9073"/>
    <cellStyle name="20% - Accent2 2 134" xfId="9074"/>
    <cellStyle name="20% - Accent2 2 135" xfId="9075"/>
    <cellStyle name="20% - Accent2 2 136" xfId="9076"/>
    <cellStyle name="20% - Accent2 2 137" xfId="9077"/>
    <cellStyle name="20% - Accent2 2 138" xfId="9078"/>
    <cellStyle name="20% - Accent2 2 139" xfId="9079"/>
    <cellStyle name="20% - Accent2 2 14" xfId="9080"/>
    <cellStyle name="20% - Accent2 2 14 2" xfId="9081"/>
    <cellStyle name="20% - Accent2 2 14 2 2" xfId="9082"/>
    <cellStyle name="20% - Accent2 2 14 2 3" xfId="9083"/>
    <cellStyle name="20% - Accent2 2 14 2 4" xfId="9084"/>
    <cellStyle name="20% - Accent2 2 14 2_4Q Ops Metrics Gas &amp; Electric 2010" xfId="9085"/>
    <cellStyle name="20% - Accent2 2 14 3" xfId="9086"/>
    <cellStyle name="20% - Accent2 2 14 4" xfId="9087"/>
    <cellStyle name="20% - Accent2 2 14_4Q Ops Metrics Gas &amp; Electric 2010" xfId="9088"/>
    <cellStyle name="20% - Accent2 2 140" xfId="9089"/>
    <cellStyle name="20% - Accent2 2 141" xfId="9090"/>
    <cellStyle name="20% - Accent2 2 142" xfId="9091"/>
    <cellStyle name="20% - Accent2 2 143" xfId="9092"/>
    <cellStyle name="20% - Accent2 2 144" xfId="9093"/>
    <cellStyle name="20% - Accent2 2 145" xfId="9094"/>
    <cellStyle name="20% - Accent2 2 15" xfId="9095"/>
    <cellStyle name="20% - Accent2 2 15 2" xfId="9096"/>
    <cellStyle name="20% - Accent2 2 15 2 2" xfId="9097"/>
    <cellStyle name="20% - Accent2 2 15 2 3" xfId="9098"/>
    <cellStyle name="20% - Accent2 2 15 2 4" xfId="9099"/>
    <cellStyle name="20% - Accent2 2 15 2_4Q Ops Metrics Gas &amp; Electric 2010" xfId="9100"/>
    <cellStyle name="20% - Accent2 2 15 3" xfId="9101"/>
    <cellStyle name="20% - Accent2 2 15 4" xfId="9102"/>
    <cellStyle name="20% - Accent2 2 15 5" xfId="9103"/>
    <cellStyle name="20% - Accent2 2 15 6" xfId="9104"/>
    <cellStyle name="20% - Accent2 2 15_4Q Ops Metrics Gas &amp; Electric 2010" xfId="9105"/>
    <cellStyle name="20% - Accent2 2 16" xfId="9106"/>
    <cellStyle name="20% - Accent2 2 16 2" xfId="9107"/>
    <cellStyle name="20% - Accent2 2 16 3" xfId="9108"/>
    <cellStyle name="20% - Accent2 2 16 4" xfId="9109"/>
    <cellStyle name="20% - Accent2 2 16_4Q Ops Metrics Gas &amp; Electric 2010" xfId="9110"/>
    <cellStyle name="20% - Accent2 2 17" xfId="9111"/>
    <cellStyle name="20% - Accent2 2 18" xfId="9112"/>
    <cellStyle name="20% - Accent2 2 19" xfId="9113"/>
    <cellStyle name="20% - Accent2 2 2" xfId="204"/>
    <cellStyle name="20% - Accent2 2 2 10" xfId="9114"/>
    <cellStyle name="20% - Accent2 2 2 10 2" xfId="9115"/>
    <cellStyle name="20% - Accent2 2 2 10 2 2" xfId="9116"/>
    <cellStyle name="20% - Accent2 2 2 10 2 3" xfId="9117"/>
    <cellStyle name="20% - Accent2 2 2 10 2 4" xfId="9118"/>
    <cellStyle name="20% - Accent2 2 2 10 2_4Q Ops Metrics Gas &amp; Electric 2010" xfId="9119"/>
    <cellStyle name="20% - Accent2 2 2 10 3" xfId="9120"/>
    <cellStyle name="20% - Accent2 2 2 10 4" xfId="9121"/>
    <cellStyle name="20% - Accent2 2 2 10_4Q Ops Metrics Gas &amp; Electric 2010" xfId="9122"/>
    <cellStyle name="20% - Accent2 2 2 11" xfId="9123"/>
    <cellStyle name="20% - Accent2 2 2 12" xfId="9124"/>
    <cellStyle name="20% - Accent2 2 2 13" xfId="9125"/>
    <cellStyle name="20% - Accent2 2 2 14" xfId="9126"/>
    <cellStyle name="20% - Accent2 2 2 15" xfId="9127"/>
    <cellStyle name="20% - Accent2 2 2 16" xfId="9128"/>
    <cellStyle name="20% - Accent2 2 2 17" xfId="9129"/>
    <cellStyle name="20% - Accent2 2 2 18" xfId="9130"/>
    <cellStyle name="20% - Accent2 2 2 19" xfId="9131"/>
    <cellStyle name="20% - Accent2 2 2 2" xfId="9132"/>
    <cellStyle name="20% - Accent2 2 2 2 10" xfId="9133"/>
    <cellStyle name="20% - Accent2 2 2 2 10 2" xfId="9134"/>
    <cellStyle name="20% - Accent2 2 2 2 10_4Q Ops Metrics Gas &amp; Electric 2010" xfId="9135"/>
    <cellStyle name="20% - Accent2 2 2 2 11" xfId="9136"/>
    <cellStyle name="20% - Accent2 2 2 2 11 2" xfId="9137"/>
    <cellStyle name="20% - Accent2 2 2 2 11 3" xfId="9138"/>
    <cellStyle name="20% - Accent2 2 2 2 11 4" xfId="9139"/>
    <cellStyle name="20% - Accent2 2 2 2 11_4Q Ops Metrics Gas &amp; Electric 2010" xfId="9140"/>
    <cellStyle name="20% - Accent2 2 2 2 12" xfId="9141"/>
    <cellStyle name="20% - Accent2 2 2 2 13" xfId="9142"/>
    <cellStyle name="20% - Accent2 2 2 2 14" xfId="9143"/>
    <cellStyle name="20% - Accent2 2 2 2 2" xfId="9144"/>
    <cellStyle name="20% - Accent2 2 2 2 2 2" xfId="9145"/>
    <cellStyle name="20% - Accent2 2 2 2 2_4Q Ops Metrics Gas &amp; Electric 2010" xfId="9146"/>
    <cellStyle name="20% - Accent2 2 2 2 3" xfId="9147"/>
    <cellStyle name="20% - Accent2 2 2 2 3 2" xfId="9148"/>
    <cellStyle name="20% - Accent2 2 2 2 3_4Q Ops Metrics Gas &amp; Electric 2010" xfId="9149"/>
    <cellStyle name="20% - Accent2 2 2 2 4" xfId="9150"/>
    <cellStyle name="20% - Accent2 2 2 2 4 2" xfId="9151"/>
    <cellStyle name="20% - Accent2 2 2 2 4_4Q Ops Metrics Gas &amp; Electric 2010" xfId="9152"/>
    <cellStyle name="20% - Accent2 2 2 2 5" xfId="9153"/>
    <cellStyle name="20% - Accent2 2 2 2 5 2" xfId="9154"/>
    <cellStyle name="20% - Accent2 2 2 2 5_4Q Ops Metrics Gas &amp; Electric 2010" xfId="9155"/>
    <cellStyle name="20% - Accent2 2 2 2 6" xfId="9156"/>
    <cellStyle name="20% - Accent2 2 2 2 6 2" xfId="9157"/>
    <cellStyle name="20% - Accent2 2 2 2 6_4Q Ops Metrics Gas &amp; Electric 2010" xfId="9158"/>
    <cellStyle name="20% - Accent2 2 2 2 7" xfId="9159"/>
    <cellStyle name="20% - Accent2 2 2 2 7 2" xfId="9160"/>
    <cellStyle name="20% - Accent2 2 2 2 7_4Q Ops Metrics Gas &amp; Electric 2010" xfId="9161"/>
    <cellStyle name="20% - Accent2 2 2 2 8" xfId="9162"/>
    <cellStyle name="20% - Accent2 2 2 2 8 2" xfId="9163"/>
    <cellStyle name="20% - Accent2 2 2 2 8_4Q Ops Metrics Gas &amp; Electric 2010" xfId="9164"/>
    <cellStyle name="20% - Accent2 2 2 2 9" xfId="9165"/>
    <cellStyle name="20% - Accent2 2 2 2 9 2" xfId="9166"/>
    <cellStyle name="20% - Accent2 2 2 2 9_4Q Ops Metrics Gas &amp; Electric 2010" xfId="9167"/>
    <cellStyle name="20% - Accent2 2 2 2_4Q Ops Metrics Gas &amp; Electric 2010" xfId="9168"/>
    <cellStyle name="20% - Accent2 2 2 20" xfId="9169"/>
    <cellStyle name="20% - Accent2 2 2 21" xfId="9170"/>
    <cellStyle name="20% - Accent2 2 2 22" xfId="9171"/>
    <cellStyle name="20% - Accent2 2 2 22 2" xfId="9172"/>
    <cellStyle name="20% - Accent2 2 2 22 2 2" xfId="9173"/>
    <cellStyle name="20% - Accent2 2 2 22 2 2 2" xfId="9174"/>
    <cellStyle name="20% - Accent2 2 2 22 2 2 3" xfId="9175"/>
    <cellStyle name="20% - Accent2 2 2 22 2 3" xfId="9176"/>
    <cellStyle name="20% - Accent2 2 2 22 2 3 2" xfId="9177"/>
    <cellStyle name="20% - Accent2 2 2 22 2 4" xfId="9178"/>
    <cellStyle name="20% - Accent2 2 2 22 2 5" xfId="9179"/>
    <cellStyle name="20% - Accent2 2 2 22 3" xfId="9180"/>
    <cellStyle name="20% - Accent2 2 2 22 3 2" xfId="9181"/>
    <cellStyle name="20% - Accent2 2 2 22 3 2 2" xfId="9182"/>
    <cellStyle name="20% - Accent2 2 2 22 3 3" xfId="9183"/>
    <cellStyle name="20% - Accent2 2 2 22 3 4" xfId="9184"/>
    <cellStyle name="20% - Accent2 2 2 22 4" xfId="9185"/>
    <cellStyle name="20% - Accent2 2 2 22 4 2" xfId="9186"/>
    <cellStyle name="20% - Accent2 2 2 22 4 2 2" xfId="9187"/>
    <cellStyle name="20% - Accent2 2 2 22 4 3" xfId="9188"/>
    <cellStyle name="20% - Accent2 2 2 22 4 4" xfId="9189"/>
    <cellStyle name="20% - Accent2 2 2 22 5" xfId="9190"/>
    <cellStyle name="20% - Accent2 2 2 22 5 2" xfId="9191"/>
    <cellStyle name="20% - Accent2 2 2 22 6" xfId="9192"/>
    <cellStyle name="20% - Accent2 2 2 22 7" xfId="9193"/>
    <cellStyle name="20% - Accent2 2 2 22 8" xfId="9194"/>
    <cellStyle name="20% - Accent2 2 2 23" xfId="9195"/>
    <cellStyle name="20% - Accent2 2 2 23 2" xfId="9196"/>
    <cellStyle name="20% - Accent2 2 2 23 2 2" xfId="9197"/>
    <cellStyle name="20% - Accent2 2 2 23 2 2 2" xfId="9198"/>
    <cellStyle name="20% - Accent2 2 2 23 2 2 3" xfId="9199"/>
    <cellStyle name="20% - Accent2 2 2 23 2 3" xfId="9200"/>
    <cellStyle name="20% - Accent2 2 2 23 2 3 2" xfId="9201"/>
    <cellStyle name="20% - Accent2 2 2 23 2 4" xfId="9202"/>
    <cellStyle name="20% - Accent2 2 2 23 2 5" xfId="9203"/>
    <cellStyle name="20% - Accent2 2 2 23 3" xfId="9204"/>
    <cellStyle name="20% - Accent2 2 2 23 3 2" xfId="9205"/>
    <cellStyle name="20% - Accent2 2 2 23 3 2 2" xfId="9206"/>
    <cellStyle name="20% - Accent2 2 2 23 3 3" xfId="9207"/>
    <cellStyle name="20% - Accent2 2 2 23 3 4" xfId="9208"/>
    <cellStyle name="20% - Accent2 2 2 23 4" xfId="9209"/>
    <cellStyle name="20% - Accent2 2 2 23 4 2" xfId="9210"/>
    <cellStyle name="20% - Accent2 2 2 23 4 2 2" xfId="9211"/>
    <cellStyle name="20% - Accent2 2 2 23 4 3" xfId="9212"/>
    <cellStyle name="20% - Accent2 2 2 23 4 4" xfId="9213"/>
    <cellStyle name="20% - Accent2 2 2 23 5" xfId="9214"/>
    <cellStyle name="20% - Accent2 2 2 23 5 2" xfId="9215"/>
    <cellStyle name="20% - Accent2 2 2 23 6" xfId="9216"/>
    <cellStyle name="20% - Accent2 2 2 23 7" xfId="9217"/>
    <cellStyle name="20% - Accent2 2 2 23 8" xfId="9218"/>
    <cellStyle name="20% - Accent2 2 2 24" xfId="9219"/>
    <cellStyle name="20% - Accent2 2 2 24 2" xfId="9220"/>
    <cellStyle name="20% - Accent2 2 2 24 2 2" xfId="9221"/>
    <cellStyle name="20% - Accent2 2 2 24 2 2 2" xfId="9222"/>
    <cellStyle name="20% - Accent2 2 2 24 2 2 3" xfId="9223"/>
    <cellStyle name="20% - Accent2 2 2 24 2 3" xfId="9224"/>
    <cellStyle name="20% - Accent2 2 2 24 2 3 2" xfId="9225"/>
    <cellStyle name="20% - Accent2 2 2 24 2 4" xfId="9226"/>
    <cellStyle name="20% - Accent2 2 2 24 2 5" xfId="9227"/>
    <cellStyle name="20% - Accent2 2 2 24 3" xfId="9228"/>
    <cellStyle name="20% - Accent2 2 2 24 3 2" xfId="9229"/>
    <cellStyle name="20% - Accent2 2 2 24 3 2 2" xfId="9230"/>
    <cellStyle name="20% - Accent2 2 2 24 3 3" xfId="9231"/>
    <cellStyle name="20% - Accent2 2 2 24 3 4" xfId="9232"/>
    <cellStyle name="20% - Accent2 2 2 24 4" xfId="9233"/>
    <cellStyle name="20% - Accent2 2 2 24 4 2" xfId="9234"/>
    <cellStyle name="20% - Accent2 2 2 24 4 2 2" xfId="9235"/>
    <cellStyle name="20% - Accent2 2 2 24 4 3" xfId="9236"/>
    <cellStyle name="20% - Accent2 2 2 24 4 4" xfId="9237"/>
    <cellStyle name="20% - Accent2 2 2 24 5" xfId="9238"/>
    <cellStyle name="20% - Accent2 2 2 24 5 2" xfId="9239"/>
    <cellStyle name="20% - Accent2 2 2 24 6" xfId="9240"/>
    <cellStyle name="20% - Accent2 2 2 24 7" xfId="9241"/>
    <cellStyle name="20% - Accent2 2 2 24 8" xfId="9242"/>
    <cellStyle name="20% - Accent2 2 2 25" xfId="9243"/>
    <cellStyle name="20% - Accent2 2 2 25 2" xfId="9244"/>
    <cellStyle name="20% - Accent2 2 2 25 2 2" xfId="9245"/>
    <cellStyle name="20% - Accent2 2 2 25 2 2 2" xfId="9246"/>
    <cellStyle name="20% - Accent2 2 2 25 2 2 3" xfId="9247"/>
    <cellStyle name="20% - Accent2 2 2 25 2 3" xfId="9248"/>
    <cellStyle name="20% - Accent2 2 2 25 2 3 2" xfId="9249"/>
    <cellStyle name="20% - Accent2 2 2 25 2 4" xfId="9250"/>
    <cellStyle name="20% - Accent2 2 2 25 2 5" xfId="9251"/>
    <cellStyle name="20% - Accent2 2 2 25 3" xfId="9252"/>
    <cellStyle name="20% - Accent2 2 2 25 3 2" xfId="9253"/>
    <cellStyle name="20% - Accent2 2 2 25 3 2 2" xfId="9254"/>
    <cellStyle name="20% - Accent2 2 2 25 3 3" xfId="9255"/>
    <cellStyle name="20% - Accent2 2 2 25 3 4" xfId="9256"/>
    <cellStyle name="20% - Accent2 2 2 25 4" xfId="9257"/>
    <cellStyle name="20% - Accent2 2 2 25 4 2" xfId="9258"/>
    <cellStyle name="20% - Accent2 2 2 25 4 2 2" xfId="9259"/>
    <cellStyle name="20% - Accent2 2 2 25 4 3" xfId="9260"/>
    <cellStyle name="20% - Accent2 2 2 25 4 4" xfId="9261"/>
    <cellStyle name="20% - Accent2 2 2 25 5" xfId="9262"/>
    <cellStyle name="20% - Accent2 2 2 25 5 2" xfId="9263"/>
    <cellStyle name="20% - Accent2 2 2 25 6" xfId="9264"/>
    <cellStyle name="20% - Accent2 2 2 25 7" xfId="9265"/>
    <cellStyle name="20% - Accent2 2 2 25 8" xfId="9266"/>
    <cellStyle name="20% - Accent2 2 2 26" xfId="9267"/>
    <cellStyle name="20% - Accent2 2 2 26 2" xfId="9268"/>
    <cellStyle name="20% - Accent2 2 2 26 2 2" xfId="9269"/>
    <cellStyle name="20% - Accent2 2 2 26 2 2 2" xfId="9270"/>
    <cellStyle name="20% - Accent2 2 2 26 2 2 3" xfId="9271"/>
    <cellStyle name="20% - Accent2 2 2 26 2 3" xfId="9272"/>
    <cellStyle name="20% - Accent2 2 2 26 2 3 2" xfId="9273"/>
    <cellStyle name="20% - Accent2 2 2 26 2 4" xfId="9274"/>
    <cellStyle name="20% - Accent2 2 2 26 2 5" xfId="9275"/>
    <cellStyle name="20% - Accent2 2 2 26 3" xfId="9276"/>
    <cellStyle name="20% - Accent2 2 2 26 3 2" xfId="9277"/>
    <cellStyle name="20% - Accent2 2 2 26 3 2 2" xfId="9278"/>
    <cellStyle name="20% - Accent2 2 2 26 3 3" xfId="9279"/>
    <cellStyle name="20% - Accent2 2 2 26 3 4" xfId="9280"/>
    <cellStyle name="20% - Accent2 2 2 26 4" xfId="9281"/>
    <cellStyle name="20% - Accent2 2 2 26 4 2" xfId="9282"/>
    <cellStyle name="20% - Accent2 2 2 26 4 2 2" xfId="9283"/>
    <cellStyle name="20% - Accent2 2 2 26 4 3" xfId="9284"/>
    <cellStyle name="20% - Accent2 2 2 26 4 4" xfId="9285"/>
    <cellStyle name="20% - Accent2 2 2 26 5" xfId="9286"/>
    <cellStyle name="20% - Accent2 2 2 26 5 2" xfId="9287"/>
    <cellStyle name="20% - Accent2 2 2 26 6" xfId="9288"/>
    <cellStyle name="20% - Accent2 2 2 26 7" xfId="9289"/>
    <cellStyle name="20% - Accent2 2 2 26 8" xfId="9290"/>
    <cellStyle name="20% - Accent2 2 2 27" xfId="9291"/>
    <cellStyle name="20% - Accent2 2 2 27 2" xfId="9292"/>
    <cellStyle name="20% - Accent2 2 2 27 2 2" xfId="9293"/>
    <cellStyle name="20% - Accent2 2 2 27 2 2 2" xfId="9294"/>
    <cellStyle name="20% - Accent2 2 2 27 2 2 3" xfId="9295"/>
    <cellStyle name="20% - Accent2 2 2 27 2 3" xfId="9296"/>
    <cellStyle name="20% - Accent2 2 2 27 2 3 2" xfId="9297"/>
    <cellStyle name="20% - Accent2 2 2 27 2 4" xfId="9298"/>
    <cellStyle name="20% - Accent2 2 2 27 2 5" xfId="9299"/>
    <cellStyle name="20% - Accent2 2 2 27 3" xfId="9300"/>
    <cellStyle name="20% - Accent2 2 2 27 3 2" xfId="9301"/>
    <cellStyle name="20% - Accent2 2 2 27 3 2 2" xfId="9302"/>
    <cellStyle name="20% - Accent2 2 2 27 3 3" xfId="9303"/>
    <cellStyle name="20% - Accent2 2 2 27 3 4" xfId="9304"/>
    <cellStyle name="20% - Accent2 2 2 27 4" xfId="9305"/>
    <cellStyle name="20% - Accent2 2 2 27 4 2" xfId="9306"/>
    <cellStyle name="20% - Accent2 2 2 27 4 2 2" xfId="9307"/>
    <cellStyle name="20% - Accent2 2 2 27 4 3" xfId="9308"/>
    <cellStyle name="20% - Accent2 2 2 27 4 4" xfId="9309"/>
    <cellStyle name="20% - Accent2 2 2 27 5" xfId="9310"/>
    <cellStyle name="20% - Accent2 2 2 27 5 2" xfId="9311"/>
    <cellStyle name="20% - Accent2 2 2 27 6" xfId="9312"/>
    <cellStyle name="20% - Accent2 2 2 27 7" xfId="9313"/>
    <cellStyle name="20% - Accent2 2 2 27 8" xfId="9314"/>
    <cellStyle name="20% - Accent2 2 2 28" xfId="9315"/>
    <cellStyle name="20% - Accent2 2 2 28 2" xfId="9316"/>
    <cellStyle name="20% - Accent2 2 2 28 2 2" xfId="9317"/>
    <cellStyle name="20% - Accent2 2 2 28 2 2 2" xfId="9318"/>
    <cellStyle name="20% - Accent2 2 2 28 2 2 3" xfId="9319"/>
    <cellStyle name="20% - Accent2 2 2 28 2 3" xfId="9320"/>
    <cellStyle name="20% - Accent2 2 2 28 2 3 2" xfId="9321"/>
    <cellStyle name="20% - Accent2 2 2 28 2 4" xfId="9322"/>
    <cellStyle name="20% - Accent2 2 2 28 2 5" xfId="9323"/>
    <cellStyle name="20% - Accent2 2 2 28 3" xfId="9324"/>
    <cellStyle name="20% - Accent2 2 2 28 3 2" xfId="9325"/>
    <cellStyle name="20% - Accent2 2 2 28 3 2 2" xfId="9326"/>
    <cellStyle name="20% - Accent2 2 2 28 3 3" xfId="9327"/>
    <cellStyle name="20% - Accent2 2 2 28 3 4" xfId="9328"/>
    <cellStyle name="20% - Accent2 2 2 28 4" xfId="9329"/>
    <cellStyle name="20% - Accent2 2 2 28 4 2" xfId="9330"/>
    <cellStyle name="20% - Accent2 2 2 28 4 2 2" xfId="9331"/>
    <cellStyle name="20% - Accent2 2 2 28 4 3" xfId="9332"/>
    <cellStyle name="20% - Accent2 2 2 28 4 4" xfId="9333"/>
    <cellStyle name="20% - Accent2 2 2 28 5" xfId="9334"/>
    <cellStyle name="20% - Accent2 2 2 28 5 2" xfId="9335"/>
    <cellStyle name="20% - Accent2 2 2 28 6" xfId="9336"/>
    <cellStyle name="20% - Accent2 2 2 28 7" xfId="9337"/>
    <cellStyle name="20% - Accent2 2 2 28 8" xfId="9338"/>
    <cellStyle name="20% - Accent2 2 2 29" xfId="9339"/>
    <cellStyle name="20% - Accent2 2 2 29 2" xfId="9340"/>
    <cellStyle name="20% - Accent2 2 2 29 2 2" xfId="9341"/>
    <cellStyle name="20% - Accent2 2 2 29 2 2 2" xfId="9342"/>
    <cellStyle name="20% - Accent2 2 2 29 2 2 3" xfId="9343"/>
    <cellStyle name="20% - Accent2 2 2 29 2 3" xfId="9344"/>
    <cellStyle name="20% - Accent2 2 2 29 2 3 2" xfId="9345"/>
    <cellStyle name="20% - Accent2 2 2 29 2 4" xfId="9346"/>
    <cellStyle name="20% - Accent2 2 2 29 2 5" xfId="9347"/>
    <cellStyle name="20% - Accent2 2 2 29 3" xfId="9348"/>
    <cellStyle name="20% - Accent2 2 2 29 3 2" xfId="9349"/>
    <cellStyle name="20% - Accent2 2 2 29 3 2 2" xfId="9350"/>
    <cellStyle name="20% - Accent2 2 2 29 3 3" xfId="9351"/>
    <cellStyle name="20% - Accent2 2 2 29 3 4" xfId="9352"/>
    <cellStyle name="20% - Accent2 2 2 29 4" xfId="9353"/>
    <cellStyle name="20% - Accent2 2 2 29 4 2" xfId="9354"/>
    <cellStyle name="20% - Accent2 2 2 29 4 2 2" xfId="9355"/>
    <cellStyle name="20% - Accent2 2 2 29 4 3" xfId="9356"/>
    <cellStyle name="20% - Accent2 2 2 29 4 4" xfId="9357"/>
    <cellStyle name="20% - Accent2 2 2 29 5" xfId="9358"/>
    <cellStyle name="20% - Accent2 2 2 29 5 2" xfId="9359"/>
    <cellStyle name="20% - Accent2 2 2 29 6" xfId="9360"/>
    <cellStyle name="20% - Accent2 2 2 29 7" xfId="9361"/>
    <cellStyle name="20% - Accent2 2 2 29 8" xfId="9362"/>
    <cellStyle name="20% - Accent2 2 2 3" xfId="9363"/>
    <cellStyle name="20% - Accent2 2 2 3 2" xfId="9364"/>
    <cellStyle name="20% - Accent2 2 2 3 2 2" xfId="9365"/>
    <cellStyle name="20% - Accent2 2 2 3 2 3" xfId="9366"/>
    <cellStyle name="20% - Accent2 2 2 3 2 4" xfId="9367"/>
    <cellStyle name="20% - Accent2 2 2 3 2_4Q Ops Metrics Gas &amp; Electric 2010" xfId="9368"/>
    <cellStyle name="20% - Accent2 2 2 3 3" xfId="9369"/>
    <cellStyle name="20% - Accent2 2 2 3 4" xfId="9370"/>
    <cellStyle name="20% - Accent2 2 2 3 5" xfId="9371"/>
    <cellStyle name="20% - Accent2 2 2 3 6" xfId="9372"/>
    <cellStyle name="20% - Accent2 2 2 3_4Q Ops Metrics Gas &amp; Electric 2010" xfId="9373"/>
    <cellStyle name="20% - Accent2 2 2 30" xfId="9374"/>
    <cellStyle name="20% - Accent2 2 2 30 2" xfId="9375"/>
    <cellStyle name="20% - Accent2 2 2 30 2 2" xfId="9376"/>
    <cellStyle name="20% - Accent2 2 2 30 2 2 2" xfId="9377"/>
    <cellStyle name="20% - Accent2 2 2 30 2 2 3" xfId="9378"/>
    <cellStyle name="20% - Accent2 2 2 30 2 3" xfId="9379"/>
    <cellStyle name="20% - Accent2 2 2 30 2 3 2" xfId="9380"/>
    <cellStyle name="20% - Accent2 2 2 30 2 4" xfId="9381"/>
    <cellStyle name="20% - Accent2 2 2 30 2 5" xfId="9382"/>
    <cellStyle name="20% - Accent2 2 2 30 3" xfId="9383"/>
    <cellStyle name="20% - Accent2 2 2 30 3 2" xfId="9384"/>
    <cellStyle name="20% - Accent2 2 2 30 3 2 2" xfId="9385"/>
    <cellStyle name="20% - Accent2 2 2 30 3 3" xfId="9386"/>
    <cellStyle name="20% - Accent2 2 2 30 3 4" xfId="9387"/>
    <cellStyle name="20% - Accent2 2 2 30 4" xfId="9388"/>
    <cellStyle name="20% - Accent2 2 2 30 4 2" xfId="9389"/>
    <cellStyle name="20% - Accent2 2 2 30 4 2 2" xfId="9390"/>
    <cellStyle name="20% - Accent2 2 2 30 4 3" xfId="9391"/>
    <cellStyle name="20% - Accent2 2 2 30 4 4" xfId="9392"/>
    <cellStyle name="20% - Accent2 2 2 30 5" xfId="9393"/>
    <cellStyle name="20% - Accent2 2 2 30 5 2" xfId="9394"/>
    <cellStyle name="20% - Accent2 2 2 30 6" xfId="9395"/>
    <cellStyle name="20% - Accent2 2 2 30 7" xfId="9396"/>
    <cellStyle name="20% - Accent2 2 2 30 8" xfId="9397"/>
    <cellStyle name="20% - Accent2 2 2 31" xfId="9398"/>
    <cellStyle name="20% - Accent2 2 2 31 2" xfId="9399"/>
    <cellStyle name="20% - Accent2 2 2 31 2 2" xfId="9400"/>
    <cellStyle name="20% - Accent2 2 2 31 2 2 2" xfId="9401"/>
    <cellStyle name="20% - Accent2 2 2 31 2 2 3" xfId="9402"/>
    <cellStyle name="20% - Accent2 2 2 31 2 3" xfId="9403"/>
    <cellStyle name="20% - Accent2 2 2 31 2 3 2" xfId="9404"/>
    <cellStyle name="20% - Accent2 2 2 31 2 4" xfId="9405"/>
    <cellStyle name="20% - Accent2 2 2 31 2 5" xfId="9406"/>
    <cellStyle name="20% - Accent2 2 2 31 3" xfId="9407"/>
    <cellStyle name="20% - Accent2 2 2 31 3 2" xfId="9408"/>
    <cellStyle name="20% - Accent2 2 2 31 3 2 2" xfId="9409"/>
    <cellStyle name="20% - Accent2 2 2 31 3 3" xfId="9410"/>
    <cellStyle name="20% - Accent2 2 2 31 3 4" xfId="9411"/>
    <cellStyle name="20% - Accent2 2 2 31 4" xfId="9412"/>
    <cellStyle name="20% - Accent2 2 2 31 4 2" xfId="9413"/>
    <cellStyle name="20% - Accent2 2 2 31 4 2 2" xfId="9414"/>
    <cellStyle name="20% - Accent2 2 2 31 4 3" xfId="9415"/>
    <cellStyle name="20% - Accent2 2 2 31 4 4" xfId="9416"/>
    <cellStyle name="20% - Accent2 2 2 31 5" xfId="9417"/>
    <cellStyle name="20% - Accent2 2 2 31 5 2" xfId="9418"/>
    <cellStyle name="20% - Accent2 2 2 31 6" xfId="9419"/>
    <cellStyle name="20% - Accent2 2 2 31 7" xfId="9420"/>
    <cellStyle name="20% - Accent2 2 2 31 8" xfId="9421"/>
    <cellStyle name="20% - Accent2 2 2 4" xfId="9422"/>
    <cellStyle name="20% - Accent2 2 2 4 2" xfId="9423"/>
    <cellStyle name="20% - Accent2 2 2 4 2 2" xfId="9424"/>
    <cellStyle name="20% - Accent2 2 2 4 2 3" xfId="9425"/>
    <cellStyle name="20% - Accent2 2 2 4 2 4" xfId="9426"/>
    <cellStyle name="20% - Accent2 2 2 4 2_4Q Ops Metrics Gas &amp; Electric 2010" xfId="9427"/>
    <cellStyle name="20% - Accent2 2 2 4 3" xfId="9428"/>
    <cellStyle name="20% - Accent2 2 2 4 4" xfId="9429"/>
    <cellStyle name="20% - Accent2 2 2 4 5" xfId="9430"/>
    <cellStyle name="20% - Accent2 2 2 4 6" xfId="9431"/>
    <cellStyle name="20% - Accent2 2 2 4_4Q Ops Metrics Gas &amp; Electric 2010" xfId="9432"/>
    <cellStyle name="20% - Accent2 2 2 5" xfId="9433"/>
    <cellStyle name="20% - Accent2 2 2 5 2" xfId="9434"/>
    <cellStyle name="20% - Accent2 2 2 5 2 2" xfId="9435"/>
    <cellStyle name="20% - Accent2 2 2 5 2 3" xfId="9436"/>
    <cellStyle name="20% - Accent2 2 2 5 2 4" xfId="9437"/>
    <cellStyle name="20% - Accent2 2 2 5 2_4Q Ops Metrics Gas &amp; Electric 2010" xfId="9438"/>
    <cellStyle name="20% - Accent2 2 2 5 3" xfId="9439"/>
    <cellStyle name="20% - Accent2 2 2 5 4" xfId="9440"/>
    <cellStyle name="20% - Accent2 2 2 5 5" xfId="9441"/>
    <cellStyle name="20% - Accent2 2 2 5 6" xfId="9442"/>
    <cellStyle name="20% - Accent2 2 2 5_4Q Ops Metrics Gas &amp; Electric 2010" xfId="9443"/>
    <cellStyle name="20% - Accent2 2 2 6" xfId="9444"/>
    <cellStyle name="20% - Accent2 2 2 6 2" xfId="9445"/>
    <cellStyle name="20% - Accent2 2 2 6 2 2" xfId="9446"/>
    <cellStyle name="20% - Accent2 2 2 6 2 3" xfId="9447"/>
    <cellStyle name="20% - Accent2 2 2 6 2 4" xfId="9448"/>
    <cellStyle name="20% - Accent2 2 2 6 2_4Q Ops Metrics Gas &amp; Electric 2010" xfId="9449"/>
    <cellStyle name="20% - Accent2 2 2 6 3" xfId="9450"/>
    <cellStyle name="20% - Accent2 2 2 6 4" xfId="9451"/>
    <cellStyle name="20% - Accent2 2 2 6 5" xfId="9452"/>
    <cellStyle name="20% - Accent2 2 2 6 6" xfId="9453"/>
    <cellStyle name="20% - Accent2 2 2 6_4Q Ops Metrics Gas &amp; Electric 2010" xfId="9454"/>
    <cellStyle name="20% - Accent2 2 2 7" xfId="9455"/>
    <cellStyle name="20% - Accent2 2 2 7 2" xfId="9456"/>
    <cellStyle name="20% - Accent2 2 2 7 2 2" xfId="9457"/>
    <cellStyle name="20% - Accent2 2 2 7 2 3" xfId="9458"/>
    <cellStyle name="20% - Accent2 2 2 7 2 4" xfId="9459"/>
    <cellStyle name="20% - Accent2 2 2 7 2_4Q Ops Metrics Gas &amp; Electric 2010" xfId="9460"/>
    <cellStyle name="20% - Accent2 2 2 7 3" xfId="9461"/>
    <cellStyle name="20% - Accent2 2 2 7 4" xfId="9462"/>
    <cellStyle name="20% - Accent2 2 2 7 5" xfId="9463"/>
    <cellStyle name="20% - Accent2 2 2 7 6" xfId="9464"/>
    <cellStyle name="20% - Accent2 2 2 7_4Q Ops Metrics Gas &amp; Electric 2010" xfId="9465"/>
    <cellStyle name="20% - Accent2 2 2 8" xfId="9466"/>
    <cellStyle name="20% - Accent2 2 2 8 2" xfId="9467"/>
    <cellStyle name="20% - Accent2 2 2 8 2 2" xfId="9468"/>
    <cellStyle name="20% - Accent2 2 2 8 2 3" xfId="9469"/>
    <cellStyle name="20% - Accent2 2 2 8 2 4" xfId="9470"/>
    <cellStyle name="20% - Accent2 2 2 8 2_4Q Ops Metrics Gas &amp; Electric 2010" xfId="9471"/>
    <cellStyle name="20% - Accent2 2 2 8 3" xfId="9472"/>
    <cellStyle name="20% - Accent2 2 2 8 4" xfId="9473"/>
    <cellStyle name="20% - Accent2 2 2 8_4Q Ops Metrics Gas &amp; Electric 2010" xfId="9474"/>
    <cellStyle name="20% - Accent2 2 2 9" xfId="9475"/>
    <cellStyle name="20% - Accent2 2 2 9 2" xfId="9476"/>
    <cellStyle name="20% - Accent2 2 2 9 2 2" xfId="9477"/>
    <cellStyle name="20% - Accent2 2 2 9 2 3" xfId="9478"/>
    <cellStyle name="20% - Accent2 2 2 9 2 4" xfId="9479"/>
    <cellStyle name="20% - Accent2 2 2 9 2_4Q Ops Metrics Gas &amp; Electric 2010" xfId="9480"/>
    <cellStyle name="20% - Accent2 2 2 9 3" xfId="9481"/>
    <cellStyle name="20% - Accent2 2 2 9 4" xfId="9482"/>
    <cellStyle name="20% - Accent2 2 2 9_4Q Ops Metrics Gas &amp; Electric 2010" xfId="9483"/>
    <cellStyle name="20% - Accent2 2 2_2009 Actual" xfId="9484"/>
    <cellStyle name="20% - Accent2 2 20" xfId="9485"/>
    <cellStyle name="20% - Accent2 2 21" xfId="9486"/>
    <cellStyle name="20% - Accent2 2 21 2" xfId="9487"/>
    <cellStyle name="20% - Accent2 2 21 2 2" xfId="9488"/>
    <cellStyle name="20% - Accent2 2 21 2 2 2" xfId="9489"/>
    <cellStyle name="20% - Accent2 2 21 2 2 3" xfId="9490"/>
    <cellStyle name="20% - Accent2 2 21 2 3" xfId="9491"/>
    <cellStyle name="20% - Accent2 2 21 2 3 2" xfId="9492"/>
    <cellStyle name="20% - Accent2 2 21 2 4" xfId="9493"/>
    <cellStyle name="20% - Accent2 2 21 2 5" xfId="9494"/>
    <cellStyle name="20% - Accent2 2 21 3" xfId="9495"/>
    <cellStyle name="20% - Accent2 2 21 3 2" xfId="9496"/>
    <cellStyle name="20% - Accent2 2 21 3 2 2" xfId="9497"/>
    <cellStyle name="20% - Accent2 2 21 3 3" xfId="9498"/>
    <cellStyle name="20% - Accent2 2 21 3 4" xfId="9499"/>
    <cellStyle name="20% - Accent2 2 21 4" xfId="9500"/>
    <cellStyle name="20% - Accent2 2 21 4 2" xfId="9501"/>
    <cellStyle name="20% - Accent2 2 21 4 2 2" xfId="9502"/>
    <cellStyle name="20% - Accent2 2 21 4 3" xfId="9503"/>
    <cellStyle name="20% - Accent2 2 21 4 4" xfId="9504"/>
    <cellStyle name="20% - Accent2 2 21 5" xfId="9505"/>
    <cellStyle name="20% - Accent2 2 21 5 2" xfId="9506"/>
    <cellStyle name="20% - Accent2 2 21 6" xfId="9507"/>
    <cellStyle name="20% - Accent2 2 21 7" xfId="9508"/>
    <cellStyle name="20% - Accent2 2 21 8" xfId="9509"/>
    <cellStyle name="20% - Accent2 2 22" xfId="9510"/>
    <cellStyle name="20% - Accent2 2 22 2" xfId="9511"/>
    <cellStyle name="20% - Accent2 2 22 2 2" xfId="9512"/>
    <cellStyle name="20% - Accent2 2 22 2 2 2" xfId="9513"/>
    <cellStyle name="20% - Accent2 2 22 2 2 3" xfId="9514"/>
    <cellStyle name="20% - Accent2 2 22 2 3" xfId="9515"/>
    <cellStyle name="20% - Accent2 2 22 2 3 2" xfId="9516"/>
    <cellStyle name="20% - Accent2 2 22 2 4" xfId="9517"/>
    <cellStyle name="20% - Accent2 2 22 2 5" xfId="9518"/>
    <cellStyle name="20% - Accent2 2 22 3" xfId="9519"/>
    <cellStyle name="20% - Accent2 2 22 3 2" xfId="9520"/>
    <cellStyle name="20% - Accent2 2 22 3 2 2" xfId="9521"/>
    <cellStyle name="20% - Accent2 2 22 3 3" xfId="9522"/>
    <cellStyle name="20% - Accent2 2 22 3 4" xfId="9523"/>
    <cellStyle name="20% - Accent2 2 22 4" xfId="9524"/>
    <cellStyle name="20% - Accent2 2 22 4 2" xfId="9525"/>
    <cellStyle name="20% - Accent2 2 22 4 2 2" xfId="9526"/>
    <cellStyle name="20% - Accent2 2 22 4 3" xfId="9527"/>
    <cellStyle name="20% - Accent2 2 22 4 4" xfId="9528"/>
    <cellStyle name="20% - Accent2 2 22 5" xfId="9529"/>
    <cellStyle name="20% - Accent2 2 22 5 2" xfId="9530"/>
    <cellStyle name="20% - Accent2 2 22 6" xfId="9531"/>
    <cellStyle name="20% - Accent2 2 22 7" xfId="9532"/>
    <cellStyle name="20% - Accent2 2 22 8" xfId="9533"/>
    <cellStyle name="20% - Accent2 2 23" xfId="9534"/>
    <cellStyle name="20% - Accent2 2 23 2" xfId="9535"/>
    <cellStyle name="20% - Accent2 2 23 2 2" xfId="9536"/>
    <cellStyle name="20% - Accent2 2 23 2 2 2" xfId="9537"/>
    <cellStyle name="20% - Accent2 2 23 2 2 3" xfId="9538"/>
    <cellStyle name="20% - Accent2 2 23 2 3" xfId="9539"/>
    <cellStyle name="20% - Accent2 2 23 2 3 2" xfId="9540"/>
    <cellStyle name="20% - Accent2 2 23 2 4" xfId="9541"/>
    <cellStyle name="20% - Accent2 2 23 2 5" xfId="9542"/>
    <cellStyle name="20% - Accent2 2 23 3" xfId="9543"/>
    <cellStyle name="20% - Accent2 2 23 3 2" xfId="9544"/>
    <cellStyle name="20% - Accent2 2 23 3 2 2" xfId="9545"/>
    <cellStyle name="20% - Accent2 2 23 3 3" xfId="9546"/>
    <cellStyle name="20% - Accent2 2 23 3 4" xfId="9547"/>
    <cellStyle name="20% - Accent2 2 23 4" xfId="9548"/>
    <cellStyle name="20% - Accent2 2 23 4 2" xfId="9549"/>
    <cellStyle name="20% - Accent2 2 23 4 2 2" xfId="9550"/>
    <cellStyle name="20% - Accent2 2 23 4 3" xfId="9551"/>
    <cellStyle name="20% - Accent2 2 23 4 4" xfId="9552"/>
    <cellStyle name="20% - Accent2 2 23 5" xfId="9553"/>
    <cellStyle name="20% - Accent2 2 23 5 2" xfId="9554"/>
    <cellStyle name="20% - Accent2 2 23 6" xfId="9555"/>
    <cellStyle name="20% - Accent2 2 23 7" xfId="9556"/>
    <cellStyle name="20% - Accent2 2 23 8" xfId="9557"/>
    <cellStyle name="20% - Accent2 2 24" xfId="9558"/>
    <cellStyle name="20% - Accent2 2 24 2" xfId="9559"/>
    <cellStyle name="20% - Accent2 2 24 2 2" xfId="9560"/>
    <cellStyle name="20% - Accent2 2 24 2 2 2" xfId="9561"/>
    <cellStyle name="20% - Accent2 2 24 2 2 3" xfId="9562"/>
    <cellStyle name="20% - Accent2 2 24 2 3" xfId="9563"/>
    <cellStyle name="20% - Accent2 2 24 2 3 2" xfId="9564"/>
    <cellStyle name="20% - Accent2 2 24 2 4" xfId="9565"/>
    <cellStyle name="20% - Accent2 2 24 2 5" xfId="9566"/>
    <cellStyle name="20% - Accent2 2 24 3" xfId="9567"/>
    <cellStyle name="20% - Accent2 2 24 3 2" xfId="9568"/>
    <cellStyle name="20% - Accent2 2 24 3 2 2" xfId="9569"/>
    <cellStyle name="20% - Accent2 2 24 3 3" xfId="9570"/>
    <cellStyle name="20% - Accent2 2 24 3 4" xfId="9571"/>
    <cellStyle name="20% - Accent2 2 24 4" xfId="9572"/>
    <cellStyle name="20% - Accent2 2 24 4 2" xfId="9573"/>
    <cellStyle name="20% - Accent2 2 24 4 2 2" xfId="9574"/>
    <cellStyle name="20% - Accent2 2 24 4 3" xfId="9575"/>
    <cellStyle name="20% - Accent2 2 24 4 4" xfId="9576"/>
    <cellStyle name="20% - Accent2 2 24 5" xfId="9577"/>
    <cellStyle name="20% - Accent2 2 24 5 2" xfId="9578"/>
    <cellStyle name="20% - Accent2 2 24 6" xfId="9579"/>
    <cellStyle name="20% - Accent2 2 24 7" xfId="9580"/>
    <cellStyle name="20% - Accent2 2 24 8" xfId="9581"/>
    <cellStyle name="20% - Accent2 2 25" xfId="9582"/>
    <cellStyle name="20% - Accent2 2 25 2" xfId="9583"/>
    <cellStyle name="20% - Accent2 2 25 2 2" xfId="9584"/>
    <cellStyle name="20% - Accent2 2 25 2 2 2" xfId="9585"/>
    <cellStyle name="20% - Accent2 2 25 2 2 3" xfId="9586"/>
    <cellStyle name="20% - Accent2 2 25 2 3" xfId="9587"/>
    <cellStyle name="20% - Accent2 2 25 2 3 2" xfId="9588"/>
    <cellStyle name="20% - Accent2 2 25 2 4" xfId="9589"/>
    <cellStyle name="20% - Accent2 2 25 2 5" xfId="9590"/>
    <cellStyle name="20% - Accent2 2 25 3" xfId="9591"/>
    <cellStyle name="20% - Accent2 2 25 3 2" xfId="9592"/>
    <cellStyle name="20% - Accent2 2 25 3 2 2" xfId="9593"/>
    <cellStyle name="20% - Accent2 2 25 3 3" xfId="9594"/>
    <cellStyle name="20% - Accent2 2 25 3 4" xfId="9595"/>
    <cellStyle name="20% - Accent2 2 25 4" xfId="9596"/>
    <cellStyle name="20% - Accent2 2 25 4 2" xfId="9597"/>
    <cellStyle name="20% - Accent2 2 25 4 2 2" xfId="9598"/>
    <cellStyle name="20% - Accent2 2 25 4 3" xfId="9599"/>
    <cellStyle name="20% - Accent2 2 25 4 4" xfId="9600"/>
    <cellStyle name="20% - Accent2 2 25 5" xfId="9601"/>
    <cellStyle name="20% - Accent2 2 25 5 2" xfId="9602"/>
    <cellStyle name="20% - Accent2 2 25 6" xfId="9603"/>
    <cellStyle name="20% - Accent2 2 25 7" xfId="9604"/>
    <cellStyle name="20% - Accent2 2 25 8" xfId="9605"/>
    <cellStyle name="20% - Accent2 2 26" xfId="9606"/>
    <cellStyle name="20% - Accent2 2 26 2" xfId="9607"/>
    <cellStyle name="20% - Accent2 2 26 2 2" xfId="9608"/>
    <cellStyle name="20% - Accent2 2 26 2 2 2" xfId="9609"/>
    <cellStyle name="20% - Accent2 2 26 2 2 3" xfId="9610"/>
    <cellStyle name="20% - Accent2 2 26 2 3" xfId="9611"/>
    <cellStyle name="20% - Accent2 2 26 2 3 2" xfId="9612"/>
    <cellStyle name="20% - Accent2 2 26 2 4" xfId="9613"/>
    <cellStyle name="20% - Accent2 2 26 2 5" xfId="9614"/>
    <cellStyle name="20% - Accent2 2 26 3" xfId="9615"/>
    <cellStyle name="20% - Accent2 2 26 3 2" xfId="9616"/>
    <cellStyle name="20% - Accent2 2 26 3 2 2" xfId="9617"/>
    <cellStyle name="20% - Accent2 2 26 3 3" xfId="9618"/>
    <cellStyle name="20% - Accent2 2 26 3 4" xfId="9619"/>
    <cellStyle name="20% - Accent2 2 26 4" xfId="9620"/>
    <cellStyle name="20% - Accent2 2 26 4 2" xfId="9621"/>
    <cellStyle name="20% - Accent2 2 26 4 2 2" xfId="9622"/>
    <cellStyle name="20% - Accent2 2 26 4 3" xfId="9623"/>
    <cellStyle name="20% - Accent2 2 26 4 4" xfId="9624"/>
    <cellStyle name="20% - Accent2 2 26 5" xfId="9625"/>
    <cellStyle name="20% - Accent2 2 26 5 2" xfId="9626"/>
    <cellStyle name="20% - Accent2 2 26 6" xfId="9627"/>
    <cellStyle name="20% - Accent2 2 26 7" xfId="9628"/>
    <cellStyle name="20% - Accent2 2 26 8" xfId="9629"/>
    <cellStyle name="20% - Accent2 2 27" xfId="9630"/>
    <cellStyle name="20% - Accent2 2 27 2" xfId="9631"/>
    <cellStyle name="20% - Accent2 2 27 2 2" xfId="9632"/>
    <cellStyle name="20% - Accent2 2 27 2 2 2" xfId="9633"/>
    <cellStyle name="20% - Accent2 2 27 2 2 3" xfId="9634"/>
    <cellStyle name="20% - Accent2 2 27 2 3" xfId="9635"/>
    <cellStyle name="20% - Accent2 2 27 2 3 2" xfId="9636"/>
    <cellStyle name="20% - Accent2 2 27 2 4" xfId="9637"/>
    <cellStyle name="20% - Accent2 2 27 2 5" xfId="9638"/>
    <cellStyle name="20% - Accent2 2 27 3" xfId="9639"/>
    <cellStyle name="20% - Accent2 2 27 3 2" xfId="9640"/>
    <cellStyle name="20% - Accent2 2 27 3 2 2" xfId="9641"/>
    <cellStyle name="20% - Accent2 2 27 3 3" xfId="9642"/>
    <cellStyle name="20% - Accent2 2 27 3 4" xfId="9643"/>
    <cellStyle name="20% - Accent2 2 27 4" xfId="9644"/>
    <cellStyle name="20% - Accent2 2 27 4 2" xfId="9645"/>
    <cellStyle name="20% - Accent2 2 27 4 2 2" xfId="9646"/>
    <cellStyle name="20% - Accent2 2 27 4 3" xfId="9647"/>
    <cellStyle name="20% - Accent2 2 27 4 4" xfId="9648"/>
    <cellStyle name="20% - Accent2 2 27 5" xfId="9649"/>
    <cellStyle name="20% - Accent2 2 27 5 2" xfId="9650"/>
    <cellStyle name="20% - Accent2 2 27 6" xfId="9651"/>
    <cellStyle name="20% - Accent2 2 27 7" xfId="9652"/>
    <cellStyle name="20% - Accent2 2 27 8" xfId="9653"/>
    <cellStyle name="20% - Accent2 2 28" xfId="9654"/>
    <cellStyle name="20% - Accent2 2 28 2" xfId="9655"/>
    <cellStyle name="20% - Accent2 2 28 2 2" xfId="9656"/>
    <cellStyle name="20% - Accent2 2 28 2 2 2" xfId="9657"/>
    <cellStyle name="20% - Accent2 2 28 2 2 3" xfId="9658"/>
    <cellStyle name="20% - Accent2 2 28 2 3" xfId="9659"/>
    <cellStyle name="20% - Accent2 2 28 2 3 2" xfId="9660"/>
    <cellStyle name="20% - Accent2 2 28 2 4" xfId="9661"/>
    <cellStyle name="20% - Accent2 2 28 2 5" xfId="9662"/>
    <cellStyle name="20% - Accent2 2 28 3" xfId="9663"/>
    <cellStyle name="20% - Accent2 2 28 3 2" xfId="9664"/>
    <cellStyle name="20% - Accent2 2 28 3 2 2" xfId="9665"/>
    <cellStyle name="20% - Accent2 2 28 3 3" xfId="9666"/>
    <cellStyle name="20% - Accent2 2 28 3 4" xfId="9667"/>
    <cellStyle name="20% - Accent2 2 28 4" xfId="9668"/>
    <cellStyle name="20% - Accent2 2 28 4 2" xfId="9669"/>
    <cellStyle name="20% - Accent2 2 28 4 2 2" xfId="9670"/>
    <cellStyle name="20% - Accent2 2 28 4 3" xfId="9671"/>
    <cellStyle name="20% - Accent2 2 28 4 4" xfId="9672"/>
    <cellStyle name="20% - Accent2 2 28 5" xfId="9673"/>
    <cellStyle name="20% - Accent2 2 28 5 2" xfId="9674"/>
    <cellStyle name="20% - Accent2 2 28 6" xfId="9675"/>
    <cellStyle name="20% - Accent2 2 28 7" xfId="9676"/>
    <cellStyle name="20% - Accent2 2 28 8" xfId="9677"/>
    <cellStyle name="20% - Accent2 2 29" xfId="9678"/>
    <cellStyle name="20% - Accent2 2 29 2" xfId="9679"/>
    <cellStyle name="20% - Accent2 2 29 2 2" xfId="9680"/>
    <cellStyle name="20% - Accent2 2 29 2 2 2" xfId="9681"/>
    <cellStyle name="20% - Accent2 2 29 2 2 3" xfId="9682"/>
    <cellStyle name="20% - Accent2 2 29 2 3" xfId="9683"/>
    <cellStyle name="20% - Accent2 2 29 2 3 2" xfId="9684"/>
    <cellStyle name="20% - Accent2 2 29 2 4" xfId="9685"/>
    <cellStyle name="20% - Accent2 2 29 2 5" xfId="9686"/>
    <cellStyle name="20% - Accent2 2 29 3" xfId="9687"/>
    <cellStyle name="20% - Accent2 2 29 3 2" xfId="9688"/>
    <cellStyle name="20% - Accent2 2 29 3 2 2" xfId="9689"/>
    <cellStyle name="20% - Accent2 2 29 3 3" xfId="9690"/>
    <cellStyle name="20% - Accent2 2 29 3 4" xfId="9691"/>
    <cellStyle name="20% - Accent2 2 29 4" xfId="9692"/>
    <cellStyle name="20% - Accent2 2 29 4 2" xfId="9693"/>
    <cellStyle name="20% - Accent2 2 29 4 2 2" xfId="9694"/>
    <cellStyle name="20% - Accent2 2 29 4 3" xfId="9695"/>
    <cellStyle name="20% - Accent2 2 29 4 4" xfId="9696"/>
    <cellStyle name="20% - Accent2 2 29 5" xfId="9697"/>
    <cellStyle name="20% - Accent2 2 29 5 2" xfId="9698"/>
    <cellStyle name="20% - Accent2 2 29 6" xfId="9699"/>
    <cellStyle name="20% - Accent2 2 29 7" xfId="9700"/>
    <cellStyle name="20% - Accent2 2 29 8" xfId="9701"/>
    <cellStyle name="20% - Accent2 2 3" xfId="205"/>
    <cellStyle name="20% - Accent2 2 3 10" xfId="9702"/>
    <cellStyle name="20% - Accent2 2 3 11" xfId="9703"/>
    <cellStyle name="20% - Accent2 2 3 12" xfId="9704"/>
    <cellStyle name="20% - Accent2 2 3 12 2" xfId="9705"/>
    <cellStyle name="20% - Accent2 2 3 2" xfId="206"/>
    <cellStyle name="20% - Accent2 2 3 2 2" xfId="207"/>
    <cellStyle name="20% - Accent2 2 3 2 2 2" xfId="208"/>
    <cellStyle name="20% - Accent2 2 3 2 3" xfId="209"/>
    <cellStyle name="20% - Accent2 2 3 3" xfId="210"/>
    <cellStyle name="20% - Accent2 2 3 3 2" xfId="211"/>
    <cellStyle name="20% - Accent2 2 3 3 2 2" xfId="9706"/>
    <cellStyle name="20% - Accent2 2 3 4" xfId="212"/>
    <cellStyle name="20% - Accent2 2 3 4 2" xfId="9707"/>
    <cellStyle name="20% - Accent2 2 3 4 2 2" xfId="9708"/>
    <cellStyle name="20% - Accent2 2 3 5" xfId="9709"/>
    <cellStyle name="20% - Accent2 2 3 5 2" xfId="9710"/>
    <cellStyle name="20% - Accent2 2 3 5 2 2" xfId="9711"/>
    <cellStyle name="20% - Accent2 2 3 6" xfId="9712"/>
    <cellStyle name="20% - Accent2 2 3 6 2" xfId="9713"/>
    <cellStyle name="20% - Accent2 2 3 6 3" xfId="9714"/>
    <cellStyle name="20% - Accent2 2 3 6 4" xfId="9715"/>
    <cellStyle name="20% - Accent2 2 3 6 4 2" xfId="9716"/>
    <cellStyle name="20% - Accent2 2 3 6_Elec Margin Analysis" xfId="9717"/>
    <cellStyle name="20% - Accent2 2 3 7" xfId="9718"/>
    <cellStyle name="20% - Accent2 2 3 7 2" xfId="9719"/>
    <cellStyle name="20% - Accent2 2 3 7 2 2" xfId="9720"/>
    <cellStyle name="20% - Accent2 2 3 8" xfId="9721"/>
    <cellStyle name="20% - Accent2 2 3 8 2" xfId="9722"/>
    <cellStyle name="20% - Accent2 2 3 8 2 2" xfId="9723"/>
    <cellStyle name="20% - Accent2 2 3 9" xfId="9724"/>
    <cellStyle name="20% - Accent2 2 3_2009 Actual" xfId="9725"/>
    <cellStyle name="20% - Accent2 2 30" xfId="9726"/>
    <cellStyle name="20% - Accent2 2 30 2" xfId="9727"/>
    <cellStyle name="20% - Accent2 2 30 2 2" xfId="9728"/>
    <cellStyle name="20% - Accent2 2 30 2 2 2" xfId="9729"/>
    <cellStyle name="20% - Accent2 2 30 2 2 3" xfId="9730"/>
    <cellStyle name="20% - Accent2 2 30 2 3" xfId="9731"/>
    <cellStyle name="20% - Accent2 2 30 2 3 2" xfId="9732"/>
    <cellStyle name="20% - Accent2 2 30 2 4" xfId="9733"/>
    <cellStyle name="20% - Accent2 2 30 2 5" xfId="9734"/>
    <cellStyle name="20% - Accent2 2 30 3" xfId="9735"/>
    <cellStyle name="20% - Accent2 2 30 3 2" xfId="9736"/>
    <cellStyle name="20% - Accent2 2 30 3 2 2" xfId="9737"/>
    <cellStyle name="20% - Accent2 2 30 3 3" xfId="9738"/>
    <cellStyle name="20% - Accent2 2 30 3 4" xfId="9739"/>
    <cellStyle name="20% - Accent2 2 30 4" xfId="9740"/>
    <cellStyle name="20% - Accent2 2 30 4 2" xfId="9741"/>
    <cellStyle name="20% - Accent2 2 30 4 2 2" xfId="9742"/>
    <cellStyle name="20% - Accent2 2 30 4 3" xfId="9743"/>
    <cellStyle name="20% - Accent2 2 30 4 4" xfId="9744"/>
    <cellStyle name="20% - Accent2 2 30 5" xfId="9745"/>
    <cellStyle name="20% - Accent2 2 30 5 2" xfId="9746"/>
    <cellStyle name="20% - Accent2 2 30 6" xfId="9747"/>
    <cellStyle name="20% - Accent2 2 30 7" xfId="9748"/>
    <cellStyle name="20% - Accent2 2 30 8" xfId="9749"/>
    <cellStyle name="20% - Accent2 2 31" xfId="9750"/>
    <cellStyle name="20% - Accent2 2 31 2" xfId="9751"/>
    <cellStyle name="20% - Accent2 2 31 2 2" xfId="9752"/>
    <cellStyle name="20% - Accent2 2 31 2 3" xfId="9753"/>
    <cellStyle name="20% - Accent2 2 31 3" xfId="9754"/>
    <cellStyle name="20% - Accent2 2 31 3 2" xfId="9755"/>
    <cellStyle name="20% - Accent2 2 31 4" xfId="9756"/>
    <cellStyle name="20% - Accent2 2 31 5" xfId="9757"/>
    <cellStyle name="20% - Accent2 2 32" xfId="9758"/>
    <cellStyle name="20% - Accent2 2 32 2" xfId="9759"/>
    <cellStyle name="20% - Accent2 2 32 2 2" xfId="9760"/>
    <cellStyle name="20% - Accent2 2 32 2 3" xfId="9761"/>
    <cellStyle name="20% - Accent2 2 32 3" xfId="9762"/>
    <cellStyle name="20% - Accent2 2 32 3 2" xfId="9763"/>
    <cellStyle name="20% - Accent2 2 32 4" xfId="9764"/>
    <cellStyle name="20% - Accent2 2 32 5" xfId="9765"/>
    <cellStyle name="20% - Accent2 2 33" xfId="9766"/>
    <cellStyle name="20% - Accent2 2 33 2" xfId="9767"/>
    <cellStyle name="20% - Accent2 2 33 2 2" xfId="9768"/>
    <cellStyle name="20% - Accent2 2 33 2 3" xfId="9769"/>
    <cellStyle name="20% - Accent2 2 33 3" xfId="9770"/>
    <cellStyle name="20% - Accent2 2 33 3 2" xfId="9771"/>
    <cellStyle name="20% - Accent2 2 33 4" xfId="9772"/>
    <cellStyle name="20% - Accent2 2 33 5" xfId="9773"/>
    <cellStyle name="20% - Accent2 2 34" xfId="9774"/>
    <cellStyle name="20% - Accent2 2 34 2" xfId="9775"/>
    <cellStyle name="20% - Accent2 2 34 2 2" xfId="9776"/>
    <cellStyle name="20% - Accent2 2 34 2 3" xfId="9777"/>
    <cellStyle name="20% - Accent2 2 34 3" xfId="9778"/>
    <cellStyle name="20% - Accent2 2 34 3 2" xfId="9779"/>
    <cellStyle name="20% - Accent2 2 34 4" xfId="9780"/>
    <cellStyle name="20% - Accent2 2 34 5" xfId="9781"/>
    <cellStyle name="20% - Accent2 2 35" xfId="9782"/>
    <cellStyle name="20% - Accent2 2 35 2" xfId="9783"/>
    <cellStyle name="20% - Accent2 2 35 2 2" xfId="9784"/>
    <cellStyle name="20% - Accent2 2 35 2 3" xfId="9785"/>
    <cellStyle name="20% - Accent2 2 35 3" xfId="9786"/>
    <cellStyle name="20% - Accent2 2 35 3 2" xfId="9787"/>
    <cellStyle name="20% - Accent2 2 35 4" xfId="9788"/>
    <cellStyle name="20% - Accent2 2 35 5" xfId="9789"/>
    <cellStyle name="20% - Accent2 2 36" xfId="9790"/>
    <cellStyle name="20% - Accent2 2 36 2" xfId="9791"/>
    <cellStyle name="20% - Accent2 2 36 2 2" xfId="9792"/>
    <cellStyle name="20% - Accent2 2 36 2 3" xfId="9793"/>
    <cellStyle name="20% - Accent2 2 36 3" xfId="9794"/>
    <cellStyle name="20% - Accent2 2 36 3 2" xfId="9795"/>
    <cellStyle name="20% - Accent2 2 36 4" xfId="9796"/>
    <cellStyle name="20% - Accent2 2 36 5" xfId="9797"/>
    <cellStyle name="20% - Accent2 2 37" xfId="9798"/>
    <cellStyle name="20% - Accent2 2 37 2" xfId="9799"/>
    <cellStyle name="20% - Accent2 2 37 2 2" xfId="9800"/>
    <cellStyle name="20% - Accent2 2 37 2 3" xfId="9801"/>
    <cellStyle name="20% - Accent2 2 37 3" xfId="9802"/>
    <cellStyle name="20% - Accent2 2 37 3 2" xfId="9803"/>
    <cellStyle name="20% - Accent2 2 37 4" xfId="9804"/>
    <cellStyle name="20% - Accent2 2 37 5" xfId="9805"/>
    <cellStyle name="20% - Accent2 2 38" xfId="9806"/>
    <cellStyle name="20% - Accent2 2 38 2" xfId="9807"/>
    <cellStyle name="20% - Accent2 2 38 2 2" xfId="9808"/>
    <cellStyle name="20% - Accent2 2 38 2 3" xfId="9809"/>
    <cellStyle name="20% - Accent2 2 38 3" xfId="9810"/>
    <cellStyle name="20% - Accent2 2 38 3 2" xfId="9811"/>
    <cellStyle name="20% - Accent2 2 38 4" xfId="9812"/>
    <cellStyle name="20% - Accent2 2 38 5" xfId="9813"/>
    <cellStyle name="20% - Accent2 2 39" xfId="9814"/>
    <cellStyle name="20% - Accent2 2 39 2" xfId="9815"/>
    <cellStyle name="20% - Accent2 2 39 2 2" xfId="9816"/>
    <cellStyle name="20% - Accent2 2 39 2 3" xfId="9817"/>
    <cellStyle name="20% - Accent2 2 39 3" xfId="9818"/>
    <cellStyle name="20% - Accent2 2 39 3 2" xfId="9819"/>
    <cellStyle name="20% - Accent2 2 39 4" xfId="9820"/>
    <cellStyle name="20% - Accent2 2 39 5" xfId="9821"/>
    <cellStyle name="20% - Accent2 2 4" xfId="213"/>
    <cellStyle name="20% - Accent2 2 4 2" xfId="214"/>
    <cellStyle name="20% - Accent2 2 4 2 2" xfId="215"/>
    <cellStyle name="20% - Accent2 2 4 3" xfId="216"/>
    <cellStyle name="20% - Accent2 2 4 4" xfId="9822"/>
    <cellStyle name="20% - Accent2 2 4 5" xfId="9823"/>
    <cellStyle name="20% - Accent2 2 4 6" xfId="9824"/>
    <cellStyle name="20% - Accent2 2 4 7" xfId="9825"/>
    <cellStyle name="20% - Accent2 2 4 8" xfId="9826"/>
    <cellStyle name="20% - Accent2 2 4 8 2" xfId="9827"/>
    <cellStyle name="20% - Accent2 2 4_2009 Actual" xfId="9828"/>
    <cellStyle name="20% - Accent2 2 40" xfId="9829"/>
    <cellStyle name="20% - Accent2 2 40 2" xfId="9830"/>
    <cellStyle name="20% - Accent2 2 40 2 2" xfId="9831"/>
    <cellStyle name="20% - Accent2 2 40 2 3" xfId="9832"/>
    <cellStyle name="20% - Accent2 2 40 3" xfId="9833"/>
    <cellStyle name="20% - Accent2 2 40 3 2" xfId="9834"/>
    <cellStyle name="20% - Accent2 2 40 4" xfId="9835"/>
    <cellStyle name="20% - Accent2 2 40 5" xfId="9836"/>
    <cellStyle name="20% - Accent2 2 41" xfId="9837"/>
    <cellStyle name="20% - Accent2 2 41 2" xfId="9838"/>
    <cellStyle name="20% - Accent2 2 41 2 2" xfId="9839"/>
    <cellStyle name="20% - Accent2 2 41 2 3" xfId="9840"/>
    <cellStyle name="20% - Accent2 2 41 3" xfId="9841"/>
    <cellStyle name="20% - Accent2 2 41 3 2" xfId="9842"/>
    <cellStyle name="20% - Accent2 2 41 4" xfId="9843"/>
    <cellStyle name="20% - Accent2 2 41 5" xfId="9844"/>
    <cellStyle name="20% - Accent2 2 42" xfId="9845"/>
    <cellStyle name="20% - Accent2 2 42 2" xfId="9846"/>
    <cellStyle name="20% - Accent2 2 42 2 2" xfId="9847"/>
    <cellStyle name="20% - Accent2 2 42 2 3" xfId="9848"/>
    <cellStyle name="20% - Accent2 2 42 3" xfId="9849"/>
    <cellStyle name="20% - Accent2 2 42 3 2" xfId="9850"/>
    <cellStyle name="20% - Accent2 2 42 4" xfId="9851"/>
    <cellStyle name="20% - Accent2 2 42 5" xfId="9852"/>
    <cellStyle name="20% - Accent2 2 43" xfId="9853"/>
    <cellStyle name="20% - Accent2 2 43 2" xfId="9854"/>
    <cellStyle name="20% - Accent2 2 43 2 2" xfId="9855"/>
    <cellStyle name="20% - Accent2 2 43 2 3" xfId="9856"/>
    <cellStyle name="20% - Accent2 2 43 3" xfId="9857"/>
    <cellStyle name="20% - Accent2 2 43 3 2" xfId="9858"/>
    <cellStyle name="20% - Accent2 2 43 4" xfId="9859"/>
    <cellStyle name="20% - Accent2 2 43 5" xfId="9860"/>
    <cellStyle name="20% - Accent2 2 44" xfId="9861"/>
    <cellStyle name="20% - Accent2 2 44 2" xfId="9862"/>
    <cellStyle name="20% - Accent2 2 44 2 2" xfId="9863"/>
    <cellStyle name="20% - Accent2 2 44 2 3" xfId="9864"/>
    <cellStyle name="20% - Accent2 2 44 3" xfId="9865"/>
    <cellStyle name="20% - Accent2 2 44 3 2" xfId="9866"/>
    <cellStyle name="20% - Accent2 2 44 4" xfId="9867"/>
    <cellStyle name="20% - Accent2 2 44 5" xfId="9868"/>
    <cellStyle name="20% - Accent2 2 45" xfId="9869"/>
    <cellStyle name="20% - Accent2 2 45 2" xfId="9870"/>
    <cellStyle name="20% - Accent2 2 45 2 2" xfId="9871"/>
    <cellStyle name="20% - Accent2 2 45 2 3" xfId="9872"/>
    <cellStyle name="20% - Accent2 2 45 3" xfId="9873"/>
    <cellStyle name="20% - Accent2 2 45 3 2" xfId="9874"/>
    <cellStyle name="20% - Accent2 2 45 4" xfId="9875"/>
    <cellStyle name="20% - Accent2 2 45 5" xfId="9876"/>
    <cellStyle name="20% - Accent2 2 46" xfId="9877"/>
    <cellStyle name="20% - Accent2 2 46 2" xfId="9878"/>
    <cellStyle name="20% - Accent2 2 46 2 2" xfId="9879"/>
    <cellStyle name="20% - Accent2 2 46 2 3" xfId="9880"/>
    <cellStyle name="20% - Accent2 2 46 3" xfId="9881"/>
    <cellStyle name="20% - Accent2 2 46 3 2" xfId="9882"/>
    <cellStyle name="20% - Accent2 2 46 4" xfId="9883"/>
    <cellStyle name="20% - Accent2 2 46 5" xfId="9884"/>
    <cellStyle name="20% - Accent2 2 47" xfId="9885"/>
    <cellStyle name="20% - Accent2 2 47 2" xfId="9886"/>
    <cellStyle name="20% - Accent2 2 47 2 2" xfId="9887"/>
    <cellStyle name="20% - Accent2 2 47 2 3" xfId="9888"/>
    <cellStyle name="20% - Accent2 2 47 3" xfId="9889"/>
    <cellStyle name="20% - Accent2 2 47 3 2" xfId="9890"/>
    <cellStyle name="20% - Accent2 2 47 4" xfId="9891"/>
    <cellStyle name="20% - Accent2 2 47 5" xfId="9892"/>
    <cellStyle name="20% - Accent2 2 48" xfId="9893"/>
    <cellStyle name="20% - Accent2 2 48 2" xfId="9894"/>
    <cellStyle name="20% - Accent2 2 48 2 2" xfId="9895"/>
    <cellStyle name="20% - Accent2 2 48 2 3" xfId="9896"/>
    <cellStyle name="20% - Accent2 2 48 3" xfId="9897"/>
    <cellStyle name="20% - Accent2 2 48 3 2" xfId="9898"/>
    <cellStyle name="20% - Accent2 2 48 4" xfId="9899"/>
    <cellStyle name="20% - Accent2 2 48 5" xfId="9900"/>
    <cellStyle name="20% - Accent2 2 49" xfId="9901"/>
    <cellStyle name="20% - Accent2 2 49 2" xfId="9902"/>
    <cellStyle name="20% - Accent2 2 49 2 2" xfId="9903"/>
    <cellStyle name="20% - Accent2 2 49 2 3" xfId="9904"/>
    <cellStyle name="20% - Accent2 2 49 3" xfId="9905"/>
    <cellStyle name="20% - Accent2 2 49 3 2" xfId="9906"/>
    <cellStyle name="20% - Accent2 2 49 4" xfId="9907"/>
    <cellStyle name="20% - Accent2 2 49 5" xfId="9908"/>
    <cellStyle name="20% - Accent2 2 5" xfId="217"/>
    <cellStyle name="20% - Accent2 2 5 2" xfId="218"/>
    <cellStyle name="20% - Accent2 2 5 3" xfId="9909"/>
    <cellStyle name="20% - Accent2 2 5 4" xfId="9910"/>
    <cellStyle name="20% - Accent2 2 5 5" xfId="9911"/>
    <cellStyle name="20% - Accent2 2 5 6" xfId="9912"/>
    <cellStyle name="20% - Accent2 2 5 7" xfId="9913"/>
    <cellStyle name="20% - Accent2 2 5 8" xfId="9914"/>
    <cellStyle name="20% - Accent2 2 5 8 2" xfId="9915"/>
    <cellStyle name="20% - Accent2 2 5_2009 Actual" xfId="9916"/>
    <cellStyle name="20% - Accent2 2 50" xfId="9917"/>
    <cellStyle name="20% - Accent2 2 50 2" xfId="9918"/>
    <cellStyle name="20% - Accent2 2 50 2 2" xfId="9919"/>
    <cellStyle name="20% - Accent2 2 50 2 3" xfId="9920"/>
    <cellStyle name="20% - Accent2 2 50 3" xfId="9921"/>
    <cellStyle name="20% - Accent2 2 50 3 2" xfId="9922"/>
    <cellStyle name="20% - Accent2 2 50 4" xfId="9923"/>
    <cellStyle name="20% - Accent2 2 50 5" xfId="9924"/>
    <cellStyle name="20% - Accent2 2 51" xfId="9925"/>
    <cellStyle name="20% - Accent2 2 51 2" xfId="9926"/>
    <cellStyle name="20% - Accent2 2 51 2 2" xfId="9927"/>
    <cellStyle name="20% - Accent2 2 51 2 3" xfId="9928"/>
    <cellStyle name="20% - Accent2 2 51 3" xfId="9929"/>
    <cellStyle name="20% - Accent2 2 51 3 2" xfId="9930"/>
    <cellStyle name="20% - Accent2 2 51 4" xfId="9931"/>
    <cellStyle name="20% - Accent2 2 51 5" xfId="9932"/>
    <cellStyle name="20% - Accent2 2 52" xfId="9933"/>
    <cellStyle name="20% - Accent2 2 52 2" xfId="9934"/>
    <cellStyle name="20% - Accent2 2 52 2 2" xfId="9935"/>
    <cellStyle name="20% - Accent2 2 52 2 3" xfId="9936"/>
    <cellStyle name="20% - Accent2 2 52 3" xfId="9937"/>
    <cellStyle name="20% - Accent2 2 52 3 2" xfId="9938"/>
    <cellStyle name="20% - Accent2 2 52 4" xfId="9939"/>
    <cellStyle name="20% - Accent2 2 52 5" xfId="9940"/>
    <cellStyle name="20% - Accent2 2 53" xfId="9941"/>
    <cellStyle name="20% - Accent2 2 53 2" xfId="9942"/>
    <cellStyle name="20% - Accent2 2 53 2 2" xfId="9943"/>
    <cellStyle name="20% - Accent2 2 53 2 3" xfId="9944"/>
    <cellStyle name="20% - Accent2 2 53 3" xfId="9945"/>
    <cellStyle name="20% - Accent2 2 53 3 2" xfId="9946"/>
    <cellStyle name="20% - Accent2 2 53 4" xfId="9947"/>
    <cellStyle name="20% - Accent2 2 53 5" xfId="9948"/>
    <cellStyle name="20% - Accent2 2 54" xfId="9949"/>
    <cellStyle name="20% - Accent2 2 54 2" xfId="9950"/>
    <cellStyle name="20% - Accent2 2 54 2 2" xfId="9951"/>
    <cellStyle name="20% - Accent2 2 54 2 3" xfId="9952"/>
    <cellStyle name="20% - Accent2 2 54 3" xfId="9953"/>
    <cellStyle name="20% - Accent2 2 54 3 2" xfId="9954"/>
    <cellStyle name="20% - Accent2 2 54 4" xfId="9955"/>
    <cellStyle name="20% - Accent2 2 54 5" xfId="9956"/>
    <cellStyle name="20% - Accent2 2 55" xfId="9957"/>
    <cellStyle name="20% - Accent2 2 55 2" xfId="9958"/>
    <cellStyle name="20% - Accent2 2 55 2 2" xfId="9959"/>
    <cellStyle name="20% - Accent2 2 55 2 3" xfId="9960"/>
    <cellStyle name="20% - Accent2 2 55 3" xfId="9961"/>
    <cellStyle name="20% - Accent2 2 55 3 2" xfId="9962"/>
    <cellStyle name="20% - Accent2 2 55 4" xfId="9963"/>
    <cellStyle name="20% - Accent2 2 55 5" xfId="9964"/>
    <cellStyle name="20% - Accent2 2 56" xfId="9965"/>
    <cellStyle name="20% - Accent2 2 56 2" xfId="9966"/>
    <cellStyle name="20% - Accent2 2 56 2 2" xfId="9967"/>
    <cellStyle name="20% - Accent2 2 56 2 3" xfId="9968"/>
    <cellStyle name="20% - Accent2 2 56 3" xfId="9969"/>
    <cellStyle name="20% - Accent2 2 56 3 2" xfId="9970"/>
    <cellStyle name="20% - Accent2 2 56 4" xfId="9971"/>
    <cellStyle name="20% - Accent2 2 56 5" xfId="9972"/>
    <cellStyle name="20% - Accent2 2 57" xfId="9973"/>
    <cellStyle name="20% - Accent2 2 57 2" xfId="9974"/>
    <cellStyle name="20% - Accent2 2 57 2 2" xfId="9975"/>
    <cellStyle name="20% - Accent2 2 57 2 3" xfId="9976"/>
    <cellStyle name="20% - Accent2 2 57 3" xfId="9977"/>
    <cellStyle name="20% - Accent2 2 57 3 2" xfId="9978"/>
    <cellStyle name="20% - Accent2 2 57 4" xfId="9979"/>
    <cellStyle name="20% - Accent2 2 57 5" xfId="9980"/>
    <cellStyle name="20% - Accent2 2 58" xfId="9981"/>
    <cellStyle name="20% - Accent2 2 58 2" xfId="9982"/>
    <cellStyle name="20% - Accent2 2 58 2 2" xfId="9983"/>
    <cellStyle name="20% - Accent2 2 58 2 3" xfId="9984"/>
    <cellStyle name="20% - Accent2 2 58 3" xfId="9985"/>
    <cellStyle name="20% - Accent2 2 58 3 2" xfId="9986"/>
    <cellStyle name="20% - Accent2 2 58 4" xfId="9987"/>
    <cellStyle name="20% - Accent2 2 58 5" xfId="9988"/>
    <cellStyle name="20% - Accent2 2 59" xfId="9989"/>
    <cellStyle name="20% - Accent2 2 59 2" xfId="9990"/>
    <cellStyle name="20% - Accent2 2 59 2 2" xfId="9991"/>
    <cellStyle name="20% - Accent2 2 59 2 3" xfId="9992"/>
    <cellStyle name="20% - Accent2 2 59 3" xfId="9993"/>
    <cellStyle name="20% - Accent2 2 59 3 2" xfId="9994"/>
    <cellStyle name="20% - Accent2 2 59 4" xfId="9995"/>
    <cellStyle name="20% - Accent2 2 59 5" xfId="9996"/>
    <cellStyle name="20% - Accent2 2 6" xfId="219"/>
    <cellStyle name="20% - Accent2 2 6 2" xfId="9997"/>
    <cellStyle name="20% - Accent2 2 6 3" xfId="9998"/>
    <cellStyle name="20% - Accent2 2 6 4" xfId="9999"/>
    <cellStyle name="20% - Accent2 2 6 5" xfId="10000"/>
    <cellStyle name="20% - Accent2 2 6 6" xfId="10001"/>
    <cellStyle name="20% - Accent2 2 6 7" xfId="10002"/>
    <cellStyle name="20% - Accent2 2 6 8" xfId="10003"/>
    <cellStyle name="20% - Accent2 2 6 8 2" xfId="10004"/>
    <cellStyle name="20% - Accent2 2 6_2009 Actual" xfId="10005"/>
    <cellStyle name="20% - Accent2 2 60" xfId="10006"/>
    <cellStyle name="20% - Accent2 2 60 2" xfId="10007"/>
    <cellStyle name="20% - Accent2 2 60 2 2" xfId="10008"/>
    <cellStyle name="20% - Accent2 2 60 2 3" xfId="10009"/>
    <cellStyle name="20% - Accent2 2 60 3" xfId="10010"/>
    <cellStyle name="20% - Accent2 2 60 3 2" xfId="10011"/>
    <cellStyle name="20% - Accent2 2 60 4" xfId="10012"/>
    <cellStyle name="20% - Accent2 2 60 5" xfId="10013"/>
    <cellStyle name="20% - Accent2 2 61" xfId="10014"/>
    <cellStyle name="20% - Accent2 2 61 2" xfId="10015"/>
    <cellStyle name="20% - Accent2 2 61 2 2" xfId="10016"/>
    <cellStyle name="20% - Accent2 2 61 2 3" xfId="10017"/>
    <cellStyle name="20% - Accent2 2 61 3" xfId="10018"/>
    <cellStyle name="20% - Accent2 2 61 3 2" xfId="10019"/>
    <cellStyle name="20% - Accent2 2 61 4" xfId="10020"/>
    <cellStyle name="20% - Accent2 2 61 5" xfId="10021"/>
    <cellStyle name="20% - Accent2 2 62" xfId="10022"/>
    <cellStyle name="20% - Accent2 2 62 2" xfId="10023"/>
    <cellStyle name="20% - Accent2 2 62 2 2" xfId="10024"/>
    <cellStyle name="20% - Accent2 2 62 2 3" xfId="10025"/>
    <cellStyle name="20% - Accent2 2 62 3" xfId="10026"/>
    <cellStyle name="20% - Accent2 2 62 3 2" xfId="10027"/>
    <cellStyle name="20% - Accent2 2 62 4" xfId="10028"/>
    <cellStyle name="20% - Accent2 2 62 5" xfId="10029"/>
    <cellStyle name="20% - Accent2 2 63" xfId="10030"/>
    <cellStyle name="20% - Accent2 2 63 2" xfId="10031"/>
    <cellStyle name="20% - Accent2 2 63 2 2" xfId="10032"/>
    <cellStyle name="20% - Accent2 2 63 2 3" xfId="10033"/>
    <cellStyle name="20% - Accent2 2 63 3" xfId="10034"/>
    <cellStyle name="20% - Accent2 2 63 3 2" xfId="10035"/>
    <cellStyle name="20% - Accent2 2 63 4" xfId="10036"/>
    <cellStyle name="20% - Accent2 2 63 5" xfId="10037"/>
    <cellStyle name="20% - Accent2 2 64" xfId="10038"/>
    <cellStyle name="20% - Accent2 2 64 2" xfId="10039"/>
    <cellStyle name="20% - Accent2 2 64 2 2" xfId="10040"/>
    <cellStyle name="20% - Accent2 2 64 2 3" xfId="10041"/>
    <cellStyle name="20% - Accent2 2 64 3" xfId="10042"/>
    <cellStyle name="20% - Accent2 2 64 3 2" xfId="10043"/>
    <cellStyle name="20% - Accent2 2 64 4" xfId="10044"/>
    <cellStyle name="20% - Accent2 2 64 5" xfId="10045"/>
    <cellStyle name="20% - Accent2 2 65" xfId="10046"/>
    <cellStyle name="20% - Accent2 2 65 2" xfId="10047"/>
    <cellStyle name="20% - Accent2 2 65 2 2" xfId="10048"/>
    <cellStyle name="20% - Accent2 2 65 2 3" xfId="10049"/>
    <cellStyle name="20% - Accent2 2 65 3" xfId="10050"/>
    <cellStyle name="20% - Accent2 2 65 3 2" xfId="10051"/>
    <cellStyle name="20% - Accent2 2 65 4" xfId="10052"/>
    <cellStyle name="20% - Accent2 2 65 5" xfId="10053"/>
    <cellStyle name="20% - Accent2 2 66" xfId="10054"/>
    <cellStyle name="20% - Accent2 2 66 2" xfId="10055"/>
    <cellStyle name="20% - Accent2 2 66 2 2" xfId="10056"/>
    <cellStyle name="20% - Accent2 2 66 2 3" xfId="10057"/>
    <cellStyle name="20% - Accent2 2 66 3" xfId="10058"/>
    <cellStyle name="20% - Accent2 2 66 3 2" xfId="10059"/>
    <cellStyle name="20% - Accent2 2 66 4" xfId="10060"/>
    <cellStyle name="20% - Accent2 2 66 5" xfId="10061"/>
    <cellStyle name="20% - Accent2 2 67" xfId="10062"/>
    <cellStyle name="20% - Accent2 2 67 2" xfId="10063"/>
    <cellStyle name="20% - Accent2 2 67 2 2" xfId="10064"/>
    <cellStyle name="20% - Accent2 2 67 2 3" xfId="10065"/>
    <cellStyle name="20% - Accent2 2 67 3" xfId="10066"/>
    <cellStyle name="20% - Accent2 2 67 3 2" xfId="10067"/>
    <cellStyle name="20% - Accent2 2 67 4" xfId="10068"/>
    <cellStyle name="20% - Accent2 2 67 5" xfId="10069"/>
    <cellStyle name="20% - Accent2 2 68" xfId="10070"/>
    <cellStyle name="20% - Accent2 2 68 2" xfId="10071"/>
    <cellStyle name="20% - Accent2 2 68 2 2" xfId="10072"/>
    <cellStyle name="20% - Accent2 2 68 2 3" xfId="10073"/>
    <cellStyle name="20% - Accent2 2 68 3" xfId="10074"/>
    <cellStyle name="20% - Accent2 2 68 3 2" xfId="10075"/>
    <cellStyle name="20% - Accent2 2 68 4" xfId="10076"/>
    <cellStyle name="20% - Accent2 2 68 5" xfId="10077"/>
    <cellStyle name="20% - Accent2 2 69" xfId="10078"/>
    <cellStyle name="20% - Accent2 2 69 2" xfId="10079"/>
    <cellStyle name="20% - Accent2 2 69 2 2" xfId="10080"/>
    <cellStyle name="20% - Accent2 2 69 2 3" xfId="10081"/>
    <cellStyle name="20% - Accent2 2 69 3" xfId="10082"/>
    <cellStyle name="20% - Accent2 2 69 3 2" xfId="10083"/>
    <cellStyle name="20% - Accent2 2 69 4" xfId="10084"/>
    <cellStyle name="20% - Accent2 2 69 5" xfId="10085"/>
    <cellStyle name="20% - Accent2 2 7" xfId="10086"/>
    <cellStyle name="20% - Accent2 2 7 2" xfId="10087"/>
    <cellStyle name="20% - Accent2 2 7 2 2" xfId="10088"/>
    <cellStyle name="20% - Accent2 2 7 3" xfId="10089"/>
    <cellStyle name="20% - Accent2 2 7 4" xfId="10090"/>
    <cellStyle name="20% - Accent2 2 7 5" xfId="10091"/>
    <cellStyle name="20% - Accent2 2 7 5 2" xfId="10092"/>
    <cellStyle name="20% - Accent2 2 7_4Q Ops Metrics Gas &amp; Electric 2010" xfId="10093"/>
    <cellStyle name="20% - Accent2 2 70" xfId="10094"/>
    <cellStyle name="20% - Accent2 2 70 2" xfId="10095"/>
    <cellStyle name="20% - Accent2 2 70 2 2" xfId="10096"/>
    <cellStyle name="20% - Accent2 2 70 2 3" xfId="10097"/>
    <cellStyle name="20% - Accent2 2 70 3" xfId="10098"/>
    <cellStyle name="20% - Accent2 2 70 3 2" xfId="10099"/>
    <cellStyle name="20% - Accent2 2 70 4" xfId="10100"/>
    <cellStyle name="20% - Accent2 2 70 5" xfId="10101"/>
    <cellStyle name="20% - Accent2 2 71" xfId="10102"/>
    <cellStyle name="20% - Accent2 2 71 2" xfId="10103"/>
    <cellStyle name="20% - Accent2 2 71 2 2" xfId="10104"/>
    <cellStyle name="20% - Accent2 2 71 2 3" xfId="10105"/>
    <cellStyle name="20% - Accent2 2 71 3" xfId="10106"/>
    <cellStyle name="20% - Accent2 2 71 3 2" xfId="10107"/>
    <cellStyle name="20% - Accent2 2 71 4" xfId="10108"/>
    <cellStyle name="20% - Accent2 2 71 5" xfId="10109"/>
    <cellStyle name="20% - Accent2 2 72" xfId="10110"/>
    <cellStyle name="20% - Accent2 2 72 2" xfId="10111"/>
    <cellStyle name="20% - Accent2 2 72 2 2" xfId="10112"/>
    <cellStyle name="20% - Accent2 2 72 2 3" xfId="10113"/>
    <cellStyle name="20% - Accent2 2 72 3" xfId="10114"/>
    <cellStyle name="20% - Accent2 2 72 3 2" xfId="10115"/>
    <cellStyle name="20% - Accent2 2 72 4" xfId="10116"/>
    <cellStyle name="20% - Accent2 2 72 5" xfId="10117"/>
    <cellStyle name="20% - Accent2 2 73" xfId="10118"/>
    <cellStyle name="20% - Accent2 2 73 2" xfId="10119"/>
    <cellStyle name="20% - Accent2 2 73 2 2" xfId="10120"/>
    <cellStyle name="20% - Accent2 2 73 2 3" xfId="10121"/>
    <cellStyle name="20% - Accent2 2 73 3" xfId="10122"/>
    <cellStyle name="20% - Accent2 2 73 3 2" xfId="10123"/>
    <cellStyle name="20% - Accent2 2 73 4" xfId="10124"/>
    <cellStyle name="20% - Accent2 2 73 5" xfId="10125"/>
    <cellStyle name="20% - Accent2 2 74" xfId="10126"/>
    <cellStyle name="20% - Accent2 2 74 2" xfId="10127"/>
    <cellStyle name="20% - Accent2 2 74 2 2" xfId="10128"/>
    <cellStyle name="20% - Accent2 2 74 2 3" xfId="10129"/>
    <cellStyle name="20% - Accent2 2 74 3" xfId="10130"/>
    <cellStyle name="20% - Accent2 2 74 3 2" xfId="10131"/>
    <cellStyle name="20% - Accent2 2 74 4" xfId="10132"/>
    <cellStyle name="20% - Accent2 2 74 5" xfId="10133"/>
    <cellStyle name="20% - Accent2 2 75" xfId="10134"/>
    <cellStyle name="20% - Accent2 2 75 2" xfId="10135"/>
    <cellStyle name="20% - Accent2 2 75 2 2" xfId="10136"/>
    <cellStyle name="20% - Accent2 2 75 2 3" xfId="10137"/>
    <cellStyle name="20% - Accent2 2 75 3" xfId="10138"/>
    <cellStyle name="20% - Accent2 2 75 3 2" xfId="10139"/>
    <cellStyle name="20% - Accent2 2 75 4" xfId="10140"/>
    <cellStyle name="20% - Accent2 2 75 5" xfId="10141"/>
    <cellStyle name="20% - Accent2 2 76" xfId="10142"/>
    <cellStyle name="20% - Accent2 2 76 2" xfId="10143"/>
    <cellStyle name="20% - Accent2 2 76 2 2" xfId="10144"/>
    <cellStyle name="20% - Accent2 2 76 2 3" xfId="10145"/>
    <cellStyle name="20% - Accent2 2 76 3" xfId="10146"/>
    <cellStyle name="20% - Accent2 2 76 3 2" xfId="10147"/>
    <cellStyle name="20% - Accent2 2 76 4" xfId="10148"/>
    <cellStyle name="20% - Accent2 2 76 5" xfId="10149"/>
    <cellStyle name="20% - Accent2 2 77" xfId="10150"/>
    <cellStyle name="20% - Accent2 2 77 2" xfId="10151"/>
    <cellStyle name="20% - Accent2 2 77 2 2" xfId="10152"/>
    <cellStyle name="20% - Accent2 2 77 2 3" xfId="10153"/>
    <cellStyle name="20% - Accent2 2 77 3" xfId="10154"/>
    <cellStyle name="20% - Accent2 2 77 3 2" xfId="10155"/>
    <cellStyle name="20% - Accent2 2 77 4" xfId="10156"/>
    <cellStyle name="20% - Accent2 2 77 5" xfId="10157"/>
    <cellStyle name="20% - Accent2 2 78" xfId="10158"/>
    <cellStyle name="20% - Accent2 2 78 2" xfId="10159"/>
    <cellStyle name="20% - Accent2 2 78 2 2" xfId="10160"/>
    <cellStyle name="20% - Accent2 2 78 2 3" xfId="10161"/>
    <cellStyle name="20% - Accent2 2 78 3" xfId="10162"/>
    <cellStyle name="20% - Accent2 2 78 3 2" xfId="10163"/>
    <cellStyle name="20% - Accent2 2 78 4" xfId="10164"/>
    <cellStyle name="20% - Accent2 2 78 5" xfId="10165"/>
    <cellStyle name="20% - Accent2 2 79" xfId="10166"/>
    <cellStyle name="20% - Accent2 2 79 2" xfId="10167"/>
    <cellStyle name="20% - Accent2 2 79 2 2" xfId="10168"/>
    <cellStyle name="20% - Accent2 2 79 2 3" xfId="10169"/>
    <cellStyle name="20% - Accent2 2 79 3" xfId="10170"/>
    <cellStyle name="20% - Accent2 2 79 3 2" xfId="10171"/>
    <cellStyle name="20% - Accent2 2 79 4" xfId="10172"/>
    <cellStyle name="20% - Accent2 2 79 5" xfId="10173"/>
    <cellStyle name="20% - Accent2 2 8" xfId="10174"/>
    <cellStyle name="20% - Accent2 2 8 2" xfId="10175"/>
    <cellStyle name="20% - Accent2 2 8 2 2" xfId="10176"/>
    <cellStyle name="20% - Accent2 2 8 3" xfId="10177"/>
    <cellStyle name="20% - Accent2 2 8 4" xfId="10178"/>
    <cellStyle name="20% - Accent2 2 8 5" xfId="10179"/>
    <cellStyle name="20% - Accent2 2 8 5 2" xfId="10180"/>
    <cellStyle name="20% - Accent2 2 8_4Q Ops Metrics Gas &amp; Electric 2010" xfId="10181"/>
    <cellStyle name="20% - Accent2 2 80" xfId="10182"/>
    <cellStyle name="20% - Accent2 2 80 2" xfId="10183"/>
    <cellStyle name="20% - Accent2 2 80 2 2" xfId="10184"/>
    <cellStyle name="20% - Accent2 2 80 2 3" xfId="10185"/>
    <cellStyle name="20% - Accent2 2 80 3" xfId="10186"/>
    <cellStyle name="20% - Accent2 2 80 3 2" xfId="10187"/>
    <cellStyle name="20% - Accent2 2 80 4" xfId="10188"/>
    <cellStyle name="20% - Accent2 2 80 5" xfId="10189"/>
    <cellStyle name="20% - Accent2 2 81" xfId="10190"/>
    <cellStyle name="20% - Accent2 2 81 2" xfId="10191"/>
    <cellStyle name="20% - Accent2 2 81 2 2" xfId="10192"/>
    <cellStyle name="20% - Accent2 2 81 2 3" xfId="10193"/>
    <cellStyle name="20% - Accent2 2 81 3" xfId="10194"/>
    <cellStyle name="20% - Accent2 2 81 3 2" xfId="10195"/>
    <cellStyle name="20% - Accent2 2 81 4" xfId="10196"/>
    <cellStyle name="20% - Accent2 2 81 5" xfId="10197"/>
    <cellStyle name="20% - Accent2 2 82" xfId="10198"/>
    <cellStyle name="20% - Accent2 2 82 2" xfId="10199"/>
    <cellStyle name="20% - Accent2 2 82 2 2" xfId="10200"/>
    <cellStyle name="20% - Accent2 2 82 2 3" xfId="10201"/>
    <cellStyle name="20% - Accent2 2 82 3" xfId="10202"/>
    <cellStyle name="20% - Accent2 2 82 3 2" xfId="10203"/>
    <cellStyle name="20% - Accent2 2 82 4" xfId="10204"/>
    <cellStyle name="20% - Accent2 2 82 5" xfId="10205"/>
    <cellStyle name="20% - Accent2 2 83" xfId="10206"/>
    <cellStyle name="20% - Accent2 2 83 2" xfId="10207"/>
    <cellStyle name="20% - Accent2 2 83 2 2" xfId="10208"/>
    <cellStyle name="20% - Accent2 2 83 2 3" xfId="10209"/>
    <cellStyle name="20% - Accent2 2 83 3" xfId="10210"/>
    <cellStyle name="20% - Accent2 2 83 3 2" xfId="10211"/>
    <cellStyle name="20% - Accent2 2 83 4" xfId="10212"/>
    <cellStyle name="20% - Accent2 2 83 5" xfId="10213"/>
    <cellStyle name="20% - Accent2 2 84" xfId="10214"/>
    <cellStyle name="20% - Accent2 2 84 2" xfId="10215"/>
    <cellStyle name="20% - Accent2 2 84 2 2" xfId="10216"/>
    <cellStyle name="20% - Accent2 2 84 2 3" xfId="10217"/>
    <cellStyle name="20% - Accent2 2 84 3" xfId="10218"/>
    <cellStyle name="20% - Accent2 2 84 3 2" xfId="10219"/>
    <cellStyle name="20% - Accent2 2 84 4" xfId="10220"/>
    <cellStyle name="20% - Accent2 2 84 5" xfId="10221"/>
    <cellStyle name="20% - Accent2 2 85" xfId="10222"/>
    <cellStyle name="20% - Accent2 2 85 2" xfId="10223"/>
    <cellStyle name="20% - Accent2 2 85 2 2" xfId="10224"/>
    <cellStyle name="20% - Accent2 2 85 2 3" xfId="10225"/>
    <cellStyle name="20% - Accent2 2 85 3" xfId="10226"/>
    <cellStyle name="20% - Accent2 2 85 3 2" xfId="10227"/>
    <cellStyle name="20% - Accent2 2 85 4" xfId="10228"/>
    <cellStyle name="20% - Accent2 2 85 5" xfId="10229"/>
    <cellStyle name="20% - Accent2 2 86" xfId="10230"/>
    <cellStyle name="20% - Accent2 2 86 2" xfId="10231"/>
    <cellStyle name="20% - Accent2 2 86 2 2" xfId="10232"/>
    <cellStyle name="20% - Accent2 2 86 2 3" xfId="10233"/>
    <cellStyle name="20% - Accent2 2 86 3" xfId="10234"/>
    <cellStyle name="20% - Accent2 2 86 3 2" xfId="10235"/>
    <cellStyle name="20% - Accent2 2 86 4" xfId="10236"/>
    <cellStyle name="20% - Accent2 2 86 5" xfId="10237"/>
    <cellStyle name="20% - Accent2 2 87" xfId="10238"/>
    <cellStyle name="20% - Accent2 2 87 2" xfId="10239"/>
    <cellStyle name="20% - Accent2 2 87 2 2" xfId="10240"/>
    <cellStyle name="20% - Accent2 2 87 2 3" xfId="10241"/>
    <cellStyle name="20% - Accent2 2 87 3" xfId="10242"/>
    <cellStyle name="20% - Accent2 2 87 3 2" xfId="10243"/>
    <cellStyle name="20% - Accent2 2 87 4" xfId="10244"/>
    <cellStyle name="20% - Accent2 2 87 5" xfId="10245"/>
    <cellStyle name="20% - Accent2 2 88" xfId="10246"/>
    <cellStyle name="20% - Accent2 2 88 2" xfId="10247"/>
    <cellStyle name="20% - Accent2 2 88 2 2" xfId="10248"/>
    <cellStyle name="20% - Accent2 2 88 2 3" xfId="10249"/>
    <cellStyle name="20% - Accent2 2 88 3" xfId="10250"/>
    <cellStyle name="20% - Accent2 2 88 3 2" xfId="10251"/>
    <cellStyle name="20% - Accent2 2 88 4" xfId="10252"/>
    <cellStyle name="20% - Accent2 2 88 5" xfId="10253"/>
    <cellStyle name="20% - Accent2 2 89" xfId="10254"/>
    <cellStyle name="20% - Accent2 2 89 2" xfId="10255"/>
    <cellStyle name="20% - Accent2 2 89 2 2" xfId="10256"/>
    <cellStyle name="20% - Accent2 2 89 2 3" xfId="10257"/>
    <cellStyle name="20% - Accent2 2 89 3" xfId="10258"/>
    <cellStyle name="20% - Accent2 2 89 3 2" xfId="10259"/>
    <cellStyle name="20% - Accent2 2 89 4" xfId="10260"/>
    <cellStyle name="20% - Accent2 2 89 5" xfId="10261"/>
    <cellStyle name="20% - Accent2 2 9" xfId="10262"/>
    <cellStyle name="20% - Accent2 2 9 2" xfId="10263"/>
    <cellStyle name="20% - Accent2 2 9 2 2" xfId="10264"/>
    <cellStyle name="20% - Accent2 2 9 3" xfId="10265"/>
    <cellStyle name="20% - Accent2 2 9 4" xfId="10266"/>
    <cellStyle name="20% - Accent2 2 9 5" xfId="10267"/>
    <cellStyle name="20% - Accent2 2 9 5 2" xfId="10268"/>
    <cellStyle name="20% - Accent2 2 9_4Q Ops Metrics Gas &amp; Electric 2010" xfId="10269"/>
    <cellStyle name="20% - Accent2 2 90" xfId="10270"/>
    <cellStyle name="20% - Accent2 2 90 2" xfId="10271"/>
    <cellStyle name="20% - Accent2 2 90 2 2" xfId="10272"/>
    <cellStyle name="20% - Accent2 2 90 2 3" xfId="10273"/>
    <cellStyle name="20% - Accent2 2 90 3" xfId="10274"/>
    <cellStyle name="20% - Accent2 2 90 3 2" xfId="10275"/>
    <cellStyle name="20% - Accent2 2 90 4" xfId="10276"/>
    <cellStyle name="20% - Accent2 2 90 5" xfId="10277"/>
    <cellStyle name="20% - Accent2 2 91" xfId="10278"/>
    <cellStyle name="20% - Accent2 2 91 2" xfId="10279"/>
    <cellStyle name="20% - Accent2 2 91 2 2" xfId="10280"/>
    <cellStyle name="20% - Accent2 2 91 2 3" xfId="10281"/>
    <cellStyle name="20% - Accent2 2 91 3" xfId="10282"/>
    <cellStyle name="20% - Accent2 2 91 3 2" xfId="10283"/>
    <cellStyle name="20% - Accent2 2 91 4" xfId="10284"/>
    <cellStyle name="20% - Accent2 2 91 5" xfId="10285"/>
    <cellStyle name="20% - Accent2 2 92" xfId="10286"/>
    <cellStyle name="20% - Accent2 2 92 2" xfId="10287"/>
    <cellStyle name="20% - Accent2 2 92 2 2" xfId="10288"/>
    <cellStyle name="20% - Accent2 2 92 2 3" xfId="10289"/>
    <cellStyle name="20% - Accent2 2 92 3" xfId="10290"/>
    <cellStyle name="20% - Accent2 2 92 3 2" xfId="10291"/>
    <cellStyle name="20% - Accent2 2 92 4" xfId="10292"/>
    <cellStyle name="20% - Accent2 2 92 5" xfId="10293"/>
    <cellStyle name="20% - Accent2 2 93" xfId="10294"/>
    <cellStyle name="20% - Accent2 2 93 2" xfId="10295"/>
    <cellStyle name="20% - Accent2 2 93 2 2" xfId="10296"/>
    <cellStyle name="20% - Accent2 2 93 2 3" xfId="10297"/>
    <cellStyle name="20% - Accent2 2 93 3" xfId="10298"/>
    <cellStyle name="20% - Accent2 2 93 3 2" xfId="10299"/>
    <cellStyle name="20% - Accent2 2 93 4" xfId="10300"/>
    <cellStyle name="20% - Accent2 2 93 5" xfId="10301"/>
    <cellStyle name="20% - Accent2 2 94" xfId="10302"/>
    <cellStyle name="20% - Accent2 2 94 2" xfId="10303"/>
    <cellStyle name="20% - Accent2 2 94 2 2" xfId="10304"/>
    <cellStyle name="20% - Accent2 2 94 2 3" xfId="10305"/>
    <cellStyle name="20% - Accent2 2 94 3" xfId="10306"/>
    <cellStyle name="20% - Accent2 2 94 3 2" xfId="10307"/>
    <cellStyle name="20% - Accent2 2 94 4" xfId="10308"/>
    <cellStyle name="20% - Accent2 2 94 5" xfId="10309"/>
    <cellStyle name="20% - Accent2 2 95" xfId="10310"/>
    <cellStyle name="20% - Accent2 2 95 2" xfId="10311"/>
    <cellStyle name="20% - Accent2 2 95 2 2" xfId="10312"/>
    <cellStyle name="20% - Accent2 2 95 3" xfId="10313"/>
    <cellStyle name="20% - Accent2 2 95 4" xfId="10314"/>
    <cellStyle name="20% - Accent2 2 96" xfId="10315"/>
    <cellStyle name="20% - Accent2 2 96 2" xfId="10316"/>
    <cellStyle name="20% - Accent2 2 96 2 2" xfId="10317"/>
    <cellStyle name="20% - Accent2 2 96 3" xfId="10318"/>
    <cellStyle name="20% - Accent2 2 96 4" xfId="10319"/>
    <cellStyle name="20% - Accent2 2 97" xfId="10320"/>
    <cellStyle name="20% - Accent2 2 97 2" xfId="10321"/>
    <cellStyle name="20% - Accent2 2 97 2 2" xfId="10322"/>
    <cellStyle name="20% - Accent2 2 97 3" xfId="10323"/>
    <cellStyle name="20% - Accent2 2 97 4" xfId="10324"/>
    <cellStyle name="20% - Accent2 2 98" xfId="10325"/>
    <cellStyle name="20% - Accent2 2 98 2" xfId="10326"/>
    <cellStyle name="20% - Accent2 2 98 2 2" xfId="10327"/>
    <cellStyle name="20% - Accent2 2 98 3" xfId="10328"/>
    <cellStyle name="20% - Accent2 2 98 4" xfId="10329"/>
    <cellStyle name="20% - Accent2 2 99" xfId="10330"/>
    <cellStyle name="20% - Accent2 2 99 2" xfId="10331"/>
    <cellStyle name="20% - Accent2 2 99 2 2" xfId="10332"/>
    <cellStyle name="20% - Accent2 2 99 3" xfId="10333"/>
    <cellStyle name="20% - Accent2 2 99 4" xfId="10334"/>
    <cellStyle name="20% - Accent2 2_1-10 BHU IS" xfId="10335"/>
    <cellStyle name="20% - Accent2 20" xfId="10336"/>
    <cellStyle name="20% - Accent2 21" xfId="10337"/>
    <cellStyle name="20% - Accent2 22" xfId="10338"/>
    <cellStyle name="20% - Accent2 23" xfId="10339"/>
    <cellStyle name="20% - Accent2 24" xfId="10340"/>
    <cellStyle name="20% - Accent2 25" xfId="10341"/>
    <cellStyle name="20% - Accent2 26" xfId="10342"/>
    <cellStyle name="20% - Accent2 26 2" xfId="10343"/>
    <cellStyle name="20% - Accent2 26 2 2" xfId="10344"/>
    <cellStyle name="20% - Accent2 26 2 2 2" xfId="10345"/>
    <cellStyle name="20% - Accent2 26 2 2 3" xfId="10346"/>
    <cellStyle name="20% - Accent2 26 2 3" xfId="10347"/>
    <cellStyle name="20% - Accent2 26 2 3 2" xfId="10348"/>
    <cellStyle name="20% - Accent2 26 2 4" xfId="10349"/>
    <cellStyle name="20% - Accent2 26 2 5" xfId="10350"/>
    <cellStyle name="20% - Accent2 26 3" xfId="10351"/>
    <cellStyle name="20% - Accent2 26 3 2" xfId="10352"/>
    <cellStyle name="20% - Accent2 26 3 2 2" xfId="10353"/>
    <cellStyle name="20% - Accent2 26 3 3" xfId="10354"/>
    <cellStyle name="20% - Accent2 26 3 4" xfId="10355"/>
    <cellStyle name="20% - Accent2 26 4" xfId="10356"/>
    <cellStyle name="20% - Accent2 26 4 2" xfId="10357"/>
    <cellStyle name="20% - Accent2 26 4 2 2" xfId="10358"/>
    <cellStyle name="20% - Accent2 26 4 3" xfId="10359"/>
    <cellStyle name="20% - Accent2 26 4 4" xfId="10360"/>
    <cellStyle name="20% - Accent2 26 5" xfId="10361"/>
    <cellStyle name="20% - Accent2 26 5 2" xfId="10362"/>
    <cellStyle name="20% - Accent2 26 6" xfId="10363"/>
    <cellStyle name="20% - Accent2 26 7" xfId="10364"/>
    <cellStyle name="20% - Accent2 26 8" xfId="10365"/>
    <cellStyle name="20% - Accent2 27" xfId="10366"/>
    <cellStyle name="20% - Accent2 27 2" xfId="10367"/>
    <cellStyle name="20% - Accent2 27 2 2" xfId="10368"/>
    <cellStyle name="20% - Accent2 27 2 2 2" xfId="10369"/>
    <cellStyle name="20% - Accent2 27 2 2 3" xfId="10370"/>
    <cellStyle name="20% - Accent2 27 2 3" xfId="10371"/>
    <cellStyle name="20% - Accent2 27 2 3 2" xfId="10372"/>
    <cellStyle name="20% - Accent2 27 2 4" xfId="10373"/>
    <cellStyle name="20% - Accent2 27 2 5" xfId="10374"/>
    <cellStyle name="20% - Accent2 27 3" xfId="10375"/>
    <cellStyle name="20% - Accent2 27 3 2" xfId="10376"/>
    <cellStyle name="20% - Accent2 27 3 2 2" xfId="10377"/>
    <cellStyle name="20% - Accent2 27 3 3" xfId="10378"/>
    <cellStyle name="20% - Accent2 27 3 4" xfId="10379"/>
    <cellStyle name="20% - Accent2 27 4" xfId="10380"/>
    <cellStyle name="20% - Accent2 27 4 2" xfId="10381"/>
    <cellStyle name="20% - Accent2 27 4 2 2" xfId="10382"/>
    <cellStyle name="20% - Accent2 27 4 3" xfId="10383"/>
    <cellStyle name="20% - Accent2 27 4 4" xfId="10384"/>
    <cellStyle name="20% - Accent2 27 5" xfId="10385"/>
    <cellStyle name="20% - Accent2 27 5 2" xfId="10386"/>
    <cellStyle name="20% - Accent2 27 6" xfId="10387"/>
    <cellStyle name="20% - Accent2 27 7" xfId="10388"/>
    <cellStyle name="20% - Accent2 27 8" xfId="10389"/>
    <cellStyle name="20% - Accent2 28" xfId="10390"/>
    <cellStyle name="20% - Accent2 28 2" xfId="10391"/>
    <cellStyle name="20% - Accent2 28 2 2" xfId="10392"/>
    <cellStyle name="20% - Accent2 28 2 2 2" xfId="10393"/>
    <cellStyle name="20% - Accent2 28 2 2 3" xfId="10394"/>
    <cellStyle name="20% - Accent2 28 2 3" xfId="10395"/>
    <cellStyle name="20% - Accent2 28 2 3 2" xfId="10396"/>
    <cellStyle name="20% - Accent2 28 2 4" xfId="10397"/>
    <cellStyle name="20% - Accent2 28 2 5" xfId="10398"/>
    <cellStyle name="20% - Accent2 28 3" xfId="10399"/>
    <cellStyle name="20% - Accent2 28 3 2" xfId="10400"/>
    <cellStyle name="20% - Accent2 28 3 2 2" xfId="10401"/>
    <cellStyle name="20% - Accent2 28 3 3" xfId="10402"/>
    <cellStyle name="20% - Accent2 28 3 4" xfId="10403"/>
    <cellStyle name="20% - Accent2 28 4" xfId="10404"/>
    <cellStyle name="20% - Accent2 28 4 2" xfId="10405"/>
    <cellStyle name="20% - Accent2 28 4 2 2" xfId="10406"/>
    <cellStyle name="20% - Accent2 28 4 3" xfId="10407"/>
    <cellStyle name="20% - Accent2 28 4 4" xfId="10408"/>
    <cellStyle name="20% - Accent2 28 5" xfId="10409"/>
    <cellStyle name="20% - Accent2 28 5 2" xfId="10410"/>
    <cellStyle name="20% - Accent2 28 6" xfId="10411"/>
    <cellStyle name="20% - Accent2 28 7" xfId="10412"/>
    <cellStyle name="20% - Accent2 28 8" xfId="10413"/>
    <cellStyle name="20% - Accent2 29" xfId="10414"/>
    <cellStyle name="20% - Accent2 29 2" xfId="10415"/>
    <cellStyle name="20% - Accent2 29 2 2" xfId="10416"/>
    <cellStyle name="20% - Accent2 29 2 2 2" xfId="10417"/>
    <cellStyle name="20% - Accent2 29 2 2 3" xfId="10418"/>
    <cellStyle name="20% - Accent2 29 2 3" xfId="10419"/>
    <cellStyle name="20% - Accent2 29 2 3 2" xfId="10420"/>
    <cellStyle name="20% - Accent2 29 2 4" xfId="10421"/>
    <cellStyle name="20% - Accent2 29 2 5" xfId="10422"/>
    <cellStyle name="20% - Accent2 29 3" xfId="10423"/>
    <cellStyle name="20% - Accent2 29 3 2" xfId="10424"/>
    <cellStyle name="20% - Accent2 29 3 2 2" xfId="10425"/>
    <cellStyle name="20% - Accent2 29 3 3" xfId="10426"/>
    <cellStyle name="20% - Accent2 29 3 4" xfId="10427"/>
    <cellStyle name="20% - Accent2 29 4" xfId="10428"/>
    <cellStyle name="20% - Accent2 29 4 2" xfId="10429"/>
    <cellStyle name="20% - Accent2 29 4 2 2" xfId="10430"/>
    <cellStyle name="20% - Accent2 29 4 3" xfId="10431"/>
    <cellStyle name="20% - Accent2 29 4 4" xfId="10432"/>
    <cellStyle name="20% - Accent2 29 5" xfId="10433"/>
    <cellStyle name="20% - Accent2 29 5 2" xfId="10434"/>
    <cellStyle name="20% - Accent2 29 6" xfId="10435"/>
    <cellStyle name="20% - Accent2 29 7" xfId="10436"/>
    <cellStyle name="20% - Accent2 29 8" xfId="10437"/>
    <cellStyle name="20% - Accent2 3" xfId="220"/>
    <cellStyle name="20% - Accent2 3 10" xfId="10438"/>
    <cellStyle name="20% - Accent2 3 10 2" xfId="10439"/>
    <cellStyle name="20% - Accent2 3 10 2 2" xfId="10440"/>
    <cellStyle name="20% - Accent2 3 10 2 2 2" xfId="10441"/>
    <cellStyle name="20% - Accent2 3 10 2 2 3" xfId="10442"/>
    <cellStyle name="20% - Accent2 3 10 2 3" xfId="10443"/>
    <cellStyle name="20% - Accent2 3 10 2 3 2" xfId="10444"/>
    <cellStyle name="20% - Accent2 3 10 2 4" xfId="10445"/>
    <cellStyle name="20% - Accent2 3 10 2 5" xfId="10446"/>
    <cellStyle name="20% - Accent2 3 10 3" xfId="10447"/>
    <cellStyle name="20% - Accent2 3 10 3 2" xfId="10448"/>
    <cellStyle name="20% - Accent2 3 10 3 2 2" xfId="10449"/>
    <cellStyle name="20% - Accent2 3 10 3 3" xfId="10450"/>
    <cellStyle name="20% - Accent2 3 10 3 4" xfId="10451"/>
    <cellStyle name="20% - Accent2 3 10 4" xfId="10452"/>
    <cellStyle name="20% - Accent2 3 10 4 2" xfId="10453"/>
    <cellStyle name="20% - Accent2 3 10 4 2 2" xfId="10454"/>
    <cellStyle name="20% - Accent2 3 10 4 3" xfId="10455"/>
    <cellStyle name="20% - Accent2 3 10 4 4" xfId="10456"/>
    <cellStyle name="20% - Accent2 3 10 5" xfId="10457"/>
    <cellStyle name="20% - Accent2 3 10 5 2" xfId="10458"/>
    <cellStyle name="20% - Accent2 3 10 6" xfId="10459"/>
    <cellStyle name="20% - Accent2 3 10 7" xfId="10460"/>
    <cellStyle name="20% - Accent2 3 10 8" xfId="10461"/>
    <cellStyle name="20% - Accent2 3 11" xfId="10462"/>
    <cellStyle name="20% - Accent2 3 11 2" xfId="10463"/>
    <cellStyle name="20% - Accent2 3 11 2 2" xfId="10464"/>
    <cellStyle name="20% - Accent2 3 11 2 2 2" xfId="10465"/>
    <cellStyle name="20% - Accent2 3 11 2 2 3" xfId="10466"/>
    <cellStyle name="20% - Accent2 3 11 2 3" xfId="10467"/>
    <cellStyle name="20% - Accent2 3 11 2 3 2" xfId="10468"/>
    <cellStyle name="20% - Accent2 3 11 2 4" xfId="10469"/>
    <cellStyle name="20% - Accent2 3 11 2 5" xfId="10470"/>
    <cellStyle name="20% - Accent2 3 11 3" xfId="10471"/>
    <cellStyle name="20% - Accent2 3 11 3 2" xfId="10472"/>
    <cellStyle name="20% - Accent2 3 11 3 2 2" xfId="10473"/>
    <cellStyle name="20% - Accent2 3 11 3 3" xfId="10474"/>
    <cellStyle name="20% - Accent2 3 11 3 4" xfId="10475"/>
    <cellStyle name="20% - Accent2 3 11 4" xfId="10476"/>
    <cellStyle name="20% - Accent2 3 11 4 2" xfId="10477"/>
    <cellStyle name="20% - Accent2 3 11 4 2 2" xfId="10478"/>
    <cellStyle name="20% - Accent2 3 11 4 3" xfId="10479"/>
    <cellStyle name="20% - Accent2 3 11 4 4" xfId="10480"/>
    <cellStyle name="20% - Accent2 3 11 5" xfId="10481"/>
    <cellStyle name="20% - Accent2 3 11 5 2" xfId="10482"/>
    <cellStyle name="20% - Accent2 3 11 6" xfId="10483"/>
    <cellStyle name="20% - Accent2 3 11 7" xfId="10484"/>
    <cellStyle name="20% - Accent2 3 11 8" xfId="10485"/>
    <cellStyle name="20% - Accent2 3 12" xfId="10486"/>
    <cellStyle name="20% - Accent2 3 12 2" xfId="10487"/>
    <cellStyle name="20% - Accent2 3 12 2 2" xfId="10488"/>
    <cellStyle name="20% - Accent2 3 12 2 2 2" xfId="10489"/>
    <cellStyle name="20% - Accent2 3 12 2 2 3" xfId="10490"/>
    <cellStyle name="20% - Accent2 3 12 2 3" xfId="10491"/>
    <cellStyle name="20% - Accent2 3 12 2 3 2" xfId="10492"/>
    <cellStyle name="20% - Accent2 3 12 2 4" xfId="10493"/>
    <cellStyle name="20% - Accent2 3 12 2 5" xfId="10494"/>
    <cellStyle name="20% - Accent2 3 12 3" xfId="10495"/>
    <cellStyle name="20% - Accent2 3 12 3 2" xfId="10496"/>
    <cellStyle name="20% - Accent2 3 12 3 2 2" xfId="10497"/>
    <cellStyle name="20% - Accent2 3 12 3 3" xfId="10498"/>
    <cellStyle name="20% - Accent2 3 12 3 4" xfId="10499"/>
    <cellStyle name="20% - Accent2 3 12 4" xfId="10500"/>
    <cellStyle name="20% - Accent2 3 12 4 2" xfId="10501"/>
    <cellStyle name="20% - Accent2 3 12 4 2 2" xfId="10502"/>
    <cellStyle name="20% - Accent2 3 12 4 3" xfId="10503"/>
    <cellStyle name="20% - Accent2 3 12 4 4" xfId="10504"/>
    <cellStyle name="20% - Accent2 3 12 5" xfId="10505"/>
    <cellStyle name="20% - Accent2 3 12 5 2" xfId="10506"/>
    <cellStyle name="20% - Accent2 3 12 6" xfId="10507"/>
    <cellStyle name="20% - Accent2 3 12 7" xfId="10508"/>
    <cellStyle name="20% - Accent2 3 12 8" xfId="10509"/>
    <cellStyle name="20% - Accent2 3 2" xfId="221"/>
    <cellStyle name="20% - Accent2 3 2 2" xfId="10510"/>
    <cellStyle name="20% - Accent2 3 2 2 2" xfId="10511"/>
    <cellStyle name="20% - Accent2 3 2 3" xfId="10512"/>
    <cellStyle name="20% - Accent2 3 2 4" xfId="10513"/>
    <cellStyle name="20% - Accent2 3 2 5" xfId="10514"/>
    <cellStyle name="20% - Accent2 3 2 6" xfId="10515"/>
    <cellStyle name="20% - Accent2 3 2 7" xfId="10516"/>
    <cellStyle name="20% - Accent2 3 2 8" xfId="10517"/>
    <cellStyle name="20% - Accent2 3 2_2009 Actual" xfId="10518"/>
    <cellStyle name="20% - Accent2 3 3" xfId="10519"/>
    <cellStyle name="20% - Accent2 3 3 2" xfId="10520"/>
    <cellStyle name="20% - Accent2 3 4" xfId="10521"/>
    <cellStyle name="20% - Accent2 3 5" xfId="10522"/>
    <cellStyle name="20% - Accent2 3 6" xfId="10523"/>
    <cellStyle name="20% - Accent2 3 7" xfId="10524"/>
    <cellStyle name="20% - Accent2 3 8" xfId="10525"/>
    <cellStyle name="20% - Accent2 3 9" xfId="10526"/>
    <cellStyle name="20% - Accent2 3_2009 Actual" xfId="10527"/>
    <cellStyle name="20% - Accent2 30" xfId="10528"/>
    <cellStyle name="20% - Accent2 30 2" xfId="10529"/>
    <cellStyle name="20% - Accent2 30 2 2" xfId="10530"/>
    <cellStyle name="20% - Accent2 30 2 2 2" xfId="10531"/>
    <cellStyle name="20% - Accent2 30 2 2 3" xfId="10532"/>
    <cellStyle name="20% - Accent2 30 2 3" xfId="10533"/>
    <cellStyle name="20% - Accent2 30 2 3 2" xfId="10534"/>
    <cellStyle name="20% - Accent2 30 2 4" xfId="10535"/>
    <cellStyle name="20% - Accent2 30 2 5" xfId="10536"/>
    <cellStyle name="20% - Accent2 30 3" xfId="10537"/>
    <cellStyle name="20% - Accent2 30 3 2" xfId="10538"/>
    <cellStyle name="20% - Accent2 30 3 2 2" xfId="10539"/>
    <cellStyle name="20% - Accent2 30 3 3" xfId="10540"/>
    <cellStyle name="20% - Accent2 30 3 4" xfId="10541"/>
    <cellStyle name="20% - Accent2 30 4" xfId="10542"/>
    <cellStyle name="20% - Accent2 30 4 2" xfId="10543"/>
    <cellStyle name="20% - Accent2 30 4 2 2" xfId="10544"/>
    <cellStyle name="20% - Accent2 30 4 3" xfId="10545"/>
    <cellStyle name="20% - Accent2 30 4 4" xfId="10546"/>
    <cellStyle name="20% - Accent2 30 5" xfId="10547"/>
    <cellStyle name="20% - Accent2 30 5 2" xfId="10548"/>
    <cellStyle name="20% - Accent2 30 6" xfId="10549"/>
    <cellStyle name="20% - Accent2 30 7" xfId="10550"/>
    <cellStyle name="20% - Accent2 30 8" xfId="10551"/>
    <cellStyle name="20% - Accent2 31" xfId="10552"/>
    <cellStyle name="20% - Accent2 31 2" xfId="10553"/>
    <cellStyle name="20% - Accent2 31 2 2" xfId="10554"/>
    <cellStyle name="20% - Accent2 31 2 3" xfId="10555"/>
    <cellStyle name="20% - Accent2 31 3" xfId="10556"/>
    <cellStyle name="20% - Accent2 31 3 2" xfId="10557"/>
    <cellStyle name="20% - Accent2 31 4" xfId="10558"/>
    <cellStyle name="20% - Accent2 31 5" xfId="10559"/>
    <cellStyle name="20% - Accent2 32" xfId="10560"/>
    <cellStyle name="20% - Accent2 32 2" xfId="10561"/>
    <cellStyle name="20% - Accent2 32 2 2" xfId="10562"/>
    <cellStyle name="20% - Accent2 32 2 3" xfId="10563"/>
    <cellStyle name="20% - Accent2 32 3" xfId="10564"/>
    <cellStyle name="20% - Accent2 32 3 2" xfId="10565"/>
    <cellStyle name="20% - Accent2 32 4" xfId="10566"/>
    <cellStyle name="20% - Accent2 32 5" xfId="10567"/>
    <cellStyle name="20% - Accent2 33" xfId="10568"/>
    <cellStyle name="20% - Accent2 33 2" xfId="10569"/>
    <cellStyle name="20% - Accent2 33 2 2" xfId="10570"/>
    <cellStyle name="20% - Accent2 33 2 3" xfId="10571"/>
    <cellStyle name="20% - Accent2 33 3" xfId="10572"/>
    <cellStyle name="20% - Accent2 33 3 2" xfId="10573"/>
    <cellStyle name="20% - Accent2 33 4" xfId="10574"/>
    <cellStyle name="20% - Accent2 33 5" xfId="10575"/>
    <cellStyle name="20% - Accent2 34" xfId="10576"/>
    <cellStyle name="20% - Accent2 34 2" xfId="10577"/>
    <cellStyle name="20% - Accent2 34 2 2" xfId="10578"/>
    <cellStyle name="20% - Accent2 34 2 3" xfId="10579"/>
    <cellStyle name="20% - Accent2 34 3" xfId="10580"/>
    <cellStyle name="20% - Accent2 34 3 2" xfId="10581"/>
    <cellStyle name="20% - Accent2 34 4" xfId="10582"/>
    <cellStyle name="20% - Accent2 34 5" xfId="10583"/>
    <cellStyle name="20% - Accent2 35" xfId="10584"/>
    <cellStyle name="20% - Accent2 35 2" xfId="10585"/>
    <cellStyle name="20% - Accent2 35 2 2" xfId="10586"/>
    <cellStyle name="20% - Accent2 35 2 3" xfId="10587"/>
    <cellStyle name="20% - Accent2 35 3" xfId="10588"/>
    <cellStyle name="20% - Accent2 35 3 2" xfId="10589"/>
    <cellStyle name="20% - Accent2 35 4" xfId="10590"/>
    <cellStyle name="20% - Accent2 35 5" xfId="10591"/>
    <cellStyle name="20% - Accent2 36" xfId="10592"/>
    <cellStyle name="20% - Accent2 36 2" xfId="10593"/>
    <cellStyle name="20% - Accent2 36 2 2" xfId="10594"/>
    <cellStyle name="20% - Accent2 36 2 3" xfId="10595"/>
    <cellStyle name="20% - Accent2 36 3" xfId="10596"/>
    <cellStyle name="20% - Accent2 36 3 2" xfId="10597"/>
    <cellStyle name="20% - Accent2 36 4" xfId="10598"/>
    <cellStyle name="20% - Accent2 36 5" xfId="10599"/>
    <cellStyle name="20% - Accent2 37" xfId="10600"/>
    <cellStyle name="20% - Accent2 37 2" xfId="10601"/>
    <cellStyle name="20% - Accent2 37 2 2" xfId="10602"/>
    <cellStyle name="20% - Accent2 37 2 3" xfId="10603"/>
    <cellStyle name="20% - Accent2 37 3" xfId="10604"/>
    <cellStyle name="20% - Accent2 37 3 2" xfId="10605"/>
    <cellStyle name="20% - Accent2 37 4" xfId="10606"/>
    <cellStyle name="20% - Accent2 37 5" xfId="10607"/>
    <cellStyle name="20% - Accent2 38" xfId="10608"/>
    <cellStyle name="20% - Accent2 38 2" xfId="10609"/>
    <cellStyle name="20% - Accent2 38 2 2" xfId="10610"/>
    <cellStyle name="20% - Accent2 38 2 3" xfId="10611"/>
    <cellStyle name="20% - Accent2 38 3" xfId="10612"/>
    <cellStyle name="20% - Accent2 38 3 2" xfId="10613"/>
    <cellStyle name="20% - Accent2 38 4" xfId="10614"/>
    <cellStyle name="20% - Accent2 38 5" xfId="10615"/>
    <cellStyle name="20% - Accent2 39" xfId="10616"/>
    <cellStyle name="20% - Accent2 39 2" xfId="10617"/>
    <cellStyle name="20% - Accent2 39 2 2" xfId="10618"/>
    <cellStyle name="20% - Accent2 39 2 3" xfId="10619"/>
    <cellStyle name="20% - Accent2 39 3" xfId="10620"/>
    <cellStyle name="20% - Accent2 39 3 2" xfId="10621"/>
    <cellStyle name="20% - Accent2 39 4" xfId="10622"/>
    <cellStyle name="20% - Accent2 39 5" xfId="10623"/>
    <cellStyle name="20% - Accent2 4" xfId="222"/>
    <cellStyle name="20% - Accent2 4 2" xfId="10624"/>
    <cellStyle name="20% - Accent2 4 2 2" xfId="10625"/>
    <cellStyle name="20% - Accent2 4 2 3" xfId="10626"/>
    <cellStyle name="20% - Accent2 4 2 4" xfId="10627"/>
    <cellStyle name="20% - Accent2 4 2 5" xfId="10628"/>
    <cellStyle name="20% - Accent2 4 2 6" xfId="10629"/>
    <cellStyle name="20% - Accent2 4 2 7" xfId="10630"/>
    <cellStyle name="20% - Accent2 4 2_2009 Actual" xfId="10631"/>
    <cellStyle name="20% - Accent2 4 3" xfId="10632"/>
    <cellStyle name="20% - Accent2 4 4" xfId="10633"/>
    <cellStyle name="20% - Accent2 4 5" xfId="10634"/>
    <cellStyle name="20% - Accent2 4 6" xfId="10635"/>
    <cellStyle name="20% - Accent2 4 7" xfId="10636"/>
    <cellStyle name="20% - Accent2 4 8" xfId="10637"/>
    <cellStyle name="20% - Accent2 4_2009 Actual" xfId="10638"/>
    <cellStyle name="20% - Accent2 40" xfId="10639"/>
    <cellStyle name="20% - Accent2 40 2" xfId="10640"/>
    <cellStyle name="20% - Accent2 40 2 2" xfId="10641"/>
    <cellStyle name="20% - Accent2 40 2 3" xfId="10642"/>
    <cellStyle name="20% - Accent2 40 3" xfId="10643"/>
    <cellStyle name="20% - Accent2 40 3 2" xfId="10644"/>
    <cellStyle name="20% - Accent2 40 4" xfId="10645"/>
    <cellStyle name="20% - Accent2 40 5" xfId="10646"/>
    <cellStyle name="20% - Accent2 41" xfId="10647"/>
    <cellStyle name="20% - Accent2 41 2" xfId="10648"/>
    <cellStyle name="20% - Accent2 41 2 2" xfId="10649"/>
    <cellStyle name="20% - Accent2 41 2 3" xfId="10650"/>
    <cellStyle name="20% - Accent2 41 3" xfId="10651"/>
    <cellStyle name="20% - Accent2 41 3 2" xfId="10652"/>
    <cellStyle name="20% - Accent2 41 4" xfId="10653"/>
    <cellStyle name="20% - Accent2 41 5" xfId="10654"/>
    <cellStyle name="20% - Accent2 42" xfId="10655"/>
    <cellStyle name="20% - Accent2 42 2" xfId="10656"/>
    <cellStyle name="20% - Accent2 42 2 2" xfId="10657"/>
    <cellStyle name="20% - Accent2 42 2 3" xfId="10658"/>
    <cellStyle name="20% - Accent2 42 3" xfId="10659"/>
    <cellStyle name="20% - Accent2 42 3 2" xfId="10660"/>
    <cellStyle name="20% - Accent2 42 4" xfId="10661"/>
    <cellStyle name="20% - Accent2 42 5" xfId="10662"/>
    <cellStyle name="20% - Accent2 43" xfId="10663"/>
    <cellStyle name="20% - Accent2 43 2" xfId="10664"/>
    <cellStyle name="20% - Accent2 43 2 2" xfId="10665"/>
    <cellStyle name="20% - Accent2 43 2 3" xfId="10666"/>
    <cellStyle name="20% - Accent2 43 3" xfId="10667"/>
    <cellStyle name="20% - Accent2 43 3 2" xfId="10668"/>
    <cellStyle name="20% - Accent2 43 4" xfId="10669"/>
    <cellStyle name="20% - Accent2 43 5" xfId="10670"/>
    <cellStyle name="20% - Accent2 44" xfId="10671"/>
    <cellStyle name="20% - Accent2 44 2" xfId="10672"/>
    <cellStyle name="20% - Accent2 44 2 2" xfId="10673"/>
    <cellStyle name="20% - Accent2 44 2 3" xfId="10674"/>
    <cellStyle name="20% - Accent2 44 3" xfId="10675"/>
    <cellStyle name="20% - Accent2 44 3 2" xfId="10676"/>
    <cellStyle name="20% - Accent2 44 4" xfId="10677"/>
    <cellStyle name="20% - Accent2 44 5" xfId="10678"/>
    <cellStyle name="20% - Accent2 45" xfId="10679"/>
    <cellStyle name="20% - Accent2 45 2" xfId="10680"/>
    <cellStyle name="20% - Accent2 45 2 2" xfId="10681"/>
    <cellStyle name="20% - Accent2 45 2 3" xfId="10682"/>
    <cellStyle name="20% - Accent2 45 3" xfId="10683"/>
    <cellStyle name="20% - Accent2 45 3 2" xfId="10684"/>
    <cellStyle name="20% - Accent2 45 4" xfId="10685"/>
    <cellStyle name="20% - Accent2 45 5" xfId="10686"/>
    <cellStyle name="20% - Accent2 46" xfId="10687"/>
    <cellStyle name="20% - Accent2 46 2" xfId="10688"/>
    <cellStyle name="20% - Accent2 46 2 2" xfId="10689"/>
    <cellStyle name="20% - Accent2 46 2 3" xfId="10690"/>
    <cellStyle name="20% - Accent2 46 3" xfId="10691"/>
    <cellStyle name="20% - Accent2 46 3 2" xfId="10692"/>
    <cellStyle name="20% - Accent2 46 4" xfId="10693"/>
    <cellStyle name="20% - Accent2 46 5" xfId="10694"/>
    <cellStyle name="20% - Accent2 47" xfId="10695"/>
    <cellStyle name="20% - Accent2 47 2" xfId="10696"/>
    <cellStyle name="20% - Accent2 47 2 2" xfId="10697"/>
    <cellStyle name="20% - Accent2 47 2 3" xfId="10698"/>
    <cellStyle name="20% - Accent2 47 3" xfId="10699"/>
    <cellStyle name="20% - Accent2 47 3 2" xfId="10700"/>
    <cellStyle name="20% - Accent2 47 4" xfId="10701"/>
    <cellStyle name="20% - Accent2 47 5" xfId="10702"/>
    <cellStyle name="20% - Accent2 48" xfId="10703"/>
    <cellStyle name="20% - Accent2 48 2" xfId="10704"/>
    <cellStyle name="20% - Accent2 48 2 2" xfId="10705"/>
    <cellStyle name="20% - Accent2 48 2 3" xfId="10706"/>
    <cellStyle name="20% - Accent2 48 3" xfId="10707"/>
    <cellStyle name="20% - Accent2 48 3 2" xfId="10708"/>
    <cellStyle name="20% - Accent2 48 4" xfId="10709"/>
    <cellStyle name="20% - Accent2 48 5" xfId="10710"/>
    <cellStyle name="20% - Accent2 49" xfId="10711"/>
    <cellStyle name="20% - Accent2 49 2" xfId="10712"/>
    <cellStyle name="20% - Accent2 49 2 2" xfId="10713"/>
    <cellStyle name="20% - Accent2 49 2 3" xfId="10714"/>
    <cellStyle name="20% - Accent2 49 3" xfId="10715"/>
    <cellStyle name="20% - Accent2 49 3 2" xfId="10716"/>
    <cellStyle name="20% - Accent2 49 4" xfId="10717"/>
    <cellStyle name="20% - Accent2 49 5" xfId="10718"/>
    <cellStyle name="20% - Accent2 5" xfId="10719"/>
    <cellStyle name="20% - Accent2 5 2" xfId="10720"/>
    <cellStyle name="20% - Accent2 5 2 2" xfId="10721"/>
    <cellStyle name="20% - Accent2 5 2 3" xfId="10722"/>
    <cellStyle name="20% - Accent2 5 2 4" xfId="10723"/>
    <cellStyle name="20% - Accent2 5 2 5" xfId="10724"/>
    <cellStyle name="20% - Accent2 5 2 6" xfId="10725"/>
    <cellStyle name="20% - Accent2 5 2 7" xfId="10726"/>
    <cellStyle name="20% - Accent2 5 2_2009 Actual" xfId="10727"/>
    <cellStyle name="20% - Accent2 5 3" xfId="10728"/>
    <cellStyle name="20% - Accent2 5 4" xfId="10729"/>
    <cellStyle name="20% - Accent2 5 5" xfId="10730"/>
    <cellStyle name="20% - Accent2 5 6" xfId="10731"/>
    <cellStyle name="20% - Accent2 5 7" xfId="10732"/>
    <cellStyle name="20% - Accent2 5 8" xfId="10733"/>
    <cellStyle name="20% - Accent2 5_2009 Actual" xfId="10734"/>
    <cellStyle name="20% - Accent2 50" xfId="10735"/>
    <cellStyle name="20% - Accent2 50 2" xfId="10736"/>
    <cellStyle name="20% - Accent2 50 2 2" xfId="10737"/>
    <cellStyle name="20% - Accent2 50 2 3" xfId="10738"/>
    <cellStyle name="20% - Accent2 50 3" xfId="10739"/>
    <cellStyle name="20% - Accent2 50 3 2" xfId="10740"/>
    <cellStyle name="20% - Accent2 50 4" xfId="10741"/>
    <cellStyle name="20% - Accent2 50 5" xfId="10742"/>
    <cellStyle name="20% - Accent2 51" xfId="10743"/>
    <cellStyle name="20% - Accent2 51 2" xfId="10744"/>
    <cellStyle name="20% - Accent2 51 2 2" xfId="10745"/>
    <cellStyle name="20% - Accent2 51 2 3" xfId="10746"/>
    <cellStyle name="20% - Accent2 51 3" xfId="10747"/>
    <cellStyle name="20% - Accent2 51 3 2" xfId="10748"/>
    <cellStyle name="20% - Accent2 51 4" xfId="10749"/>
    <cellStyle name="20% - Accent2 51 5" xfId="10750"/>
    <cellStyle name="20% - Accent2 52" xfId="10751"/>
    <cellStyle name="20% - Accent2 52 2" xfId="10752"/>
    <cellStyle name="20% - Accent2 52 2 2" xfId="10753"/>
    <cellStyle name="20% - Accent2 52 2 3" xfId="10754"/>
    <cellStyle name="20% - Accent2 52 3" xfId="10755"/>
    <cellStyle name="20% - Accent2 52 3 2" xfId="10756"/>
    <cellStyle name="20% - Accent2 52 4" xfId="10757"/>
    <cellStyle name="20% - Accent2 52 5" xfId="10758"/>
    <cellStyle name="20% - Accent2 53" xfId="10759"/>
    <cellStyle name="20% - Accent2 53 2" xfId="10760"/>
    <cellStyle name="20% - Accent2 53 2 2" xfId="10761"/>
    <cellStyle name="20% - Accent2 53 2 3" xfId="10762"/>
    <cellStyle name="20% - Accent2 53 3" xfId="10763"/>
    <cellStyle name="20% - Accent2 53 3 2" xfId="10764"/>
    <cellStyle name="20% - Accent2 53 4" xfId="10765"/>
    <cellStyle name="20% - Accent2 53 5" xfId="10766"/>
    <cellStyle name="20% - Accent2 54" xfId="10767"/>
    <cellStyle name="20% - Accent2 54 2" xfId="10768"/>
    <cellStyle name="20% - Accent2 54 2 2" xfId="10769"/>
    <cellStyle name="20% - Accent2 54 2 3" xfId="10770"/>
    <cellStyle name="20% - Accent2 54 3" xfId="10771"/>
    <cellStyle name="20% - Accent2 54 3 2" xfId="10772"/>
    <cellStyle name="20% - Accent2 54 4" xfId="10773"/>
    <cellStyle name="20% - Accent2 54 5" xfId="10774"/>
    <cellStyle name="20% - Accent2 55" xfId="10775"/>
    <cellStyle name="20% - Accent2 55 2" xfId="10776"/>
    <cellStyle name="20% - Accent2 55 2 2" xfId="10777"/>
    <cellStyle name="20% - Accent2 55 2 3" xfId="10778"/>
    <cellStyle name="20% - Accent2 55 3" xfId="10779"/>
    <cellStyle name="20% - Accent2 55 3 2" xfId="10780"/>
    <cellStyle name="20% - Accent2 55 4" xfId="10781"/>
    <cellStyle name="20% - Accent2 55 5" xfId="10782"/>
    <cellStyle name="20% - Accent2 56" xfId="10783"/>
    <cellStyle name="20% - Accent2 56 2" xfId="10784"/>
    <cellStyle name="20% - Accent2 56 2 2" xfId="10785"/>
    <cellStyle name="20% - Accent2 56 2 3" xfId="10786"/>
    <cellStyle name="20% - Accent2 56 3" xfId="10787"/>
    <cellStyle name="20% - Accent2 56 3 2" xfId="10788"/>
    <cellStyle name="20% - Accent2 56 4" xfId="10789"/>
    <cellStyle name="20% - Accent2 56 5" xfId="10790"/>
    <cellStyle name="20% - Accent2 57" xfId="10791"/>
    <cellStyle name="20% - Accent2 57 2" xfId="10792"/>
    <cellStyle name="20% - Accent2 57 2 2" xfId="10793"/>
    <cellStyle name="20% - Accent2 57 2 3" xfId="10794"/>
    <cellStyle name="20% - Accent2 57 3" xfId="10795"/>
    <cellStyle name="20% - Accent2 57 3 2" xfId="10796"/>
    <cellStyle name="20% - Accent2 57 4" xfId="10797"/>
    <cellStyle name="20% - Accent2 57 5" xfId="10798"/>
    <cellStyle name="20% - Accent2 58" xfId="10799"/>
    <cellStyle name="20% - Accent2 58 2" xfId="10800"/>
    <cellStyle name="20% - Accent2 58 2 2" xfId="10801"/>
    <cellStyle name="20% - Accent2 58 2 3" xfId="10802"/>
    <cellStyle name="20% - Accent2 58 3" xfId="10803"/>
    <cellStyle name="20% - Accent2 58 3 2" xfId="10804"/>
    <cellStyle name="20% - Accent2 58 4" xfId="10805"/>
    <cellStyle name="20% - Accent2 58 5" xfId="10806"/>
    <cellStyle name="20% - Accent2 59" xfId="10807"/>
    <cellStyle name="20% - Accent2 59 2" xfId="10808"/>
    <cellStyle name="20% - Accent2 59 2 2" xfId="10809"/>
    <cellStyle name="20% - Accent2 59 2 3" xfId="10810"/>
    <cellStyle name="20% - Accent2 59 3" xfId="10811"/>
    <cellStyle name="20% - Accent2 59 3 2" xfId="10812"/>
    <cellStyle name="20% - Accent2 59 4" xfId="10813"/>
    <cellStyle name="20% - Accent2 59 5" xfId="10814"/>
    <cellStyle name="20% - Accent2 6" xfId="10815"/>
    <cellStyle name="20% - Accent2 6 2" xfId="10816"/>
    <cellStyle name="20% - Accent2 6 2 2" xfId="10817"/>
    <cellStyle name="20% - Accent2 6 2_4Q Ops Metrics Gas &amp; Electric 2010" xfId="10818"/>
    <cellStyle name="20% - Accent2 6 3" xfId="10819"/>
    <cellStyle name="20% - Accent2 6 3 2" xfId="10820"/>
    <cellStyle name="20% - Accent2 6 3_4Q Ops Metrics Gas &amp; Electric 2010" xfId="10821"/>
    <cellStyle name="20% - Accent2 6 4" xfId="10822"/>
    <cellStyle name="20% - Accent2 6 4 2" xfId="10823"/>
    <cellStyle name="20% - Accent2 6 4_4Q Ops Metrics Gas &amp; Electric 2010" xfId="10824"/>
    <cellStyle name="20% - Accent2 6 5" xfId="10825"/>
    <cellStyle name="20% - Accent2 6 5 2" xfId="10826"/>
    <cellStyle name="20% - Accent2 6 5 3" xfId="10827"/>
    <cellStyle name="20% - Accent2 6 5 4" xfId="10828"/>
    <cellStyle name="20% - Accent2 6 5 5" xfId="10829"/>
    <cellStyle name="20% - Accent2 6 5_4Q Ops Metrics Gas &amp; Electric 2010" xfId="10830"/>
    <cellStyle name="20% - Accent2 6 6" xfId="10831"/>
    <cellStyle name="20% - Accent2 6 6 2" xfId="10832"/>
    <cellStyle name="20% - Accent2 6 7" xfId="10833"/>
    <cellStyle name="20% - Accent2 6 7 2" xfId="10834"/>
    <cellStyle name="20% - Accent2 6_2009 Actual" xfId="10835"/>
    <cellStyle name="20% - Accent2 60" xfId="10836"/>
    <cellStyle name="20% - Accent2 60 2" xfId="10837"/>
    <cellStyle name="20% - Accent2 60 2 2" xfId="10838"/>
    <cellStyle name="20% - Accent2 60 2 3" xfId="10839"/>
    <cellStyle name="20% - Accent2 60 3" xfId="10840"/>
    <cellStyle name="20% - Accent2 60 3 2" xfId="10841"/>
    <cellStyle name="20% - Accent2 60 4" xfId="10842"/>
    <cellStyle name="20% - Accent2 60 5" xfId="10843"/>
    <cellStyle name="20% - Accent2 61" xfId="10844"/>
    <cellStyle name="20% - Accent2 61 2" xfId="10845"/>
    <cellStyle name="20% - Accent2 61 2 2" xfId="10846"/>
    <cellStyle name="20% - Accent2 61 2 3" xfId="10847"/>
    <cellStyle name="20% - Accent2 61 3" xfId="10848"/>
    <cellStyle name="20% - Accent2 61 3 2" xfId="10849"/>
    <cellStyle name="20% - Accent2 61 4" xfId="10850"/>
    <cellStyle name="20% - Accent2 61 5" xfId="10851"/>
    <cellStyle name="20% - Accent2 62" xfId="10852"/>
    <cellStyle name="20% - Accent2 62 2" xfId="10853"/>
    <cellStyle name="20% - Accent2 62 2 2" xfId="10854"/>
    <cellStyle name="20% - Accent2 62 2 3" xfId="10855"/>
    <cellStyle name="20% - Accent2 62 3" xfId="10856"/>
    <cellStyle name="20% - Accent2 62 3 2" xfId="10857"/>
    <cellStyle name="20% - Accent2 62 4" xfId="10858"/>
    <cellStyle name="20% - Accent2 62 5" xfId="10859"/>
    <cellStyle name="20% - Accent2 63" xfId="10860"/>
    <cellStyle name="20% - Accent2 63 2" xfId="10861"/>
    <cellStyle name="20% - Accent2 63 2 2" xfId="10862"/>
    <cellStyle name="20% - Accent2 63 2 3" xfId="10863"/>
    <cellStyle name="20% - Accent2 63 3" xfId="10864"/>
    <cellStyle name="20% - Accent2 63 3 2" xfId="10865"/>
    <cellStyle name="20% - Accent2 63 4" xfId="10866"/>
    <cellStyle name="20% - Accent2 63 5" xfId="10867"/>
    <cellStyle name="20% - Accent2 64" xfId="10868"/>
    <cellStyle name="20% - Accent2 64 2" xfId="10869"/>
    <cellStyle name="20% - Accent2 64 2 2" xfId="10870"/>
    <cellStyle name="20% - Accent2 64 3" xfId="10871"/>
    <cellStyle name="20% - Accent2 64 4" xfId="10872"/>
    <cellStyle name="20% - Accent2 65" xfId="10873"/>
    <cellStyle name="20% - Accent2 65 2" xfId="10874"/>
    <cellStyle name="20% - Accent2 65 2 2" xfId="10875"/>
    <cellStyle name="20% - Accent2 65 3" xfId="10876"/>
    <cellStyle name="20% - Accent2 65 4" xfId="10877"/>
    <cellStyle name="20% - Accent2 66" xfId="10878"/>
    <cellStyle name="20% - Accent2 66 2" xfId="10879"/>
    <cellStyle name="20% - Accent2 66 2 2" xfId="10880"/>
    <cellStyle name="20% - Accent2 66 3" xfId="10881"/>
    <cellStyle name="20% - Accent2 66 4" xfId="10882"/>
    <cellStyle name="20% - Accent2 67" xfId="10883"/>
    <cellStyle name="20% - Accent2 67 2" xfId="10884"/>
    <cellStyle name="20% - Accent2 67 2 2" xfId="10885"/>
    <cellStyle name="20% - Accent2 67 3" xfId="10886"/>
    <cellStyle name="20% - Accent2 67 4" xfId="10887"/>
    <cellStyle name="20% - Accent2 68" xfId="10888"/>
    <cellStyle name="20% - Accent2 68 2" xfId="10889"/>
    <cellStyle name="20% - Accent2 68 2 2" xfId="10890"/>
    <cellStyle name="20% - Accent2 68 3" xfId="10891"/>
    <cellStyle name="20% - Accent2 68 4" xfId="10892"/>
    <cellStyle name="20% - Accent2 69" xfId="10893"/>
    <cellStyle name="20% - Accent2 69 2" xfId="10894"/>
    <cellStyle name="20% - Accent2 69 2 2" xfId="10895"/>
    <cellStyle name="20% - Accent2 69 3" xfId="10896"/>
    <cellStyle name="20% - Accent2 69 4" xfId="10897"/>
    <cellStyle name="20% - Accent2 7" xfId="10898"/>
    <cellStyle name="20% - Accent2 7 2" xfId="10899"/>
    <cellStyle name="20% - Accent2 7 2 2" xfId="10900"/>
    <cellStyle name="20% - Accent2 7 2_4Q Ops Metrics Gas &amp; Electric 2010" xfId="10901"/>
    <cellStyle name="20% - Accent2 7 3" xfId="10902"/>
    <cellStyle name="20% - Accent2 7 3 2" xfId="10903"/>
    <cellStyle name="20% - Accent2 7 3_4Q Ops Metrics Gas &amp; Electric 2010" xfId="10904"/>
    <cellStyle name="20% - Accent2 7 4" xfId="10905"/>
    <cellStyle name="20% - Accent2 7 4 2" xfId="10906"/>
    <cellStyle name="20% - Accent2 7 4_4Q Ops Metrics Gas &amp; Electric 2010" xfId="10907"/>
    <cellStyle name="20% - Accent2 7 5" xfId="10908"/>
    <cellStyle name="20% - Accent2 7 5 2" xfId="10909"/>
    <cellStyle name="20% - Accent2 7 5 3" xfId="10910"/>
    <cellStyle name="20% - Accent2 7 5 4" xfId="10911"/>
    <cellStyle name="20% - Accent2 7 5 5" xfId="10912"/>
    <cellStyle name="20% - Accent2 7 5_4Q Ops Metrics Gas &amp; Electric 2010" xfId="10913"/>
    <cellStyle name="20% - Accent2 7 6" xfId="10914"/>
    <cellStyle name="20% - Accent2 7 6 2" xfId="10915"/>
    <cellStyle name="20% - Accent2 7 7" xfId="10916"/>
    <cellStyle name="20% - Accent2 7 7 2" xfId="10917"/>
    <cellStyle name="20% - Accent2 7_2009 Actual" xfId="10918"/>
    <cellStyle name="20% - Accent2 70" xfId="10919"/>
    <cellStyle name="20% - Accent2 70 2" xfId="10920"/>
    <cellStyle name="20% - Accent2 70 2 2" xfId="10921"/>
    <cellStyle name="20% - Accent2 70 3" xfId="10922"/>
    <cellStyle name="20% - Accent2 70 4" xfId="10923"/>
    <cellStyle name="20% - Accent2 71" xfId="10924"/>
    <cellStyle name="20% - Accent2 71 2" xfId="10925"/>
    <cellStyle name="20% - Accent2 71 2 2" xfId="10926"/>
    <cellStyle name="20% - Accent2 71 3" xfId="10927"/>
    <cellStyle name="20% - Accent2 71 4" xfId="10928"/>
    <cellStyle name="20% - Accent2 72" xfId="10929"/>
    <cellStyle name="20% - Accent2 72 2" xfId="10930"/>
    <cellStyle name="20% - Accent2 72 2 2" xfId="10931"/>
    <cellStyle name="20% - Accent2 72 3" xfId="10932"/>
    <cellStyle name="20% - Accent2 72 4" xfId="10933"/>
    <cellStyle name="20% - Accent2 73" xfId="10934"/>
    <cellStyle name="20% - Accent2 73 2" xfId="10935"/>
    <cellStyle name="20% - Accent2 73 2 2" xfId="10936"/>
    <cellStyle name="20% - Accent2 73 3" xfId="10937"/>
    <cellStyle name="20% - Accent2 73 4" xfId="10938"/>
    <cellStyle name="20% - Accent2 74" xfId="10939"/>
    <cellStyle name="20% - Accent2 74 2" xfId="10940"/>
    <cellStyle name="20% - Accent2 74 2 2" xfId="10941"/>
    <cellStyle name="20% - Accent2 74 3" xfId="10942"/>
    <cellStyle name="20% - Accent2 74 4" xfId="10943"/>
    <cellStyle name="20% - Accent2 75" xfId="10944"/>
    <cellStyle name="20% - Accent2 75 2" xfId="10945"/>
    <cellStyle name="20% - Accent2 75 2 2" xfId="10946"/>
    <cellStyle name="20% - Accent2 75 3" xfId="10947"/>
    <cellStyle name="20% - Accent2 75 4" xfId="10948"/>
    <cellStyle name="20% - Accent2 76" xfId="10949"/>
    <cellStyle name="20% - Accent2 76 2" xfId="10950"/>
    <cellStyle name="20% - Accent2 76 2 2" xfId="10951"/>
    <cellStyle name="20% - Accent2 76 3" xfId="10952"/>
    <cellStyle name="20% - Accent2 76 4" xfId="10953"/>
    <cellStyle name="20% - Accent2 77" xfId="10954"/>
    <cellStyle name="20% - Accent2 77 2" xfId="10955"/>
    <cellStyle name="20% - Accent2 77 2 2" xfId="10956"/>
    <cellStyle name="20% - Accent2 77 3" xfId="10957"/>
    <cellStyle name="20% - Accent2 77 4" xfId="10958"/>
    <cellStyle name="20% - Accent2 78" xfId="10959"/>
    <cellStyle name="20% - Accent2 78 2" xfId="10960"/>
    <cellStyle name="20% - Accent2 78 2 2" xfId="10961"/>
    <cellStyle name="20% - Accent2 78 3" xfId="10962"/>
    <cellStyle name="20% - Accent2 78 4" xfId="10963"/>
    <cellStyle name="20% - Accent2 79" xfId="10964"/>
    <cellStyle name="20% - Accent2 79 2" xfId="10965"/>
    <cellStyle name="20% - Accent2 79 2 2" xfId="10966"/>
    <cellStyle name="20% - Accent2 79 3" xfId="10967"/>
    <cellStyle name="20% - Accent2 79 4" xfId="10968"/>
    <cellStyle name="20% - Accent2 8" xfId="10969"/>
    <cellStyle name="20% - Accent2 8 2" xfId="10970"/>
    <cellStyle name="20% - Accent2 8 2 2" xfId="10971"/>
    <cellStyle name="20% - Accent2 8 2_4Q Ops Metrics Gas &amp; Electric 2010" xfId="10972"/>
    <cellStyle name="20% - Accent2 8 3" xfId="10973"/>
    <cellStyle name="20% - Accent2 8 3 2" xfId="10974"/>
    <cellStyle name="20% - Accent2 8 3_4Q Ops Metrics Gas &amp; Electric 2010" xfId="10975"/>
    <cellStyle name="20% - Accent2 8 4" xfId="10976"/>
    <cellStyle name="20% - Accent2 8 4 2" xfId="10977"/>
    <cellStyle name="20% - Accent2 8 4_4Q Ops Metrics Gas &amp; Electric 2010" xfId="10978"/>
    <cellStyle name="20% - Accent2 8 5" xfId="10979"/>
    <cellStyle name="20% - Accent2 8 5 2" xfId="10980"/>
    <cellStyle name="20% - Accent2 8 5 3" xfId="10981"/>
    <cellStyle name="20% - Accent2 8 5 4" xfId="10982"/>
    <cellStyle name="20% - Accent2 8 5 5" xfId="10983"/>
    <cellStyle name="20% - Accent2 8 5_4Q Ops Metrics Gas &amp; Electric 2010" xfId="10984"/>
    <cellStyle name="20% - Accent2 8 6" xfId="10985"/>
    <cellStyle name="20% - Accent2 8 6 2" xfId="10986"/>
    <cellStyle name="20% - Accent2 8 7" xfId="10987"/>
    <cellStyle name="20% - Accent2 8 7 2" xfId="10988"/>
    <cellStyle name="20% - Accent2 8_2009 Actual" xfId="10989"/>
    <cellStyle name="20% - Accent2 80" xfId="10990"/>
    <cellStyle name="20% - Accent2 80 2" xfId="10991"/>
    <cellStyle name="20% - Accent2 80 2 2" xfId="10992"/>
    <cellStyle name="20% - Accent2 80 3" xfId="10993"/>
    <cellStyle name="20% - Accent2 80 4" xfId="10994"/>
    <cellStyle name="20% - Accent2 81" xfId="10995"/>
    <cellStyle name="20% - Accent2 81 2" xfId="10996"/>
    <cellStyle name="20% - Accent2 81 2 2" xfId="10997"/>
    <cellStyle name="20% - Accent2 81 3" xfId="10998"/>
    <cellStyle name="20% - Accent2 81 4" xfId="10999"/>
    <cellStyle name="20% - Accent2 82" xfId="11000"/>
    <cellStyle name="20% - Accent2 82 2" xfId="11001"/>
    <cellStyle name="20% - Accent2 82 2 2" xfId="11002"/>
    <cellStyle name="20% - Accent2 82 3" xfId="11003"/>
    <cellStyle name="20% - Accent2 82 4" xfId="11004"/>
    <cellStyle name="20% - Accent2 83" xfId="11005"/>
    <cellStyle name="20% - Accent2 83 2" xfId="11006"/>
    <cellStyle name="20% - Accent2 83 2 2" xfId="11007"/>
    <cellStyle name="20% - Accent2 83 3" xfId="11008"/>
    <cellStyle name="20% - Accent2 83 4" xfId="11009"/>
    <cellStyle name="20% - Accent2 84" xfId="11010"/>
    <cellStyle name="20% - Accent2 84 2" xfId="11011"/>
    <cellStyle name="20% - Accent2 84 2 2" xfId="11012"/>
    <cellStyle name="20% - Accent2 84 3" xfId="11013"/>
    <cellStyle name="20% - Accent2 84 4" xfId="11014"/>
    <cellStyle name="20% - Accent2 85" xfId="11015"/>
    <cellStyle name="20% - Accent2 85 2" xfId="11016"/>
    <cellStyle name="20% - Accent2 85 2 2" xfId="11017"/>
    <cellStyle name="20% - Accent2 85 3" xfId="11018"/>
    <cellStyle name="20% - Accent2 85 4" xfId="11019"/>
    <cellStyle name="20% - Accent2 86" xfId="11020"/>
    <cellStyle name="20% - Accent2 86 2" xfId="11021"/>
    <cellStyle name="20% - Accent2 86 2 2" xfId="11022"/>
    <cellStyle name="20% - Accent2 86 3" xfId="11023"/>
    <cellStyle name="20% - Accent2 86 4" xfId="11024"/>
    <cellStyle name="20% - Accent2 87" xfId="11025"/>
    <cellStyle name="20% - Accent2 87 2" xfId="11026"/>
    <cellStyle name="20% - Accent2 87 2 2" xfId="11027"/>
    <cellStyle name="20% - Accent2 87 3" xfId="11028"/>
    <cellStyle name="20% - Accent2 87 4" xfId="11029"/>
    <cellStyle name="20% - Accent2 88" xfId="11030"/>
    <cellStyle name="20% - Accent2 88 2" xfId="11031"/>
    <cellStyle name="20% - Accent2 88 2 2" xfId="11032"/>
    <cellStyle name="20% - Accent2 88 3" xfId="11033"/>
    <cellStyle name="20% - Accent2 88 4" xfId="11034"/>
    <cellStyle name="20% - Accent2 89" xfId="11035"/>
    <cellStyle name="20% - Accent2 89 2" xfId="11036"/>
    <cellStyle name="20% - Accent2 89 3" xfId="11037"/>
    <cellStyle name="20% - Accent2 9" xfId="11038"/>
    <cellStyle name="20% - Accent2 9 2" xfId="11039"/>
    <cellStyle name="20% - Accent2 9 2 2" xfId="11040"/>
    <cellStyle name="20% - Accent2 9 2_4Q Ops Metrics Gas &amp; Electric 2010" xfId="11041"/>
    <cellStyle name="20% - Accent2 9 3" xfId="11042"/>
    <cellStyle name="20% - Accent2 9 3 2" xfId="11043"/>
    <cellStyle name="20% - Accent2 9 3_4Q Ops Metrics Gas &amp; Electric 2010" xfId="11044"/>
    <cellStyle name="20% - Accent2 9 4" xfId="11045"/>
    <cellStyle name="20% - Accent2 9 4 2" xfId="11046"/>
    <cellStyle name="20% - Accent2 9 4_4Q Ops Metrics Gas &amp; Electric 2010" xfId="11047"/>
    <cellStyle name="20% - Accent2 9 5" xfId="11048"/>
    <cellStyle name="20% - Accent2 9 5 2" xfId="11049"/>
    <cellStyle name="20% - Accent2 9 5 3" xfId="11050"/>
    <cellStyle name="20% - Accent2 9 5 4" xfId="11051"/>
    <cellStyle name="20% - Accent2 9 5 5" xfId="11052"/>
    <cellStyle name="20% - Accent2 9 5_4Q Ops Metrics Gas &amp; Electric 2010" xfId="11053"/>
    <cellStyle name="20% - Accent2 9 6" xfId="11054"/>
    <cellStyle name="20% - Accent2 9 6 2" xfId="11055"/>
    <cellStyle name="20% - Accent2 9 7" xfId="11056"/>
    <cellStyle name="20% - Accent2 9 7 2" xfId="11057"/>
    <cellStyle name="20% - Accent2 9_2009 Actual" xfId="11058"/>
    <cellStyle name="20% - Accent2 90" xfId="11059"/>
    <cellStyle name="20% - Accent2 90 2" xfId="11060"/>
    <cellStyle name="20% - Accent2 91" xfId="11061"/>
    <cellStyle name="20% - Accent2 91 2" xfId="11062"/>
    <cellStyle name="20% - Accent2 92" xfId="11063"/>
    <cellStyle name="20% - Accent2 92 2" xfId="11064"/>
    <cellStyle name="20% - Accent2 93" xfId="11065"/>
    <cellStyle name="20% - Accent2 93 2" xfId="11066"/>
    <cellStyle name="20% - Accent2 94" xfId="11067"/>
    <cellStyle name="20% - Accent2 94 2" xfId="11068"/>
    <cellStyle name="20% - Accent2 95" xfId="11069"/>
    <cellStyle name="20% - Accent2 95 2" xfId="11070"/>
    <cellStyle name="20% - Accent2 96" xfId="11071"/>
    <cellStyle name="20% - Accent2 96 2" xfId="11072"/>
    <cellStyle name="20% - Accent2 97" xfId="11073"/>
    <cellStyle name="20% - Accent2 97 2" xfId="11074"/>
    <cellStyle name="20% - Accent2 98" xfId="11075"/>
    <cellStyle name="20% - Accent2 98 2" xfId="11076"/>
    <cellStyle name="20% - Accent2 99" xfId="11077"/>
    <cellStyle name="20% - Accent3" xfId="140" builtinId="38"/>
    <cellStyle name="20% - Accent3 10" xfId="11078"/>
    <cellStyle name="20% - Accent3 10 2" xfId="11079"/>
    <cellStyle name="20% - Accent3 10 2 2" xfId="11080"/>
    <cellStyle name="20% - Accent3 10 2_4Q Ops Metrics Gas &amp; Electric 2010" xfId="11081"/>
    <cellStyle name="20% - Accent3 10 3" xfId="11082"/>
    <cellStyle name="20% - Accent3 10 3 2" xfId="11083"/>
    <cellStyle name="20% - Accent3 10 3_4Q Ops Metrics Gas &amp; Electric 2010" xfId="11084"/>
    <cellStyle name="20% - Accent3 10 4" xfId="11085"/>
    <cellStyle name="20% - Accent3 10 4 2" xfId="11086"/>
    <cellStyle name="20% - Accent3 10 4_4Q Ops Metrics Gas &amp; Electric 2010" xfId="11087"/>
    <cellStyle name="20% - Accent3 10 5" xfId="11088"/>
    <cellStyle name="20% - Accent3 10 5 2" xfId="11089"/>
    <cellStyle name="20% - Accent3 10 5 3" xfId="11090"/>
    <cellStyle name="20% - Accent3 10 5 4" xfId="11091"/>
    <cellStyle name="20% - Accent3 10 5 5" xfId="11092"/>
    <cellStyle name="20% - Accent3 10 5_4Q Ops Metrics Gas &amp; Electric 2010" xfId="11093"/>
    <cellStyle name="20% - Accent3 10 6" xfId="11094"/>
    <cellStyle name="20% - Accent3 10 6 2" xfId="11095"/>
    <cellStyle name="20% - Accent3 10 7" xfId="11096"/>
    <cellStyle name="20% - Accent3 10 7 2" xfId="11097"/>
    <cellStyle name="20% - Accent3 10_2009 Actual" xfId="11098"/>
    <cellStyle name="20% - Accent3 100" xfId="11099"/>
    <cellStyle name="20% - Accent3 101" xfId="11100"/>
    <cellStyle name="20% - Accent3 102" xfId="11101"/>
    <cellStyle name="20% - Accent3 103" xfId="11102"/>
    <cellStyle name="20% - Accent3 104" xfId="11103"/>
    <cellStyle name="20% - Accent3 105" xfId="11104"/>
    <cellStyle name="20% - Accent3 106" xfId="11105"/>
    <cellStyle name="20% - Accent3 107" xfId="11106"/>
    <cellStyle name="20% - Accent3 108" xfId="11107"/>
    <cellStyle name="20% - Accent3 109" xfId="11108"/>
    <cellStyle name="20% - Accent3 11" xfId="11109"/>
    <cellStyle name="20% - Accent3 11 2" xfId="11110"/>
    <cellStyle name="20% - Accent3 11 2 2" xfId="11111"/>
    <cellStyle name="20% - Accent3 11 2_4Q Ops Metrics Gas &amp; Electric 2010" xfId="11112"/>
    <cellStyle name="20% - Accent3 11 3" xfId="11113"/>
    <cellStyle name="20% - Accent3 11 3 2" xfId="11114"/>
    <cellStyle name="20% - Accent3 11 3_4Q Ops Metrics Gas &amp; Electric 2010" xfId="11115"/>
    <cellStyle name="20% - Accent3 11 4" xfId="11116"/>
    <cellStyle name="20% - Accent3 11 4 2" xfId="11117"/>
    <cellStyle name="20% - Accent3 11 4_4Q Ops Metrics Gas &amp; Electric 2010" xfId="11118"/>
    <cellStyle name="20% - Accent3 11 5" xfId="11119"/>
    <cellStyle name="20% - Accent3 11 5 2" xfId="11120"/>
    <cellStyle name="20% - Accent3 11 5 3" xfId="11121"/>
    <cellStyle name="20% - Accent3 11 5 4" xfId="11122"/>
    <cellStyle name="20% - Accent3 11 5 5" xfId="11123"/>
    <cellStyle name="20% - Accent3 11 5_4Q Ops Metrics Gas &amp; Electric 2010" xfId="11124"/>
    <cellStyle name="20% - Accent3 11 6" xfId="11125"/>
    <cellStyle name="20% - Accent3 11 6 2" xfId="11126"/>
    <cellStyle name="20% - Accent3 11 7" xfId="11127"/>
    <cellStyle name="20% - Accent3 11 7 2" xfId="11128"/>
    <cellStyle name="20% - Accent3 11_2009 Actual" xfId="11129"/>
    <cellStyle name="20% - Accent3 110" xfId="11130"/>
    <cellStyle name="20% - Accent3 111" xfId="11131"/>
    <cellStyle name="20% - Accent3 112" xfId="11132"/>
    <cellStyle name="20% - Accent3 113" xfId="11133"/>
    <cellStyle name="20% - Accent3 114" xfId="11134"/>
    <cellStyle name="20% - Accent3 115" xfId="11135"/>
    <cellStyle name="20% - Accent3 116" xfId="11136"/>
    <cellStyle name="20% - Accent3 117" xfId="11137"/>
    <cellStyle name="20% - Accent3 118" xfId="11138"/>
    <cellStyle name="20% - Accent3 119" xfId="11139"/>
    <cellStyle name="20% - Accent3 12" xfId="11140"/>
    <cellStyle name="20% - Accent3 12 10" xfId="11141"/>
    <cellStyle name="20% - Accent3 12 11" xfId="11142"/>
    <cellStyle name="20% - Accent3 12 2" xfId="11143"/>
    <cellStyle name="20% - Accent3 12 2 2" xfId="11144"/>
    <cellStyle name="20% - Accent3 12 2 2 2" xfId="11145"/>
    <cellStyle name="20% - Accent3 12 2 2 3" xfId="11146"/>
    <cellStyle name="20% - Accent3 12 2 2 4" xfId="11147"/>
    <cellStyle name="20% - Accent3 12 2 2_4Q Ops Metrics Gas &amp; Electric 2010" xfId="11148"/>
    <cellStyle name="20% - Accent3 12 2 3" xfId="11149"/>
    <cellStyle name="20% - Accent3 12 2 4" xfId="11150"/>
    <cellStyle name="20% - Accent3 12 2_4Q Ops Metrics Gas &amp; Electric 2010" xfId="11151"/>
    <cellStyle name="20% - Accent3 12 3" xfId="11152"/>
    <cellStyle name="20% - Accent3 12 3 2" xfId="11153"/>
    <cellStyle name="20% - Accent3 12 3 2 2" xfId="11154"/>
    <cellStyle name="20% - Accent3 12 3 2 3" xfId="11155"/>
    <cellStyle name="20% - Accent3 12 3 2 4" xfId="11156"/>
    <cellStyle name="20% - Accent3 12 3 2_4Q Ops Metrics Gas &amp; Electric 2010" xfId="11157"/>
    <cellStyle name="20% - Accent3 12 3 3" xfId="11158"/>
    <cellStyle name="20% - Accent3 12 3 4" xfId="11159"/>
    <cellStyle name="20% - Accent3 12 3_4Q Ops Metrics Gas &amp; Electric 2010" xfId="11160"/>
    <cellStyle name="20% - Accent3 12 4" xfId="11161"/>
    <cellStyle name="20% - Accent3 12 4 2" xfId="11162"/>
    <cellStyle name="20% - Accent3 12 4 2 2" xfId="11163"/>
    <cellStyle name="20% - Accent3 12 4 2 3" xfId="11164"/>
    <cellStyle name="20% - Accent3 12 4 2 4" xfId="11165"/>
    <cellStyle name="20% - Accent3 12 4 2_4Q Ops Metrics Gas &amp; Electric 2010" xfId="11166"/>
    <cellStyle name="20% - Accent3 12 4 3" xfId="11167"/>
    <cellStyle name="20% - Accent3 12 4 4" xfId="11168"/>
    <cellStyle name="20% - Accent3 12 4_4Q Ops Metrics Gas &amp; Electric 2010" xfId="11169"/>
    <cellStyle name="20% - Accent3 12 5" xfId="11170"/>
    <cellStyle name="20% - Accent3 12 5 2" xfId="11171"/>
    <cellStyle name="20% - Accent3 12 5 3" xfId="11172"/>
    <cellStyle name="20% - Accent3 12 5 4" xfId="11173"/>
    <cellStyle name="20% - Accent3 12 5_4Q Ops Metrics Gas &amp; Electric 2010" xfId="11174"/>
    <cellStyle name="20% - Accent3 12 6" xfId="11175"/>
    <cellStyle name="20% - Accent3 12 6 2" xfId="11176"/>
    <cellStyle name="20% - Accent3 12 6 3" xfId="11177"/>
    <cellStyle name="20% - Accent3 12 6 4" xfId="11178"/>
    <cellStyle name="20% - Accent3 12 6_BHP" xfId="11179"/>
    <cellStyle name="20% - Accent3 12 7" xfId="11180"/>
    <cellStyle name="20% - Accent3 12 8" xfId="11181"/>
    <cellStyle name="20% - Accent3 12 9" xfId="11182"/>
    <cellStyle name="20% - Accent3 12_2009 Actual" xfId="11183"/>
    <cellStyle name="20% - Accent3 120" xfId="11184"/>
    <cellStyle name="20% - Accent3 13" xfId="11185"/>
    <cellStyle name="20% - Accent3 13 2" xfId="11186"/>
    <cellStyle name="20% - Accent3 13 3" xfId="11187"/>
    <cellStyle name="20% - Accent3 13 4" xfId="11188"/>
    <cellStyle name="20% - Accent3 13 5" xfId="11189"/>
    <cellStyle name="20% - Accent3 13 6" xfId="11190"/>
    <cellStyle name="20% - Accent3 13 7" xfId="11191"/>
    <cellStyle name="20% - Accent3 13_2009 Actual" xfId="11192"/>
    <cellStyle name="20% - Accent3 14" xfId="11193"/>
    <cellStyle name="20% - Accent3 14 2" xfId="11194"/>
    <cellStyle name="20% - Accent3 14 3" xfId="11195"/>
    <cellStyle name="20% - Accent3 14 4" xfId="11196"/>
    <cellStyle name="20% - Accent3 14 5" xfId="11197"/>
    <cellStyle name="20% - Accent3 14 6" xfId="11198"/>
    <cellStyle name="20% - Accent3 14 7" xfId="11199"/>
    <cellStyle name="20% - Accent3 14_2009 Actual" xfId="11200"/>
    <cellStyle name="20% - Accent3 15" xfId="11201"/>
    <cellStyle name="20% - Accent3 15 2" xfId="11202"/>
    <cellStyle name="20% - Accent3 15 3" xfId="11203"/>
    <cellStyle name="20% - Accent3 15 4" xfId="11204"/>
    <cellStyle name="20% - Accent3 15 5" xfId="11205"/>
    <cellStyle name="20% - Accent3 15 6" xfId="11206"/>
    <cellStyle name="20% - Accent3 15_BHP" xfId="11207"/>
    <cellStyle name="20% - Accent3 16" xfId="11208"/>
    <cellStyle name="20% - Accent3 17" xfId="11209"/>
    <cellStyle name="20% - Accent3 18" xfId="11210"/>
    <cellStyle name="20% - Accent3 19" xfId="11211"/>
    <cellStyle name="20% - Accent3 19 2" xfId="11212"/>
    <cellStyle name="20% - Accent3 19 3" xfId="11213"/>
    <cellStyle name="20% - Accent3 19_Elec Margin Analysis" xfId="11214"/>
    <cellStyle name="20% - Accent3 2" xfId="44"/>
    <cellStyle name="20% - Accent3 2 10" xfId="11215"/>
    <cellStyle name="20% - Accent3 2 10 2" xfId="11216"/>
    <cellStyle name="20% - Accent3 2 10 3" xfId="11217"/>
    <cellStyle name="20% - Accent3 2 10 4" xfId="11218"/>
    <cellStyle name="20% - Accent3 2 10 5" xfId="11219"/>
    <cellStyle name="20% - Accent3 2 10 5 2" xfId="11220"/>
    <cellStyle name="20% - Accent3 2 10_BHP" xfId="11221"/>
    <cellStyle name="20% - Accent3 2 100" xfId="11222"/>
    <cellStyle name="20% - Accent3 2 100 2" xfId="11223"/>
    <cellStyle name="20% - Accent3 2 100 2 2" xfId="11224"/>
    <cellStyle name="20% - Accent3 2 100 3" xfId="11225"/>
    <cellStyle name="20% - Accent3 2 100 4" xfId="11226"/>
    <cellStyle name="20% - Accent3 2 101" xfId="11227"/>
    <cellStyle name="20% - Accent3 2 101 2" xfId="11228"/>
    <cellStyle name="20% - Accent3 2 101 2 2" xfId="11229"/>
    <cellStyle name="20% - Accent3 2 101 3" xfId="11230"/>
    <cellStyle name="20% - Accent3 2 101 4" xfId="11231"/>
    <cellStyle name="20% - Accent3 2 102" xfId="11232"/>
    <cellStyle name="20% - Accent3 2 102 2" xfId="11233"/>
    <cellStyle name="20% - Accent3 2 102 2 2" xfId="11234"/>
    <cellStyle name="20% - Accent3 2 102 3" xfId="11235"/>
    <cellStyle name="20% - Accent3 2 102 4" xfId="11236"/>
    <cellStyle name="20% - Accent3 2 103" xfId="11237"/>
    <cellStyle name="20% - Accent3 2 103 2" xfId="11238"/>
    <cellStyle name="20% - Accent3 2 103 2 2" xfId="11239"/>
    <cellStyle name="20% - Accent3 2 103 3" xfId="11240"/>
    <cellStyle name="20% - Accent3 2 103 4" xfId="11241"/>
    <cellStyle name="20% - Accent3 2 104" xfId="11242"/>
    <cellStyle name="20% - Accent3 2 104 2" xfId="11243"/>
    <cellStyle name="20% - Accent3 2 104 2 2" xfId="11244"/>
    <cellStyle name="20% - Accent3 2 104 3" xfId="11245"/>
    <cellStyle name="20% - Accent3 2 104 4" xfId="11246"/>
    <cellStyle name="20% - Accent3 2 105" xfId="11247"/>
    <cellStyle name="20% - Accent3 2 105 2" xfId="11248"/>
    <cellStyle name="20% - Accent3 2 105 2 2" xfId="11249"/>
    <cellStyle name="20% - Accent3 2 105 3" xfId="11250"/>
    <cellStyle name="20% - Accent3 2 105 4" xfId="11251"/>
    <cellStyle name="20% - Accent3 2 106" xfId="11252"/>
    <cellStyle name="20% - Accent3 2 106 2" xfId="11253"/>
    <cellStyle name="20% - Accent3 2 106 2 2" xfId="11254"/>
    <cellStyle name="20% - Accent3 2 106 3" xfId="11255"/>
    <cellStyle name="20% - Accent3 2 106 4" xfId="11256"/>
    <cellStyle name="20% - Accent3 2 107" xfId="11257"/>
    <cellStyle name="20% - Accent3 2 107 2" xfId="11258"/>
    <cellStyle name="20% - Accent3 2 107 2 2" xfId="11259"/>
    <cellStyle name="20% - Accent3 2 107 3" xfId="11260"/>
    <cellStyle name="20% - Accent3 2 107 4" xfId="11261"/>
    <cellStyle name="20% - Accent3 2 108" xfId="11262"/>
    <cellStyle name="20% - Accent3 2 108 2" xfId="11263"/>
    <cellStyle name="20% - Accent3 2 108 2 2" xfId="11264"/>
    <cellStyle name="20% - Accent3 2 108 3" xfId="11265"/>
    <cellStyle name="20% - Accent3 2 108 4" xfId="11266"/>
    <cellStyle name="20% - Accent3 2 109" xfId="11267"/>
    <cellStyle name="20% - Accent3 2 109 2" xfId="11268"/>
    <cellStyle name="20% - Accent3 2 109 2 2" xfId="11269"/>
    <cellStyle name="20% - Accent3 2 109 3" xfId="11270"/>
    <cellStyle name="20% - Accent3 2 109 4" xfId="11271"/>
    <cellStyle name="20% - Accent3 2 11" xfId="11272"/>
    <cellStyle name="20% - Accent3 2 11 2" xfId="11273"/>
    <cellStyle name="20% - Accent3 2 11 3" xfId="11274"/>
    <cellStyle name="20% - Accent3 2 110" xfId="11275"/>
    <cellStyle name="20% - Accent3 2 110 2" xfId="11276"/>
    <cellStyle name="20% - Accent3 2 110 2 2" xfId="11277"/>
    <cellStyle name="20% - Accent3 2 110 3" xfId="11278"/>
    <cellStyle name="20% - Accent3 2 110 4" xfId="11279"/>
    <cellStyle name="20% - Accent3 2 111" xfId="11280"/>
    <cellStyle name="20% - Accent3 2 111 2" xfId="11281"/>
    <cellStyle name="20% - Accent3 2 111 2 2" xfId="11282"/>
    <cellStyle name="20% - Accent3 2 111 3" xfId="11283"/>
    <cellStyle name="20% - Accent3 2 111 4" xfId="11284"/>
    <cellStyle name="20% - Accent3 2 112" xfId="11285"/>
    <cellStyle name="20% - Accent3 2 112 2" xfId="11286"/>
    <cellStyle name="20% - Accent3 2 112 2 2" xfId="11287"/>
    <cellStyle name="20% - Accent3 2 112 3" xfId="11288"/>
    <cellStyle name="20% - Accent3 2 112 4" xfId="11289"/>
    <cellStyle name="20% - Accent3 2 113" xfId="11290"/>
    <cellStyle name="20% - Accent3 2 113 2" xfId="11291"/>
    <cellStyle name="20% - Accent3 2 113 2 2" xfId="11292"/>
    <cellStyle name="20% - Accent3 2 113 3" xfId="11293"/>
    <cellStyle name="20% - Accent3 2 113 4" xfId="11294"/>
    <cellStyle name="20% - Accent3 2 114" xfId="11295"/>
    <cellStyle name="20% - Accent3 2 114 2" xfId="11296"/>
    <cellStyle name="20% - Accent3 2 114 2 2" xfId="11297"/>
    <cellStyle name="20% - Accent3 2 114 3" xfId="11298"/>
    <cellStyle name="20% - Accent3 2 114 4" xfId="11299"/>
    <cellStyle name="20% - Accent3 2 115" xfId="11300"/>
    <cellStyle name="20% - Accent3 2 115 2" xfId="11301"/>
    <cellStyle name="20% - Accent3 2 115 2 2" xfId="11302"/>
    <cellStyle name="20% - Accent3 2 115 3" xfId="11303"/>
    <cellStyle name="20% - Accent3 2 115 4" xfId="11304"/>
    <cellStyle name="20% - Accent3 2 116" xfId="11305"/>
    <cellStyle name="20% - Accent3 2 116 2" xfId="11306"/>
    <cellStyle name="20% - Accent3 2 116 2 2" xfId="11307"/>
    <cellStyle name="20% - Accent3 2 116 3" xfId="11308"/>
    <cellStyle name="20% - Accent3 2 116 4" xfId="11309"/>
    <cellStyle name="20% - Accent3 2 117" xfId="11310"/>
    <cellStyle name="20% - Accent3 2 117 2" xfId="11311"/>
    <cellStyle name="20% - Accent3 2 117 2 2" xfId="11312"/>
    <cellStyle name="20% - Accent3 2 117 3" xfId="11313"/>
    <cellStyle name="20% - Accent3 2 117 4" xfId="11314"/>
    <cellStyle name="20% - Accent3 2 118" xfId="11315"/>
    <cellStyle name="20% - Accent3 2 118 2" xfId="11316"/>
    <cellStyle name="20% - Accent3 2 119" xfId="11317"/>
    <cellStyle name="20% - Accent3 2 119 2" xfId="11318"/>
    <cellStyle name="20% - Accent3 2 12" xfId="11319"/>
    <cellStyle name="20% - Accent3 2 12 2" xfId="11320"/>
    <cellStyle name="20% - Accent3 2 120" xfId="11321"/>
    <cellStyle name="20% - Accent3 2 120 2" xfId="11322"/>
    <cellStyle name="20% - Accent3 2 121" xfId="11323"/>
    <cellStyle name="20% - Accent3 2 121 2" xfId="11324"/>
    <cellStyle name="20% - Accent3 2 122" xfId="11325"/>
    <cellStyle name="20% - Accent3 2 123" xfId="11326"/>
    <cellStyle name="20% - Accent3 2 124" xfId="11327"/>
    <cellStyle name="20% - Accent3 2 125" xfId="11328"/>
    <cellStyle name="20% - Accent3 2 126" xfId="11329"/>
    <cellStyle name="20% - Accent3 2 127" xfId="11330"/>
    <cellStyle name="20% - Accent3 2 128" xfId="11331"/>
    <cellStyle name="20% - Accent3 2 129" xfId="11332"/>
    <cellStyle name="20% - Accent3 2 13" xfId="11333"/>
    <cellStyle name="20% - Accent3 2 130" xfId="11334"/>
    <cellStyle name="20% - Accent3 2 131" xfId="11335"/>
    <cellStyle name="20% - Accent3 2 132" xfId="11336"/>
    <cellStyle name="20% - Accent3 2 133" xfId="11337"/>
    <cellStyle name="20% - Accent3 2 134" xfId="11338"/>
    <cellStyle name="20% - Accent3 2 135" xfId="11339"/>
    <cellStyle name="20% - Accent3 2 136" xfId="11340"/>
    <cellStyle name="20% - Accent3 2 137" xfId="11341"/>
    <cellStyle name="20% - Accent3 2 138" xfId="11342"/>
    <cellStyle name="20% - Accent3 2 139" xfId="11343"/>
    <cellStyle name="20% - Accent3 2 14" xfId="11344"/>
    <cellStyle name="20% - Accent3 2 140" xfId="11345"/>
    <cellStyle name="20% - Accent3 2 141" xfId="11346"/>
    <cellStyle name="20% - Accent3 2 142" xfId="11347"/>
    <cellStyle name="20% - Accent3 2 15" xfId="11348"/>
    <cellStyle name="20% - Accent3 2 16" xfId="11349"/>
    <cellStyle name="20% - Accent3 2 17" xfId="11350"/>
    <cellStyle name="20% - Accent3 2 18" xfId="11351"/>
    <cellStyle name="20% - Accent3 2 18 2" xfId="11352"/>
    <cellStyle name="20% - Accent3 2 18 2 2" xfId="11353"/>
    <cellStyle name="20% - Accent3 2 18 2 2 2" xfId="11354"/>
    <cellStyle name="20% - Accent3 2 18 2 2 3" xfId="11355"/>
    <cellStyle name="20% - Accent3 2 18 2 3" xfId="11356"/>
    <cellStyle name="20% - Accent3 2 18 2 3 2" xfId="11357"/>
    <cellStyle name="20% - Accent3 2 18 2 4" xfId="11358"/>
    <cellStyle name="20% - Accent3 2 18 2 5" xfId="11359"/>
    <cellStyle name="20% - Accent3 2 18 3" xfId="11360"/>
    <cellStyle name="20% - Accent3 2 18 3 2" xfId="11361"/>
    <cellStyle name="20% - Accent3 2 18 3 2 2" xfId="11362"/>
    <cellStyle name="20% - Accent3 2 18 3 3" xfId="11363"/>
    <cellStyle name="20% - Accent3 2 18 3 4" xfId="11364"/>
    <cellStyle name="20% - Accent3 2 18 4" xfId="11365"/>
    <cellStyle name="20% - Accent3 2 18 4 2" xfId="11366"/>
    <cellStyle name="20% - Accent3 2 18 4 2 2" xfId="11367"/>
    <cellStyle name="20% - Accent3 2 18 4 3" xfId="11368"/>
    <cellStyle name="20% - Accent3 2 18 4 4" xfId="11369"/>
    <cellStyle name="20% - Accent3 2 18 5" xfId="11370"/>
    <cellStyle name="20% - Accent3 2 18 5 2" xfId="11371"/>
    <cellStyle name="20% - Accent3 2 18 6" xfId="11372"/>
    <cellStyle name="20% - Accent3 2 18 7" xfId="11373"/>
    <cellStyle name="20% - Accent3 2 18 8" xfId="11374"/>
    <cellStyle name="20% - Accent3 2 19" xfId="11375"/>
    <cellStyle name="20% - Accent3 2 19 2" xfId="11376"/>
    <cellStyle name="20% - Accent3 2 19 2 2" xfId="11377"/>
    <cellStyle name="20% - Accent3 2 19 2 2 2" xfId="11378"/>
    <cellStyle name="20% - Accent3 2 19 2 2 3" xfId="11379"/>
    <cellStyle name="20% - Accent3 2 19 2 3" xfId="11380"/>
    <cellStyle name="20% - Accent3 2 19 2 3 2" xfId="11381"/>
    <cellStyle name="20% - Accent3 2 19 2 4" xfId="11382"/>
    <cellStyle name="20% - Accent3 2 19 2 5" xfId="11383"/>
    <cellStyle name="20% - Accent3 2 19 3" xfId="11384"/>
    <cellStyle name="20% - Accent3 2 19 3 2" xfId="11385"/>
    <cellStyle name="20% - Accent3 2 19 3 2 2" xfId="11386"/>
    <cellStyle name="20% - Accent3 2 19 3 3" xfId="11387"/>
    <cellStyle name="20% - Accent3 2 19 3 4" xfId="11388"/>
    <cellStyle name="20% - Accent3 2 19 4" xfId="11389"/>
    <cellStyle name="20% - Accent3 2 19 4 2" xfId="11390"/>
    <cellStyle name="20% - Accent3 2 19 4 2 2" xfId="11391"/>
    <cellStyle name="20% - Accent3 2 19 4 3" xfId="11392"/>
    <cellStyle name="20% - Accent3 2 19 4 4" xfId="11393"/>
    <cellStyle name="20% - Accent3 2 19 5" xfId="11394"/>
    <cellStyle name="20% - Accent3 2 19 5 2" xfId="11395"/>
    <cellStyle name="20% - Accent3 2 19 6" xfId="11396"/>
    <cellStyle name="20% - Accent3 2 19 7" xfId="11397"/>
    <cellStyle name="20% - Accent3 2 19 8" xfId="11398"/>
    <cellStyle name="20% - Accent3 2 2" xfId="223"/>
    <cellStyle name="20% - Accent3 2 2 10" xfId="11399"/>
    <cellStyle name="20% - Accent3 2 2 11" xfId="11400"/>
    <cellStyle name="20% - Accent3 2 2 12" xfId="11401"/>
    <cellStyle name="20% - Accent3 2 2 12 2" xfId="11402"/>
    <cellStyle name="20% - Accent3 2 2 12 2 2" xfId="11403"/>
    <cellStyle name="20% - Accent3 2 2 12 2 2 2" xfId="11404"/>
    <cellStyle name="20% - Accent3 2 2 12 2 2 3" xfId="11405"/>
    <cellStyle name="20% - Accent3 2 2 12 2 3" xfId="11406"/>
    <cellStyle name="20% - Accent3 2 2 12 2 3 2" xfId="11407"/>
    <cellStyle name="20% - Accent3 2 2 12 2 4" xfId="11408"/>
    <cellStyle name="20% - Accent3 2 2 12 2 5" xfId="11409"/>
    <cellStyle name="20% - Accent3 2 2 12 3" xfId="11410"/>
    <cellStyle name="20% - Accent3 2 2 12 3 2" xfId="11411"/>
    <cellStyle name="20% - Accent3 2 2 12 3 2 2" xfId="11412"/>
    <cellStyle name="20% - Accent3 2 2 12 3 3" xfId="11413"/>
    <cellStyle name="20% - Accent3 2 2 12 3 4" xfId="11414"/>
    <cellStyle name="20% - Accent3 2 2 12 4" xfId="11415"/>
    <cellStyle name="20% - Accent3 2 2 12 4 2" xfId="11416"/>
    <cellStyle name="20% - Accent3 2 2 12 4 2 2" xfId="11417"/>
    <cellStyle name="20% - Accent3 2 2 12 4 3" xfId="11418"/>
    <cellStyle name="20% - Accent3 2 2 12 4 4" xfId="11419"/>
    <cellStyle name="20% - Accent3 2 2 12 5" xfId="11420"/>
    <cellStyle name="20% - Accent3 2 2 12 5 2" xfId="11421"/>
    <cellStyle name="20% - Accent3 2 2 12 6" xfId="11422"/>
    <cellStyle name="20% - Accent3 2 2 12 7" xfId="11423"/>
    <cellStyle name="20% - Accent3 2 2 12 8" xfId="11424"/>
    <cellStyle name="20% - Accent3 2 2 13" xfId="11425"/>
    <cellStyle name="20% - Accent3 2 2 13 2" xfId="11426"/>
    <cellStyle name="20% - Accent3 2 2 13 2 2" xfId="11427"/>
    <cellStyle name="20% - Accent3 2 2 13 2 2 2" xfId="11428"/>
    <cellStyle name="20% - Accent3 2 2 13 2 2 3" xfId="11429"/>
    <cellStyle name="20% - Accent3 2 2 13 2 3" xfId="11430"/>
    <cellStyle name="20% - Accent3 2 2 13 2 3 2" xfId="11431"/>
    <cellStyle name="20% - Accent3 2 2 13 2 4" xfId="11432"/>
    <cellStyle name="20% - Accent3 2 2 13 2 5" xfId="11433"/>
    <cellStyle name="20% - Accent3 2 2 13 3" xfId="11434"/>
    <cellStyle name="20% - Accent3 2 2 13 3 2" xfId="11435"/>
    <cellStyle name="20% - Accent3 2 2 13 3 2 2" xfId="11436"/>
    <cellStyle name="20% - Accent3 2 2 13 3 3" xfId="11437"/>
    <cellStyle name="20% - Accent3 2 2 13 3 4" xfId="11438"/>
    <cellStyle name="20% - Accent3 2 2 13 4" xfId="11439"/>
    <cellStyle name="20% - Accent3 2 2 13 4 2" xfId="11440"/>
    <cellStyle name="20% - Accent3 2 2 13 4 2 2" xfId="11441"/>
    <cellStyle name="20% - Accent3 2 2 13 4 3" xfId="11442"/>
    <cellStyle name="20% - Accent3 2 2 13 4 4" xfId="11443"/>
    <cellStyle name="20% - Accent3 2 2 13 5" xfId="11444"/>
    <cellStyle name="20% - Accent3 2 2 13 5 2" xfId="11445"/>
    <cellStyle name="20% - Accent3 2 2 13 6" xfId="11446"/>
    <cellStyle name="20% - Accent3 2 2 13 7" xfId="11447"/>
    <cellStyle name="20% - Accent3 2 2 13 8" xfId="11448"/>
    <cellStyle name="20% - Accent3 2 2 14" xfId="11449"/>
    <cellStyle name="20% - Accent3 2 2 14 2" xfId="11450"/>
    <cellStyle name="20% - Accent3 2 2 14 2 2" xfId="11451"/>
    <cellStyle name="20% - Accent3 2 2 14 2 2 2" xfId="11452"/>
    <cellStyle name="20% - Accent3 2 2 14 2 2 3" xfId="11453"/>
    <cellStyle name="20% - Accent3 2 2 14 2 3" xfId="11454"/>
    <cellStyle name="20% - Accent3 2 2 14 2 3 2" xfId="11455"/>
    <cellStyle name="20% - Accent3 2 2 14 2 4" xfId="11456"/>
    <cellStyle name="20% - Accent3 2 2 14 2 5" xfId="11457"/>
    <cellStyle name="20% - Accent3 2 2 14 3" xfId="11458"/>
    <cellStyle name="20% - Accent3 2 2 14 3 2" xfId="11459"/>
    <cellStyle name="20% - Accent3 2 2 14 3 2 2" xfId="11460"/>
    <cellStyle name="20% - Accent3 2 2 14 3 3" xfId="11461"/>
    <cellStyle name="20% - Accent3 2 2 14 3 4" xfId="11462"/>
    <cellStyle name="20% - Accent3 2 2 14 4" xfId="11463"/>
    <cellStyle name="20% - Accent3 2 2 14 4 2" xfId="11464"/>
    <cellStyle name="20% - Accent3 2 2 14 4 2 2" xfId="11465"/>
    <cellStyle name="20% - Accent3 2 2 14 4 3" xfId="11466"/>
    <cellStyle name="20% - Accent3 2 2 14 4 4" xfId="11467"/>
    <cellStyle name="20% - Accent3 2 2 14 5" xfId="11468"/>
    <cellStyle name="20% - Accent3 2 2 14 5 2" xfId="11469"/>
    <cellStyle name="20% - Accent3 2 2 14 6" xfId="11470"/>
    <cellStyle name="20% - Accent3 2 2 14 7" xfId="11471"/>
    <cellStyle name="20% - Accent3 2 2 14 8" xfId="11472"/>
    <cellStyle name="20% - Accent3 2 2 2" xfId="11473"/>
    <cellStyle name="20% - Accent3 2 2 2 10" xfId="11474"/>
    <cellStyle name="20% - Accent3 2 2 2 11" xfId="11475"/>
    <cellStyle name="20% - Accent3 2 2 2 2" xfId="11476"/>
    <cellStyle name="20% - Accent3 2 2 2 3" xfId="11477"/>
    <cellStyle name="20% - Accent3 2 2 2 4" xfId="11478"/>
    <cellStyle name="20% - Accent3 2 2 2 5" xfId="11479"/>
    <cellStyle name="20% - Accent3 2 2 2 6" xfId="11480"/>
    <cellStyle name="20% - Accent3 2 2 2 7" xfId="11481"/>
    <cellStyle name="20% - Accent3 2 2 2 8" xfId="11482"/>
    <cellStyle name="20% - Accent3 2 2 2 9" xfId="11483"/>
    <cellStyle name="20% - Accent3 2 2 2_4Q Ops Metrics Gas &amp; Electric 2010" xfId="11484"/>
    <cellStyle name="20% - Accent3 2 2 3" xfId="11485"/>
    <cellStyle name="20% - Accent3 2 2 3 2" xfId="11486"/>
    <cellStyle name="20% - Accent3 2 2 4" xfId="11487"/>
    <cellStyle name="20% - Accent3 2 2 4 2" xfId="11488"/>
    <cellStyle name="20% - Accent3 2 2 5" xfId="11489"/>
    <cellStyle name="20% - Accent3 2 2 5 2" xfId="11490"/>
    <cellStyle name="20% - Accent3 2 2 6" xfId="11491"/>
    <cellStyle name="20% - Accent3 2 2 6 2" xfId="11492"/>
    <cellStyle name="20% - Accent3 2 2 7" xfId="11493"/>
    <cellStyle name="20% - Accent3 2 2 7 2" xfId="11494"/>
    <cellStyle name="20% - Accent3 2 2 8" xfId="11495"/>
    <cellStyle name="20% - Accent3 2 2 9" xfId="11496"/>
    <cellStyle name="20% - Accent3 2 2_2009 Actual" xfId="11497"/>
    <cellStyle name="20% - Accent3 2 20" xfId="11498"/>
    <cellStyle name="20% - Accent3 2 20 2" xfId="11499"/>
    <cellStyle name="20% - Accent3 2 20 2 2" xfId="11500"/>
    <cellStyle name="20% - Accent3 2 20 2 2 2" xfId="11501"/>
    <cellStyle name="20% - Accent3 2 20 2 2 3" xfId="11502"/>
    <cellStyle name="20% - Accent3 2 20 2 3" xfId="11503"/>
    <cellStyle name="20% - Accent3 2 20 2 3 2" xfId="11504"/>
    <cellStyle name="20% - Accent3 2 20 2 4" xfId="11505"/>
    <cellStyle name="20% - Accent3 2 20 2 5" xfId="11506"/>
    <cellStyle name="20% - Accent3 2 20 3" xfId="11507"/>
    <cellStyle name="20% - Accent3 2 20 3 2" xfId="11508"/>
    <cellStyle name="20% - Accent3 2 20 3 2 2" xfId="11509"/>
    <cellStyle name="20% - Accent3 2 20 3 3" xfId="11510"/>
    <cellStyle name="20% - Accent3 2 20 3 4" xfId="11511"/>
    <cellStyle name="20% - Accent3 2 20 4" xfId="11512"/>
    <cellStyle name="20% - Accent3 2 20 4 2" xfId="11513"/>
    <cellStyle name="20% - Accent3 2 20 4 2 2" xfId="11514"/>
    <cellStyle name="20% - Accent3 2 20 4 3" xfId="11515"/>
    <cellStyle name="20% - Accent3 2 20 4 4" xfId="11516"/>
    <cellStyle name="20% - Accent3 2 20 5" xfId="11517"/>
    <cellStyle name="20% - Accent3 2 20 5 2" xfId="11518"/>
    <cellStyle name="20% - Accent3 2 20 6" xfId="11519"/>
    <cellStyle name="20% - Accent3 2 20 7" xfId="11520"/>
    <cellStyle name="20% - Accent3 2 20 8" xfId="11521"/>
    <cellStyle name="20% - Accent3 2 21" xfId="11522"/>
    <cellStyle name="20% - Accent3 2 21 2" xfId="11523"/>
    <cellStyle name="20% - Accent3 2 21 2 2" xfId="11524"/>
    <cellStyle name="20% - Accent3 2 21 2 2 2" xfId="11525"/>
    <cellStyle name="20% - Accent3 2 21 2 2 3" xfId="11526"/>
    <cellStyle name="20% - Accent3 2 21 2 3" xfId="11527"/>
    <cellStyle name="20% - Accent3 2 21 2 3 2" xfId="11528"/>
    <cellStyle name="20% - Accent3 2 21 2 4" xfId="11529"/>
    <cellStyle name="20% - Accent3 2 21 2 5" xfId="11530"/>
    <cellStyle name="20% - Accent3 2 21 3" xfId="11531"/>
    <cellStyle name="20% - Accent3 2 21 3 2" xfId="11532"/>
    <cellStyle name="20% - Accent3 2 21 3 2 2" xfId="11533"/>
    <cellStyle name="20% - Accent3 2 21 3 3" xfId="11534"/>
    <cellStyle name="20% - Accent3 2 21 3 4" xfId="11535"/>
    <cellStyle name="20% - Accent3 2 21 4" xfId="11536"/>
    <cellStyle name="20% - Accent3 2 21 4 2" xfId="11537"/>
    <cellStyle name="20% - Accent3 2 21 4 2 2" xfId="11538"/>
    <cellStyle name="20% - Accent3 2 21 4 3" xfId="11539"/>
    <cellStyle name="20% - Accent3 2 21 4 4" xfId="11540"/>
    <cellStyle name="20% - Accent3 2 21 5" xfId="11541"/>
    <cellStyle name="20% - Accent3 2 21 5 2" xfId="11542"/>
    <cellStyle name="20% - Accent3 2 21 6" xfId="11543"/>
    <cellStyle name="20% - Accent3 2 21 7" xfId="11544"/>
    <cellStyle name="20% - Accent3 2 21 8" xfId="11545"/>
    <cellStyle name="20% - Accent3 2 22" xfId="11546"/>
    <cellStyle name="20% - Accent3 2 22 2" xfId="11547"/>
    <cellStyle name="20% - Accent3 2 22 2 2" xfId="11548"/>
    <cellStyle name="20% - Accent3 2 22 2 2 2" xfId="11549"/>
    <cellStyle name="20% - Accent3 2 22 2 2 3" xfId="11550"/>
    <cellStyle name="20% - Accent3 2 22 2 3" xfId="11551"/>
    <cellStyle name="20% - Accent3 2 22 2 3 2" xfId="11552"/>
    <cellStyle name="20% - Accent3 2 22 2 4" xfId="11553"/>
    <cellStyle name="20% - Accent3 2 22 2 5" xfId="11554"/>
    <cellStyle name="20% - Accent3 2 22 3" xfId="11555"/>
    <cellStyle name="20% - Accent3 2 22 3 2" xfId="11556"/>
    <cellStyle name="20% - Accent3 2 22 3 2 2" xfId="11557"/>
    <cellStyle name="20% - Accent3 2 22 3 3" xfId="11558"/>
    <cellStyle name="20% - Accent3 2 22 3 4" xfId="11559"/>
    <cellStyle name="20% - Accent3 2 22 4" xfId="11560"/>
    <cellStyle name="20% - Accent3 2 22 4 2" xfId="11561"/>
    <cellStyle name="20% - Accent3 2 22 4 2 2" xfId="11562"/>
    <cellStyle name="20% - Accent3 2 22 4 3" xfId="11563"/>
    <cellStyle name="20% - Accent3 2 22 4 4" xfId="11564"/>
    <cellStyle name="20% - Accent3 2 22 5" xfId="11565"/>
    <cellStyle name="20% - Accent3 2 22 5 2" xfId="11566"/>
    <cellStyle name="20% - Accent3 2 22 6" xfId="11567"/>
    <cellStyle name="20% - Accent3 2 22 7" xfId="11568"/>
    <cellStyle name="20% - Accent3 2 22 8" xfId="11569"/>
    <cellStyle name="20% - Accent3 2 23" xfId="11570"/>
    <cellStyle name="20% - Accent3 2 23 2" xfId="11571"/>
    <cellStyle name="20% - Accent3 2 23 2 2" xfId="11572"/>
    <cellStyle name="20% - Accent3 2 23 2 2 2" xfId="11573"/>
    <cellStyle name="20% - Accent3 2 23 2 2 3" xfId="11574"/>
    <cellStyle name="20% - Accent3 2 23 2 3" xfId="11575"/>
    <cellStyle name="20% - Accent3 2 23 2 3 2" xfId="11576"/>
    <cellStyle name="20% - Accent3 2 23 2 4" xfId="11577"/>
    <cellStyle name="20% - Accent3 2 23 2 5" xfId="11578"/>
    <cellStyle name="20% - Accent3 2 23 3" xfId="11579"/>
    <cellStyle name="20% - Accent3 2 23 3 2" xfId="11580"/>
    <cellStyle name="20% - Accent3 2 23 3 2 2" xfId="11581"/>
    <cellStyle name="20% - Accent3 2 23 3 3" xfId="11582"/>
    <cellStyle name="20% - Accent3 2 23 3 4" xfId="11583"/>
    <cellStyle name="20% - Accent3 2 23 4" xfId="11584"/>
    <cellStyle name="20% - Accent3 2 23 4 2" xfId="11585"/>
    <cellStyle name="20% - Accent3 2 23 4 2 2" xfId="11586"/>
    <cellStyle name="20% - Accent3 2 23 4 3" xfId="11587"/>
    <cellStyle name="20% - Accent3 2 23 4 4" xfId="11588"/>
    <cellStyle name="20% - Accent3 2 23 5" xfId="11589"/>
    <cellStyle name="20% - Accent3 2 23 5 2" xfId="11590"/>
    <cellStyle name="20% - Accent3 2 23 6" xfId="11591"/>
    <cellStyle name="20% - Accent3 2 23 7" xfId="11592"/>
    <cellStyle name="20% - Accent3 2 23 8" xfId="11593"/>
    <cellStyle name="20% - Accent3 2 24" xfId="11594"/>
    <cellStyle name="20% - Accent3 2 24 2" xfId="11595"/>
    <cellStyle name="20% - Accent3 2 24 2 2" xfId="11596"/>
    <cellStyle name="20% - Accent3 2 24 2 2 2" xfId="11597"/>
    <cellStyle name="20% - Accent3 2 24 2 2 3" xfId="11598"/>
    <cellStyle name="20% - Accent3 2 24 2 3" xfId="11599"/>
    <cellStyle name="20% - Accent3 2 24 2 3 2" xfId="11600"/>
    <cellStyle name="20% - Accent3 2 24 2 4" xfId="11601"/>
    <cellStyle name="20% - Accent3 2 24 2 5" xfId="11602"/>
    <cellStyle name="20% - Accent3 2 24 3" xfId="11603"/>
    <cellStyle name="20% - Accent3 2 24 3 2" xfId="11604"/>
    <cellStyle name="20% - Accent3 2 24 3 2 2" xfId="11605"/>
    <cellStyle name="20% - Accent3 2 24 3 3" xfId="11606"/>
    <cellStyle name="20% - Accent3 2 24 3 4" xfId="11607"/>
    <cellStyle name="20% - Accent3 2 24 4" xfId="11608"/>
    <cellStyle name="20% - Accent3 2 24 4 2" xfId="11609"/>
    <cellStyle name="20% - Accent3 2 24 4 2 2" xfId="11610"/>
    <cellStyle name="20% - Accent3 2 24 4 3" xfId="11611"/>
    <cellStyle name="20% - Accent3 2 24 4 4" xfId="11612"/>
    <cellStyle name="20% - Accent3 2 24 5" xfId="11613"/>
    <cellStyle name="20% - Accent3 2 24 5 2" xfId="11614"/>
    <cellStyle name="20% - Accent3 2 24 6" xfId="11615"/>
    <cellStyle name="20% - Accent3 2 24 7" xfId="11616"/>
    <cellStyle name="20% - Accent3 2 24 8" xfId="11617"/>
    <cellStyle name="20% - Accent3 2 25" xfId="11618"/>
    <cellStyle name="20% - Accent3 2 25 2" xfId="11619"/>
    <cellStyle name="20% - Accent3 2 25 2 2" xfId="11620"/>
    <cellStyle name="20% - Accent3 2 25 2 2 2" xfId="11621"/>
    <cellStyle name="20% - Accent3 2 25 2 2 3" xfId="11622"/>
    <cellStyle name="20% - Accent3 2 25 2 3" xfId="11623"/>
    <cellStyle name="20% - Accent3 2 25 2 3 2" xfId="11624"/>
    <cellStyle name="20% - Accent3 2 25 2 4" xfId="11625"/>
    <cellStyle name="20% - Accent3 2 25 2 5" xfId="11626"/>
    <cellStyle name="20% - Accent3 2 25 3" xfId="11627"/>
    <cellStyle name="20% - Accent3 2 25 3 2" xfId="11628"/>
    <cellStyle name="20% - Accent3 2 25 3 2 2" xfId="11629"/>
    <cellStyle name="20% - Accent3 2 25 3 3" xfId="11630"/>
    <cellStyle name="20% - Accent3 2 25 3 4" xfId="11631"/>
    <cellStyle name="20% - Accent3 2 25 4" xfId="11632"/>
    <cellStyle name="20% - Accent3 2 25 4 2" xfId="11633"/>
    <cellStyle name="20% - Accent3 2 25 4 2 2" xfId="11634"/>
    <cellStyle name="20% - Accent3 2 25 4 3" xfId="11635"/>
    <cellStyle name="20% - Accent3 2 25 4 4" xfId="11636"/>
    <cellStyle name="20% - Accent3 2 25 5" xfId="11637"/>
    <cellStyle name="20% - Accent3 2 25 5 2" xfId="11638"/>
    <cellStyle name="20% - Accent3 2 25 6" xfId="11639"/>
    <cellStyle name="20% - Accent3 2 25 7" xfId="11640"/>
    <cellStyle name="20% - Accent3 2 25 8" xfId="11641"/>
    <cellStyle name="20% - Accent3 2 26" xfId="11642"/>
    <cellStyle name="20% - Accent3 2 26 2" xfId="11643"/>
    <cellStyle name="20% - Accent3 2 26 2 2" xfId="11644"/>
    <cellStyle name="20% - Accent3 2 26 2 2 2" xfId="11645"/>
    <cellStyle name="20% - Accent3 2 26 2 2 3" xfId="11646"/>
    <cellStyle name="20% - Accent3 2 26 2 3" xfId="11647"/>
    <cellStyle name="20% - Accent3 2 26 2 3 2" xfId="11648"/>
    <cellStyle name="20% - Accent3 2 26 2 4" xfId="11649"/>
    <cellStyle name="20% - Accent3 2 26 2 5" xfId="11650"/>
    <cellStyle name="20% - Accent3 2 26 3" xfId="11651"/>
    <cellStyle name="20% - Accent3 2 26 3 2" xfId="11652"/>
    <cellStyle name="20% - Accent3 2 26 3 2 2" xfId="11653"/>
    <cellStyle name="20% - Accent3 2 26 3 3" xfId="11654"/>
    <cellStyle name="20% - Accent3 2 26 3 4" xfId="11655"/>
    <cellStyle name="20% - Accent3 2 26 4" xfId="11656"/>
    <cellStyle name="20% - Accent3 2 26 4 2" xfId="11657"/>
    <cellStyle name="20% - Accent3 2 26 4 2 2" xfId="11658"/>
    <cellStyle name="20% - Accent3 2 26 4 3" xfId="11659"/>
    <cellStyle name="20% - Accent3 2 26 4 4" xfId="11660"/>
    <cellStyle name="20% - Accent3 2 26 5" xfId="11661"/>
    <cellStyle name="20% - Accent3 2 26 5 2" xfId="11662"/>
    <cellStyle name="20% - Accent3 2 26 6" xfId="11663"/>
    <cellStyle name="20% - Accent3 2 26 7" xfId="11664"/>
    <cellStyle name="20% - Accent3 2 26 8" xfId="11665"/>
    <cellStyle name="20% - Accent3 2 27" xfId="11666"/>
    <cellStyle name="20% - Accent3 2 27 2" xfId="11667"/>
    <cellStyle name="20% - Accent3 2 27 2 2" xfId="11668"/>
    <cellStyle name="20% - Accent3 2 27 2 2 2" xfId="11669"/>
    <cellStyle name="20% - Accent3 2 27 2 2 3" xfId="11670"/>
    <cellStyle name="20% - Accent3 2 27 2 3" xfId="11671"/>
    <cellStyle name="20% - Accent3 2 27 2 3 2" xfId="11672"/>
    <cellStyle name="20% - Accent3 2 27 2 4" xfId="11673"/>
    <cellStyle name="20% - Accent3 2 27 2 5" xfId="11674"/>
    <cellStyle name="20% - Accent3 2 27 3" xfId="11675"/>
    <cellStyle name="20% - Accent3 2 27 3 2" xfId="11676"/>
    <cellStyle name="20% - Accent3 2 27 3 2 2" xfId="11677"/>
    <cellStyle name="20% - Accent3 2 27 3 3" xfId="11678"/>
    <cellStyle name="20% - Accent3 2 27 3 4" xfId="11679"/>
    <cellStyle name="20% - Accent3 2 27 4" xfId="11680"/>
    <cellStyle name="20% - Accent3 2 27 4 2" xfId="11681"/>
    <cellStyle name="20% - Accent3 2 27 4 2 2" xfId="11682"/>
    <cellStyle name="20% - Accent3 2 27 4 3" xfId="11683"/>
    <cellStyle name="20% - Accent3 2 27 4 4" xfId="11684"/>
    <cellStyle name="20% - Accent3 2 27 5" xfId="11685"/>
    <cellStyle name="20% - Accent3 2 27 5 2" xfId="11686"/>
    <cellStyle name="20% - Accent3 2 27 6" xfId="11687"/>
    <cellStyle name="20% - Accent3 2 27 7" xfId="11688"/>
    <cellStyle name="20% - Accent3 2 27 8" xfId="11689"/>
    <cellStyle name="20% - Accent3 2 28" xfId="11690"/>
    <cellStyle name="20% - Accent3 2 28 2" xfId="11691"/>
    <cellStyle name="20% - Accent3 2 28 2 2" xfId="11692"/>
    <cellStyle name="20% - Accent3 2 28 2 3" xfId="11693"/>
    <cellStyle name="20% - Accent3 2 28 3" xfId="11694"/>
    <cellStyle name="20% - Accent3 2 28 3 2" xfId="11695"/>
    <cellStyle name="20% - Accent3 2 28 4" xfId="11696"/>
    <cellStyle name="20% - Accent3 2 28 5" xfId="11697"/>
    <cellStyle name="20% - Accent3 2 29" xfId="11698"/>
    <cellStyle name="20% - Accent3 2 29 2" xfId="11699"/>
    <cellStyle name="20% - Accent3 2 29 2 2" xfId="11700"/>
    <cellStyle name="20% - Accent3 2 29 2 3" xfId="11701"/>
    <cellStyle name="20% - Accent3 2 29 3" xfId="11702"/>
    <cellStyle name="20% - Accent3 2 29 3 2" xfId="11703"/>
    <cellStyle name="20% - Accent3 2 29 4" xfId="11704"/>
    <cellStyle name="20% - Accent3 2 29 5" xfId="11705"/>
    <cellStyle name="20% - Accent3 2 3" xfId="224"/>
    <cellStyle name="20% - Accent3 2 3 10" xfId="11706"/>
    <cellStyle name="20% - Accent3 2 3 11" xfId="11707"/>
    <cellStyle name="20% - Accent3 2 3 12" xfId="11708"/>
    <cellStyle name="20% - Accent3 2 3 12 2" xfId="11709"/>
    <cellStyle name="20% - Accent3 2 3 2" xfId="225"/>
    <cellStyle name="20% - Accent3 2 3 2 2" xfId="226"/>
    <cellStyle name="20% - Accent3 2 3 2 2 2" xfId="227"/>
    <cellStyle name="20% - Accent3 2 3 2 3" xfId="228"/>
    <cellStyle name="20% - Accent3 2 3 3" xfId="229"/>
    <cellStyle name="20% - Accent3 2 3 3 2" xfId="230"/>
    <cellStyle name="20% - Accent3 2 3 3 2 2" xfId="11710"/>
    <cellStyle name="20% - Accent3 2 3 4" xfId="231"/>
    <cellStyle name="20% - Accent3 2 3 4 2" xfId="11711"/>
    <cellStyle name="20% - Accent3 2 3 4 2 2" xfId="11712"/>
    <cellStyle name="20% - Accent3 2 3 5" xfId="11713"/>
    <cellStyle name="20% - Accent3 2 3 5 2" xfId="11714"/>
    <cellStyle name="20% - Accent3 2 3 5 2 2" xfId="11715"/>
    <cellStyle name="20% - Accent3 2 3 6" xfId="11716"/>
    <cellStyle name="20% - Accent3 2 3 6 2" xfId="11717"/>
    <cellStyle name="20% - Accent3 2 3 6 3" xfId="11718"/>
    <cellStyle name="20% - Accent3 2 3 6 4" xfId="11719"/>
    <cellStyle name="20% - Accent3 2 3 6 4 2" xfId="11720"/>
    <cellStyle name="20% - Accent3 2 3 6_Elec Margin Analysis" xfId="11721"/>
    <cellStyle name="20% - Accent3 2 3 7" xfId="11722"/>
    <cellStyle name="20% - Accent3 2 3 7 2" xfId="11723"/>
    <cellStyle name="20% - Accent3 2 3 7 2 2" xfId="11724"/>
    <cellStyle name="20% - Accent3 2 3 8" xfId="11725"/>
    <cellStyle name="20% - Accent3 2 3 8 2" xfId="11726"/>
    <cellStyle name="20% - Accent3 2 3 8 2 2" xfId="11727"/>
    <cellStyle name="20% - Accent3 2 3 9" xfId="11728"/>
    <cellStyle name="20% - Accent3 2 3_2009 Actual" xfId="11729"/>
    <cellStyle name="20% - Accent3 2 30" xfId="11730"/>
    <cellStyle name="20% - Accent3 2 30 2" xfId="11731"/>
    <cellStyle name="20% - Accent3 2 30 2 2" xfId="11732"/>
    <cellStyle name="20% - Accent3 2 30 2 3" xfId="11733"/>
    <cellStyle name="20% - Accent3 2 30 3" xfId="11734"/>
    <cellStyle name="20% - Accent3 2 30 3 2" xfId="11735"/>
    <cellStyle name="20% - Accent3 2 30 4" xfId="11736"/>
    <cellStyle name="20% - Accent3 2 30 5" xfId="11737"/>
    <cellStyle name="20% - Accent3 2 31" xfId="11738"/>
    <cellStyle name="20% - Accent3 2 31 2" xfId="11739"/>
    <cellStyle name="20% - Accent3 2 31 2 2" xfId="11740"/>
    <cellStyle name="20% - Accent3 2 31 2 3" xfId="11741"/>
    <cellStyle name="20% - Accent3 2 31 3" xfId="11742"/>
    <cellStyle name="20% - Accent3 2 31 3 2" xfId="11743"/>
    <cellStyle name="20% - Accent3 2 31 4" xfId="11744"/>
    <cellStyle name="20% - Accent3 2 31 5" xfId="11745"/>
    <cellStyle name="20% - Accent3 2 32" xfId="11746"/>
    <cellStyle name="20% - Accent3 2 32 2" xfId="11747"/>
    <cellStyle name="20% - Accent3 2 32 2 2" xfId="11748"/>
    <cellStyle name="20% - Accent3 2 32 2 3" xfId="11749"/>
    <cellStyle name="20% - Accent3 2 32 3" xfId="11750"/>
    <cellStyle name="20% - Accent3 2 32 3 2" xfId="11751"/>
    <cellStyle name="20% - Accent3 2 32 4" xfId="11752"/>
    <cellStyle name="20% - Accent3 2 32 5" xfId="11753"/>
    <cellStyle name="20% - Accent3 2 33" xfId="11754"/>
    <cellStyle name="20% - Accent3 2 33 2" xfId="11755"/>
    <cellStyle name="20% - Accent3 2 33 2 2" xfId="11756"/>
    <cellStyle name="20% - Accent3 2 33 2 3" xfId="11757"/>
    <cellStyle name="20% - Accent3 2 33 3" xfId="11758"/>
    <cellStyle name="20% - Accent3 2 33 3 2" xfId="11759"/>
    <cellStyle name="20% - Accent3 2 33 4" xfId="11760"/>
    <cellStyle name="20% - Accent3 2 33 5" xfId="11761"/>
    <cellStyle name="20% - Accent3 2 34" xfId="11762"/>
    <cellStyle name="20% - Accent3 2 34 2" xfId="11763"/>
    <cellStyle name="20% - Accent3 2 34 2 2" xfId="11764"/>
    <cellStyle name="20% - Accent3 2 34 2 3" xfId="11765"/>
    <cellStyle name="20% - Accent3 2 34 3" xfId="11766"/>
    <cellStyle name="20% - Accent3 2 34 3 2" xfId="11767"/>
    <cellStyle name="20% - Accent3 2 34 4" xfId="11768"/>
    <cellStyle name="20% - Accent3 2 34 5" xfId="11769"/>
    <cellStyle name="20% - Accent3 2 35" xfId="11770"/>
    <cellStyle name="20% - Accent3 2 35 2" xfId="11771"/>
    <cellStyle name="20% - Accent3 2 35 2 2" xfId="11772"/>
    <cellStyle name="20% - Accent3 2 35 2 3" xfId="11773"/>
    <cellStyle name="20% - Accent3 2 35 3" xfId="11774"/>
    <cellStyle name="20% - Accent3 2 35 3 2" xfId="11775"/>
    <cellStyle name="20% - Accent3 2 35 4" xfId="11776"/>
    <cellStyle name="20% - Accent3 2 35 5" xfId="11777"/>
    <cellStyle name="20% - Accent3 2 36" xfId="11778"/>
    <cellStyle name="20% - Accent3 2 36 2" xfId="11779"/>
    <cellStyle name="20% - Accent3 2 36 2 2" xfId="11780"/>
    <cellStyle name="20% - Accent3 2 36 2 3" xfId="11781"/>
    <cellStyle name="20% - Accent3 2 36 3" xfId="11782"/>
    <cellStyle name="20% - Accent3 2 36 3 2" xfId="11783"/>
    <cellStyle name="20% - Accent3 2 36 4" xfId="11784"/>
    <cellStyle name="20% - Accent3 2 36 5" xfId="11785"/>
    <cellStyle name="20% - Accent3 2 37" xfId="11786"/>
    <cellStyle name="20% - Accent3 2 37 2" xfId="11787"/>
    <cellStyle name="20% - Accent3 2 37 2 2" xfId="11788"/>
    <cellStyle name="20% - Accent3 2 37 2 3" xfId="11789"/>
    <cellStyle name="20% - Accent3 2 37 3" xfId="11790"/>
    <cellStyle name="20% - Accent3 2 37 3 2" xfId="11791"/>
    <cellStyle name="20% - Accent3 2 37 4" xfId="11792"/>
    <cellStyle name="20% - Accent3 2 37 5" xfId="11793"/>
    <cellStyle name="20% - Accent3 2 38" xfId="11794"/>
    <cellStyle name="20% - Accent3 2 38 2" xfId="11795"/>
    <cellStyle name="20% - Accent3 2 38 2 2" xfId="11796"/>
    <cellStyle name="20% - Accent3 2 38 2 3" xfId="11797"/>
    <cellStyle name="20% - Accent3 2 38 3" xfId="11798"/>
    <cellStyle name="20% - Accent3 2 38 3 2" xfId="11799"/>
    <cellStyle name="20% - Accent3 2 38 4" xfId="11800"/>
    <cellStyle name="20% - Accent3 2 38 5" xfId="11801"/>
    <cellStyle name="20% - Accent3 2 39" xfId="11802"/>
    <cellStyle name="20% - Accent3 2 39 2" xfId="11803"/>
    <cellStyle name="20% - Accent3 2 39 2 2" xfId="11804"/>
    <cellStyle name="20% - Accent3 2 39 2 3" xfId="11805"/>
    <cellStyle name="20% - Accent3 2 39 3" xfId="11806"/>
    <cellStyle name="20% - Accent3 2 39 3 2" xfId="11807"/>
    <cellStyle name="20% - Accent3 2 39 4" xfId="11808"/>
    <cellStyle name="20% - Accent3 2 39 5" xfId="11809"/>
    <cellStyle name="20% - Accent3 2 4" xfId="232"/>
    <cellStyle name="20% - Accent3 2 4 2" xfId="233"/>
    <cellStyle name="20% - Accent3 2 4 2 2" xfId="234"/>
    <cellStyle name="20% - Accent3 2 4 3" xfId="235"/>
    <cellStyle name="20% - Accent3 2 4 4" xfId="11810"/>
    <cellStyle name="20% - Accent3 2 4 5" xfId="11811"/>
    <cellStyle name="20% - Accent3 2 4 6" xfId="11812"/>
    <cellStyle name="20% - Accent3 2 4 7" xfId="11813"/>
    <cellStyle name="20% - Accent3 2 4 8" xfId="11814"/>
    <cellStyle name="20% - Accent3 2 4 8 2" xfId="11815"/>
    <cellStyle name="20% - Accent3 2 4_2009 Actual" xfId="11816"/>
    <cellStyle name="20% - Accent3 2 40" xfId="11817"/>
    <cellStyle name="20% - Accent3 2 40 2" xfId="11818"/>
    <cellStyle name="20% - Accent3 2 40 2 2" xfId="11819"/>
    <cellStyle name="20% - Accent3 2 40 2 3" xfId="11820"/>
    <cellStyle name="20% - Accent3 2 40 3" xfId="11821"/>
    <cellStyle name="20% - Accent3 2 40 3 2" xfId="11822"/>
    <cellStyle name="20% - Accent3 2 40 4" xfId="11823"/>
    <cellStyle name="20% - Accent3 2 40 5" xfId="11824"/>
    <cellStyle name="20% - Accent3 2 41" xfId="11825"/>
    <cellStyle name="20% - Accent3 2 41 2" xfId="11826"/>
    <cellStyle name="20% - Accent3 2 41 2 2" xfId="11827"/>
    <cellStyle name="20% - Accent3 2 41 2 3" xfId="11828"/>
    <cellStyle name="20% - Accent3 2 41 3" xfId="11829"/>
    <cellStyle name="20% - Accent3 2 41 3 2" xfId="11830"/>
    <cellStyle name="20% - Accent3 2 41 4" xfId="11831"/>
    <cellStyle name="20% - Accent3 2 41 5" xfId="11832"/>
    <cellStyle name="20% - Accent3 2 42" xfId="11833"/>
    <cellStyle name="20% - Accent3 2 42 2" xfId="11834"/>
    <cellStyle name="20% - Accent3 2 42 2 2" xfId="11835"/>
    <cellStyle name="20% - Accent3 2 42 2 3" xfId="11836"/>
    <cellStyle name="20% - Accent3 2 42 3" xfId="11837"/>
    <cellStyle name="20% - Accent3 2 42 3 2" xfId="11838"/>
    <cellStyle name="20% - Accent3 2 42 4" xfId="11839"/>
    <cellStyle name="20% - Accent3 2 42 5" xfId="11840"/>
    <cellStyle name="20% - Accent3 2 43" xfId="11841"/>
    <cellStyle name="20% - Accent3 2 43 2" xfId="11842"/>
    <cellStyle name="20% - Accent3 2 43 2 2" xfId="11843"/>
    <cellStyle name="20% - Accent3 2 43 2 3" xfId="11844"/>
    <cellStyle name="20% - Accent3 2 43 3" xfId="11845"/>
    <cellStyle name="20% - Accent3 2 43 3 2" xfId="11846"/>
    <cellStyle name="20% - Accent3 2 43 4" xfId="11847"/>
    <cellStyle name="20% - Accent3 2 43 5" xfId="11848"/>
    <cellStyle name="20% - Accent3 2 44" xfId="11849"/>
    <cellStyle name="20% - Accent3 2 44 2" xfId="11850"/>
    <cellStyle name="20% - Accent3 2 44 2 2" xfId="11851"/>
    <cellStyle name="20% - Accent3 2 44 2 3" xfId="11852"/>
    <cellStyle name="20% - Accent3 2 44 3" xfId="11853"/>
    <cellStyle name="20% - Accent3 2 44 3 2" xfId="11854"/>
    <cellStyle name="20% - Accent3 2 44 4" xfId="11855"/>
    <cellStyle name="20% - Accent3 2 44 5" xfId="11856"/>
    <cellStyle name="20% - Accent3 2 45" xfId="11857"/>
    <cellStyle name="20% - Accent3 2 45 2" xfId="11858"/>
    <cellStyle name="20% - Accent3 2 45 2 2" xfId="11859"/>
    <cellStyle name="20% - Accent3 2 45 2 3" xfId="11860"/>
    <cellStyle name="20% - Accent3 2 45 3" xfId="11861"/>
    <cellStyle name="20% - Accent3 2 45 3 2" xfId="11862"/>
    <cellStyle name="20% - Accent3 2 45 4" xfId="11863"/>
    <cellStyle name="20% - Accent3 2 45 5" xfId="11864"/>
    <cellStyle name="20% - Accent3 2 46" xfId="11865"/>
    <cellStyle name="20% - Accent3 2 46 2" xfId="11866"/>
    <cellStyle name="20% - Accent3 2 46 2 2" xfId="11867"/>
    <cellStyle name="20% - Accent3 2 46 2 3" xfId="11868"/>
    <cellStyle name="20% - Accent3 2 46 3" xfId="11869"/>
    <cellStyle name="20% - Accent3 2 46 3 2" xfId="11870"/>
    <cellStyle name="20% - Accent3 2 46 4" xfId="11871"/>
    <cellStyle name="20% - Accent3 2 46 5" xfId="11872"/>
    <cellStyle name="20% - Accent3 2 47" xfId="11873"/>
    <cellStyle name="20% - Accent3 2 47 2" xfId="11874"/>
    <cellStyle name="20% - Accent3 2 47 2 2" xfId="11875"/>
    <cellStyle name="20% - Accent3 2 47 2 3" xfId="11876"/>
    <cellStyle name="20% - Accent3 2 47 3" xfId="11877"/>
    <cellStyle name="20% - Accent3 2 47 3 2" xfId="11878"/>
    <cellStyle name="20% - Accent3 2 47 4" xfId="11879"/>
    <cellStyle name="20% - Accent3 2 47 5" xfId="11880"/>
    <cellStyle name="20% - Accent3 2 48" xfId="11881"/>
    <cellStyle name="20% - Accent3 2 48 2" xfId="11882"/>
    <cellStyle name="20% - Accent3 2 48 2 2" xfId="11883"/>
    <cellStyle name="20% - Accent3 2 48 2 3" xfId="11884"/>
    <cellStyle name="20% - Accent3 2 48 3" xfId="11885"/>
    <cellStyle name="20% - Accent3 2 48 3 2" xfId="11886"/>
    <cellStyle name="20% - Accent3 2 48 4" xfId="11887"/>
    <cellStyle name="20% - Accent3 2 48 5" xfId="11888"/>
    <cellStyle name="20% - Accent3 2 49" xfId="11889"/>
    <cellStyle name="20% - Accent3 2 49 2" xfId="11890"/>
    <cellStyle name="20% - Accent3 2 49 2 2" xfId="11891"/>
    <cellStyle name="20% - Accent3 2 49 2 3" xfId="11892"/>
    <cellStyle name="20% - Accent3 2 49 3" xfId="11893"/>
    <cellStyle name="20% - Accent3 2 49 3 2" xfId="11894"/>
    <cellStyle name="20% - Accent3 2 49 4" xfId="11895"/>
    <cellStyle name="20% - Accent3 2 49 5" xfId="11896"/>
    <cellStyle name="20% - Accent3 2 5" xfId="236"/>
    <cellStyle name="20% - Accent3 2 5 2" xfId="237"/>
    <cellStyle name="20% - Accent3 2 5 3" xfId="11897"/>
    <cellStyle name="20% - Accent3 2 5 4" xfId="11898"/>
    <cellStyle name="20% - Accent3 2 5 5" xfId="11899"/>
    <cellStyle name="20% - Accent3 2 5 6" xfId="11900"/>
    <cellStyle name="20% - Accent3 2 5 7" xfId="11901"/>
    <cellStyle name="20% - Accent3 2 5 8" xfId="11902"/>
    <cellStyle name="20% - Accent3 2 5 8 2" xfId="11903"/>
    <cellStyle name="20% - Accent3 2 5_2009 Actual" xfId="11904"/>
    <cellStyle name="20% - Accent3 2 50" xfId="11905"/>
    <cellStyle name="20% - Accent3 2 50 2" xfId="11906"/>
    <cellStyle name="20% - Accent3 2 50 2 2" xfId="11907"/>
    <cellStyle name="20% - Accent3 2 50 2 3" xfId="11908"/>
    <cellStyle name="20% - Accent3 2 50 3" xfId="11909"/>
    <cellStyle name="20% - Accent3 2 50 3 2" xfId="11910"/>
    <cellStyle name="20% - Accent3 2 50 4" xfId="11911"/>
    <cellStyle name="20% - Accent3 2 50 5" xfId="11912"/>
    <cellStyle name="20% - Accent3 2 51" xfId="11913"/>
    <cellStyle name="20% - Accent3 2 51 2" xfId="11914"/>
    <cellStyle name="20% - Accent3 2 51 2 2" xfId="11915"/>
    <cellStyle name="20% - Accent3 2 51 2 3" xfId="11916"/>
    <cellStyle name="20% - Accent3 2 51 3" xfId="11917"/>
    <cellStyle name="20% - Accent3 2 51 3 2" xfId="11918"/>
    <cellStyle name="20% - Accent3 2 51 4" xfId="11919"/>
    <cellStyle name="20% - Accent3 2 51 5" xfId="11920"/>
    <cellStyle name="20% - Accent3 2 52" xfId="11921"/>
    <cellStyle name="20% - Accent3 2 52 2" xfId="11922"/>
    <cellStyle name="20% - Accent3 2 52 2 2" xfId="11923"/>
    <cellStyle name="20% - Accent3 2 52 2 3" xfId="11924"/>
    <cellStyle name="20% - Accent3 2 52 3" xfId="11925"/>
    <cellStyle name="20% - Accent3 2 52 3 2" xfId="11926"/>
    <cellStyle name="20% - Accent3 2 52 4" xfId="11927"/>
    <cellStyle name="20% - Accent3 2 52 5" xfId="11928"/>
    <cellStyle name="20% - Accent3 2 53" xfId="11929"/>
    <cellStyle name="20% - Accent3 2 53 2" xfId="11930"/>
    <cellStyle name="20% - Accent3 2 53 2 2" xfId="11931"/>
    <cellStyle name="20% - Accent3 2 53 2 3" xfId="11932"/>
    <cellStyle name="20% - Accent3 2 53 3" xfId="11933"/>
    <cellStyle name="20% - Accent3 2 53 3 2" xfId="11934"/>
    <cellStyle name="20% - Accent3 2 53 4" xfId="11935"/>
    <cellStyle name="20% - Accent3 2 53 5" xfId="11936"/>
    <cellStyle name="20% - Accent3 2 54" xfId="11937"/>
    <cellStyle name="20% - Accent3 2 54 2" xfId="11938"/>
    <cellStyle name="20% - Accent3 2 54 2 2" xfId="11939"/>
    <cellStyle name="20% - Accent3 2 54 2 3" xfId="11940"/>
    <cellStyle name="20% - Accent3 2 54 3" xfId="11941"/>
    <cellStyle name="20% - Accent3 2 54 3 2" xfId="11942"/>
    <cellStyle name="20% - Accent3 2 54 4" xfId="11943"/>
    <cellStyle name="20% - Accent3 2 54 5" xfId="11944"/>
    <cellStyle name="20% - Accent3 2 55" xfId="11945"/>
    <cellStyle name="20% - Accent3 2 55 2" xfId="11946"/>
    <cellStyle name="20% - Accent3 2 55 2 2" xfId="11947"/>
    <cellStyle name="20% - Accent3 2 55 2 3" xfId="11948"/>
    <cellStyle name="20% - Accent3 2 55 3" xfId="11949"/>
    <cellStyle name="20% - Accent3 2 55 3 2" xfId="11950"/>
    <cellStyle name="20% - Accent3 2 55 4" xfId="11951"/>
    <cellStyle name="20% - Accent3 2 55 5" xfId="11952"/>
    <cellStyle name="20% - Accent3 2 56" xfId="11953"/>
    <cellStyle name="20% - Accent3 2 56 2" xfId="11954"/>
    <cellStyle name="20% - Accent3 2 56 2 2" xfId="11955"/>
    <cellStyle name="20% - Accent3 2 56 2 3" xfId="11956"/>
    <cellStyle name="20% - Accent3 2 56 3" xfId="11957"/>
    <cellStyle name="20% - Accent3 2 56 3 2" xfId="11958"/>
    <cellStyle name="20% - Accent3 2 56 4" xfId="11959"/>
    <cellStyle name="20% - Accent3 2 56 5" xfId="11960"/>
    <cellStyle name="20% - Accent3 2 57" xfId="11961"/>
    <cellStyle name="20% - Accent3 2 57 2" xfId="11962"/>
    <cellStyle name="20% - Accent3 2 57 2 2" xfId="11963"/>
    <cellStyle name="20% - Accent3 2 57 2 3" xfId="11964"/>
    <cellStyle name="20% - Accent3 2 57 3" xfId="11965"/>
    <cellStyle name="20% - Accent3 2 57 3 2" xfId="11966"/>
    <cellStyle name="20% - Accent3 2 57 4" xfId="11967"/>
    <cellStyle name="20% - Accent3 2 57 5" xfId="11968"/>
    <cellStyle name="20% - Accent3 2 58" xfId="11969"/>
    <cellStyle name="20% - Accent3 2 58 2" xfId="11970"/>
    <cellStyle name="20% - Accent3 2 58 2 2" xfId="11971"/>
    <cellStyle name="20% - Accent3 2 58 2 3" xfId="11972"/>
    <cellStyle name="20% - Accent3 2 58 3" xfId="11973"/>
    <cellStyle name="20% - Accent3 2 58 3 2" xfId="11974"/>
    <cellStyle name="20% - Accent3 2 58 4" xfId="11975"/>
    <cellStyle name="20% - Accent3 2 58 5" xfId="11976"/>
    <cellStyle name="20% - Accent3 2 59" xfId="11977"/>
    <cellStyle name="20% - Accent3 2 59 2" xfId="11978"/>
    <cellStyle name="20% - Accent3 2 59 2 2" xfId="11979"/>
    <cellStyle name="20% - Accent3 2 59 2 3" xfId="11980"/>
    <cellStyle name="20% - Accent3 2 59 3" xfId="11981"/>
    <cellStyle name="20% - Accent3 2 59 3 2" xfId="11982"/>
    <cellStyle name="20% - Accent3 2 59 4" xfId="11983"/>
    <cellStyle name="20% - Accent3 2 59 5" xfId="11984"/>
    <cellStyle name="20% - Accent3 2 6" xfId="238"/>
    <cellStyle name="20% - Accent3 2 6 2" xfId="11985"/>
    <cellStyle name="20% - Accent3 2 6 3" xfId="11986"/>
    <cellStyle name="20% - Accent3 2 6 4" xfId="11987"/>
    <cellStyle name="20% - Accent3 2 6 5" xfId="11988"/>
    <cellStyle name="20% - Accent3 2 6 6" xfId="11989"/>
    <cellStyle name="20% - Accent3 2 6 7" xfId="11990"/>
    <cellStyle name="20% - Accent3 2 6 8" xfId="11991"/>
    <cellStyle name="20% - Accent3 2 6 8 2" xfId="11992"/>
    <cellStyle name="20% - Accent3 2 6_2009 Actual" xfId="11993"/>
    <cellStyle name="20% - Accent3 2 60" xfId="11994"/>
    <cellStyle name="20% - Accent3 2 60 2" xfId="11995"/>
    <cellStyle name="20% - Accent3 2 60 2 2" xfId="11996"/>
    <cellStyle name="20% - Accent3 2 60 2 3" xfId="11997"/>
    <cellStyle name="20% - Accent3 2 60 3" xfId="11998"/>
    <cellStyle name="20% - Accent3 2 60 3 2" xfId="11999"/>
    <cellStyle name="20% - Accent3 2 60 4" xfId="12000"/>
    <cellStyle name="20% - Accent3 2 60 5" xfId="12001"/>
    <cellStyle name="20% - Accent3 2 61" xfId="12002"/>
    <cellStyle name="20% - Accent3 2 61 2" xfId="12003"/>
    <cellStyle name="20% - Accent3 2 61 2 2" xfId="12004"/>
    <cellStyle name="20% - Accent3 2 61 2 3" xfId="12005"/>
    <cellStyle name="20% - Accent3 2 61 3" xfId="12006"/>
    <cellStyle name="20% - Accent3 2 61 3 2" xfId="12007"/>
    <cellStyle name="20% - Accent3 2 61 4" xfId="12008"/>
    <cellStyle name="20% - Accent3 2 61 5" xfId="12009"/>
    <cellStyle name="20% - Accent3 2 62" xfId="12010"/>
    <cellStyle name="20% - Accent3 2 62 2" xfId="12011"/>
    <cellStyle name="20% - Accent3 2 62 2 2" xfId="12012"/>
    <cellStyle name="20% - Accent3 2 62 2 3" xfId="12013"/>
    <cellStyle name="20% - Accent3 2 62 3" xfId="12014"/>
    <cellStyle name="20% - Accent3 2 62 3 2" xfId="12015"/>
    <cellStyle name="20% - Accent3 2 62 4" xfId="12016"/>
    <cellStyle name="20% - Accent3 2 62 5" xfId="12017"/>
    <cellStyle name="20% - Accent3 2 63" xfId="12018"/>
    <cellStyle name="20% - Accent3 2 63 2" xfId="12019"/>
    <cellStyle name="20% - Accent3 2 63 2 2" xfId="12020"/>
    <cellStyle name="20% - Accent3 2 63 2 3" xfId="12021"/>
    <cellStyle name="20% - Accent3 2 63 3" xfId="12022"/>
    <cellStyle name="20% - Accent3 2 63 3 2" xfId="12023"/>
    <cellStyle name="20% - Accent3 2 63 4" xfId="12024"/>
    <cellStyle name="20% - Accent3 2 63 5" xfId="12025"/>
    <cellStyle name="20% - Accent3 2 64" xfId="12026"/>
    <cellStyle name="20% - Accent3 2 64 2" xfId="12027"/>
    <cellStyle name="20% - Accent3 2 64 2 2" xfId="12028"/>
    <cellStyle name="20% - Accent3 2 64 2 3" xfId="12029"/>
    <cellStyle name="20% - Accent3 2 64 3" xfId="12030"/>
    <cellStyle name="20% - Accent3 2 64 3 2" xfId="12031"/>
    <cellStyle name="20% - Accent3 2 64 4" xfId="12032"/>
    <cellStyle name="20% - Accent3 2 64 5" xfId="12033"/>
    <cellStyle name="20% - Accent3 2 65" xfId="12034"/>
    <cellStyle name="20% - Accent3 2 65 2" xfId="12035"/>
    <cellStyle name="20% - Accent3 2 65 2 2" xfId="12036"/>
    <cellStyle name="20% - Accent3 2 65 2 3" xfId="12037"/>
    <cellStyle name="20% - Accent3 2 65 3" xfId="12038"/>
    <cellStyle name="20% - Accent3 2 65 3 2" xfId="12039"/>
    <cellStyle name="20% - Accent3 2 65 4" xfId="12040"/>
    <cellStyle name="20% - Accent3 2 65 5" xfId="12041"/>
    <cellStyle name="20% - Accent3 2 66" xfId="12042"/>
    <cellStyle name="20% - Accent3 2 66 2" xfId="12043"/>
    <cellStyle name="20% - Accent3 2 66 2 2" xfId="12044"/>
    <cellStyle name="20% - Accent3 2 66 2 3" xfId="12045"/>
    <cellStyle name="20% - Accent3 2 66 3" xfId="12046"/>
    <cellStyle name="20% - Accent3 2 66 3 2" xfId="12047"/>
    <cellStyle name="20% - Accent3 2 66 4" xfId="12048"/>
    <cellStyle name="20% - Accent3 2 66 5" xfId="12049"/>
    <cellStyle name="20% - Accent3 2 67" xfId="12050"/>
    <cellStyle name="20% - Accent3 2 67 2" xfId="12051"/>
    <cellStyle name="20% - Accent3 2 67 2 2" xfId="12052"/>
    <cellStyle name="20% - Accent3 2 67 2 3" xfId="12053"/>
    <cellStyle name="20% - Accent3 2 67 3" xfId="12054"/>
    <cellStyle name="20% - Accent3 2 67 3 2" xfId="12055"/>
    <cellStyle name="20% - Accent3 2 67 4" xfId="12056"/>
    <cellStyle name="20% - Accent3 2 67 5" xfId="12057"/>
    <cellStyle name="20% - Accent3 2 68" xfId="12058"/>
    <cellStyle name="20% - Accent3 2 68 2" xfId="12059"/>
    <cellStyle name="20% - Accent3 2 68 2 2" xfId="12060"/>
    <cellStyle name="20% - Accent3 2 68 2 3" xfId="12061"/>
    <cellStyle name="20% - Accent3 2 68 3" xfId="12062"/>
    <cellStyle name="20% - Accent3 2 68 3 2" xfId="12063"/>
    <cellStyle name="20% - Accent3 2 68 4" xfId="12064"/>
    <cellStyle name="20% - Accent3 2 68 5" xfId="12065"/>
    <cellStyle name="20% - Accent3 2 69" xfId="12066"/>
    <cellStyle name="20% - Accent3 2 69 2" xfId="12067"/>
    <cellStyle name="20% - Accent3 2 69 2 2" xfId="12068"/>
    <cellStyle name="20% - Accent3 2 69 2 3" xfId="12069"/>
    <cellStyle name="20% - Accent3 2 69 3" xfId="12070"/>
    <cellStyle name="20% - Accent3 2 69 3 2" xfId="12071"/>
    <cellStyle name="20% - Accent3 2 69 4" xfId="12072"/>
    <cellStyle name="20% - Accent3 2 69 5" xfId="12073"/>
    <cellStyle name="20% - Accent3 2 7" xfId="12074"/>
    <cellStyle name="20% - Accent3 2 7 2" xfId="12075"/>
    <cellStyle name="20% - Accent3 2 7 3" xfId="12076"/>
    <cellStyle name="20% - Accent3 2 7 4" xfId="12077"/>
    <cellStyle name="20% - Accent3 2 7 5" xfId="12078"/>
    <cellStyle name="20% - Accent3 2 7 5 2" xfId="12079"/>
    <cellStyle name="20% - Accent3 2 7_BHP" xfId="12080"/>
    <cellStyle name="20% - Accent3 2 70" xfId="12081"/>
    <cellStyle name="20% - Accent3 2 70 2" xfId="12082"/>
    <cellStyle name="20% - Accent3 2 70 2 2" xfId="12083"/>
    <cellStyle name="20% - Accent3 2 70 2 3" xfId="12084"/>
    <cellStyle name="20% - Accent3 2 70 3" xfId="12085"/>
    <cellStyle name="20% - Accent3 2 70 3 2" xfId="12086"/>
    <cellStyle name="20% - Accent3 2 70 4" xfId="12087"/>
    <cellStyle name="20% - Accent3 2 70 5" xfId="12088"/>
    <cellStyle name="20% - Accent3 2 71" xfId="12089"/>
    <cellStyle name="20% - Accent3 2 71 2" xfId="12090"/>
    <cellStyle name="20% - Accent3 2 71 2 2" xfId="12091"/>
    <cellStyle name="20% - Accent3 2 71 2 3" xfId="12092"/>
    <cellStyle name="20% - Accent3 2 71 3" xfId="12093"/>
    <cellStyle name="20% - Accent3 2 71 3 2" xfId="12094"/>
    <cellStyle name="20% - Accent3 2 71 4" xfId="12095"/>
    <cellStyle name="20% - Accent3 2 71 5" xfId="12096"/>
    <cellStyle name="20% - Accent3 2 72" xfId="12097"/>
    <cellStyle name="20% - Accent3 2 72 2" xfId="12098"/>
    <cellStyle name="20% - Accent3 2 72 2 2" xfId="12099"/>
    <cellStyle name="20% - Accent3 2 72 2 3" xfId="12100"/>
    <cellStyle name="20% - Accent3 2 72 3" xfId="12101"/>
    <cellStyle name="20% - Accent3 2 72 3 2" xfId="12102"/>
    <cellStyle name="20% - Accent3 2 72 4" xfId="12103"/>
    <cellStyle name="20% - Accent3 2 72 5" xfId="12104"/>
    <cellStyle name="20% - Accent3 2 73" xfId="12105"/>
    <cellStyle name="20% - Accent3 2 73 2" xfId="12106"/>
    <cellStyle name="20% - Accent3 2 73 2 2" xfId="12107"/>
    <cellStyle name="20% - Accent3 2 73 2 3" xfId="12108"/>
    <cellStyle name="20% - Accent3 2 73 3" xfId="12109"/>
    <cellStyle name="20% - Accent3 2 73 3 2" xfId="12110"/>
    <cellStyle name="20% - Accent3 2 73 4" xfId="12111"/>
    <cellStyle name="20% - Accent3 2 73 5" xfId="12112"/>
    <cellStyle name="20% - Accent3 2 74" xfId="12113"/>
    <cellStyle name="20% - Accent3 2 74 2" xfId="12114"/>
    <cellStyle name="20% - Accent3 2 74 2 2" xfId="12115"/>
    <cellStyle name="20% - Accent3 2 74 2 3" xfId="12116"/>
    <cellStyle name="20% - Accent3 2 74 3" xfId="12117"/>
    <cellStyle name="20% - Accent3 2 74 3 2" xfId="12118"/>
    <cellStyle name="20% - Accent3 2 74 4" xfId="12119"/>
    <cellStyle name="20% - Accent3 2 74 5" xfId="12120"/>
    <cellStyle name="20% - Accent3 2 75" xfId="12121"/>
    <cellStyle name="20% - Accent3 2 75 2" xfId="12122"/>
    <cellStyle name="20% - Accent3 2 75 2 2" xfId="12123"/>
    <cellStyle name="20% - Accent3 2 75 2 3" xfId="12124"/>
    <cellStyle name="20% - Accent3 2 75 3" xfId="12125"/>
    <cellStyle name="20% - Accent3 2 75 3 2" xfId="12126"/>
    <cellStyle name="20% - Accent3 2 75 4" xfId="12127"/>
    <cellStyle name="20% - Accent3 2 75 5" xfId="12128"/>
    <cellStyle name="20% - Accent3 2 76" xfId="12129"/>
    <cellStyle name="20% - Accent3 2 76 2" xfId="12130"/>
    <cellStyle name="20% - Accent3 2 76 2 2" xfId="12131"/>
    <cellStyle name="20% - Accent3 2 76 2 3" xfId="12132"/>
    <cellStyle name="20% - Accent3 2 76 3" xfId="12133"/>
    <cellStyle name="20% - Accent3 2 76 3 2" xfId="12134"/>
    <cellStyle name="20% - Accent3 2 76 4" xfId="12135"/>
    <cellStyle name="20% - Accent3 2 76 5" xfId="12136"/>
    <cellStyle name="20% - Accent3 2 77" xfId="12137"/>
    <cellStyle name="20% - Accent3 2 77 2" xfId="12138"/>
    <cellStyle name="20% - Accent3 2 77 2 2" xfId="12139"/>
    <cellStyle name="20% - Accent3 2 77 2 3" xfId="12140"/>
    <cellStyle name="20% - Accent3 2 77 3" xfId="12141"/>
    <cellStyle name="20% - Accent3 2 77 3 2" xfId="12142"/>
    <cellStyle name="20% - Accent3 2 77 4" xfId="12143"/>
    <cellStyle name="20% - Accent3 2 77 5" xfId="12144"/>
    <cellStyle name="20% - Accent3 2 78" xfId="12145"/>
    <cellStyle name="20% - Accent3 2 78 2" xfId="12146"/>
    <cellStyle name="20% - Accent3 2 78 2 2" xfId="12147"/>
    <cellStyle name="20% - Accent3 2 78 2 3" xfId="12148"/>
    <cellStyle name="20% - Accent3 2 78 3" xfId="12149"/>
    <cellStyle name="20% - Accent3 2 78 3 2" xfId="12150"/>
    <cellStyle name="20% - Accent3 2 78 4" xfId="12151"/>
    <cellStyle name="20% - Accent3 2 78 5" xfId="12152"/>
    <cellStyle name="20% - Accent3 2 79" xfId="12153"/>
    <cellStyle name="20% - Accent3 2 79 2" xfId="12154"/>
    <cellStyle name="20% - Accent3 2 79 2 2" xfId="12155"/>
    <cellStyle name="20% - Accent3 2 79 2 3" xfId="12156"/>
    <cellStyle name="20% - Accent3 2 79 3" xfId="12157"/>
    <cellStyle name="20% - Accent3 2 79 3 2" xfId="12158"/>
    <cellStyle name="20% - Accent3 2 79 4" xfId="12159"/>
    <cellStyle name="20% - Accent3 2 79 5" xfId="12160"/>
    <cellStyle name="20% - Accent3 2 8" xfId="12161"/>
    <cellStyle name="20% - Accent3 2 8 2" xfId="12162"/>
    <cellStyle name="20% - Accent3 2 8 3" xfId="12163"/>
    <cellStyle name="20% - Accent3 2 8 4" xfId="12164"/>
    <cellStyle name="20% - Accent3 2 8 5" xfId="12165"/>
    <cellStyle name="20% - Accent3 2 8 5 2" xfId="12166"/>
    <cellStyle name="20% - Accent3 2 8_BHP" xfId="12167"/>
    <cellStyle name="20% - Accent3 2 80" xfId="12168"/>
    <cellStyle name="20% - Accent3 2 80 2" xfId="12169"/>
    <cellStyle name="20% - Accent3 2 80 2 2" xfId="12170"/>
    <cellStyle name="20% - Accent3 2 80 2 3" xfId="12171"/>
    <cellStyle name="20% - Accent3 2 80 3" xfId="12172"/>
    <cellStyle name="20% - Accent3 2 80 3 2" xfId="12173"/>
    <cellStyle name="20% - Accent3 2 80 4" xfId="12174"/>
    <cellStyle name="20% - Accent3 2 80 5" xfId="12175"/>
    <cellStyle name="20% - Accent3 2 81" xfId="12176"/>
    <cellStyle name="20% - Accent3 2 81 2" xfId="12177"/>
    <cellStyle name="20% - Accent3 2 81 2 2" xfId="12178"/>
    <cellStyle name="20% - Accent3 2 81 2 3" xfId="12179"/>
    <cellStyle name="20% - Accent3 2 81 3" xfId="12180"/>
    <cellStyle name="20% - Accent3 2 81 3 2" xfId="12181"/>
    <cellStyle name="20% - Accent3 2 81 4" xfId="12182"/>
    <cellStyle name="20% - Accent3 2 81 5" xfId="12183"/>
    <cellStyle name="20% - Accent3 2 82" xfId="12184"/>
    <cellStyle name="20% - Accent3 2 82 2" xfId="12185"/>
    <cellStyle name="20% - Accent3 2 82 2 2" xfId="12186"/>
    <cellStyle name="20% - Accent3 2 82 2 3" xfId="12187"/>
    <cellStyle name="20% - Accent3 2 82 3" xfId="12188"/>
    <cellStyle name="20% - Accent3 2 82 3 2" xfId="12189"/>
    <cellStyle name="20% - Accent3 2 82 4" xfId="12190"/>
    <cellStyle name="20% - Accent3 2 82 5" xfId="12191"/>
    <cellStyle name="20% - Accent3 2 83" xfId="12192"/>
    <cellStyle name="20% - Accent3 2 83 2" xfId="12193"/>
    <cellStyle name="20% - Accent3 2 83 2 2" xfId="12194"/>
    <cellStyle name="20% - Accent3 2 83 2 3" xfId="12195"/>
    <cellStyle name="20% - Accent3 2 83 3" xfId="12196"/>
    <cellStyle name="20% - Accent3 2 83 3 2" xfId="12197"/>
    <cellStyle name="20% - Accent3 2 83 4" xfId="12198"/>
    <cellStyle name="20% - Accent3 2 83 5" xfId="12199"/>
    <cellStyle name="20% - Accent3 2 84" xfId="12200"/>
    <cellStyle name="20% - Accent3 2 84 2" xfId="12201"/>
    <cellStyle name="20% - Accent3 2 84 2 2" xfId="12202"/>
    <cellStyle name="20% - Accent3 2 84 2 3" xfId="12203"/>
    <cellStyle name="20% - Accent3 2 84 3" xfId="12204"/>
    <cellStyle name="20% - Accent3 2 84 3 2" xfId="12205"/>
    <cellStyle name="20% - Accent3 2 84 4" xfId="12206"/>
    <cellStyle name="20% - Accent3 2 84 5" xfId="12207"/>
    <cellStyle name="20% - Accent3 2 85" xfId="12208"/>
    <cellStyle name="20% - Accent3 2 85 2" xfId="12209"/>
    <cellStyle name="20% - Accent3 2 85 2 2" xfId="12210"/>
    <cellStyle name="20% - Accent3 2 85 2 3" xfId="12211"/>
    <cellStyle name="20% - Accent3 2 85 3" xfId="12212"/>
    <cellStyle name="20% - Accent3 2 85 3 2" xfId="12213"/>
    <cellStyle name="20% - Accent3 2 85 4" xfId="12214"/>
    <cellStyle name="20% - Accent3 2 85 5" xfId="12215"/>
    <cellStyle name="20% - Accent3 2 86" xfId="12216"/>
    <cellStyle name="20% - Accent3 2 86 2" xfId="12217"/>
    <cellStyle name="20% - Accent3 2 86 2 2" xfId="12218"/>
    <cellStyle name="20% - Accent3 2 86 2 3" xfId="12219"/>
    <cellStyle name="20% - Accent3 2 86 3" xfId="12220"/>
    <cellStyle name="20% - Accent3 2 86 3 2" xfId="12221"/>
    <cellStyle name="20% - Accent3 2 86 4" xfId="12222"/>
    <cellStyle name="20% - Accent3 2 86 5" xfId="12223"/>
    <cellStyle name="20% - Accent3 2 87" xfId="12224"/>
    <cellStyle name="20% - Accent3 2 87 2" xfId="12225"/>
    <cellStyle name="20% - Accent3 2 87 2 2" xfId="12226"/>
    <cellStyle name="20% - Accent3 2 87 2 3" xfId="12227"/>
    <cellStyle name="20% - Accent3 2 87 3" xfId="12228"/>
    <cellStyle name="20% - Accent3 2 87 3 2" xfId="12229"/>
    <cellStyle name="20% - Accent3 2 87 4" xfId="12230"/>
    <cellStyle name="20% - Accent3 2 87 5" xfId="12231"/>
    <cellStyle name="20% - Accent3 2 88" xfId="12232"/>
    <cellStyle name="20% - Accent3 2 88 2" xfId="12233"/>
    <cellStyle name="20% - Accent3 2 88 2 2" xfId="12234"/>
    <cellStyle name="20% - Accent3 2 88 2 3" xfId="12235"/>
    <cellStyle name="20% - Accent3 2 88 3" xfId="12236"/>
    <cellStyle name="20% - Accent3 2 88 3 2" xfId="12237"/>
    <cellStyle name="20% - Accent3 2 88 4" xfId="12238"/>
    <cellStyle name="20% - Accent3 2 88 5" xfId="12239"/>
    <cellStyle name="20% - Accent3 2 89" xfId="12240"/>
    <cellStyle name="20% - Accent3 2 89 2" xfId="12241"/>
    <cellStyle name="20% - Accent3 2 89 2 2" xfId="12242"/>
    <cellStyle name="20% - Accent3 2 89 2 3" xfId="12243"/>
    <cellStyle name="20% - Accent3 2 89 3" xfId="12244"/>
    <cellStyle name="20% - Accent3 2 89 3 2" xfId="12245"/>
    <cellStyle name="20% - Accent3 2 89 4" xfId="12246"/>
    <cellStyle name="20% - Accent3 2 89 5" xfId="12247"/>
    <cellStyle name="20% - Accent3 2 9" xfId="12248"/>
    <cellStyle name="20% - Accent3 2 9 2" xfId="12249"/>
    <cellStyle name="20% - Accent3 2 9 3" xfId="12250"/>
    <cellStyle name="20% - Accent3 2 9 4" xfId="12251"/>
    <cellStyle name="20% - Accent3 2 9 5" xfId="12252"/>
    <cellStyle name="20% - Accent3 2 9 5 2" xfId="12253"/>
    <cellStyle name="20% - Accent3 2 9_BHP" xfId="12254"/>
    <cellStyle name="20% - Accent3 2 90" xfId="12255"/>
    <cellStyle name="20% - Accent3 2 90 2" xfId="12256"/>
    <cellStyle name="20% - Accent3 2 90 2 2" xfId="12257"/>
    <cellStyle name="20% - Accent3 2 90 2 3" xfId="12258"/>
    <cellStyle name="20% - Accent3 2 90 3" xfId="12259"/>
    <cellStyle name="20% - Accent3 2 90 3 2" xfId="12260"/>
    <cellStyle name="20% - Accent3 2 90 4" xfId="12261"/>
    <cellStyle name="20% - Accent3 2 90 5" xfId="12262"/>
    <cellStyle name="20% - Accent3 2 91" xfId="12263"/>
    <cellStyle name="20% - Accent3 2 91 2" xfId="12264"/>
    <cellStyle name="20% - Accent3 2 91 2 2" xfId="12265"/>
    <cellStyle name="20% - Accent3 2 91 2 3" xfId="12266"/>
    <cellStyle name="20% - Accent3 2 91 3" xfId="12267"/>
    <cellStyle name="20% - Accent3 2 91 3 2" xfId="12268"/>
    <cellStyle name="20% - Accent3 2 91 4" xfId="12269"/>
    <cellStyle name="20% - Accent3 2 91 5" xfId="12270"/>
    <cellStyle name="20% - Accent3 2 92" xfId="12271"/>
    <cellStyle name="20% - Accent3 2 92 2" xfId="12272"/>
    <cellStyle name="20% - Accent3 2 92 2 2" xfId="12273"/>
    <cellStyle name="20% - Accent3 2 92 3" xfId="12274"/>
    <cellStyle name="20% - Accent3 2 92 4" xfId="12275"/>
    <cellStyle name="20% - Accent3 2 93" xfId="12276"/>
    <cellStyle name="20% - Accent3 2 93 2" xfId="12277"/>
    <cellStyle name="20% - Accent3 2 93 2 2" xfId="12278"/>
    <cellStyle name="20% - Accent3 2 93 3" xfId="12279"/>
    <cellStyle name="20% - Accent3 2 93 4" xfId="12280"/>
    <cellStyle name="20% - Accent3 2 94" xfId="12281"/>
    <cellStyle name="20% - Accent3 2 94 2" xfId="12282"/>
    <cellStyle name="20% - Accent3 2 94 2 2" xfId="12283"/>
    <cellStyle name="20% - Accent3 2 94 3" xfId="12284"/>
    <cellStyle name="20% - Accent3 2 94 4" xfId="12285"/>
    <cellStyle name="20% - Accent3 2 95" xfId="12286"/>
    <cellStyle name="20% - Accent3 2 95 2" xfId="12287"/>
    <cellStyle name="20% - Accent3 2 95 2 2" xfId="12288"/>
    <cellStyle name="20% - Accent3 2 95 3" xfId="12289"/>
    <cellStyle name="20% - Accent3 2 95 4" xfId="12290"/>
    <cellStyle name="20% - Accent3 2 96" xfId="12291"/>
    <cellStyle name="20% - Accent3 2 96 2" xfId="12292"/>
    <cellStyle name="20% - Accent3 2 96 2 2" xfId="12293"/>
    <cellStyle name="20% - Accent3 2 96 3" xfId="12294"/>
    <cellStyle name="20% - Accent3 2 96 4" xfId="12295"/>
    <cellStyle name="20% - Accent3 2 97" xfId="12296"/>
    <cellStyle name="20% - Accent3 2 97 2" xfId="12297"/>
    <cellStyle name="20% - Accent3 2 97 2 2" xfId="12298"/>
    <cellStyle name="20% - Accent3 2 97 3" xfId="12299"/>
    <cellStyle name="20% - Accent3 2 97 4" xfId="12300"/>
    <cellStyle name="20% - Accent3 2 98" xfId="12301"/>
    <cellStyle name="20% - Accent3 2 98 2" xfId="12302"/>
    <cellStyle name="20% - Accent3 2 98 2 2" xfId="12303"/>
    <cellStyle name="20% - Accent3 2 98 3" xfId="12304"/>
    <cellStyle name="20% - Accent3 2 98 4" xfId="12305"/>
    <cellStyle name="20% - Accent3 2 99" xfId="12306"/>
    <cellStyle name="20% - Accent3 2 99 2" xfId="12307"/>
    <cellStyle name="20% - Accent3 2 99 2 2" xfId="12308"/>
    <cellStyle name="20% - Accent3 2 99 3" xfId="12309"/>
    <cellStyle name="20% - Accent3 2 99 4" xfId="12310"/>
    <cellStyle name="20% - Accent3 2_1-10 BHU IS" xfId="12311"/>
    <cellStyle name="20% - Accent3 20" xfId="12312"/>
    <cellStyle name="20% - Accent3 21" xfId="12313"/>
    <cellStyle name="20% - Accent3 22" xfId="12314"/>
    <cellStyle name="20% - Accent3 23" xfId="12315"/>
    <cellStyle name="20% - Accent3 24" xfId="12316"/>
    <cellStyle name="20% - Accent3 25" xfId="12317"/>
    <cellStyle name="20% - Accent3 26" xfId="12318"/>
    <cellStyle name="20% - Accent3 26 2" xfId="12319"/>
    <cellStyle name="20% - Accent3 26 2 2" xfId="12320"/>
    <cellStyle name="20% - Accent3 26 2 2 2" xfId="12321"/>
    <cellStyle name="20% - Accent3 26 2 2 3" xfId="12322"/>
    <cellStyle name="20% - Accent3 26 2 3" xfId="12323"/>
    <cellStyle name="20% - Accent3 26 2 3 2" xfId="12324"/>
    <cellStyle name="20% - Accent3 26 2 4" xfId="12325"/>
    <cellStyle name="20% - Accent3 26 2 5" xfId="12326"/>
    <cellStyle name="20% - Accent3 26 3" xfId="12327"/>
    <cellStyle name="20% - Accent3 26 3 2" xfId="12328"/>
    <cellStyle name="20% - Accent3 26 3 2 2" xfId="12329"/>
    <cellStyle name="20% - Accent3 26 3 3" xfId="12330"/>
    <cellStyle name="20% - Accent3 26 3 4" xfId="12331"/>
    <cellStyle name="20% - Accent3 26 4" xfId="12332"/>
    <cellStyle name="20% - Accent3 26 4 2" xfId="12333"/>
    <cellStyle name="20% - Accent3 26 4 2 2" xfId="12334"/>
    <cellStyle name="20% - Accent3 26 4 3" xfId="12335"/>
    <cellStyle name="20% - Accent3 26 4 4" xfId="12336"/>
    <cellStyle name="20% - Accent3 26 5" xfId="12337"/>
    <cellStyle name="20% - Accent3 26 5 2" xfId="12338"/>
    <cellStyle name="20% - Accent3 26 6" xfId="12339"/>
    <cellStyle name="20% - Accent3 26 7" xfId="12340"/>
    <cellStyle name="20% - Accent3 26 8" xfId="12341"/>
    <cellStyle name="20% - Accent3 27" xfId="12342"/>
    <cellStyle name="20% - Accent3 27 2" xfId="12343"/>
    <cellStyle name="20% - Accent3 27 2 2" xfId="12344"/>
    <cellStyle name="20% - Accent3 27 2 2 2" xfId="12345"/>
    <cellStyle name="20% - Accent3 27 2 2 3" xfId="12346"/>
    <cellStyle name="20% - Accent3 27 2 3" xfId="12347"/>
    <cellStyle name="20% - Accent3 27 2 3 2" xfId="12348"/>
    <cellStyle name="20% - Accent3 27 2 4" xfId="12349"/>
    <cellStyle name="20% - Accent3 27 2 5" xfId="12350"/>
    <cellStyle name="20% - Accent3 27 3" xfId="12351"/>
    <cellStyle name="20% - Accent3 27 3 2" xfId="12352"/>
    <cellStyle name="20% - Accent3 27 3 2 2" xfId="12353"/>
    <cellStyle name="20% - Accent3 27 3 3" xfId="12354"/>
    <cellStyle name="20% - Accent3 27 3 4" xfId="12355"/>
    <cellStyle name="20% - Accent3 27 4" xfId="12356"/>
    <cellStyle name="20% - Accent3 27 4 2" xfId="12357"/>
    <cellStyle name="20% - Accent3 27 4 2 2" xfId="12358"/>
    <cellStyle name="20% - Accent3 27 4 3" xfId="12359"/>
    <cellStyle name="20% - Accent3 27 4 4" xfId="12360"/>
    <cellStyle name="20% - Accent3 27 5" xfId="12361"/>
    <cellStyle name="20% - Accent3 27 5 2" xfId="12362"/>
    <cellStyle name="20% - Accent3 27 6" xfId="12363"/>
    <cellStyle name="20% - Accent3 27 7" xfId="12364"/>
    <cellStyle name="20% - Accent3 27 8" xfId="12365"/>
    <cellStyle name="20% - Accent3 28" xfId="12366"/>
    <cellStyle name="20% - Accent3 28 2" xfId="12367"/>
    <cellStyle name="20% - Accent3 28 2 2" xfId="12368"/>
    <cellStyle name="20% - Accent3 28 2 2 2" xfId="12369"/>
    <cellStyle name="20% - Accent3 28 2 2 3" xfId="12370"/>
    <cellStyle name="20% - Accent3 28 2 3" xfId="12371"/>
    <cellStyle name="20% - Accent3 28 2 3 2" xfId="12372"/>
    <cellStyle name="20% - Accent3 28 2 4" xfId="12373"/>
    <cellStyle name="20% - Accent3 28 2 5" xfId="12374"/>
    <cellStyle name="20% - Accent3 28 3" xfId="12375"/>
    <cellStyle name="20% - Accent3 28 3 2" xfId="12376"/>
    <cellStyle name="20% - Accent3 28 3 2 2" xfId="12377"/>
    <cellStyle name="20% - Accent3 28 3 3" xfId="12378"/>
    <cellStyle name="20% - Accent3 28 3 4" xfId="12379"/>
    <cellStyle name="20% - Accent3 28 4" xfId="12380"/>
    <cellStyle name="20% - Accent3 28 4 2" xfId="12381"/>
    <cellStyle name="20% - Accent3 28 4 2 2" xfId="12382"/>
    <cellStyle name="20% - Accent3 28 4 3" xfId="12383"/>
    <cellStyle name="20% - Accent3 28 4 4" xfId="12384"/>
    <cellStyle name="20% - Accent3 28 5" xfId="12385"/>
    <cellStyle name="20% - Accent3 28 5 2" xfId="12386"/>
    <cellStyle name="20% - Accent3 28 6" xfId="12387"/>
    <cellStyle name="20% - Accent3 28 7" xfId="12388"/>
    <cellStyle name="20% - Accent3 28 8" xfId="12389"/>
    <cellStyle name="20% - Accent3 29" xfId="12390"/>
    <cellStyle name="20% - Accent3 29 2" xfId="12391"/>
    <cellStyle name="20% - Accent3 29 2 2" xfId="12392"/>
    <cellStyle name="20% - Accent3 29 2 2 2" xfId="12393"/>
    <cellStyle name="20% - Accent3 29 2 2 3" xfId="12394"/>
    <cellStyle name="20% - Accent3 29 2 3" xfId="12395"/>
    <cellStyle name="20% - Accent3 29 2 3 2" xfId="12396"/>
    <cellStyle name="20% - Accent3 29 2 4" xfId="12397"/>
    <cellStyle name="20% - Accent3 29 2 5" xfId="12398"/>
    <cellStyle name="20% - Accent3 29 3" xfId="12399"/>
    <cellStyle name="20% - Accent3 29 3 2" xfId="12400"/>
    <cellStyle name="20% - Accent3 29 3 2 2" xfId="12401"/>
    <cellStyle name="20% - Accent3 29 3 3" xfId="12402"/>
    <cellStyle name="20% - Accent3 29 3 4" xfId="12403"/>
    <cellStyle name="20% - Accent3 29 4" xfId="12404"/>
    <cellStyle name="20% - Accent3 29 4 2" xfId="12405"/>
    <cellStyle name="20% - Accent3 29 4 2 2" xfId="12406"/>
    <cellStyle name="20% - Accent3 29 4 3" xfId="12407"/>
    <cellStyle name="20% - Accent3 29 4 4" xfId="12408"/>
    <cellStyle name="20% - Accent3 29 5" xfId="12409"/>
    <cellStyle name="20% - Accent3 29 5 2" xfId="12410"/>
    <cellStyle name="20% - Accent3 29 6" xfId="12411"/>
    <cellStyle name="20% - Accent3 29 7" xfId="12412"/>
    <cellStyle name="20% - Accent3 29 8" xfId="12413"/>
    <cellStyle name="20% - Accent3 3" xfId="239"/>
    <cellStyle name="20% - Accent3 3 10" xfId="12414"/>
    <cellStyle name="20% - Accent3 3 10 2" xfId="12415"/>
    <cellStyle name="20% - Accent3 3 10 2 2" xfId="12416"/>
    <cellStyle name="20% - Accent3 3 10 2 2 2" xfId="12417"/>
    <cellStyle name="20% - Accent3 3 10 2 2 3" xfId="12418"/>
    <cellStyle name="20% - Accent3 3 10 2 3" xfId="12419"/>
    <cellStyle name="20% - Accent3 3 10 2 3 2" xfId="12420"/>
    <cellStyle name="20% - Accent3 3 10 2 4" xfId="12421"/>
    <cellStyle name="20% - Accent3 3 10 2 5" xfId="12422"/>
    <cellStyle name="20% - Accent3 3 10 3" xfId="12423"/>
    <cellStyle name="20% - Accent3 3 10 3 2" xfId="12424"/>
    <cellStyle name="20% - Accent3 3 10 3 2 2" xfId="12425"/>
    <cellStyle name="20% - Accent3 3 10 3 3" xfId="12426"/>
    <cellStyle name="20% - Accent3 3 10 3 4" xfId="12427"/>
    <cellStyle name="20% - Accent3 3 10 4" xfId="12428"/>
    <cellStyle name="20% - Accent3 3 10 4 2" xfId="12429"/>
    <cellStyle name="20% - Accent3 3 10 4 2 2" xfId="12430"/>
    <cellStyle name="20% - Accent3 3 10 4 3" xfId="12431"/>
    <cellStyle name="20% - Accent3 3 10 4 4" xfId="12432"/>
    <cellStyle name="20% - Accent3 3 10 5" xfId="12433"/>
    <cellStyle name="20% - Accent3 3 10 5 2" xfId="12434"/>
    <cellStyle name="20% - Accent3 3 10 6" xfId="12435"/>
    <cellStyle name="20% - Accent3 3 10 7" xfId="12436"/>
    <cellStyle name="20% - Accent3 3 10 8" xfId="12437"/>
    <cellStyle name="20% - Accent3 3 11" xfId="12438"/>
    <cellStyle name="20% - Accent3 3 11 2" xfId="12439"/>
    <cellStyle name="20% - Accent3 3 11 2 2" xfId="12440"/>
    <cellStyle name="20% - Accent3 3 11 2 2 2" xfId="12441"/>
    <cellStyle name="20% - Accent3 3 11 2 2 3" xfId="12442"/>
    <cellStyle name="20% - Accent3 3 11 2 3" xfId="12443"/>
    <cellStyle name="20% - Accent3 3 11 2 3 2" xfId="12444"/>
    <cellStyle name="20% - Accent3 3 11 2 4" xfId="12445"/>
    <cellStyle name="20% - Accent3 3 11 2 5" xfId="12446"/>
    <cellStyle name="20% - Accent3 3 11 3" xfId="12447"/>
    <cellStyle name="20% - Accent3 3 11 3 2" xfId="12448"/>
    <cellStyle name="20% - Accent3 3 11 3 2 2" xfId="12449"/>
    <cellStyle name="20% - Accent3 3 11 3 3" xfId="12450"/>
    <cellStyle name="20% - Accent3 3 11 3 4" xfId="12451"/>
    <cellStyle name="20% - Accent3 3 11 4" xfId="12452"/>
    <cellStyle name="20% - Accent3 3 11 4 2" xfId="12453"/>
    <cellStyle name="20% - Accent3 3 11 4 2 2" xfId="12454"/>
    <cellStyle name="20% - Accent3 3 11 4 3" xfId="12455"/>
    <cellStyle name="20% - Accent3 3 11 4 4" xfId="12456"/>
    <cellStyle name="20% - Accent3 3 11 5" xfId="12457"/>
    <cellStyle name="20% - Accent3 3 11 5 2" xfId="12458"/>
    <cellStyle name="20% - Accent3 3 11 6" xfId="12459"/>
    <cellStyle name="20% - Accent3 3 11 7" xfId="12460"/>
    <cellStyle name="20% - Accent3 3 11 8" xfId="12461"/>
    <cellStyle name="20% - Accent3 3 12" xfId="12462"/>
    <cellStyle name="20% - Accent3 3 12 2" xfId="12463"/>
    <cellStyle name="20% - Accent3 3 12 2 2" xfId="12464"/>
    <cellStyle name="20% - Accent3 3 12 2 2 2" xfId="12465"/>
    <cellStyle name="20% - Accent3 3 12 2 2 3" xfId="12466"/>
    <cellStyle name="20% - Accent3 3 12 2 3" xfId="12467"/>
    <cellStyle name="20% - Accent3 3 12 2 3 2" xfId="12468"/>
    <cellStyle name="20% - Accent3 3 12 2 4" xfId="12469"/>
    <cellStyle name="20% - Accent3 3 12 2 5" xfId="12470"/>
    <cellStyle name="20% - Accent3 3 12 3" xfId="12471"/>
    <cellStyle name="20% - Accent3 3 12 3 2" xfId="12472"/>
    <cellStyle name="20% - Accent3 3 12 3 2 2" xfId="12473"/>
    <cellStyle name="20% - Accent3 3 12 3 3" xfId="12474"/>
    <cellStyle name="20% - Accent3 3 12 3 4" xfId="12475"/>
    <cellStyle name="20% - Accent3 3 12 4" xfId="12476"/>
    <cellStyle name="20% - Accent3 3 12 4 2" xfId="12477"/>
    <cellStyle name="20% - Accent3 3 12 4 2 2" xfId="12478"/>
    <cellStyle name="20% - Accent3 3 12 4 3" xfId="12479"/>
    <cellStyle name="20% - Accent3 3 12 4 4" xfId="12480"/>
    <cellStyle name="20% - Accent3 3 12 5" xfId="12481"/>
    <cellStyle name="20% - Accent3 3 12 5 2" xfId="12482"/>
    <cellStyle name="20% - Accent3 3 12 6" xfId="12483"/>
    <cellStyle name="20% - Accent3 3 12 7" xfId="12484"/>
    <cellStyle name="20% - Accent3 3 12 8" xfId="12485"/>
    <cellStyle name="20% - Accent3 3 2" xfId="240"/>
    <cellStyle name="20% - Accent3 3 2 2" xfId="12486"/>
    <cellStyle name="20% - Accent3 3 2 2 2" xfId="12487"/>
    <cellStyle name="20% - Accent3 3 2 3" xfId="12488"/>
    <cellStyle name="20% - Accent3 3 2 4" xfId="12489"/>
    <cellStyle name="20% - Accent3 3 2 5" xfId="12490"/>
    <cellStyle name="20% - Accent3 3 2 6" xfId="12491"/>
    <cellStyle name="20% - Accent3 3 2 7" xfId="12492"/>
    <cellStyle name="20% - Accent3 3 2 8" xfId="12493"/>
    <cellStyle name="20% - Accent3 3 2_2009 Actual" xfId="12494"/>
    <cellStyle name="20% - Accent3 3 3" xfId="12495"/>
    <cellStyle name="20% - Accent3 3 3 2" xfId="12496"/>
    <cellStyle name="20% - Accent3 3 4" xfId="12497"/>
    <cellStyle name="20% - Accent3 3 5" xfId="12498"/>
    <cellStyle name="20% - Accent3 3 6" xfId="12499"/>
    <cellStyle name="20% - Accent3 3 7" xfId="12500"/>
    <cellStyle name="20% - Accent3 3 8" xfId="12501"/>
    <cellStyle name="20% - Accent3 3 9" xfId="12502"/>
    <cellStyle name="20% - Accent3 3_2009 Actual" xfId="12503"/>
    <cellStyle name="20% - Accent3 30" xfId="12504"/>
    <cellStyle name="20% - Accent3 30 2" xfId="12505"/>
    <cellStyle name="20% - Accent3 30 2 2" xfId="12506"/>
    <cellStyle name="20% - Accent3 30 2 2 2" xfId="12507"/>
    <cellStyle name="20% - Accent3 30 2 2 3" xfId="12508"/>
    <cellStyle name="20% - Accent3 30 2 3" xfId="12509"/>
    <cellStyle name="20% - Accent3 30 2 3 2" xfId="12510"/>
    <cellStyle name="20% - Accent3 30 2 4" xfId="12511"/>
    <cellStyle name="20% - Accent3 30 2 5" xfId="12512"/>
    <cellStyle name="20% - Accent3 30 3" xfId="12513"/>
    <cellStyle name="20% - Accent3 30 3 2" xfId="12514"/>
    <cellStyle name="20% - Accent3 30 3 2 2" xfId="12515"/>
    <cellStyle name="20% - Accent3 30 3 3" xfId="12516"/>
    <cellStyle name="20% - Accent3 30 3 4" xfId="12517"/>
    <cellStyle name="20% - Accent3 30 4" xfId="12518"/>
    <cellStyle name="20% - Accent3 30 4 2" xfId="12519"/>
    <cellStyle name="20% - Accent3 30 4 2 2" xfId="12520"/>
    <cellStyle name="20% - Accent3 30 4 3" xfId="12521"/>
    <cellStyle name="20% - Accent3 30 4 4" xfId="12522"/>
    <cellStyle name="20% - Accent3 30 5" xfId="12523"/>
    <cellStyle name="20% - Accent3 30 5 2" xfId="12524"/>
    <cellStyle name="20% - Accent3 30 6" xfId="12525"/>
    <cellStyle name="20% - Accent3 30 7" xfId="12526"/>
    <cellStyle name="20% - Accent3 30 8" xfId="12527"/>
    <cellStyle name="20% - Accent3 31" xfId="12528"/>
    <cellStyle name="20% - Accent3 31 2" xfId="12529"/>
    <cellStyle name="20% - Accent3 31 2 2" xfId="12530"/>
    <cellStyle name="20% - Accent3 31 2 3" xfId="12531"/>
    <cellStyle name="20% - Accent3 31 3" xfId="12532"/>
    <cellStyle name="20% - Accent3 31 3 2" xfId="12533"/>
    <cellStyle name="20% - Accent3 31 4" xfId="12534"/>
    <cellStyle name="20% - Accent3 31 5" xfId="12535"/>
    <cellStyle name="20% - Accent3 32" xfId="12536"/>
    <cellStyle name="20% - Accent3 32 2" xfId="12537"/>
    <cellStyle name="20% - Accent3 32 2 2" xfId="12538"/>
    <cellStyle name="20% - Accent3 32 2 3" xfId="12539"/>
    <cellStyle name="20% - Accent3 32 3" xfId="12540"/>
    <cellStyle name="20% - Accent3 32 3 2" xfId="12541"/>
    <cellStyle name="20% - Accent3 32 4" xfId="12542"/>
    <cellStyle name="20% - Accent3 32 5" xfId="12543"/>
    <cellStyle name="20% - Accent3 33" xfId="12544"/>
    <cellStyle name="20% - Accent3 33 2" xfId="12545"/>
    <cellStyle name="20% - Accent3 33 2 2" xfId="12546"/>
    <cellStyle name="20% - Accent3 33 2 3" xfId="12547"/>
    <cellStyle name="20% - Accent3 33 3" xfId="12548"/>
    <cellStyle name="20% - Accent3 33 3 2" xfId="12549"/>
    <cellStyle name="20% - Accent3 33 4" xfId="12550"/>
    <cellStyle name="20% - Accent3 33 5" xfId="12551"/>
    <cellStyle name="20% - Accent3 34" xfId="12552"/>
    <cellStyle name="20% - Accent3 34 2" xfId="12553"/>
    <cellStyle name="20% - Accent3 34 2 2" xfId="12554"/>
    <cellStyle name="20% - Accent3 34 2 3" xfId="12555"/>
    <cellStyle name="20% - Accent3 34 3" xfId="12556"/>
    <cellStyle name="20% - Accent3 34 3 2" xfId="12557"/>
    <cellStyle name="20% - Accent3 34 4" xfId="12558"/>
    <cellStyle name="20% - Accent3 34 5" xfId="12559"/>
    <cellStyle name="20% - Accent3 35" xfId="12560"/>
    <cellStyle name="20% - Accent3 35 2" xfId="12561"/>
    <cellStyle name="20% - Accent3 35 2 2" xfId="12562"/>
    <cellStyle name="20% - Accent3 35 2 3" xfId="12563"/>
    <cellStyle name="20% - Accent3 35 3" xfId="12564"/>
    <cellStyle name="20% - Accent3 35 3 2" xfId="12565"/>
    <cellStyle name="20% - Accent3 35 4" xfId="12566"/>
    <cellStyle name="20% - Accent3 35 5" xfId="12567"/>
    <cellStyle name="20% - Accent3 36" xfId="12568"/>
    <cellStyle name="20% - Accent3 36 2" xfId="12569"/>
    <cellStyle name="20% - Accent3 36 2 2" xfId="12570"/>
    <cellStyle name="20% - Accent3 36 2 3" xfId="12571"/>
    <cellStyle name="20% - Accent3 36 3" xfId="12572"/>
    <cellStyle name="20% - Accent3 36 3 2" xfId="12573"/>
    <cellStyle name="20% - Accent3 36 4" xfId="12574"/>
    <cellStyle name="20% - Accent3 36 5" xfId="12575"/>
    <cellStyle name="20% - Accent3 37" xfId="12576"/>
    <cellStyle name="20% - Accent3 37 2" xfId="12577"/>
    <cellStyle name="20% - Accent3 37 2 2" xfId="12578"/>
    <cellStyle name="20% - Accent3 37 2 3" xfId="12579"/>
    <cellStyle name="20% - Accent3 37 3" xfId="12580"/>
    <cellStyle name="20% - Accent3 37 3 2" xfId="12581"/>
    <cellStyle name="20% - Accent3 37 4" xfId="12582"/>
    <cellStyle name="20% - Accent3 37 5" xfId="12583"/>
    <cellStyle name="20% - Accent3 38" xfId="12584"/>
    <cellStyle name="20% - Accent3 38 2" xfId="12585"/>
    <cellStyle name="20% - Accent3 38 2 2" xfId="12586"/>
    <cellStyle name="20% - Accent3 38 2 3" xfId="12587"/>
    <cellStyle name="20% - Accent3 38 3" xfId="12588"/>
    <cellStyle name="20% - Accent3 38 3 2" xfId="12589"/>
    <cellStyle name="20% - Accent3 38 4" xfId="12590"/>
    <cellStyle name="20% - Accent3 38 5" xfId="12591"/>
    <cellStyle name="20% - Accent3 39" xfId="12592"/>
    <cellStyle name="20% - Accent3 39 2" xfId="12593"/>
    <cellStyle name="20% - Accent3 39 2 2" xfId="12594"/>
    <cellStyle name="20% - Accent3 39 2 3" xfId="12595"/>
    <cellStyle name="20% - Accent3 39 3" xfId="12596"/>
    <cellStyle name="20% - Accent3 39 3 2" xfId="12597"/>
    <cellStyle name="20% - Accent3 39 4" xfId="12598"/>
    <cellStyle name="20% - Accent3 39 5" xfId="12599"/>
    <cellStyle name="20% - Accent3 4" xfId="241"/>
    <cellStyle name="20% - Accent3 4 2" xfId="12600"/>
    <cellStyle name="20% - Accent3 4 2 2" xfId="12601"/>
    <cellStyle name="20% - Accent3 4 2 3" xfId="12602"/>
    <cellStyle name="20% - Accent3 4 2 4" xfId="12603"/>
    <cellStyle name="20% - Accent3 4 2 5" xfId="12604"/>
    <cellStyle name="20% - Accent3 4 2 6" xfId="12605"/>
    <cellStyle name="20% - Accent3 4 2 7" xfId="12606"/>
    <cellStyle name="20% - Accent3 4 2_2009 Actual" xfId="12607"/>
    <cellStyle name="20% - Accent3 4 3" xfId="12608"/>
    <cellStyle name="20% - Accent3 4 4" xfId="12609"/>
    <cellStyle name="20% - Accent3 4 5" xfId="12610"/>
    <cellStyle name="20% - Accent3 4 6" xfId="12611"/>
    <cellStyle name="20% - Accent3 4 7" xfId="12612"/>
    <cellStyle name="20% - Accent3 4 8" xfId="12613"/>
    <cellStyle name="20% - Accent3 4_2009 Actual" xfId="12614"/>
    <cellStyle name="20% - Accent3 40" xfId="12615"/>
    <cellStyle name="20% - Accent3 40 2" xfId="12616"/>
    <cellStyle name="20% - Accent3 40 2 2" xfId="12617"/>
    <cellStyle name="20% - Accent3 40 2 3" xfId="12618"/>
    <cellStyle name="20% - Accent3 40 3" xfId="12619"/>
    <cellStyle name="20% - Accent3 40 3 2" xfId="12620"/>
    <cellStyle name="20% - Accent3 40 4" xfId="12621"/>
    <cellStyle name="20% - Accent3 40 5" xfId="12622"/>
    <cellStyle name="20% - Accent3 41" xfId="12623"/>
    <cellStyle name="20% - Accent3 41 2" xfId="12624"/>
    <cellStyle name="20% - Accent3 41 2 2" xfId="12625"/>
    <cellStyle name="20% - Accent3 41 2 3" xfId="12626"/>
    <cellStyle name="20% - Accent3 41 3" xfId="12627"/>
    <cellStyle name="20% - Accent3 41 3 2" xfId="12628"/>
    <cellStyle name="20% - Accent3 41 4" xfId="12629"/>
    <cellStyle name="20% - Accent3 41 5" xfId="12630"/>
    <cellStyle name="20% - Accent3 42" xfId="12631"/>
    <cellStyle name="20% - Accent3 42 2" xfId="12632"/>
    <cellStyle name="20% - Accent3 42 2 2" xfId="12633"/>
    <cellStyle name="20% - Accent3 42 2 3" xfId="12634"/>
    <cellStyle name="20% - Accent3 42 3" xfId="12635"/>
    <cellStyle name="20% - Accent3 42 3 2" xfId="12636"/>
    <cellStyle name="20% - Accent3 42 4" xfId="12637"/>
    <cellStyle name="20% - Accent3 42 5" xfId="12638"/>
    <cellStyle name="20% - Accent3 43" xfId="12639"/>
    <cellStyle name="20% - Accent3 43 2" xfId="12640"/>
    <cellStyle name="20% - Accent3 43 2 2" xfId="12641"/>
    <cellStyle name="20% - Accent3 43 2 3" xfId="12642"/>
    <cellStyle name="20% - Accent3 43 3" xfId="12643"/>
    <cellStyle name="20% - Accent3 43 3 2" xfId="12644"/>
    <cellStyle name="20% - Accent3 43 4" xfId="12645"/>
    <cellStyle name="20% - Accent3 43 5" xfId="12646"/>
    <cellStyle name="20% - Accent3 44" xfId="12647"/>
    <cellStyle name="20% - Accent3 44 2" xfId="12648"/>
    <cellStyle name="20% - Accent3 44 2 2" xfId="12649"/>
    <cellStyle name="20% - Accent3 44 2 3" xfId="12650"/>
    <cellStyle name="20% - Accent3 44 3" xfId="12651"/>
    <cellStyle name="20% - Accent3 44 3 2" xfId="12652"/>
    <cellStyle name="20% - Accent3 44 4" xfId="12653"/>
    <cellStyle name="20% - Accent3 44 5" xfId="12654"/>
    <cellStyle name="20% - Accent3 45" xfId="12655"/>
    <cellStyle name="20% - Accent3 45 2" xfId="12656"/>
    <cellStyle name="20% - Accent3 45 2 2" xfId="12657"/>
    <cellStyle name="20% - Accent3 45 2 3" xfId="12658"/>
    <cellStyle name="20% - Accent3 45 3" xfId="12659"/>
    <cellStyle name="20% - Accent3 45 3 2" xfId="12660"/>
    <cellStyle name="20% - Accent3 45 4" xfId="12661"/>
    <cellStyle name="20% - Accent3 45 5" xfId="12662"/>
    <cellStyle name="20% - Accent3 46" xfId="12663"/>
    <cellStyle name="20% - Accent3 46 2" xfId="12664"/>
    <cellStyle name="20% - Accent3 46 2 2" xfId="12665"/>
    <cellStyle name="20% - Accent3 46 2 3" xfId="12666"/>
    <cellStyle name="20% - Accent3 46 3" xfId="12667"/>
    <cellStyle name="20% - Accent3 46 3 2" xfId="12668"/>
    <cellStyle name="20% - Accent3 46 4" xfId="12669"/>
    <cellStyle name="20% - Accent3 46 5" xfId="12670"/>
    <cellStyle name="20% - Accent3 47" xfId="12671"/>
    <cellStyle name="20% - Accent3 47 2" xfId="12672"/>
    <cellStyle name="20% - Accent3 47 2 2" xfId="12673"/>
    <cellStyle name="20% - Accent3 47 2 3" xfId="12674"/>
    <cellStyle name="20% - Accent3 47 3" xfId="12675"/>
    <cellStyle name="20% - Accent3 47 3 2" xfId="12676"/>
    <cellStyle name="20% - Accent3 47 4" xfId="12677"/>
    <cellStyle name="20% - Accent3 47 5" xfId="12678"/>
    <cellStyle name="20% - Accent3 48" xfId="12679"/>
    <cellStyle name="20% - Accent3 48 2" xfId="12680"/>
    <cellStyle name="20% - Accent3 48 2 2" xfId="12681"/>
    <cellStyle name="20% - Accent3 48 2 3" xfId="12682"/>
    <cellStyle name="20% - Accent3 48 3" xfId="12683"/>
    <cellStyle name="20% - Accent3 48 3 2" xfId="12684"/>
    <cellStyle name="20% - Accent3 48 4" xfId="12685"/>
    <cellStyle name="20% - Accent3 48 5" xfId="12686"/>
    <cellStyle name="20% - Accent3 49" xfId="12687"/>
    <cellStyle name="20% - Accent3 49 2" xfId="12688"/>
    <cellStyle name="20% - Accent3 49 2 2" xfId="12689"/>
    <cellStyle name="20% - Accent3 49 2 3" xfId="12690"/>
    <cellStyle name="20% - Accent3 49 3" xfId="12691"/>
    <cellStyle name="20% - Accent3 49 3 2" xfId="12692"/>
    <cellStyle name="20% - Accent3 49 4" xfId="12693"/>
    <cellStyle name="20% - Accent3 49 5" xfId="12694"/>
    <cellStyle name="20% - Accent3 5" xfId="12695"/>
    <cellStyle name="20% - Accent3 5 2" xfId="12696"/>
    <cellStyle name="20% - Accent3 5 2 2" xfId="12697"/>
    <cellStyle name="20% - Accent3 5 2 3" xfId="12698"/>
    <cellStyle name="20% - Accent3 5 2 4" xfId="12699"/>
    <cellStyle name="20% - Accent3 5 2 5" xfId="12700"/>
    <cellStyle name="20% - Accent3 5 2 6" xfId="12701"/>
    <cellStyle name="20% - Accent3 5 2 7" xfId="12702"/>
    <cellStyle name="20% - Accent3 5 2_2009 Actual" xfId="12703"/>
    <cellStyle name="20% - Accent3 5 3" xfId="12704"/>
    <cellStyle name="20% - Accent3 5 4" xfId="12705"/>
    <cellStyle name="20% - Accent3 5 5" xfId="12706"/>
    <cellStyle name="20% - Accent3 5 6" xfId="12707"/>
    <cellStyle name="20% - Accent3 5 7" xfId="12708"/>
    <cellStyle name="20% - Accent3 5 8" xfId="12709"/>
    <cellStyle name="20% - Accent3 5_2009 Actual" xfId="12710"/>
    <cellStyle name="20% - Accent3 50" xfId="12711"/>
    <cellStyle name="20% - Accent3 50 2" xfId="12712"/>
    <cellStyle name="20% - Accent3 50 2 2" xfId="12713"/>
    <cellStyle name="20% - Accent3 50 2 3" xfId="12714"/>
    <cellStyle name="20% - Accent3 50 3" xfId="12715"/>
    <cellStyle name="20% - Accent3 50 3 2" xfId="12716"/>
    <cellStyle name="20% - Accent3 50 4" xfId="12717"/>
    <cellStyle name="20% - Accent3 50 5" xfId="12718"/>
    <cellStyle name="20% - Accent3 51" xfId="12719"/>
    <cellStyle name="20% - Accent3 51 2" xfId="12720"/>
    <cellStyle name="20% - Accent3 51 2 2" xfId="12721"/>
    <cellStyle name="20% - Accent3 51 2 3" xfId="12722"/>
    <cellStyle name="20% - Accent3 51 3" xfId="12723"/>
    <cellStyle name="20% - Accent3 51 3 2" xfId="12724"/>
    <cellStyle name="20% - Accent3 51 4" xfId="12725"/>
    <cellStyle name="20% - Accent3 51 5" xfId="12726"/>
    <cellStyle name="20% - Accent3 52" xfId="12727"/>
    <cellStyle name="20% - Accent3 52 2" xfId="12728"/>
    <cellStyle name="20% - Accent3 52 2 2" xfId="12729"/>
    <cellStyle name="20% - Accent3 52 2 3" xfId="12730"/>
    <cellStyle name="20% - Accent3 52 3" xfId="12731"/>
    <cellStyle name="20% - Accent3 52 3 2" xfId="12732"/>
    <cellStyle name="20% - Accent3 52 4" xfId="12733"/>
    <cellStyle name="20% - Accent3 52 5" xfId="12734"/>
    <cellStyle name="20% - Accent3 53" xfId="12735"/>
    <cellStyle name="20% - Accent3 53 2" xfId="12736"/>
    <cellStyle name="20% - Accent3 53 2 2" xfId="12737"/>
    <cellStyle name="20% - Accent3 53 2 3" xfId="12738"/>
    <cellStyle name="20% - Accent3 53 3" xfId="12739"/>
    <cellStyle name="20% - Accent3 53 3 2" xfId="12740"/>
    <cellStyle name="20% - Accent3 53 4" xfId="12741"/>
    <cellStyle name="20% - Accent3 53 5" xfId="12742"/>
    <cellStyle name="20% - Accent3 54" xfId="12743"/>
    <cellStyle name="20% - Accent3 54 2" xfId="12744"/>
    <cellStyle name="20% - Accent3 54 2 2" xfId="12745"/>
    <cellStyle name="20% - Accent3 54 2 3" xfId="12746"/>
    <cellStyle name="20% - Accent3 54 3" xfId="12747"/>
    <cellStyle name="20% - Accent3 54 3 2" xfId="12748"/>
    <cellStyle name="20% - Accent3 54 4" xfId="12749"/>
    <cellStyle name="20% - Accent3 54 5" xfId="12750"/>
    <cellStyle name="20% - Accent3 55" xfId="12751"/>
    <cellStyle name="20% - Accent3 55 2" xfId="12752"/>
    <cellStyle name="20% - Accent3 55 2 2" xfId="12753"/>
    <cellStyle name="20% - Accent3 55 2 3" xfId="12754"/>
    <cellStyle name="20% - Accent3 55 3" xfId="12755"/>
    <cellStyle name="20% - Accent3 55 3 2" xfId="12756"/>
    <cellStyle name="20% - Accent3 55 4" xfId="12757"/>
    <cellStyle name="20% - Accent3 55 5" xfId="12758"/>
    <cellStyle name="20% - Accent3 56" xfId="12759"/>
    <cellStyle name="20% - Accent3 56 2" xfId="12760"/>
    <cellStyle name="20% - Accent3 56 2 2" xfId="12761"/>
    <cellStyle name="20% - Accent3 56 2 3" xfId="12762"/>
    <cellStyle name="20% - Accent3 56 3" xfId="12763"/>
    <cellStyle name="20% - Accent3 56 3 2" xfId="12764"/>
    <cellStyle name="20% - Accent3 56 4" xfId="12765"/>
    <cellStyle name="20% - Accent3 56 5" xfId="12766"/>
    <cellStyle name="20% - Accent3 57" xfId="12767"/>
    <cellStyle name="20% - Accent3 57 2" xfId="12768"/>
    <cellStyle name="20% - Accent3 57 2 2" xfId="12769"/>
    <cellStyle name="20% - Accent3 57 2 3" xfId="12770"/>
    <cellStyle name="20% - Accent3 57 3" xfId="12771"/>
    <cellStyle name="20% - Accent3 57 3 2" xfId="12772"/>
    <cellStyle name="20% - Accent3 57 4" xfId="12773"/>
    <cellStyle name="20% - Accent3 57 5" xfId="12774"/>
    <cellStyle name="20% - Accent3 58" xfId="12775"/>
    <cellStyle name="20% - Accent3 58 2" xfId="12776"/>
    <cellStyle name="20% - Accent3 58 2 2" xfId="12777"/>
    <cellStyle name="20% - Accent3 58 2 3" xfId="12778"/>
    <cellStyle name="20% - Accent3 58 3" xfId="12779"/>
    <cellStyle name="20% - Accent3 58 3 2" xfId="12780"/>
    <cellStyle name="20% - Accent3 58 4" xfId="12781"/>
    <cellStyle name="20% - Accent3 58 5" xfId="12782"/>
    <cellStyle name="20% - Accent3 59" xfId="12783"/>
    <cellStyle name="20% - Accent3 59 2" xfId="12784"/>
    <cellStyle name="20% - Accent3 59 2 2" xfId="12785"/>
    <cellStyle name="20% - Accent3 59 2 3" xfId="12786"/>
    <cellStyle name="20% - Accent3 59 3" xfId="12787"/>
    <cellStyle name="20% - Accent3 59 3 2" xfId="12788"/>
    <cellStyle name="20% - Accent3 59 4" xfId="12789"/>
    <cellStyle name="20% - Accent3 59 5" xfId="12790"/>
    <cellStyle name="20% - Accent3 6" xfId="12791"/>
    <cellStyle name="20% - Accent3 6 2" xfId="12792"/>
    <cellStyle name="20% - Accent3 6 3" xfId="12793"/>
    <cellStyle name="20% - Accent3 6 4" xfId="12794"/>
    <cellStyle name="20% - Accent3 6 5" xfId="12795"/>
    <cellStyle name="20% - Accent3 6 6" xfId="12796"/>
    <cellStyle name="20% - Accent3 6 7" xfId="12797"/>
    <cellStyle name="20% - Accent3 6 8" xfId="12798"/>
    <cellStyle name="20% - Accent3 6_2009 Actual" xfId="12799"/>
    <cellStyle name="20% - Accent3 60" xfId="12800"/>
    <cellStyle name="20% - Accent3 60 2" xfId="12801"/>
    <cellStyle name="20% - Accent3 60 2 2" xfId="12802"/>
    <cellStyle name="20% - Accent3 60 2 3" xfId="12803"/>
    <cellStyle name="20% - Accent3 60 3" xfId="12804"/>
    <cellStyle name="20% - Accent3 60 3 2" xfId="12805"/>
    <cellStyle name="20% - Accent3 60 4" xfId="12806"/>
    <cellStyle name="20% - Accent3 60 5" xfId="12807"/>
    <cellStyle name="20% - Accent3 61" xfId="12808"/>
    <cellStyle name="20% - Accent3 61 2" xfId="12809"/>
    <cellStyle name="20% - Accent3 61 2 2" xfId="12810"/>
    <cellStyle name="20% - Accent3 61 2 3" xfId="12811"/>
    <cellStyle name="20% - Accent3 61 3" xfId="12812"/>
    <cellStyle name="20% - Accent3 61 3 2" xfId="12813"/>
    <cellStyle name="20% - Accent3 61 4" xfId="12814"/>
    <cellStyle name="20% - Accent3 61 5" xfId="12815"/>
    <cellStyle name="20% - Accent3 62" xfId="12816"/>
    <cellStyle name="20% - Accent3 62 2" xfId="12817"/>
    <cellStyle name="20% - Accent3 62 2 2" xfId="12818"/>
    <cellStyle name="20% - Accent3 62 2 3" xfId="12819"/>
    <cellStyle name="20% - Accent3 62 3" xfId="12820"/>
    <cellStyle name="20% - Accent3 62 3 2" xfId="12821"/>
    <cellStyle name="20% - Accent3 62 4" xfId="12822"/>
    <cellStyle name="20% - Accent3 62 5" xfId="12823"/>
    <cellStyle name="20% - Accent3 63" xfId="12824"/>
    <cellStyle name="20% - Accent3 63 2" xfId="12825"/>
    <cellStyle name="20% - Accent3 63 2 2" xfId="12826"/>
    <cellStyle name="20% - Accent3 63 2 3" xfId="12827"/>
    <cellStyle name="20% - Accent3 63 3" xfId="12828"/>
    <cellStyle name="20% - Accent3 63 3 2" xfId="12829"/>
    <cellStyle name="20% - Accent3 63 4" xfId="12830"/>
    <cellStyle name="20% - Accent3 63 5" xfId="12831"/>
    <cellStyle name="20% - Accent3 64" xfId="12832"/>
    <cellStyle name="20% - Accent3 64 2" xfId="12833"/>
    <cellStyle name="20% - Accent3 64 2 2" xfId="12834"/>
    <cellStyle name="20% - Accent3 64 3" xfId="12835"/>
    <cellStyle name="20% - Accent3 64 4" xfId="12836"/>
    <cellStyle name="20% - Accent3 65" xfId="12837"/>
    <cellStyle name="20% - Accent3 65 2" xfId="12838"/>
    <cellStyle name="20% - Accent3 65 2 2" xfId="12839"/>
    <cellStyle name="20% - Accent3 65 3" xfId="12840"/>
    <cellStyle name="20% - Accent3 65 4" xfId="12841"/>
    <cellStyle name="20% - Accent3 66" xfId="12842"/>
    <cellStyle name="20% - Accent3 66 2" xfId="12843"/>
    <cellStyle name="20% - Accent3 66 2 2" xfId="12844"/>
    <cellStyle name="20% - Accent3 66 3" xfId="12845"/>
    <cellStyle name="20% - Accent3 66 4" xfId="12846"/>
    <cellStyle name="20% - Accent3 67" xfId="12847"/>
    <cellStyle name="20% - Accent3 67 2" xfId="12848"/>
    <cellStyle name="20% - Accent3 67 2 2" xfId="12849"/>
    <cellStyle name="20% - Accent3 67 3" xfId="12850"/>
    <cellStyle name="20% - Accent3 67 4" xfId="12851"/>
    <cellStyle name="20% - Accent3 68" xfId="12852"/>
    <cellStyle name="20% - Accent3 68 2" xfId="12853"/>
    <cellStyle name="20% - Accent3 68 2 2" xfId="12854"/>
    <cellStyle name="20% - Accent3 68 3" xfId="12855"/>
    <cellStyle name="20% - Accent3 68 4" xfId="12856"/>
    <cellStyle name="20% - Accent3 69" xfId="12857"/>
    <cellStyle name="20% - Accent3 69 2" xfId="12858"/>
    <cellStyle name="20% - Accent3 69 2 2" xfId="12859"/>
    <cellStyle name="20% - Accent3 69 3" xfId="12860"/>
    <cellStyle name="20% - Accent3 69 4" xfId="12861"/>
    <cellStyle name="20% - Accent3 7" xfId="12862"/>
    <cellStyle name="20% - Accent3 7 2" xfId="12863"/>
    <cellStyle name="20% - Accent3 7 3" xfId="12864"/>
    <cellStyle name="20% - Accent3 7 4" xfId="12865"/>
    <cellStyle name="20% - Accent3 7 5" xfId="12866"/>
    <cellStyle name="20% - Accent3 7 6" xfId="12867"/>
    <cellStyle name="20% - Accent3 7 7" xfId="12868"/>
    <cellStyle name="20% - Accent3 7 8" xfId="12869"/>
    <cellStyle name="20% - Accent3 7_2009 Actual" xfId="12870"/>
    <cellStyle name="20% - Accent3 70" xfId="12871"/>
    <cellStyle name="20% - Accent3 70 2" xfId="12872"/>
    <cellStyle name="20% - Accent3 70 2 2" xfId="12873"/>
    <cellStyle name="20% - Accent3 70 3" xfId="12874"/>
    <cellStyle name="20% - Accent3 70 4" xfId="12875"/>
    <cellStyle name="20% - Accent3 71" xfId="12876"/>
    <cellStyle name="20% - Accent3 71 2" xfId="12877"/>
    <cellStyle name="20% - Accent3 71 2 2" xfId="12878"/>
    <cellStyle name="20% - Accent3 71 3" xfId="12879"/>
    <cellStyle name="20% - Accent3 71 4" xfId="12880"/>
    <cellStyle name="20% - Accent3 72" xfId="12881"/>
    <cellStyle name="20% - Accent3 72 2" xfId="12882"/>
    <cellStyle name="20% - Accent3 72 2 2" xfId="12883"/>
    <cellStyle name="20% - Accent3 72 3" xfId="12884"/>
    <cellStyle name="20% - Accent3 72 4" xfId="12885"/>
    <cellStyle name="20% - Accent3 73" xfId="12886"/>
    <cellStyle name="20% - Accent3 73 2" xfId="12887"/>
    <cellStyle name="20% - Accent3 73 2 2" xfId="12888"/>
    <cellStyle name="20% - Accent3 73 3" xfId="12889"/>
    <cellStyle name="20% - Accent3 73 4" xfId="12890"/>
    <cellStyle name="20% - Accent3 74" xfId="12891"/>
    <cellStyle name="20% - Accent3 74 2" xfId="12892"/>
    <cellStyle name="20% - Accent3 74 2 2" xfId="12893"/>
    <cellStyle name="20% - Accent3 74 3" xfId="12894"/>
    <cellStyle name="20% - Accent3 74 4" xfId="12895"/>
    <cellStyle name="20% - Accent3 75" xfId="12896"/>
    <cellStyle name="20% - Accent3 75 2" xfId="12897"/>
    <cellStyle name="20% - Accent3 75 2 2" xfId="12898"/>
    <cellStyle name="20% - Accent3 75 3" xfId="12899"/>
    <cellStyle name="20% - Accent3 75 4" xfId="12900"/>
    <cellStyle name="20% - Accent3 76" xfId="12901"/>
    <cellStyle name="20% - Accent3 76 2" xfId="12902"/>
    <cellStyle name="20% - Accent3 76 2 2" xfId="12903"/>
    <cellStyle name="20% - Accent3 76 3" xfId="12904"/>
    <cellStyle name="20% - Accent3 76 4" xfId="12905"/>
    <cellStyle name="20% - Accent3 77" xfId="12906"/>
    <cellStyle name="20% - Accent3 77 2" xfId="12907"/>
    <cellStyle name="20% - Accent3 77 2 2" xfId="12908"/>
    <cellStyle name="20% - Accent3 77 3" xfId="12909"/>
    <cellStyle name="20% - Accent3 77 4" xfId="12910"/>
    <cellStyle name="20% - Accent3 78" xfId="12911"/>
    <cellStyle name="20% - Accent3 78 2" xfId="12912"/>
    <cellStyle name="20% - Accent3 78 2 2" xfId="12913"/>
    <cellStyle name="20% - Accent3 78 3" xfId="12914"/>
    <cellStyle name="20% - Accent3 78 4" xfId="12915"/>
    <cellStyle name="20% - Accent3 79" xfId="12916"/>
    <cellStyle name="20% - Accent3 79 2" xfId="12917"/>
    <cellStyle name="20% - Accent3 79 2 2" xfId="12918"/>
    <cellStyle name="20% - Accent3 79 3" xfId="12919"/>
    <cellStyle name="20% - Accent3 79 4" xfId="12920"/>
    <cellStyle name="20% - Accent3 8" xfId="12921"/>
    <cellStyle name="20% - Accent3 8 2" xfId="12922"/>
    <cellStyle name="20% - Accent3 8 3" xfId="12923"/>
    <cellStyle name="20% - Accent3 8 4" xfId="12924"/>
    <cellStyle name="20% - Accent3 8 5" xfId="12925"/>
    <cellStyle name="20% - Accent3 8 6" xfId="12926"/>
    <cellStyle name="20% - Accent3 8 7" xfId="12927"/>
    <cellStyle name="20% - Accent3 8 8" xfId="12928"/>
    <cellStyle name="20% - Accent3 8_2009 Actual" xfId="12929"/>
    <cellStyle name="20% - Accent3 80" xfId="12930"/>
    <cellStyle name="20% - Accent3 80 2" xfId="12931"/>
    <cellStyle name="20% - Accent3 80 2 2" xfId="12932"/>
    <cellStyle name="20% - Accent3 80 3" xfId="12933"/>
    <cellStyle name="20% - Accent3 80 4" xfId="12934"/>
    <cellStyle name="20% - Accent3 81" xfId="12935"/>
    <cellStyle name="20% - Accent3 81 2" xfId="12936"/>
    <cellStyle name="20% - Accent3 81 2 2" xfId="12937"/>
    <cellStyle name="20% - Accent3 81 3" xfId="12938"/>
    <cellStyle name="20% - Accent3 81 4" xfId="12939"/>
    <cellStyle name="20% - Accent3 82" xfId="12940"/>
    <cellStyle name="20% - Accent3 82 2" xfId="12941"/>
    <cellStyle name="20% - Accent3 82 2 2" xfId="12942"/>
    <cellStyle name="20% - Accent3 82 3" xfId="12943"/>
    <cellStyle name="20% - Accent3 82 4" xfId="12944"/>
    <cellStyle name="20% - Accent3 83" xfId="12945"/>
    <cellStyle name="20% - Accent3 83 2" xfId="12946"/>
    <cellStyle name="20% - Accent3 83 2 2" xfId="12947"/>
    <cellStyle name="20% - Accent3 83 3" xfId="12948"/>
    <cellStyle name="20% - Accent3 83 4" xfId="12949"/>
    <cellStyle name="20% - Accent3 84" xfId="12950"/>
    <cellStyle name="20% - Accent3 84 2" xfId="12951"/>
    <cellStyle name="20% - Accent3 84 2 2" xfId="12952"/>
    <cellStyle name="20% - Accent3 84 3" xfId="12953"/>
    <cellStyle name="20% - Accent3 84 4" xfId="12954"/>
    <cellStyle name="20% - Accent3 85" xfId="12955"/>
    <cellStyle name="20% - Accent3 85 2" xfId="12956"/>
    <cellStyle name="20% - Accent3 85 2 2" xfId="12957"/>
    <cellStyle name="20% - Accent3 85 3" xfId="12958"/>
    <cellStyle name="20% - Accent3 85 4" xfId="12959"/>
    <cellStyle name="20% - Accent3 86" xfId="12960"/>
    <cellStyle name="20% - Accent3 86 2" xfId="12961"/>
    <cellStyle name="20% - Accent3 86 2 2" xfId="12962"/>
    <cellStyle name="20% - Accent3 86 3" xfId="12963"/>
    <cellStyle name="20% - Accent3 86 4" xfId="12964"/>
    <cellStyle name="20% - Accent3 87" xfId="12965"/>
    <cellStyle name="20% - Accent3 87 2" xfId="12966"/>
    <cellStyle name="20% - Accent3 87 2 2" xfId="12967"/>
    <cellStyle name="20% - Accent3 87 3" xfId="12968"/>
    <cellStyle name="20% - Accent3 87 4" xfId="12969"/>
    <cellStyle name="20% - Accent3 88" xfId="12970"/>
    <cellStyle name="20% - Accent3 88 2" xfId="12971"/>
    <cellStyle name="20% - Accent3 88 2 2" xfId="12972"/>
    <cellStyle name="20% - Accent3 88 3" xfId="12973"/>
    <cellStyle name="20% - Accent3 88 4" xfId="12974"/>
    <cellStyle name="20% - Accent3 89" xfId="12975"/>
    <cellStyle name="20% - Accent3 89 2" xfId="12976"/>
    <cellStyle name="20% - Accent3 89 3" xfId="12977"/>
    <cellStyle name="20% - Accent3 9" xfId="12978"/>
    <cellStyle name="20% - Accent3 9 2" xfId="12979"/>
    <cellStyle name="20% - Accent3 9 3" xfId="12980"/>
    <cellStyle name="20% - Accent3 9 4" xfId="12981"/>
    <cellStyle name="20% - Accent3 9 5" xfId="12982"/>
    <cellStyle name="20% - Accent3 9 6" xfId="12983"/>
    <cellStyle name="20% - Accent3 9 7" xfId="12984"/>
    <cellStyle name="20% - Accent3 9 8" xfId="12985"/>
    <cellStyle name="20% - Accent3 9_2009 Actual" xfId="12986"/>
    <cellStyle name="20% - Accent3 90" xfId="12987"/>
    <cellStyle name="20% - Accent3 90 2" xfId="12988"/>
    <cellStyle name="20% - Accent3 91" xfId="12989"/>
    <cellStyle name="20% - Accent3 91 2" xfId="12990"/>
    <cellStyle name="20% - Accent3 92" xfId="12991"/>
    <cellStyle name="20% - Accent3 92 2" xfId="12992"/>
    <cellStyle name="20% - Accent3 93" xfId="12993"/>
    <cellStyle name="20% - Accent3 93 2" xfId="12994"/>
    <cellStyle name="20% - Accent3 94" xfId="12995"/>
    <cellStyle name="20% - Accent3 94 2" xfId="12996"/>
    <cellStyle name="20% - Accent3 95" xfId="12997"/>
    <cellStyle name="20% - Accent3 95 2" xfId="12998"/>
    <cellStyle name="20% - Accent3 96" xfId="12999"/>
    <cellStyle name="20% - Accent3 96 2" xfId="13000"/>
    <cellStyle name="20% - Accent3 97" xfId="13001"/>
    <cellStyle name="20% - Accent3 97 2" xfId="13002"/>
    <cellStyle name="20% - Accent3 98" xfId="13003"/>
    <cellStyle name="20% - Accent3 98 2" xfId="13004"/>
    <cellStyle name="20% - Accent3 99" xfId="13005"/>
    <cellStyle name="20% - Accent4" xfId="141" builtinId="42"/>
    <cellStyle name="20% - Accent4 10" xfId="13006"/>
    <cellStyle name="20% - Accent4 10 2" xfId="13007"/>
    <cellStyle name="20% - Accent4 10 3" xfId="13008"/>
    <cellStyle name="20% - Accent4 10 4" xfId="13009"/>
    <cellStyle name="20% - Accent4 10 5" xfId="13010"/>
    <cellStyle name="20% - Accent4 10 6" xfId="13011"/>
    <cellStyle name="20% - Accent4 10 7" xfId="13012"/>
    <cellStyle name="20% - Accent4 10 8" xfId="13013"/>
    <cellStyle name="20% - Accent4 10_2009 Actual" xfId="13014"/>
    <cellStyle name="20% - Accent4 100" xfId="13015"/>
    <cellStyle name="20% - Accent4 101" xfId="13016"/>
    <cellStyle name="20% - Accent4 102" xfId="13017"/>
    <cellStyle name="20% - Accent4 103" xfId="13018"/>
    <cellStyle name="20% - Accent4 104" xfId="13019"/>
    <cellStyle name="20% - Accent4 105" xfId="13020"/>
    <cellStyle name="20% - Accent4 106" xfId="13021"/>
    <cellStyle name="20% - Accent4 107" xfId="13022"/>
    <cellStyle name="20% - Accent4 108" xfId="13023"/>
    <cellStyle name="20% - Accent4 109" xfId="13024"/>
    <cellStyle name="20% - Accent4 11" xfId="13025"/>
    <cellStyle name="20% - Accent4 11 2" xfId="13026"/>
    <cellStyle name="20% - Accent4 11 3" xfId="13027"/>
    <cellStyle name="20% - Accent4 11 4" xfId="13028"/>
    <cellStyle name="20% - Accent4 11 5" xfId="13029"/>
    <cellStyle name="20% - Accent4 11 6" xfId="13030"/>
    <cellStyle name="20% - Accent4 11 7" xfId="13031"/>
    <cellStyle name="20% - Accent4 11 8" xfId="13032"/>
    <cellStyle name="20% - Accent4 11_2009 Actual" xfId="13033"/>
    <cellStyle name="20% - Accent4 110" xfId="13034"/>
    <cellStyle name="20% - Accent4 111" xfId="13035"/>
    <cellStyle name="20% - Accent4 112" xfId="13036"/>
    <cellStyle name="20% - Accent4 113" xfId="13037"/>
    <cellStyle name="20% - Accent4 114" xfId="13038"/>
    <cellStyle name="20% - Accent4 115" xfId="13039"/>
    <cellStyle name="20% - Accent4 116" xfId="13040"/>
    <cellStyle name="20% - Accent4 117" xfId="13041"/>
    <cellStyle name="20% - Accent4 118" xfId="13042"/>
    <cellStyle name="20% - Accent4 119" xfId="13043"/>
    <cellStyle name="20% - Accent4 12" xfId="13044"/>
    <cellStyle name="20% - Accent4 12 10" xfId="13045"/>
    <cellStyle name="20% - Accent4 12 10 2" xfId="13046"/>
    <cellStyle name="20% - Accent4 12 10 3" xfId="13047"/>
    <cellStyle name="20% - Accent4 12 11" xfId="13048"/>
    <cellStyle name="20% - Accent4 12 12" xfId="13049"/>
    <cellStyle name="20% - Accent4 12 13" xfId="13050"/>
    <cellStyle name="20% - Accent4 12 2" xfId="13051"/>
    <cellStyle name="20% - Accent4 12 2 2" xfId="13052"/>
    <cellStyle name="20% - Accent4 12 2 2 2" xfId="13053"/>
    <cellStyle name="20% - Accent4 12 2 2 3" xfId="13054"/>
    <cellStyle name="20% - Accent4 12 2 3" xfId="13055"/>
    <cellStyle name="20% - Accent4 12 2 3 2" xfId="13056"/>
    <cellStyle name="20% - Accent4 12 2 3 3" xfId="13057"/>
    <cellStyle name="20% - Accent4 12 2 4" xfId="13058"/>
    <cellStyle name="20% - Accent4 12 2 5" xfId="13059"/>
    <cellStyle name="20% - Accent4 12 2_Elec Margin Analysis" xfId="13060"/>
    <cellStyle name="20% - Accent4 12 3" xfId="13061"/>
    <cellStyle name="20% - Accent4 12 3 2" xfId="13062"/>
    <cellStyle name="20% - Accent4 12 3 2 2" xfId="13063"/>
    <cellStyle name="20% - Accent4 12 3 2 3" xfId="13064"/>
    <cellStyle name="20% - Accent4 12 3 3" xfId="13065"/>
    <cellStyle name="20% - Accent4 12 3 3 2" xfId="13066"/>
    <cellStyle name="20% - Accent4 12 3 3 3" xfId="13067"/>
    <cellStyle name="20% - Accent4 12 3 4" xfId="13068"/>
    <cellStyle name="20% - Accent4 12 3 5" xfId="13069"/>
    <cellStyle name="20% - Accent4 12 3_Elec Margin Analysis" xfId="13070"/>
    <cellStyle name="20% - Accent4 12 4" xfId="13071"/>
    <cellStyle name="20% - Accent4 12 4 2" xfId="13072"/>
    <cellStyle name="20% - Accent4 12 4 2 2" xfId="13073"/>
    <cellStyle name="20% - Accent4 12 4 2 3" xfId="13074"/>
    <cellStyle name="20% - Accent4 12 4 3" xfId="13075"/>
    <cellStyle name="20% - Accent4 12 4 3 2" xfId="13076"/>
    <cellStyle name="20% - Accent4 12 4 3 3" xfId="13077"/>
    <cellStyle name="20% - Accent4 12 4 4" xfId="13078"/>
    <cellStyle name="20% - Accent4 12 4 5" xfId="13079"/>
    <cellStyle name="20% - Accent4 12 4_Elec Margin Analysis" xfId="13080"/>
    <cellStyle name="20% - Accent4 12 5" xfId="13081"/>
    <cellStyle name="20% - Accent4 12 5 2" xfId="13082"/>
    <cellStyle name="20% - Accent4 12 5 2 2" xfId="13083"/>
    <cellStyle name="20% - Accent4 12 5 2 3" xfId="13084"/>
    <cellStyle name="20% - Accent4 12 5 3" xfId="13085"/>
    <cellStyle name="20% - Accent4 12 5 3 2" xfId="13086"/>
    <cellStyle name="20% - Accent4 12 5 3 3" xfId="13087"/>
    <cellStyle name="20% - Accent4 12 5 4" xfId="13088"/>
    <cellStyle name="20% - Accent4 12 5 5" xfId="13089"/>
    <cellStyle name="20% - Accent4 12 5_Elec Margin Analysis" xfId="13090"/>
    <cellStyle name="20% - Accent4 12 6" xfId="13091"/>
    <cellStyle name="20% - Accent4 12 6 2" xfId="13092"/>
    <cellStyle name="20% - Accent4 12 6 2 2" xfId="13093"/>
    <cellStyle name="20% - Accent4 12 6 2 3" xfId="13094"/>
    <cellStyle name="20% - Accent4 12 6 3" xfId="13095"/>
    <cellStyle name="20% - Accent4 12 6 3 2" xfId="13096"/>
    <cellStyle name="20% - Accent4 12 6 3 3" xfId="13097"/>
    <cellStyle name="20% - Accent4 12 7" xfId="13098"/>
    <cellStyle name="20% - Accent4 12 7 2" xfId="13099"/>
    <cellStyle name="20% - Accent4 12 7 3" xfId="13100"/>
    <cellStyle name="20% - Accent4 12 8" xfId="13101"/>
    <cellStyle name="20% - Accent4 12 8 2" xfId="13102"/>
    <cellStyle name="20% - Accent4 12 8 3" xfId="13103"/>
    <cellStyle name="20% - Accent4 12 9" xfId="13104"/>
    <cellStyle name="20% - Accent4 12 9 2" xfId="13105"/>
    <cellStyle name="20% - Accent4 12 9 3" xfId="13106"/>
    <cellStyle name="20% - Accent4 12_2009 Actual" xfId="13107"/>
    <cellStyle name="20% - Accent4 120" xfId="13108"/>
    <cellStyle name="20% - Accent4 13" xfId="13109"/>
    <cellStyle name="20% - Accent4 13 2" xfId="13110"/>
    <cellStyle name="20% - Accent4 13 2 2" xfId="13111"/>
    <cellStyle name="20% - Accent4 13 2 3" xfId="13112"/>
    <cellStyle name="20% - Accent4 13 3" xfId="13113"/>
    <cellStyle name="20% - Accent4 13 3 2" xfId="13114"/>
    <cellStyle name="20% - Accent4 13 3 3" xfId="13115"/>
    <cellStyle name="20% - Accent4 13 4" xfId="13116"/>
    <cellStyle name="20% - Accent4 13 4 2" xfId="13117"/>
    <cellStyle name="20% - Accent4 13 4 3" xfId="13118"/>
    <cellStyle name="20% - Accent4 13 5" xfId="13119"/>
    <cellStyle name="20% - Accent4 13 5 2" xfId="13120"/>
    <cellStyle name="20% - Accent4 13 5 3" xfId="13121"/>
    <cellStyle name="20% - Accent4 13 6" xfId="13122"/>
    <cellStyle name="20% - Accent4 13 6 2" xfId="13123"/>
    <cellStyle name="20% - Accent4 13 6 3" xfId="13124"/>
    <cellStyle name="20% - Accent4 13 7" xfId="13125"/>
    <cellStyle name="20% - Accent4 13 7 2" xfId="13126"/>
    <cellStyle name="20% - Accent4 13 7 3" xfId="13127"/>
    <cellStyle name="20% - Accent4 13 8" xfId="13128"/>
    <cellStyle name="20% - Accent4 13 9" xfId="13129"/>
    <cellStyle name="20% - Accent4 13_2009 Actual" xfId="13130"/>
    <cellStyle name="20% - Accent4 14" xfId="13131"/>
    <cellStyle name="20% - Accent4 14 2" xfId="13132"/>
    <cellStyle name="20% - Accent4 14 2 2" xfId="13133"/>
    <cellStyle name="20% - Accent4 14 2 3" xfId="13134"/>
    <cellStyle name="20% - Accent4 14 3" xfId="13135"/>
    <cellStyle name="20% - Accent4 14 3 2" xfId="13136"/>
    <cellStyle name="20% - Accent4 14 3 3" xfId="13137"/>
    <cellStyle name="20% - Accent4 14 4" xfId="13138"/>
    <cellStyle name="20% - Accent4 14 4 2" xfId="13139"/>
    <cellStyle name="20% - Accent4 14 4 3" xfId="13140"/>
    <cellStyle name="20% - Accent4 14 5" xfId="13141"/>
    <cellStyle name="20% - Accent4 14 5 2" xfId="13142"/>
    <cellStyle name="20% - Accent4 14 5 3" xfId="13143"/>
    <cellStyle name="20% - Accent4 14 6" xfId="13144"/>
    <cellStyle name="20% - Accent4 14 6 2" xfId="13145"/>
    <cellStyle name="20% - Accent4 14 6 3" xfId="13146"/>
    <cellStyle name="20% - Accent4 14 7" xfId="13147"/>
    <cellStyle name="20% - Accent4 14 7 2" xfId="13148"/>
    <cellStyle name="20% - Accent4 14 7 3" xfId="13149"/>
    <cellStyle name="20% - Accent4 14 8" xfId="13150"/>
    <cellStyle name="20% - Accent4 14 9" xfId="13151"/>
    <cellStyle name="20% - Accent4 14_2009 Actual" xfId="13152"/>
    <cellStyle name="20% - Accent4 15" xfId="13153"/>
    <cellStyle name="20% - Accent4 15 2" xfId="13154"/>
    <cellStyle name="20% - Accent4 15 3" xfId="13155"/>
    <cellStyle name="20% - Accent4 15 4" xfId="13156"/>
    <cellStyle name="20% - Accent4 15 5" xfId="13157"/>
    <cellStyle name="20% - Accent4 15 6" xfId="13158"/>
    <cellStyle name="20% - Accent4 15_BHP" xfId="13159"/>
    <cellStyle name="20% - Accent4 16" xfId="13160"/>
    <cellStyle name="20% - Accent4 17" xfId="13161"/>
    <cellStyle name="20% - Accent4 18" xfId="13162"/>
    <cellStyle name="20% - Accent4 19" xfId="13163"/>
    <cellStyle name="20% - Accent4 19 2" xfId="13164"/>
    <cellStyle name="20% - Accent4 19 3" xfId="13165"/>
    <cellStyle name="20% - Accent4 19 4" xfId="13166"/>
    <cellStyle name="20% - Accent4 19 5" xfId="13167"/>
    <cellStyle name="20% - Accent4 19_Elec Margin Analysis" xfId="13168"/>
    <cellStyle name="20% - Accent4 2" xfId="45"/>
    <cellStyle name="20% - Accent4 2 10" xfId="13169"/>
    <cellStyle name="20% - Accent4 2 10 2" xfId="13170"/>
    <cellStyle name="20% - Accent4 2 10 2 2" xfId="13171"/>
    <cellStyle name="20% - Accent4 2 10 2 3" xfId="13172"/>
    <cellStyle name="20% - Accent4 2 10 3" xfId="13173"/>
    <cellStyle name="20% - Accent4 2 10 3 2" xfId="13174"/>
    <cellStyle name="20% - Accent4 2 10 3 3" xfId="13175"/>
    <cellStyle name="20% - Accent4 2 10 4" xfId="13176"/>
    <cellStyle name="20% - Accent4 2 10 5" xfId="13177"/>
    <cellStyle name="20% - Accent4 2 10 6" xfId="13178"/>
    <cellStyle name="20% - Accent4 2 10 6 2" xfId="13179"/>
    <cellStyle name="20% - Accent4 2 10_BHP" xfId="13180"/>
    <cellStyle name="20% - Accent4 2 100" xfId="13181"/>
    <cellStyle name="20% - Accent4 2 100 2" xfId="13182"/>
    <cellStyle name="20% - Accent4 2 100 2 2" xfId="13183"/>
    <cellStyle name="20% - Accent4 2 100 3" xfId="13184"/>
    <cellStyle name="20% - Accent4 2 100 4" xfId="13185"/>
    <cellStyle name="20% - Accent4 2 101" xfId="13186"/>
    <cellStyle name="20% - Accent4 2 101 2" xfId="13187"/>
    <cellStyle name="20% - Accent4 2 101 2 2" xfId="13188"/>
    <cellStyle name="20% - Accent4 2 101 3" xfId="13189"/>
    <cellStyle name="20% - Accent4 2 101 4" xfId="13190"/>
    <cellStyle name="20% - Accent4 2 102" xfId="13191"/>
    <cellStyle name="20% - Accent4 2 102 2" xfId="13192"/>
    <cellStyle name="20% - Accent4 2 102 2 2" xfId="13193"/>
    <cellStyle name="20% - Accent4 2 102 3" xfId="13194"/>
    <cellStyle name="20% - Accent4 2 102 4" xfId="13195"/>
    <cellStyle name="20% - Accent4 2 103" xfId="13196"/>
    <cellStyle name="20% - Accent4 2 103 2" xfId="13197"/>
    <cellStyle name="20% - Accent4 2 103 2 2" xfId="13198"/>
    <cellStyle name="20% - Accent4 2 103 3" xfId="13199"/>
    <cellStyle name="20% - Accent4 2 103 4" xfId="13200"/>
    <cellStyle name="20% - Accent4 2 104" xfId="13201"/>
    <cellStyle name="20% - Accent4 2 104 2" xfId="13202"/>
    <cellStyle name="20% - Accent4 2 104 2 2" xfId="13203"/>
    <cellStyle name="20% - Accent4 2 104 3" xfId="13204"/>
    <cellStyle name="20% - Accent4 2 104 4" xfId="13205"/>
    <cellStyle name="20% - Accent4 2 105" xfId="13206"/>
    <cellStyle name="20% - Accent4 2 105 2" xfId="13207"/>
    <cellStyle name="20% - Accent4 2 105 2 2" xfId="13208"/>
    <cellStyle name="20% - Accent4 2 105 3" xfId="13209"/>
    <cellStyle name="20% - Accent4 2 105 4" xfId="13210"/>
    <cellStyle name="20% - Accent4 2 106" xfId="13211"/>
    <cellStyle name="20% - Accent4 2 106 2" xfId="13212"/>
    <cellStyle name="20% - Accent4 2 106 2 2" xfId="13213"/>
    <cellStyle name="20% - Accent4 2 106 3" xfId="13214"/>
    <cellStyle name="20% - Accent4 2 106 4" xfId="13215"/>
    <cellStyle name="20% - Accent4 2 107" xfId="13216"/>
    <cellStyle name="20% - Accent4 2 107 2" xfId="13217"/>
    <cellStyle name="20% - Accent4 2 107 2 2" xfId="13218"/>
    <cellStyle name="20% - Accent4 2 107 3" xfId="13219"/>
    <cellStyle name="20% - Accent4 2 107 4" xfId="13220"/>
    <cellStyle name="20% - Accent4 2 108" xfId="13221"/>
    <cellStyle name="20% - Accent4 2 108 2" xfId="13222"/>
    <cellStyle name="20% - Accent4 2 108 2 2" xfId="13223"/>
    <cellStyle name="20% - Accent4 2 108 3" xfId="13224"/>
    <cellStyle name="20% - Accent4 2 108 4" xfId="13225"/>
    <cellStyle name="20% - Accent4 2 109" xfId="13226"/>
    <cellStyle name="20% - Accent4 2 109 2" xfId="13227"/>
    <cellStyle name="20% - Accent4 2 109 2 2" xfId="13228"/>
    <cellStyle name="20% - Accent4 2 109 3" xfId="13229"/>
    <cellStyle name="20% - Accent4 2 109 4" xfId="13230"/>
    <cellStyle name="20% - Accent4 2 11" xfId="13231"/>
    <cellStyle name="20% - Accent4 2 11 2" xfId="13232"/>
    <cellStyle name="20% - Accent4 2 11 2 2" xfId="13233"/>
    <cellStyle name="20% - Accent4 2 11 2 3" xfId="13234"/>
    <cellStyle name="20% - Accent4 2 11 3" xfId="13235"/>
    <cellStyle name="20% - Accent4 2 11 3 2" xfId="13236"/>
    <cellStyle name="20% - Accent4 2 11 3 3" xfId="13237"/>
    <cellStyle name="20% - Accent4 2 110" xfId="13238"/>
    <cellStyle name="20% - Accent4 2 110 2" xfId="13239"/>
    <cellStyle name="20% - Accent4 2 110 2 2" xfId="13240"/>
    <cellStyle name="20% - Accent4 2 110 3" xfId="13241"/>
    <cellStyle name="20% - Accent4 2 110 4" xfId="13242"/>
    <cellStyle name="20% - Accent4 2 111" xfId="13243"/>
    <cellStyle name="20% - Accent4 2 111 2" xfId="13244"/>
    <cellStyle name="20% - Accent4 2 111 2 2" xfId="13245"/>
    <cellStyle name="20% - Accent4 2 111 3" xfId="13246"/>
    <cellStyle name="20% - Accent4 2 111 4" xfId="13247"/>
    <cellStyle name="20% - Accent4 2 112" xfId="13248"/>
    <cellStyle name="20% - Accent4 2 112 2" xfId="13249"/>
    <cellStyle name="20% - Accent4 2 112 2 2" xfId="13250"/>
    <cellStyle name="20% - Accent4 2 112 3" xfId="13251"/>
    <cellStyle name="20% - Accent4 2 112 4" xfId="13252"/>
    <cellStyle name="20% - Accent4 2 113" xfId="13253"/>
    <cellStyle name="20% - Accent4 2 113 2" xfId="13254"/>
    <cellStyle name="20% - Accent4 2 113 2 2" xfId="13255"/>
    <cellStyle name="20% - Accent4 2 113 3" xfId="13256"/>
    <cellStyle name="20% - Accent4 2 113 4" xfId="13257"/>
    <cellStyle name="20% - Accent4 2 114" xfId="13258"/>
    <cellStyle name="20% - Accent4 2 114 2" xfId="13259"/>
    <cellStyle name="20% - Accent4 2 114 2 2" xfId="13260"/>
    <cellStyle name="20% - Accent4 2 114 3" xfId="13261"/>
    <cellStyle name="20% - Accent4 2 114 4" xfId="13262"/>
    <cellStyle name="20% - Accent4 2 115" xfId="13263"/>
    <cellStyle name="20% - Accent4 2 115 2" xfId="13264"/>
    <cellStyle name="20% - Accent4 2 115 2 2" xfId="13265"/>
    <cellStyle name="20% - Accent4 2 115 3" xfId="13266"/>
    <cellStyle name="20% - Accent4 2 115 4" xfId="13267"/>
    <cellStyle name="20% - Accent4 2 116" xfId="13268"/>
    <cellStyle name="20% - Accent4 2 116 2" xfId="13269"/>
    <cellStyle name="20% - Accent4 2 116 2 2" xfId="13270"/>
    <cellStyle name="20% - Accent4 2 116 3" xfId="13271"/>
    <cellStyle name="20% - Accent4 2 116 4" xfId="13272"/>
    <cellStyle name="20% - Accent4 2 117" xfId="13273"/>
    <cellStyle name="20% - Accent4 2 117 2" xfId="13274"/>
    <cellStyle name="20% - Accent4 2 117 2 2" xfId="13275"/>
    <cellStyle name="20% - Accent4 2 117 3" xfId="13276"/>
    <cellStyle name="20% - Accent4 2 117 4" xfId="13277"/>
    <cellStyle name="20% - Accent4 2 118" xfId="13278"/>
    <cellStyle name="20% - Accent4 2 118 2" xfId="13279"/>
    <cellStyle name="20% - Accent4 2 118 2 2" xfId="13280"/>
    <cellStyle name="20% - Accent4 2 118 3" xfId="13281"/>
    <cellStyle name="20% - Accent4 2 118 4" xfId="13282"/>
    <cellStyle name="20% - Accent4 2 119" xfId="13283"/>
    <cellStyle name="20% - Accent4 2 119 2" xfId="13284"/>
    <cellStyle name="20% - Accent4 2 12" xfId="13285"/>
    <cellStyle name="20% - Accent4 2 12 2" xfId="13286"/>
    <cellStyle name="20% - Accent4 2 12 3" xfId="13287"/>
    <cellStyle name="20% - Accent4 2 120" xfId="13288"/>
    <cellStyle name="20% - Accent4 2 120 2" xfId="13289"/>
    <cellStyle name="20% - Accent4 2 121" xfId="13290"/>
    <cellStyle name="20% - Accent4 2 121 2" xfId="13291"/>
    <cellStyle name="20% - Accent4 2 122" xfId="13292"/>
    <cellStyle name="20% - Accent4 2 122 2" xfId="13293"/>
    <cellStyle name="20% - Accent4 2 123" xfId="13294"/>
    <cellStyle name="20% - Accent4 2 124" xfId="13295"/>
    <cellStyle name="20% - Accent4 2 125" xfId="13296"/>
    <cellStyle name="20% - Accent4 2 126" xfId="13297"/>
    <cellStyle name="20% - Accent4 2 127" xfId="13298"/>
    <cellStyle name="20% - Accent4 2 128" xfId="13299"/>
    <cellStyle name="20% - Accent4 2 129" xfId="13300"/>
    <cellStyle name="20% - Accent4 2 13" xfId="13301"/>
    <cellStyle name="20% - Accent4 2 13 2" xfId="13302"/>
    <cellStyle name="20% - Accent4 2 13 3" xfId="13303"/>
    <cellStyle name="20% - Accent4 2 130" xfId="13304"/>
    <cellStyle name="20% - Accent4 2 131" xfId="13305"/>
    <cellStyle name="20% - Accent4 2 132" xfId="13306"/>
    <cellStyle name="20% - Accent4 2 133" xfId="13307"/>
    <cellStyle name="20% - Accent4 2 134" xfId="13308"/>
    <cellStyle name="20% - Accent4 2 135" xfId="13309"/>
    <cellStyle name="20% - Accent4 2 136" xfId="13310"/>
    <cellStyle name="20% - Accent4 2 137" xfId="13311"/>
    <cellStyle name="20% - Accent4 2 138" xfId="13312"/>
    <cellStyle name="20% - Accent4 2 139" xfId="13313"/>
    <cellStyle name="20% - Accent4 2 14" xfId="13314"/>
    <cellStyle name="20% - Accent4 2 14 2" xfId="13315"/>
    <cellStyle name="20% - Accent4 2 14 3" xfId="13316"/>
    <cellStyle name="20% - Accent4 2 140" xfId="13317"/>
    <cellStyle name="20% - Accent4 2 141" xfId="13318"/>
    <cellStyle name="20% - Accent4 2 142" xfId="13319"/>
    <cellStyle name="20% - Accent4 2 143" xfId="13320"/>
    <cellStyle name="20% - Accent4 2 15" xfId="13321"/>
    <cellStyle name="20% - Accent4 2 16" xfId="13322"/>
    <cellStyle name="20% - Accent4 2 17" xfId="13323"/>
    <cellStyle name="20% - Accent4 2 18" xfId="13324"/>
    <cellStyle name="20% - Accent4 2 19" xfId="13325"/>
    <cellStyle name="20% - Accent4 2 19 2" xfId="13326"/>
    <cellStyle name="20% - Accent4 2 19 2 2" xfId="13327"/>
    <cellStyle name="20% - Accent4 2 19 2 2 2" xfId="13328"/>
    <cellStyle name="20% - Accent4 2 19 2 2 3" xfId="13329"/>
    <cellStyle name="20% - Accent4 2 19 2 3" xfId="13330"/>
    <cellStyle name="20% - Accent4 2 19 2 3 2" xfId="13331"/>
    <cellStyle name="20% - Accent4 2 19 2 4" xfId="13332"/>
    <cellStyle name="20% - Accent4 2 19 2 5" xfId="13333"/>
    <cellStyle name="20% - Accent4 2 19 3" xfId="13334"/>
    <cellStyle name="20% - Accent4 2 19 3 2" xfId="13335"/>
    <cellStyle name="20% - Accent4 2 19 3 2 2" xfId="13336"/>
    <cellStyle name="20% - Accent4 2 19 3 3" xfId="13337"/>
    <cellStyle name="20% - Accent4 2 19 3 4" xfId="13338"/>
    <cellStyle name="20% - Accent4 2 19 4" xfId="13339"/>
    <cellStyle name="20% - Accent4 2 19 4 2" xfId="13340"/>
    <cellStyle name="20% - Accent4 2 19 4 2 2" xfId="13341"/>
    <cellStyle name="20% - Accent4 2 19 4 3" xfId="13342"/>
    <cellStyle name="20% - Accent4 2 19 4 4" xfId="13343"/>
    <cellStyle name="20% - Accent4 2 19 5" xfId="13344"/>
    <cellStyle name="20% - Accent4 2 19 5 2" xfId="13345"/>
    <cellStyle name="20% - Accent4 2 19 6" xfId="13346"/>
    <cellStyle name="20% - Accent4 2 19 7" xfId="13347"/>
    <cellStyle name="20% - Accent4 2 19 8" xfId="13348"/>
    <cellStyle name="20% - Accent4 2 2" xfId="242"/>
    <cellStyle name="20% - Accent4 2 2 10" xfId="13349"/>
    <cellStyle name="20% - Accent4 2 2 10 2" xfId="13350"/>
    <cellStyle name="20% - Accent4 2 2 10 3" xfId="13351"/>
    <cellStyle name="20% - Accent4 2 2 11" xfId="13352"/>
    <cellStyle name="20% - Accent4 2 2 12" xfId="13353"/>
    <cellStyle name="20% - Accent4 2 2 12 2" xfId="13354"/>
    <cellStyle name="20% - Accent4 2 2 12 2 2" xfId="13355"/>
    <cellStyle name="20% - Accent4 2 2 12 2 2 2" xfId="13356"/>
    <cellStyle name="20% - Accent4 2 2 12 2 2 3" xfId="13357"/>
    <cellStyle name="20% - Accent4 2 2 12 2 3" xfId="13358"/>
    <cellStyle name="20% - Accent4 2 2 12 2 3 2" xfId="13359"/>
    <cellStyle name="20% - Accent4 2 2 12 2 4" xfId="13360"/>
    <cellStyle name="20% - Accent4 2 2 12 2 5" xfId="13361"/>
    <cellStyle name="20% - Accent4 2 2 12 3" xfId="13362"/>
    <cellStyle name="20% - Accent4 2 2 12 3 2" xfId="13363"/>
    <cellStyle name="20% - Accent4 2 2 12 3 2 2" xfId="13364"/>
    <cellStyle name="20% - Accent4 2 2 12 3 3" xfId="13365"/>
    <cellStyle name="20% - Accent4 2 2 12 3 4" xfId="13366"/>
    <cellStyle name="20% - Accent4 2 2 12 4" xfId="13367"/>
    <cellStyle name="20% - Accent4 2 2 12 4 2" xfId="13368"/>
    <cellStyle name="20% - Accent4 2 2 12 4 2 2" xfId="13369"/>
    <cellStyle name="20% - Accent4 2 2 12 4 3" xfId="13370"/>
    <cellStyle name="20% - Accent4 2 2 12 4 4" xfId="13371"/>
    <cellStyle name="20% - Accent4 2 2 12 5" xfId="13372"/>
    <cellStyle name="20% - Accent4 2 2 12 5 2" xfId="13373"/>
    <cellStyle name="20% - Accent4 2 2 12 6" xfId="13374"/>
    <cellStyle name="20% - Accent4 2 2 12 7" xfId="13375"/>
    <cellStyle name="20% - Accent4 2 2 12 8" xfId="13376"/>
    <cellStyle name="20% - Accent4 2 2 13" xfId="13377"/>
    <cellStyle name="20% - Accent4 2 2 13 2" xfId="13378"/>
    <cellStyle name="20% - Accent4 2 2 13 2 2" xfId="13379"/>
    <cellStyle name="20% - Accent4 2 2 13 2 2 2" xfId="13380"/>
    <cellStyle name="20% - Accent4 2 2 13 2 2 3" xfId="13381"/>
    <cellStyle name="20% - Accent4 2 2 13 2 3" xfId="13382"/>
    <cellStyle name="20% - Accent4 2 2 13 2 3 2" xfId="13383"/>
    <cellStyle name="20% - Accent4 2 2 13 2 4" xfId="13384"/>
    <cellStyle name="20% - Accent4 2 2 13 2 5" xfId="13385"/>
    <cellStyle name="20% - Accent4 2 2 13 3" xfId="13386"/>
    <cellStyle name="20% - Accent4 2 2 13 3 2" xfId="13387"/>
    <cellStyle name="20% - Accent4 2 2 13 3 2 2" xfId="13388"/>
    <cellStyle name="20% - Accent4 2 2 13 3 3" xfId="13389"/>
    <cellStyle name="20% - Accent4 2 2 13 3 4" xfId="13390"/>
    <cellStyle name="20% - Accent4 2 2 13 4" xfId="13391"/>
    <cellStyle name="20% - Accent4 2 2 13 4 2" xfId="13392"/>
    <cellStyle name="20% - Accent4 2 2 13 4 2 2" xfId="13393"/>
    <cellStyle name="20% - Accent4 2 2 13 4 3" xfId="13394"/>
    <cellStyle name="20% - Accent4 2 2 13 4 4" xfId="13395"/>
    <cellStyle name="20% - Accent4 2 2 13 5" xfId="13396"/>
    <cellStyle name="20% - Accent4 2 2 13 5 2" xfId="13397"/>
    <cellStyle name="20% - Accent4 2 2 13 6" xfId="13398"/>
    <cellStyle name="20% - Accent4 2 2 13 7" xfId="13399"/>
    <cellStyle name="20% - Accent4 2 2 13 8" xfId="13400"/>
    <cellStyle name="20% - Accent4 2 2 14" xfId="13401"/>
    <cellStyle name="20% - Accent4 2 2 14 2" xfId="13402"/>
    <cellStyle name="20% - Accent4 2 2 14 2 2" xfId="13403"/>
    <cellStyle name="20% - Accent4 2 2 14 2 2 2" xfId="13404"/>
    <cellStyle name="20% - Accent4 2 2 14 2 2 3" xfId="13405"/>
    <cellStyle name="20% - Accent4 2 2 14 2 3" xfId="13406"/>
    <cellStyle name="20% - Accent4 2 2 14 2 3 2" xfId="13407"/>
    <cellStyle name="20% - Accent4 2 2 14 2 4" xfId="13408"/>
    <cellStyle name="20% - Accent4 2 2 14 2 5" xfId="13409"/>
    <cellStyle name="20% - Accent4 2 2 14 3" xfId="13410"/>
    <cellStyle name="20% - Accent4 2 2 14 3 2" xfId="13411"/>
    <cellStyle name="20% - Accent4 2 2 14 3 2 2" xfId="13412"/>
    <cellStyle name="20% - Accent4 2 2 14 3 3" xfId="13413"/>
    <cellStyle name="20% - Accent4 2 2 14 3 4" xfId="13414"/>
    <cellStyle name="20% - Accent4 2 2 14 4" xfId="13415"/>
    <cellStyle name="20% - Accent4 2 2 14 4 2" xfId="13416"/>
    <cellStyle name="20% - Accent4 2 2 14 4 2 2" xfId="13417"/>
    <cellStyle name="20% - Accent4 2 2 14 4 3" xfId="13418"/>
    <cellStyle name="20% - Accent4 2 2 14 4 4" xfId="13419"/>
    <cellStyle name="20% - Accent4 2 2 14 5" xfId="13420"/>
    <cellStyle name="20% - Accent4 2 2 14 5 2" xfId="13421"/>
    <cellStyle name="20% - Accent4 2 2 14 6" xfId="13422"/>
    <cellStyle name="20% - Accent4 2 2 14 7" xfId="13423"/>
    <cellStyle name="20% - Accent4 2 2 14 8" xfId="13424"/>
    <cellStyle name="20% - Accent4 2 2 2" xfId="13425"/>
    <cellStyle name="20% - Accent4 2 2 2 10" xfId="13426"/>
    <cellStyle name="20% - Accent4 2 2 2 11" xfId="13427"/>
    <cellStyle name="20% - Accent4 2 2 2 2" xfId="13428"/>
    <cellStyle name="20% - Accent4 2 2 2 3" xfId="13429"/>
    <cellStyle name="20% - Accent4 2 2 2 4" xfId="13430"/>
    <cellStyle name="20% - Accent4 2 2 2 5" xfId="13431"/>
    <cellStyle name="20% - Accent4 2 2 2 6" xfId="13432"/>
    <cellStyle name="20% - Accent4 2 2 2 7" xfId="13433"/>
    <cellStyle name="20% - Accent4 2 2 2 8" xfId="13434"/>
    <cellStyle name="20% - Accent4 2 2 2 9" xfId="13435"/>
    <cellStyle name="20% - Accent4 2 2 2_4Q Ops Metrics Gas &amp; Electric 2010" xfId="13436"/>
    <cellStyle name="20% - Accent4 2 2 3" xfId="13437"/>
    <cellStyle name="20% - Accent4 2 2 3 2" xfId="13438"/>
    <cellStyle name="20% - Accent4 2 2 4" xfId="13439"/>
    <cellStyle name="20% - Accent4 2 2 4 2" xfId="13440"/>
    <cellStyle name="20% - Accent4 2 2 5" xfId="13441"/>
    <cellStyle name="20% - Accent4 2 2 5 2" xfId="13442"/>
    <cellStyle name="20% - Accent4 2 2 6" xfId="13443"/>
    <cellStyle name="20% - Accent4 2 2 6 2" xfId="13444"/>
    <cellStyle name="20% - Accent4 2 2 7" xfId="13445"/>
    <cellStyle name="20% - Accent4 2 2 7 2" xfId="13446"/>
    <cellStyle name="20% - Accent4 2 2 8" xfId="13447"/>
    <cellStyle name="20% - Accent4 2 2 8 2" xfId="13448"/>
    <cellStyle name="20% - Accent4 2 2 8 3" xfId="13449"/>
    <cellStyle name="20% - Accent4 2 2 9" xfId="13450"/>
    <cellStyle name="20% - Accent4 2 2 9 2" xfId="13451"/>
    <cellStyle name="20% - Accent4 2 2 9 3" xfId="13452"/>
    <cellStyle name="20% - Accent4 2 2_2009 Actual" xfId="13453"/>
    <cellStyle name="20% - Accent4 2 20" xfId="13454"/>
    <cellStyle name="20% - Accent4 2 20 2" xfId="13455"/>
    <cellStyle name="20% - Accent4 2 20 2 2" xfId="13456"/>
    <cellStyle name="20% - Accent4 2 20 2 2 2" xfId="13457"/>
    <cellStyle name="20% - Accent4 2 20 2 2 3" xfId="13458"/>
    <cellStyle name="20% - Accent4 2 20 2 3" xfId="13459"/>
    <cellStyle name="20% - Accent4 2 20 2 3 2" xfId="13460"/>
    <cellStyle name="20% - Accent4 2 20 2 4" xfId="13461"/>
    <cellStyle name="20% - Accent4 2 20 2 5" xfId="13462"/>
    <cellStyle name="20% - Accent4 2 20 3" xfId="13463"/>
    <cellStyle name="20% - Accent4 2 20 3 2" xfId="13464"/>
    <cellStyle name="20% - Accent4 2 20 3 2 2" xfId="13465"/>
    <cellStyle name="20% - Accent4 2 20 3 3" xfId="13466"/>
    <cellStyle name="20% - Accent4 2 20 3 4" xfId="13467"/>
    <cellStyle name="20% - Accent4 2 20 4" xfId="13468"/>
    <cellStyle name="20% - Accent4 2 20 4 2" xfId="13469"/>
    <cellStyle name="20% - Accent4 2 20 4 2 2" xfId="13470"/>
    <cellStyle name="20% - Accent4 2 20 4 3" xfId="13471"/>
    <cellStyle name="20% - Accent4 2 20 4 4" xfId="13472"/>
    <cellStyle name="20% - Accent4 2 20 5" xfId="13473"/>
    <cellStyle name="20% - Accent4 2 20 5 2" xfId="13474"/>
    <cellStyle name="20% - Accent4 2 20 6" xfId="13475"/>
    <cellStyle name="20% - Accent4 2 20 7" xfId="13476"/>
    <cellStyle name="20% - Accent4 2 20 8" xfId="13477"/>
    <cellStyle name="20% - Accent4 2 21" xfId="13478"/>
    <cellStyle name="20% - Accent4 2 21 2" xfId="13479"/>
    <cellStyle name="20% - Accent4 2 21 2 2" xfId="13480"/>
    <cellStyle name="20% - Accent4 2 21 2 2 2" xfId="13481"/>
    <cellStyle name="20% - Accent4 2 21 2 2 3" xfId="13482"/>
    <cellStyle name="20% - Accent4 2 21 2 3" xfId="13483"/>
    <cellStyle name="20% - Accent4 2 21 2 3 2" xfId="13484"/>
    <cellStyle name="20% - Accent4 2 21 2 4" xfId="13485"/>
    <cellStyle name="20% - Accent4 2 21 2 5" xfId="13486"/>
    <cellStyle name="20% - Accent4 2 21 3" xfId="13487"/>
    <cellStyle name="20% - Accent4 2 21 3 2" xfId="13488"/>
    <cellStyle name="20% - Accent4 2 21 3 2 2" xfId="13489"/>
    <cellStyle name="20% - Accent4 2 21 3 3" xfId="13490"/>
    <cellStyle name="20% - Accent4 2 21 3 4" xfId="13491"/>
    <cellStyle name="20% - Accent4 2 21 4" xfId="13492"/>
    <cellStyle name="20% - Accent4 2 21 4 2" xfId="13493"/>
    <cellStyle name="20% - Accent4 2 21 4 2 2" xfId="13494"/>
    <cellStyle name="20% - Accent4 2 21 4 3" xfId="13495"/>
    <cellStyle name="20% - Accent4 2 21 4 4" xfId="13496"/>
    <cellStyle name="20% - Accent4 2 21 5" xfId="13497"/>
    <cellStyle name="20% - Accent4 2 21 5 2" xfId="13498"/>
    <cellStyle name="20% - Accent4 2 21 6" xfId="13499"/>
    <cellStyle name="20% - Accent4 2 21 7" xfId="13500"/>
    <cellStyle name="20% - Accent4 2 21 8" xfId="13501"/>
    <cellStyle name="20% - Accent4 2 22" xfId="13502"/>
    <cellStyle name="20% - Accent4 2 22 2" xfId="13503"/>
    <cellStyle name="20% - Accent4 2 22 2 2" xfId="13504"/>
    <cellStyle name="20% - Accent4 2 22 2 2 2" xfId="13505"/>
    <cellStyle name="20% - Accent4 2 22 2 2 3" xfId="13506"/>
    <cellStyle name="20% - Accent4 2 22 2 3" xfId="13507"/>
    <cellStyle name="20% - Accent4 2 22 2 3 2" xfId="13508"/>
    <cellStyle name="20% - Accent4 2 22 2 4" xfId="13509"/>
    <cellStyle name="20% - Accent4 2 22 2 5" xfId="13510"/>
    <cellStyle name="20% - Accent4 2 22 3" xfId="13511"/>
    <cellStyle name="20% - Accent4 2 22 3 2" xfId="13512"/>
    <cellStyle name="20% - Accent4 2 22 3 2 2" xfId="13513"/>
    <cellStyle name="20% - Accent4 2 22 3 3" xfId="13514"/>
    <cellStyle name="20% - Accent4 2 22 3 4" xfId="13515"/>
    <cellStyle name="20% - Accent4 2 22 4" xfId="13516"/>
    <cellStyle name="20% - Accent4 2 22 4 2" xfId="13517"/>
    <cellStyle name="20% - Accent4 2 22 4 2 2" xfId="13518"/>
    <cellStyle name="20% - Accent4 2 22 4 3" xfId="13519"/>
    <cellStyle name="20% - Accent4 2 22 4 4" xfId="13520"/>
    <cellStyle name="20% - Accent4 2 22 5" xfId="13521"/>
    <cellStyle name="20% - Accent4 2 22 5 2" xfId="13522"/>
    <cellStyle name="20% - Accent4 2 22 6" xfId="13523"/>
    <cellStyle name="20% - Accent4 2 22 7" xfId="13524"/>
    <cellStyle name="20% - Accent4 2 22 8" xfId="13525"/>
    <cellStyle name="20% - Accent4 2 23" xfId="13526"/>
    <cellStyle name="20% - Accent4 2 23 2" xfId="13527"/>
    <cellStyle name="20% - Accent4 2 23 2 2" xfId="13528"/>
    <cellStyle name="20% - Accent4 2 23 2 2 2" xfId="13529"/>
    <cellStyle name="20% - Accent4 2 23 2 2 3" xfId="13530"/>
    <cellStyle name="20% - Accent4 2 23 2 3" xfId="13531"/>
    <cellStyle name="20% - Accent4 2 23 2 3 2" xfId="13532"/>
    <cellStyle name="20% - Accent4 2 23 2 4" xfId="13533"/>
    <cellStyle name="20% - Accent4 2 23 2 5" xfId="13534"/>
    <cellStyle name="20% - Accent4 2 23 3" xfId="13535"/>
    <cellStyle name="20% - Accent4 2 23 3 2" xfId="13536"/>
    <cellStyle name="20% - Accent4 2 23 3 2 2" xfId="13537"/>
    <cellStyle name="20% - Accent4 2 23 3 3" xfId="13538"/>
    <cellStyle name="20% - Accent4 2 23 3 4" xfId="13539"/>
    <cellStyle name="20% - Accent4 2 23 4" xfId="13540"/>
    <cellStyle name="20% - Accent4 2 23 4 2" xfId="13541"/>
    <cellStyle name="20% - Accent4 2 23 4 2 2" xfId="13542"/>
    <cellStyle name="20% - Accent4 2 23 4 3" xfId="13543"/>
    <cellStyle name="20% - Accent4 2 23 4 4" xfId="13544"/>
    <cellStyle name="20% - Accent4 2 23 5" xfId="13545"/>
    <cellStyle name="20% - Accent4 2 23 5 2" xfId="13546"/>
    <cellStyle name="20% - Accent4 2 23 6" xfId="13547"/>
    <cellStyle name="20% - Accent4 2 23 7" xfId="13548"/>
    <cellStyle name="20% - Accent4 2 23 8" xfId="13549"/>
    <cellStyle name="20% - Accent4 2 24" xfId="13550"/>
    <cellStyle name="20% - Accent4 2 24 2" xfId="13551"/>
    <cellStyle name="20% - Accent4 2 24 2 2" xfId="13552"/>
    <cellStyle name="20% - Accent4 2 24 2 2 2" xfId="13553"/>
    <cellStyle name="20% - Accent4 2 24 2 2 3" xfId="13554"/>
    <cellStyle name="20% - Accent4 2 24 2 3" xfId="13555"/>
    <cellStyle name="20% - Accent4 2 24 2 3 2" xfId="13556"/>
    <cellStyle name="20% - Accent4 2 24 2 4" xfId="13557"/>
    <cellStyle name="20% - Accent4 2 24 2 5" xfId="13558"/>
    <cellStyle name="20% - Accent4 2 24 3" xfId="13559"/>
    <cellStyle name="20% - Accent4 2 24 3 2" xfId="13560"/>
    <cellStyle name="20% - Accent4 2 24 3 2 2" xfId="13561"/>
    <cellStyle name="20% - Accent4 2 24 3 3" xfId="13562"/>
    <cellStyle name="20% - Accent4 2 24 3 4" xfId="13563"/>
    <cellStyle name="20% - Accent4 2 24 4" xfId="13564"/>
    <cellStyle name="20% - Accent4 2 24 4 2" xfId="13565"/>
    <cellStyle name="20% - Accent4 2 24 4 2 2" xfId="13566"/>
    <cellStyle name="20% - Accent4 2 24 4 3" xfId="13567"/>
    <cellStyle name="20% - Accent4 2 24 4 4" xfId="13568"/>
    <cellStyle name="20% - Accent4 2 24 5" xfId="13569"/>
    <cellStyle name="20% - Accent4 2 24 5 2" xfId="13570"/>
    <cellStyle name="20% - Accent4 2 24 6" xfId="13571"/>
    <cellStyle name="20% - Accent4 2 24 7" xfId="13572"/>
    <cellStyle name="20% - Accent4 2 24 8" xfId="13573"/>
    <cellStyle name="20% - Accent4 2 25" xfId="13574"/>
    <cellStyle name="20% - Accent4 2 25 2" xfId="13575"/>
    <cellStyle name="20% - Accent4 2 25 2 2" xfId="13576"/>
    <cellStyle name="20% - Accent4 2 25 2 2 2" xfId="13577"/>
    <cellStyle name="20% - Accent4 2 25 2 2 3" xfId="13578"/>
    <cellStyle name="20% - Accent4 2 25 2 3" xfId="13579"/>
    <cellStyle name="20% - Accent4 2 25 2 3 2" xfId="13580"/>
    <cellStyle name="20% - Accent4 2 25 2 4" xfId="13581"/>
    <cellStyle name="20% - Accent4 2 25 2 5" xfId="13582"/>
    <cellStyle name="20% - Accent4 2 25 3" xfId="13583"/>
    <cellStyle name="20% - Accent4 2 25 3 2" xfId="13584"/>
    <cellStyle name="20% - Accent4 2 25 3 2 2" xfId="13585"/>
    <cellStyle name="20% - Accent4 2 25 3 3" xfId="13586"/>
    <cellStyle name="20% - Accent4 2 25 3 4" xfId="13587"/>
    <cellStyle name="20% - Accent4 2 25 4" xfId="13588"/>
    <cellStyle name="20% - Accent4 2 25 4 2" xfId="13589"/>
    <cellStyle name="20% - Accent4 2 25 4 2 2" xfId="13590"/>
    <cellStyle name="20% - Accent4 2 25 4 3" xfId="13591"/>
    <cellStyle name="20% - Accent4 2 25 4 4" xfId="13592"/>
    <cellStyle name="20% - Accent4 2 25 5" xfId="13593"/>
    <cellStyle name="20% - Accent4 2 25 5 2" xfId="13594"/>
    <cellStyle name="20% - Accent4 2 25 6" xfId="13595"/>
    <cellStyle name="20% - Accent4 2 25 7" xfId="13596"/>
    <cellStyle name="20% - Accent4 2 25 8" xfId="13597"/>
    <cellStyle name="20% - Accent4 2 26" xfId="13598"/>
    <cellStyle name="20% - Accent4 2 26 2" xfId="13599"/>
    <cellStyle name="20% - Accent4 2 26 2 2" xfId="13600"/>
    <cellStyle name="20% - Accent4 2 26 2 2 2" xfId="13601"/>
    <cellStyle name="20% - Accent4 2 26 2 2 3" xfId="13602"/>
    <cellStyle name="20% - Accent4 2 26 2 3" xfId="13603"/>
    <cellStyle name="20% - Accent4 2 26 2 3 2" xfId="13604"/>
    <cellStyle name="20% - Accent4 2 26 2 4" xfId="13605"/>
    <cellStyle name="20% - Accent4 2 26 2 5" xfId="13606"/>
    <cellStyle name="20% - Accent4 2 26 3" xfId="13607"/>
    <cellStyle name="20% - Accent4 2 26 3 2" xfId="13608"/>
    <cellStyle name="20% - Accent4 2 26 3 2 2" xfId="13609"/>
    <cellStyle name="20% - Accent4 2 26 3 3" xfId="13610"/>
    <cellStyle name="20% - Accent4 2 26 3 4" xfId="13611"/>
    <cellStyle name="20% - Accent4 2 26 4" xfId="13612"/>
    <cellStyle name="20% - Accent4 2 26 4 2" xfId="13613"/>
    <cellStyle name="20% - Accent4 2 26 4 2 2" xfId="13614"/>
    <cellStyle name="20% - Accent4 2 26 4 3" xfId="13615"/>
    <cellStyle name="20% - Accent4 2 26 4 4" xfId="13616"/>
    <cellStyle name="20% - Accent4 2 26 5" xfId="13617"/>
    <cellStyle name="20% - Accent4 2 26 5 2" xfId="13618"/>
    <cellStyle name="20% - Accent4 2 26 6" xfId="13619"/>
    <cellStyle name="20% - Accent4 2 26 7" xfId="13620"/>
    <cellStyle name="20% - Accent4 2 26 8" xfId="13621"/>
    <cellStyle name="20% - Accent4 2 27" xfId="13622"/>
    <cellStyle name="20% - Accent4 2 27 2" xfId="13623"/>
    <cellStyle name="20% - Accent4 2 27 2 2" xfId="13624"/>
    <cellStyle name="20% - Accent4 2 27 2 2 2" xfId="13625"/>
    <cellStyle name="20% - Accent4 2 27 2 2 3" xfId="13626"/>
    <cellStyle name="20% - Accent4 2 27 2 3" xfId="13627"/>
    <cellStyle name="20% - Accent4 2 27 2 3 2" xfId="13628"/>
    <cellStyle name="20% - Accent4 2 27 2 4" xfId="13629"/>
    <cellStyle name="20% - Accent4 2 27 2 5" xfId="13630"/>
    <cellStyle name="20% - Accent4 2 27 3" xfId="13631"/>
    <cellStyle name="20% - Accent4 2 27 3 2" xfId="13632"/>
    <cellStyle name="20% - Accent4 2 27 3 2 2" xfId="13633"/>
    <cellStyle name="20% - Accent4 2 27 3 3" xfId="13634"/>
    <cellStyle name="20% - Accent4 2 27 3 4" xfId="13635"/>
    <cellStyle name="20% - Accent4 2 27 4" xfId="13636"/>
    <cellStyle name="20% - Accent4 2 27 4 2" xfId="13637"/>
    <cellStyle name="20% - Accent4 2 27 4 2 2" xfId="13638"/>
    <cellStyle name="20% - Accent4 2 27 4 3" xfId="13639"/>
    <cellStyle name="20% - Accent4 2 27 4 4" xfId="13640"/>
    <cellStyle name="20% - Accent4 2 27 5" xfId="13641"/>
    <cellStyle name="20% - Accent4 2 27 5 2" xfId="13642"/>
    <cellStyle name="20% - Accent4 2 27 6" xfId="13643"/>
    <cellStyle name="20% - Accent4 2 27 7" xfId="13644"/>
    <cellStyle name="20% - Accent4 2 27 8" xfId="13645"/>
    <cellStyle name="20% - Accent4 2 28" xfId="13646"/>
    <cellStyle name="20% - Accent4 2 28 2" xfId="13647"/>
    <cellStyle name="20% - Accent4 2 28 2 2" xfId="13648"/>
    <cellStyle name="20% - Accent4 2 28 2 2 2" xfId="13649"/>
    <cellStyle name="20% - Accent4 2 28 2 2 3" xfId="13650"/>
    <cellStyle name="20% - Accent4 2 28 2 3" xfId="13651"/>
    <cellStyle name="20% - Accent4 2 28 2 3 2" xfId="13652"/>
    <cellStyle name="20% - Accent4 2 28 2 4" xfId="13653"/>
    <cellStyle name="20% - Accent4 2 28 2 5" xfId="13654"/>
    <cellStyle name="20% - Accent4 2 28 3" xfId="13655"/>
    <cellStyle name="20% - Accent4 2 28 3 2" xfId="13656"/>
    <cellStyle name="20% - Accent4 2 28 3 2 2" xfId="13657"/>
    <cellStyle name="20% - Accent4 2 28 3 3" xfId="13658"/>
    <cellStyle name="20% - Accent4 2 28 3 4" xfId="13659"/>
    <cellStyle name="20% - Accent4 2 28 4" xfId="13660"/>
    <cellStyle name="20% - Accent4 2 28 4 2" xfId="13661"/>
    <cellStyle name="20% - Accent4 2 28 4 2 2" xfId="13662"/>
    <cellStyle name="20% - Accent4 2 28 4 3" xfId="13663"/>
    <cellStyle name="20% - Accent4 2 28 4 4" xfId="13664"/>
    <cellStyle name="20% - Accent4 2 28 5" xfId="13665"/>
    <cellStyle name="20% - Accent4 2 28 5 2" xfId="13666"/>
    <cellStyle name="20% - Accent4 2 28 6" xfId="13667"/>
    <cellStyle name="20% - Accent4 2 28 7" xfId="13668"/>
    <cellStyle name="20% - Accent4 2 28 8" xfId="13669"/>
    <cellStyle name="20% - Accent4 2 29" xfId="13670"/>
    <cellStyle name="20% - Accent4 2 29 2" xfId="13671"/>
    <cellStyle name="20% - Accent4 2 29 2 2" xfId="13672"/>
    <cellStyle name="20% - Accent4 2 29 2 3" xfId="13673"/>
    <cellStyle name="20% - Accent4 2 29 3" xfId="13674"/>
    <cellStyle name="20% - Accent4 2 29 3 2" xfId="13675"/>
    <cellStyle name="20% - Accent4 2 29 4" xfId="13676"/>
    <cellStyle name="20% - Accent4 2 29 5" xfId="13677"/>
    <cellStyle name="20% - Accent4 2 3" xfId="243"/>
    <cellStyle name="20% - Accent4 2 3 10" xfId="13678"/>
    <cellStyle name="20% - Accent4 2 3 11" xfId="13679"/>
    <cellStyle name="20% - Accent4 2 3 11 2" xfId="13680"/>
    <cellStyle name="20% - Accent4 2 3 11 3" xfId="13681"/>
    <cellStyle name="20% - Accent4 2 3 12" xfId="13682"/>
    <cellStyle name="20% - Accent4 2 3 12 2" xfId="13683"/>
    <cellStyle name="20% - Accent4 2 3 2" xfId="244"/>
    <cellStyle name="20% - Accent4 2 3 2 2" xfId="245"/>
    <cellStyle name="20% - Accent4 2 3 2 2 2" xfId="246"/>
    <cellStyle name="20% - Accent4 2 3 2 3" xfId="247"/>
    <cellStyle name="20% - Accent4 2 3 3" xfId="248"/>
    <cellStyle name="20% - Accent4 2 3 3 2" xfId="249"/>
    <cellStyle name="20% - Accent4 2 3 3 2 2" xfId="13684"/>
    <cellStyle name="20% - Accent4 2 3 4" xfId="250"/>
    <cellStyle name="20% - Accent4 2 3 4 2" xfId="13685"/>
    <cellStyle name="20% - Accent4 2 3 4 2 2" xfId="13686"/>
    <cellStyle name="20% - Accent4 2 3 5" xfId="13687"/>
    <cellStyle name="20% - Accent4 2 3 5 2" xfId="13688"/>
    <cellStyle name="20% - Accent4 2 3 5 2 2" xfId="13689"/>
    <cellStyle name="20% - Accent4 2 3 6" xfId="13690"/>
    <cellStyle name="20% - Accent4 2 3 6 2" xfId="13691"/>
    <cellStyle name="20% - Accent4 2 3 6 3" xfId="13692"/>
    <cellStyle name="20% - Accent4 2 3 6 4" xfId="13693"/>
    <cellStyle name="20% - Accent4 2 3 6 5" xfId="13694"/>
    <cellStyle name="20% - Accent4 2 3 6 6" xfId="13695"/>
    <cellStyle name="20% - Accent4 2 3 6 6 2" xfId="13696"/>
    <cellStyle name="20% - Accent4 2 3 6_Elec Margin Analysis" xfId="13697"/>
    <cellStyle name="20% - Accent4 2 3 7" xfId="13698"/>
    <cellStyle name="20% - Accent4 2 3 7 2" xfId="13699"/>
    <cellStyle name="20% - Accent4 2 3 7 2 2" xfId="13700"/>
    <cellStyle name="20% - Accent4 2 3 8" xfId="13701"/>
    <cellStyle name="20% - Accent4 2 3 8 2" xfId="13702"/>
    <cellStyle name="20% - Accent4 2 3 8 2 2" xfId="13703"/>
    <cellStyle name="20% - Accent4 2 3 9" xfId="13704"/>
    <cellStyle name="20% - Accent4 2 3_2009 Actual" xfId="13705"/>
    <cellStyle name="20% - Accent4 2 30" xfId="13706"/>
    <cellStyle name="20% - Accent4 2 30 2" xfId="13707"/>
    <cellStyle name="20% - Accent4 2 30 2 2" xfId="13708"/>
    <cellStyle name="20% - Accent4 2 30 2 3" xfId="13709"/>
    <cellStyle name="20% - Accent4 2 30 3" xfId="13710"/>
    <cellStyle name="20% - Accent4 2 30 3 2" xfId="13711"/>
    <cellStyle name="20% - Accent4 2 30 4" xfId="13712"/>
    <cellStyle name="20% - Accent4 2 30 5" xfId="13713"/>
    <cellStyle name="20% - Accent4 2 31" xfId="13714"/>
    <cellStyle name="20% - Accent4 2 31 2" xfId="13715"/>
    <cellStyle name="20% - Accent4 2 31 2 2" xfId="13716"/>
    <cellStyle name="20% - Accent4 2 31 2 3" xfId="13717"/>
    <cellStyle name="20% - Accent4 2 31 3" xfId="13718"/>
    <cellStyle name="20% - Accent4 2 31 3 2" xfId="13719"/>
    <cellStyle name="20% - Accent4 2 31 4" xfId="13720"/>
    <cellStyle name="20% - Accent4 2 31 5" xfId="13721"/>
    <cellStyle name="20% - Accent4 2 32" xfId="13722"/>
    <cellStyle name="20% - Accent4 2 32 2" xfId="13723"/>
    <cellStyle name="20% - Accent4 2 32 2 2" xfId="13724"/>
    <cellStyle name="20% - Accent4 2 32 2 3" xfId="13725"/>
    <cellStyle name="20% - Accent4 2 32 3" xfId="13726"/>
    <cellStyle name="20% - Accent4 2 32 3 2" xfId="13727"/>
    <cellStyle name="20% - Accent4 2 32 4" xfId="13728"/>
    <cellStyle name="20% - Accent4 2 32 5" xfId="13729"/>
    <cellStyle name="20% - Accent4 2 33" xfId="13730"/>
    <cellStyle name="20% - Accent4 2 33 2" xfId="13731"/>
    <cellStyle name="20% - Accent4 2 33 2 2" xfId="13732"/>
    <cellStyle name="20% - Accent4 2 33 2 3" xfId="13733"/>
    <cellStyle name="20% - Accent4 2 33 3" xfId="13734"/>
    <cellStyle name="20% - Accent4 2 33 3 2" xfId="13735"/>
    <cellStyle name="20% - Accent4 2 33 4" xfId="13736"/>
    <cellStyle name="20% - Accent4 2 33 5" xfId="13737"/>
    <cellStyle name="20% - Accent4 2 34" xfId="13738"/>
    <cellStyle name="20% - Accent4 2 34 2" xfId="13739"/>
    <cellStyle name="20% - Accent4 2 34 2 2" xfId="13740"/>
    <cellStyle name="20% - Accent4 2 34 2 3" xfId="13741"/>
    <cellStyle name="20% - Accent4 2 34 3" xfId="13742"/>
    <cellStyle name="20% - Accent4 2 34 3 2" xfId="13743"/>
    <cellStyle name="20% - Accent4 2 34 4" xfId="13744"/>
    <cellStyle name="20% - Accent4 2 34 5" xfId="13745"/>
    <cellStyle name="20% - Accent4 2 35" xfId="13746"/>
    <cellStyle name="20% - Accent4 2 35 2" xfId="13747"/>
    <cellStyle name="20% - Accent4 2 35 2 2" xfId="13748"/>
    <cellStyle name="20% - Accent4 2 35 2 3" xfId="13749"/>
    <cellStyle name="20% - Accent4 2 35 3" xfId="13750"/>
    <cellStyle name="20% - Accent4 2 35 3 2" xfId="13751"/>
    <cellStyle name="20% - Accent4 2 35 4" xfId="13752"/>
    <cellStyle name="20% - Accent4 2 35 5" xfId="13753"/>
    <cellStyle name="20% - Accent4 2 36" xfId="13754"/>
    <cellStyle name="20% - Accent4 2 36 2" xfId="13755"/>
    <cellStyle name="20% - Accent4 2 36 2 2" xfId="13756"/>
    <cellStyle name="20% - Accent4 2 36 2 3" xfId="13757"/>
    <cellStyle name="20% - Accent4 2 36 3" xfId="13758"/>
    <cellStyle name="20% - Accent4 2 36 3 2" xfId="13759"/>
    <cellStyle name="20% - Accent4 2 36 4" xfId="13760"/>
    <cellStyle name="20% - Accent4 2 36 5" xfId="13761"/>
    <cellStyle name="20% - Accent4 2 37" xfId="13762"/>
    <cellStyle name="20% - Accent4 2 37 2" xfId="13763"/>
    <cellStyle name="20% - Accent4 2 37 2 2" xfId="13764"/>
    <cellStyle name="20% - Accent4 2 37 2 3" xfId="13765"/>
    <cellStyle name="20% - Accent4 2 37 3" xfId="13766"/>
    <cellStyle name="20% - Accent4 2 37 3 2" xfId="13767"/>
    <cellStyle name="20% - Accent4 2 37 4" xfId="13768"/>
    <cellStyle name="20% - Accent4 2 37 5" xfId="13769"/>
    <cellStyle name="20% - Accent4 2 38" xfId="13770"/>
    <cellStyle name="20% - Accent4 2 38 2" xfId="13771"/>
    <cellStyle name="20% - Accent4 2 38 2 2" xfId="13772"/>
    <cellStyle name="20% - Accent4 2 38 2 3" xfId="13773"/>
    <cellStyle name="20% - Accent4 2 38 3" xfId="13774"/>
    <cellStyle name="20% - Accent4 2 38 3 2" xfId="13775"/>
    <cellStyle name="20% - Accent4 2 38 4" xfId="13776"/>
    <cellStyle name="20% - Accent4 2 38 5" xfId="13777"/>
    <cellStyle name="20% - Accent4 2 39" xfId="13778"/>
    <cellStyle name="20% - Accent4 2 39 2" xfId="13779"/>
    <cellStyle name="20% - Accent4 2 39 2 2" xfId="13780"/>
    <cellStyle name="20% - Accent4 2 39 2 3" xfId="13781"/>
    <cellStyle name="20% - Accent4 2 39 3" xfId="13782"/>
    <cellStyle name="20% - Accent4 2 39 3 2" xfId="13783"/>
    <cellStyle name="20% - Accent4 2 39 4" xfId="13784"/>
    <cellStyle name="20% - Accent4 2 39 5" xfId="13785"/>
    <cellStyle name="20% - Accent4 2 4" xfId="251"/>
    <cellStyle name="20% - Accent4 2 4 2" xfId="252"/>
    <cellStyle name="20% - Accent4 2 4 2 2" xfId="253"/>
    <cellStyle name="20% - Accent4 2 4 3" xfId="254"/>
    <cellStyle name="20% - Accent4 2 4 4" xfId="13786"/>
    <cellStyle name="20% - Accent4 2 4 5" xfId="13787"/>
    <cellStyle name="20% - Accent4 2 4 6" xfId="13788"/>
    <cellStyle name="20% - Accent4 2 4 7" xfId="13789"/>
    <cellStyle name="20% - Accent4 2 4 8" xfId="13790"/>
    <cellStyle name="20% - Accent4 2 4 8 2" xfId="13791"/>
    <cellStyle name="20% - Accent4 2 4_2009 Actual" xfId="13792"/>
    <cellStyle name="20% - Accent4 2 40" xfId="13793"/>
    <cellStyle name="20% - Accent4 2 40 2" xfId="13794"/>
    <cellStyle name="20% - Accent4 2 40 2 2" xfId="13795"/>
    <cellStyle name="20% - Accent4 2 40 2 3" xfId="13796"/>
    <cellStyle name="20% - Accent4 2 40 3" xfId="13797"/>
    <cellStyle name="20% - Accent4 2 40 3 2" xfId="13798"/>
    <cellStyle name="20% - Accent4 2 40 4" xfId="13799"/>
    <cellStyle name="20% - Accent4 2 40 5" xfId="13800"/>
    <cellStyle name="20% - Accent4 2 41" xfId="13801"/>
    <cellStyle name="20% - Accent4 2 41 2" xfId="13802"/>
    <cellStyle name="20% - Accent4 2 41 2 2" xfId="13803"/>
    <cellStyle name="20% - Accent4 2 41 2 3" xfId="13804"/>
    <cellStyle name="20% - Accent4 2 41 3" xfId="13805"/>
    <cellStyle name="20% - Accent4 2 41 3 2" xfId="13806"/>
    <cellStyle name="20% - Accent4 2 41 4" xfId="13807"/>
    <cellStyle name="20% - Accent4 2 41 5" xfId="13808"/>
    <cellStyle name="20% - Accent4 2 42" xfId="13809"/>
    <cellStyle name="20% - Accent4 2 42 2" xfId="13810"/>
    <cellStyle name="20% - Accent4 2 42 2 2" xfId="13811"/>
    <cellStyle name="20% - Accent4 2 42 2 3" xfId="13812"/>
    <cellStyle name="20% - Accent4 2 42 3" xfId="13813"/>
    <cellStyle name="20% - Accent4 2 42 3 2" xfId="13814"/>
    <cellStyle name="20% - Accent4 2 42 4" xfId="13815"/>
    <cellStyle name="20% - Accent4 2 42 5" xfId="13816"/>
    <cellStyle name="20% - Accent4 2 43" xfId="13817"/>
    <cellStyle name="20% - Accent4 2 43 2" xfId="13818"/>
    <cellStyle name="20% - Accent4 2 43 2 2" xfId="13819"/>
    <cellStyle name="20% - Accent4 2 43 2 3" xfId="13820"/>
    <cellStyle name="20% - Accent4 2 43 3" xfId="13821"/>
    <cellStyle name="20% - Accent4 2 43 3 2" xfId="13822"/>
    <cellStyle name="20% - Accent4 2 43 4" xfId="13823"/>
    <cellStyle name="20% - Accent4 2 43 5" xfId="13824"/>
    <cellStyle name="20% - Accent4 2 44" xfId="13825"/>
    <cellStyle name="20% - Accent4 2 44 2" xfId="13826"/>
    <cellStyle name="20% - Accent4 2 44 2 2" xfId="13827"/>
    <cellStyle name="20% - Accent4 2 44 2 3" xfId="13828"/>
    <cellStyle name="20% - Accent4 2 44 3" xfId="13829"/>
    <cellStyle name="20% - Accent4 2 44 3 2" xfId="13830"/>
    <cellStyle name="20% - Accent4 2 44 4" xfId="13831"/>
    <cellStyle name="20% - Accent4 2 44 5" xfId="13832"/>
    <cellStyle name="20% - Accent4 2 45" xfId="13833"/>
    <cellStyle name="20% - Accent4 2 45 2" xfId="13834"/>
    <cellStyle name="20% - Accent4 2 45 2 2" xfId="13835"/>
    <cellStyle name="20% - Accent4 2 45 2 3" xfId="13836"/>
    <cellStyle name="20% - Accent4 2 45 3" xfId="13837"/>
    <cellStyle name="20% - Accent4 2 45 3 2" xfId="13838"/>
    <cellStyle name="20% - Accent4 2 45 4" xfId="13839"/>
    <cellStyle name="20% - Accent4 2 45 5" xfId="13840"/>
    <cellStyle name="20% - Accent4 2 46" xfId="13841"/>
    <cellStyle name="20% - Accent4 2 46 2" xfId="13842"/>
    <cellStyle name="20% - Accent4 2 46 2 2" xfId="13843"/>
    <cellStyle name="20% - Accent4 2 46 2 3" xfId="13844"/>
    <cellStyle name="20% - Accent4 2 46 3" xfId="13845"/>
    <cellStyle name="20% - Accent4 2 46 3 2" xfId="13846"/>
    <cellStyle name="20% - Accent4 2 46 4" xfId="13847"/>
    <cellStyle name="20% - Accent4 2 46 5" xfId="13848"/>
    <cellStyle name="20% - Accent4 2 47" xfId="13849"/>
    <cellStyle name="20% - Accent4 2 47 2" xfId="13850"/>
    <cellStyle name="20% - Accent4 2 47 2 2" xfId="13851"/>
    <cellStyle name="20% - Accent4 2 47 2 3" xfId="13852"/>
    <cellStyle name="20% - Accent4 2 47 3" xfId="13853"/>
    <cellStyle name="20% - Accent4 2 47 3 2" xfId="13854"/>
    <cellStyle name="20% - Accent4 2 47 4" xfId="13855"/>
    <cellStyle name="20% - Accent4 2 47 5" xfId="13856"/>
    <cellStyle name="20% - Accent4 2 48" xfId="13857"/>
    <cellStyle name="20% - Accent4 2 48 2" xfId="13858"/>
    <cellStyle name="20% - Accent4 2 48 2 2" xfId="13859"/>
    <cellStyle name="20% - Accent4 2 48 2 3" xfId="13860"/>
    <cellStyle name="20% - Accent4 2 48 3" xfId="13861"/>
    <cellStyle name="20% - Accent4 2 48 3 2" xfId="13862"/>
    <cellStyle name="20% - Accent4 2 48 4" xfId="13863"/>
    <cellStyle name="20% - Accent4 2 48 5" xfId="13864"/>
    <cellStyle name="20% - Accent4 2 49" xfId="13865"/>
    <cellStyle name="20% - Accent4 2 49 2" xfId="13866"/>
    <cellStyle name="20% - Accent4 2 49 2 2" xfId="13867"/>
    <cellStyle name="20% - Accent4 2 49 2 3" xfId="13868"/>
    <cellStyle name="20% - Accent4 2 49 3" xfId="13869"/>
    <cellStyle name="20% - Accent4 2 49 3 2" xfId="13870"/>
    <cellStyle name="20% - Accent4 2 49 4" xfId="13871"/>
    <cellStyle name="20% - Accent4 2 49 5" xfId="13872"/>
    <cellStyle name="20% - Accent4 2 5" xfId="255"/>
    <cellStyle name="20% - Accent4 2 5 2" xfId="256"/>
    <cellStyle name="20% - Accent4 2 5 3" xfId="13873"/>
    <cellStyle name="20% - Accent4 2 5 4" xfId="13874"/>
    <cellStyle name="20% - Accent4 2 5 5" xfId="13875"/>
    <cellStyle name="20% - Accent4 2 5 6" xfId="13876"/>
    <cellStyle name="20% - Accent4 2 5 7" xfId="13877"/>
    <cellStyle name="20% - Accent4 2 5 8" xfId="13878"/>
    <cellStyle name="20% - Accent4 2 5 8 2" xfId="13879"/>
    <cellStyle name="20% - Accent4 2 5_2009 Actual" xfId="13880"/>
    <cellStyle name="20% - Accent4 2 50" xfId="13881"/>
    <cellStyle name="20% - Accent4 2 50 2" xfId="13882"/>
    <cellStyle name="20% - Accent4 2 50 2 2" xfId="13883"/>
    <cellStyle name="20% - Accent4 2 50 2 3" xfId="13884"/>
    <cellStyle name="20% - Accent4 2 50 3" xfId="13885"/>
    <cellStyle name="20% - Accent4 2 50 3 2" xfId="13886"/>
    <cellStyle name="20% - Accent4 2 50 4" xfId="13887"/>
    <cellStyle name="20% - Accent4 2 50 5" xfId="13888"/>
    <cellStyle name="20% - Accent4 2 51" xfId="13889"/>
    <cellStyle name="20% - Accent4 2 51 2" xfId="13890"/>
    <cellStyle name="20% - Accent4 2 51 2 2" xfId="13891"/>
    <cellStyle name="20% - Accent4 2 51 2 3" xfId="13892"/>
    <cellStyle name="20% - Accent4 2 51 3" xfId="13893"/>
    <cellStyle name="20% - Accent4 2 51 3 2" xfId="13894"/>
    <cellStyle name="20% - Accent4 2 51 4" xfId="13895"/>
    <cellStyle name="20% - Accent4 2 51 5" xfId="13896"/>
    <cellStyle name="20% - Accent4 2 52" xfId="13897"/>
    <cellStyle name="20% - Accent4 2 52 2" xfId="13898"/>
    <cellStyle name="20% - Accent4 2 52 2 2" xfId="13899"/>
    <cellStyle name="20% - Accent4 2 52 2 3" xfId="13900"/>
    <cellStyle name="20% - Accent4 2 52 3" xfId="13901"/>
    <cellStyle name="20% - Accent4 2 52 3 2" xfId="13902"/>
    <cellStyle name="20% - Accent4 2 52 4" xfId="13903"/>
    <cellStyle name="20% - Accent4 2 52 5" xfId="13904"/>
    <cellStyle name="20% - Accent4 2 53" xfId="13905"/>
    <cellStyle name="20% - Accent4 2 53 2" xfId="13906"/>
    <cellStyle name="20% - Accent4 2 53 2 2" xfId="13907"/>
    <cellStyle name="20% - Accent4 2 53 2 3" xfId="13908"/>
    <cellStyle name="20% - Accent4 2 53 3" xfId="13909"/>
    <cellStyle name="20% - Accent4 2 53 3 2" xfId="13910"/>
    <cellStyle name="20% - Accent4 2 53 4" xfId="13911"/>
    <cellStyle name="20% - Accent4 2 53 5" xfId="13912"/>
    <cellStyle name="20% - Accent4 2 54" xfId="13913"/>
    <cellStyle name="20% - Accent4 2 54 2" xfId="13914"/>
    <cellStyle name="20% - Accent4 2 54 2 2" xfId="13915"/>
    <cellStyle name="20% - Accent4 2 54 2 3" xfId="13916"/>
    <cellStyle name="20% - Accent4 2 54 3" xfId="13917"/>
    <cellStyle name="20% - Accent4 2 54 3 2" xfId="13918"/>
    <cellStyle name="20% - Accent4 2 54 4" xfId="13919"/>
    <cellStyle name="20% - Accent4 2 54 5" xfId="13920"/>
    <cellStyle name="20% - Accent4 2 55" xfId="13921"/>
    <cellStyle name="20% - Accent4 2 55 2" xfId="13922"/>
    <cellStyle name="20% - Accent4 2 55 2 2" xfId="13923"/>
    <cellStyle name="20% - Accent4 2 55 2 3" xfId="13924"/>
    <cellStyle name="20% - Accent4 2 55 3" xfId="13925"/>
    <cellStyle name="20% - Accent4 2 55 3 2" xfId="13926"/>
    <cellStyle name="20% - Accent4 2 55 4" xfId="13927"/>
    <cellStyle name="20% - Accent4 2 55 5" xfId="13928"/>
    <cellStyle name="20% - Accent4 2 56" xfId="13929"/>
    <cellStyle name="20% - Accent4 2 56 2" xfId="13930"/>
    <cellStyle name="20% - Accent4 2 56 2 2" xfId="13931"/>
    <cellStyle name="20% - Accent4 2 56 2 3" xfId="13932"/>
    <cellStyle name="20% - Accent4 2 56 3" xfId="13933"/>
    <cellStyle name="20% - Accent4 2 56 3 2" xfId="13934"/>
    <cellStyle name="20% - Accent4 2 56 4" xfId="13935"/>
    <cellStyle name="20% - Accent4 2 56 5" xfId="13936"/>
    <cellStyle name="20% - Accent4 2 57" xfId="13937"/>
    <cellStyle name="20% - Accent4 2 57 2" xfId="13938"/>
    <cellStyle name="20% - Accent4 2 57 2 2" xfId="13939"/>
    <cellStyle name="20% - Accent4 2 57 2 3" xfId="13940"/>
    <cellStyle name="20% - Accent4 2 57 3" xfId="13941"/>
    <cellStyle name="20% - Accent4 2 57 3 2" xfId="13942"/>
    <cellStyle name="20% - Accent4 2 57 4" xfId="13943"/>
    <cellStyle name="20% - Accent4 2 57 5" xfId="13944"/>
    <cellStyle name="20% - Accent4 2 58" xfId="13945"/>
    <cellStyle name="20% - Accent4 2 58 2" xfId="13946"/>
    <cellStyle name="20% - Accent4 2 58 2 2" xfId="13947"/>
    <cellStyle name="20% - Accent4 2 58 2 3" xfId="13948"/>
    <cellStyle name="20% - Accent4 2 58 3" xfId="13949"/>
    <cellStyle name="20% - Accent4 2 58 3 2" xfId="13950"/>
    <cellStyle name="20% - Accent4 2 58 4" xfId="13951"/>
    <cellStyle name="20% - Accent4 2 58 5" xfId="13952"/>
    <cellStyle name="20% - Accent4 2 59" xfId="13953"/>
    <cellStyle name="20% - Accent4 2 59 2" xfId="13954"/>
    <cellStyle name="20% - Accent4 2 59 2 2" xfId="13955"/>
    <cellStyle name="20% - Accent4 2 59 2 3" xfId="13956"/>
    <cellStyle name="20% - Accent4 2 59 3" xfId="13957"/>
    <cellStyle name="20% - Accent4 2 59 3 2" xfId="13958"/>
    <cellStyle name="20% - Accent4 2 59 4" xfId="13959"/>
    <cellStyle name="20% - Accent4 2 59 5" xfId="13960"/>
    <cellStyle name="20% - Accent4 2 6" xfId="257"/>
    <cellStyle name="20% - Accent4 2 6 2" xfId="13961"/>
    <cellStyle name="20% - Accent4 2 6 3" xfId="13962"/>
    <cellStyle name="20% - Accent4 2 6 4" xfId="13963"/>
    <cellStyle name="20% - Accent4 2 6 5" xfId="13964"/>
    <cellStyle name="20% - Accent4 2 6 6" xfId="13965"/>
    <cellStyle name="20% - Accent4 2 6 7" xfId="13966"/>
    <cellStyle name="20% - Accent4 2 6 8" xfId="13967"/>
    <cellStyle name="20% - Accent4 2 6 8 2" xfId="13968"/>
    <cellStyle name="20% - Accent4 2 6_2009 Actual" xfId="13969"/>
    <cellStyle name="20% - Accent4 2 60" xfId="13970"/>
    <cellStyle name="20% - Accent4 2 60 2" xfId="13971"/>
    <cellStyle name="20% - Accent4 2 60 2 2" xfId="13972"/>
    <cellStyle name="20% - Accent4 2 60 2 3" xfId="13973"/>
    <cellStyle name="20% - Accent4 2 60 3" xfId="13974"/>
    <cellStyle name="20% - Accent4 2 60 3 2" xfId="13975"/>
    <cellStyle name="20% - Accent4 2 60 4" xfId="13976"/>
    <cellStyle name="20% - Accent4 2 60 5" xfId="13977"/>
    <cellStyle name="20% - Accent4 2 61" xfId="13978"/>
    <cellStyle name="20% - Accent4 2 61 2" xfId="13979"/>
    <cellStyle name="20% - Accent4 2 61 2 2" xfId="13980"/>
    <cellStyle name="20% - Accent4 2 61 2 3" xfId="13981"/>
    <cellStyle name="20% - Accent4 2 61 3" xfId="13982"/>
    <cellStyle name="20% - Accent4 2 61 3 2" xfId="13983"/>
    <cellStyle name="20% - Accent4 2 61 4" xfId="13984"/>
    <cellStyle name="20% - Accent4 2 61 5" xfId="13985"/>
    <cellStyle name="20% - Accent4 2 62" xfId="13986"/>
    <cellStyle name="20% - Accent4 2 62 2" xfId="13987"/>
    <cellStyle name="20% - Accent4 2 62 2 2" xfId="13988"/>
    <cellStyle name="20% - Accent4 2 62 2 3" xfId="13989"/>
    <cellStyle name="20% - Accent4 2 62 3" xfId="13990"/>
    <cellStyle name="20% - Accent4 2 62 3 2" xfId="13991"/>
    <cellStyle name="20% - Accent4 2 62 4" xfId="13992"/>
    <cellStyle name="20% - Accent4 2 62 5" xfId="13993"/>
    <cellStyle name="20% - Accent4 2 63" xfId="13994"/>
    <cellStyle name="20% - Accent4 2 63 2" xfId="13995"/>
    <cellStyle name="20% - Accent4 2 63 2 2" xfId="13996"/>
    <cellStyle name="20% - Accent4 2 63 2 3" xfId="13997"/>
    <cellStyle name="20% - Accent4 2 63 3" xfId="13998"/>
    <cellStyle name="20% - Accent4 2 63 3 2" xfId="13999"/>
    <cellStyle name="20% - Accent4 2 63 4" xfId="14000"/>
    <cellStyle name="20% - Accent4 2 63 5" xfId="14001"/>
    <cellStyle name="20% - Accent4 2 64" xfId="14002"/>
    <cellStyle name="20% - Accent4 2 64 2" xfId="14003"/>
    <cellStyle name="20% - Accent4 2 64 2 2" xfId="14004"/>
    <cellStyle name="20% - Accent4 2 64 2 3" xfId="14005"/>
    <cellStyle name="20% - Accent4 2 64 3" xfId="14006"/>
    <cellStyle name="20% - Accent4 2 64 3 2" xfId="14007"/>
    <cellStyle name="20% - Accent4 2 64 4" xfId="14008"/>
    <cellStyle name="20% - Accent4 2 64 5" xfId="14009"/>
    <cellStyle name="20% - Accent4 2 65" xfId="14010"/>
    <cellStyle name="20% - Accent4 2 65 2" xfId="14011"/>
    <cellStyle name="20% - Accent4 2 65 2 2" xfId="14012"/>
    <cellStyle name="20% - Accent4 2 65 2 3" xfId="14013"/>
    <cellStyle name="20% - Accent4 2 65 3" xfId="14014"/>
    <cellStyle name="20% - Accent4 2 65 3 2" xfId="14015"/>
    <cellStyle name="20% - Accent4 2 65 4" xfId="14016"/>
    <cellStyle name="20% - Accent4 2 65 5" xfId="14017"/>
    <cellStyle name="20% - Accent4 2 66" xfId="14018"/>
    <cellStyle name="20% - Accent4 2 66 2" xfId="14019"/>
    <cellStyle name="20% - Accent4 2 66 2 2" xfId="14020"/>
    <cellStyle name="20% - Accent4 2 66 2 3" xfId="14021"/>
    <cellStyle name="20% - Accent4 2 66 3" xfId="14022"/>
    <cellStyle name="20% - Accent4 2 66 3 2" xfId="14023"/>
    <cellStyle name="20% - Accent4 2 66 4" xfId="14024"/>
    <cellStyle name="20% - Accent4 2 66 5" xfId="14025"/>
    <cellStyle name="20% - Accent4 2 67" xfId="14026"/>
    <cellStyle name="20% - Accent4 2 67 2" xfId="14027"/>
    <cellStyle name="20% - Accent4 2 67 2 2" xfId="14028"/>
    <cellStyle name="20% - Accent4 2 67 2 3" xfId="14029"/>
    <cellStyle name="20% - Accent4 2 67 3" xfId="14030"/>
    <cellStyle name="20% - Accent4 2 67 3 2" xfId="14031"/>
    <cellStyle name="20% - Accent4 2 67 4" xfId="14032"/>
    <cellStyle name="20% - Accent4 2 67 5" xfId="14033"/>
    <cellStyle name="20% - Accent4 2 68" xfId="14034"/>
    <cellStyle name="20% - Accent4 2 68 2" xfId="14035"/>
    <cellStyle name="20% - Accent4 2 68 2 2" xfId="14036"/>
    <cellStyle name="20% - Accent4 2 68 2 3" xfId="14037"/>
    <cellStyle name="20% - Accent4 2 68 3" xfId="14038"/>
    <cellStyle name="20% - Accent4 2 68 3 2" xfId="14039"/>
    <cellStyle name="20% - Accent4 2 68 4" xfId="14040"/>
    <cellStyle name="20% - Accent4 2 68 5" xfId="14041"/>
    <cellStyle name="20% - Accent4 2 69" xfId="14042"/>
    <cellStyle name="20% - Accent4 2 69 2" xfId="14043"/>
    <cellStyle name="20% - Accent4 2 69 2 2" xfId="14044"/>
    <cellStyle name="20% - Accent4 2 69 2 3" xfId="14045"/>
    <cellStyle name="20% - Accent4 2 69 3" xfId="14046"/>
    <cellStyle name="20% - Accent4 2 69 3 2" xfId="14047"/>
    <cellStyle name="20% - Accent4 2 69 4" xfId="14048"/>
    <cellStyle name="20% - Accent4 2 69 5" xfId="14049"/>
    <cellStyle name="20% - Accent4 2 7" xfId="14050"/>
    <cellStyle name="20% - Accent4 2 7 2" xfId="14051"/>
    <cellStyle name="20% - Accent4 2 7 2 2" xfId="14052"/>
    <cellStyle name="20% - Accent4 2 7 2 3" xfId="14053"/>
    <cellStyle name="20% - Accent4 2 7 3" xfId="14054"/>
    <cellStyle name="20% - Accent4 2 7 3 2" xfId="14055"/>
    <cellStyle name="20% - Accent4 2 7 3 3" xfId="14056"/>
    <cellStyle name="20% - Accent4 2 7 4" xfId="14057"/>
    <cellStyle name="20% - Accent4 2 7 5" xfId="14058"/>
    <cellStyle name="20% - Accent4 2 7 6" xfId="14059"/>
    <cellStyle name="20% - Accent4 2 7 6 2" xfId="14060"/>
    <cellStyle name="20% - Accent4 2 7_BHP" xfId="14061"/>
    <cellStyle name="20% - Accent4 2 70" xfId="14062"/>
    <cellStyle name="20% - Accent4 2 70 2" xfId="14063"/>
    <cellStyle name="20% - Accent4 2 70 2 2" xfId="14064"/>
    <cellStyle name="20% - Accent4 2 70 2 3" xfId="14065"/>
    <cellStyle name="20% - Accent4 2 70 3" xfId="14066"/>
    <cellStyle name="20% - Accent4 2 70 3 2" xfId="14067"/>
    <cellStyle name="20% - Accent4 2 70 4" xfId="14068"/>
    <cellStyle name="20% - Accent4 2 70 5" xfId="14069"/>
    <cellStyle name="20% - Accent4 2 71" xfId="14070"/>
    <cellStyle name="20% - Accent4 2 71 2" xfId="14071"/>
    <cellStyle name="20% - Accent4 2 71 2 2" xfId="14072"/>
    <cellStyle name="20% - Accent4 2 71 2 3" xfId="14073"/>
    <cellStyle name="20% - Accent4 2 71 3" xfId="14074"/>
    <cellStyle name="20% - Accent4 2 71 3 2" xfId="14075"/>
    <cellStyle name="20% - Accent4 2 71 4" xfId="14076"/>
    <cellStyle name="20% - Accent4 2 71 5" xfId="14077"/>
    <cellStyle name="20% - Accent4 2 72" xfId="14078"/>
    <cellStyle name="20% - Accent4 2 72 2" xfId="14079"/>
    <cellStyle name="20% - Accent4 2 72 2 2" xfId="14080"/>
    <cellStyle name="20% - Accent4 2 72 2 3" xfId="14081"/>
    <cellStyle name="20% - Accent4 2 72 3" xfId="14082"/>
    <cellStyle name="20% - Accent4 2 72 3 2" xfId="14083"/>
    <cellStyle name="20% - Accent4 2 72 4" xfId="14084"/>
    <cellStyle name="20% - Accent4 2 72 5" xfId="14085"/>
    <cellStyle name="20% - Accent4 2 73" xfId="14086"/>
    <cellStyle name="20% - Accent4 2 73 2" xfId="14087"/>
    <cellStyle name="20% - Accent4 2 73 2 2" xfId="14088"/>
    <cellStyle name="20% - Accent4 2 73 2 3" xfId="14089"/>
    <cellStyle name="20% - Accent4 2 73 3" xfId="14090"/>
    <cellStyle name="20% - Accent4 2 73 3 2" xfId="14091"/>
    <cellStyle name="20% - Accent4 2 73 4" xfId="14092"/>
    <cellStyle name="20% - Accent4 2 73 5" xfId="14093"/>
    <cellStyle name="20% - Accent4 2 74" xfId="14094"/>
    <cellStyle name="20% - Accent4 2 74 2" xfId="14095"/>
    <cellStyle name="20% - Accent4 2 74 2 2" xfId="14096"/>
    <cellStyle name="20% - Accent4 2 74 2 3" xfId="14097"/>
    <cellStyle name="20% - Accent4 2 74 3" xfId="14098"/>
    <cellStyle name="20% - Accent4 2 74 3 2" xfId="14099"/>
    <cellStyle name="20% - Accent4 2 74 4" xfId="14100"/>
    <cellStyle name="20% - Accent4 2 74 5" xfId="14101"/>
    <cellStyle name="20% - Accent4 2 75" xfId="14102"/>
    <cellStyle name="20% - Accent4 2 75 2" xfId="14103"/>
    <cellStyle name="20% - Accent4 2 75 2 2" xfId="14104"/>
    <cellStyle name="20% - Accent4 2 75 2 3" xfId="14105"/>
    <cellStyle name="20% - Accent4 2 75 3" xfId="14106"/>
    <cellStyle name="20% - Accent4 2 75 3 2" xfId="14107"/>
    <cellStyle name="20% - Accent4 2 75 4" xfId="14108"/>
    <cellStyle name="20% - Accent4 2 75 5" xfId="14109"/>
    <cellStyle name="20% - Accent4 2 76" xfId="14110"/>
    <cellStyle name="20% - Accent4 2 76 2" xfId="14111"/>
    <cellStyle name="20% - Accent4 2 76 2 2" xfId="14112"/>
    <cellStyle name="20% - Accent4 2 76 2 3" xfId="14113"/>
    <cellStyle name="20% - Accent4 2 76 3" xfId="14114"/>
    <cellStyle name="20% - Accent4 2 76 3 2" xfId="14115"/>
    <cellStyle name="20% - Accent4 2 76 4" xfId="14116"/>
    <cellStyle name="20% - Accent4 2 76 5" xfId="14117"/>
    <cellStyle name="20% - Accent4 2 77" xfId="14118"/>
    <cellStyle name="20% - Accent4 2 77 2" xfId="14119"/>
    <cellStyle name="20% - Accent4 2 77 2 2" xfId="14120"/>
    <cellStyle name="20% - Accent4 2 77 2 3" xfId="14121"/>
    <cellStyle name="20% - Accent4 2 77 3" xfId="14122"/>
    <cellStyle name="20% - Accent4 2 77 3 2" xfId="14123"/>
    <cellStyle name="20% - Accent4 2 77 4" xfId="14124"/>
    <cellStyle name="20% - Accent4 2 77 5" xfId="14125"/>
    <cellStyle name="20% - Accent4 2 78" xfId="14126"/>
    <cellStyle name="20% - Accent4 2 78 2" xfId="14127"/>
    <cellStyle name="20% - Accent4 2 78 2 2" xfId="14128"/>
    <cellStyle name="20% - Accent4 2 78 2 3" xfId="14129"/>
    <cellStyle name="20% - Accent4 2 78 3" xfId="14130"/>
    <cellStyle name="20% - Accent4 2 78 3 2" xfId="14131"/>
    <cellStyle name="20% - Accent4 2 78 4" xfId="14132"/>
    <cellStyle name="20% - Accent4 2 78 5" xfId="14133"/>
    <cellStyle name="20% - Accent4 2 79" xfId="14134"/>
    <cellStyle name="20% - Accent4 2 79 2" xfId="14135"/>
    <cellStyle name="20% - Accent4 2 79 2 2" xfId="14136"/>
    <cellStyle name="20% - Accent4 2 79 2 3" xfId="14137"/>
    <cellStyle name="20% - Accent4 2 79 3" xfId="14138"/>
    <cellStyle name="20% - Accent4 2 79 3 2" xfId="14139"/>
    <cellStyle name="20% - Accent4 2 79 4" xfId="14140"/>
    <cellStyle name="20% - Accent4 2 79 5" xfId="14141"/>
    <cellStyle name="20% - Accent4 2 8" xfId="14142"/>
    <cellStyle name="20% - Accent4 2 8 2" xfId="14143"/>
    <cellStyle name="20% - Accent4 2 8 2 2" xfId="14144"/>
    <cellStyle name="20% - Accent4 2 8 2 3" xfId="14145"/>
    <cellStyle name="20% - Accent4 2 8 3" xfId="14146"/>
    <cellStyle name="20% - Accent4 2 8 3 2" xfId="14147"/>
    <cellStyle name="20% - Accent4 2 8 3 3" xfId="14148"/>
    <cellStyle name="20% - Accent4 2 8 4" xfId="14149"/>
    <cellStyle name="20% - Accent4 2 8 5" xfId="14150"/>
    <cellStyle name="20% - Accent4 2 8 6" xfId="14151"/>
    <cellStyle name="20% - Accent4 2 8 6 2" xfId="14152"/>
    <cellStyle name="20% - Accent4 2 8_BHP" xfId="14153"/>
    <cellStyle name="20% - Accent4 2 80" xfId="14154"/>
    <cellStyle name="20% - Accent4 2 80 2" xfId="14155"/>
    <cellStyle name="20% - Accent4 2 80 2 2" xfId="14156"/>
    <cellStyle name="20% - Accent4 2 80 2 3" xfId="14157"/>
    <cellStyle name="20% - Accent4 2 80 3" xfId="14158"/>
    <cellStyle name="20% - Accent4 2 80 3 2" xfId="14159"/>
    <cellStyle name="20% - Accent4 2 80 4" xfId="14160"/>
    <cellStyle name="20% - Accent4 2 80 5" xfId="14161"/>
    <cellStyle name="20% - Accent4 2 81" xfId="14162"/>
    <cellStyle name="20% - Accent4 2 81 2" xfId="14163"/>
    <cellStyle name="20% - Accent4 2 81 2 2" xfId="14164"/>
    <cellStyle name="20% - Accent4 2 81 2 3" xfId="14165"/>
    <cellStyle name="20% - Accent4 2 81 3" xfId="14166"/>
    <cellStyle name="20% - Accent4 2 81 3 2" xfId="14167"/>
    <cellStyle name="20% - Accent4 2 81 4" xfId="14168"/>
    <cellStyle name="20% - Accent4 2 81 5" xfId="14169"/>
    <cellStyle name="20% - Accent4 2 82" xfId="14170"/>
    <cellStyle name="20% - Accent4 2 82 2" xfId="14171"/>
    <cellStyle name="20% - Accent4 2 82 2 2" xfId="14172"/>
    <cellStyle name="20% - Accent4 2 82 2 3" xfId="14173"/>
    <cellStyle name="20% - Accent4 2 82 3" xfId="14174"/>
    <cellStyle name="20% - Accent4 2 82 3 2" xfId="14175"/>
    <cellStyle name="20% - Accent4 2 82 4" xfId="14176"/>
    <cellStyle name="20% - Accent4 2 82 5" xfId="14177"/>
    <cellStyle name="20% - Accent4 2 83" xfId="14178"/>
    <cellStyle name="20% - Accent4 2 83 2" xfId="14179"/>
    <cellStyle name="20% - Accent4 2 83 2 2" xfId="14180"/>
    <cellStyle name="20% - Accent4 2 83 2 3" xfId="14181"/>
    <cellStyle name="20% - Accent4 2 83 3" xfId="14182"/>
    <cellStyle name="20% - Accent4 2 83 3 2" xfId="14183"/>
    <cellStyle name="20% - Accent4 2 83 4" xfId="14184"/>
    <cellStyle name="20% - Accent4 2 83 5" xfId="14185"/>
    <cellStyle name="20% - Accent4 2 84" xfId="14186"/>
    <cellStyle name="20% - Accent4 2 84 2" xfId="14187"/>
    <cellStyle name="20% - Accent4 2 84 2 2" xfId="14188"/>
    <cellStyle name="20% - Accent4 2 84 2 3" xfId="14189"/>
    <cellStyle name="20% - Accent4 2 84 3" xfId="14190"/>
    <cellStyle name="20% - Accent4 2 84 3 2" xfId="14191"/>
    <cellStyle name="20% - Accent4 2 84 4" xfId="14192"/>
    <cellStyle name="20% - Accent4 2 84 5" xfId="14193"/>
    <cellStyle name="20% - Accent4 2 85" xfId="14194"/>
    <cellStyle name="20% - Accent4 2 85 2" xfId="14195"/>
    <cellStyle name="20% - Accent4 2 85 2 2" xfId="14196"/>
    <cellStyle name="20% - Accent4 2 85 2 3" xfId="14197"/>
    <cellStyle name="20% - Accent4 2 85 3" xfId="14198"/>
    <cellStyle name="20% - Accent4 2 85 3 2" xfId="14199"/>
    <cellStyle name="20% - Accent4 2 85 4" xfId="14200"/>
    <cellStyle name="20% - Accent4 2 85 5" xfId="14201"/>
    <cellStyle name="20% - Accent4 2 86" xfId="14202"/>
    <cellStyle name="20% - Accent4 2 86 2" xfId="14203"/>
    <cellStyle name="20% - Accent4 2 86 2 2" xfId="14204"/>
    <cellStyle name="20% - Accent4 2 86 2 3" xfId="14205"/>
    <cellStyle name="20% - Accent4 2 86 3" xfId="14206"/>
    <cellStyle name="20% - Accent4 2 86 3 2" xfId="14207"/>
    <cellStyle name="20% - Accent4 2 86 4" xfId="14208"/>
    <cellStyle name="20% - Accent4 2 86 5" xfId="14209"/>
    <cellStyle name="20% - Accent4 2 87" xfId="14210"/>
    <cellStyle name="20% - Accent4 2 87 2" xfId="14211"/>
    <cellStyle name="20% - Accent4 2 87 2 2" xfId="14212"/>
    <cellStyle name="20% - Accent4 2 87 2 3" xfId="14213"/>
    <cellStyle name="20% - Accent4 2 87 3" xfId="14214"/>
    <cellStyle name="20% - Accent4 2 87 3 2" xfId="14215"/>
    <cellStyle name="20% - Accent4 2 87 4" xfId="14216"/>
    <cellStyle name="20% - Accent4 2 87 5" xfId="14217"/>
    <cellStyle name="20% - Accent4 2 88" xfId="14218"/>
    <cellStyle name="20% - Accent4 2 88 2" xfId="14219"/>
    <cellStyle name="20% - Accent4 2 88 2 2" xfId="14220"/>
    <cellStyle name="20% - Accent4 2 88 2 3" xfId="14221"/>
    <cellStyle name="20% - Accent4 2 88 3" xfId="14222"/>
    <cellStyle name="20% - Accent4 2 88 3 2" xfId="14223"/>
    <cellStyle name="20% - Accent4 2 88 4" xfId="14224"/>
    <cellStyle name="20% - Accent4 2 88 5" xfId="14225"/>
    <cellStyle name="20% - Accent4 2 89" xfId="14226"/>
    <cellStyle name="20% - Accent4 2 89 2" xfId="14227"/>
    <cellStyle name="20% - Accent4 2 89 2 2" xfId="14228"/>
    <cellStyle name="20% - Accent4 2 89 2 3" xfId="14229"/>
    <cellStyle name="20% - Accent4 2 89 3" xfId="14230"/>
    <cellStyle name="20% - Accent4 2 89 3 2" xfId="14231"/>
    <cellStyle name="20% - Accent4 2 89 4" xfId="14232"/>
    <cellStyle name="20% - Accent4 2 89 5" xfId="14233"/>
    <cellStyle name="20% - Accent4 2 9" xfId="14234"/>
    <cellStyle name="20% - Accent4 2 9 2" xfId="14235"/>
    <cellStyle name="20% - Accent4 2 9 2 2" xfId="14236"/>
    <cellStyle name="20% - Accent4 2 9 2 3" xfId="14237"/>
    <cellStyle name="20% - Accent4 2 9 3" xfId="14238"/>
    <cellStyle name="20% - Accent4 2 9 3 2" xfId="14239"/>
    <cellStyle name="20% - Accent4 2 9 3 3" xfId="14240"/>
    <cellStyle name="20% - Accent4 2 9 4" xfId="14241"/>
    <cellStyle name="20% - Accent4 2 9 5" xfId="14242"/>
    <cellStyle name="20% - Accent4 2 9 6" xfId="14243"/>
    <cellStyle name="20% - Accent4 2 9 6 2" xfId="14244"/>
    <cellStyle name="20% - Accent4 2 9_BHP" xfId="14245"/>
    <cellStyle name="20% - Accent4 2 90" xfId="14246"/>
    <cellStyle name="20% - Accent4 2 90 2" xfId="14247"/>
    <cellStyle name="20% - Accent4 2 90 2 2" xfId="14248"/>
    <cellStyle name="20% - Accent4 2 90 2 3" xfId="14249"/>
    <cellStyle name="20% - Accent4 2 90 3" xfId="14250"/>
    <cellStyle name="20% - Accent4 2 90 3 2" xfId="14251"/>
    <cellStyle name="20% - Accent4 2 90 4" xfId="14252"/>
    <cellStyle name="20% - Accent4 2 90 5" xfId="14253"/>
    <cellStyle name="20% - Accent4 2 91" xfId="14254"/>
    <cellStyle name="20% - Accent4 2 91 2" xfId="14255"/>
    <cellStyle name="20% - Accent4 2 91 2 2" xfId="14256"/>
    <cellStyle name="20% - Accent4 2 91 2 3" xfId="14257"/>
    <cellStyle name="20% - Accent4 2 91 3" xfId="14258"/>
    <cellStyle name="20% - Accent4 2 91 3 2" xfId="14259"/>
    <cellStyle name="20% - Accent4 2 91 4" xfId="14260"/>
    <cellStyle name="20% - Accent4 2 91 5" xfId="14261"/>
    <cellStyle name="20% - Accent4 2 92" xfId="14262"/>
    <cellStyle name="20% - Accent4 2 92 2" xfId="14263"/>
    <cellStyle name="20% - Accent4 2 92 2 2" xfId="14264"/>
    <cellStyle name="20% - Accent4 2 92 2 3" xfId="14265"/>
    <cellStyle name="20% - Accent4 2 92 3" xfId="14266"/>
    <cellStyle name="20% - Accent4 2 92 3 2" xfId="14267"/>
    <cellStyle name="20% - Accent4 2 92 4" xfId="14268"/>
    <cellStyle name="20% - Accent4 2 92 5" xfId="14269"/>
    <cellStyle name="20% - Accent4 2 93" xfId="14270"/>
    <cellStyle name="20% - Accent4 2 93 2" xfId="14271"/>
    <cellStyle name="20% - Accent4 2 93 2 2" xfId="14272"/>
    <cellStyle name="20% - Accent4 2 93 3" xfId="14273"/>
    <cellStyle name="20% - Accent4 2 93 4" xfId="14274"/>
    <cellStyle name="20% - Accent4 2 94" xfId="14275"/>
    <cellStyle name="20% - Accent4 2 94 2" xfId="14276"/>
    <cellStyle name="20% - Accent4 2 94 2 2" xfId="14277"/>
    <cellStyle name="20% - Accent4 2 94 3" xfId="14278"/>
    <cellStyle name="20% - Accent4 2 94 4" xfId="14279"/>
    <cellStyle name="20% - Accent4 2 95" xfId="14280"/>
    <cellStyle name="20% - Accent4 2 95 2" xfId="14281"/>
    <cellStyle name="20% - Accent4 2 95 2 2" xfId="14282"/>
    <cellStyle name="20% - Accent4 2 95 3" xfId="14283"/>
    <cellStyle name="20% - Accent4 2 95 4" xfId="14284"/>
    <cellStyle name="20% - Accent4 2 96" xfId="14285"/>
    <cellStyle name="20% - Accent4 2 96 2" xfId="14286"/>
    <cellStyle name="20% - Accent4 2 96 2 2" xfId="14287"/>
    <cellStyle name="20% - Accent4 2 96 3" xfId="14288"/>
    <cellStyle name="20% - Accent4 2 96 4" xfId="14289"/>
    <cellStyle name="20% - Accent4 2 97" xfId="14290"/>
    <cellStyle name="20% - Accent4 2 97 2" xfId="14291"/>
    <cellStyle name="20% - Accent4 2 97 2 2" xfId="14292"/>
    <cellStyle name="20% - Accent4 2 97 3" xfId="14293"/>
    <cellStyle name="20% - Accent4 2 97 4" xfId="14294"/>
    <cellStyle name="20% - Accent4 2 98" xfId="14295"/>
    <cellStyle name="20% - Accent4 2 98 2" xfId="14296"/>
    <cellStyle name="20% - Accent4 2 98 2 2" xfId="14297"/>
    <cellStyle name="20% - Accent4 2 98 3" xfId="14298"/>
    <cellStyle name="20% - Accent4 2 98 4" xfId="14299"/>
    <cellStyle name="20% - Accent4 2 99" xfId="14300"/>
    <cellStyle name="20% - Accent4 2 99 2" xfId="14301"/>
    <cellStyle name="20% - Accent4 2 99 2 2" xfId="14302"/>
    <cellStyle name="20% - Accent4 2 99 3" xfId="14303"/>
    <cellStyle name="20% - Accent4 2 99 4" xfId="14304"/>
    <cellStyle name="20% - Accent4 2_1-10 BHU IS" xfId="14305"/>
    <cellStyle name="20% - Accent4 20" xfId="14306"/>
    <cellStyle name="20% - Accent4 21" xfId="14307"/>
    <cellStyle name="20% - Accent4 22" xfId="14308"/>
    <cellStyle name="20% - Accent4 23" xfId="14309"/>
    <cellStyle name="20% - Accent4 23 2" xfId="14310"/>
    <cellStyle name="20% - Accent4 23 3" xfId="14311"/>
    <cellStyle name="20% - Accent4 24" xfId="14312"/>
    <cellStyle name="20% - Accent4 25" xfId="14313"/>
    <cellStyle name="20% - Accent4 26" xfId="14314"/>
    <cellStyle name="20% - Accent4 26 2" xfId="14315"/>
    <cellStyle name="20% - Accent4 26 2 2" xfId="14316"/>
    <cellStyle name="20% - Accent4 26 2 2 2" xfId="14317"/>
    <cellStyle name="20% - Accent4 26 2 2 3" xfId="14318"/>
    <cellStyle name="20% - Accent4 26 2 3" xfId="14319"/>
    <cellStyle name="20% - Accent4 26 2 3 2" xfId="14320"/>
    <cellStyle name="20% - Accent4 26 2 4" xfId="14321"/>
    <cellStyle name="20% - Accent4 26 2 5" xfId="14322"/>
    <cellStyle name="20% - Accent4 26 3" xfId="14323"/>
    <cellStyle name="20% - Accent4 26 3 2" xfId="14324"/>
    <cellStyle name="20% - Accent4 26 3 2 2" xfId="14325"/>
    <cellStyle name="20% - Accent4 26 3 3" xfId="14326"/>
    <cellStyle name="20% - Accent4 26 3 4" xfId="14327"/>
    <cellStyle name="20% - Accent4 26 4" xfId="14328"/>
    <cellStyle name="20% - Accent4 26 4 2" xfId="14329"/>
    <cellStyle name="20% - Accent4 26 4 2 2" xfId="14330"/>
    <cellStyle name="20% - Accent4 26 4 3" xfId="14331"/>
    <cellStyle name="20% - Accent4 26 4 4" xfId="14332"/>
    <cellStyle name="20% - Accent4 26 5" xfId="14333"/>
    <cellStyle name="20% - Accent4 26 5 2" xfId="14334"/>
    <cellStyle name="20% - Accent4 26 6" xfId="14335"/>
    <cellStyle name="20% - Accent4 26 7" xfId="14336"/>
    <cellStyle name="20% - Accent4 26 8" xfId="14337"/>
    <cellStyle name="20% - Accent4 27" xfId="14338"/>
    <cellStyle name="20% - Accent4 27 2" xfId="14339"/>
    <cellStyle name="20% - Accent4 27 2 2" xfId="14340"/>
    <cellStyle name="20% - Accent4 27 2 2 2" xfId="14341"/>
    <cellStyle name="20% - Accent4 27 2 2 3" xfId="14342"/>
    <cellStyle name="20% - Accent4 27 2 3" xfId="14343"/>
    <cellStyle name="20% - Accent4 27 2 3 2" xfId="14344"/>
    <cellStyle name="20% - Accent4 27 2 4" xfId="14345"/>
    <cellStyle name="20% - Accent4 27 2 5" xfId="14346"/>
    <cellStyle name="20% - Accent4 27 3" xfId="14347"/>
    <cellStyle name="20% - Accent4 27 3 2" xfId="14348"/>
    <cellStyle name="20% - Accent4 27 3 2 2" xfId="14349"/>
    <cellStyle name="20% - Accent4 27 3 3" xfId="14350"/>
    <cellStyle name="20% - Accent4 27 3 4" xfId="14351"/>
    <cellStyle name="20% - Accent4 27 4" xfId="14352"/>
    <cellStyle name="20% - Accent4 27 4 2" xfId="14353"/>
    <cellStyle name="20% - Accent4 27 4 2 2" xfId="14354"/>
    <cellStyle name="20% - Accent4 27 4 3" xfId="14355"/>
    <cellStyle name="20% - Accent4 27 4 4" xfId="14356"/>
    <cellStyle name="20% - Accent4 27 5" xfId="14357"/>
    <cellStyle name="20% - Accent4 27 5 2" xfId="14358"/>
    <cellStyle name="20% - Accent4 27 6" xfId="14359"/>
    <cellStyle name="20% - Accent4 27 7" xfId="14360"/>
    <cellStyle name="20% - Accent4 27 8" xfId="14361"/>
    <cellStyle name="20% - Accent4 28" xfId="14362"/>
    <cellStyle name="20% - Accent4 28 2" xfId="14363"/>
    <cellStyle name="20% - Accent4 28 2 2" xfId="14364"/>
    <cellStyle name="20% - Accent4 28 2 2 2" xfId="14365"/>
    <cellStyle name="20% - Accent4 28 2 2 3" xfId="14366"/>
    <cellStyle name="20% - Accent4 28 2 3" xfId="14367"/>
    <cellStyle name="20% - Accent4 28 2 3 2" xfId="14368"/>
    <cellStyle name="20% - Accent4 28 2 4" xfId="14369"/>
    <cellStyle name="20% - Accent4 28 2 5" xfId="14370"/>
    <cellStyle name="20% - Accent4 28 3" xfId="14371"/>
    <cellStyle name="20% - Accent4 28 3 2" xfId="14372"/>
    <cellStyle name="20% - Accent4 28 3 2 2" xfId="14373"/>
    <cellStyle name="20% - Accent4 28 3 3" xfId="14374"/>
    <cellStyle name="20% - Accent4 28 3 4" xfId="14375"/>
    <cellStyle name="20% - Accent4 28 4" xfId="14376"/>
    <cellStyle name="20% - Accent4 28 4 2" xfId="14377"/>
    <cellStyle name="20% - Accent4 28 4 2 2" xfId="14378"/>
    <cellStyle name="20% - Accent4 28 4 3" xfId="14379"/>
    <cellStyle name="20% - Accent4 28 4 4" xfId="14380"/>
    <cellStyle name="20% - Accent4 28 5" xfId="14381"/>
    <cellStyle name="20% - Accent4 28 5 2" xfId="14382"/>
    <cellStyle name="20% - Accent4 28 6" xfId="14383"/>
    <cellStyle name="20% - Accent4 28 7" xfId="14384"/>
    <cellStyle name="20% - Accent4 28 8" xfId="14385"/>
    <cellStyle name="20% - Accent4 29" xfId="14386"/>
    <cellStyle name="20% - Accent4 29 2" xfId="14387"/>
    <cellStyle name="20% - Accent4 29 2 2" xfId="14388"/>
    <cellStyle name="20% - Accent4 29 2 2 2" xfId="14389"/>
    <cellStyle name="20% - Accent4 29 2 2 3" xfId="14390"/>
    <cellStyle name="20% - Accent4 29 2 3" xfId="14391"/>
    <cellStyle name="20% - Accent4 29 2 3 2" xfId="14392"/>
    <cellStyle name="20% - Accent4 29 2 4" xfId="14393"/>
    <cellStyle name="20% - Accent4 29 2 5" xfId="14394"/>
    <cellStyle name="20% - Accent4 29 3" xfId="14395"/>
    <cellStyle name="20% - Accent4 29 3 2" xfId="14396"/>
    <cellStyle name="20% - Accent4 29 3 2 2" xfId="14397"/>
    <cellStyle name="20% - Accent4 29 3 3" xfId="14398"/>
    <cellStyle name="20% - Accent4 29 3 4" xfId="14399"/>
    <cellStyle name="20% - Accent4 29 4" xfId="14400"/>
    <cellStyle name="20% - Accent4 29 4 2" xfId="14401"/>
    <cellStyle name="20% - Accent4 29 4 2 2" xfId="14402"/>
    <cellStyle name="20% - Accent4 29 4 3" xfId="14403"/>
    <cellStyle name="20% - Accent4 29 4 4" xfId="14404"/>
    <cellStyle name="20% - Accent4 29 5" xfId="14405"/>
    <cellStyle name="20% - Accent4 29 5 2" xfId="14406"/>
    <cellStyle name="20% - Accent4 29 6" xfId="14407"/>
    <cellStyle name="20% - Accent4 29 7" xfId="14408"/>
    <cellStyle name="20% - Accent4 29 8" xfId="14409"/>
    <cellStyle name="20% - Accent4 3" xfId="258"/>
    <cellStyle name="20% - Accent4 3 10" xfId="14410"/>
    <cellStyle name="20% - Accent4 3 10 2" xfId="14411"/>
    <cellStyle name="20% - Accent4 3 10 2 2" xfId="14412"/>
    <cellStyle name="20% - Accent4 3 10 2 2 2" xfId="14413"/>
    <cellStyle name="20% - Accent4 3 10 2 2 3" xfId="14414"/>
    <cellStyle name="20% - Accent4 3 10 2 3" xfId="14415"/>
    <cellStyle name="20% - Accent4 3 10 2 3 2" xfId="14416"/>
    <cellStyle name="20% - Accent4 3 10 2 4" xfId="14417"/>
    <cellStyle name="20% - Accent4 3 10 2 5" xfId="14418"/>
    <cellStyle name="20% - Accent4 3 10 3" xfId="14419"/>
    <cellStyle name="20% - Accent4 3 10 3 2" xfId="14420"/>
    <cellStyle name="20% - Accent4 3 10 3 2 2" xfId="14421"/>
    <cellStyle name="20% - Accent4 3 10 3 3" xfId="14422"/>
    <cellStyle name="20% - Accent4 3 10 3 4" xfId="14423"/>
    <cellStyle name="20% - Accent4 3 10 4" xfId="14424"/>
    <cellStyle name="20% - Accent4 3 10 4 2" xfId="14425"/>
    <cellStyle name="20% - Accent4 3 10 4 2 2" xfId="14426"/>
    <cellStyle name="20% - Accent4 3 10 4 3" xfId="14427"/>
    <cellStyle name="20% - Accent4 3 10 4 4" xfId="14428"/>
    <cellStyle name="20% - Accent4 3 10 5" xfId="14429"/>
    <cellStyle name="20% - Accent4 3 10 5 2" xfId="14430"/>
    <cellStyle name="20% - Accent4 3 10 6" xfId="14431"/>
    <cellStyle name="20% - Accent4 3 10 7" xfId="14432"/>
    <cellStyle name="20% - Accent4 3 10 8" xfId="14433"/>
    <cellStyle name="20% - Accent4 3 11" xfId="14434"/>
    <cellStyle name="20% - Accent4 3 11 2" xfId="14435"/>
    <cellStyle name="20% - Accent4 3 11 2 2" xfId="14436"/>
    <cellStyle name="20% - Accent4 3 11 2 2 2" xfId="14437"/>
    <cellStyle name="20% - Accent4 3 11 2 2 3" xfId="14438"/>
    <cellStyle name="20% - Accent4 3 11 2 3" xfId="14439"/>
    <cellStyle name="20% - Accent4 3 11 2 3 2" xfId="14440"/>
    <cellStyle name="20% - Accent4 3 11 2 4" xfId="14441"/>
    <cellStyle name="20% - Accent4 3 11 2 5" xfId="14442"/>
    <cellStyle name="20% - Accent4 3 11 3" xfId="14443"/>
    <cellStyle name="20% - Accent4 3 11 3 2" xfId="14444"/>
    <cellStyle name="20% - Accent4 3 11 3 2 2" xfId="14445"/>
    <cellStyle name="20% - Accent4 3 11 3 3" xfId="14446"/>
    <cellStyle name="20% - Accent4 3 11 3 4" xfId="14447"/>
    <cellStyle name="20% - Accent4 3 11 4" xfId="14448"/>
    <cellStyle name="20% - Accent4 3 11 4 2" xfId="14449"/>
    <cellStyle name="20% - Accent4 3 11 4 2 2" xfId="14450"/>
    <cellStyle name="20% - Accent4 3 11 4 3" xfId="14451"/>
    <cellStyle name="20% - Accent4 3 11 4 4" xfId="14452"/>
    <cellStyle name="20% - Accent4 3 11 5" xfId="14453"/>
    <cellStyle name="20% - Accent4 3 11 5 2" xfId="14454"/>
    <cellStyle name="20% - Accent4 3 11 6" xfId="14455"/>
    <cellStyle name="20% - Accent4 3 11 7" xfId="14456"/>
    <cellStyle name="20% - Accent4 3 11 8" xfId="14457"/>
    <cellStyle name="20% - Accent4 3 12" xfId="14458"/>
    <cellStyle name="20% - Accent4 3 12 2" xfId="14459"/>
    <cellStyle name="20% - Accent4 3 12 2 2" xfId="14460"/>
    <cellStyle name="20% - Accent4 3 12 2 2 2" xfId="14461"/>
    <cellStyle name="20% - Accent4 3 12 2 2 3" xfId="14462"/>
    <cellStyle name="20% - Accent4 3 12 2 3" xfId="14463"/>
    <cellStyle name="20% - Accent4 3 12 2 3 2" xfId="14464"/>
    <cellStyle name="20% - Accent4 3 12 2 4" xfId="14465"/>
    <cellStyle name="20% - Accent4 3 12 2 5" xfId="14466"/>
    <cellStyle name="20% - Accent4 3 12 3" xfId="14467"/>
    <cellStyle name="20% - Accent4 3 12 3 2" xfId="14468"/>
    <cellStyle name="20% - Accent4 3 12 3 2 2" xfId="14469"/>
    <cellStyle name="20% - Accent4 3 12 3 3" xfId="14470"/>
    <cellStyle name="20% - Accent4 3 12 3 4" xfId="14471"/>
    <cellStyle name="20% - Accent4 3 12 4" xfId="14472"/>
    <cellStyle name="20% - Accent4 3 12 4 2" xfId="14473"/>
    <cellStyle name="20% - Accent4 3 12 4 2 2" xfId="14474"/>
    <cellStyle name="20% - Accent4 3 12 4 3" xfId="14475"/>
    <cellStyle name="20% - Accent4 3 12 4 4" xfId="14476"/>
    <cellStyle name="20% - Accent4 3 12 5" xfId="14477"/>
    <cellStyle name="20% - Accent4 3 12 5 2" xfId="14478"/>
    <cellStyle name="20% - Accent4 3 12 6" xfId="14479"/>
    <cellStyle name="20% - Accent4 3 12 7" xfId="14480"/>
    <cellStyle name="20% - Accent4 3 12 8" xfId="14481"/>
    <cellStyle name="20% - Accent4 3 2" xfId="259"/>
    <cellStyle name="20% - Accent4 3 2 2" xfId="14482"/>
    <cellStyle name="20% - Accent4 3 2 2 2" xfId="14483"/>
    <cellStyle name="20% - Accent4 3 2 3" xfId="14484"/>
    <cellStyle name="20% - Accent4 3 2 4" xfId="14485"/>
    <cellStyle name="20% - Accent4 3 2 5" xfId="14486"/>
    <cellStyle name="20% - Accent4 3 2 6" xfId="14487"/>
    <cellStyle name="20% - Accent4 3 2 7" xfId="14488"/>
    <cellStyle name="20% - Accent4 3 2 8" xfId="14489"/>
    <cellStyle name="20% - Accent4 3 2_2009 Actual" xfId="14490"/>
    <cellStyle name="20% - Accent4 3 3" xfId="14491"/>
    <cellStyle name="20% - Accent4 3 3 2" xfId="14492"/>
    <cellStyle name="20% - Accent4 3 4" xfId="14493"/>
    <cellStyle name="20% - Accent4 3 5" xfId="14494"/>
    <cellStyle name="20% - Accent4 3 6" xfId="14495"/>
    <cellStyle name="20% - Accent4 3 7" xfId="14496"/>
    <cellStyle name="20% - Accent4 3 8" xfId="14497"/>
    <cellStyle name="20% - Accent4 3 9" xfId="14498"/>
    <cellStyle name="20% - Accent4 3_2009 Actual" xfId="14499"/>
    <cellStyle name="20% - Accent4 30" xfId="14500"/>
    <cellStyle name="20% - Accent4 30 2" xfId="14501"/>
    <cellStyle name="20% - Accent4 30 2 2" xfId="14502"/>
    <cellStyle name="20% - Accent4 30 2 2 2" xfId="14503"/>
    <cellStyle name="20% - Accent4 30 2 2 3" xfId="14504"/>
    <cellStyle name="20% - Accent4 30 2 3" xfId="14505"/>
    <cellStyle name="20% - Accent4 30 2 3 2" xfId="14506"/>
    <cellStyle name="20% - Accent4 30 2 4" xfId="14507"/>
    <cellStyle name="20% - Accent4 30 2 5" xfId="14508"/>
    <cellStyle name="20% - Accent4 30 3" xfId="14509"/>
    <cellStyle name="20% - Accent4 30 3 2" xfId="14510"/>
    <cellStyle name="20% - Accent4 30 3 2 2" xfId="14511"/>
    <cellStyle name="20% - Accent4 30 3 3" xfId="14512"/>
    <cellStyle name="20% - Accent4 30 3 4" xfId="14513"/>
    <cellStyle name="20% - Accent4 30 4" xfId="14514"/>
    <cellStyle name="20% - Accent4 30 4 2" xfId="14515"/>
    <cellStyle name="20% - Accent4 30 4 2 2" xfId="14516"/>
    <cellStyle name="20% - Accent4 30 4 3" xfId="14517"/>
    <cellStyle name="20% - Accent4 30 4 4" xfId="14518"/>
    <cellStyle name="20% - Accent4 30 5" xfId="14519"/>
    <cellStyle name="20% - Accent4 30 5 2" xfId="14520"/>
    <cellStyle name="20% - Accent4 30 6" xfId="14521"/>
    <cellStyle name="20% - Accent4 30 7" xfId="14522"/>
    <cellStyle name="20% - Accent4 30 8" xfId="14523"/>
    <cellStyle name="20% - Accent4 31" xfId="14524"/>
    <cellStyle name="20% - Accent4 31 2" xfId="14525"/>
    <cellStyle name="20% - Accent4 31 2 2" xfId="14526"/>
    <cellStyle name="20% - Accent4 31 2 3" xfId="14527"/>
    <cellStyle name="20% - Accent4 31 3" xfId="14528"/>
    <cellStyle name="20% - Accent4 31 3 2" xfId="14529"/>
    <cellStyle name="20% - Accent4 31 4" xfId="14530"/>
    <cellStyle name="20% - Accent4 31 5" xfId="14531"/>
    <cellStyle name="20% - Accent4 32" xfId="14532"/>
    <cellStyle name="20% - Accent4 32 2" xfId="14533"/>
    <cellStyle name="20% - Accent4 32 2 2" xfId="14534"/>
    <cellStyle name="20% - Accent4 32 2 3" xfId="14535"/>
    <cellStyle name="20% - Accent4 32 3" xfId="14536"/>
    <cellStyle name="20% - Accent4 32 3 2" xfId="14537"/>
    <cellStyle name="20% - Accent4 32 4" xfId="14538"/>
    <cellStyle name="20% - Accent4 32 5" xfId="14539"/>
    <cellStyle name="20% - Accent4 33" xfId="14540"/>
    <cellStyle name="20% - Accent4 33 2" xfId="14541"/>
    <cellStyle name="20% - Accent4 33 2 2" xfId="14542"/>
    <cellStyle name="20% - Accent4 33 2 3" xfId="14543"/>
    <cellStyle name="20% - Accent4 33 3" xfId="14544"/>
    <cellStyle name="20% - Accent4 33 3 2" xfId="14545"/>
    <cellStyle name="20% - Accent4 33 4" xfId="14546"/>
    <cellStyle name="20% - Accent4 33 5" xfId="14547"/>
    <cellStyle name="20% - Accent4 34" xfId="14548"/>
    <cellStyle name="20% - Accent4 34 2" xfId="14549"/>
    <cellStyle name="20% - Accent4 34 2 2" xfId="14550"/>
    <cellStyle name="20% - Accent4 34 2 3" xfId="14551"/>
    <cellStyle name="20% - Accent4 34 3" xfId="14552"/>
    <cellStyle name="20% - Accent4 34 3 2" xfId="14553"/>
    <cellStyle name="20% - Accent4 34 4" xfId="14554"/>
    <cellStyle name="20% - Accent4 34 5" xfId="14555"/>
    <cellStyle name="20% - Accent4 35" xfId="14556"/>
    <cellStyle name="20% - Accent4 35 2" xfId="14557"/>
    <cellStyle name="20% - Accent4 35 2 2" xfId="14558"/>
    <cellStyle name="20% - Accent4 35 2 3" xfId="14559"/>
    <cellStyle name="20% - Accent4 35 3" xfId="14560"/>
    <cellStyle name="20% - Accent4 35 3 2" xfId="14561"/>
    <cellStyle name="20% - Accent4 35 4" xfId="14562"/>
    <cellStyle name="20% - Accent4 35 5" xfId="14563"/>
    <cellStyle name="20% - Accent4 36" xfId="14564"/>
    <cellStyle name="20% - Accent4 36 2" xfId="14565"/>
    <cellStyle name="20% - Accent4 36 2 2" xfId="14566"/>
    <cellStyle name="20% - Accent4 36 2 3" xfId="14567"/>
    <cellStyle name="20% - Accent4 36 3" xfId="14568"/>
    <cellStyle name="20% - Accent4 36 3 2" xfId="14569"/>
    <cellStyle name="20% - Accent4 36 4" xfId="14570"/>
    <cellStyle name="20% - Accent4 36 5" xfId="14571"/>
    <cellStyle name="20% - Accent4 37" xfId="14572"/>
    <cellStyle name="20% - Accent4 37 2" xfId="14573"/>
    <cellStyle name="20% - Accent4 37 2 2" xfId="14574"/>
    <cellStyle name="20% - Accent4 37 2 3" xfId="14575"/>
    <cellStyle name="20% - Accent4 37 3" xfId="14576"/>
    <cellStyle name="20% - Accent4 37 3 2" xfId="14577"/>
    <cellStyle name="20% - Accent4 37 4" xfId="14578"/>
    <cellStyle name="20% - Accent4 37 5" xfId="14579"/>
    <cellStyle name="20% - Accent4 38" xfId="14580"/>
    <cellStyle name="20% - Accent4 38 2" xfId="14581"/>
    <cellStyle name="20% - Accent4 38 2 2" xfId="14582"/>
    <cellStyle name="20% - Accent4 38 2 3" xfId="14583"/>
    <cellStyle name="20% - Accent4 38 3" xfId="14584"/>
    <cellStyle name="20% - Accent4 38 3 2" xfId="14585"/>
    <cellStyle name="20% - Accent4 38 4" xfId="14586"/>
    <cellStyle name="20% - Accent4 38 5" xfId="14587"/>
    <cellStyle name="20% - Accent4 39" xfId="14588"/>
    <cellStyle name="20% - Accent4 39 2" xfId="14589"/>
    <cellStyle name="20% - Accent4 39 2 2" xfId="14590"/>
    <cellStyle name="20% - Accent4 39 2 3" xfId="14591"/>
    <cellStyle name="20% - Accent4 39 3" xfId="14592"/>
    <cellStyle name="20% - Accent4 39 3 2" xfId="14593"/>
    <cellStyle name="20% - Accent4 39 4" xfId="14594"/>
    <cellStyle name="20% - Accent4 39 5" xfId="14595"/>
    <cellStyle name="20% - Accent4 4" xfId="260"/>
    <cellStyle name="20% - Accent4 4 2" xfId="14596"/>
    <cellStyle name="20% - Accent4 4 2 2" xfId="14597"/>
    <cellStyle name="20% - Accent4 4 2 3" xfId="14598"/>
    <cellStyle name="20% - Accent4 4 2 4" xfId="14599"/>
    <cellStyle name="20% - Accent4 4 2 5" xfId="14600"/>
    <cellStyle name="20% - Accent4 4 2 6" xfId="14601"/>
    <cellStyle name="20% - Accent4 4 2 7" xfId="14602"/>
    <cellStyle name="20% - Accent4 4 2_2009 Actual" xfId="14603"/>
    <cellStyle name="20% - Accent4 4 3" xfId="14604"/>
    <cellStyle name="20% - Accent4 4 4" xfId="14605"/>
    <cellStyle name="20% - Accent4 4 5" xfId="14606"/>
    <cellStyle name="20% - Accent4 4 6" xfId="14607"/>
    <cellStyle name="20% - Accent4 4 7" xfId="14608"/>
    <cellStyle name="20% - Accent4 4 8" xfId="14609"/>
    <cellStyle name="20% - Accent4 4_2009 Actual" xfId="14610"/>
    <cellStyle name="20% - Accent4 40" xfId="14611"/>
    <cellStyle name="20% - Accent4 40 2" xfId="14612"/>
    <cellStyle name="20% - Accent4 40 2 2" xfId="14613"/>
    <cellStyle name="20% - Accent4 40 2 3" xfId="14614"/>
    <cellStyle name="20% - Accent4 40 3" xfId="14615"/>
    <cellStyle name="20% - Accent4 40 3 2" xfId="14616"/>
    <cellStyle name="20% - Accent4 40 4" xfId="14617"/>
    <cellStyle name="20% - Accent4 40 5" xfId="14618"/>
    <cellStyle name="20% - Accent4 41" xfId="14619"/>
    <cellStyle name="20% - Accent4 41 2" xfId="14620"/>
    <cellStyle name="20% - Accent4 41 2 2" xfId="14621"/>
    <cellStyle name="20% - Accent4 41 2 3" xfId="14622"/>
    <cellStyle name="20% - Accent4 41 3" xfId="14623"/>
    <cellStyle name="20% - Accent4 41 3 2" xfId="14624"/>
    <cellStyle name="20% - Accent4 41 4" xfId="14625"/>
    <cellStyle name="20% - Accent4 41 5" xfId="14626"/>
    <cellStyle name="20% - Accent4 42" xfId="14627"/>
    <cellStyle name="20% - Accent4 42 2" xfId="14628"/>
    <cellStyle name="20% - Accent4 42 2 2" xfId="14629"/>
    <cellStyle name="20% - Accent4 42 2 3" xfId="14630"/>
    <cellStyle name="20% - Accent4 42 3" xfId="14631"/>
    <cellStyle name="20% - Accent4 42 3 2" xfId="14632"/>
    <cellStyle name="20% - Accent4 42 4" xfId="14633"/>
    <cellStyle name="20% - Accent4 42 5" xfId="14634"/>
    <cellStyle name="20% - Accent4 43" xfId="14635"/>
    <cellStyle name="20% - Accent4 43 2" xfId="14636"/>
    <cellStyle name="20% - Accent4 43 2 2" xfId="14637"/>
    <cellStyle name="20% - Accent4 43 2 3" xfId="14638"/>
    <cellStyle name="20% - Accent4 43 3" xfId="14639"/>
    <cellStyle name="20% - Accent4 43 3 2" xfId="14640"/>
    <cellStyle name="20% - Accent4 43 4" xfId="14641"/>
    <cellStyle name="20% - Accent4 43 5" xfId="14642"/>
    <cellStyle name="20% - Accent4 44" xfId="14643"/>
    <cellStyle name="20% - Accent4 44 2" xfId="14644"/>
    <cellStyle name="20% - Accent4 44 2 2" xfId="14645"/>
    <cellStyle name="20% - Accent4 44 2 3" xfId="14646"/>
    <cellStyle name="20% - Accent4 44 3" xfId="14647"/>
    <cellStyle name="20% - Accent4 44 3 2" xfId="14648"/>
    <cellStyle name="20% - Accent4 44 4" xfId="14649"/>
    <cellStyle name="20% - Accent4 44 5" xfId="14650"/>
    <cellStyle name="20% - Accent4 45" xfId="14651"/>
    <cellStyle name="20% - Accent4 45 2" xfId="14652"/>
    <cellStyle name="20% - Accent4 45 2 2" xfId="14653"/>
    <cellStyle name="20% - Accent4 45 2 3" xfId="14654"/>
    <cellStyle name="20% - Accent4 45 3" xfId="14655"/>
    <cellStyle name="20% - Accent4 45 3 2" xfId="14656"/>
    <cellStyle name="20% - Accent4 45 4" xfId="14657"/>
    <cellStyle name="20% - Accent4 45 5" xfId="14658"/>
    <cellStyle name="20% - Accent4 46" xfId="14659"/>
    <cellStyle name="20% - Accent4 46 2" xfId="14660"/>
    <cellStyle name="20% - Accent4 46 2 2" xfId="14661"/>
    <cellStyle name="20% - Accent4 46 2 3" xfId="14662"/>
    <cellStyle name="20% - Accent4 46 3" xfId="14663"/>
    <cellStyle name="20% - Accent4 46 3 2" xfId="14664"/>
    <cellStyle name="20% - Accent4 46 4" xfId="14665"/>
    <cellStyle name="20% - Accent4 46 5" xfId="14666"/>
    <cellStyle name="20% - Accent4 47" xfId="14667"/>
    <cellStyle name="20% - Accent4 47 2" xfId="14668"/>
    <cellStyle name="20% - Accent4 47 2 2" xfId="14669"/>
    <cellStyle name="20% - Accent4 47 2 3" xfId="14670"/>
    <cellStyle name="20% - Accent4 47 3" xfId="14671"/>
    <cellStyle name="20% - Accent4 47 3 2" xfId="14672"/>
    <cellStyle name="20% - Accent4 47 4" xfId="14673"/>
    <cellStyle name="20% - Accent4 47 5" xfId="14674"/>
    <cellStyle name="20% - Accent4 48" xfId="14675"/>
    <cellStyle name="20% - Accent4 48 2" xfId="14676"/>
    <cellStyle name="20% - Accent4 48 2 2" xfId="14677"/>
    <cellStyle name="20% - Accent4 48 2 3" xfId="14678"/>
    <cellStyle name="20% - Accent4 48 3" xfId="14679"/>
    <cellStyle name="20% - Accent4 48 3 2" xfId="14680"/>
    <cellStyle name="20% - Accent4 48 4" xfId="14681"/>
    <cellStyle name="20% - Accent4 48 5" xfId="14682"/>
    <cellStyle name="20% - Accent4 49" xfId="14683"/>
    <cellStyle name="20% - Accent4 49 2" xfId="14684"/>
    <cellStyle name="20% - Accent4 49 2 2" xfId="14685"/>
    <cellStyle name="20% - Accent4 49 2 3" xfId="14686"/>
    <cellStyle name="20% - Accent4 49 3" xfId="14687"/>
    <cellStyle name="20% - Accent4 49 3 2" xfId="14688"/>
    <cellStyle name="20% - Accent4 49 4" xfId="14689"/>
    <cellStyle name="20% - Accent4 49 5" xfId="14690"/>
    <cellStyle name="20% - Accent4 5" xfId="14691"/>
    <cellStyle name="20% - Accent4 5 2" xfId="14692"/>
    <cellStyle name="20% - Accent4 5 2 2" xfId="14693"/>
    <cellStyle name="20% - Accent4 5 2 3" xfId="14694"/>
    <cellStyle name="20% - Accent4 5 2 4" xfId="14695"/>
    <cellStyle name="20% - Accent4 5 2 5" xfId="14696"/>
    <cellStyle name="20% - Accent4 5 2 6" xfId="14697"/>
    <cellStyle name="20% - Accent4 5 2 7" xfId="14698"/>
    <cellStyle name="20% - Accent4 5 2_2009 Actual" xfId="14699"/>
    <cellStyle name="20% - Accent4 5 3" xfId="14700"/>
    <cellStyle name="20% - Accent4 5 4" xfId="14701"/>
    <cellStyle name="20% - Accent4 5 5" xfId="14702"/>
    <cellStyle name="20% - Accent4 5 6" xfId="14703"/>
    <cellStyle name="20% - Accent4 5 7" xfId="14704"/>
    <cellStyle name="20% - Accent4 5 8" xfId="14705"/>
    <cellStyle name="20% - Accent4 5_2009 Actual" xfId="14706"/>
    <cellStyle name="20% - Accent4 50" xfId="14707"/>
    <cellStyle name="20% - Accent4 50 2" xfId="14708"/>
    <cellStyle name="20% - Accent4 50 2 2" xfId="14709"/>
    <cellStyle name="20% - Accent4 50 2 3" xfId="14710"/>
    <cellStyle name="20% - Accent4 50 3" xfId="14711"/>
    <cellStyle name="20% - Accent4 50 3 2" xfId="14712"/>
    <cellStyle name="20% - Accent4 50 4" xfId="14713"/>
    <cellStyle name="20% - Accent4 50 5" xfId="14714"/>
    <cellStyle name="20% - Accent4 51" xfId="14715"/>
    <cellStyle name="20% - Accent4 51 2" xfId="14716"/>
    <cellStyle name="20% - Accent4 51 2 2" xfId="14717"/>
    <cellStyle name="20% - Accent4 51 2 3" xfId="14718"/>
    <cellStyle name="20% - Accent4 51 3" xfId="14719"/>
    <cellStyle name="20% - Accent4 51 3 2" xfId="14720"/>
    <cellStyle name="20% - Accent4 51 4" xfId="14721"/>
    <cellStyle name="20% - Accent4 51 5" xfId="14722"/>
    <cellStyle name="20% - Accent4 52" xfId="14723"/>
    <cellStyle name="20% - Accent4 52 2" xfId="14724"/>
    <cellStyle name="20% - Accent4 52 2 2" xfId="14725"/>
    <cellStyle name="20% - Accent4 52 2 3" xfId="14726"/>
    <cellStyle name="20% - Accent4 52 3" xfId="14727"/>
    <cellStyle name="20% - Accent4 52 3 2" xfId="14728"/>
    <cellStyle name="20% - Accent4 52 4" xfId="14729"/>
    <cellStyle name="20% - Accent4 52 5" xfId="14730"/>
    <cellStyle name="20% - Accent4 53" xfId="14731"/>
    <cellStyle name="20% - Accent4 53 2" xfId="14732"/>
    <cellStyle name="20% - Accent4 53 2 2" xfId="14733"/>
    <cellStyle name="20% - Accent4 53 2 3" xfId="14734"/>
    <cellStyle name="20% - Accent4 53 3" xfId="14735"/>
    <cellStyle name="20% - Accent4 53 3 2" xfId="14736"/>
    <cellStyle name="20% - Accent4 53 4" xfId="14737"/>
    <cellStyle name="20% - Accent4 53 5" xfId="14738"/>
    <cellStyle name="20% - Accent4 54" xfId="14739"/>
    <cellStyle name="20% - Accent4 54 2" xfId="14740"/>
    <cellStyle name="20% - Accent4 54 2 2" xfId="14741"/>
    <cellStyle name="20% - Accent4 54 2 3" xfId="14742"/>
    <cellStyle name="20% - Accent4 54 3" xfId="14743"/>
    <cellStyle name="20% - Accent4 54 3 2" xfId="14744"/>
    <cellStyle name="20% - Accent4 54 4" xfId="14745"/>
    <cellStyle name="20% - Accent4 54 5" xfId="14746"/>
    <cellStyle name="20% - Accent4 55" xfId="14747"/>
    <cellStyle name="20% - Accent4 55 2" xfId="14748"/>
    <cellStyle name="20% - Accent4 55 2 2" xfId="14749"/>
    <cellStyle name="20% - Accent4 55 2 3" xfId="14750"/>
    <cellStyle name="20% - Accent4 55 3" xfId="14751"/>
    <cellStyle name="20% - Accent4 55 3 2" xfId="14752"/>
    <cellStyle name="20% - Accent4 55 4" xfId="14753"/>
    <cellStyle name="20% - Accent4 55 5" xfId="14754"/>
    <cellStyle name="20% - Accent4 56" xfId="14755"/>
    <cellStyle name="20% - Accent4 56 2" xfId="14756"/>
    <cellStyle name="20% - Accent4 56 2 2" xfId="14757"/>
    <cellStyle name="20% - Accent4 56 2 3" xfId="14758"/>
    <cellStyle name="20% - Accent4 56 3" xfId="14759"/>
    <cellStyle name="20% - Accent4 56 3 2" xfId="14760"/>
    <cellStyle name="20% - Accent4 56 4" xfId="14761"/>
    <cellStyle name="20% - Accent4 56 5" xfId="14762"/>
    <cellStyle name="20% - Accent4 57" xfId="14763"/>
    <cellStyle name="20% - Accent4 57 2" xfId="14764"/>
    <cellStyle name="20% - Accent4 57 2 2" xfId="14765"/>
    <cellStyle name="20% - Accent4 57 2 3" xfId="14766"/>
    <cellStyle name="20% - Accent4 57 3" xfId="14767"/>
    <cellStyle name="20% - Accent4 57 3 2" xfId="14768"/>
    <cellStyle name="20% - Accent4 57 4" xfId="14769"/>
    <cellStyle name="20% - Accent4 57 5" xfId="14770"/>
    <cellStyle name="20% - Accent4 58" xfId="14771"/>
    <cellStyle name="20% - Accent4 58 2" xfId="14772"/>
    <cellStyle name="20% - Accent4 58 2 2" xfId="14773"/>
    <cellStyle name="20% - Accent4 58 2 3" xfId="14774"/>
    <cellStyle name="20% - Accent4 58 3" xfId="14775"/>
    <cellStyle name="20% - Accent4 58 3 2" xfId="14776"/>
    <cellStyle name="20% - Accent4 58 4" xfId="14777"/>
    <cellStyle name="20% - Accent4 58 5" xfId="14778"/>
    <cellStyle name="20% - Accent4 59" xfId="14779"/>
    <cellStyle name="20% - Accent4 59 2" xfId="14780"/>
    <cellStyle name="20% - Accent4 59 2 2" xfId="14781"/>
    <cellStyle name="20% - Accent4 59 2 3" xfId="14782"/>
    <cellStyle name="20% - Accent4 59 3" xfId="14783"/>
    <cellStyle name="20% - Accent4 59 3 2" xfId="14784"/>
    <cellStyle name="20% - Accent4 59 4" xfId="14785"/>
    <cellStyle name="20% - Accent4 59 5" xfId="14786"/>
    <cellStyle name="20% - Accent4 6" xfId="14787"/>
    <cellStyle name="20% - Accent4 6 2" xfId="14788"/>
    <cellStyle name="20% - Accent4 6 3" xfId="14789"/>
    <cellStyle name="20% - Accent4 6 4" xfId="14790"/>
    <cellStyle name="20% - Accent4 6 5" xfId="14791"/>
    <cellStyle name="20% - Accent4 6 6" xfId="14792"/>
    <cellStyle name="20% - Accent4 6 7" xfId="14793"/>
    <cellStyle name="20% - Accent4 6 8" xfId="14794"/>
    <cellStyle name="20% - Accent4 6_2009 Actual" xfId="14795"/>
    <cellStyle name="20% - Accent4 60" xfId="14796"/>
    <cellStyle name="20% - Accent4 60 2" xfId="14797"/>
    <cellStyle name="20% - Accent4 60 2 2" xfId="14798"/>
    <cellStyle name="20% - Accent4 60 2 3" xfId="14799"/>
    <cellStyle name="20% - Accent4 60 3" xfId="14800"/>
    <cellStyle name="20% - Accent4 60 3 2" xfId="14801"/>
    <cellStyle name="20% - Accent4 60 4" xfId="14802"/>
    <cellStyle name="20% - Accent4 60 5" xfId="14803"/>
    <cellStyle name="20% - Accent4 61" xfId="14804"/>
    <cellStyle name="20% - Accent4 61 2" xfId="14805"/>
    <cellStyle name="20% - Accent4 61 2 2" xfId="14806"/>
    <cellStyle name="20% - Accent4 61 2 3" xfId="14807"/>
    <cellStyle name="20% - Accent4 61 3" xfId="14808"/>
    <cellStyle name="20% - Accent4 61 3 2" xfId="14809"/>
    <cellStyle name="20% - Accent4 61 4" xfId="14810"/>
    <cellStyle name="20% - Accent4 61 5" xfId="14811"/>
    <cellStyle name="20% - Accent4 62" xfId="14812"/>
    <cellStyle name="20% - Accent4 62 2" xfId="14813"/>
    <cellStyle name="20% - Accent4 62 2 2" xfId="14814"/>
    <cellStyle name="20% - Accent4 62 2 3" xfId="14815"/>
    <cellStyle name="20% - Accent4 62 3" xfId="14816"/>
    <cellStyle name="20% - Accent4 62 3 2" xfId="14817"/>
    <cellStyle name="20% - Accent4 62 4" xfId="14818"/>
    <cellStyle name="20% - Accent4 62 5" xfId="14819"/>
    <cellStyle name="20% - Accent4 63" xfId="14820"/>
    <cellStyle name="20% - Accent4 63 2" xfId="14821"/>
    <cellStyle name="20% - Accent4 63 2 2" xfId="14822"/>
    <cellStyle name="20% - Accent4 63 2 3" xfId="14823"/>
    <cellStyle name="20% - Accent4 63 3" xfId="14824"/>
    <cellStyle name="20% - Accent4 63 3 2" xfId="14825"/>
    <cellStyle name="20% - Accent4 63 4" xfId="14826"/>
    <cellStyle name="20% - Accent4 63 5" xfId="14827"/>
    <cellStyle name="20% - Accent4 64" xfId="14828"/>
    <cellStyle name="20% - Accent4 64 2" xfId="14829"/>
    <cellStyle name="20% - Accent4 64 2 2" xfId="14830"/>
    <cellStyle name="20% - Accent4 64 3" xfId="14831"/>
    <cellStyle name="20% - Accent4 64 4" xfId="14832"/>
    <cellStyle name="20% - Accent4 65" xfId="14833"/>
    <cellStyle name="20% - Accent4 65 2" xfId="14834"/>
    <cellStyle name="20% - Accent4 65 2 2" xfId="14835"/>
    <cellStyle name="20% - Accent4 65 3" xfId="14836"/>
    <cellStyle name="20% - Accent4 65 4" xfId="14837"/>
    <cellStyle name="20% - Accent4 66" xfId="14838"/>
    <cellStyle name="20% - Accent4 66 2" xfId="14839"/>
    <cellStyle name="20% - Accent4 66 2 2" xfId="14840"/>
    <cellStyle name="20% - Accent4 66 3" xfId="14841"/>
    <cellStyle name="20% - Accent4 66 4" xfId="14842"/>
    <cellStyle name="20% - Accent4 67" xfId="14843"/>
    <cellStyle name="20% - Accent4 67 2" xfId="14844"/>
    <cellStyle name="20% - Accent4 67 2 2" xfId="14845"/>
    <cellStyle name="20% - Accent4 67 3" xfId="14846"/>
    <cellStyle name="20% - Accent4 67 4" xfId="14847"/>
    <cellStyle name="20% - Accent4 68" xfId="14848"/>
    <cellStyle name="20% - Accent4 68 2" xfId="14849"/>
    <cellStyle name="20% - Accent4 68 2 2" xfId="14850"/>
    <cellStyle name="20% - Accent4 68 3" xfId="14851"/>
    <cellStyle name="20% - Accent4 68 4" xfId="14852"/>
    <cellStyle name="20% - Accent4 69" xfId="14853"/>
    <cellStyle name="20% - Accent4 69 2" xfId="14854"/>
    <cellStyle name="20% - Accent4 69 2 2" xfId="14855"/>
    <cellStyle name="20% - Accent4 69 3" xfId="14856"/>
    <cellStyle name="20% - Accent4 69 4" xfId="14857"/>
    <cellStyle name="20% - Accent4 7" xfId="14858"/>
    <cellStyle name="20% - Accent4 7 2" xfId="14859"/>
    <cellStyle name="20% - Accent4 7 3" xfId="14860"/>
    <cellStyle name="20% - Accent4 7 4" xfId="14861"/>
    <cellStyle name="20% - Accent4 7 5" xfId="14862"/>
    <cellStyle name="20% - Accent4 7 6" xfId="14863"/>
    <cellStyle name="20% - Accent4 7 7" xfId="14864"/>
    <cellStyle name="20% - Accent4 7 8" xfId="14865"/>
    <cellStyle name="20% - Accent4 7_2009 Actual" xfId="14866"/>
    <cellStyle name="20% - Accent4 70" xfId="14867"/>
    <cellStyle name="20% - Accent4 70 2" xfId="14868"/>
    <cellStyle name="20% - Accent4 70 2 2" xfId="14869"/>
    <cellStyle name="20% - Accent4 70 3" xfId="14870"/>
    <cellStyle name="20% - Accent4 70 4" xfId="14871"/>
    <cellStyle name="20% - Accent4 71" xfId="14872"/>
    <cellStyle name="20% - Accent4 71 2" xfId="14873"/>
    <cellStyle name="20% - Accent4 71 2 2" xfId="14874"/>
    <cellStyle name="20% - Accent4 71 3" xfId="14875"/>
    <cellStyle name="20% - Accent4 71 4" xfId="14876"/>
    <cellStyle name="20% - Accent4 72" xfId="14877"/>
    <cellStyle name="20% - Accent4 72 2" xfId="14878"/>
    <cellStyle name="20% - Accent4 72 2 2" xfId="14879"/>
    <cellStyle name="20% - Accent4 72 3" xfId="14880"/>
    <cellStyle name="20% - Accent4 72 4" xfId="14881"/>
    <cellStyle name="20% - Accent4 73" xfId="14882"/>
    <cellStyle name="20% - Accent4 73 2" xfId="14883"/>
    <cellStyle name="20% - Accent4 73 2 2" xfId="14884"/>
    <cellStyle name="20% - Accent4 73 3" xfId="14885"/>
    <cellStyle name="20% - Accent4 73 4" xfId="14886"/>
    <cellStyle name="20% - Accent4 74" xfId="14887"/>
    <cellStyle name="20% - Accent4 74 2" xfId="14888"/>
    <cellStyle name="20% - Accent4 74 2 2" xfId="14889"/>
    <cellStyle name="20% - Accent4 74 3" xfId="14890"/>
    <cellStyle name="20% - Accent4 74 4" xfId="14891"/>
    <cellStyle name="20% - Accent4 75" xfId="14892"/>
    <cellStyle name="20% - Accent4 75 2" xfId="14893"/>
    <cellStyle name="20% - Accent4 75 2 2" xfId="14894"/>
    <cellStyle name="20% - Accent4 75 3" xfId="14895"/>
    <cellStyle name="20% - Accent4 75 4" xfId="14896"/>
    <cellStyle name="20% - Accent4 76" xfId="14897"/>
    <cellStyle name="20% - Accent4 76 2" xfId="14898"/>
    <cellStyle name="20% - Accent4 76 2 2" xfId="14899"/>
    <cellStyle name="20% - Accent4 76 3" xfId="14900"/>
    <cellStyle name="20% - Accent4 76 4" xfId="14901"/>
    <cellStyle name="20% - Accent4 77" xfId="14902"/>
    <cellStyle name="20% - Accent4 77 2" xfId="14903"/>
    <cellStyle name="20% - Accent4 77 2 2" xfId="14904"/>
    <cellStyle name="20% - Accent4 77 3" xfId="14905"/>
    <cellStyle name="20% - Accent4 77 4" xfId="14906"/>
    <cellStyle name="20% - Accent4 78" xfId="14907"/>
    <cellStyle name="20% - Accent4 78 2" xfId="14908"/>
    <cellStyle name="20% - Accent4 78 2 2" xfId="14909"/>
    <cellStyle name="20% - Accent4 78 3" xfId="14910"/>
    <cellStyle name="20% - Accent4 78 4" xfId="14911"/>
    <cellStyle name="20% - Accent4 79" xfId="14912"/>
    <cellStyle name="20% - Accent4 79 2" xfId="14913"/>
    <cellStyle name="20% - Accent4 79 2 2" xfId="14914"/>
    <cellStyle name="20% - Accent4 79 3" xfId="14915"/>
    <cellStyle name="20% - Accent4 79 4" xfId="14916"/>
    <cellStyle name="20% - Accent4 8" xfId="14917"/>
    <cellStyle name="20% - Accent4 8 2" xfId="14918"/>
    <cellStyle name="20% - Accent4 8 3" xfId="14919"/>
    <cellStyle name="20% - Accent4 8 4" xfId="14920"/>
    <cellStyle name="20% - Accent4 8 5" xfId="14921"/>
    <cellStyle name="20% - Accent4 8 6" xfId="14922"/>
    <cellStyle name="20% - Accent4 8 7" xfId="14923"/>
    <cellStyle name="20% - Accent4 8 8" xfId="14924"/>
    <cellStyle name="20% - Accent4 8_2009 Actual" xfId="14925"/>
    <cellStyle name="20% - Accent4 80" xfId="14926"/>
    <cellStyle name="20% - Accent4 80 2" xfId="14927"/>
    <cellStyle name="20% - Accent4 80 2 2" xfId="14928"/>
    <cellStyle name="20% - Accent4 80 3" xfId="14929"/>
    <cellStyle name="20% - Accent4 80 4" xfId="14930"/>
    <cellStyle name="20% - Accent4 81" xfId="14931"/>
    <cellStyle name="20% - Accent4 81 2" xfId="14932"/>
    <cellStyle name="20% - Accent4 81 2 2" xfId="14933"/>
    <cellStyle name="20% - Accent4 81 3" xfId="14934"/>
    <cellStyle name="20% - Accent4 81 4" xfId="14935"/>
    <cellStyle name="20% - Accent4 82" xfId="14936"/>
    <cellStyle name="20% - Accent4 82 2" xfId="14937"/>
    <cellStyle name="20% - Accent4 82 2 2" xfId="14938"/>
    <cellStyle name="20% - Accent4 82 3" xfId="14939"/>
    <cellStyle name="20% - Accent4 82 4" xfId="14940"/>
    <cellStyle name="20% - Accent4 83" xfId="14941"/>
    <cellStyle name="20% - Accent4 83 2" xfId="14942"/>
    <cellStyle name="20% - Accent4 83 2 2" xfId="14943"/>
    <cellStyle name="20% - Accent4 83 3" xfId="14944"/>
    <cellStyle name="20% - Accent4 83 4" xfId="14945"/>
    <cellStyle name="20% - Accent4 84" xfId="14946"/>
    <cellStyle name="20% - Accent4 84 2" xfId="14947"/>
    <cellStyle name="20% - Accent4 84 2 2" xfId="14948"/>
    <cellStyle name="20% - Accent4 84 3" xfId="14949"/>
    <cellStyle name="20% - Accent4 84 4" xfId="14950"/>
    <cellStyle name="20% - Accent4 85" xfId="14951"/>
    <cellStyle name="20% - Accent4 85 2" xfId="14952"/>
    <cellStyle name="20% - Accent4 85 2 2" xfId="14953"/>
    <cellStyle name="20% - Accent4 85 3" xfId="14954"/>
    <cellStyle name="20% - Accent4 85 4" xfId="14955"/>
    <cellStyle name="20% - Accent4 86" xfId="14956"/>
    <cellStyle name="20% - Accent4 86 2" xfId="14957"/>
    <cellStyle name="20% - Accent4 86 2 2" xfId="14958"/>
    <cellStyle name="20% - Accent4 86 3" xfId="14959"/>
    <cellStyle name="20% - Accent4 86 4" xfId="14960"/>
    <cellStyle name="20% - Accent4 87" xfId="14961"/>
    <cellStyle name="20% - Accent4 87 2" xfId="14962"/>
    <cellStyle name="20% - Accent4 87 2 2" xfId="14963"/>
    <cellStyle name="20% - Accent4 87 3" xfId="14964"/>
    <cellStyle name="20% - Accent4 87 4" xfId="14965"/>
    <cellStyle name="20% - Accent4 88" xfId="14966"/>
    <cellStyle name="20% - Accent4 88 2" xfId="14967"/>
    <cellStyle name="20% - Accent4 88 2 2" xfId="14968"/>
    <cellStyle name="20% - Accent4 88 3" xfId="14969"/>
    <cellStyle name="20% - Accent4 88 4" xfId="14970"/>
    <cellStyle name="20% - Accent4 89" xfId="14971"/>
    <cellStyle name="20% - Accent4 89 2" xfId="14972"/>
    <cellStyle name="20% - Accent4 89 3" xfId="14973"/>
    <cellStyle name="20% - Accent4 9" xfId="14974"/>
    <cellStyle name="20% - Accent4 9 2" xfId="14975"/>
    <cellStyle name="20% - Accent4 9 3" xfId="14976"/>
    <cellStyle name="20% - Accent4 9 4" xfId="14977"/>
    <cellStyle name="20% - Accent4 9 5" xfId="14978"/>
    <cellStyle name="20% - Accent4 9 6" xfId="14979"/>
    <cellStyle name="20% - Accent4 9 7" xfId="14980"/>
    <cellStyle name="20% - Accent4 9 8" xfId="14981"/>
    <cellStyle name="20% - Accent4 9_2009 Actual" xfId="14982"/>
    <cellStyle name="20% - Accent4 90" xfId="14983"/>
    <cellStyle name="20% - Accent4 90 2" xfId="14984"/>
    <cellStyle name="20% - Accent4 91" xfId="14985"/>
    <cellStyle name="20% - Accent4 91 2" xfId="14986"/>
    <cellStyle name="20% - Accent4 92" xfId="14987"/>
    <cellStyle name="20% - Accent4 92 2" xfId="14988"/>
    <cellStyle name="20% - Accent4 93" xfId="14989"/>
    <cellStyle name="20% - Accent4 93 2" xfId="14990"/>
    <cellStyle name="20% - Accent4 94" xfId="14991"/>
    <cellStyle name="20% - Accent4 94 2" xfId="14992"/>
    <cellStyle name="20% - Accent4 95" xfId="14993"/>
    <cellStyle name="20% - Accent4 95 2" xfId="14994"/>
    <cellStyle name="20% - Accent4 96" xfId="14995"/>
    <cellStyle name="20% - Accent4 96 2" xfId="14996"/>
    <cellStyle name="20% - Accent4 97" xfId="14997"/>
    <cellStyle name="20% - Accent4 97 2" xfId="14998"/>
    <cellStyle name="20% - Accent4 98" xfId="14999"/>
    <cellStyle name="20% - Accent4 98 2" xfId="15000"/>
    <cellStyle name="20% - Accent4 99" xfId="15001"/>
    <cellStyle name="20% - Accent5" xfId="132" builtinId="46"/>
    <cellStyle name="20% - Accent5 10" xfId="15002"/>
    <cellStyle name="20% - Accent5 10 2" xfId="15003"/>
    <cellStyle name="20% - Accent5 10 3" xfId="15004"/>
    <cellStyle name="20% - Accent5 10 4" xfId="15005"/>
    <cellStyle name="20% - Accent5 10 5" xfId="15006"/>
    <cellStyle name="20% - Accent5 10 6" xfId="15007"/>
    <cellStyle name="20% - Accent5 10 7" xfId="15008"/>
    <cellStyle name="20% - Accent5 10 8" xfId="15009"/>
    <cellStyle name="20% - Accent5 10 8 2" xfId="15010"/>
    <cellStyle name="20% - Accent5 10_2009 Actual" xfId="15011"/>
    <cellStyle name="20% - Accent5 100" xfId="15012"/>
    <cellStyle name="20% - Accent5 100 2" xfId="15013"/>
    <cellStyle name="20% - Accent5 100 2 2" xfId="15014"/>
    <cellStyle name="20% - Accent5 100 3" xfId="15015"/>
    <cellStyle name="20% - Accent5 100 4" xfId="15016"/>
    <cellStyle name="20% - Accent5 101" xfId="15017"/>
    <cellStyle name="20% - Accent5 101 2" xfId="15018"/>
    <cellStyle name="20% - Accent5 101 2 2" xfId="15019"/>
    <cellStyle name="20% - Accent5 101 3" xfId="15020"/>
    <cellStyle name="20% - Accent5 101 4" xfId="15021"/>
    <cellStyle name="20% - Accent5 102" xfId="15022"/>
    <cellStyle name="20% - Accent5 102 2" xfId="15023"/>
    <cellStyle name="20% - Accent5 102 2 2" xfId="15024"/>
    <cellStyle name="20% - Accent5 102 3" xfId="15025"/>
    <cellStyle name="20% - Accent5 102 4" xfId="15026"/>
    <cellStyle name="20% - Accent5 103" xfId="15027"/>
    <cellStyle name="20% - Accent5 103 2" xfId="15028"/>
    <cellStyle name="20% - Accent5 103 2 2" xfId="15029"/>
    <cellStyle name="20% - Accent5 103 3" xfId="15030"/>
    <cellStyle name="20% - Accent5 103 4" xfId="15031"/>
    <cellStyle name="20% - Accent5 104" xfId="15032"/>
    <cellStyle name="20% - Accent5 104 2" xfId="15033"/>
    <cellStyle name="20% - Accent5 104 2 2" xfId="15034"/>
    <cellStyle name="20% - Accent5 104 3" xfId="15035"/>
    <cellStyle name="20% - Accent5 104 4" xfId="15036"/>
    <cellStyle name="20% - Accent5 105" xfId="15037"/>
    <cellStyle name="20% - Accent5 105 2" xfId="15038"/>
    <cellStyle name="20% - Accent5 105 2 2" xfId="15039"/>
    <cellStyle name="20% - Accent5 105 3" xfId="15040"/>
    <cellStyle name="20% - Accent5 105 4" xfId="15041"/>
    <cellStyle name="20% - Accent5 106" xfId="15042"/>
    <cellStyle name="20% - Accent5 106 2" xfId="15043"/>
    <cellStyle name="20% - Accent5 106 2 2" xfId="15044"/>
    <cellStyle name="20% - Accent5 106 3" xfId="15045"/>
    <cellStyle name="20% - Accent5 106 4" xfId="15046"/>
    <cellStyle name="20% - Accent5 107" xfId="15047"/>
    <cellStyle name="20% - Accent5 107 2" xfId="15048"/>
    <cellStyle name="20% - Accent5 107 2 2" xfId="15049"/>
    <cellStyle name="20% - Accent5 107 3" xfId="15050"/>
    <cellStyle name="20% - Accent5 107 4" xfId="15051"/>
    <cellStyle name="20% - Accent5 108" xfId="15052"/>
    <cellStyle name="20% - Accent5 108 2" xfId="15053"/>
    <cellStyle name="20% - Accent5 108 2 2" xfId="15054"/>
    <cellStyle name="20% - Accent5 108 3" xfId="15055"/>
    <cellStyle name="20% - Accent5 108 4" xfId="15056"/>
    <cellStyle name="20% - Accent5 109" xfId="15057"/>
    <cellStyle name="20% - Accent5 109 2" xfId="15058"/>
    <cellStyle name="20% - Accent5 109 2 2" xfId="15059"/>
    <cellStyle name="20% - Accent5 109 3" xfId="15060"/>
    <cellStyle name="20% - Accent5 109 4" xfId="15061"/>
    <cellStyle name="20% - Accent5 11" xfId="15062"/>
    <cellStyle name="20% - Accent5 11 2" xfId="15063"/>
    <cellStyle name="20% - Accent5 11 3" xfId="15064"/>
    <cellStyle name="20% - Accent5 11 4" xfId="15065"/>
    <cellStyle name="20% - Accent5 11 5" xfId="15066"/>
    <cellStyle name="20% - Accent5 11 6" xfId="15067"/>
    <cellStyle name="20% - Accent5 11 7" xfId="15068"/>
    <cellStyle name="20% - Accent5 11_2009 Actual" xfId="15069"/>
    <cellStyle name="20% - Accent5 110" xfId="15070"/>
    <cellStyle name="20% - Accent5 110 2" xfId="15071"/>
    <cellStyle name="20% - Accent5 110 2 2" xfId="15072"/>
    <cellStyle name="20% - Accent5 110 3" xfId="15073"/>
    <cellStyle name="20% - Accent5 110 4" xfId="15074"/>
    <cellStyle name="20% - Accent5 111" xfId="15075"/>
    <cellStyle name="20% - Accent5 111 2" xfId="15076"/>
    <cellStyle name="20% - Accent5 111 2 2" xfId="15077"/>
    <cellStyle name="20% - Accent5 111 3" xfId="15078"/>
    <cellStyle name="20% - Accent5 111 4" xfId="15079"/>
    <cellStyle name="20% - Accent5 112" xfId="15080"/>
    <cellStyle name="20% - Accent5 112 2" xfId="15081"/>
    <cellStyle name="20% - Accent5 112 2 2" xfId="15082"/>
    <cellStyle name="20% - Accent5 112 3" xfId="15083"/>
    <cellStyle name="20% - Accent5 112 4" xfId="15084"/>
    <cellStyle name="20% - Accent5 113" xfId="15085"/>
    <cellStyle name="20% - Accent5 113 2" xfId="15086"/>
    <cellStyle name="20% - Accent5 113 2 2" xfId="15087"/>
    <cellStyle name="20% - Accent5 113 3" xfId="15088"/>
    <cellStyle name="20% - Accent5 113 4" xfId="15089"/>
    <cellStyle name="20% - Accent5 114" xfId="15090"/>
    <cellStyle name="20% - Accent5 114 2" xfId="15091"/>
    <cellStyle name="20% - Accent5 114 2 2" xfId="15092"/>
    <cellStyle name="20% - Accent5 114 3" xfId="15093"/>
    <cellStyle name="20% - Accent5 114 4" xfId="15094"/>
    <cellStyle name="20% - Accent5 115" xfId="15095"/>
    <cellStyle name="20% - Accent5 115 2" xfId="15096"/>
    <cellStyle name="20% - Accent5 115 2 2" xfId="15097"/>
    <cellStyle name="20% - Accent5 115 3" xfId="15098"/>
    <cellStyle name="20% - Accent5 115 4" xfId="15099"/>
    <cellStyle name="20% - Accent5 116" xfId="15100"/>
    <cellStyle name="20% - Accent5 116 2" xfId="15101"/>
    <cellStyle name="20% - Accent5 116 2 2" xfId="15102"/>
    <cellStyle name="20% - Accent5 116 3" xfId="15103"/>
    <cellStyle name="20% - Accent5 116 4" xfId="15104"/>
    <cellStyle name="20% - Accent5 117" xfId="15105"/>
    <cellStyle name="20% - Accent5 117 2" xfId="15106"/>
    <cellStyle name="20% - Accent5 117 2 2" xfId="15107"/>
    <cellStyle name="20% - Accent5 117 3" xfId="15108"/>
    <cellStyle name="20% - Accent5 117 4" xfId="15109"/>
    <cellStyle name="20% - Accent5 118" xfId="15110"/>
    <cellStyle name="20% - Accent5 118 2" xfId="15111"/>
    <cellStyle name="20% - Accent5 118 2 2" xfId="15112"/>
    <cellStyle name="20% - Accent5 118 3" xfId="15113"/>
    <cellStyle name="20% - Accent5 118 4" xfId="15114"/>
    <cellStyle name="20% - Accent5 119" xfId="15115"/>
    <cellStyle name="20% - Accent5 119 2" xfId="15116"/>
    <cellStyle name="20% - Accent5 119 2 2" xfId="15117"/>
    <cellStyle name="20% - Accent5 119 3" xfId="15118"/>
    <cellStyle name="20% - Accent5 119 4" xfId="15119"/>
    <cellStyle name="20% - Accent5 12" xfId="15120"/>
    <cellStyle name="20% - Accent5 12 10" xfId="15121"/>
    <cellStyle name="20% - Accent5 12 11" xfId="15122"/>
    <cellStyle name="20% - Accent5 12 2" xfId="15123"/>
    <cellStyle name="20% - Accent5 12 2 2" xfId="15124"/>
    <cellStyle name="20% - Accent5 12 2 3" xfId="15125"/>
    <cellStyle name="20% - Accent5 12 2_Elec Margin Analysis" xfId="15126"/>
    <cellStyle name="20% - Accent5 12 3" xfId="15127"/>
    <cellStyle name="20% - Accent5 12 3 2" xfId="15128"/>
    <cellStyle name="20% - Accent5 12 3 3" xfId="15129"/>
    <cellStyle name="20% - Accent5 12 3_Elec Margin Analysis" xfId="15130"/>
    <cellStyle name="20% - Accent5 12 4" xfId="15131"/>
    <cellStyle name="20% - Accent5 12 4 2" xfId="15132"/>
    <cellStyle name="20% - Accent5 12 4 3" xfId="15133"/>
    <cellStyle name="20% - Accent5 12 4_Elec Margin Analysis" xfId="15134"/>
    <cellStyle name="20% - Accent5 12 5" xfId="15135"/>
    <cellStyle name="20% - Accent5 12 5 2" xfId="15136"/>
    <cellStyle name="20% - Accent5 12 5 3" xfId="15137"/>
    <cellStyle name="20% - Accent5 12 5_Elec Margin Analysis" xfId="15138"/>
    <cellStyle name="20% - Accent5 12 6" xfId="15139"/>
    <cellStyle name="20% - Accent5 12 6 2" xfId="15140"/>
    <cellStyle name="20% - Accent5 12 6 3" xfId="15141"/>
    <cellStyle name="20% - Accent5 12 7" xfId="15142"/>
    <cellStyle name="20% - Accent5 12 8" xfId="15143"/>
    <cellStyle name="20% - Accent5 12 9" xfId="15144"/>
    <cellStyle name="20% - Accent5 12_2009 Actual" xfId="15145"/>
    <cellStyle name="20% - Accent5 120" xfId="15146"/>
    <cellStyle name="20% - Accent5 120 2" xfId="15147"/>
    <cellStyle name="20% - Accent5 120 2 2" xfId="15148"/>
    <cellStyle name="20% - Accent5 120 3" xfId="15149"/>
    <cellStyle name="20% - Accent5 120 4" xfId="15150"/>
    <cellStyle name="20% - Accent5 121" xfId="15151"/>
    <cellStyle name="20% - Accent5 121 2" xfId="15152"/>
    <cellStyle name="20% - Accent5 122" xfId="15153"/>
    <cellStyle name="20% - Accent5 122 2" xfId="15154"/>
    <cellStyle name="20% - Accent5 123" xfId="15155"/>
    <cellStyle name="20% - Accent5 123 2" xfId="15156"/>
    <cellStyle name="20% - Accent5 124" xfId="15157"/>
    <cellStyle name="20% - Accent5 125" xfId="15158"/>
    <cellStyle name="20% - Accent5 126" xfId="15159"/>
    <cellStyle name="20% - Accent5 127" xfId="15160"/>
    <cellStyle name="20% - Accent5 128" xfId="15161"/>
    <cellStyle name="20% - Accent5 129" xfId="15162"/>
    <cellStyle name="20% - Accent5 13" xfId="15163"/>
    <cellStyle name="20% - Accent5 13 2" xfId="15164"/>
    <cellStyle name="20% - Accent5 13 3" xfId="15165"/>
    <cellStyle name="20% - Accent5 13 4" xfId="15166"/>
    <cellStyle name="20% - Accent5 13 5" xfId="15167"/>
    <cellStyle name="20% - Accent5 13 6" xfId="15168"/>
    <cellStyle name="20% - Accent5 13 7" xfId="15169"/>
    <cellStyle name="20% - Accent5 13_2009 Actual" xfId="15170"/>
    <cellStyle name="20% - Accent5 130" xfId="15171"/>
    <cellStyle name="20% - Accent5 131" xfId="15172"/>
    <cellStyle name="20% - Accent5 132" xfId="15173"/>
    <cellStyle name="20% - Accent5 133" xfId="15174"/>
    <cellStyle name="20% - Accent5 134" xfId="15175"/>
    <cellStyle name="20% - Accent5 135" xfId="15176"/>
    <cellStyle name="20% - Accent5 136" xfId="15177"/>
    <cellStyle name="20% - Accent5 137" xfId="15178"/>
    <cellStyle name="20% - Accent5 138" xfId="15179"/>
    <cellStyle name="20% - Accent5 139" xfId="15180"/>
    <cellStyle name="20% - Accent5 14" xfId="15181"/>
    <cellStyle name="20% - Accent5 14 2" xfId="15182"/>
    <cellStyle name="20% - Accent5 14 3" xfId="15183"/>
    <cellStyle name="20% - Accent5 14 4" xfId="15184"/>
    <cellStyle name="20% - Accent5 14 5" xfId="15185"/>
    <cellStyle name="20% - Accent5 14 6" xfId="15186"/>
    <cellStyle name="20% - Accent5 14 7" xfId="15187"/>
    <cellStyle name="20% - Accent5 14_2009 Actual" xfId="15188"/>
    <cellStyle name="20% - Accent5 140" xfId="15189"/>
    <cellStyle name="20% - Accent5 141" xfId="15190"/>
    <cellStyle name="20% - Accent5 142" xfId="15191"/>
    <cellStyle name="20% - Accent5 143" xfId="15192"/>
    <cellStyle name="20% - Accent5 144" xfId="15193"/>
    <cellStyle name="20% - Accent5 15" xfId="15194"/>
    <cellStyle name="20% - Accent5 15 2" xfId="15195"/>
    <cellStyle name="20% - Accent5 15 3" xfId="15196"/>
    <cellStyle name="20% - Accent5 15 4" xfId="15197"/>
    <cellStyle name="20% - Accent5 15 5" xfId="15198"/>
    <cellStyle name="20% - Accent5 16" xfId="15199"/>
    <cellStyle name="20% - Accent5 17" xfId="15200"/>
    <cellStyle name="20% - Accent5 18" xfId="15201"/>
    <cellStyle name="20% - Accent5 19" xfId="15202"/>
    <cellStyle name="20% - Accent5 19 2" xfId="15203"/>
    <cellStyle name="20% - Accent5 19 3" xfId="15204"/>
    <cellStyle name="20% - Accent5 19_Elec Margin Analysis" xfId="15205"/>
    <cellStyle name="20% - Accent5 2" xfId="46"/>
    <cellStyle name="20% - Accent5 2 10" xfId="15206"/>
    <cellStyle name="20% - Accent5 2 10 2" xfId="15207"/>
    <cellStyle name="20% - Accent5 2 10 3" xfId="15208"/>
    <cellStyle name="20% - Accent5 2 10_Elec Margin Analysis" xfId="15209"/>
    <cellStyle name="20% - Accent5 2 11" xfId="15210"/>
    <cellStyle name="20% - Accent5 2 11 2" xfId="15211"/>
    <cellStyle name="20% - Accent5 2 11 3" xfId="15212"/>
    <cellStyle name="20% - Accent5 2 12" xfId="15213"/>
    <cellStyle name="20% - Accent5 2 13" xfId="15214"/>
    <cellStyle name="20% - Accent5 2 14" xfId="15215"/>
    <cellStyle name="20% - Accent5 2 15" xfId="15216"/>
    <cellStyle name="20% - Accent5 2 16" xfId="15217"/>
    <cellStyle name="20% - Accent5 2 17" xfId="15218"/>
    <cellStyle name="20% - Accent5 2 17 2" xfId="15219"/>
    <cellStyle name="20% - Accent5 2 17 2 2" xfId="15220"/>
    <cellStyle name="20% - Accent5 2 17 2 2 2" xfId="15221"/>
    <cellStyle name="20% - Accent5 2 17 2 2 3" xfId="15222"/>
    <cellStyle name="20% - Accent5 2 17 2 3" xfId="15223"/>
    <cellStyle name="20% - Accent5 2 17 2 3 2" xfId="15224"/>
    <cellStyle name="20% - Accent5 2 17 2 4" xfId="15225"/>
    <cellStyle name="20% - Accent5 2 17 2 5" xfId="15226"/>
    <cellStyle name="20% - Accent5 2 17 3" xfId="15227"/>
    <cellStyle name="20% - Accent5 2 17 3 2" xfId="15228"/>
    <cellStyle name="20% - Accent5 2 17 3 2 2" xfId="15229"/>
    <cellStyle name="20% - Accent5 2 17 3 3" xfId="15230"/>
    <cellStyle name="20% - Accent5 2 17 3 4" xfId="15231"/>
    <cellStyle name="20% - Accent5 2 17 4" xfId="15232"/>
    <cellStyle name="20% - Accent5 2 17 4 2" xfId="15233"/>
    <cellStyle name="20% - Accent5 2 17 4 2 2" xfId="15234"/>
    <cellStyle name="20% - Accent5 2 17 4 3" xfId="15235"/>
    <cellStyle name="20% - Accent5 2 17 4 4" xfId="15236"/>
    <cellStyle name="20% - Accent5 2 17 5" xfId="15237"/>
    <cellStyle name="20% - Accent5 2 17 5 2" xfId="15238"/>
    <cellStyle name="20% - Accent5 2 17 6" xfId="15239"/>
    <cellStyle name="20% - Accent5 2 17 7" xfId="15240"/>
    <cellStyle name="20% - Accent5 2 17 8" xfId="15241"/>
    <cellStyle name="20% - Accent5 2 18" xfId="15242"/>
    <cellStyle name="20% - Accent5 2 18 2" xfId="15243"/>
    <cellStyle name="20% - Accent5 2 18 2 2" xfId="15244"/>
    <cellStyle name="20% - Accent5 2 18 2 2 2" xfId="15245"/>
    <cellStyle name="20% - Accent5 2 18 2 2 3" xfId="15246"/>
    <cellStyle name="20% - Accent5 2 18 2 3" xfId="15247"/>
    <cellStyle name="20% - Accent5 2 18 2 3 2" xfId="15248"/>
    <cellStyle name="20% - Accent5 2 18 2 4" xfId="15249"/>
    <cellStyle name="20% - Accent5 2 18 2 5" xfId="15250"/>
    <cellStyle name="20% - Accent5 2 18 3" xfId="15251"/>
    <cellStyle name="20% - Accent5 2 18 3 2" xfId="15252"/>
    <cellStyle name="20% - Accent5 2 18 3 2 2" xfId="15253"/>
    <cellStyle name="20% - Accent5 2 18 3 3" xfId="15254"/>
    <cellStyle name="20% - Accent5 2 18 3 4" xfId="15255"/>
    <cellStyle name="20% - Accent5 2 18 4" xfId="15256"/>
    <cellStyle name="20% - Accent5 2 18 4 2" xfId="15257"/>
    <cellStyle name="20% - Accent5 2 18 4 2 2" xfId="15258"/>
    <cellStyle name="20% - Accent5 2 18 4 3" xfId="15259"/>
    <cellStyle name="20% - Accent5 2 18 4 4" xfId="15260"/>
    <cellStyle name="20% - Accent5 2 18 5" xfId="15261"/>
    <cellStyle name="20% - Accent5 2 18 5 2" xfId="15262"/>
    <cellStyle name="20% - Accent5 2 18 6" xfId="15263"/>
    <cellStyle name="20% - Accent5 2 18 7" xfId="15264"/>
    <cellStyle name="20% - Accent5 2 18 8" xfId="15265"/>
    <cellStyle name="20% - Accent5 2 19" xfId="15266"/>
    <cellStyle name="20% - Accent5 2 19 2" xfId="15267"/>
    <cellStyle name="20% - Accent5 2 19 2 2" xfId="15268"/>
    <cellStyle name="20% - Accent5 2 19 2 2 2" xfId="15269"/>
    <cellStyle name="20% - Accent5 2 19 2 2 3" xfId="15270"/>
    <cellStyle name="20% - Accent5 2 19 2 3" xfId="15271"/>
    <cellStyle name="20% - Accent5 2 19 2 3 2" xfId="15272"/>
    <cellStyle name="20% - Accent5 2 19 2 4" xfId="15273"/>
    <cellStyle name="20% - Accent5 2 19 2 5" xfId="15274"/>
    <cellStyle name="20% - Accent5 2 19 3" xfId="15275"/>
    <cellStyle name="20% - Accent5 2 19 3 2" xfId="15276"/>
    <cellStyle name="20% - Accent5 2 19 3 2 2" xfId="15277"/>
    <cellStyle name="20% - Accent5 2 19 3 3" xfId="15278"/>
    <cellStyle name="20% - Accent5 2 19 3 4" xfId="15279"/>
    <cellStyle name="20% - Accent5 2 19 4" xfId="15280"/>
    <cellStyle name="20% - Accent5 2 19 4 2" xfId="15281"/>
    <cellStyle name="20% - Accent5 2 19 4 2 2" xfId="15282"/>
    <cellStyle name="20% - Accent5 2 19 4 3" xfId="15283"/>
    <cellStyle name="20% - Accent5 2 19 4 4" xfId="15284"/>
    <cellStyle name="20% - Accent5 2 19 5" xfId="15285"/>
    <cellStyle name="20% - Accent5 2 19 5 2" xfId="15286"/>
    <cellStyle name="20% - Accent5 2 19 6" xfId="15287"/>
    <cellStyle name="20% - Accent5 2 19 7" xfId="15288"/>
    <cellStyle name="20% - Accent5 2 19 8" xfId="15289"/>
    <cellStyle name="20% - Accent5 2 2" xfId="261"/>
    <cellStyle name="20% - Accent5 2 2 10" xfId="15290"/>
    <cellStyle name="20% - Accent5 2 2 11" xfId="15291"/>
    <cellStyle name="20% - Accent5 2 2 12" xfId="15292"/>
    <cellStyle name="20% - Accent5 2 2 12 2" xfId="15293"/>
    <cellStyle name="20% - Accent5 2 2 12 2 2" xfId="15294"/>
    <cellStyle name="20% - Accent5 2 2 12 2 2 2" xfId="15295"/>
    <cellStyle name="20% - Accent5 2 2 12 2 2 3" xfId="15296"/>
    <cellStyle name="20% - Accent5 2 2 12 2 3" xfId="15297"/>
    <cellStyle name="20% - Accent5 2 2 12 2 3 2" xfId="15298"/>
    <cellStyle name="20% - Accent5 2 2 12 2 4" xfId="15299"/>
    <cellStyle name="20% - Accent5 2 2 12 2 5" xfId="15300"/>
    <cellStyle name="20% - Accent5 2 2 12 3" xfId="15301"/>
    <cellStyle name="20% - Accent5 2 2 12 3 2" xfId="15302"/>
    <cellStyle name="20% - Accent5 2 2 12 3 2 2" xfId="15303"/>
    <cellStyle name="20% - Accent5 2 2 12 3 3" xfId="15304"/>
    <cellStyle name="20% - Accent5 2 2 12 3 4" xfId="15305"/>
    <cellStyle name="20% - Accent5 2 2 12 4" xfId="15306"/>
    <cellStyle name="20% - Accent5 2 2 12 4 2" xfId="15307"/>
    <cellStyle name="20% - Accent5 2 2 12 4 2 2" xfId="15308"/>
    <cellStyle name="20% - Accent5 2 2 12 4 3" xfId="15309"/>
    <cellStyle name="20% - Accent5 2 2 12 4 4" xfId="15310"/>
    <cellStyle name="20% - Accent5 2 2 12 5" xfId="15311"/>
    <cellStyle name="20% - Accent5 2 2 12 5 2" xfId="15312"/>
    <cellStyle name="20% - Accent5 2 2 12 6" xfId="15313"/>
    <cellStyle name="20% - Accent5 2 2 12 7" xfId="15314"/>
    <cellStyle name="20% - Accent5 2 2 12 8" xfId="15315"/>
    <cellStyle name="20% - Accent5 2 2 13" xfId="15316"/>
    <cellStyle name="20% - Accent5 2 2 13 2" xfId="15317"/>
    <cellStyle name="20% - Accent5 2 2 13 2 2" xfId="15318"/>
    <cellStyle name="20% - Accent5 2 2 13 2 2 2" xfId="15319"/>
    <cellStyle name="20% - Accent5 2 2 13 2 2 3" xfId="15320"/>
    <cellStyle name="20% - Accent5 2 2 13 2 3" xfId="15321"/>
    <cellStyle name="20% - Accent5 2 2 13 2 3 2" xfId="15322"/>
    <cellStyle name="20% - Accent5 2 2 13 2 4" xfId="15323"/>
    <cellStyle name="20% - Accent5 2 2 13 2 5" xfId="15324"/>
    <cellStyle name="20% - Accent5 2 2 13 3" xfId="15325"/>
    <cellStyle name="20% - Accent5 2 2 13 3 2" xfId="15326"/>
    <cellStyle name="20% - Accent5 2 2 13 3 2 2" xfId="15327"/>
    <cellStyle name="20% - Accent5 2 2 13 3 3" xfId="15328"/>
    <cellStyle name="20% - Accent5 2 2 13 3 4" xfId="15329"/>
    <cellStyle name="20% - Accent5 2 2 13 4" xfId="15330"/>
    <cellStyle name="20% - Accent5 2 2 13 4 2" xfId="15331"/>
    <cellStyle name="20% - Accent5 2 2 13 4 2 2" xfId="15332"/>
    <cellStyle name="20% - Accent5 2 2 13 4 3" xfId="15333"/>
    <cellStyle name="20% - Accent5 2 2 13 4 4" xfId="15334"/>
    <cellStyle name="20% - Accent5 2 2 13 5" xfId="15335"/>
    <cellStyle name="20% - Accent5 2 2 13 5 2" xfId="15336"/>
    <cellStyle name="20% - Accent5 2 2 13 6" xfId="15337"/>
    <cellStyle name="20% - Accent5 2 2 13 7" xfId="15338"/>
    <cellStyle name="20% - Accent5 2 2 13 8" xfId="15339"/>
    <cellStyle name="20% - Accent5 2 2 14" xfId="15340"/>
    <cellStyle name="20% - Accent5 2 2 14 2" xfId="15341"/>
    <cellStyle name="20% - Accent5 2 2 14 2 2" xfId="15342"/>
    <cellStyle name="20% - Accent5 2 2 14 2 3" xfId="15343"/>
    <cellStyle name="20% - Accent5 2 2 14 3" xfId="15344"/>
    <cellStyle name="20% - Accent5 2 2 14 3 2" xfId="15345"/>
    <cellStyle name="20% - Accent5 2 2 14 4" xfId="15346"/>
    <cellStyle name="20% - Accent5 2 2 14 5" xfId="15347"/>
    <cellStyle name="20% - Accent5 2 2 15" xfId="15348"/>
    <cellStyle name="20% - Accent5 2 2 15 2" xfId="15349"/>
    <cellStyle name="20% - Accent5 2 2 15 2 2" xfId="15350"/>
    <cellStyle name="20% - Accent5 2 2 15 3" xfId="15351"/>
    <cellStyle name="20% - Accent5 2 2 15 4" xfId="15352"/>
    <cellStyle name="20% - Accent5 2 2 16" xfId="15353"/>
    <cellStyle name="20% - Accent5 2 2 16 2" xfId="15354"/>
    <cellStyle name="20% - Accent5 2 2 16 2 2" xfId="15355"/>
    <cellStyle name="20% - Accent5 2 2 16 3" xfId="15356"/>
    <cellStyle name="20% - Accent5 2 2 16 4" xfId="15357"/>
    <cellStyle name="20% - Accent5 2 2 17" xfId="15358"/>
    <cellStyle name="20% - Accent5 2 2 18" xfId="15359"/>
    <cellStyle name="20% - Accent5 2 2 18 2" xfId="15360"/>
    <cellStyle name="20% - Accent5 2 2 19" xfId="15361"/>
    <cellStyle name="20% - Accent5 2 2 2" xfId="15362"/>
    <cellStyle name="20% - Accent5 2 2 2 10" xfId="15363"/>
    <cellStyle name="20% - Accent5 2 2 2 2" xfId="15364"/>
    <cellStyle name="20% - Accent5 2 2 2 3" xfId="15365"/>
    <cellStyle name="20% - Accent5 2 2 2 4" xfId="15366"/>
    <cellStyle name="20% - Accent5 2 2 2 5" xfId="15367"/>
    <cellStyle name="20% - Accent5 2 2 2 6" xfId="15368"/>
    <cellStyle name="20% - Accent5 2 2 2 7" xfId="15369"/>
    <cellStyle name="20% - Accent5 2 2 2 8" xfId="15370"/>
    <cellStyle name="20% - Accent5 2 2 2 9" xfId="15371"/>
    <cellStyle name="20% - Accent5 2 2 2_4Q Ops Metrics Gas &amp; Electric 2010" xfId="15372"/>
    <cellStyle name="20% - Accent5 2 2 20" xfId="15373"/>
    <cellStyle name="20% - Accent5 2 2 21" xfId="15374"/>
    <cellStyle name="20% - Accent5 2 2 3" xfId="15375"/>
    <cellStyle name="20% - Accent5 2 2 4" xfId="15376"/>
    <cellStyle name="20% - Accent5 2 2 5" xfId="15377"/>
    <cellStyle name="20% - Accent5 2 2 6" xfId="15378"/>
    <cellStyle name="20% - Accent5 2 2 7" xfId="15379"/>
    <cellStyle name="20% - Accent5 2 2 8" xfId="15380"/>
    <cellStyle name="20% - Accent5 2 2 9" xfId="15381"/>
    <cellStyle name="20% - Accent5 2 2_2009 Actual" xfId="15382"/>
    <cellStyle name="20% - Accent5 2 20" xfId="15383"/>
    <cellStyle name="20% - Accent5 2 20 2" xfId="15384"/>
    <cellStyle name="20% - Accent5 2 20 2 2" xfId="15385"/>
    <cellStyle name="20% - Accent5 2 20 2 2 2" xfId="15386"/>
    <cellStyle name="20% - Accent5 2 20 2 2 3" xfId="15387"/>
    <cellStyle name="20% - Accent5 2 20 2 3" xfId="15388"/>
    <cellStyle name="20% - Accent5 2 20 2 3 2" xfId="15389"/>
    <cellStyle name="20% - Accent5 2 20 2 4" xfId="15390"/>
    <cellStyle name="20% - Accent5 2 20 2 5" xfId="15391"/>
    <cellStyle name="20% - Accent5 2 20 3" xfId="15392"/>
    <cellStyle name="20% - Accent5 2 20 3 2" xfId="15393"/>
    <cellStyle name="20% - Accent5 2 20 3 2 2" xfId="15394"/>
    <cellStyle name="20% - Accent5 2 20 3 3" xfId="15395"/>
    <cellStyle name="20% - Accent5 2 20 3 4" xfId="15396"/>
    <cellStyle name="20% - Accent5 2 20 4" xfId="15397"/>
    <cellStyle name="20% - Accent5 2 20 4 2" xfId="15398"/>
    <cellStyle name="20% - Accent5 2 20 4 2 2" xfId="15399"/>
    <cellStyle name="20% - Accent5 2 20 4 3" xfId="15400"/>
    <cellStyle name="20% - Accent5 2 20 4 4" xfId="15401"/>
    <cellStyle name="20% - Accent5 2 20 5" xfId="15402"/>
    <cellStyle name="20% - Accent5 2 20 5 2" xfId="15403"/>
    <cellStyle name="20% - Accent5 2 20 6" xfId="15404"/>
    <cellStyle name="20% - Accent5 2 20 7" xfId="15405"/>
    <cellStyle name="20% - Accent5 2 20 8" xfId="15406"/>
    <cellStyle name="20% - Accent5 2 21" xfId="15407"/>
    <cellStyle name="20% - Accent5 2 21 2" xfId="15408"/>
    <cellStyle name="20% - Accent5 2 21 2 2" xfId="15409"/>
    <cellStyle name="20% - Accent5 2 21 2 2 2" xfId="15410"/>
    <cellStyle name="20% - Accent5 2 21 2 2 3" xfId="15411"/>
    <cellStyle name="20% - Accent5 2 21 2 3" xfId="15412"/>
    <cellStyle name="20% - Accent5 2 21 2 3 2" xfId="15413"/>
    <cellStyle name="20% - Accent5 2 21 2 4" xfId="15414"/>
    <cellStyle name="20% - Accent5 2 21 2 5" xfId="15415"/>
    <cellStyle name="20% - Accent5 2 21 3" xfId="15416"/>
    <cellStyle name="20% - Accent5 2 21 3 2" xfId="15417"/>
    <cellStyle name="20% - Accent5 2 21 3 2 2" xfId="15418"/>
    <cellStyle name="20% - Accent5 2 21 3 3" xfId="15419"/>
    <cellStyle name="20% - Accent5 2 21 3 4" xfId="15420"/>
    <cellStyle name="20% - Accent5 2 21 4" xfId="15421"/>
    <cellStyle name="20% - Accent5 2 21 4 2" xfId="15422"/>
    <cellStyle name="20% - Accent5 2 21 4 2 2" xfId="15423"/>
    <cellStyle name="20% - Accent5 2 21 4 3" xfId="15424"/>
    <cellStyle name="20% - Accent5 2 21 4 4" xfId="15425"/>
    <cellStyle name="20% - Accent5 2 21 5" xfId="15426"/>
    <cellStyle name="20% - Accent5 2 21 5 2" xfId="15427"/>
    <cellStyle name="20% - Accent5 2 21 6" xfId="15428"/>
    <cellStyle name="20% - Accent5 2 21 7" xfId="15429"/>
    <cellStyle name="20% - Accent5 2 21 8" xfId="15430"/>
    <cellStyle name="20% - Accent5 2 22" xfId="15431"/>
    <cellStyle name="20% - Accent5 2 22 2" xfId="15432"/>
    <cellStyle name="20% - Accent5 2 22 2 2" xfId="15433"/>
    <cellStyle name="20% - Accent5 2 22 2 2 2" xfId="15434"/>
    <cellStyle name="20% - Accent5 2 22 2 2 3" xfId="15435"/>
    <cellStyle name="20% - Accent5 2 22 2 3" xfId="15436"/>
    <cellStyle name="20% - Accent5 2 22 2 3 2" xfId="15437"/>
    <cellStyle name="20% - Accent5 2 22 2 4" xfId="15438"/>
    <cellStyle name="20% - Accent5 2 22 2 5" xfId="15439"/>
    <cellStyle name="20% - Accent5 2 22 3" xfId="15440"/>
    <cellStyle name="20% - Accent5 2 22 3 2" xfId="15441"/>
    <cellStyle name="20% - Accent5 2 22 3 2 2" xfId="15442"/>
    <cellStyle name="20% - Accent5 2 22 3 3" xfId="15443"/>
    <cellStyle name="20% - Accent5 2 22 3 4" xfId="15444"/>
    <cellStyle name="20% - Accent5 2 22 4" xfId="15445"/>
    <cellStyle name="20% - Accent5 2 22 4 2" xfId="15446"/>
    <cellStyle name="20% - Accent5 2 22 4 2 2" xfId="15447"/>
    <cellStyle name="20% - Accent5 2 22 4 3" xfId="15448"/>
    <cellStyle name="20% - Accent5 2 22 4 4" xfId="15449"/>
    <cellStyle name="20% - Accent5 2 22 5" xfId="15450"/>
    <cellStyle name="20% - Accent5 2 22 5 2" xfId="15451"/>
    <cellStyle name="20% - Accent5 2 22 6" xfId="15452"/>
    <cellStyle name="20% - Accent5 2 22 7" xfId="15453"/>
    <cellStyle name="20% - Accent5 2 22 8" xfId="15454"/>
    <cellStyle name="20% - Accent5 2 23" xfId="15455"/>
    <cellStyle name="20% - Accent5 2 23 2" xfId="15456"/>
    <cellStyle name="20% - Accent5 2 23 2 2" xfId="15457"/>
    <cellStyle name="20% - Accent5 2 23 2 2 2" xfId="15458"/>
    <cellStyle name="20% - Accent5 2 23 2 2 3" xfId="15459"/>
    <cellStyle name="20% - Accent5 2 23 2 3" xfId="15460"/>
    <cellStyle name="20% - Accent5 2 23 2 3 2" xfId="15461"/>
    <cellStyle name="20% - Accent5 2 23 2 4" xfId="15462"/>
    <cellStyle name="20% - Accent5 2 23 2 5" xfId="15463"/>
    <cellStyle name="20% - Accent5 2 23 3" xfId="15464"/>
    <cellStyle name="20% - Accent5 2 23 3 2" xfId="15465"/>
    <cellStyle name="20% - Accent5 2 23 3 2 2" xfId="15466"/>
    <cellStyle name="20% - Accent5 2 23 3 3" xfId="15467"/>
    <cellStyle name="20% - Accent5 2 23 3 4" xfId="15468"/>
    <cellStyle name="20% - Accent5 2 23 4" xfId="15469"/>
    <cellStyle name="20% - Accent5 2 23 4 2" xfId="15470"/>
    <cellStyle name="20% - Accent5 2 23 4 2 2" xfId="15471"/>
    <cellStyle name="20% - Accent5 2 23 4 3" xfId="15472"/>
    <cellStyle name="20% - Accent5 2 23 4 4" xfId="15473"/>
    <cellStyle name="20% - Accent5 2 23 5" xfId="15474"/>
    <cellStyle name="20% - Accent5 2 23 5 2" xfId="15475"/>
    <cellStyle name="20% - Accent5 2 23 6" xfId="15476"/>
    <cellStyle name="20% - Accent5 2 23 7" xfId="15477"/>
    <cellStyle name="20% - Accent5 2 23 8" xfId="15478"/>
    <cellStyle name="20% - Accent5 2 24" xfId="15479"/>
    <cellStyle name="20% - Accent5 2 24 2" xfId="15480"/>
    <cellStyle name="20% - Accent5 2 24 2 2" xfId="15481"/>
    <cellStyle name="20% - Accent5 2 24 2 2 2" xfId="15482"/>
    <cellStyle name="20% - Accent5 2 24 2 2 3" xfId="15483"/>
    <cellStyle name="20% - Accent5 2 24 2 3" xfId="15484"/>
    <cellStyle name="20% - Accent5 2 24 2 3 2" xfId="15485"/>
    <cellStyle name="20% - Accent5 2 24 2 4" xfId="15486"/>
    <cellStyle name="20% - Accent5 2 24 2 5" xfId="15487"/>
    <cellStyle name="20% - Accent5 2 24 3" xfId="15488"/>
    <cellStyle name="20% - Accent5 2 24 3 2" xfId="15489"/>
    <cellStyle name="20% - Accent5 2 24 3 2 2" xfId="15490"/>
    <cellStyle name="20% - Accent5 2 24 3 3" xfId="15491"/>
    <cellStyle name="20% - Accent5 2 24 3 4" xfId="15492"/>
    <cellStyle name="20% - Accent5 2 24 4" xfId="15493"/>
    <cellStyle name="20% - Accent5 2 24 4 2" xfId="15494"/>
    <cellStyle name="20% - Accent5 2 24 4 2 2" xfId="15495"/>
    <cellStyle name="20% - Accent5 2 24 4 3" xfId="15496"/>
    <cellStyle name="20% - Accent5 2 24 4 4" xfId="15497"/>
    <cellStyle name="20% - Accent5 2 24 5" xfId="15498"/>
    <cellStyle name="20% - Accent5 2 24 5 2" xfId="15499"/>
    <cellStyle name="20% - Accent5 2 24 6" xfId="15500"/>
    <cellStyle name="20% - Accent5 2 24 7" xfId="15501"/>
    <cellStyle name="20% - Accent5 2 24 8" xfId="15502"/>
    <cellStyle name="20% - Accent5 2 25" xfId="15503"/>
    <cellStyle name="20% - Accent5 2 25 2" xfId="15504"/>
    <cellStyle name="20% - Accent5 2 25 2 2" xfId="15505"/>
    <cellStyle name="20% - Accent5 2 25 2 2 2" xfId="15506"/>
    <cellStyle name="20% - Accent5 2 25 2 2 3" xfId="15507"/>
    <cellStyle name="20% - Accent5 2 25 2 3" xfId="15508"/>
    <cellStyle name="20% - Accent5 2 25 2 3 2" xfId="15509"/>
    <cellStyle name="20% - Accent5 2 25 2 4" xfId="15510"/>
    <cellStyle name="20% - Accent5 2 25 2 5" xfId="15511"/>
    <cellStyle name="20% - Accent5 2 25 3" xfId="15512"/>
    <cellStyle name="20% - Accent5 2 25 3 2" xfId="15513"/>
    <cellStyle name="20% - Accent5 2 25 3 2 2" xfId="15514"/>
    <cellStyle name="20% - Accent5 2 25 3 3" xfId="15515"/>
    <cellStyle name="20% - Accent5 2 25 3 4" xfId="15516"/>
    <cellStyle name="20% - Accent5 2 25 4" xfId="15517"/>
    <cellStyle name="20% - Accent5 2 25 4 2" xfId="15518"/>
    <cellStyle name="20% - Accent5 2 25 4 2 2" xfId="15519"/>
    <cellStyle name="20% - Accent5 2 25 4 3" xfId="15520"/>
    <cellStyle name="20% - Accent5 2 25 4 4" xfId="15521"/>
    <cellStyle name="20% - Accent5 2 25 5" xfId="15522"/>
    <cellStyle name="20% - Accent5 2 25 5 2" xfId="15523"/>
    <cellStyle name="20% - Accent5 2 25 6" xfId="15524"/>
    <cellStyle name="20% - Accent5 2 25 7" xfId="15525"/>
    <cellStyle name="20% - Accent5 2 25 8" xfId="15526"/>
    <cellStyle name="20% - Accent5 2 26" xfId="15527"/>
    <cellStyle name="20% - Accent5 2 26 2" xfId="15528"/>
    <cellStyle name="20% - Accent5 2 26 2 2" xfId="15529"/>
    <cellStyle name="20% - Accent5 2 26 2 2 2" xfId="15530"/>
    <cellStyle name="20% - Accent5 2 26 2 2 3" xfId="15531"/>
    <cellStyle name="20% - Accent5 2 26 2 3" xfId="15532"/>
    <cellStyle name="20% - Accent5 2 26 2 3 2" xfId="15533"/>
    <cellStyle name="20% - Accent5 2 26 2 4" xfId="15534"/>
    <cellStyle name="20% - Accent5 2 26 2 5" xfId="15535"/>
    <cellStyle name="20% - Accent5 2 26 3" xfId="15536"/>
    <cellStyle name="20% - Accent5 2 26 3 2" xfId="15537"/>
    <cellStyle name="20% - Accent5 2 26 3 2 2" xfId="15538"/>
    <cellStyle name="20% - Accent5 2 26 3 3" xfId="15539"/>
    <cellStyle name="20% - Accent5 2 26 3 4" xfId="15540"/>
    <cellStyle name="20% - Accent5 2 26 4" xfId="15541"/>
    <cellStyle name="20% - Accent5 2 26 4 2" xfId="15542"/>
    <cellStyle name="20% - Accent5 2 26 4 2 2" xfId="15543"/>
    <cellStyle name="20% - Accent5 2 26 4 3" xfId="15544"/>
    <cellStyle name="20% - Accent5 2 26 4 4" xfId="15545"/>
    <cellStyle name="20% - Accent5 2 26 5" xfId="15546"/>
    <cellStyle name="20% - Accent5 2 26 5 2" xfId="15547"/>
    <cellStyle name="20% - Accent5 2 26 6" xfId="15548"/>
    <cellStyle name="20% - Accent5 2 26 7" xfId="15549"/>
    <cellStyle name="20% - Accent5 2 26 8" xfId="15550"/>
    <cellStyle name="20% - Accent5 2 3" xfId="262"/>
    <cellStyle name="20% - Accent5 2 3 10" xfId="15551"/>
    <cellStyle name="20% - Accent5 2 3 11" xfId="15552"/>
    <cellStyle name="20% - Accent5 2 3 2" xfId="263"/>
    <cellStyle name="20% - Accent5 2 3 2 2" xfId="264"/>
    <cellStyle name="20% - Accent5 2 3 2 2 2" xfId="265"/>
    <cellStyle name="20% - Accent5 2 3 2 3" xfId="266"/>
    <cellStyle name="20% - Accent5 2 3 3" xfId="267"/>
    <cellStyle name="20% - Accent5 2 3 3 2" xfId="268"/>
    <cellStyle name="20% - Accent5 2 3 4" xfId="269"/>
    <cellStyle name="20% - Accent5 2 3 5" xfId="15553"/>
    <cellStyle name="20% - Accent5 2 3 6" xfId="15554"/>
    <cellStyle name="20% - Accent5 2 3 6 2" xfId="15555"/>
    <cellStyle name="20% - Accent5 2 3 6 3" xfId="15556"/>
    <cellStyle name="20% - Accent5 2 3 6_Elec Margin Analysis" xfId="15557"/>
    <cellStyle name="20% - Accent5 2 3 7" xfId="15558"/>
    <cellStyle name="20% - Accent5 2 3 8" xfId="15559"/>
    <cellStyle name="20% - Accent5 2 3 9" xfId="15560"/>
    <cellStyle name="20% - Accent5 2 3_2009 Actual" xfId="15561"/>
    <cellStyle name="20% - Accent5 2 4" xfId="270"/>
    <cellStyle name="20% - Accent5 2 4 2" xfId="271"/>
    <cellStyle name="20% - Accent5 2 4 2 2" xfId="272"/>
    <cellStyle name="20% - Accent5 2 4 3" xfId="273"/>
    <cellStyle name="20% - Accent5 2 4 4" xfId="15562"/>
    <cellStyle name="20% - Accent5 2 4 5" xfId="15563"/>
    <cellStyle name="20% - Accent5 2 4 6" xfId="15564"/>
    <cellStyle name="20% - Accent5 2 4 7" xfId="15565"/>
    <cellStyle name="20% - Accent5 2 4_2009 Actual" xfId="15566"/>
    <cellStyle name="20% - Accent5 2 5" xfId="274"/>
    <cellStyle name="20% - Accent5 2 5 2" xfId="275"/>
    <cellStyle name="20% - Accent5 2 5 3" xfId="15567"/>
    <cellStyle name="20% - Accent5 2 5 4" xfId="15568"/>
    <cellStyle name="20% - Accent5 2 5 5" xfId="15569"/>
    <cellStyle name="20% - Accent5 2 5 6" xfId="15570"/>
    <cellStyle name="20% - Accent5 2 5 7" xfId="15571"/>
    <cellStyle name="20% - Accent5 2 5_2009 Actual" xfId="15572"/>
    <cellStyle name="20% - Accent5 2 6" xfId="276"/>
    <cellStyle name="20% - Accent5 2 6 2" xfId="15573"/>
    <cellStyle name="20% - Accent5 2 6 3" xfId="15574"/>
    <cellStyle name="20% - Accent5 2 6 4" xfId="15575"/>
    <cellStyle name="20% - Accent5 2 6 5" xfId="15576"/>
    <cellStyle name="20% - Accent5 2 6 6" xfId="15577"/>
    <cellStyle name="20% - Accent5 2 6 7" xfId="15578"/>
    <cellStyle name="20% - Accent5 2 6_2009 Actual" xfId="15579"/>
    <cellStyle name="20% - Accent5 2 7" xfId="15580"/>
    <cellStyle name="20% - Accent5 2 7 2" xfId="15581"/>
    <cellStyle name="20% - Accent5 2 7 3" xfId="15582"/>
    <cellStyle name="20% - Accent5 2 7_Elec Margin Analysis" xfId="15583"/>
    <cellStyle name="20% - Accent5 2 8" xfId="15584"/>
    <cellStyle name="20% - Accent5 2 8 2" xfId="15585"/>
    <cellStyle name="20% - Accent5 2 8 3" xfId="15586"/>
    <cellStyle name="20% - Accent5 2 8_Elec Margin Analysis" xfId="15587"/>
    <cellStyle name="20% - Accent5 2 9" xfId="15588"/>
    <cellStyle name="20% - Accent5 2 9 2" xfId="15589"/>
    <cellStyle name="20% - Accent5 2 9 3" xfId="15590"/>
    <cellStyle name="20% - Accent5 2 9_Elec Margin Analysis" xfId="15591"/>
    <cellStyle name="20% - Accent5 2_2009 Actual" xfId="15592"/>
    <cellStyle name="20% - Accent5 20" xfId="15593"/>
    <cellStyle name="20% - Accent5 21" xfId="15594"/>
    <cellStyle name="20% - Accent5 22" xfId="15595"/>
    <cellStyle name="20% - Accent5 23" xfId="15596"/>
    <cellStyle name="20% - Accent5 24" xfId="15597"/>
    <cellStyle name="20% - Accent5 25" xfId="15598"/>
    <cellStyle name="20% - Accent5 26" xfId="15599"/>
    <cellStyle name="20% - Accent5 26 2" xfId="15600"/>
    <cellStyle name="20% - Accent5 26 2 2" xfId="15601"/>
    <cellStyle name="20% - Accent5 26 2 2 2" xfId="15602"/>
    <cellStyle name="20% - Accent5 26 2 2 3" xfId="15603"/>
    <cellStyle name="20% - Accent5 26 2 3" xfId="15604"/>
    <cellStyle name="20% - Accent5 26 2 3 2" xfId="15605"/>
    <cellStyle name="20% - Accent5 26 2 4" xfId="15606"/>
    <cellStyle name="20% - Accent5 26 2 5" xfId="15607"/>
    <cellStyle name="20% - Accent5 26 3" xfId="15608"/>
    <cellStyle name="20% - Accent5 26 3 2" xfId="15609"/>
    <cellStyle name="20% - Accent5 26 3 2 2" xfId="15610"/>
    <cellStyle name="20% - Accent5 26 3 3" xfId="15611"/>
    <cellStyle name="20% - Accent5 26 3 4" xfId="15612"/>
    <cellStyle name="20% - Accent5 26 4" xfId="15613"/>
    <cellStyle name="20% - Accent5 26 4 2" xfId="15614"/>
    <cellStyle name="20% - Accent5 26 4 2 2" xfId="15615"/>
    <cellStyle name="20% - Accent5 26 4 3" xfId="15616"/>
    <cellStyle name="20% - Accent5 26 4 4" xfId="15617"/>
    <cellStyle name="20% - Accent5 26 5" xfId="15618"/>
    <cellStyle name="20% - Accent5 26 5 2" xfId="15619"/>
    <cellStyle name="20% - Accent5 26 6" xfId="15620"/>
    <cellStyle name="20% - Accent5 26 7" xfId="15621"/>
    <cellStyle name="20% - Accent5 26 8" xfId="15622"/>
    <cellStyle name="20% - Accent5 27" xfId="15623"/>
    <cellStyle name="20% - Accent5 27 2" xfId="15624"/>
    <cellStyle name="20% - Accent5 27 2 2" xfId="15625"/>
    <cellStyle name="20% - Accent5 27 2 2 2" xfId="15626"/>
    <cellStyle name="20% - Accent5 27 2 2 3" xfId="15627"/>
    <cellStyle name="20% - Accent5 27 2 3" xfId="15628"/>
    <cellStyle name="20% - Accent5 27 2 3 2" xfId="15629"/>
    <cellStyle name="20% - Accent5 27 2 4" xfId="15630"/>
    <cellStyle name="20% - Accent5 27 2 5" xfId="15631"/>
    <cellStyle name="20% - Accent5 27 3" xfId="15632"/>
    <cellStyle name="20% - Accent5 27 3 2" xfId="15633"/>
    <cellStyle name="20% - Accent5 27 3 2 2" xfId="15634"/>
    <cellStyle name="20% - Accent5 27 3 3" xfId="15635"/>
    <cellStyle name="20% - Accent5 27 3 4" xfId="15636"/>
    <cellStyle name="20% - Accent5 27 4" xfId="15637"/>
    <cellStyle name="20% - Accent5 27 4 2" xfId="15638"/>
    <cellStyle name="20% - Accent5 27 4 2 2" xfId="15639"/>
    <cellStyle name="20% - Accent5 27 4 3" xfId="15640"/>
    <cellStyle name="20% - Accent5 27 4 4" xfId="15641"/>
    <cellStyle name="20% - Accent5 27 5" xfId="15642"/>
    <cellStyle name="20% - Accent5 27 5 2" xfId="15643"/>
    <cellStyle name="20% - Accent5 27 6" xfId="15644"/>
    <cellStyle name="20% - Accent5 27 7" xfId="15645"/>
    <cellStyle name="20% - Accent5 27 8" xfId="15646"/>
    <cellStyle name="20% - Accent5 28" xfId="15647"/>
    <cellStyle name="20% - Accent5 28 2" xfId="15648"/>
    <cellStyle name="20% - Accent5 28 2 2" xfId="15649"/>
    <cellStyle name="20% - Accent5 28 2 2 2" xfId="15650"/>
    <cellStyle name="20% - Accent5 28 2 2 3" xfId="15651"/>
    <cellStyle name="20% - Accent5 28 2 3" xfId="15652"/>
    <cellStyle name="20% - Accent5 28 2 3 2" xfId="15653"/>
    <cellStyle name="20% - Accent5 28 2 4" xfId="15654"/>
    <cellStyle name="20% - Accent5 28 2 5" xfId="15655"/>
    <cellStyle name="20% - Accent5 28 3" xfId="15656"/>
    <cellStyle name="20% - Accent5 28 3 2" xfId="15657"/>
    <cellStyle name="20% - Accent5 28 3 2 2" xfId="15658"/>
    <cellStyle name="20% - Accent5 28 3 3" xfId="15659"/>
    <cellStyle name="20% - Accent5 28 3 4" xfId="15660"/>
    <cellStyle name="20% - Accent5 28 4" xfId="15661"/>
    <cellStyle name="20% - Accent5 28 4 2" xfId="15662"/>
    <cellStyle name="20% - Accent5 28 4 2 2" xfId="15663"/>
    <cellStyle name="20% - Accent5 28 4 3" xfId="15664"/>
    <cellStyle name="20% - Accent5 28 4 4" xfId="15665"/>
    <cellStyle name="20% - Accent5 28 5" xfId="15666"/>
    <cellStyle name="20% - Accent5 28 5 2" xfId="15667"/>
    <cellStyle name="20% - Accent5 28 6" xfId="15668"/>
    <cellStyle name="20% - Accent5 28 7" xfId="15669"/>
    <cellStyle name="20% - Accent5 28 8" xfId="15670"/>
    <cellStyle name="20% - Accent5 29" xfId="15671"/>
    <cellStyle name="20% - Accent5 29 2" xfId="15672"/>
    <cellStyle name="20% - Accent5 29 2 2" xfId="15673"/>
    <cellStyle name="20% - Accent5 29 2 2 2" xfId="15674"/>
    <cellStyle name="20% - Accent5 29 2 2 3" xfId="15675"/>
    <cellStyle name="20% - Accent5 29 2 3" xfId="15676"/>
    <cellStyle name="20% - Accent5 29 2 3 2" xfId="15677"/>
    <cellStyle name="20% - Accent5 29 2 4" xfId="15678"/>
    <cellStyle name="20% - Accent5 29 2 5" xfId="15679"/>
    <cellStyle name="20% - Accent5 29 3" xfId="15680"/>
    <cellStyle name="20% - Accent5 29 3 2" xfId="15681"/>
    <cellStyle name="20% - Accent5 29 3 2 2" xfId="15682"/>
    <cellStyle name="20% - Accent5 29 3 3" xfId="15683"/>
    <cellStyle name="20% - Accent5 29 3 4" xfId="15684"/>
    <cellStyle name="20% - Accent5 29 4" xfId="15685"/>
    <cellStyle name="20% - Accent5 29 4 2" xfId="15686"/>
    <cellStyle name="20% - Accent5 29 4 2 2" xfId="15687"/>
    <cellStyle name="20% - Accent5 29 4 3" xfId="15688"/>
    <cellStyle name="20% - Accent5 29 4 4" xfId="15689"/>
    <cellStyle name="20% - Accent5 29 5" xfId="15690"/>
    <cellStyle name="20% - Accent5 29 5 2" xfId="15691"/>
    <cellStyle name="20% - Accent5 29 6" xfId="15692"/>
    <cellStyle name="20% - Accent5 29 7" xfId="15693"/>
    <cellStyle name="20% - Accent5 29 8" xfId="15694"/>
    <cellStyle name="20% - Accent5 3" xfId="277"/>
    <cellStyle name="20% - Accent5 3 10" xfId="15695"/>
    <cellStyle name="20% - Accent5 3 10 2" xfId="15696"/>
    <cellStyle name="20% - Accent5 3 10 2 2" xfId="15697"/>
    <cellStyle name="20% - Accent5 3 10 2 2 2" xfId="15698"/>
    <cellStyle name="20% - Accent5 3 10 2 2 3" xfId="15699"/>
    <cellStyle name="20% - Accent5 3 10 2 3" xfId="15700"/>
    <cellStyle name="20% - Accent5 3 10 2 3 2" xfId="15701"/>
    <cellStyle name="20% - Accent5 3 10 2 4" xfId="15702"/>
    <cellStyle name="20% - Accent5 3 10 2 5" xfId="15703"/>
    <cellStyle name="20% - Accent5 3 10 3" xfId="15704"/>
    <cellStyle name="20% - Accent5 3 10 3 2" xfId="15705"/>
    <cellStyle name="20% - Accent5 3 10 3 2 2" xfId="15706"/>
    <cellStyle name="20% - Accent5 3 10 3 3" xfId="15707"/>
    <cellStyle name="20% - Accent5 3 10 3 4" xfId="15708"/>
    <cellStyle name="20% - Accent5 3 10 4" xfId="15709"/>
    <cellStyle name="20% - Accent5 3 10 4 2" xfId="15710"/>
    <cellStyle name="20% - Accent5 3 10 4 2 2" xfId="15711"/>
    <cellStyle name="20% - Accent5 3 10 4 3" xfId="15712"/>
    <cellStyle name="20% - Accent5 3 10 4 4" xfId="15713"/>
    <cellStyle name="20% - Accent5 3 10 5" xfId="15714"/>
    <cellStyle name="20% - Accent5 3 10 5 2" xfId="15715"/>
    <cellStyle name="20% - Accent5 3 10 6" xfId="15716"/>
    <cellStyle name="20% - Accent5 3 10 7" xfId="15717"/>
    <cellStyle name="20% - Accent5 3 10 8" xfId="15718"/>
    <cellStyle name="20% - Accent5 3 11" xfId="15719"/>
    <cellStyle name="20% - Accent5 3 11 2" xfId="15720"/>
    <cellStyle name="20% - Accent5 3 11 2 2" xfId="15721"/>
    <cellStyle name="20% - Accent5 3 11 2 2 2" xfId="15722"/>
    <cellStyle name="20% - Accent5 3 11 2 2 3" xfId="15723"/>
    <cellStyle name="20% - Accent5 3 11 2 3" xfId="15724"/>
    <cellStyle name="20% - Accent5 3 11 2 3 2" xfId="15725"/>
    <cellStyle name="20% - Accent5 3 11 2 4" xfId="15726"/>
    <cellStyle name="20% - Accent5 3 11 2 5" xfId="15727"/>
    <cellStyle name="20% - Accent5 3 11 3" xfId="15728"/>
    <cellStyle name="20% - Accent5 3 11 3 2" xfId="15729"/>
    <cellStyle name="20% - Accent5 3 11 3 2 2" xfId="15730"/>
    <cellStyle name="20% - Accent5 3 11 3 3" xfId="15731"/>
    <cellStyle name="20% - Accent5 3 11 3 4" xfId="15732"/>
    <cellStyle name="20% - Accent5 3 11 4" xfId="15733"/>
    <cellStyle name="20% - Accent5 3 11 4 2" xfId="15734"/>
    <cellStyle name="20% - Accent5 3 11 4 2 2" xfId="15735"/>
    <cellStyle name="20% - Accent5 3 11 4 3" xfId="15736"/>
    <cellStyle name="20% - Accent5 3 11 4 4" xfId="15737"/>
    <cellStyle name="20% - Accent5 3 11 5" xfId="15738"/>
    <cellStyle name="20% - Accent5 3 11 5 2" xfId="15739"/>
    <cellStyle name="20% - Accent5 3 11 6" xfId="15740"/>
    <cellStyle name="20% - Accent5 3 11 7" xfId="15741"/>
    <cellStyle name="20% - Accent5 3 11 8" xfId="15742"/>
    <cellStyle name="20% - Accent5 3 12" xfId="15743"/>
    <cellStyle name="20% - Accent5 3 12 2" xfId="15744"/>
    <cellStyle name="20% - Accent5 3 12 2 2" xfId="15745"/>
    <cellStyle name="20% - Accent5 3 12 2 3" xfId="15746"/>
    <cellStyle name="20% - Accent5 3 12 3" xfId="15747"/>
    <cellStyle name="20% - Accent5 3 12 3 2" xfId="15748"/>
    <cellStyle name="20% - Accent5 3 12 4" xfId="15749"/>
    <cellStyle name="20% - Accent5 3 12 5" xfId="15750"/>
    <cellStyle name="20% - Accent5 3 13" xfId="15751"/>
    <cellStyle name="20% - Accent5 3 13 2" xfId="15752"/>
    <cellStyle name="20% - Accent5 3 13 2 2" xfId="15753"/>
    <cellStyle name="20% - Accent5 3 13 3" xfId="15754"/>
    <cellStyle name="20% - Accent5 3 13 4" xfId="15755"/>
    <cellStyle name="20% - Accent5 3 14" xfId="15756"/>
    <cellStyle name="20% - Accent5 3 14 2" xfId="15757"/>
    <cellStyle name="20% - Accent5 3 14 2 2" xfId="15758"/>
    <cellStyle name="20% - Accent5 3 14 3" xfId="15759"/>
    <cellStyle name="20% - Accent5 3 14 4" xfId="15760"/>
    <cellStyle name="20% - Accent5 3 15" xfId="15761"/>
    <cellStyle name="20% - Accent5 3 15 2" xfId="15762"/>
    <cellStyle name="20% - Accent5 3 16" xfId="15763"/>
    <cellStyle name="20% - Accent5 3 17" xfId="15764"/>
    <cellStyle name="20% - Accent5 3 18" xfId="15765"/>
    <cellStyle name="20% - Accent5 3 2" xfId="278"/>
    <cellStyle name="20% - Accent5 3 2 2" xfId="15766"/>
    <cellStyle name="20% - Accent5 3 2 3" xfId="15767"/>
    <cellStyle name="20% - Accent5 3 2 4" xfId="15768"/>
    <cellStyle name="20% - Accent5 3 2 5" xfId="15769"/>
    <cellStyle name="20% - Accent5 3 2 6" xfId="15770"/>
    <cellStyle name="20% - Accent5 3 2 7" xfId="15771"/>
    <cellStyle name="20% - Accent5 3 2 8" xfId="15772"/>
    <cellStyle name="20% - Accent5 3 2 8 2" xfId="15773"/>
    <cellStyle name="20% - Accent5 3 2_2009 Actual" xfId="15774"/>
    <cellStyle name="20% - Accent5 3 3" xfId="15775"/>
    <cellStyle name="20% - Accent5 3 3 2" xfId="15776"/>
    <cellStyle name="20% - Accent5 3 3 2 2" xfId="15777"/>
    <cellStyle name="20% - Accent5 3 4" xfId="15778"/>
    <cellStyle name="20% - Accent5 3 4 2" xfId="15779"/>
    <cellStyle name="20% - Accent5 3 4 2 2" xfId="15780"/>
    <cellStyle name="20% - Accent5 3 5" xfId="15781"/>
    <cellStyle name="20% - Accent5 3 5 2" xfId="15782"/>
    <cellStyle name="20% - Accent5 3 5 2 2" xfId="15783"/>
    <cellStyle name="20% - Accent5 3 6" xfId="15784"/>
    <cellStyle name="20% - Accent5 3 6 2" xfId="15785"/>
    <cellStyle name="20% - Accent5 3 6 2 2" xfId="15786"/>
    <cellStyle name="20% - Accent5 3 7" xfId="15787"/>
    <cellStyle name="20% - Accent5 3 7 2" xfId="15788"/>
    <cellStyle name="20% - Accent5 3 7 2 2" xfId="15789"/>
    <cellStyle name="20% - Accent5 3 8" xfId="15790"/>
    <cellStyle name="20% - Accent5 3 8 2" xfId="15791"/>
    <cellStyle name="20% - Accent5 3 8 2 2" xfId="15792"/>
    <cellStyle name="20% - Accent5 3 9" xfId="15793"/>
    <cellStyle name="20% - Accent5 3_2009 Actual" xfId="15794"/>
    <cellStyle name="20% - Accent5 30" xfId="15795"/>
    <cellStyle name="20% - Accent5 30 2" xfId="15796"/>
    <cellStyle name="20% - Accent5 30 2 2" xfId="15797"/>
    <cellStyle name="20% - Accent5 30 2 2 2" xfId="15798"/>
    <cellStyle name="20% - Accent5 30 2 2 3" xfId="15799"/>
    <cellStyle name="20% - Accent5 30 2 3" xfId="15800"/>
    <cellStyle name="20% - Accent5 30 2 3 2" xfId="15801"/>
    <cellStyle name="20% - Accent5 30 2 4" xfId="15802"/>
    <cellStyle name="20% - Accent5 30 2 5" xfId="15803"/>
    <cellStyle name="20% - Accent5 30 3" xfId="15804"/>
    <cellStyle name="20% - Accent5 30 3 2" xfId="15805"/>
    <cellStyle name="20% - Accent5 30 3 2 2" xfId="15806"/>
    <cellStyle name="20% - Accent5 30 3 3" xfId="15807"/>
    <cellStyle name="20% - Accent5 30 3 4" xfId="15808"/>
    <cellStyle name="20% - Accent5 30 4" xfId="15809"/>
    <cellStyle name="20% - Accent5 30 4 2" xfId="15810"/>
    <cellStyle name="20% - Accent5 30 4 2 2" xfId="15811"/>
    <cellStyle name="20% - Accent5 30 4 3" xfId="15812"/>
    <cellStyle name="20% - Accent5 30 4 4" xfId="15813"/>
    <cellStyle name="20% - Accent5 30 5" xfId="15814"/>
    <cellStyle name="20% - Accent5 30 5 2" xfId="15815"/>
    <cellStyle name="20% - Accent5 30 6" xfId="15816"/>
    <cellStyle name="20% - Accent5 30 7" xfId="15817"/>
    <cellStyle name="20% - Accent5 30 8" xfId="15818"/>
    <cellStyle name="20% - Accent5 31" xfId="15819"/>
    <cellStyle name="20% - Accent5 31 2" xfId="15820"/>
    <cellStyle name="20% - Accent5 31 2 2" xfId="15821"/>
    <cellStyle name="20% - Accent5 31 2 3" xfId="15822"/>
    <cellStyle name="20% - Accent5 31 3" xfId="15823"/>
    <cellStyle name="20% - Accent5 31 3 2" xfId="15824"/>
    <cellStyle name="20% - Accent5 31 4" xfId="15825"/>
    <cellStyle name="20% - Accent5 31 5" xfId="15826"/>
    <cellStyle name="20% - Accent5 32" xfId="15827"/>
    <cellStyle name="20% - Accent5 32 2" xfId="15828"/>
    <cellStyle name="20% - Accent5 32 2 2" xfId="15829"/>
    <cellStyle name="20% - Accent5 32 2 3" xfId="15830"/>
    <cellStyle name="20% - Accent5 32 3" xfId="15831"/>
    <cellStyle name="20% - Accent5 32 3 2" xfId="15832"/>
    <cellStyle name="20% - Accent5 32 4" xfId="15833"/>
    <cellStyle name="20% - Accent5 32 5" xfId="15834"/>
    <cellStyle name="20% - Accent5 33" xfId="15835"/>
    <cellStyle name="20% - Accent5 33 2" xfId="15836"/>
    <cellStyle name="20% - Accent5 33 2 2" xfId="15837"/>
    <cellStyle name="20% - Accent5 33 2 3" xfId="15838"/>
    <cellStyle name="20% - Accent5 33 3" xfId="15839"/>
    <cellStyle name="20% - Accent5 33 3 2" xfId="15840"/>
    <cellStyle name="20% - Accent5 33 4" xfId="15841"/>
    <cellStyle name="20% - Accent5 33 5" xfId="15842"/>
    <cellStyle name="20% - Accent5 34" xfId="15843"/>
    <cellStyle name="20% - Accent5 34 2" xfId="15844"/>
    <cellStyle name="20% - Accent5 34 2 2" xfId="15845"/>
    <cellStyle name="20% - Accent5 34 2 3" xfId="15846"/>
    <cellStyle name="20% - Accent5 34 3" xfId="15847"/>
    <cellStyle name="20% - Accent5 34 3 2" xfId="15848"/>
    <cellStyle name="20% - Accent5 34 4" xfId="15849"/>
    <cellStyle name="20% - Accent5 34 5" xfId="15850"/>
    <cellStyle name="20% - Accent5 35" xfId="15851"/>
    <cellStyle name="20% - Accent5 35 2" xfId="15852"/>
    <cellStyle name="20% - Accent5 35 2 2" xfId="15853"/>
    <cellStyle name="20% - Accent5 35 2 3" xfId="15854"/>
    <cellStyle name="20% - Accent5 35 3" xfId="15855"/>
    <cellStyle name="20% - Accent5 35 3 2" xfId="15856"/>
    <cellStyle name="20% - Accent5 35 4" xfId="15857"/>
    <cellStyle name="20% - Accent5 35 5" xfId="15858"/>
    <cellStyle name="20% - Accent5 36" xfId="15859"/>
    <cellStyle name="20% - Accent5 36 2" xfId="15860"/>
    <cellStyle name="20% - Accent5 36 2 2" xfId="15861"/>
    <cellStyle name="20% - Accent5 36 2 3" xfId="15862"/>
    <cellStyle name="20% - Accent5 36 3" xfId="15863"/>
    <cellStyle name="20% - Accent5 36 3 2" xfId="15864"/>
    <cellStyle name="20% - Accent5 36 4" xfId="15865"/>
    <cellStyle name="20% - Accent5 36 5" xfId="15866"/>
    <cellStyle name="20% - Accent5 37" xfId="15867"/>
    <cellStyle name="20% - Accent5 37 2" xfId="15868"/>
    <cellStyle name="20% - Accent5 37 2 2" xfId="15869"/>
    <cellStyle name="20% - Accent5 37 2 3" xfId="15870"/>
    <cellStyle name="20% - Accent5 37 3" xfId="15871"/>
    <cellStyle name="20% - Accent5 37 3 2" xfId="15872"/>
    <cellStyle name="20% - Accent5 37 4" xfId="15873"/>
    <cellStyle name="20% - Accent5 37 5" xfId="15874"/>
    <cellStyle name="20% - Accent5 38" xfId="15875"/>
    <cellStyle name="20% - Accent5 38 2" xfId="15876"/>
    <cellStyle name="20% - Accent5 38 2 2" xfId="15877"/>
    <cellStyle name="20% - Accent5 38 2 3" xfId="15878"/>
    <cellStyle name="20% - Accent5 38 3" xfId="15879"/>
    <cellStyle name="20% - Accent5 38 3 2" xfId="15880"/>
    <cellStyle name="20% - Accent5 38 4" xfId="15881"/>
    <cellStyle name="20% - Accent5 38 5" xfId="15882"/>
    <cellStyle name="20% - Accent5 39" xfId="15883"/>
    <cellStyle name="20% - Accent5 39 2" xfId="15884"/>
    <cellStyle name="20% - Accent5 39 2 2" xfId="15885"/>
    <cellStyle name="20% - Accent5 39 2 3" xfId="15886"/>
    <cellStyle name="20% - Accent5 39 3" xfId="15887"/>
    <cellStyle name="20% - Accent5 39 3 2" xfId="15888"/>
    <cellStyle name="20% - Accent5 39 4" xfId="15889"/>
    <cellStyle name="20% - Accent5 39 5" xfId="15890"/>
    <cellStyle name="20% - Accent5 4" xfId="279"/>
    <cellStyle name="20% - Accent5 4 2" xfId="15891"/>
    <cellStyle name="20% - Accent5 4 2 2" xfId="15892"/>
    <cellStyle name="20% - Accent5 4 2 3" xfId="15893"/>
    <cellStyle name="20% - Accent5 4 2 4" xfId="15894"/>
    <cellStyle name="20% - Accent5 4 2 5" xfId="15895"/>
    <cellStyle name="20% - Accent5 4 2 6" xfId="15896"/>
    <cellStyle name="20% - Accent5 4 2 7" xfId="15897"/>
    <cellStyle name="20% - Accent5 4 2_2009 Actual" xfId="15898"/>
    <cellStyle name="20% - Accent5 4 3" xfId="15899"/>
    <cellStyle name="20% - Accent5 4 4" xfId="15900"/>
    <cellStyle name="20% - Accent5 4 5" xfId="15901"/>
    <cellStyle name="20% - Accent5 4 6" xfId="15902"/>
    <cellStyle name="20% - Accent5 4 7" xfId="15903"/>
    <cellStyle name="20% - Accent5 4 8" xfId="15904"/>
    <cellStyle name="20% - Accent5 4 9" xfId="15905"/>
    <cellStyle name="20% - Accent5 4 9 2" xfId="15906"/>
    <cellStyle name="20% - Accent5 4_2009 Actual" xfId="15907"/>
    <cellStyle name="20% - Accent5 40" xfId="15908"/>
    <cellStyle name="20% - Accent5 40 2" xfId="15909"/>
    <cellStyle name="20% - Accent5 40 2 2" xfId="15910"/>
    <cellStyle name="20% - Accent5 40 2 3" xfId="15911"/>
    <cellStyle name="20% - Accent5 40 3" xfId="15912"/>
    <cellStyle name="20% - Accent5 40 3 2" xfId="15913"/>
    <cellStyle name="20% - Accent5 40 4" xfId="15914"/>
    <cellStyle name="20% - Accent5 40 5" xfId="15915"/>
    <cellStyle name="20% - Accent5 41" xfId="15916"/>
    <cellStyle name="20% - Accent5 41 2" xfId="15917"/>
    <cellStyle name="20% - Accent5 41 2 2" xfId="15918"/>
    <cellStyle name="20% - Accent5 41 2 3" xfId="15919"/>
    <cellStyle name="20% - Accent5 41 3" xfId="15920"/>
    <cellStyle name="20% - Accent5 41 3 2" xfId="15921"/>
    <cellStyle name="20% - Accent5 41 4" xfId="15922"/>
    <cellStyle name="20% - Accent5 41 5" xfId="15923"/>
    <cellStyle name="20% - Accent5 42" xfId="15924"/>
    <cellStyle name="20% - Accent5 42 2" xfId="15925"/>
    <cellStyle name="20% - Accent5 42 2 2" xfId="15926"/>
    <cellStyle name="20% - Accent5 42 2 3" xfId="15927"/>
    <cellStyle name="20% - Accent5 42 3" xfId="15928"/>
    <cellStyle name="20% - Accent5 42 3 2" xfId="15929"/>
    <cellStyle name="20% - Accent5 42 4" xfId="15930"/>
    <cellStyle name="20% - Accent5 42 5" xfId="15931"/>
    <cellStyle name="20% - Accent5 43" xfId="15932"/>
    <cellStyle name="20% - Accent5 43 2" xfId="15933"/>
    <cellStyle name="20% - Accent5 43 2 2" xfId="15934"/>
    <cellStyle name="20% - Accent5 43 2 3" xfId="15935"/>
    <cellStyle name="20% - Accent5 43 3" xfId="15936"/>
    <cellStyle name="20% - Accent5 43 3 2" xfId="15937"/>
    <cellStyle name="20% - Accent5 43 4" xfId="15938"/>
    <cellStyle name="20% - Accent5 43 5" xfId="15939"/>
    <cellStyle name="20% - Accent5 44" xfId="15940"/>
    <cellStyle name="20% - Accent5 44 2" xfId="15941"/>
    <cellStyle name="20% - Accent5 44 2 2" xfId="15942"/>
    <cellStyle name="20% - Accent5 44 2 3" xfId="15943"/>
    <cellStyle name="20% - Accent5 44 3" xfId="15944"/>
    <cellStyle name="20% - Accent5 44 3 2" xfId="15945"/>
    <cellStyle name="20% - Accent5 44 4" xfId="15946"/>
    <cellStyle name="20% - Accent5 44 5" xfId="15947"/>
    <cellStyle name="20% - Accent5 45" xfId="15948"/>
    <cellStyle name="20% - Accent5 45 2" xfId="15949"/>
    <cellStyle name="20% - Accent5 45 2 2" xfId="15950"/>
    <cellStyle name="20% - Accent5 45 2 3" xfId="15951"/>
    <cellStyle name="20% - Accent5 45 3" xfId="15952"/>
    <cellStyle name="20% - Accent5 45 3 2" xfId="15953"/>
    <cellStyle name="20% - Accent5 45 4" xfId="15954"/>
    <cellStyle name="20% - Accent5 45 5" xfId="15955"/>
    <cellStyle name="20% - Accent5 46" xfId="15956"/>
    <cellStyle name="20% - Accent5 46 2" xfId="15957"/>
    <cellStyle name="20% - Accent5 46 2 2" xfId="15958"/>
    <cellStyle name="20% - Accent5 46 2 3" xfId="15959"/>
    <cellStyle name="20% - Accent5 46 3" xfId="15960"/>
    <cellStyle name="20% - Accent5 46 3 2" xfId="15961"/>
    <cellStyle name="20% - Accent5 46 4" xfId="15962"/>
    <cellStyle name="20% - Accent5 46 5" xfId="15963"/>
    <cellStyle name="20% - Accent5 47" xfId="15964"/>
    <cellStyle name="20% - Accent5 47 2" xfId="15965"/>
    <cellStyle name="20% - Accent5 47 2 2" xfId="15966"/>
    <cellStyle name="20% - Accent5 47 2 3" xfId="15967"/>
    <cellStyle name="20% - Accent5 47 3" xfId="15968"/>
    <cellStyle name="20% - Accent5 47 3 2" xfId="15969"/>
    <cellStyle name="20% - Accent5 47 4" xfId="15970"/>
    <cellStyle name="20% - Accent5 47 5" xfId="15971"/>
    <cellStyle name="20% - Accent5 48" xfId="15972"/>
    <cellStyle name="20% - Accent5 48 2" xfId="15973"/>
    <cellStyle name="20% - Accent5 48 2 2" xfId="15974"/>
    <cellStyle name="20% - Accent5 48 2 3" xfId="15975"/>
    <cellStyle name="20% - Accent5 48 3" xfId="15976"/>
    <cellStyle name="20% - Accent5 48 3 2" xfId="15977"/>
    <cellStyle name="20% - Accent5 48 4" xfId="15978"/>
    <cellStyle name="20% - Accent5 48 5" xfId="15979"/>
    <cellStyle name="20% - Accent5 49" xfId="15980"/>
    <cellStyle name="20% - Accent5 49 2" xfId="15981"/>
    <cellStyle name="20% - Accent5 49 2 2" xfId="15982"/>
    <cellStyle name="20% - Accent5 49 2 3" xfId="15983"/>
    <cellStyle name="20% - Accent5 49 3" xfId="15984"/>
    <cellStyle name="20% - Accent5 49 3 2" xfId="15985"/>
    <cellStyle name="20% - Accent5 49 4" xfId="15986"/>
    <cellStyle name="20% - Accent5 49 5" xfId="15987"/>
    <cellStyle name="20% - Accent5 5" xfId="15988"/>
    <cellStyle name="20% - Accent5 5 2" xfId="15989"/>
    <cellStyle name="20% - Accent5 5 2 2" xfId="15990"/>
    <cellStyle name="20% - Accent5 5 2 3" xfId="15991"/>
    <cellStyle name="20% - Accent5 5 2 4" xfId="15992"/>
    <cellStyle name="20% - Accent5 5 2 5" xfId="15993"/>
    <cellStyle name="20% - Accent5 5 2 6" xfId="15994"/>
    <cellStyle name="20% - Accent5 5 2 7" xfId="15995"/>
    <cellStyle name="20% - Accent5 5 2_2009 Actual" xfId="15996"/>
    <cellStyle name="20% - Accent5 5 3" xfId="15997"/>
    <cellStyle name="20% - Accent5 5 4" xfId="15998"/>
    <cellStyle name="20% - Accent5 5 5" xfId="15999"/>
    <cellStyle name="20% - Accent5 5 6" xfId="16000"/>
    <cellStyle name="20% - Accent5 5 7" xfId="16001"/>
    <cellStyle name="20% - Accent5 5 8" xfId="16002"/>
    <cellStyle name="20% - Accent5 5 9" xfId="16003"/>
    <cellStyle name="20% - Accent5 5 9 2" xfId="16004"/>
    <cellStyle name="20% - Accent5 5_2009 Actual" xfId="16005"/>
    <cellStyle name="20% - Accent5 50" xfId="16006"/>
    <cellStyle name="20% - Accent5 50 2" xfId="16007"/>
    <cellStyle name="20% - Accent5 50 2 2" xfId="16008"/>
    <cellStyle name="20% - Accent5 50 2 3" xfId="16009"/>
    <cellStyle name="20% - Accent5 50 3" xfId="16010"/>
    <cellStyle name="20% - Accent5 50 3 2" xfId="16011"/>
    <cellStyle name="20% - Accent5 50 4" xfId="16012"/>
    <cellStyle name="20% - Accent5 50 5" xfId="16013"/>
    <cellStyle name="20% - Accent5 51" xfId="16014"/>
    <cellStyle name="20% - Accent5 51 2" xfId="16015"/>
    <cellStyle name="20% - Accent5 51 2 2" xfId="16016"/>
    <cellStyle name="20% - Accent5 51 2 3" xfId="16017"/>
    <cellStyle name="20% - Accent5 51 3" xfId="16018"/>
    <cellStyle name="20% - Accent5 51 3 2" xfId="16019"/>
    <cellStyle name="20% - Accent5 51 4" xfId="16020"/>
    <cellStyle name="20% - Accent5 51 5" xfId="16021"/>
    <cellStyle name="20% - Accent5 52" xfId="16022"/>
    <cellStyle name="20% - Accent5 52 2" xfId="16023"/>
    <cellStyle name="20% - Accent5 52 2 2" xfId="16024"/>
    <cellStyle name="20% - Accent5 52 2 3" xfId="16025"/>
    <cellStyle name="20% - Accent5 52 3" xfId="16026"/>
    <cellStyle name="20% - Accent5 52 3 2" xfId="16027"/>
    <cellStyle name="20% - Accent5 52 4" xfId="16028"/>
    <cellStyle name="20% - Accent5 52 5" xfId="16029"/>
    <cellStyle name="20% - Accent5 53" xfId="16030"/>
    <cellStyle name="20% - Accent5 53 2" xfId="16031"/>
    <cellStyle name="20% - Accent5 53 2 2" xfId="16032"/>
    <cellStyle name="20% - Accent5 53 2 3" xfId="16033"/>
    <cellStyle name="20% - Accent5 53 3" xfId="16034"/>
    <cellStyle name="20% - Accent5 53 3 2" xfId="16035"/>
    <cellStyle name="20% - Accent5 53 4" xfId="16036"/>
    <cellStyle name="20% - Accent5 53 5" xfId="16037"/>
    <cellStyle name="20% - Accent5 54" xfId="16038"/>
    <cellStyle name="20% - Accent5 54 2" xfId="16039"/>
    <cellStyle name="20% - Accent5 54 2 2" xfId="16040"/>
    <cellStyle name="20% - Accent5 54 2 3" xfId="16041"/>
    <cellStyle name="20% - Accent5 54 3" xfId="16042"/>
    <cellStyle name="20% - Accent5 54 3 2" xfId="16043"/>
    <cellStyle name="20% - Accent5 54 4" xfId="16044"/>
    <cellStyle name="20% - Accent5 54 5" xfId="16045"/>
    <cellStyle name="20% - Accent5 55" xfId="16046"/>
    <cellStyle name="20% - Accent5 55 2" xfId="16047"/>
    <cellStyle name="20% - Accent5 55 2 2" xfId="16048"/>
    <cellStyle name="20% - Accent5 55 2 3" xfId="16049"/>
    <cellStyle name="20% - Accent5 55 3" xfId="16050"/>
    <cellStyle name="20% - Accent5 55 3 2" xfId="16051"/>
    <cellStyle name="20% - Accent5 55 4" xfId="16052"/>
    <cellStyle name="20% - Accent5 55 5" xfId="16053"/>
    <cellStyle name="20% - Accent5 56" xfId="16054"/>
    <cellStyle name="20% - Accent5 56 2" xfId="16055"/>
    <cellStyle name="20% - Accent5 56 2 2" xfId="16056"/>
    <cellStyle name="20% - Accent5 56 2 3" xfId="16057"/>
    <cellStyle name="20% - Accent5 56 3" xfId="16058"/>
    <cellStyle name="20% - Accent5 56 3 2" xfId="16059"/>
    <cellStyle name="20% - Accent5 56 4" xfId="16060"/>
    <cellStyle name="20% - Accent5 56 5" xfId="16061"/>
    <cellStyle name="20% - Accent5 57" xfId="16062"/>
    <cellStyle name="20% - Accent5 57 2" xfId="16063"/>
    <cellStyle name="20% - Accent5 57 2 2" xfId="16064"/>
    <cellStyle name="20% - Accent5 57 2 3" xfId="16065"/>
    <cellStyle name="20% - Accent5 57 3" xfId="16066"/>
    <cellStyle name="20% - Accent5 57 3 2" xfId="16067"/>
    <cellStyle name="20% - Accent5 57 4" xfId="16068"/>
    <cellStyle name="20% - Accent5 57 5" xfId="16069"/>
    <cellStyle name="20% - Accent5 58" xfId="16070"/>
    <cellStyle name="20% - Accent5 58 2" xfId="16071"/>
    <cellStyle name="20% - Accent5 58 2 2" xfId="16072"/>
    <cellStyle name="20% - Accent5 58 2 3" xfId="16073"/>
    <cellStyle name="20% - Accent5 58 3" xfId="16074"/>
    <cellStyle name="20% - Accent5 58 3 2" xfId="16075"/>
    <cellStyle name="20% - Accent5 58 4" xfId="16076"/>
    <cellStyle name="20% - Accent5 58 5" xfId="16077"/>
    <cellStyle name="20% - Accent5 59" xfId="16078"/>
    <cellStyle name="20% - Accent5 59 2" xfId="16079"/>
    <cellStyle name="20% - Accent5 59 2 2" xfId="16080"/>
    <cellStyle name="20% - Accent5 59 2 3" xfId="16081"/>
    <cellStyle name="20% - Accent5 59 3" xfId="16082"/>
    <cellStyle name="20% - Accent5 59 3 2" xfId="16083"/>
    <cellStyle name="20% - Accent5 59 4" xfId="16084"/>
    <cellStyle name="20% - Accent5 59 5" xfId="16085"/>
    <cellStyle name="20% - Accent5 6" xfId="16086"/>
    <cellStyle name="20% - Accent5 6 2" xfId="16087"/>
    <cellStyle name="20% - Accent5 6 3" xfId="16088"/>
    <cellStyle name="20% - Accent5 6 4" xfId="16089"/>
    <cellStyle name="20% - Accent5 6 5" xfId="16090"/>
    <cellStyle name="20% - Accent5 6 6" xfId="16091"/>
    <cellStyle name="20% - Accent5 6 7" xfId="16092"/>
    <cellStyle name="20% - Accent5 6 8" xfId="16093"/>
    <cellStyle name="20% - Accent5 6 8 2" xfId="16094"/>
    <cellStyle name="20% - Accent5 6_2009 Actual" xfId="16095"/>
    <cellStyle name="20% - Accent5 60" xfId="16096"/>
    <cellStyle name="20% - Accent5 60 2" xfId="16097"/>
    <cellStyle name="20% - Accent5 60 2 2" xfId="16098"/>
    <cellStyle name="20% - Accent5 60 2 3" xfId="16099"/>
    <cellStyle name="20% - Accent5 60 3" xfId="16100"/>
    <cellStyle name="20% - Accent5 60 3 2" xfId="16101"/>
    <cellStyle name="20% - Accent5 60 4" xfId="16102"/>
    <cellStyle name="20% - Accent5 60 5" xfId="16103"/>
    <cellStyle name="20% - Accent5 61" xfId="16104"/>
    <cellStyle name="20% - Accent5 61 2" xfId="16105"/>
    <cellStyle name="20% - Accent5 61 2 2" xfId="16106"/>
    <cellStyle name="20% - Accent5 61 2 3" xfId="16107"/>
    <cellStyle name="20% - Accent5 61 3" xfId="16108"/>
    <cellStyle name="20% - Accent5 61 3 2" xfId="16109"/>
    <cellStyle name="20% - Accent5 61 4" xfId="16110"/>
    <cellStyle name="20% - Accent5 61 5" xfId="16111"/>
    <cellStyle name="20% - Accent5 62" xfId="16112"/>
    <cellStyle name="20% - Accent5 62 2" xfId="16113"/>
    <cellStyle name="20% - Accent5 62 2 2" xfId="16114"/>
    <cellStyle name="20% - Accent5 62 2 3" xfId="16115"/>
    <cellStyle name="20% - Accent5 62 3" xfId="16116"/>
    <cellStyle name="20% - Accent5 62 3 2" xfId="16117"/>
    <cellStyle name="20% - Accent5 62 4" xfId="16118"/>
    <cellStyle name="20% - Accent5 62 5" xfId="16119"/>
    <cellStyle name="20% - Accent5 63" xfId="16120"/>
    <cellStyle name="20% - Accent5 63 2" xfId="16121"/>
    <cellStyle name="20% - Accent5 63 2 2" xfId="16122"/>
    <cellStyle name="20% - Accent5 63 2 3" xfId="16123"/>
    <cellStyle name="20% - Accent5 63 3" xfId="16124"/>
    <cellStyle name="20% - Accent5 63 3 2" xfId="16125"/>
    <cellStyle name="20% - Accent5 63 4" xfId="16126"/>
    <cellStyle name="20% - Accent5 63 5" xfId="16127"/>
    <cellStyle name="20% - Accent5 64" xfId="16128"/>
    <cellStyle name="20% - Accent5 64 2" xfId="16129"/>
    <cellStyle name="20% - Accent5 64 2 2" xfId="16130"/>
    <cellStyle name="20% - Accent5 64 2 3" xfId="16131"/>
    <cellStyle name="20% - Accent5 64 3" xfId="16132"/>
    <cellStyle name="20% - Accent5 64 3 2" xfId="16133"/>
    <cellStyle name="20% - Accent5 64 4" xfId="16134"/>
    <cellStyle name="20% - Accent5 64 5" xfId="16135"/>
    <cellStyle name="20% - Accent5 65" xfId="16136"/>
    <cellStyle name="20% - Accent5 65 2" xfId="16137"/>
    <cellStyle name="20% - Accent5 65 2 2" xfId="16138"/>
    <cellStyle name="20% - Accent5 65 2 3" xfId="16139"/>
    <cellStyle name="20% - Accent5 65 3" xfId="16140"/>
    <cellStyle name="20% - Accent5 65 3 2" xfId="16141"/>
    <cellStyle name="20% - Accent5 65 4" xfId="16142"/>
    <cellStyle name="20% - Accent5 65 5" xfId="16143"/>
    <cellStyle name="20% - Accent5 66" xfId="16144"/>
    <cellStyle name="20% - Accent5 66 2" xfId="16145"/>
    <cellStyle name="20% - Accent5 66 2 2" xfId="16146"/>
    <cellStyle name="20% - Accent5 66 2 3" xfId="16147"/>
    <cellStyle name="20% - Accent5 66 3" xfId="16148"/>
    <cellStyle name="20% - Accent5 66 3 2" xfId="16149"/>
    <cellStyle name="20% - Accent5 66 4" xfId="16150"/>
    <cellStyle name="20% - Accent5 66 5" xfId="16151"/>
    <cellStyle name="20% - Accent5 67" xfId="16152"/>
    <cellStyle name="20% - Accent5 67 2" xfId="16153"/>
    <cellStyle name="20% - Accent5 67 2 2" xfId="16154"/>
    <cellStyle name="20% - Accent5 67 2 3" xfId="16155"/>
    <cellStyle name="20% - Accent5 67 3" xfId="16156"/>
    <cellStyle name="20% - Accent5 67 3 2" xfId="16157"/>
    <cellStyle name="20% - Accent5 67 4" xfId="16158"/>
    <cellStyle name="20% - Accent5 67 5" xfId="16159"/>
    <cellStyle name="20% - Accent5 68" xfId="16160"/>
    <cellStyle name="20% - Accent5 68 2" xfId="16161"/>
    <cellStyle name="20% - Accent5 68 2 2" xfId="16162"/>
    <cellStyle name="20% - Accent5 68 2 3" xfId="16163"/>
    <cellStyle name="20% - Accent5 68 3" xfId="16164"/>
    <cellStyle name="20% - Accent5 68 3 2" xfId="16165"/>
    <cellStyle name="20% - Accent5 68 4" xfId="16166"/>
    <cellStyle name="20% - Accent5 68 5" xfId="16167"/>
    <cellStyle name="20% - Accent5 69" xfId="16168"/>
    <cellStyle name="20% - Accent5 69 2" xfId="16169"/>
    <cellStyle name="20% - Accent5 69 2 2" xfId="16170"/>
    <cellStyle name="20% - Accent5 69 2 3" xfId="16171"/>
    <cellStyle name="20% - Accent5 69 3" xfId="16172"/>
    <cellStyle name="20% - Accent5 69 3 2" xfId="16173"/>
    <cellStyle name="20% - Accent5 69 4" xfId="16174"/>
    <cellStyle name="20% - Accent5 69 5" xfId="16175"/>
    <cellStyle name="20% - Accent5 7" xfId="16176"/>
    <cellStyle name="20% - Accent5 7 2" xfId="16177"/>
    <cellStyle name="20% - Accent5 7 3" xfId="16178"/>
    <cellStyle name="20% - Accent5 7 4" xfId="16179"/>
    <cellStyle name="20% - Accent5 7 5" xfId="16180"/>
    <cellStyle name="20% - Accent5 7 6" xfId="16181"/>
    <cellStyle name="20% - Accent5 7 7" xfId="16182"/>
    <cellStyle name="20% - Accent5 7 8" xfId="16183"/>
    <cellStyle name="20% - Accent5 7 8 2" xfId="16184"/>
    <cellStyle name="20% - Accent5 7_2009 Actual" xfId="16185"/>
    <cellStyle name="20% - Accent5 70" xfId="16186"/>
    <cellStyle name="20% - Accent5 70 2" xfId="16187"/>
    <cellStyle name="20% - Accent5 70 2 2" xfId="16188"/>
    <cellStyle name="20% - Accent5 70 2 3" xfId="16189"/>
    <cellStyle name="20% - Accent5 70 3" xfId="16190"/>
    <cellStyle name="20% - Accent5 70 3 2" xfId="16191"/>
    <cellStyle name="20% - Accent5 70 4" xfId="16192"/>
    <cellStyle name="20% - Accent5 70 5" xfId="16193"/>
    <cellStyle name="20% - Accent5 71" xfId="16194"/>
    <cellStyle name="20% - Accent5 71 2" xfId="16195"/>
    <cellStyle name="20% - Accent5 71 2 2" xfId="16196"/>
    <cellStyle name="20% - Accent5 71 2 3" xfId="16197"/>
    <cellStyle name="20% - Accent5 71 3" xfId="16198"/>
    <cellStyle name="20% - Accent5 71 3 2" xfId="16199"/>
    <cellStyle name="20% - Accent5 71 4" xfId="16200"/>
    <cellStyle name="20% - Accent5 71 5" xfId="16201"/>
    <cellStyle name="20% - Accent5 72" xfId="16202"/>
    <cellStyle name="20% - Accent5 72 2" xfId="16203"/>
    <cellStyle name="20% - Accent5 72 2 2" xfId="16204"/>
    <cellStyle name="20% - Accent5 72 2 3" xfId="16205"/>
    <cellStyle name="20% - Accent5 72 3" xfId="16206"/>
    <cellStyle name="20% - Accent5 72 3 2" xfId="16207"/>
    <cellStyle name="20% - Accent5 72 4" xfId="16208"/>
    <cellStyle name="20% - Accent5 72 5" xfId="16209"/>
    <cellStyle name="20% - Accent5 73" xfId="16210"/>
    <cellStyle name="20% - Accent5 73 2" xfId="16211"/>
    <cellStyle name="20% - Accent5 73 2 2" xfId="16212"/>
    <cellStyle name="20% - Accent5 73 2 3" xfId="16213"/>
    <cellStyle name="20% - Accent5 73 3" xfId="16214"/>
    <cellStyle name="20% - Accent5 73 3 2" xfId="16215"/>
    <cellStyle name="20% - Accent5 73 4" xfId="16216"/>
    <cellStyle name="20% - Accent5 73 5" xfId="16217"/>
    <cellStyle name="20% - Accent5 74" xfId="16218"/>
    <cellStyle name="20% - Accent5 74 2" xfId="16219"/>
    <cellStyle name="20% - Accent5 74 2 2" xfId="16220"/>
    <cellStyle name="20% - Accent5 74 2 3" xfId="16221"/>
    <cellStyle name="20% - Accent5 74 3" xfId="16222"/>
    <cellStyle name="20% - Accent5 74 3 2" xfId="16223"/>
    <cellStyle name="20% - Accent5 74 4" xfId="16224"/>
    <cellStyle name="20% - Accent5 74 5" xfId="16225"/>
    <cellStyle name="20% - Accent5 75" xfId="16226"/>
    <cellStyle name="20% - Accent5 75 2" xfId="16227"/>
    <cellStyle name="20% - Accent5 75 2 2" xfId="16228"/>
    <cellStyle name="20% - Accent5 75 2 3" xfId="16229"/>
    <cellStyle name="20% - Accent5 75 3" xfId="16230"/>
    <cellStyle name="20% - Accent5 75 3 2" xfId="16231"/>
    <cellStyle name="20% - Accent5 75 4" xfId="16232"/>
    <cellStyle name="20% - Accent5 75 5" xfId="16233"/>
    <cellStyle name="20% - Accent5 76" xfId="16234"/>
    <cellStyle name="20% - Accent5 76 2" xfId="16235"/>
    <cellStyle name="20% - Accent5 76 2 2" xfId="16236"/>
    <cellStyle name="20% - Accent5 76 2 3" xfId="16237"/>
    <cellStyle name="20% - Accent5 76 3" xfId="16238"/>
    <cellStyle name="20% - Accent5 76 3 2" xfId="16239"/>
    <cellStyle name="20% - Accent5 76 4" xfId="16240"/>
    <cellStyle name="20% - Accent5 76 5" xfId="16241"/>
    <cellStyle name="20% - Accent5 77" xfId="16242"/>
    <cellStyle name="20% - Accent5 77 2" xfId="16243"/>
    <cellStyle name="20% - Accent5 77 2 2" xfId="16244"/>
    <cellStyle name="20% - Accent5 77 2 3" xfId="16245"/>
    <cellStyle name="20% - Accent5 77 3" xfId="16246"/>
    <cellStyle name="20% - Accent5 77 3 2" xfId="16247"/>
    <cellStyle name="20% - Accent5 77 4" xfId="16248"/>
    <cellStyle name="20% - Accent5 77 5" xfId="16249"/>
    <cellStyle name="20% - Accent5 78" xfId="16250"/>
    <cellStyle name="20% - Accent5 78 2" xfId="16251"/>
    <cellStyle name="20% - Accent5 78 2 2" xfId="16252"/>
    <cellStyle name="20% - Accent5 78 2 3" xfId="16253"/>
    <cellStyle name="20% - Accent5 78 3" xfId="16254"/>
    <cellStyle name="20% - Accent5 78 3 2" xfId="16255"/>
    <cellStyle name="20% - Accent5 78 4" xfId="16256"/>
    <cellStyle name="20% - Accent5 78 5" xfId="16257"/>
    <cellStyle name="20% - Accent5 79" xfId="16258"/>
    <cellStyle name="20% - Accent5 79 2" xfId="16259"/>
    <cellStyle name="20% - Accent5 79 2 2" xfId="16260"/>
    <cellStyle name="20% - Accent5 79 2 3" xfId="16261"/>
    <cellStyle name="20% - Accent5 79 3" xfId="16262"/>
    <cellStyle name="20% - Accent5 79 3 2" xfId="16263"/>
    <cellStyle name="20% - Accent5 79 4" xfId="16264"/>
    <cellStyle name="20% - Accent5 79 5" xfId="16265"/>
    <cellStyle name="20% - Accent5 8" xfId="16266"/>
    <cellStyle name="20% - Accent5 8 2" xfId="16267"/>
    <cellStyle name="20% - Accent5 8 3" xfId="16268"/>
    <cellStyle name="20% - Accent5 8 4" xfId="16269"/>
    <cellStyle name="20% - Accent5 8 5" xfId="16270"/>
    <cellStyle name="20% - Accent5 8 6" xfId="16271"/>
    <cellStyle name="20% - Accent5 8 7" xfId="16272"/>
    <cellStyle name="20% - Accent5 8 8" xfId="16273"/>
    <cellStyle name="20% - Accent5 8 8 2" xfId="16274"/>
    <cellStyle name="20% - Accent5 8_2009 Actual" xfId="16275"/>
    <cellStyle name="20% - Accent5 80" xfId="16276"/>
    <cellStyle name="20% - Accent5 80 2" xfId="16277"/>
    <cellStyle name="20% - Accent5 80 2 2" xfId="16278"/>
    <cellStyle name="20% - Accent5 80 2 3" xfId="16279"/>
    <cellStyle name="20% - Accent5 80 3" xfId="16280"/>
    <cellStyle name="20% - Accent5 80 3 2" xfId="16281"/>
    <cellStyle name="20% - Accent5 80 4" xfId="16282"/>
    <cellStyle name="20% - Accent5 80 5" xfId="16283"/>
    <cellStyle name="20% - Accent5 81" xfId="16284"/>
    <cellStyle name="20% - Accent5 81 2" xfId="16285"/>
    <cellStyle name="20% - Accent5 81 2 2" xfId="16286"/>
    <cellStyle name="20% - Accent5 81 2 3" xfId="16287"/>
    <cellStyle name="20% - Accent5 81 3" xfId="16288"/>
    <cellStyle name="20% - Accent5 81 3 2" xfId="16289"/>
    <cellStyle name="20% - Accent5 81 4" xfId="16290"/>
    <cellStyle name="20% - Accent5 81 5" xfId="16291"/>
    <cellStyle name="20% - Accent5 82" xfId="16292"/>
    <cellStyle name="20% - Accent5 82 2" xfId="16293"/>
    <cellStyle name="20% - Accent5 82 2 2" xfId="16294"/>
    <cellStyle name="20% - Accent5 82 2 3" xfId="16295"/>
    <cellStyle name="20% - Accent5 82 3" xfId="16296"/>
    <cellStyle name="20% - Accent5 82 3 2" xfId="16297"/>
    <cellStyle name="20% - Accent5 82 4" xfId="16298"/>
    <cellStyle name="20% - Accent5 82 5" xfId="16299"/>
    <cellStyle name="20% - Accent5 83" xfId="16300"/>
    <cellStyle name="20% - Accent5 83 2" xfId="16301"/>
    <cellStyle name="20% - Accent5 83 2 2" xfId="16302"/>
    <cellStyle name="20% - Accent5 83 2 3" xfId="16303"/>
    <cellStyle name="20% - Accent5 83 3" xfId="16304"/>
    <cellStyle name="20% - Accent5 83 3 2" xfId="16305"/>
    <cellStyle name="20% - Accent5 83 4" xfId="16306"/>
    <cellStyle name="20% - Accent5 83 5" xfId="16307"/>
    <cellStyle name="20% - Accent5 84" xfId="16308"/>
    <cellStyle name="20% - Accent5 84 2" xfId="16309"/>
    <cellStyle name="20% - Accent5 84 2 2" xfId="16310"/>
    <cellStyle name="20% - Accent5 84 2 3" xfId="16311"/>
    <cellStyle name="20% - Accent5 84 3" xfId="16312"/>
    <cellStyle name="20% - Accent5 84 3 2" xfId="16313"/>
    <cellStyle name="20% - Accent5 84 4" xfId="16314"/>
    <cellStyle name="20% - Accent5 84 5" xfId="16315"/>
    <cellStyle name="20% - Accent5 85" xfId="16316"/>
    <cellStyle name="20% - Accent5 85 2" xfId="16317"/>
    <cellStyle name="20% - Accent5 85 2 2" xfId="16318"/>
    <cellStyle name="20% - Accent5 85 2 3" xfId="16319"/>
    <cellStyle name="20% - Accent5 85 3" xfId="16320"/>
    <cellStyle name="20% - Accent5 85 3 2" xfId="16321"/>
    <cellStyle name="20% - Accent5 85 4" xfId="16322"/>
    <cellStyle name="20% - Accent5 85 5" xfId="16323"/>
    <cellStyle name="20% - Accent5 86" xfId="16324"/>
    <cellStyle name="20% - Accent5 86 2" xfId="16325"/>
    <cellStyle name="20% - Accent5 86 2 2" xfId="16326"/>
    <cellStyle name="20% - Accent5 86 2 3" xfId="16327"/>
    <cellStyle name="20% - Accent5 86 3" xfId="16328"/>
    <cellStyle name="20% - Accent5 86 3 2" xfId="16329"/>
    <cellStyle name="20% - Accent5 86 4" xfId="16330"/>
    <cellStyle name="20% - Accent5 86 5" xfId="16331"/>
    <cellStyle name="20% - Accent5 87" xfId="16332"/>
    <cellStyle name="20% - Accent5 87 2" xfId="16333"/>
    <cellStyle name="20% - Accent5 87 2 2" xfId="16334"/>
    <cellStyle name="20% - Accent5 87 2 3" xfId="16335"/>
    <cellStyle name="20% - Accent5 87 3" xfId="16336"/>
    <cellStyle name="20% - Accent5 87 3 2" xfId="16337"/>
    <cellStyle name="20% - Accent5 87 4" xfId="16338"/>
    <cellStyle name="20% - Accent5 87 5" xfId="16339"/>
    <cellStyle name="20% - Accent5 88" xfId="16340"/>
    <cellStyle name="20% - Accent5 88 2" xfId="16341"/>
    <cellStyle name="20% - Accent5 88 2 2" xfId="16342"/>
    <cellStyle name="20% - Accent5 88 2 3" xfId="16343"/>
    <cellStyle name="20% - Accent5 88 3" xfId="16344"/>
    <cellStyle name="20% - Accent5 88 3 2" xfId="16345"/>
    <cellStyle name="20% - Accent5 88 4" xfId="16346"/>
    <cellStyle name="20% - Accent5 88 5" xfId="16347"/>
    <cellStyle name="20% - Accent5 89" xfId="16348"/>
    <cellStyle name="20% - Accent5 89 2" xfId="16349"/>
    <cellStyle name="20% - Accent5 89 2 2" xfId="16350"/>
    <cellStyle name="20% - Accent5 89 2 3" xfId="16351"/>
    <cellStyle name="20% - Accent5 89 3" xfId="16352"/>
    <cellStyle name="20% - Accent5 89 3 2" xfId="16353"/>
    <cellStyle name="20% - Accent5 89 4" xfId="16354"/>
    <cellStyle name="20% - Accent5 89 5" xfId="16355"/>
    <cellStyle name="20% - Accent5 9" xfId="16356"/>
    <cellStyle name="20% - Accent5 9 2" xfId="16357"/>
    <cellStyle name="20% - Accent5 9 3" xfId="16358"/>
    <cellStyle name="20% - Accent5 9 4" xfId="16359"/>
    <cellStyle name="20% - Accent5 9 5" xfId="16360"/>
    <cellStyle name="20% - Accent5 9 6" xfId="16361"/>
    <cellStyle name="20% - Accent5 9 7" xfId="16362"/>
    <cellStyle name="20% - Accent5 9 8" xfId="16363"/>
    <cellStyle name="20% - Accent5 9 8 2" xfId="16364"/>
    <cellStyle name="20% - Accent5 9_2009 Actual" xfId="16365"/>
    <cellStyle name="20% - Accent5 90" xfId="16366"/>
    <cellStyle name="20% - Accent5 90 2" xfId="16367"/>
    <cellStyle name="20% - Accent5 90 2 2" xfId="16368"/>
    <cellStyle name="20% - Accent5 90 2 3" xfId="16369"/>
    <cellStyle name="20% - Accent5 90 3" xfId="16370"/>
    <cellStyle name="20% - Accent5 90 3 2" xfId="16371"/>
    <cellStyle name="20% - Accent5 90 4" xfId="16372"/>
    <cellStyle name="20% - Accent5 90 5" xfId="16373"/>
    <cellStyle name="20% - Accent5 91" xfId="16374"/>
    <cellStyle name="20% - Accent5 91 2" xfId="16375"/>
    <cellStyle name="20% - Accent5 91 2 2" xfId="16376"/>
    <cellStyle name="20% - Accent5 91 2 3" xfId="16377"/>
    <cellStyle name="20% - Accent5 91 3" xfId="16378"/>
    <cellStyle name="20% - Accent5 91 3 2" xfId="16379"/>
    <cellStyle name="20% - Accent5 91 4" xfId="16380"/>
    <cellStyle name="20% - Accent5 91 5" xfId="16381"/>
    <cellStyle name="20% - Accent5 92" xfId="16382"/>
    <cellStyle name="20% - Accent5 92 2" xfId="16383"/>
    <cellStyle name="20% - Accent5 92 2 2" xfId="16384"/>
    <cellStyle name="20% - Accent5 92 2 3" xfId="16385"/>
    <cellStyle name="20% - Accent5 92 3" xfId="16386"/>
    <cellStyle name="20% - Accent5 92 3 2" xfId="16387"/>
    <cellStyle name="20% - Accent5 92 4" xfId="16388"/>
    <cellStyle name="20% - Accent5 92 5" xfId="16389"/>
    <cellStyle name="20% - Accent5 93" xfId="16390"/>
    <cellStyle name="20% - Accent5 93 2" xfId="16391"/>
    <cellStyle name="20% - Accent5 93 2 2" xfId="16392"/>
    <cellStyle name="20% - Accent5 93 2 3" xfId="16393"/>
    <cellStyle name="20% - Accent5 93 3" xfId="16394"/>
    <cellStyle name="20% - Accent5 93 3 2" xfId="16395"/>
    <cellStyle name="20% - Accent5 93 4" xfId="16396"/>
    <cellStyle name="20% - Accent5 93 5" xfId="16397"/>
    <cellStyle name="20% - Accent5 94" xfId="16398"/>
    <cellStyle name="20% - Accent5 94 2" xfId="16399"/>
    <cellStyle name="20% - Accent5 94 2 2" xfId="16400"/>
    <cellStyle name="20% - Accent5 94 2 3" xfId="16401"/>
    <cellStyle name="20% - Accent5 94 3" xfId="16402"/>
    <cellStyle name="20% - Accent5 94 3 2" xfId="16403"/>
    <cellStyle name="20% - Accent5 94 4" xfId="16404"/>
    <cellStyle name="20% - Accent5 94 5" xfId="16405"/>
    <cellStyle name="20% - Accent5 95" xfId="16406"/>
    <cellStyle name="20% - Accent5 95 2" xfId="16407"/>
    <cellStyle name="20% - Accent5 95 2 2" xfId="16408"/>
    <cellStyle name="20% - Accent5 95 3" xfId="16409"/>
    <cellStyle name="20% - Accent5 95 4" xfId="16410"/>
    <cellStyle name="20% - Accent5 96" xfId="16411"/>
    <cellStyle name="20% - Accent5 96 2" xfId="16412"/>
    <cellStyle name="20% - Accent5 96 2 2" xfId="16413"/>
    <cellStyle name="20% - Accent5 96 3" xfId="16414"/>
    <cellStyle name="20% - Accent5 96 4" xfId="16415"/>
    <cellStyle name="20% - Accent5 97" xfId="16416"/>
    <cellStyle name="20% - Accent5 97 2" xfId="16417"/>
    <cellStyle name="20% - Accent5 97 2 2" xfId="16418"/>
    <cellStyle name="20% - Accent5 97 3" xfId="16419"/>
    <cellStyle name="20% - Accent5 97 4" xfId="16420"/>
    <cellStyle name="20% - Accent5 98" xfId="16421"/>
    <cellStyle name="20% - Accent5 98 2" xfId="16422"/>
    <cellStyle name="20% - Accent5 98 2 2" xfId="16423"/>
    <cellStyle name="20% - Accent5 98 3" xfId="16424"/>
    <cellStyle name="20% - Accent5 98 4" xfId="16425"/>
    <cellStyle name="20% - Accent5 99" xfId="16426"/>
    <cellStyle name="20% - Accent5 99 2" xfId="16427"/>
    <cellStyle name="20% - Accent5 99 2 2" xfId="16428"/>
    <cellStyle name="20% - Accent5 99 3" xfId="16429"/>
    <cellStyle name="20% - Accent5 99 4" xfId="16430"/>
    <cellStyle name="20% - Accent6" xfId="142" builtinId="50"/>
    <cellStyle name="20% - Accent6 10" xfId="16431"/>
    <cellStyle name="20% - Accent6 10 2" xfId="16432"/>
    <cellStyle name="20% - Accent6 10 2 2" xfId="16433"/>
    <cellStyle name="20% - Accent6 10 2 3" xfId="16434"/>
    <cellStyle name="20% - Accent6 10 3" xfId="16435"/>
    <cellStyle name="20% - Accent6 10 3 2" xfId="16436"/>
    <cellStyle name="20% - Accent6 10 3 3" xfId="16437"/>
    <cellStyle name="20% - Accent6 10 4" xfId="16438"/>
    <cellStyle name="20% - Accent6 10 4 2" xfId="16439"/>
    <cellStyle name="20% - Accent6 10 4 3" xfId="16440"/>
    <cellStyle name="20% - Accent6 10 5" xfId="16441"/>
    <cellStyle name="20% - Accent6 10 5 2" xfId="16442"/>
    <cellStyle name="20% - Accent6 10 5 3" xfId="16443"/>
    <cellStyle name="20% - Accent6 10 6" xfId="16444"/>
    <cellStyle name="20% - Accent6 10 6 2" xfId="16445"/>
    <cellStyle name="20% - Accent6 10 6 3" xfId="16446"/>
    <cellStyle name="20% - Accent6 10 7" xfId="16447"/>
    <cellStyle name="20% - Accent6 10 7 2" xfId="16448"/>
    <cellStyle name="20% - Accent6 10 7 3" xfId="16449"/>
    <cellStyle name="20% - Accent6 10 8" xfId="16450"/>
    <cellStyle name="20% - Accent6 10 9" xfId="16451"/>
    <cellStyle name="20% - Accent6 10_2009 Actual" xfId="16452"/>
    <cellStyle name="20% - Accent6 100" xfId="16453"/>
    <cellStyle name="20% - Accent6 100 2" xfId="16454"/>
    <cellStyle name="20% - Accent6 101" xfId="16455"/>
    <cellStyle name="20% - Accent6 102" xfId="16456"/>
    <cellStyle name="20% - Accent6 103" xfId="16457"/>
    <cellStyle name="20% - Accent6 104" xfId="16458"/>
    <cellStyle name="20% - Accent6 105" xfId="16459"/>
    <cellStyle name="20% - Accent6 106" xfId="16460"/>
    <cellStyle name="20% - Accent6 107" xfId="16461"/>
    <cellStyle name="20% - Accent6 108" xfId="16462"/>
    <cellStyle name="20% - Accent6 109" xfId="16463"/>
    <cellStyle name="20% - Accent6 11" xfId="16464"/>
    <cellStyle name="20% - Accent6 11 2" xfId="16465"/>
    <cellStyle name="20% - Accent6 11 2 2" xfId="16466"/>
    <cellStyle name="20% - Accent6 11 2 3" xfId="16467"/>
    <cellStyle name="20% - Accent6 11 3" xfId="16468"/>
    <cellStyle name="20% - Accent6 11 3 2" xfId="16469"/>
    <cellStyle name="20% - Accent6 11 3 3" xfId="16470"/>
    <cellStyle name="20% - Accent6 11 4" xfId="16471"/>
    <cellStyle name="20% - Accent6 11 4 2" xfId="16472"/>
    <cellStyle name="20% - Accent6 11 4 3" xfId="16473"/>
    <cellStyle name="20% - Accent6 11 5" xfId="16474"/>
    <cellStyle name="20% - Accent6 11 5 2" xfId="16475"/>
    <cellStyle name="20% - Accent6 11 5 3" xfId="16476"/>
    <cellStyle name="20% - Accent6 11 6" xfId="16477"/>
    <cellStyle name="20% - Accent6 11 6 2" xfId="16478"/>
    <cellStyle name="20% - Accent6 11 6 3" xfId="16479"/>
    <cellStyle name="20% - Accent6 11 7" xfId="16480"/>
    <cellStyle name="20% - Accent6 11 7 2" xfId="16481"/>
    <cellStyle name="20% - Accent6 11 7 3" xfId="16482"/>
    <cellStyle name="20% - Accent6 11 8" xfId="16483"/>
    <cellStyle name="20% - Accent6 11 9" xfId="16484"/>
    <cellStyle name="20% - Accent6 11_2009 Actual" xfId="16485"/>
    <cellStyle name="20% - Accent6 110" xfId="16486"/>
    <cellStyle name="20% - Accent6 111" xfId="16487"/>
    <cellStyle name="20% - Accent6 112" xfId="16488"/>
    <cellStyle name="20% - Accent6 113" xfId="16489"/>
    <cellStyle name="20% - Accent6 114" xfId="16490"/>
    <cellStyle name="20% - Accent6 115" xfId="16491"/>
    <cellStyle name="20% - Accent6 116" xfId="16492"/>
    <cellStyle name="20% - Accent6 117" xfId="16493"/>
    <cellStyle name="20% - Accent6 118" xfId="16494"/>
    <cellStyle name="20% - Accent6 119" xfId="16495"/>
    <cellStyle name="20% - Accent6 12" xfId="16496"/>
    <cellStyle name="20% - Accent6 12 10" xfId="16497"/>
    <cellStyle name="20% - Accent6 12 11" xfId="16498"/>
    <cellStyle name="20% - Accent6 12 11 2" xfId="16499"/>
    <cellStyle name="20% - Accent6 12 11 3" xfId="16500"/>
    <cellStyle name="20% - Accent6 12 2" xfId="16501"/>
    <cellStyle name="20% - Accent6 12 2 2" xfId="16502"/>
    <cellStyle name="20% - Accent6 12 2 3" xfId="16503"/>
    <cellStyle name="20% - Accent6 12 2_Elec Margin Analysis" xfId="16504"/>
    <cellStyle name="20% - Accent6 12 3" xfId="16505"/>
    <cellStyle name="20% - Accent6 12 3 2" xfId="16506"/>
    <cellStyle name="20% - Accent6 12 3 3" xfId="16507"/>
    <cellStyle name="20% - Accent6 12 3_Elec Margin Analysis" xfId="16508"/>
    <cellStyle name="20% - Accent6 12 4" xfId="16509"/>
    <cellStyle name="20% - Accent6 12 4 2" xfId="16510"/>
    <cellStyle name="20% - Accent6 12 4 3" xfId="16511"/>
    <cellStyle name="20% - Accent6 12 4_Elec Margin Analysis" xfId="16512"/>
    <cellStyle name="20% - Accent6 12 5" xfId="16513"/>
    <cellStyle name="20% - Accent6 12 5 2" xfId="16514"/>
    <cellStyle name="20% - Accent6 12 5 3" xfId="16515"/>
    <cellStyle name="20% - Accent6 12 5_Elec Margin Analysis" xfId="16516"/>
    <cellStyle name="20% - Accent6 12 6" xfId="16517"/>
    <cellStyle name="20% - Accent6 12 6 2" xfId="16518"/>
    <cellStyle name="20% - Accent6 12 6 3" xfId="16519"/>
    <cellStyle name="20% - Accent6 12 6 4" xfId="16520"/>
    <cellStyle name="20% - Accent6 12 6 5" xfId="16521"/>
    <cellStyle name="20% - Accent6 12 7" xfId="16522"/>
    <cellStyle name="20% - Accent6 12 8" xfId="16523"/>
    <cellStyle name="20% - Accent6 12 9" xfId="16524"/>
    <cellStyle name="20% - Accent6 12_2009 Actual" xfId="16525"/>
    <cellStyle name="20% - Accent6 120" xfId="16526"/>
    <cellStyle name="20% - Accent6 121" xfId="16527"/>
    <cellStyle name="20% - Accent6 122" xfId="16528"/>
    <cellStyle name="20% - Accent6 13" xfId="16529"/>
    <cellStyle name="20% - Accent6 13 2" xfId="16530"/>
    <cellStyle name="20% - Accent6 13 3" xfId="16531"/>
    <cellStyle name="20% - Accent6 13 4" xfId="16532"/>
    <cellStyle name="20% - Accent6 13 5" xfId="16533"/>
    <cellStyle name="20% - Accent6 13 6" xfId="16534"/>
    <cellStyle name="20% - Accent6 13 7" xfId="16535"/>
    <cellStyle name="20% - Accent6 13_2009 Actual" xfId="16536"/>
    <cellStyle name="20% - Accent6 14" xfId="16537"/>
    <cellStyle name="20% - Accent6 14 2" xfId="16538"/>
    <cellStyle name="20% - Accent6 14 3" xfId="16539"/>
    <cellStyle name="20% - Accent6 14 4" xfId="16540"/>
    <cellStyle name="20% - Accent6 14 5" xfId="16541"/>
    <cellStyle name="20% - Accent6 14 6" xfId="16542"/>
    <cellStyle name="20% - Accent6 14 7" xfId="16543"/>
    <cellStyle name="20% - Accent6 14_2009 Actual" xfId="16544"/>
    <cellStyle name="20% - Accent6 15" xfId="16545"/>
    <cellStyle name="20% - Accent6 15 2" xfId="16546"/>
    <cellStyle name="20% - Accent6 15 2 2" xfId="16547"/>
    <cellStyle name="20% - Accent6 15 2 3" xfId="16548"/>
    <cellStyle name="20% - Accent6 15 3" xfId="16549"/>
    <cellStyle name="20% - Accent6 15 3 2" xfId="16550"/>
    <cellStyle name="20% - Accent6 15 3 3" xfId="16551"/>
    <cellStyle name="20% - Accent6 15 4" xfId="16552"/>
    <cellStyle name="20% - Accent6 15 4 2" xfId="16553"/>
    <cellStyle name="20% - Accent6 15 4 3" xfId="16554"/>
    <cellStyle name="20% - Accent6 15 5" xfId="16555"/>
    <cellStyle name="20% - Accent6 15 5 2" xfId="16556"/>
    <cellStyle name="20% - Accent6 15 5 3" xfId="16557"/>
    <cellStyle name="20% - Accent6 15 6" xfId="16558"/>
    <cellStyle name="20% - Accent6 15 7" xfId="16559"/>
    <cellStyle name="20% - Accent6 15_BHP" xfId="16560"/>
    <cellStyle name="20% - Accent6 16" xfId="16561"/>
    <cellStyle name="20% - Accent6 16 2" xfId="16562"/>
    <cellStyle name="20% - Accent6 16 3" xfId="16563"/>
    <cellStyle name="20% - Accent6 17" xfId="16564"/>
    <cellStyle name="20% - Accent6 17 2" xfId="16565"/>
    <cellStyle name="20% - Accent6 17 3" xfId="16566"/>
    <cellStyle name="20% - Accent6 18" xfId="16567"/>
    <cellStyle name="20% - Accent6 18 2" xfId="16568"/>
    <cellStyle name="20% - Accent6 18 3" xfId="16569"/>
    <cellStyle name="20% - Accent6 19" xfId="16570"/>
    <cellStyle name="20% - Accent6 19 2" xfId="16571"/>
    <cellStyle name="20% - Accent6 19 2 2" xfId="16572"/>
    <cellStyle name="20% - Accent6 19 2 3" xfId="16573"/>
    <cellStyle name="20% - Accent6 19 3" xfId="16574"/>
    <cellStyle name="20% - Accent6 19 3 2" xfId="16575"/>
    <cellStyle name="20% - Accent6 19 3 3" xfId="16576"/>
    <cellStyle name="20% - Accent6 19_Elec Margin Analysis" xfId="16577"/>
    <cellStyle name="20% - Accent6 2" xfId="47"/>
    <cellStyle name="20% - Accent6 2 10" xfId="16578"/>
    <cellStyle name="20% - Accent6 2 10 2" xfId="16579"/>
    <cellStyle name="20% - Accent6 2 10 3" xfId="16580"/>
    <cellStyle name="20% - Accent6 2 10 4" xfId="16581"/>
    <cellStyle name="20% - Accent6 2 10 5" xfId="16582"/>
    <cellStyle name="20% - Accent6 2 10 5 2" xfId="16583"/>
    <cellStyle name="20% - Accent6 2 10_BHP" xfId="16584"/>
    <cellStyle name="20% - Accent6 2 100" xfId="16585"/>
    <cellStyle name="20% - Accent6 2 100 2" xfId="16586"/>
    <cellStyle name="20% - Accent6 2 100 2 2" xfId="16587"/>
    <cellStyle name="20% - Accent6 2 100 3" xfId="16588"/>
    <cellStyle name="20% - Accent6 2 100 4" xfId="16589"/>
    <cellStyle name="20% - Accent6 2 101" xfId="16590"/>
    <cellStyle name="20% - Accent6 2 101 2" xfId="16591"/>
    <cellStyle name="20% - Accent6 2 101 2 2" xfId="16592"/>
    <cellStyle name="20% - Accent6 2 101 3" xfId="16593"/>
    <cellStyle name="20% - Accent6 2 101 4" xfId="16594"/>
    <cellStyle name="20% - Accent6 2 102" xfId="16595"/>
    <cellStyle name="20% - Accent6 2 102 2" xfId="16596"/>
    <cellStyle name="20% - Accent6 2 102 2 2" xfId="16597"/>
    <cellStyle name="20% - Accent6 2 102 3" xfId="16598"/>
    <cellStyle name="20% - Accent6 2 102 4" xfId="16599"/>
    <cellStyle name="20% - Accent6 2 103" xfId="16600"/>
    <cellStyle name="20% - Accent6 2 103 2" xfId="16601"/>
    <cellStyle name="20% - Accent6 2 103 2 2" xfId="16602"/>
    <cellStyle name="20% - Accent6 2 103 3" xfId="16603"/>
    <cellStyle name="20% - Accent6 2 103 4" xfId="16604"/>
    <cellStyle name="20% - Accent6 2 104" xfId="16605"/>
    <cellStyle name="20% - Accent6 2 104 2" xfId="16606"/>
    <cellStyle name="20% - Accent6 2 104 2 2" xfId="16607"/>
    <cellStyle name="20% - Accent6 2 104 3" xfId="16608"/>
    <cellStyle name="20% - Accent6 2 104 4" xfId="16609"/>
    <cellStyle name="20% - Accent6 2 105" xfId="16610"/>
    <cellStyle name="20% - Accent6 2 105 2" xfId="16611"/>
    <cellStyle name="20% - Accent6 2 105 2 2" xfId="16612"/>
    <cellStyle name="20% - Accent6 2 105 3" xfId="16613"/>
    <cellStyle name="20% - Accent6 2 105 4" xfId="16614"/>
    <cellStyle name="20% - Accent6 2 106" xfId="16615"/>
    <cellStyle name="20% - Accent6 2 106 2" xfId="16616"/>
    <cellStyle name="20% - Accent6 2 106 2 2" xfId="16617"/>
    <cellStyle name="20% - Accent6 2 106 3" xfId="16618"/>
    <cellStyle name="20% - Accent6 2 106 4" xfId="16619"/>
    <cellStyle name="20% - Accent6 2 107" xfId="16620"/>
    <cellStyle name="20% - Accent6 2 107 2" xfId="16621"/>
    <cellStyle name="20% - Accent6 2 107 2 2" xfId="16622"/>
    <cellStyle name="20% - Accent6 2 107 3" xfId="16623"/>
    <cellStyle name="20% - Accent6 2 107 4" xfId="16624"/>
    <cellStyle name="20% - Accent6 2 108" xfId="16625"/>
    <cellStyle name="20% - Accent6 2 108 2" xfId="16626"/>
    <cellStyle name="20% - Accent6 2 108 2 2" xfId="16627"/>
    <cellStyle name="20% - Accent6 2 108 3" xfId="16628"/>
    <cellStyle name="20% - Accent6 2 108 4" xfId="16629"/>
    <cellStyle name="20% - Accent6 2 109" xfId="16630"/>
    <cellStyle name="20% - Accent6 2 109 2" xfId="16631"/>
    <cellStyle name="20% - Accent6 2 109 2 2" xfId="16632"/>
    <cellStyle name="20% - Accent6 2 109 3" xfId="16633"/>
    <cellStyle name="20% - Accent6 2 109 4" xfId="16634"/>
    <cellStyle name="20% - Accent6 2 11" xfId="16635"/>
    <cellStyle name="20% - Accent6 2 11 2" xfId="16636"/>
    <cellStyle name="20% - Accent6 2 11 3" xfId="16637"/>
    <cellStyle name="20% - Accent6 2 11 4" xfId="16638"/>
    <cellStyle name="20% - Accent6 2 11 5" xfId="16639"/>
    <cellStyle name="20% - Accent6 2 110" xfId="16640"/>
    <cellStyle name="20% - Accent6 2 110 2" xfId="16641"/>
    <cellStyle name="20% - Accent6 2 110 2 2" xfId="16642"/>
    <cellStyle name="20% - Accent6 2 110 3" xfId="16643"/>
    <cellStyle name="20% - Accent6 2 110 4" xfId="16644"/>
    <cellStyle name="20% - Accent6 2 111" xfId="16645"/>
    <cellStyle name="20% - Accent6 2 111 2" xfId="16646"/>
    <cellStyle name="20% - Accent6 2 111 2 2" xfId="16647"/>
    <cellStyle name="20% - Accent6 2 111 3" xfId="16648"/>
    <cellStyle name="20% - Accent6 2 111 4" xfId="16649"/>
    <cellStyle name="20% - Accent6 2 112" xfId="16650"/>
    <cellStyle name="20% - Accent6 2 112 2" xfId="16651"/>
    <cellStyle name="20% - Accent6 2 112 2 2" xfId="16652"/>
    <cellStyle name="20% - Accent6 2 112 3" xfId="16653"/>
    <cellStyle name="20% - Accent6 2 112 4" xfId="16654"/>
    <cellStyle name="20% - Accent6 2 113" xfId="16655"/>
    <cellStyle name="20% - Accent6 2 113 2" xfId="16656"/>
    <cellStyle name="20% - Accent6 2 113 2 2" xfId="16657"/>
    <cellStyle name="20% - Accent6 2 113 3" xfId="16658"/>
    <cellStyle name="20% - Accent6 2 113 4" xfId="16659"/>
    <cellStyle name="20% - Accent6 2 114" xfId="16660"/>
    <cellStyle name="20% - Accent6 2 114 2" xfId="16661"/>
    <cellStyle name="20% - Accent6 2 114 2 2" xfId="16662"/>
    <cellStyle name="20% - Accent6 2 114 3" xfId="16663"/>
    <cellStyle name="20% - Accent6 2 114 4" xfId="16664"/>
    <cellStyle name="20% - Accent6 2 115" xfId="16665"/>
    <cellStyle name="20% - Accent6 2 115 2" xfId="16666"/>
    <cellStyle name="20% - Accent6 2 115 2 2" xfId="16667"/>
    <cellStyle name="20% - Accent6 2 115 3" xfId="16668"/>
    <cellStyle name="20% - Accent6 2 115 4" xfId="16669"/>
    <cellStyle name="20% - Accent6 2 116" xfId="16670"/>
    <cellStyle name="20% - Accent6 2 116 2" xfId="16671"/>
    <cellStyle name="20% - Accent6 2 116 2 2" xfId="16672"/>
    <cellStyle name="20% - Accent6 2 116 3" xfId="16673"/>
    <cellStyle name="20% - Accent6 2 116 4" xfId="16674"/>
    <cellStyle name="20% - Accent6 2 117" xfId="16675"/>
    <cellStyle name="20% - Accent6 2 117 2" xfId="16676"/>
    <cellStyle name="20% - Accent6 2 117 2 2" xfId="16677"/>
    <cellStyle name="20% - Accent6 2 117 3" xfId="16678"/>
    <cellStyle name="20% - Accent6 2 117 4" xfId="16679"/>
    <cellStyle name="20% - Accent6 2 118" xfId="16680"/>
    <cellStyle name="20% - Accent6 2 118 2" xfId="16681"/>
    <cellStyle name="20% - Accent6 2 119" xfId="16682"/>
    <cellStyle name="20% - Accent6 2 119 2" xfId="16683"/>
    <cellStyle name="20% - Accent6 2 12" xfId="16684"/>
    <cellStyle name="20% - Accent6 2 12 2" xfId="16685"/>
    <cellStyle name="20% - Accent6 2 120" xfId="16686"/>
    <cellStyle name="20% - Accent6 2 120 2" xfId="16687"/>
    <cellStyle name="20% - Accent6 2 121" xfId="16688"/>
    <cellStyle name="20% - Accent6 2 121 2" xfId="16689"/>
    <cellStyle name="20% - Accent6 2 122" xfId="16690"/>
    <cellStyle name="20% - Accent6 2 123" xfId="16691"/>
    <cellStyle name="20% - Accent6 2 124" xfId="16692"/>
    <cellStyle name="20% - Accent6 2 125" xfId="16693"/>
    <cellStyle name="20% - Accent6 2 126" xfId="16694"/>
    <cellStyle name="20% - Accent6 2 127" xfId="16695"/>
    <cellStyle name="20% - Accent6 2 128" xfId="16696"/>
    <cellStyle name="20% - Accent6 2 129" xfId="16697"/>
    <cellStyle name="20% - Accent6 2 13" xfId="16698"/>
    <cellStyle name="20% - Accent6 2 130" xfId="16699"/>
    <cellStyle name="20% - Accent6 2 131" xfId="16700"/>
    <cellStyle name="20% - Accent6 2 132" xfId="16701"/>
    <cellStyle name="20% - Accent6 2 133" xfId="16702"/>
    <cellStyle name="20% - Accent6 2 134" xfId="16703"/>
    <cellStyle name="20% - Accent6 2 135" xfId="16704"/>
    <cellStyle name="20% - Accent6 2 136" xfId="16705"/>
    <cellStyle name="20% - Accent6 2 137" xfId="16706"/>
    <cellStyle name="20% - Accent6 2 138" xfId="16707"/>
    <cellStyle name="20% - Accent6 2 139" xfId="16708"/>
    <cellStyle name="20% - Accent6 2 14" xfId="16709"/>
    <cellStyle name="20% - Accent6 2 140" xfId="16710"/>
    <cellStyle name="20% - Accent6 2 141" xfId="16711"/>
    <cellStyle name="20% - Accent6 2 142" xfId="16712"/>
    <cellStyle name="20% - Accent6 2 15" xfId="16713"/>
    <cellStyle name="20% - Accent6 2 15 2" xfId="16714"/>
    <cellStyle name="20% - Accent6 2 15 3" xfId="16715"/>
    <cellStyle name="20% - Accent6 2 16" xfId="16716"/>
    <cellStyle name="20% - Accent6 2 17" xfId="16717"/>
    <cellStyle name="20% - Accent6 2 18" xfId="16718"/>
    <cellStyle name="20% - Accent6 2 18 2" xfId="16719"/>
    <cellStyle name="20% - Accent6 2 18 2 2" xfId="16720"/>
    <cellStyle name="20% - Accent6 2 18 2 2 2" xfId="16721"/>
    <cellStyle name="20% - Accent6 2 18 2 2 3" xfId="16722"/>
    <cellStyle name="20% - Accent6 2 18 2 3" xfId="16723"/>
    <cellStyle name="20% - Accent6 2 18 2 3 2" xfId="16724"/>
    <cellStyle name="20% - Accent6 2 18 2 4" xfId="16725"/>
    <cellStyle name="20% - Accent6 2 18 2 5" xfId="16726"/>
    <cellStyle name="20% - Accent6 2 18 3" xfId="16727"/>
    <cellStyle name="20% - Accent6 2 18 3 2" xfId="16728"/>
    <cellStyle name="20% - Accent6 2 18 3 2 2" xfId="16729"/>
    <cellStyle name="20% - Accent6 2 18 3 3" xfId="16730"/>
    <cellStyle name="20% - Accent6 2 18 3 4" xfId="16731"/>
    <cellStyle name="20% - Accent6 2 18 4" xfId="16732"/>
    <cellStyle name="20% - Accent6 2 18 4 2" xfId="16733"/>
    <cellStyle name="20% - Accent6 2 18 4 2 2" xfId="16734"/>
    <cellStyle name="20% - Accent6 2 18 4 3" xfId="16735"/>
    <cellStyle name="20% - Accent6 2 18 4 4" xfId="16736"/>
    <cellStyle name="20% - Accent6 2 18 5" xfId="16737"/>
    <cellStyle name="20% - Accent6 2 18 5 2" xfId="16738"/>
    <cellStyle name="20% - Accent6 2 18 6" xfId="16739"/>
    <cellStyle name="20% - Accent6 2 18 7" xfId="16740"/>
    <cellStyle name="20% - Accent6 2 18 8" xfId="16741"/>
    <cellStyle name="20% - Accent6 2 19" xfId="16742"/>
    <cellStyle name="20% - Accent6 2 19 2" xfId="16743"/>
    <cellStyle name="20% - Accent6 2 19 2 2" xfId="16744"/>
    <cellStyle name="20% - Accent6 2 19 2 2 2" xfId="16745"/>
    <cellStyle name="20% - Accent6 2 19 2 2 3" xfId="16746"/>
    <cellStyle name="20% - Accent6 2 19 2 3" xfId="16747"/>
    <cellStyle name="20% - Accent6 2 19 2 3 2" xfId="16748"/>
    <cellStyle name="20% - Accent6 2 19 2 4" xfId="16749"/>
    <cellStyle name="20% - Accent6 2 19 2 5" xfId="16750"/>
    <cellStyle name="20% - Accent6 2 19 3" xfId="16751"/>
    <cellStyle name="20% - Accent6 2 19 3 2" xfId="16752"/>
    <cellStyle name="20% - Accent6 2 19 3 2 2" xfId="16753"/>
    <cellStyle name="20% - Accent6 2 19 3 3" xfId="16754"/>
    <cellStyle name="20% - Accent6 2 19 3 4" xfId="16755"/>
    <cellStyle name="20% - Accent6 2 19 4" xfId="16756"/>
    <cellStyle name="20% - Accent6 2 19 4 2" xfId="16757"/>
    <cellStyle name="20% - Accent6 2 19 4 2 2" xfId="16758"/>
    <cellStyle name="20% - Accent6 2 19 4 3" xfId="16759"/>
    <cellStyle name="20% - Accent6 2 19 4 4" xfId="16760"/>
    <cellStyle name="20% - Accent6 2 19 5" xfId="16761"/>
    <cellStyle name="20% - Accent6 2 19 5 2" xfId="16762"/>
    <cellStyle name="20% - Accent6 2 19 6" xfId="16763"/>
    <cellStyle name="20% - Accent6 2 19 7" xfId="16764"/>
    <cellStyle name="20% - Accent6 2 19 8" xfId="16765"/>
    <cellStyle name="20% - Accent6 2 2" xfId="280"/>
    <cellStyle name="20% - Accent6 2 2 10" xfId="16766"/>
    <cellStyle name="20% - Accent6 2 2 11" xfId="16767"/>
    <cellStyle name="20% - Accent6 2 2 12" xfId="16768"/>
    <cellStyle name="20% - Accent6 2 2 13" xfId="16769"/>
    <cellStyle name="20% - Accent6 2 2 14" xfId="16770"/>
    <cellStyle name="20% - Accent6 2 2 14 2" xfId="16771"/>
    <cellStyle name="20% - Accent6 2 2 14 2 2" xfId="16772"/>
    <cellStyle name="20% - Accent6 2 2 14 2 2 2" xfId="16773"/>
    <cellStyle name="20% - Accent6 2 2 14 2 2 3" xfId="16774"/>
    <cellStyle name="20% - Accent6 2 2 14 2 3" xfId="16775"/>
    <cellStyle name="20% - Accent6 2 2 14 2 3 2" xfId="16776"/>
    <cellStyle name="20% - Accent6 2 2 14 2 4" xfId="16777"/>
    <cellStyle name="20% - Accent6 2 2 14 2 5" xfId="16778"/>
    <cellStyle name="20% - Accent6 2 2 14 3" xfId="16779"/>
    <cellStyle name="20% - Accent6 2 2 14 3 2" xfId="16780"/>
    <cellStyle name="20% - Accent6 2 2 14 3 2 2" xfId="16781"/>
    <cellStyle name="20% - Accent6 2 2 14 3 3" xfId="16782"/>
    <cellStyle name="20% - Accent6 2 2 14 3 4" xfId="16783"/>
    <cellStyle name="20% - Accent6 2 2 14 4" xfId="16784"/>
    <cellStyle name="20% - Accent6 2 2 14 4 2" xfId="16785"/>
    <cellStyle name="20% - Accent6 2 2 14 4 2 2" xfId="16786"/>
    <cellStyle name="20% - Accent6 2 2 14 4 3" xfId="16787"/>
    <cellStyle name="20% - Accent6 2 2 14 4 4" xfId="16788"/>
    <cellStyle name="20% - Accent6 2 2 14 5" xfId="16789"/>
    <cellStyle name="20% - Accent6 2 2 14 5 2" xfId="16790"/>
    <cellStyle name="20% - Accent6 2 2 14 6" xfId="16791"/>
    <cellStyle name="20% - Accent6 2 2 14 7" xfId="16792"/>
    <cellStyle name="20% - Accent6 2 2 14 8" xfId="16793"/>
    <cellStyle name="20% - Accent6 2 2 15" xfId="16794"/>
    <cellStyle name="20% - Accent6 2 2 15 2" xfId="16795"/>
    <cellStyle name="20% - Accent6 2 2 15 2 2" xfId="16796"/>
    <cellStyle name="20% - Accent6 2 2 15 2 2 2" xfId="16797"/>
    <cellStyle name="20% - Accent6 2 2 15 2 2 3" xfId="16798"/>
    <cellStyle name="20% - Accent6 2 2 15 2 3" xfId="16799"/>
    <cellStyle name="20% - Accent6 2 2 15 2 3 2" xfId="16800"/>
    <cellStyle name="20% - Accent6 2 2 15 2 4" xfId="16801"/>
    <cellStyle name="20% - Accent6 2 2 15 2 5" xfId="16802"/>
    <cellStyle name="20% - Accent6 2 2 15 3" xfId="16803"/>
    <cellStyle name="20% - Accent6 2 2 15 3 2" xfId="16804"/>
    <cellStyle name="20% - Accent6 2 2 15 3 2 2" xfId="16805"/>
    <cellStyle name="20% - Accent6 2 2 15 3 3" xfId="16806"/>
    <cellStyle name="20% - Accent6 2 2 15 3 4" xfId="16807"/>
    <cellStyle name="20% - Accent6 2 2 15 4" xfId="16808"/>
    <cellStyle name="20% - Accent6 2 2 15 4 2" xfId="16809"/>
    <cellStyle name="20% - Accent6 2 2 15 4 2 2" xfId="16810"/>
    <cellStyle name="20% - Accent6 2 2 15 4 3" xfId="16811"/>
    <cellStyle name="20% - Accent6 2 2 15 4 4" xfId="16812"/>
    <cellStyle name="20% - Accent6 2 2 15 5" xfId="16813"/>
    <cellStyle name="20% - Accent6 2 2 15 5 2" xfId="16814"/>
    <cellStyle name="20% - Accent6 2 2 15 6" xfId="16815"/>
    <cellStyle name="20% - Accent6 2 2 15 7" xfId="16816"/>
    <cellStyle name="20% - Accent6 2 2 15 8" xfId="16817"/>
    <cellStyle name="20% - Accent6 2 2 16" xfId="16818"/>
    <cellStyle name="20% - Accent6 2 2 16 2" xfId="16819"/>
    <cellStyle name="20% - Accent6 2 2 16 2 2" xfId="16820"/>
    <cellStyle name="20% - Accent6 2 2 16 2 2 2" xfId="16821"/>
    <cellStyle name="20% - Accent6 2 2 16 2 2 3" xfId="16822"/>
    <cellStyle name="20% - Accent6 2 2 16 2 3" xfId="16823"/>
    <cellStyle name="20% - Accent6 2 2 16 2 3 2" xfId="16824"/>
    <cellStyle name="20% - Accent6 2 2 16 2 4" xfId="16825"/>
    <cellStyle name="20% - Accent6 2 2 16 2 5" xfId="16826"/>
    <cellStyle name="20% - Accent6 2 2 16 3" xfId="16827"/>
    <cellStyle name="20% - Accent6 2 2 16 3 2" xfId="16828"/>
    <cellStyle name="20% - Accent6 2 2 16 3 2 2" xfId="16829"/>
    <cellStyle name="20% - Accent6 2 2 16 3 3" xfId="16830"/>
    <cellStyle name="20% - Accent6 2 2 16 3 4" xfId="16831"/>
    <cellStyle name="20% - Accent6 2 2 16 4" xfId="16832"/>
    <cellStyle name="20% - Accent6 2 2 16 4 2" xfId="16833"/>
    <cellStyle name="20% - Accent6 2 2 16 4 2 2" xfId="16834"/>
    <cellStyle name="20% - Accent6 2 2 16 4 3" xfId="16835"/>
    <cellStyle name="20% - Accent6 2 2 16 4 4" xfId="16836"/>
    <cellStyle name="20% - Accent6 2 2 16 5" xfId="16837"/>
    <cellStyle name="20% - Accent6 2 2 16 5 2" xfId="16838"/>
    <cellStyle name="20% - Accent6 2 2 16 6" xfId="16839"/>
    <cellStyle name="20% - Accent6 2 2 16 7" xfId="16840"/>
    <cellStyle name="20% - Accent6 2 2 16 8" xfId="16841"/>
    <cellStyle name="20% - Accent6 2 2 2" xfId="16842"/>
    <cellStyle name="20% - Accent6 2 2 2 10" xfId="16843"/>
    <cellStyle name="20% - Accent6 2 2 2 10 2" xfId="16844"/>
    <cellStyle name="20% - Accent6 2 2 2 10 3" xfId="16845"/>
    <cellStyle name="20% - Accent6 2 2 2 11" xfId="16846"/>
    <cellStyle name="20% - Accent6 2 2 2 12" xfId="16847"/>
    <cellStyle name="20% - Accent6 2 2 2 13" xfId="16848"/>
    <cellStyle name="20% - Accent6 2 2 2 2" xfId="16849"/>
    <cellStyle name="20% - Accent6 2 2 2 2 2" xfId="16850"/>
    <cellStyle name="20% - Accent6 2 2 2 2 3" xfId="16851"/>
    <cellStyle name="20% - Accent6 2 2 2 3" xfId="16852"/>
    <cellStyle name="20% - Accent6 2 2 2 3 2" xfId="16853"/>
    <cellStyle name="20% - Accent6 2 2 2 3 3" xfId="16854"/>
    <cellStyle name="20% - Accent6 2 2 2 4" xfId="16855"/>
    <cellStyle name="20% - Accent6 2 2 2 4 2" xfId="16856"/>
    <cellStyle name="20% - Accent6 2 2 2 4 3" xfId="16857"/>
    <cellStyle name="20% - Accent6 2 2 2 5" xfId="16858"/>
    <cellStyle name="20% - Accent6 2 2 2 5 2" xfId="16859"/>
    <cellStyle name="20% - Accent6 2 2 2 5 3" xfId="16860"/>
    <cellStyle name="20% - Accent6 2 2 2 6" xfId="16861"/>
    <cellStyle name="20% - Accent6 2 2 2 6 2" xfId="16862"/>
    <cellStyle name="20% - Accent6 2 2 2 6 3" xfId="16863"/>
    <cellStyle name="20% - Accent6 2 2 2 7" xfId="16864"/>
    <cellStyle name="20% - Accent6 2 2 2 7 2" xfId="16865"/>
    <cellStyle name="20% - Accent6 2 2 2 7 3" xfId="16866"/>
    <cellStyle name="20% - Accent6 2 2 2 8" xfId="16867"/>
    <cellStyle name="20% - Accent6 2 2 2 8 2" xfId="16868"/>
    <cellStyle name="20% - Accent6 2 2 2 8 3" xfId="16869"/>
    <cellStyle name="20% - Accent6 2 2 2 9" xfId="16870"/>
    <cellStyle name="20% - Accent6 2 2 2 9 2" xfId="16871"/>
    <cellStyle name="20% - Accent6 2 2 2 9 3" xfId="16872"/>
    <cellStyle name="20% - Accent6 2 2 2_4Q Ops Metrics Gas &amp; Electric 2010" xfId="16873"/>
    <cellStyle name="20% - Accent6 2 2 3" xfId="16874"/>
    <cellStyle name="20% - Accent6 2 2 3 2" xfId="16875"/>
    <cellStyle name="20% - Accent6 2 2 3 3" xfId="16876"/>
    <cellStyle name="20% - Accent6 2 2 4" xfId="16877"/>
    <cellStyle name="20% - Accent6 2 2 4 2" xfId="16878"/>
    <cellStyle name="20% - Accent6 2 2 4 3" xfId="16879"/>
    <cellStyle name="20% - Accent6 2 2 5" xfId="16880"/>
    <cellStyle name="20% - Accent6 2 2 5 2" xfId="16881"/>
    <cellStyle name="20% - Accent6 2 2 5 3" xfId="16882"/>
    <cellStyle name="20% - Accent6 2 2 6" xfId="16883"/>
    <cellStyle name="20% - Accent6 2 2 6 2" xfId="16884"/>
    <cellStyle name="20% - Accent6 2 2 6 3" xfId="16885"/>
    <cellStyle name="20% - Accent6 2 2 7" xfId="16886"/>
    <cellStyle name="20% - Accent6 2 2 7 2" xfId="16887"/>
    <cellStyle name="20% - Accent6 2 2 7 3" xfId="16888"/>
    <cellStyle name="20% - Accent6 2 2 8" xfId="16889"/>
    <cellStyle name="20% - Accent6 2 2 9" xfId="16890"/>
    <cellStyle name="20% - Accent6 2 2_2009 Actual" xfId="16891"/>
    <cellStyle name="20% - Accent6 2 20" xfId="16892"/>
    <cellStyle name="20% - Accent6 2 20 2" xfId="16893"/>
    <cellStyle name="20% - Accent6 2 20 2 2" xfId="16894"/>
    <cellStyle name="20% - Accent6 2 20 2 2 2" xfId="16895"/>
    <cellStyle name="20% - Accent6 2 20 2 2 3" xfId="16896"/>
    <cellStyle name="20% - Accent6 2 20 2 3" xfId="16897"/>
    <cellStyle name="20% - Accent6 2 20 2 3 2" xfId="16898"/>
    <cellStyle name="20% - Accent6 2 20 2 4" xfId="16899"/>
    <cellStyle name="20% - Accent6 2 20 2 5" xfId="16900"/>
    <cellStyle name="20% - Accent6 2 20 3" xfId="16901"/>
    <cellStyle name="20% - Accent6 2 20 3 2" xfId="16902"/>
    <cellStyle name="20% - Accent6 2 20 3 2 2" xfId="16903"/>
    <cellStyle name="20% - Accent6 2 20 3 3" xfId="16904"/>
    <cellStyle name="20% - Accent6 2 20 3 4" xfId="16905"/>
    <cellStyle name="20% - Accent6 2 20 4" xfId="16906"/>
    <cellStyle name="20% - Accent6 2 20 4 2" xfId="16907"/>
    <cellStyle name="20% - Accent6 2 20 4 2 2" xfId="16908"/>
    <cellStyle name="20% - Accent6 2 20 4 3" xfId="16909"/>
    <cellStyle name="20% - Accent6 2 20 4 4" xfId="16910"/>
    <cellStyle name="20% - Accent6 2 20 5" xfId="16911"/>
    <cellStyle name="20% - Accent6 2 20 5 2" xfId="16912"/>
    <cellStyle name="20% - Accent6 2 20 6" xfId="16913"/>
    <cellStyle name="20% - Accent6 2 20 7" xfId="16914"/>
    <cellStyle name="20% - Accent6 2 20 8" xfId="16915"/>
    <cellStyle name="20% - Accent6 2 21" xfId="16916"/>
    <cellStyle name="20% - Accent6 2 21 2" xfId="16917"/>
    <cellStyle name="20% - Accent6 2 21 2 2" xfId="16918"/>
    <cellStyle name="20% - Accent6 2 21 2 2 2" xfId="16919"/>
    <cellStyle name="20% - Accent6 2 21 2 2 3" xfId="16920"/>
    <cellStyle name="20% - Accent6 2 21 2 3" xfId="16921"/>
    <cellStyle name="20% - Accent6 2 21 2 3 2" xfId="16922"/>
    <cellStyle name="20% - Accent6 2 21 2 4" xfId="16923"/>
    <cellStyle name="20% - Accent6 2 21 2 5" xfId="16924"/>
    <cellStyle name="20% - Accent6 2 21 3" xfId="16925"/>
    <cellStyle name="20% - Accent6 2 21 3 2" xfId="16926"/>
    <cellStyle name="20% - Accent6 2 21 3 2 2" xfId="16927"/>
    <cellStyle name="20% - Accent6 2 21 3 3" xfId="16928"/>
    <cellStyle name="20% - Accent6 2 21 3 4" xfId="16929"/>
    <cellStyle name="20% - Accent6 2 21 4" xfId="16930"/>
    <cellStyle name="20% - Accent6 2 21 4 2" xfId="16931"/>
    <cellStyle name="20% - Accent6 2 21 4 2 2" xfId="16932"/>
    <cellStyle name="20% - Accent6 2 21 4 3" xfId="16933"/>
    <cellStyle name="20% - Accent6 2 21 4 4" xfId="16934"/>
    <cellStyle name="20% - Accent6 2 21 5" xfId="16935"/>
    <cellStyle name="20% - Accent6 2 21 5 2" xfId="16936"/>
    <cellStyle name="20% - Accent6 2 21 6" xfId="16937"/>
    <cellStyle name="20% - Accent6 2 21 7" xfId="16938"/>
    <cellStyle name="20% - Accent6 2 21 8" xfId="16939"/>
    <cellStyle name="20% - Accent6 2 22" xfId="16940"/>
    <cellStyle name="20% - Accent6 2 22 2" xfId="16941"/>
    <cellStyle name="20% - Accent6 2 22 2 2" xfId="16942"/>
    <cellStyle name="20% - Accent6 2 22 2 2 2" xfId="16943"/>
    <cellStyle name="20% - Accent6 2 22 2 2 3" xfId="16944"/>
    <cellStyle name="20% - Accent6 2 22 2 3" xfId="16945"/>
    <cellStyle name="20% - Accent6 2 22 2 3 2" xfId="16946"/>
    <cellStyle name="20% - Accent6 2 22 2 4" xfId="16947"/>
    <cellStyle name="20% - Accent6 2 22 2 5" xfId="16948"/>
    <cellStyle name="20% - Accent6 2 22 3" xfId="16949"/>
    <cellStyle name="20% - Accent6 2 22 3 2" xfId="16950"/>
    <cellStyle name="20% - Accent6 2 22 3 2 2" xfId="16951"/>
    <cellStyle name="20% - Accent6 2 22 3 3" xfId="16952"/>
    <cellStyle name="20% - Accent6 2 22 3 4" xfId="16953"/>
    <cellStyle name="20% - Accent6 2 22 4" xfId="16954"/>
    <cellStyle name="20% - Accent6 2 22 4 2" xfId="16955"/>
    <cellStyle name="20% - Accent6 2 22 4 2 2" xfId="16956"/>
    <cellStyle name="20% - Accent6 2 22 4 3" xfId="16957"/>
    <cellStyle name="20% - Accent6 2 22 4 4" xfId="16958"/>
    <cellStyle name="20% - Accent6 2 22 5" xfId="16959"/>
    <cellStyle name="20% - Accent6 2 22 5 2" xfId="16960"/>
    <cellStyle name="20% - Accent6 2 22 6" xfId="16961"/>
    <cellStyle name="20% - Accent6 2 22 7" xfId="16962"/>
    <cellStyle name="20% - Accent6 2 22 8" xfId="16963"/>
    <cellStyle name="20% - Accent6 2 23" xfId="16964"/>
    <cellStyle name="20% - Accent6 2 23 2" xfId="16965"/>
    <cellStyle name="20% - Accent6 2 23 2 2" xfId="16966"/>
    <cellStyle name="20% - Accent6 2 23 2 2 2" xfId="16967"/>
    <cellStyle name="20% - Accent6 2 23 2 2 3" xfId="16968"/>
    <cellStyle name="20% - Accent6 2 23 2 3" xfId="16969"/>
    <cellStyle name="20% - Accent6 2 23 2 3 2" xfId="16970"/>
    <cellStyle name="20% - Accent6 2 23 2 4" xfId="16971"/>
    <cellStyle name="20% - Accent6 2 23 2 5" xfId="16972"/>
    <cellStyle name="20% - Accent6 2 23 3" xfId="16973"/>
    <cellStyle name="20% - Accent6 2 23 3 2" xfId="16974"/>
    <cellStyle name="20% - Accent6 2 23 3 2 2" xfId="16975"/>
    <cellStyle name="20% - Accent6 2 23 3 3" xfId="16976"/>
    <cellStyle name="20% - Accent6 2 23 3 4" xfId="16977"/>
    <cellStyle name="20% - Accent6 2 23 4" xfId="16978"/>
    <cellStyle name="20% - Accent6 2 23 4 2" xfId="16979"/>
    <cellStyle name="20% - Accent6 2 23 4 2 2" xfId="16980"/>
    <cellStyle name="20% - Accent6 2 23 4 3" xfId="16981"/>
    <cellStyle name="20% - Accent6 2 23 4 4" xfId="16982"/>
    <cellStyle name="20% - Accent6 2 23 5" xfId="16983"/>
    <cellStyle name="20% - Accent6 2 23 5 2" xfId="16984"/>
    <cellStyle name="20% - Accent6 2 23 6" xfId="16985"/>
    <cellStyle name="20% - Accent6 2 23 7" xfId="16986"/>
    <cellStyle name="20% - Accent6 2 23 8" xfId="16987"/>
    <cellStyle name="20% - Accent6 2 24" xfId="16988"/>
    <cellStyle name="20% - Accent6 2 24 2" xfId="16989"/>
    <cellStyle name="20% - Accent6 2 24 2 2" xfId="16990"/>
    <cellStyle name="20% - Accent6 2 24 2 2 2" xfId="16991"/>
    <cellStyle name="20% - Accent6 2 24 2 2 3" xfId="16992"/>
    <cellStyle name="20% - Accent6 2 24 2 3" xfId="16993"/>
    <cellStyle name="20% - Accent6 2 24 2 3 2" xfId="16994"/>
    <cellStyle name="20% - Accent6 2 24 2 4" xfId="16995"/>
    <cellStyle name="20% - Accent6 2 24 2 5" xfId="16996"/>
    <cellStyle name="20% - Accent6 2 24 3" xfId="16997"/>
    <cellStyle name="20% - Accent6 2 24 3 2" xfId="16998"/>
    <cellStyle name="20% - Accent6 2 24 3 2 2" xfId="16999"/>
    <cellStyle name="20% - Accent6 2 24 3 3" xfId="17000"/>
    <cellStyle name="20% - Accent6 2 24 3 4" xfId="17001"/>
    <cellStyle name="20% - Accent6 2 24 4" xfId="17002"/>
    <cellStyle name="20% - Accent6 2 24 4 2" xfId="17003"/>
    <cellStyle name="20% - Accent6 2 24 4 2 2" xfId="17004"/>
    <cellStyle name="20% - Accent6 2 24 4 3" xfId="17005"/>
    <cellStyle name="20% - Accent6 2 24 4 4" xfId="17006"/>
    <cellStyle name="20% - Accent6 2 24 5" xfId="17007"/>
    <cellStyle name="20% - Accent6 2 24 5 2" xfId="17008"/>
    <cellStyle name="20% - Accent6 2 24 6" xfId="17009"/>
    <cellStyle name="20% - Accent6 2 24 7" xfId="17010"/>
    <cellStyle name="20% - Accent6 2 24 8" xfId="17011"/>
    <cellStyle name="20% - Accent6 2 25" xfId="17012"/>
    <cellStyle name="20% - Accent6 2 25 2" xfId="17013"/>
    <cellStyle name="20% - Accent6 2 25 2 2" xfId="17014"/>
    <cellStyle name="20% - Accent6 2 25 2 2 2" xfId="17015"/>
    <cellStyle name="20% - Accent6 2 25 2 2 3" xfId="17016"/>
    <cellStyle name="20% - Accent6 2 25 2 3" xfId="17017"/>
    <cellStyle name="20% - Accent6 2 25 2 3 2" xfId="17018"/>
    <cellStyle name="20% - Accent6 2 25 2 4" xfId="17019"/>
    <cellStyle name="20% - Accent6 2 25 2 5" xfId="17020"/>
    <cellStyle name="20% - Accent6 2 25 3" xfId="17021"/>
    <cellStyle name="20% - Accent6 2 25 3 2" xfId="17022"/>
    <cellStyle name="20% - Accent6 2 25 3 2 2" xfId="17023"/>
    <cellStyle name="20% - Accent6 2 25 3 3" xfId="17024"/>
    <cellStyle name="20% - Accent6 2 25 3 4" xfId="17025"/>
    <cellStyle name="20% - Accent6 2 25 4" xfId="17026"/>
    <cellStyle name="20% - Accent6 2 25 4 2" xfId="17027"/>
    <cellStyle name="20% - Accent6 2 25 4 2 2" xfId="17028"/>
    <cellStyle name="20% - Accent6 2 25 4 3" xfId="17029"/>
    <cellStyle name="20% - Accent6 2 25 4 4" xfId="17030"/>
    <cellStyle name="20% - Accent6 2 25 5" xfId="17031"/>
    <cellStyle name="20% - Accent6 2 25 5 2" xfId="17032"/>
    <cellStyle name="20% - Accent6 2 25 6" xfId="17033"/>
    <cellStyle name="20% - Accent6 2 25 7" xfId="17034"/>
    <cellStyle name="20% - Accent6 2 25 8" xfId="17035"/>
    <cellStyle name="20% - Accent6 2 26" xfId="17036"/>
    <cellStyle name="20% - Accent6 2 26 2" xfId="17037"/>
    <cellStyle name="20% - Accent6 2 26 2 2" xfId="17038"/>
    <cellStyle name="20% - Accent6 2 26 2 2 2" xfId="17039"/>
    <cellStyle name="20% - Accent6 2 26 2 2 3" xfId="17040"/>
    <cellStyle name="20% - Accent6 2 26 2 3" xfId="17041"/>
    <cellStyle name="20% - Accent6 2 26 2 3 2" xfId="17042"/>
    <cellStyle name="20% - Accent6 2 26 2 4" xfId="17043"/>
    <cellStyle name="20% - Accent6 2 26 2 5" xfId="17044"/>
    <cellStyle name="20% - Accent6 2 26 3" xfId="17045"/>
    <cellStyle name="20% - Accent6 2 26 3 2" xfId="17046"/>
    <cellStyle name="20% - Accent6 2 26 3 2 2" xfId="17047"/>
    <cellStyle name="20% - Accent6 2 26 3 3" xfId="17048"/>
    <cellStyle name="20% - Accent6 2 26 3 4" xfId="17049"/>
    <cellStyle name="20% - Accent6 2 26 4" xfId="17050"/>
    <cellStyle name="20% - Accent6 2 26 4 2" xfId="17051"/>
    <cellStyle name="20% - Accent6 2 26 4 2 2" xfId="17052"/>
    <cellStyle name="20% - Accent6 2 26 4 3" xfId="17053"/>
    <cellStyle name="20% - Accent6 2 26 4 4" xfId="17054"/>
    <cellStyle name="20% - Accent6 2 26 5" xfId="17055"/>
    <cellStyle name="20% - Accent6 2 26 5 2" xfId="17056"/>
    <cellStyle name="20% - Accent6 2 26 6" xfId="17057"/>
    <cellStyle name="20% - Accent6 2 26 7" xfId="17058"/>
    <cellStyle name="20% - Accent6 2 26 8" xfId="17059"/>
    <cellStyle name="20% - Accent6 2 27" xfId="17060"/>
    <cellStyle name="20% - Accent6 2 27 2" xfId="17061"/>
    <cellStyle name="20% - Accent6 2 27 2 2" xfId="17062"/>
    <cellStyle name="20% - Accent6 2 27 2 2 2" xfId="17063"/>
    <cellStyle name="20% - Accent6 2 27 2 2 3" xfId="17064"/>
    <cellStyle name="20% - Accent6 2 27 2 3" xfId="17065"/>
    <cellStyle name="20% - Accent6 2 27 2 3 2" xfId="17066"/>
    <cellStyle name="20% - Accent6 2 27 2 4" xfId="17067"/>
    <cellStyle name="20% - Accent6 2 27 2 5" xfId="17068"/>
    <cellStyle name="20% - Accent6 2 27 3" xfId="17069"/>
    <cellStyle name="20% - Accent6 2 27 3 2" xfId="17070"/>
    <cellStyle name="20% - Accent6 2 27 3 2 2" xfId="17071"/>
    <cellStyle name="20% - Accent6 2 27 3 3" xfId="17072"/>
    <cellStyle name="20% - Accent6 2 27 3 4" xfId="17073"/>
    <cellStyle name="20% - Accent6 2 27 4" xfId="17074"/>
    <cellStyle name="20% - Accent6 2 27 4 2" xfId="17075"/>
    <cellStyle name="20% - Accent6 2 27 4 2 2" xfId="17076"/>
    <cellStyle name="20% - Accent6 2 27 4 3" xfId="17077"/>
    <cellStyle name="20% - Accent6 2 27 4 4" xfId="17078"/>
    <cellStyle name="20% - Accent6 2 27 5" xfId="17079"/>
    <cellStyle name="20% - Accent6 2 27 5 2" xfId="17080"/>
    <cellStyle name="20% - Accent6 2 27 6" xfId="17081"/>
    <cellStyle name="20% - Accent6 2 27 7" xfId="17082"/>
    <cellStyle name="20% - Accent6 2 27 8" xfId="17083"/>
    <cellStyle name="20% - Accent6 2 28" xfId="17084"/>
    <cellStyle name="20% - Accent6 2 28 2" xfId="17085"/>
    <cellStyle name="20% - Accent6 2 28 2 2" xfId="17086"/>
    <cellStyle name="20% - Accent6 2 28 2 3" xfId="17087"/>
    <cellStyle name="20% - Accent6 2 28 3" xfId="17088"/>
    <cellStyle name="20% - Accent6 2 28 3 2" xfId="17089"/>
    <cellStyle name="20% - Accent6 2 28 4" xfId="17090"/>
    <cellStyle name="20% - Accent6 2 28 5" xfId="17091"/>
    <cellStyle name="20% - Accent6 2 29" xfId="17092"/>
    <cellStyle name="20% - Accent6 2 29 2" xfId="17093"/>
    <cellStyle name="20% - Accent6 2 29 2 2" xfId="17094"/>
    <cellStyle name="20% - Accent6 2 29 2 3" xfId="17095"/>
    <cellStyle name="20% - Accent6 2 29 3" xfId="17096"/>
    <cellStyle name="20% - Accent6 2 29 3 2" xfId="17097"/>
    <cellStyle name="20% - Accent6 2 29 4" xfId="17098"/>
    <cellStyle name="20% - Accent6 2 29 5" xfId="17099"/>
    <cellStyle name="20% - Accent6 2 3" xfId="281"/>
    <cellStyle name="20% - Accent6 2 3 10" xfId="17100"/>
    <cellStyle name="20% - Accent6 2 3 10 2" xfId="17101"/>
    <cellStyle name="20% - Accent6 2 3 10 3" xfId="17102"/>
    <cellStyle name="20% - Accent6 2 3 11" xfId="17103"/>
    <cellStyle name="20% - Accent6 2 3 12" xfId="17104"/>
    <cellStyle name="20% - Accent6 2 3 13" xfId="17105"/>
    <cellStyle name="20% - Accent6 2 3 14" xfId="17106"/>
    <cellStyle name="20% - Accent6 2 3 14 2" xfId="17107"/>
    <cellStyle name="20% - Accent6 2 3 2" xfId="282"/>
    <cellStyle name="20% - Accent6 2 3 2 2" xfId="283"/>
    <cellStyle name="20% - Accent6 2 3 2 2 2" xfId="284"/>
    <cellStyle name="20% - Accent6 2 3 2 3" xfId="285"/>
    <cellStyle name="20% - Accent6 2 3 2 4" xfId="17108"/>
    <cellStyle name="20% - Accent6 2 3 2 4 2" xfId="17109"/>
    <cellStyle name="20% - Accent6 2 3 3" xfId="286"/>
    <cellStyle name="20% - Accent6 2 3 3 2" xfId="287"/>
    <cellStyle name="20% - Accent6 2 3 3 3" xfId="17110"/>
    <cellStyle name="20% - Accent6 2 3 3 4" xfId="17111"/>
    <cellStyle name="20% - Accent6 2 3 3 4 2" xfId="17112"/>
    <cellStyle name="20% - Accent6 2 3 4" xfId="288"/>
    <cellStyle name="20% - Accent6 2 3 4 2" xfId="17113"/>
    <cellStyle name="20% - Accent6 2 3 4 3" xfId="17114"/>
    <cellStyle name="20% - Accent6 2 3 4 4" xfId="17115"/>
    <cellStyle name="20% - Accent6 2 3 4 4 2" xfId="17116"/>
    <cellStyle name="20% - Accent6 2 3 5" xfId="17117"/>
    <cellStyle name="20% - Accent6 2 3 5 2" xfId="17118"/>
    <cellStyle name="20% - Accent6 2 3 5 3" xfId="17119"/>
    <cellStyle name="20% - Accent6 2 3 5 4" xfId="17120"/>
    <cellStyle name="20% - Accent6 2 3 5 4 2" xfId="17121"/>
    <cellStyle name="20% - Accent6 2 3 6" xfId="17122"/>
    <cellStyle name="20% - Accent6 2 3 6 2" xfId="17123"/>
    <cellStyle name="20% - Accent6 2 3 6 2 2" xfId="17124"/>
    <cellStyle name="20% - Accent6 2 3 6 2 3" xfId="17125"/>
    <cellStyle name="20% - Accent6 2 3 6 3" xfId="17126"/>
    <cellStyle name="20% - Accent6 2 3 6 3 2" xfId="17127"/>
    <cellStyle name="20% - Accent6 2 3 6 3 3" xfId="17128"/>
    <cellStyle name="20% - Accent6 2 3 6 4" xfId="17129"/>
    <cellStyle name="20% - Accent6 2 3 6 4 2" xfId="17130"/>
    <cellStyle name="20% - Accent6 2 3 6_Elec Margin Analysis" xfId="17131"/>
    <cellStyle name="20% - Accent6 2 3 7" xfId="17132"/>
    <cellStyle name="20% - Accent6 2 3 7 2" xfId="17133"/>
    <cellStyle name="20% - Accent6 2 3 7 3" xfId="17134"/>
    <cellStyle name="20% - Accent6 2 3 7 4" xfId="17135"/>
    <cellStyle name="20% - Accent6 2 3 7 4 2" xfId="17136"/>
    <cellStyle name="20% - Accent6 2 3 8" xfId="17137"/>
    <cellStyle name="20% - Accent6 2 3 8 2" xfId="17138"/>
    <cellStyle name="20% - Accent6 2 3 8 3" xfId="17139"/>
    <cellStyle name="20% - Accent6 2 3 8 4" xfId="17140"/>
    <cellStyle name="20% - Accent6 2 3 8 4 2" xfId="17141"/>
    <cellStyle name="20% - Accent6 2 3 9" xfId="17142"/>
    <cellStyle name="20% - Accent6 2 3 9 2" xfId="17143"/>
    <cellStyle name="20% - Accent6 2 3 9 3" xfId="17144"/>
    <cellStyle name="20% - Accent6 2 3_2009 Actual" xfId="17145"/>
    <cellStyle name="20% - Accent6 2 30" xfId="17146"/>
    <cellStyle name="20% - Accent6 2 30 2" xfId="17147"/>
    <cellStyle name="20% - Accent6 2 30 2 2" xfId="17148"/>
    <cellStyle name="20% - Accent6 2 30 2 3" xfId="17149"/>
    <cellStyle name="20% - Accent6 2 30 3" xfId="17150"/>
    <cellStyle name="20% - Accent6 2 30 3 2" xfId="17151"/>
    <cellStyle name="20% - Accent6 2 30 4" xfId="17152"/>
    <cellStyle name="20% - Accent6 2 30 5" xfId="17153"/>
    <cellStyle name="20% - Accent6 2 31" xfId="17154"/>
    <cellStyle name="20% - Accent6 2 31 2" xfId="17155"/>
    <cellStyle name="20% - Accent6 2 31 2 2" xfId="17156"/>
    <cellStyle name="20% - Accent6 2 31 2 3" xfId="17157"/>
    <cellStyle name="20% - Accent6 2 31 3" xfId="17158"/>
    <cellStyle name="20% - Accent6 2 31 3 2" xfId="17159"/>
    <cellStyle name="20% - Accent6 2 31 4" xfId="17160"/>
    <cellStyle name="20% - Accent6 2 31 5" xfId="17161"/>
    <cellStyle name="20% - Accent6 2 32" xfId="17162"/>
    <cellStyle name="20% - Accent6 2 32 2" xfId="17163"/>
    <cellStyle name="20% - Accent6 2 32 2 2" xfId="17164"/>
    <cellStyle name="20% - Accent6 2 32 2 3" xfId="17165"/>
    <cellStyle name="20% - Accent6 2 32 3" xfId="17166"/>
    <cellStyle name="20% - Accent6 2 32 3 2" xfId="17167"/>
    <cellStyle name="20% - Accent6 2 32 4" xfId="17168"/>
    <cellStyle name="20% - Accent6 2 32 5" xfId="17169"/>
    <cellStyle name="20% - Accent6 2 33" xfId="17170"/>
    <cellStyle name="20% - Accent6 2 33 2" xfId="17171"/>
    <cellStyle name="20% - Accent6 2 33 2 2" xfId="17172"/>
    <cellStyle name="20% - Accent6 2 33 2 3" xfId="17173"/>
    <cellStyle name="20% - Accent6 2 33 3" xfId="17174"/>
    <cellStyle name="20% - Accent6 2 33 3 2" xfId="17175"/>
    <cellStyle name="20% - Accent6 2 33 4" xfId="17176"/>
    <cellStyle name="20% - Accent6 2 33 5" xfId="17177"/>
    <cellStyle name="20% - Accent6 2 34" xfId="17178"/>
    <cellStyle name="20% - Accent6 2 34 2" xfId="17179"/>
    <cellStyle name="20% - Accent6 2 34 2 2" xfId="17180"/>
    <cellStyle name="20% - Accent6 2 34 2 3" xfId="17181"/>
    <cellStyle name="20% - Accent6 2 34 3" xfId="17182"/>
    <cellStyle name="20% - Accent6 2 34 3 2" xfId="17183"/>
    <cellStyle name="20% - Accent6 2 34 4" xfId="17184"/>
    <cellStyle name="20% - Accent6 2 34 5" xfId="17185"/>
    <cellStyle name="20% - Accent6 2 35" xfId="17186"/>
    <cellStyle name="20% - Accent6 2 35 2" xfId="17187"/>
    <cellStyle name="20% - Accent6 2 35 2 2" xfId="17188"/>
    <cellStyle name="20% - Accent6 2 35 2 3" xfId="17189"/>
    <cellStyle name="20% - Accent6 2 35 3" xfId="17190"/>
    <cellStyle name="20% - Accent6 2 35 3 2" xfId="17191"/>
    <cellStyle name="20% - Accent6 2 35 4" xfId="17192"/>
    <cellStyle name="20% - Accent6 2 35 5" xfId="17193"/>
    <cellStyle name="20% - Accent6 2 36" xfId="17194"/>
    <cellStyle name="20% - Accent6 2 36 2" xfId="17195"/>
    <cellStyle name="20% - Accent6 2 36 2 2" xfId="17196"/>
    <cellStyle name="20% - Accent6 2 36 2 3" xfId="17197"/>
    <cellStyle name="20% - Accent6 2 36 3" xfId="17198"/>
    <cellStyle name="20% - Accent6 2 36 3 2" xfId="17199"/>
    <cellStyle name="20% - Accent6 2 36 4" xfId="17200"/>
    <cellStyle name="20% - Accent6 2 36 5" xfId="17201"/>
    <cellStyle name="20% - Accent6 2 37" xfId="17202"/>
    <cellStyle name="20% - Accent6 2 37 2" xfId="17203"/>
    <cellStyle name="20% - Accent6 2 37 2 2" xfId="17204"/>
    <cellStyle name="20% - Accent6 2 37 2 3" xfId="17205"/>
    <cellStyle name="20% - Accent6 2 37 3" xfId="17206"/>
    <cellStyle name="20% - Accent6 2 37 3 2" xfId="17207"/>
    <cellStyle name="20% - Accent6 2 37 4" xfId="17208"/>
    <cellStyle name="20% - Accent6 2 37 5" xfId="17209"/>
    <cellStyle name="20% - Accent6 2 38" xfId="17210"/>
    <cellStyle name="20% - Accent6 2 38 2" xfId="17211"/>
    <cellStyle name="20% - Accent6 2 38 2 2" xfId="17212"/>
    <cellStyle name="20% - Accent6 2 38 2 3" xfId="17213"/>
    <cellStyle name="20% - Accent6 2 38 3" xfId="17214"/>
    <cellStyle name="20% - Accent6 2 38 3 2" xfId="17215"/>
    <cellStyle name="20% - Accent6 2 38 4" xfId="17216"/>
    <cellStyle name="20% - Accent6 2 38 5" xfId="17217"/>
    <cellStyle name="20% - Accent6 2 39" xfId="17218"/>
    <cellStyle name="20% - Accent6 2 39 2" xfId="17219"/>
    <cellStyle name="20% - Accent6 2 39 2 2" xfId="17220"/>
    <cellStyle name="20% - Accent6 2 39 2 3" xfId="17221"/>
    <cellStyle name="20% - Accent6 2 39 3" xfId="17222"/>
    <cellStyle name="20% - Accent6 2 39 3 2" xfId="17223"/>
    <cellStyle name="20% - Accent6 2 39 4" xfId="17224"/>
    <cellStyle name="20% - Accent6 2 39 5" xfId="17225"/>
    <cellStyle name="20% - Accent6 2 4" xfId="289"/>
    <cellStyle name="20% - Accent6 2 4 10" xfId="17226"/>
    <cellStyle name="20% - Accent6 2 4 10 2" xfId="17227"/>
    <cellStyle name="20% - Accent6 2 4 2" xfId="290"/>
    <cellStyle name="20% - Accent6 2 4 2 2" xfId="291"/>
    <cellStyle name="20% - Accent6 2 4 2 3" xfId="17228"/>
    <cellStyle name="20% - Accent6 2 4 3" xfId="292"/>
    <cellStyle name="20% - Accent6 2 4 3 2" xfId="17229"/>
    <cellStyle name="20% - Accent6 2 4 3 3" xfId="17230"/>
    <cellStyle name="20% - Accent6 2 4 4" xfId="17231"/>
    <cellStyle name="20% - Accent6 2 4 4 2" xfId="17232"/>
    <cellStyle name="20% - Accent6 2 4 4 3" xfId="17233"/>
    <cellStyle name="20% - Accent6 2 4 5" xfId="17234"/>
    <cellStyle name="20% - Accent6 2 4 5 2" xfId="17235"/>
    <cellStyle name="20% - Accent6 2 4 5 3" xfId="17236"/>
    <cellStyle name="20% - Accent6 2 4 6" xfId="17237"/>
    <cellStyle name="20% - Accent6 2 4 6 2" xfId="17238"/>
    <cellStyle name="20% - Accent6 2 4 6 3" xfId="17239"/>
    <cellStyle name="20% - Accent6 2 4 7" xfId="17240"/>
    <cellStyle name="20% - Accent6 2 4 7 2" xfId="17241"/>
    <cellStyle name="20% - Accent6 2 4 7 3" xfId="17242"/>
    <cellStyle name="20% - Accent6 2 4 8" xfId="17243"/>
    <cellStyle name="20% - Accent6 2 4 9" xfId="17244"/>
    <cellStyle name="20% - Accent6 2 4_2009 Actual" xfId="17245"/>
    <cellStyle name="20% - Accent6 2 40" xfId="17246"/>
    <cellStyle name="20% - Accent6 2 40 2" xfId="17247"/>
    <cellStyle name="20% - Accent6 2 40 2 2" xfId="17248"/>
    <cellStyle name="20% - Accent6 2 40 2 3" xfId="17249"/>
    <cellStyle name="20% - Accent6 2 40 3" xfId="17250"/>
    <cellStyle name="20% - Accent6 2 40 3 2" xfId="17251"/>
    <cellStyle name="20% - Accent6 2 40 4" xfId="17252"/>
    <cellStyle name="20% - Accent6 2 40 5" xfId="17253"/>
    <cellStyle name="20% - Accent6 2 41" xfId="17254"/>
    <cellStyle name="20% - Accent6 2 41 2" xfId="17255"/>
    <cellStyle name="20% - Accent6 2 41 2 2" xfId="17256"/>
    <cellStyle name="20% - Accent6 2 41 2 3" xfId="17257"/>
    <cellStyle name="20% - Accent6 2 41 3" xfId="17258"/>
    <cellStyle name="20% - Accent6 2 41 3 2" xfId="17259"/>
    <cellStyle name="20% - Accent6 2 41 4" xfId="17260"/>
    <cellStyle name="20% - Accent6 2 41 5" xfId="17261"/>
    <cellStyle name="20% - Accent6 2 42" xfId="17262"/>
    <cellStyle name="20% - Accent6 2 42 2" xfId="17263"/>
    <cellStyle name="20% - Accent6 2 42 2 2" xfId="17264"/>
    <cellStyle name="20% - Accent6 2 42 2 3" xfId="17265"/>
    <cellStyle name="20% - Accent6 2 42 3" xfId="17266"/>
    <cellStyle name="20% - Accent6 2 42 3 2" xfId="17267"/>
    <cellStyle name="20% - Accent6 2 42 4" xfId="17268"/>
    <cellStyle name="20% - Accent6 2 42 5" xfId="17269"/>
    <cellStyle name="20% - Accent6 2 43" xfId="17270"/>
    <cellStyle name="20% - Accent6 2 43 2" xfId="17271"/>
    <cellStyle name="20% - Accent6 2 43 2 2" xfId="17272"/>
    <cellStyle name="20% - Accent6 2 43 2 3" xfId="17273"/>
    <cellStyle name="20% - Accent6 2 43 3" xfId="17274"/>
    <cellStyle name="20% - Accent6 2 43 3 2" xfId="17275"/>
    <cellStyle name="20% - Accent6 2 43 4" xfId="17276"/>
    <cellStyle name="20% - Accent6 2 43 5" xfId="17277"/>
    <cellStyle name="20% - Accent6 2 44" xfId="17278"/>
    <cellStyle name="20% - Accent6 2 44 2" xfId="17279"/>
    <cellStyle name="20% - Accent6 2 44 2 2" xfId="17280"/>
    <cellStyle name="20% - Accent6 2 44 2 3" xfId="17281"/>
    <cellStyle name="20% - Accent6 2 44 3" xfId="17282"/>
    <cellStyle name="20% - Accent6 2 44 3 2" xfId="17283"/>
    <cellStyle name="20% - Accent6 2 44 4" xfId="17284"/>
    <cellStyle name="20% - Accent6 2 44 5" xfId="17285"/>
    <cellStyle name="20% - Accent6 2 45" xfId="17286"/>
    <cellStyle name="20% - Accent6 2 45 2" xfId="17287"/>
    <cellStyle name="20% - Accent6 2 45 2 2" xfId="17288"/>
    <cellStyle name="20% - Accent6 2 45 2 3" xfId="17289"/>
    <cellStyle name="20% - Accent6 2 45 3" xfId="17290"/>
    <cellStyle name="20% - Accent6 2 45 3 2" xfId="17291"/>
    <cellStyle name="20% - Accent6 2 45 4" xfId="17292"/>
    <cellStyle name="20% - Accent6 2 45 5" xfId="17293"/>
    <cellStyle name="20% - Accent6 2 46" xfId="17294"/>
    <cellStyle name="20% - Accent6 2 46 2" xfId="17295"/>
    <cellStyle name="20% - Accent6 2 46 2 2" xfId="17296"/>
    <cellStyle name="20% - Accent6 2 46 2 3" xfId="17297"/>
    <cellStyle name="20% - Accent6 2 46 3" xfId="17298"/>
    <cellStyle name="20% - Accent6 2 46 3 2" xfId="17299"/>
    <cellStyle name="20% - Accent6 2 46 4" xfId="17300"/>
    <cellStyle name="20% - Accent6 2 46 5" xfId="17301"/>
    <cellStyle name="20% - Accent6 2 47" xfId="17302"/>
    <cellStyle name="20% - Accent6 2 47 2" xfId="17303"/>
    <cellStyle name="20% - Accent6 2 47 2 2" xfId="17304"/>
    <cellStyle name="20% - Accent6 2 47 2 3" xfId="17305"/>
    <cellStyle name="20% - Accent6 2 47 3" xfId="17306"/>
    <cellStyle name="20% - Accent6 2 47 3 2" xfId="17307"/>
    <cellStyle name="20% - Accent6 2 47 4" xfId="17308"/>
    <cellStyle name="20% - Accent6 2 47 5" xfId="17309"/>
    <cellStyle name="20% - Accent6 2 48" xfId="17310"/>
    <cellStyle name="20% - Accent6 2 48 2" xfId="17311"/>
    <cellStyle name="20% - Accent6 2 48 2 2" xfId="17312"/>
    <cellStyle name="20% - Accent6 2 48 2 3" xfId="17313"/>
    <cellStyle name="20% - Accent6 2 48 3" xfId="17314"/>
    <cellStyle name="20% - Accent6 2 48 3 2" xfId="17315"/>
    <cellStyle name="20% - Accent6 2 48 4" xfId="17316"/>
    <cellStyle name="20% - Accent6 2 48 5" xfId="17317"/>
    <cellStyle name="20% - Accent6 2 49" xfId="17318"/>
    <cellStyle name="20% - Accent6 2 49 2" xfId="17319"/>
    <cellStyle name="20% - Accent6 2 49 2 2" xfId="17320"/>
    <cellStyle name="20% - Accent6 2 49 2 3" xfId="17321"/>
    <cellStyle name="20% - Accent6 2 49 3" xfId="17322"/>
    <cellStyle name="20% - Accent6 2 49 3 2" xfId="17323"/>
    <cellStyle name="20% - Accent6 2 49 4" xfId="17324"/>
    <cellStyle name="20% - Accent6 2 49 5" xfId="17325"/>
    <cellStyle name="20% - Accent6 2 5" xfId="293"/>
    <cellStyle name="20% - Accent6 2 5 10" xfId="17326"/>
    <cellStyle name="20% - Accent6 2 5 10 2" xfId="17327"/>
    <cellStyle name="20% - Accent6 2 5 2" xfId="294"/>
    <cellStyle name="20% - Accent6 2 5 2 2" xfId="17328"/>
    <cellStyle name="20% - Accent6 2 5 2 3" xfId="17329"/>
    <cellStyle name="20% - Accent6 2 5 3" xfId="17330"/>
    <cellStyle name="20% - Accent6 2 5 3 2" xfId="17331"/>
    <cellStyle name="20% - Accent6 2 5 3 3" xfId="17332"/>
    <cellStyle name="20% - Accent6 2 5 4" xfId="17333"/>
    <cellStyle name="20% - Accent6 2 5 4 2" xfId="17334"/>
    <cellStyle name="20% - Accent6 2 5 4 3" xfId="17335"/>
    <cellStyle name="20% - Accent6 2 5 5" xfId="17336"/>
    <cellStyle name="20% - Accent6 2 5 5 2" xfId="17337"/>
    <cellStyle name="20% - Accent6 2 5 5 3" xfId="17338"/>
    <cellStyle name="20% - Accent6 2 5 6" xfId="17339"/>
    <cellStyle name="20% - Accent6 2 5 6 2" xfId="17340"/>
    <cellStyle name="20% - Accent6 2 5 6 3" xfId="17341"/>
    <cellStyle name="20% - Accent6 2 5 7" xfId="17342"/>
    <cellStyle name="20% - Accent6 2 5 7 2" xfId="17343"/>
    <cellStyle name="20% - Accent6 2 5 7 3" xfId="17344"/>
    <cellStyle name="20% - Accent6 2 5 8" xfId="17345"/>
    <cellStyle name="20% - Accent6 2 5 9" xfId="17346"/>
    <cellStyle name="20% - Accent6 2 5_2009 Actual" xfId="17347"/>
    <cellStyle name="20% - Accent6 2 50" xfId="17348"/>
    <cellStyle name="20% - Accent6 2 50 2" xfId="17349"/>
    <cellStyle name="20% - Accent6 2 50 2 2" xfId="17350"/>
    <cellStyle name="20% - Accent6 2 50 2 3" xfId="17351"/>
    <cellStyle name="20% - Accent6 2 50 3" xfId="17352"/>
    <cellStyle name="20% - Accent6 2 50 3 2" xfId="17353"/>
    <cellStyle name="20% - Accent6 2 50 4" xfId="17354"/>
    <cellStyle name="20% - Accent6 2 50 5" xfId="17355"/>
    <cellStyle name="20% - Accent6 2 51" xfId="17356"/>
    <cellStyle name="20% - Accent6 2 51 2" xfId="17357"/>
    <cellStyle name="20% - Accent6 2 51 2 2" xfId="17358"/>
    <cellStyle name="20% - Accent6 2 51 2 3" xfId="17359"/>
    <cellStyle name="20% - Accent6 2 51 3" xfId="17360"/>
    <cellStyle name="20% - Accent6 2 51 3 2" xfId="17361"/>
    <cellStyle name="20% - Accent6 2 51 4" xfId="17362"/>
    <cellStyle name="20% - Accent6 2 51 5" xfId="17363"/>
    <cellStyle name="20% - Accent6 2 52" xfId="17364"/>
    <cellStyle name="20% - Accent6 2 52 2" xfId="17365"/>
    <cellStyle name="20% - Accent6 2 52 2 2" xfId="17366"/>
    <cellStyle name="20% - Accent6 2 52 2 3" xfId="17367"/>
    <cellStyle name="20% - Accent6 2 52 3" xfId="17368"/>
    <cellStyle name="20% - Accent6 2 52 3 2" xfId="17369"/>
    <cellStyle name="20% - Accent6 2 52 4" xfId="17370"/>
    <cellStyle name="20% - Accent6 2 52 5" xfId="17371"/>
    <cellStyle name="20% - Accent6 2 53" xfId="17372"/>
    <cellStyle name="20% - Accent6 2 53 2" xfId="17373"/>
    <cellStyle name="20% - Accent6 2 53 2 2" xfId="17374"/>
    <cellStyle name="20% - Accent6 2 53 2 3" xfId="17375"/>
    <cellStyle name="20% - Accent6 2 53 3" xfId="17376"/>
    <cellStyle name="20% - Accent6 2 53 3 2" xfId="17377"/>
    <cellStyle name="20% - Accent6 2 53 4" xfId="17378"/>
    <cellStyle name="20% - Accent6 2 53 5" xfId="17379"/>
    <cellStyle name="20% - Accent6 2 54" xfId="17380"/>
    <cellStyle name="20% - Accent6 2 54 2" xfId="17381"/>
    <cellStyle name="20% - Accent6 2 54 2 2" xfId="17382"/>
    <cellStyle name="20% - Accent6 2 54 2 3" xfId="17383"/>
    <cellStyle name="20% - Accent6 2 54 3" xfId="17384"/>
    <cellStyle name="20% - Accent6 2 54 3 2" xfId="17385"/>
    <cellStyle name="20% - Accent6 2 54 4" xfId="17386"/>
    <cellStyle name="20% - Accent6 2 54 5" xfId="17387"/>
    <cellStyle name="20% - Accent6 2 55" xfId="17388"/>
    <cellStyle name="20% - Accent6 2 55 2" xfId="17389"/>
    <cellStyle name="20% - Accent6 2 55 2 2" xfId="17390"/>
    <cellStyle name="20% - Accent6 2 55 2 3" xfId="17391"/>
    <cellStyle name="20% - Accent6 2 55 3" xfId="17392"/>
    <cellStyle name="20% - Accent6 2 55 3 2" xfId="17393"/>
    <cellStyle name="20% - Accent6 2 55 4" xfId="17394"/>
    <cellStyle name="20% - Accent6 2 55 5" xfId="17395"/>
    <cellStyle name="20% - Accent6 2 56" xfId="17396"/>
    <cellStyle name="20% - Accent6 2 56 2" xfId="17397"/>
    <cellStyle name="20% - Accent6 2 56 2 2" xfId="17398"/>
    <cellStyle name="20% - Accent6 2 56 2 3" xfId="17399"/>
    <cellStyle name="20% - Accent6 2 56 3" xfId="17400"/>
    <cellStyle name="20% - Accent6 2 56 3 2" xfId="17401"/>
    <cellStyle name="20% - Accent6 2 56 4" xfId="17402"/>
    <cellStyle name="20% - Accent6 2 56 5" xfId="17403"/>
    <cellStyle name="20% - Accent6 2 57" xfId="17404"/>
    <cellStyle name="20% - Accent6 2 57 2" xfId="17405"/>
    <cellStyle name="20% - Accent6 2 57 2 2" xfId="17406"/>
    <cellStyle name="20% - Accent6 2 57 2 3" xfId="17407"/>
    <cellStyle name="20% - Accent6 2 57 3" xfId="17408"/>
    <cellStyle name="20% - Accent6 2 57 3 2" xfId="17409"/>
    <cellStyle name="20% - Accent6 2 57 4" xfId="17410"/>
    <cellStyle name="20% - Accent6 2 57 5" xfId="17411"/>
    <cellStyle name="20% - Accent6 2 58" xfId="17412"/>
    <cellStyle name="20% - Accent6 2 58 2" xfId="17413"/>
    <cellStyle name="20% - Accent6 2 58 2 2" xfId="17414"/>
    <cellStyle name="20% - Accent6 2 58 2 3" xfId="17415"/>
    <cellStyle name="20% - Accent6 2 58 3" xfId="17416"/>
    <cellStyle name="20% - Accent6 2 58 3 2" xfId="17417"/>
    <cellStyle name="20% - Accent6 2 58 4" xfId="17418"/>
    <cellStyle name="20% - Accent6 2 58 5" xfId="17419"/>
    <cellStyle name="20% - Accent6 2 59" xfId="17420"/>
    <cellStyle name="20% - Accent6 2 59 2" xfId="17421"/>
    <cellStyle name="20% - Accent6 2 59 2 2" xfId="17422"/>
    <cellStyle name="20% - Accent6 2 59 2 3" xfId="17423"/>
    <cellStyle name="20% - Accent6 2 59 3" xfId="17424"/>
    <cellStyle name="20% - Accent6 2 59 3 2" xfId="17425"/>
    <cellStyle name="20% - Accent6 2 59 4" xfId="17426"/>
    <cellStyle name="20% - Accent6 2 59 5" xfId="17427"/>
    <cellStyle name="20% - Accent6 2 6" xfId="295"/>
    <cellStyle name="20% - Accent6 2 6 10" xfId="17428"/>
    <cellStyle name="20% - Accent6 2 6 10 2" xfId="17429"/>
    <cellStyle name="20% - Accent6 2 6 2" xfId="17430"/>
    <cellStyle name="20% - Accent6 2 6 2 2" xfId="17431"/>
    <cellStyle name="20% - Accent6 2 6 2 3" xfId="17432"/>
    <cellStyle name="20% - Accent6 2 6 3" xfId="17433"/>
    <cellStyle name="20% - Accent6 2 6 3 2" xfId="17434"/>
    <cellStyle name="20% - Accent6 2 6 3 3" xfId="17435"/>
    <cellStyle name="20% - Accent6 2 6 4" xfId="17436"/>
    <cellStyle name="20% - Accent6 2 6 4 2" xfId="17437"/>
    <cellStyle name="20% - Accent6 2 6 4 3" xfId="17438"/>
    <cellStyle name="20% - Accent6 2 6 5" xfId="17439"/>
    <cellStyle name="20% - Accent6 2 6 5 2" xfId="17440"/>
    <cellStyle name="20% - Accent6 2 6 5 3" xfId="17441"/>
    <cellStyle name="20% - Accent6 2 6 6" xfId="17442"/>
    <cellStyle name="20% - Accent6 2 6 6 2" xfId="17443"/>
    <cellStyle name="20% - Accent6 2 6 6 3" xfId="17444"/>
    <cellStyle name="20% - Accent6 2 6 7" xfId="17445"/>
    <cellStyle name="20% - Accent6 2 6 7 2" xfId="17446"/>
    <cellStyle name="20% - Accent6 2 6 7 3" xfId="17447"/>
    <cellStyle name="20% - Accent6 2 6 8" xfId="17448"/>
    <cellStyle name="20% - Accent6 2 6 9" xfId="17449"/>
    <cellStyle name="20% - Accent6 2 6_2009 Actual" xfId="17450"/>
    <cellStyle name="20% - Accent6 2 60" xfId="17451"/>
    <cellStyle name="20% - Accent6 2 60 2" xfId="17452"/>
    <cellStyle name="20% - Accent6 2 60 2 2" xfId="17453"/>
    <cellStyle name="20% - Accent6 2 60 2 3" xfId="17454"/>
    <cellStyle name="20% - Accent6 2 60 3" xfId="17455"/>
    <cellStyle name="20% - Accent6 2 60 3 2" xfId="17456"/>
    <cellStyle name="20% - Accent6 2 60 4" xfId="17457"/>
    <cellStyle name="20% - Accent6 2 60 5" xfId="17458"/>
    <cellStyle name="20% - Accent6 2 61" xfId="17459"/>
    <cellStyle name="20% - Accent6 2 61 2" xfId="17460"/>
    <cellStyle name="20% - Accent6 2 61 2 2" xfId="17461"/>
    <cellStyle name="20% - Accent6 2 61 2 3" xfId="17462"/>
    <cellStyle name="20% - Accent6 2 61 3" xfId="17463"/>
    <cellStyle name="20% - Accent6 2 61 3 2" xfId="17464"/>
    <cellStyle name="20% - Accent6 2 61 4" xfId="17465"/>
    <cellStyle name="20% - Accent6 2 61 5" xfId="17466"/>
    <cellStyle name="20% - Accent6 2 62" xfId="17467"/>
    <cellStyle name="20% - Accent6 2 62 2" xfId="17468"/>
    <cellStyle name="20% - Accent6 2 62 2 2" xfId="17469"/>
    <cellStyle name="20% - Accent6 2 62 2 3" xfId="17470"/>
    <cellStyle name="20% - Accent6 2 62 3" xfId="17471"/>
    <cellStyle name="20% - Accent6 2 62 3 2" xfId="17472"/>
    <cellStyle name="20% - Accent6 2 62 4" xfId="17473"/>
    <cellStyle name="20% - Accent6 2 62 5" xfId="17474"/>
    <cellStyle name="20% - Accent6 2 63" xfId="17475"/>
    <cellStyle name="20% - Accent6 2 63 2" xfId="17476"/>
    <cellStyle name="20% - Accent6 2 63 2 2" xfId="17477"/>
    <cellStyle name="20% - Accent6 2 63 2 3" xfId="17478"/>
    <cellStyle name="20% - Accent6 2 63 3" xfId="17479"/>
    <cellStyle name="20% - Accent6 2 63 3 2" xfId="17480"/>
    <cellStyle name="20% - Accent6 2 63 4" xfId="17481"/>
    <cellStyle name="20% - Accent6 2 63 5" xfId="17482"/>
    <cellStyle name="20% - Accent6 2 64" xfId="17483"/>
    <cellStyle name="20% - Accent6 2 64 2" xfId="17484"/>
    <cellStyle name="20% - Accent6 2 64 2 2" xfId="17485"/>
    <cellStyle name="20% - Accent6 2 64 2 3" xfId="17486"/>
    <cellStyle name="20% - Accent6 2 64 3" xfId="17487"/>
    <cellStyle name="20% - Accent6 2 64 3 2" xfId="17488"/>
    <cellStyle name="20% - Accent6 2 64 4" xfId="17489"/>
    <cellStyle name="20% - Accent6 2 64 5" xfId="17490"/>
    <cellStyle name="20% - Accent6 2 65" xfId="17491"/>
    <cellStyle name="20% - Accent6 2 65 2" xfId="17492"/>
    <cellStyle name="20% - Accent6 2 65 2 2" xfId="17493"/>
    <cellStyle name="20% - Accent6 2 65 2 3" xfId="17494"/>
    <cellStyle name="20% - Accent6 2 65 3" xfId="17495"/>
    <cellStyle name="20% - Accent6 2 65 3 2" xfId="17496"/>
    <cellStyle name="20% - Accent6 2 65 4" xfId="17497"/>
    <cellStyle name="20% - Accent6 2 65 5" xfId="17498"/>
    <cellStyle name="20% - Accent6 2 66" xfId="17499"/>
    <cellStyle name="20% - Accent6 2 66 2" xfId="17500"/>
    <cellStyle name="20% - Accent6 2 66 2 2" xfId="17501"/>
    <cellStyle name="20% - Accent6 2 66 2 3" xfId="17502"/>
    <cellStyle name="20% - Accent6 2 66 3" xfId="17503"/>
    <cellStyle name="20% - Accent6 2 66 3 2" xfId="17504"/>
    <cellStyle name="20% - Accent6 2 66 4" xfId="17505"/>
    <cellStyle name="20% - Accent6 2 66 5" xfId="17506"/>
    <cellStyle name="20% - Accent6 2 67" xfId="17507"/>
    <cellStyle name="20% - Accent6 2 67 2" xfId="17508"/>
    <cellStyle name="20% - Accent6 2 67 2 2" xfId="17509"/>
    <cellStyle name="20% - Accent6 2 67 2 3" xfId="17510"/>
    <cellStyle name="20% - Accent6 2 67 3" xfId="17511"/>
    <cellStyle name="20% - Accent6 2 67 3 2" xfId="17512"/>
    <cellStyle name="20% - Accent6 2 67 4" xfId="17513"/>
    <cellStyle name="20% - Accent6 2 67 5" xfId="17514"/>
    <cellStyle name="20% - Accent6 2 68" xfId="17515"/>
    <cellStyle name="20% - Accent6 2 68 2" xfId="17516"/>
    <cellStyle name="20% - Accent6 2 68 2 2" xfId="17517"/>
    <cellStyle name="20% - Accent6 2 68 2 3" xfId="17518"/>
    <cellStyle name="20% - Accent6 2 68 3" xfId="17519"/>
    <cellStyle name="20% - Accent6 2 68 3 2" xfId="17520"/>
    <cellStyle name="20% - Accent6 2 68 4" xfId="17521"/>
    <cellStyle name="20% - Accent6 2 68 5" xfId="17522"/>
    <cellStyle name="20% - Accent6 2 69" xfId="17523"/>
    <cellStyle name="20% - Accent6 2 69 2" xfId="17524"/>
    <cellStyle name="20% - Accent6 2 69 2 2" xfId="17525"/>
    <cellStyle name="20% - Accent6 2 69 2 3" xfId="17526"/>
    <cellStyle name="20% - Accent6 2 69 3" xfId="17527"/>
    <cellStyle name="20% - Accent6 2 69 3 2" xfId="17528"/>
    <cellStyle name="20% - Accent6 2 69 4" xfId="17529"/>
    <cellStyle name="20% - Accent6 2 69 5" xfId="17530"/>
    <cellStyle name="20% - Accent6 2 7" xfId="17531"/>
    <cellStyle name="20% - Accent6 2 7 2" xfId="17532"/>
    <cellStyle name="20% - Accent6 2 7 3" xfId="17533"/>
    <cellStyle name="20% - Accent6 2 7 4" xfId="17534"/>
    <cellStyle name="20% - Accent6 2 7 5" xfId="17535"/>
    <cellStyle name="20% - Accent6 2 7 5 2" xfId="17536"/>
    <cellStyle name="20% - Accent6 2 7_BHP" xfId="17537"/>
    <cellStyle name="20% - Accent6 2 70" xfId="17538"/>
    <cellStyle name="20% - Accent6 2 70 2" xfId="17539"/>
    <cellStyle name="20% - Accent6 2 70 2 2" xfId="17540"/>
    <cellStyle name="20% - Accent6 2 70 2 3" xfId="17541"/>
    <cellStyle name="20% - Accent6 2 70 3" xfId="17542"/>
    <cellStyle name="20% - Accent6 2 70 3 2" xfId="17543"/>
    <cellStyle name="20% - Accent6 2 70 4" xfId="17544"/>
    <cellStyle name="20% - Accent6 2 70 5" xfId="17545"/>
    <cellStyle name="20% - Accent6 2 71" xfId="17546"/>
    <cellStyle name="20% - Accent6 2 71 2" xfId="17547"/>
    <cellStyle name="20% - Accent6 2 71 2 2" xfId="17548"/>
    <cellStyle name="20% - Accent6 2 71 2 3" xfId="17549"/>
    <cellStyle name="20% - Accent6 2 71 3" xfId="17550"/>
    <cellStyle name="20% - Accent6 2 71 3 2" xfId="17551"/>
    <cellStyle name="20% - Accent6 2 71 4" xfId="17552"/>
    <cellStyle name="20% - Accent6 2 71 5" xfId="17553"/>
    <cellStyle name="20% - Accent6 2 72" xfId="17554"/>
    <cellStyle name="20% - Accent6 2 72 2" xfId="17555"/>
    <cellStyle name="20% - Accent6 2 72 2 2" xfId="17556"/>
    <cellStyle name="20% - Accent6 2 72 2 3" xfId="17557"/>
    <cellStyle name="20% - Accent6 2 72 3" xfId="17558"/>
    <cellStyle name="20% - Accent6 2 72 3 2" xfId="17559"/>
    <cellStyle name="20% - Accent6 2 72 4" xfId="17560"/>
    <cellStyle name="20% - Accent6 2 72 5" xfId="17561"/>
    <cellStyle name="20% - Accent6 2 73" xfId="17562"/>
    <cellStyle name="20% - Accent6 2 73 2" xfId="17563"/>
    <cellStyle name="20% - Accent6 2 73 2 2" xfId="17564"/>
    <cellStyle name="20% - Accent6 2 73 2 3" xfId="17565"/>
    <cellStyle name="20% - Accent6 2 73 3" xfId="17566"/>
    <cellStyle name="20% - Accent6 2 73 3 2" xfId="17567"/>
    <cellStyle name="20% - Accent6 2 73 4" xfId="17568"/>
    <cellStyle name="20% - Accent6 2 73 5" xfId="17569"/>
    <cellStyle name="20% - Accent6 2 74" xfId="17570"/>
    <cellStyle name="20% - Accent6 2 74 2" xfId="17571"/>
    <cellStyle name="20% - Accent6 2 74 2 2" xfId="17572"/>
    <cellStyle name="20% - Accent6 2 74 2 3" xfId="17573"/>
    <cellStyle name="20% - Accent6 2 74 3" xfId="17574"/>
    <cellStyle name="20% - Accent6 2 74 3 2" xfId="17575"/>
    <cellStyle name="20% - Accent6 2 74 4" xfId="17576"/>
    <cellStyle name="20% - Accent6 2 74 5" xfId="17577"/>
    <cellStyle name="20% - Accent6 2 75" xfId="17578"/>
    <cellStyle name="20% - Accent6 2 75 2" xfId="17579"/>
    <cellStyle name="20% - Accent6 2 75 2 2" xfId="17580"/>
    <cellStyle name="20% - Accent6 2 75 2 3" xfId="17581"/>
    <cellStyle name="20% - Accent6 2 75 3" xfId="17582"/>
    <cellStyle name="20% - Accent6 2 75 3 2" xfId="17583"/>
    <cellStyle name="20% - Accent6 2 75 4" xfId="17584"/>
    <cellStyle name="20% - Accent6 2 75 5" xfId="17585"/>
    <cellStyle name="20% - Accent6 2 76" xfId="17586"/>
    <cellStyle name="20% - Accent6 2 76 2" xfId="17587"/>
    <cellStyle name="20% - Accent6 2 76 2 2" xfId="17588"/>
    <cellStyle name="20% - Accent6 2 76 2 3" xfId="17589"/>
    <cellStyle name="20% - Accent6 2 76 3" xfId="17590"/>
    <cellStyle name="20% - Accent6 2 76 3 2" xfId="17591"/>
    <cellStyle name="20% - Accent6 2 76 4" xfId="17592"/>
    <cellStyle name="20% - Accent6 2 76 5" xfId="17593"/>
    <cellStyle name="20% - Accent6 2 77" xfId="17594"/>
    <cellStyle name="20% - Accent6 2 77 2" xfId="17595"/>
    <cellStyle name="20% - Accent6 2 77 2 2" xfId="17596"/>
    <cellStyle name="20% - Accent6 2 77 2 3" xfId="17597"/>
    <cellStyle name="20% - Accent6 2 77 3" xfId="17598"/>
    <cellStyle name="20% - Accent6 2 77 3 2" xfId="17599"/>
    <cellStyle name="20% - Accent6 2 77 4" xfId="17600"/>
    <cellStyle name="20% - Accent6 2 77 5" xfId="17601"/>
    <cellStyle name="20% - Accent6 2 78" xfId="17602"/>
    <cellStyle name="20% - Accent6 2 78 2" xfId="17603"/>
    <cellStyle name="20% - Accent6 2 78 2 2" xfId="17604"/>
    <cellStyle name="20% - Accent6 2 78 2 3" xfId="17605"/>
    <cellStyle name="20% - Accent6 2 78 3" xfId="17606"/>
    <cellStyle name="20% - Accent6 2 78 3 2" xfId="17607"/>
    <cellStyle name="20% - Accent6 2 78 4" xfId="17608"/>
    <cellStyle name="20% - Accent6 2 78 5" xfId="17609"/>
    <cellStyle name="20% - Accent6 2 79" xfId="17610"/>
    <cellStyle name="20% - Accent6 2 79 2" xfId="17611"/>
    <cellStyle name="20% - Accent6 2 79 2 2" xfId="17612"/>
    <cellStyle name="20% - Accent6 2 79 2 3" xfId="17613"/>
    <cellStyle name="20% - Accent6 2 79 3" xfId="17614"/>
    <cellStyle name="20% - Accent6 2 79 3 2" xfId="17615"/>
    <cellStyle name="20% - Accent6 2 79 4" xfId="17616"/>
    <cellStyle name="20% - Accent6 2 79 5" xfId="17617"/>
    <cellStyle name="20% - Accent6 2 8" xfId="17618"/>
    <cellStyle name="20% - Accent6 2 8 2" xfId="17619"/>
    <cellStyle name="20% - Accent6 2 8 3" xfId="17620"/>
    <cellStyle name="20% - Accent6 2 8 4" xfId="17621"/>
    <cellStyle name="20% - Accent6 2 8 5" xfId="17622"/>
    <cellStyle name="20% - Accent6 2 8 5 2" xfId="17623"/>
    <cellStyle name="20% - Accent6 2 8_BHP" xfId="17624"/>
    <cellStyle name="20% - Accent6 2 80" xfId="17625"/>
    <cellStyle name="20% - Accent6 2 80 2" xfId="17626"/>
    <cellStyle name="20% - Accent6 2 80 2 2" xfId="17627"/>
    <cellStyle name="20% - Accent6 2 80 2 3" xfId="17628"/>
    <cellStyle name="20% - Accent6 2 80 3" xfId="17629"/>
    <cellStyle name="20% - Accent6 2 80 3 2" xfId="17630"/>
    <cellStyle name="20% - Accent6 2 80 4" xfId="17631"/>
    <cellStyle name="20% - Accent6 2 80 5" xfId="17632"/>
    <cellStyle name="20% - Accent6 2 81" xfId="17633"/>
    <cellStyle name="20% - Accent6 2 81 2" xfId="17634"/>
    <cellStyle name="20% - Accent6 2 81 2 2" xfId="17635"/>
    <cellStyle name="20% - Accent6 2 81 2 3" xfId="17636"/>
    <cellStyle name="20% - Accent6 2 81 3" xfId="17637"/>
    <cellStyle name="20% - Accent6 2 81 3 2" xfId="17638"/>
    <cellStyle name="20% - Accent6 2 81 4" xfId="17639"/>
    <cellStyle name="20% - Accent6 2 81 5" xfId="17640"/>
    <cellStyle name="20% - Accent6 2 82" xfId="17641"/>
    <cellStyle name="20% - Accent6 2 82 2" xfId="17642"/>
    <cellStyle name="20% - Accent6 2 82 2 2" xfId="17643"/>
    <cellStyle name="20% - Accent6 2 82 2 3" xfId="17644"/>
    <cellStyle name="20% - Accent6 2 82 3" xfId="17645"/>
    <cellStyle name="20% - Accent6 2 82 3 2" xfId="17646"/>
    <cellStyle name="20% - Accent6 2 82 4" xfId="17647"/>
    <cellStyle name="20% - Accent6 2 82 5" xfId="17648"/>
    <cellStyle name="20% - Accent6 2 83" xfId="17649"/>
    <cellStyle name="20% - Accent6 2 83 2" xfId="17650"/>
    <cellStyle name="20% - Accent6 2 83 2 2" xfId="17651"/>
    <cellStyle name="20% - Accent6 2 83 2 3" xfId="17652"/>
    <cellStyle name="20% - Accent6 2 83 3" xfId="17653"/>
    <cellStyle name="20% - Accent6 2 83 3 2" xfId="17654"/>
    <cellStyle name="20% - Accent6 2 83 4" xfId="17655"/>
    <cellStyle name="20% - Accent6 2 83 5" xfId="17656"/>
    <cellStyle name="20% - Accent6 2 84" xfId="17657"/>
    <cellStyle name="20% - Accent6 2 84 2" xfId="17658"/>
    <cellStyle name="20% - Accent6 2 84 2 2" xfId="17659"/>
    <cellStyle name="20% - Accent6 2 84 2 3" xfId="17660"/>
    <cellStyle name="20% - Accent6 2 84 3" xfId="17661"/>
    <cellStyle name="20% - Accent6 2 84 3 2" xfId="17662"/>
    <cellStyle name="20% - Accent6 2 84 4" xfId="17663"/>
    <cellStyle name="20% - Accent6 2 84 5" xfId="17664"/>
    <cellStyle name="20% - Accent6 2 85" xfId="17665"/>
    <cellStyle name="20% - Accent6 2 85 2" xfId="17666"/>
    <cellStyle name="20% - Accent6 2 85 2 2" xfId="17667"/>
    <cellStyle name="20% - Accent6 2 85 2 3" xfId="17668"/>
    <cellStyle name="20% - Accent6 2 85 3" xfId="17669"/>
    <cellStyle name="20% - Accent6 2 85 3 2" xfId="17670"/>
    <cellStyle name="20% - Accent6 2 85 4" xfId="17671"/>
    <cellStyle name="20% - Accent6 2 85 5" xfId="17672"/>
    <cellStyle name="20% - Accent6 2 86" xfId="17673"/>
    <cellStyle name="20% - Accent6 2 86 2" xfId="17674"/>
    <cellStyle name="20% - Accent6 2 86 2 2" xfId="17675"/>
    <cellStyle name="20% - Accent6 2 86 2 3" xfId="17676"/>
    <cellStyle name="20% - Accent6 2 86 3" xfId="17677"/>
    <cellStyle name="20% - Accent6 2 86 3 2" xfId="17678"/>
    <cellStyle name="20% - Accent6 2 86 4" xfId="17679"/>
    <cellStyle name="20% - Accent6 2 86 5" xfId="17680"/>
    <cellStyle name="20% - Accent6 2 87" xfId="17681"/>
    <cellStyle name="20% - Accent6 2 87 2" xfId="17682"/>
    <cellStyle name="20% - Accent6 2 87 2 2" xfId="17683"/>
    <cellStyle name="20% - Accent6 2 87 2 3" xfId="17684"/>
    <cellStyle name="20% - Accent6 2 87 3" xfId="17685"/>
    <cellStyle name="20% - Accent6 2 87 3 2" xfId="17686"/>
    <cellStyle name="20% - Accent6 2 87 4" xfId="17687"/>
    <cellStyle name="20% - Accent6 2 87 5" xfId="17688"/>
    <cellStyle name="20% - Accent6 2 88" xfId="17689"/>
    <cellStyle name="20% - Accent6 2 88 2" xfId="17690"/>
    <cellStyle name="20% - Accent6 2 88 2 2" xfId="17691"/>
    <cellStyle name="20% - Accent6 2 88 2 3" xfId="17692"/>
    <cellStyle name="20% - Accent6 2 88 3" xfId="17693"/>
    <cellStyle name="20% - Accent6 2 88 3 2" xfId="17694"/>
    <cellStyle name="20% - Accent6 2 88 4" xfId="17695"/>
    <cellStyle name="20% - Accent6 2 88 5" xfId="17696"/>
    <cellStyle name="20% - Accent6 2 89" xfId="17697"/>
    <cellStyle name="20% - Accent6 2 89 2" xfId="17698"/>
    <cellStyle name="20% - Accent6 2 89 2 2" xfId="17699"/>
    <cellStyle name="20% - Accent6 2 89 2 3" xfId="17700"/>
    <cellStyle name="20% - Accent6 2 89 3" xfId="17701"/>
    <cellStyle name="20% - Accent6 2 89 3 2" xfId="17702"/>
    <cellStyle name="20% - Accent6 2 89 4" xfId="17703"/>
    <cellStyle name="20% - Accent6 2 89 5" xfId="17704"/>
    <cellStyle name="20% - Accent6 2 9" xfId="17705"/>
    <cellStyle name="20% - Accent6 2 9 2" xfId="17706"/>
    <cellStyle name="20% - Accent6 2 9 3" xfId="17707"/>
    <cellStyle name="20% - Accent6 2 9 4" xfId="17708"/>
    <cellStyle name="20% - Accent6 2 9 5" xfId="17709"/>
    <cellStyle name="20% - Accent6 2 9 5 2" xfId="17710"/>
    <cellStyle name="20% - Accent6 2 9_BHP" xfId="17711"/>
    <cellStyle name="20% - Accent6 2 90" xfId="17712"/>
    <cellStyle name="20% - Accent6 2 90 2" xfId="17713"/>
    <cellStyle name="20% - Accent6 2 90 2 2" xfId="17714"/>
    <cellStyle name="20% - Accent6 2 90 2 3" xfId="17715"/>
    <cellStyle name="20% - Accent6 2 90 3" xfId="17716"/>
    <cellStyle name="20% - Accent6 2 90 3 2" xfId="17717"/>
    <cellStyle name="20% - Accent6 2 90 4" xfId="17718"/>
    <cellStyle name="20% - Accent6 2 90 5" xfId="17719"/>
    <cellStyle name="20% - Accent6 2 91" xfId="17720"/>
    <cellStyle name="20% - Accent6 2 91 2" xfId="17721"/>
    <cellStyle name="20% - Accent6 2 91 2 2" xfId="17722"/>
    <cellStyle name="20% - Accent6 2 91 2 3" xfId="17723"/>
    <cellStyle name="20% - Accent6 2 91 3" xfId="17724"/>
    <cellStyle name="20% - Accent6 2 91 3 2" xfId="17725"/>
    <cellStyle name="20% - Accent6 2 91 4" xfId="17726"/>
    <cellStyle name="20% - Accent6 2 91 5" xfId="17727"/>
    <cellStyle name="20% - Accent6 2 92" xfId="17728"/>
    <cellStyle name="20% - Accent6 2 92 2" xfId="17729"/>
    <cellStyle name="20% - Accent6 2 92 2 2" xfId="17730"/>
    <cellStyle name="20% - Accent6 2 92 3" xfId="17731"/>
    <cellStyle name="20% - Accent6 2 92 4" xfId="17732"/>
    <cellStyle name="20% - Accent6 2 93" xfId="17733"/>
    <cellStyle name="20% - Accent6 2 93 2" xfId="17734"/>
    <cellStyle name="20% - Accent6 2 93 2 2" xfId="17735"/>
    <cellStyle name="20% - Accent6 2 93 3" xfId="17736"/>
    <cellStyle name="20% - Accent6 2 93 4" xfId="17737"/>
    <cellStyle name="20% - Accent6 2 94" xfId="17738"/>
    <cellStyle name="20% - Accent6 2 94 2" xfId="17739"/>
    <cellStyle name="20% - Accent6 2 94 2 2" xfId="17740"/>
    <cellStyle name="20% - Accent6 2 94 3" xfId="17741"/>
    <cellStyle name="20% - Accent6 2 94 4" xfId="17742"/>
    <cellStyle name="20% - Accent6 2 95" xfId="17743"/>
    <cellStyle name="20% - Accent6 2 95 2" xfId="17744"/>
    <cellStyle name="20% - Accent6 2 95 2 2" xfId="17745"/>
    <cellStyle name="20% - Accent6 2 95 3" xfId="17746"/>
    <cellStyle name="20% - Accent6 2 95 4" xfId="17747"/>
    <cellStyle name="20% - Accent6 2 96" xfId="17748"/>
    <cellStyle name="20% - Accent6 2 96 2" xfId="17749"/>
    <cellStyle name="20% - Accent6 2 96 2 2" xfId="17750"/>
    <cellStyle name="20% - Accent6 2 96 3" xfId="17751"/>
    <cellStyle name="20% - Accent6 2 96 4" xfId="17752"/>
    <cellStyle name="20% - Accent6 2 97" xfId="17753"/>
    <cellStyle name="20% - Accent6 2 97 2" xfId="17754"/>
    <cellStyle name="20% - Accent6 2 97 2 2" xfId="17755"/>
    <cellStyle name="20% - Accent6 2 97 3" xfId="17756"/>
    <cellStyle name="20% - Accent6 2 97 4" xfId="17757"/>
    <cellStyle name="20% - Accent6 2 98" xfId="17758"/>
    <cellStyle name="20% - Accent6 2 98 2" xfId="17759"/>
    <cellStyle name="20% - Accent6 2 98 2 2" xfId="17760"/>
    <cellStyle name="20% - Accent6 2 98 3" xfId="17761"/>
    <cellStyle name="20% - Accent6 2 98 4" xfId="17762"/>
    <cellStyle name="20% - Accent6 2 99" xfId="17763"/>
    <cellStyle name="20% - Accent6 2 99 2" xfId="17764"/>
    <cellStyle name="20% - Accent6 2 99 2 2" xfId="17765"/>
    <cellStyle name="20% - Accent6 2 99 3" xfId="17766"/>
    <cellStyle name="20% - Accent6 2 99 4" xfId="17767"/>
    <cellStyle name="20% - Accent6 2_1-10 BHU IS" xfId="17768"/>
    <cellStyle name="20% - Accent6 20" xfId="17769"/>
    <cellStyle name="20% - Accent6 20 2" xfId="17770"/>
    <cellStyle name="20% - Accent6 20 3" xfId="17771"/>
    <cellStyle name="20% - Accent6 21" xfId="17772"/>
    <cellStyle name="20% - Accent6 21 2" xfId="17773"/>
    <cellStyle name="20% - Accent6 21 3" xfId="17774"/>
    <cellStyle name="20% - Accent6 22" xfId="17775"/>
    <cellStyle name="20% - Accent6 22 2" xfId="17776"/>
    <cellStyle name="20% - Accent6 22 3" xfId="17777"/>
    <cellStyle name="20% - Accent6 23" xfId="17778"/>
    <cellStyle name="20% - Accent6 24" xfId="17779"/>
    <cellStyle name="20% - Accent6 25" xfId="17780"/>
    <cellStyle name="20% - Accent6 26" xfId="17781"/>
    <cellStyle name="20% - Accent6 27" xfId="17782"/>
    <cellStyle name="20% - Accent6 28" xfId="17783"/>
    <cellStyle name="20% - Accent6 28 2" xfId="17784"/>
    <cellStyle name="20% - Accent6 28 2 2" xfId="17785"/>
    <cellStyle name="20% - Accent6 28 2 2 2" xfId="17786"/>
    <cellStyle name="20% - Accent6 28 2 2 3" xfId="17787"/>
    <cellStyle name="20% - Accent6 28 2 3" xfId="17788"/>
    <cellStyle name="20% - Accent6 28 2 3 2" xfId="17789"/>
    <cellStyle name="20% - Accent6 28 2 4" xfId="17790"/>
    <cellStyle name="20% - Accent6 28 2 5" xfId="17791"/>
    <cellStyle name="20% - Accent6 28 3" xfId="17792"/>
    <cellStyle name="20% - Accent6 28 3 2" xfId="17793"/>
    <cellStyle name="20% - Accent6 28 3 2 2" xfId="17794"/>
    <cellStyle name="20% - Accent6 28 3 3" xfId="17795"/>
    <cellStyle name="20% - Accent6 28 3 4" xfId="17796"/>
    <cellStyle name="20% - Accent6 28 4" xfId="17797"/>
    <cellStyle name="20% - Accent6 28 4 2" xfId="17798"/>
    <cellStyle name="20% - Accent6 28 4 2 2" xfId="17799"/>
    <cellStyle name="20% - Accent6 28 4 3" xfId="17800"/>
    <cellStyle name="20% - Accent6 28 4 4" xfId="17801"/>
    <cellStyle name="20% - Accent6 28 5" xfId="17802"/>
    <cellStyle name="20% - Accent6 28 5 2" xfId="17803"/>
    <cellStyle name="20% - Accent6 28 6" xfId="17804"/>
    <cellStyle name="20% - Accent6 28 7" xfId="17805"/>
    <cellStyle name="20% - Accent6 28 8" xfId="17806"/>
    <cellStyle name="20% - Accent6 29" xfId="17807"/>
    <cellStyle name="20% - Accent6 29 2" xfId="17808"/>
    <cellStyle name="20% - Accent6 29 2 2" xfId="17809"/>
    <cellStyle name="20% - Accent6 29 2 2 2" xfId="17810"/>
    <cellStyle name="20% - Accent6 29 2 2 3" xfId="17811"/>
    <cellStyle name="20% - Accent6 29 2 3" xfId="17812"/>
    <cellStyle name="20% - Accent6 29 2 3 2" xfId="17813"/>
    <cellStyle name="20% - Accent6 29 2 4" xfId="17814"/>
    <cellStyle name="20% - Accent6 29 2 5" xfId="17815"/>
    <cellStyle name="20% - Accent6 29 3" xfId="17816"/>
    <cellStyle name="20% - Accent6 29 3 2" xfId="17817"/>
    <cellStyle name="20% - Accent6 29 3 2 2" xfId="17818"/>
    <cellStyle name="20% - Accent6 29 3 3" xfId="17819"/>
    <cellStyle name="20% - Accent6 29 3 4" xfId="17820"/>
    <cellStyle name="20% - Accent6 29 4" xfId="17821"/>
    <cellStyle name="20% - Accent6 29 4 2" xfId="17822"/>
    <cellStyle name="20% - Accent6 29 4 2 2" xfId="17823"/>
    <cellStyle name="20% - Accent6 29 4 3" xfId="17824"/>
    <cellStyle name="20% - Accent6 29 4 4" xfId="17825"/>
    <cellStyle name="20% - Accent6 29 5" xfId="17826"/>
    <cellStyle name="20% - Accent6 29 5 2" xfId="17827"/>
    <cellStyle name="20% - Accent6 29 6" xfId="17828"/>
    <cellStyle name="20% - Accent6 29 7" xfId="17829"/>
    <cellStyle name="20% - Accent6 29 8" xfId="17830"/>
    <cellStyle name="20% - Accent6 3" xfId="296"/>
    <cellStyle name="20% - Accent6 3 10" xfId="17831"/>
    <cellStyle name="20% - Accent6 3 11" xfId="17832"/>
    <cellStyle name="20% - Accent6 3 12" xfId="17833"/>
    <cellStyle name="20% - Accent6 3 12 2" xfId="17834"/>
    <cellStyle name="20% - Accent6 3 12 2 2" xfId="17835"/>
    <cellStyle name="20% - Accent6 3 12 2 2 2" xfId="17836"/>
    <cellStyle name="20% - Accent6 3 12 2 2 3" xfId="17837"/>
    <cellStyle name="20% - Accent6 3 12 2 3" xfId="17838"/>
    <cellStyle name="20% - Accent6 3 12 2 3 2" xfId="17839"/>
    <cellStyle name="20% - Accent6 3 12 2 4" xfId="17840"/>
    <cellStyle name="20% - Accent6 3 12 2 5" xfId="17841"/>
    <cellStyle name="20% - Accent6 3 12 3" xfId="17842"/>
    <cellStyle name="20% - Accent6 3 12 3 2" xfId="17843"/>
    <cellStyle name="20% - Accent6 3 12 3 2 2" xfId="17844"/>
    <cellStyle name="20% - Accent6 3 12 3 3" xfId="17845"/>
    <cellStyle name="20% - Accent6 3 12 3 4" xfId="17846"/>
    <cellStyle name="20% - Accent6 3 12 4" xfId="17847"/>
    <cellStyle name="20% - Accent6 3 12 4 2" xfId="17848"/>
    <cellStyle name="20% - Accent6 3 12 4 2 2" xfId="17849"/>
    <cellStyle name="20% - Accent6 3 12 4 3" xfId="17850"/>
    <cellStyle name="20% - Accent6 3 12 4 4" xfId="17851"/>
    <cellStyle name="20% - Accent6 3 12 5" xfId="17852"/>
    <cellStyle name="20% - Accent6 3 12 5 2" xfId="17853"/>
    <cellStyle name="20% - Accent6 3 12 6" xfId="17854"/>
    <cellStyle name="20% - Accent6 3 12 7" xfId="17855"/>
    <cellStyle name="20% - Accent6 3 12 8" xfId="17856"/>
    <cellStyle name="20% - Accent6 3 13" xfId="17857"/>
    <cellStyle name="20% - Accent6 3 13 2" xfId="17858"/>
    <cellStyle name="20% - Accent6 3 13 2 2" xfId="17859"/>
    <cellStyle name="20% - Accent6 3 13 2 2 2" xfId="17860"/>
    <cellStyle name="20% - Accent6 3 13 2 2 3" xfId="17861"/>
    <cellStyle name="20% - Accent6 3 13 2 3" xfId="17862"/>
    <cellStyle name="20% - Accent6 3 13 2 3 2" xfId="17863"/>
    <cellStyle name="20% - Accent6 3 13 2 4" xfId="17864"/>
    <cellStyle name="20% - Accent6 3 13 2 5" xfId="17865"/>
    <cellStyle name="20% - Accent6 3 13 3" xfId="17866"/>
    <cellStyle name="20% - Accent6 3 13 3 2" xfId="17867"/>
    <cellStyle name="20% - Accent6 3 13 3 2 2" xfId="17868"/>
    <cellStyle name="20% - Accent6 3 13 3 3" xfId="17869"/>
    <cellStyle name="20% - Accent6 3 13 3 4" xfId="17870"/>
    <cellStyle name="20% - Accent6 3 13 4" xfId="17871"/>
    <cellStyle name="20% - Accent6 3 13 4 2" xfId="17872"/>
    <cellStyle name="20% - Accent6 3 13 4 2 2" xfId="17873"/>
    <cellStyle name="20% - Accent6 3 13 4 3" xfId="17874"/>
    <cellStyle name="20% - Accent6 3 13 4 4" xfId="17875"/>
    <cellStyle name="20% - Accent6 3 13 5" xfId="17876"/>
    <cellStyle name="20% - Accent6 3 13 5 2" xfId="17877"/>
    <cellStyle name="20% - Accent6 3 13 6" xfId="17878"/>
    <cellStyle name="20% - Accent6 3 13 7" xfId="17879"/>
    <cellStyle name="20% - Accent6 3 13 8" xfId="17880"/>
    <cellStyle name="20% - Accent6 3 14" xfId="17881"/>
    <cellStyle name="20% - Accent6 3 14 2" xfId="17882"/>
    <cellStyle name="20% - Accent6 3 14 2 2" xfId="17883"/>
    <cellStyle name="20% - Accent6 3 14 2 2 2" xfId="17884"/>
    <cellStyle name="20% - Accent6 3 14 2 2 3" xfId="17885"/>
    <cellStyle name="20% - Accent6 3 14 2 3" xfId="17886"/>
    <cellStyle name="20% - Accent6 3 14 2 3 2" xfId="17887"/>
    <cellStyle name="20% - Accent6 3 14 2 4" xfId="17888"/>
    <cellStyle name="20% - Accent6 3 14 2 5" xfId="17889"/>
    <cellStyle name="20% - Accent6 3 14 3" xfId="17890"/>
    <cellStyle name="20% - Accent6 3 14 3 2" xfId="17891"/>
    <cellStyle name="20% - Accent6 3 14 3 2 2" xfId="17892"/>
    <cellStyle name="20% - Accent6 3 14 3 3" xfId="17893"/>
    <cellStyle name="20% - Accent6 3 14 3 4" xfId="17894"/>
    <cellStyle name="20% - Accent6 3 14 4" xfId="17895"/>
    <cellStyle name="20% - Accent6 3 14 4 2" xfId="17896"/>
    <cellStyle name="20% - Accent6 3 14 4 2 2" xfId="17897"/>
    <cellStyle name="20% - Accent6 3 14 4 3" xfId="17898"/>
    <cellStyle name="20% - Accent6 3 14 4 4" xfId="17899"/>
    <cellStyle name="20% - Accent6 3 14 5" xfId="17900"/>
    <cellStyle name="20% - Accent6 3 14 5 2" xfId="17901"/>
    <cellStyle name="20% - Accent6 3 14 6" xfId="17902"/>
    <cellStyle name="20% - Accent6 3 14 7" xfId="17903"/>
    <cellStyle name="20% - Accent6 3 14 8" xfId="17904"/>
    <cellStyle name="20% - Accent6 3 2" xfId="297"/>
    <cellStyle name="20% - Accent6 3 2 10" xfId="17905"/>
    <cellStyle name="20% - Accent6 3 2 2" xfId="17906"/>
    <cellStyle name="20% - Accent6 3 2 2 2" xfId="17907"/>
    <cellStyle name="20% - Accent6 3 2 2 3" xfId="17908"/>
    <cellStyle name="20% - Accent6 3 2 2 4" xfId="17909"/>
    <cellStyle name="20% - Accent6 3 2 3" xfId="17910"/>
    <cellStyle name="20% - Accent6 3 2 3 2" xfId="17911"/>
    <cellStyle name="20% - Accent6 3 2 3 3" xfId="17912"/>
    <cellStyle name="20% - Accent6 3 2 4" xfId="17913"/>
    <cellStyle name="20% - Accent6 3 2 4 2" xfId="17914"/>
    <cellStyle name="20% - Accent6 3 2 4 3" xfId="17915"/>
    <cellStyle name="20% - Accent6 3 2 5" xfId="17916"/>
    <cellStyle name="20% - Accent6 3 2 5 2" xfId="17917"/>
    <cellStyle name="20% - Accent6 3 2 5 3" xfId="17918"/>
    <cellStyle name="20% - Accent6 3 2 6" xfId="17919"/>
    <cellStyle name="20% - Accent6 3 2 6 2" xfId="17920"/>
    <cellStyle name="20% - Accent6 3 2 6 3" xfId="17921"/>
    <cellStyle name="20% - Accent6 3 2 7" xfId="17922"/>
    <cellStyle name="20% - Accent6 3 2 7 2" xfId="17923"/>
    <cellStyle name="20% - Accent6 3 2 7 3" xfId="17924"/>
    <cellStyle name="20% - Accent6 3 2 8" xfId="17925"/>
    <cellStyle name="20% - Accent6 3 2 9" xfId="17926"/>
    <cellStyle name="20% - Accent6 3 2_2009 Actual" xfId="17927"/>
    <cellStyle name="20% - Accent6 3 3" xfId="17928"/>
    <cellStyle name="20% - Accent6 3 3 2" xfId="17929"/>
    <cellStyle name="20% - Accent6 3 3 3" xfId="17930"/>
    <cellStyle name="20% - Accent6 3 3 4" xfId="17931"/>
    <cellStyle name="20% - Accent6 3 4" xfId="17932"/>
    <cellStyle name="20% - Accent6 3 4 2" xfId="17933"/>
    <cellStyle name="20% - Accent6 3 4 3" xfId="17934"/>
    <cellStyle name="20% - Accent6 3 5" xfId="17935"/>
    <cellStyle name="20% - Accent6 3 5 2" xfId="17936"/>
    <cellStyle name="20% - Accent6 3 5 3" xfId="17937"/>
    <cellStyle name="20% - Accent6 3 6" xfId="17938"/>
    <cellStyle name="20% - Accent6 3 6 2" xfId="17939"/>
    <cellStyle name="20% - Accent6 3 6 3" xfId="17940"/>
    <cellStyle name="20% - Accent6 3 7" xfId="17941"/>
    <cellStyle name="20% - Accent6 3 7 2" xfId="17942"/>
    <cellStyle name="20% - Accent6 3 7 3" xfId="17943"/>
    <cellStyle name="20% - Accent6 3 8" xfId="17944"/>
    <cellStyle name="20% - Accent6 3 8 2" xfId="17945"/>
    <cellStyle name="20% - Accent6 3 8 3" xfId="17946"/>
    <cellStyle name="20% - Accent6 3 9" xfId="17947"/>
    <cellStyle name="20% - Accent6 3_2009 Actual" xfId="17948"/>
    <cellStyle name="20% - Accent6 30" xfId="17949"/>
    <cellStyle name="20% - Accent6 30 2" xfId="17950"/>
    <cellStyle name="20% - Accent6 30 2 2" xfId="17951"/>
    <cellStyle name="20% - Accent6 30 2 2 2" xfId="17952"/>
    <cellStyle name="20% - Accent6 30 2 2 3" xfId="17953"/>
    <cellStyle name="20% - Accent6 30 2 3" xfId="17954"/>
    <cellStyle name="20% - Accent6 30 2 3 2" xfId="17955"/>
    <cellStyle name="20% - Accent6 30 2 4" xfId="17956"/>
    <cellStyle name="20% - Accent6 30 2 5" xfId="17957"/>
    <cellStyle name="20% - Accent6 30 3" xfId="17958"/>
    <cellStyle name="20% - Accent6 30 3 2" xfId="17959"/>
    <cellStyle name="20% - Accent6 30 3 2 2" xfId="17960"/>
    <cellStyle name="20% - Accent6 30 3 3" xfId="17961"/>
    <cellStyle name="20% - Accent6 30 3 4" xfId="17962"/>
    <cellStyle name="20% - Accent6 30 4" xfId="17963"/>
    <cellStyle name="20% - Accent6 30 4 2" xfId="17964"/>
    <cellStyle name="20% - Accent6 30 4 2 2" xfId="17965"/>
    <cellStyle name="20% - Accent6 30 4 3" xfId="17966"/>
    <cellStyle name="20% - Accent6 30 4 4" xfId="17967"/>
    <cellStyle name="20% - Accent6 30 5" xfId="17968"/>
    <cellStyle name="20% - Accent6 30 5 2" xfId="17969"/>
    <cellStyle name="20% - Accent6 30 6" xfId="17970"/>
    <cellStyle name="20% - Accent6 30 7" xfId="17971"/>
    <cellStyle name="20% - Accent6 30 8" xfId="17972"/>
    <cellStyle name="20% - Accent6 31" xfId="17973"/>
    <cellStyle name="20% - Accent6 31 2" xfId="17974"/>
    <cellStyle name="20% - Accent6 31 2 2" xfId="17975"/>
    <cellStyle name="20% - Accent6 31 2 2 2" xfId="17976"/>
    <cellStyle name="20% - Accent6 31 2 2 3" xfId="17977"/>
    <cellStyle name="20% - Accent6 31 2 3" xfId="17978"/>
    <cellStyle name="20% - Accent6 31 2 3 2" xfId="17979"/>
    <cellStyle name="20% - Accent6 31 2 4" xfId="17980"/>
    <cellStyle name="20% - Accent6 31 2 5" xfId="17981"/>
    <cellStyle name="20% - Accent6 31 3" xfId="17982"/>
    <cellStyle name="20% - Accent6 31 3 2" xfId="17983"/>
    <cellStyle name="20% - Accent6 31 3 2 2" xfId="17984"/>
    <cellStyle name="20% - Accent6 31 3 3" xfId="17985"/>
    <cellStyle name="20% - Accent6 31 3 4" xfId="17986"/>
    <cellStyle name="20% - Accent6 31 4" xfId="17987"/>
    <cellStyle name="20% - Accent6 31 4 2" xfId="17988"/>
    <cellStyle name="20% - Accent6 31 4 2 2" xfId="17989"/>
    <cellStyle name="20% - Accent6 31 4 3" xfId="17990"/>
    <cellStyle name="20% - Accent6 31 4 4" xfId="17991"/>
    <cellStyle name="20% - Accent6 31 5" xfId="17992"/>
    <cellStyle name="20% - Accent6 31 5 2" xfId="17993"/>
    <cellStyle name="20% - Accent6 31 6" xfId="17994"/>
    <cellStyle name="20% - Accent6 31 7" xfId="17995"/>
    <cellStyle name="20% - Accent6 31 8" xfId="17996"/>
    <cellStyle name="20% - Accent6 32" xfId="17997"/>
    <cellStyle name="20% - Accent6 32 2" xfId="17998"/>
    <cellStyle name="20% - Accent6 32 2 2" xfId="17999"/>
    <cellStyle name="20% - Accent6 32 2 2 2" xfId="18000"/>
    <cellStyle name="20% - Accent6 32 2 2 3" xfId="18001"/>
    <cellStyle name="20% - Accent6 32 2 3" xfId="18002"/>
    <cellStyle name="20% - Accent6 32 2 3 2" xfId="18003"/>
    <cellStyle name="20% - Accent6 32 2 4" xfId="18004"/>
    <cellStyle name="20% - Accent6 32 2 5" xfId="18005"/>
    <cellStyle name="20% - Accent6 32 3" xfId="18006"/>
    <cellStyle name="20% - Accent6 32 3 2" xfId="18007"/>
    <cellStyle name="20% - Accent6 32 3 2 2" xfId="18008"/>
    <cellStyle name="20% - Accent6 32 3 3" xfId="18009"/>
    <cellStyle name="20% - Accent6 32 3 4" xfId="18010"/>
    <cellStyle name="20% - Accent6 32 4" xfId="18011"/>
    <cellStyle name="20% - Accent6 32 4 2" xfId="18012"/>
    <cellStyle name="20% - Accent6 32 4 2 2" xfId="18013"/>
    <cellStyle name="20% - Accent6 32 4 3" xfId="18014"/>
    <cellStyle name="20% - Accent6 32 4 4" xfId="18015"/>
    <cellStyle name="20% - Accent6 32 5" xfId="18016"/>
    <cellStyle name="20% - Accent6 32 5 2" xfId="18017"/>
    <cellStyle name="20% - Accent6 32 6" xfId="18018"/>
    <cellStyle name="20% - Accent6 32 7" xfId="18019"/>
    <cellStyle name="20% - Accent6 32 8" xfId="18020"/>
    <cellStyle name="20% - Accent6 33" xfId="18021"/>
    <cellStyle name="20% - Accent6 33 2" xfId="18022"/>
    <cellStyle name="20% - Accent6 33 2 2" xfId="18023"/>
    <cellStyle name="20% - Accent6 33 2 3" xfId="18024"/>
    <cellStyle name="20% - Accent6 33 3" xfId="18025"/>
    <cellStyle name="20% - Accent6 33 3 2" xfId="18026"/>
    <cellStyle name="20% - Accent6 33 4" xfId="18027"/>
    <cellStyle name="20% - Accent6 33 5" xfId="18028"/>
    <cellStyle name="20% - Accent6 34" xfId="18029"/>
    <cellStyle name="20% - Accent6 34 2" xfId="18030"/>
    <cellStyle name="20% - Accent6 34 2 2" xfId="18031"/>
    <cellStyle name="20% - Accent6 34 2 3" xfId="18032"/>
    <cellStyle name="20% - Accent6 34 3" xfId="18033"/>
    <cellStyle name="20% - Accent6 34 3 2" xfId="18034"/>
    <cellStyle name="20% - Accent6 34 4" xfId="18035"/>
    <cellStyle name="20% - Accent6 34 5" xfId="18036"/>
    <cellStyle name="20% - Accent6 35" xfId="18037"/>
    <cellStyle name="20% - Accent6 35 2" xfId="18038"/>
    <cellStyle name="20% - Accent6 35 2 2" xfId="18039"/>
    <cellStyle name="20% - Accent6 35 2 3" xfId="18040"/>
    <cellStyle name="20% - Accent6 35 3" xfId="18041"/>
    <cellStyle name="20% - Accent6 35 3 2" xfId="18042"/>
    <cellStyle name="20% - Accent6 35 4" xfId="18043"/>
    <cellStyle name="20% - Accent6 35 5" xfId="18044"/>
    <cellStyle name="20% - Accent6 36" xfId="18045"/>
    <cellStyle name="20% - Accent6 36 2" xfId="18046"/>
    <cellStyle name="20% - Accent6 36 2 2" xfId="18047"/>
    <cellStyle name="20% - Accent6 36 2 3" xfId="18048"/>
    <cellStyle name="20% - Accent6 36 3" xfId="18049"/>
    <cellStyle name="20% - Accent6 36 3 2" xfId="18050"/>
    <cellStyle name="20% - Accent6 36 4" xfId="18051"/>
    <cellStyle name="20% - Accent6 36 5" xfId="18052"/>
    <cellStyle name="20% - Accent6 37" xfId="18053"/>
    <cellStyle name="20% - Accent6 37 2" xfId="18054"/>
    <cellStyle name="20% - Accent6 37 2 2" xfId="18055"/>
    <cellStyle name="20% - Accent6 37 2 3" xfId="18056"/>
    <cellStyle name="20% - Accent6 37 3" xfId="18057"/>
    <cellStyle name="20% - Accent6 37 3 2" xfId="18058"/>
    <cellStyle name="20% - Accent6 37 4" xfId="18059"/>
    <cellStyle name="20% - Accent6 37 5" xfId="18060"/>
    <cellStyle name="20% - Accent6 38" xfId="18061"/>
    <cellStyle name="20% - Accent6 38 2" xfId="18062"/>
    <cellStyle name="20% - Accent6 38 2 2" xfId="18063"/>
    <cellStyle name="20% - Accent6 38 2 3" xfId="18064"/>
    <cellStyle name="20% - Accent6 38 3" xfId="18065"/>
    <cellStyle name="20% - Accent6 38 3 2" xfId="18066"/>
    <cellStyle name="20% - Accent6 38 4" xfId="18067"/>
    <cellStyle name="20% - Accent6 38 5" xfId="18068"/>
    <cellStyle name="20% - Accent6 39" xfId="18069"/>
    <cellStyle name="20% - Accent6 39 2" xfId="18070"/>
    <cellStyle name="20% - Accent6 39 2 2" xfId="18071"/>
    <cellStyle name="20% - Accent6 39 2 3" xfId="18072"/>
    <cellStyle name="20% - Accent6 39 3" xfId="18073"/>
    <cellStyle name="20% - Accent6 39 3 2" xfId="18074"/>
    <cellStyle name="20% - Accent6 39 4" xfId="18075"/>
    <cellStyle name="20% - Accent6 39 5" xfId="18076"/>
    <cellStyle name="20% - Accent6 4" xfId="298"/>
    <cellStyle name="20% - Accent6 4 10" xfId="18077"/>
    <cellStyle name="20% - Accent6 4 2" xfId="18078"/>
    <cellStyle name="20% - Accent6 4 2 2" xfId="18079"/>
    <cellStyle name="20% - Accent6 4 2 2 2" xfId="18080"/>
    <cellStyle name="20% - Accent6 4 2 2 3" xfId="18081"/>
    <cellStyle name="20% - Accent6 4 2 3" xfId="18082"/>
    <cellStyle name="20% - Accent6 4 2 3 2" xfId="18083"/>
    <cellStyle name="20% - Accent6 4 2 3 3" xfId="18084"/>
    <cellStyle name="20% - Accent6 4 2 4" xfId="18085"/>
    <cellStyle name="20% - Accent6 4 2 4 2" xfId="18086"/>
    <cellStyle name="20% - Accent6 4 2 4 3" xfId="18087"/>
    <cellStyle name="20% - Accent6 4 2 5" xfId="18088"/>
    <cellStyle name="20% - Accent6 4 2 5 2" xfId="18089"/>
    <cellStyle name="20% - Accent6 4 2 5 3" xfId="18090"/>
    <cellStyle name="20% - Accent6 4 2 6" xfId="18091"/>
    <cellStyle name="20% - Accent6 4 2 6 2" xfId="18092"/>
    <cellStyle name="20% - Accent6 4 2 6 3" xfId="18093"/>
    <cellStyle name="20% - Accent6 4 2 7" xfId="18094"/>
    <cellStyle name="20% - Accent6 4 2 7 2" xfId="18095"/>
    <cellStyle name="20% - Accent6 4 2 7 3" xfId="18096"/>
    <cellStyle name="20% - Accent6 4 2 8" xfId="18097"/>
    <cellStyle name="20% - Accent6 4 2 9" xfId="18098"/>
    <cellStyle name="20% - Accent6 4 2_2009 Actual" xfId="18099"/>
    <cellStyle name="20% - Accent6 4 3" xfId="18100"/>
    <cellStyle name="20% - Accent6 4 3 2" xfId="18101"/>
    <cellStyle name="20% - Accent6 4 3 3" xfId="18102"/>
    <cellStyle name="20% - Accent6 4 4" xfId="18103"/>
    <cellStyle name="20% - Accent6 4 4 2" xfId="18104"/>
    <cellStyle name="20% - Accent6 4 4 3" xfId="18105"/>
    <cellStyle name="20% - Accent6 4 5" xfId="18106"/>
    <cellStyle name="20% - Accent6 4 5 2" xfId="18107"/>
    <cellStyle name="20% - Accent6 4 5 3" xfId="18108"/>
    <cellStyle name="20% - Accent6 4 6" xfId="18109"/>
    <cellStyle name="20% - Accent6 4 6 2" xfId="18110"/>
    <cellStyle name="20% - Accent6 4 6 3" xfId="18111"/>
    <cellStyle name="20% - Accent6 4 7" xfId="18112"/>
    <cellStyle name="20% - Accent6 4 7 2" xfId="18113"/>
    <cellStyle name="20% - Accent6 4 7 3" xfId="18114"/>
    <cellStyle name="20% - Accent6 4 8" xfId="18115"/>
    <cellStyle name="20% - Accent6 4 8 2" xfId="18116"/>
    <cellStyle name="20% - Accent6 4 8 3" xfId="18117"/>
    <cellStyle name="20% - Accent6 4 9" xfId="18118"/>
    <cellStyle name="20% - Accent6 4_2009 Actual" xfId="18119"/>
    <cellStyle name="20% - Accent6 40" xfId="18120"/>
    <cellStyle name="20% - Accent6 40 2" xfId="18121"/>
    <cellStyle name="20% - Accent6 40 2 2" xfId="18122"/>
    <cellStyle name="20% - Accent6 40 2 3" xfId="18123"/>
    <cellStyle name="20% - Accent6 40 3" xfId="18124"/>
    <cellStyle name="20% - Accent6 40 3 2" xfId="18125"/>
    <cellStyle name="20% - Accent6 40 4" xfId="18126"/>
    <cellStyle name="20% - Accent6 40 5" xfId="18127"/>
    <cellStyle name="20% - Accent6 41" xfId="18128"/>
    <cellStyle name="20% - Accent6 41 2" xfId="18129"/>
    <cellStyle name="20% - Accent6 41 2 2" xfId="18130"/>
    <cellStyle name="20% - Accent6 41 2 3" xfId="18131"/>
    <cellStyle name="20% - Accent6 41 3" xfId="18132"/>
    <cellStyle name="20% - Accent6 41 3 2" xfId="18133"/>
    <cellStyle name="20% - Accent6 41 4" xfId="18134"/>
    <cellStyle name="20% - Accent6 41 5" xfId="18135"/>
    <cellStyle name="20% - Accent6 42" xfId="18136"/>
    <cellStyle name="20% - Accent6 42 2" xfId="18137"/>
    <cellStyle name="20% - Accent6 42 2 2" xfId="18138"/>
    <cellStyle name="20% - Accent6 42 2 3" xfId="18139"/>
    <cellStyle name="20% - Accent6 42 3" xfId="18140"/>
    <cellStyle name="20% - Accent6 42 3 2" xfId="18141"/>
    <cellStyle name="20% - Accent6 42 4" xfId="18142"/>
    <cellStyle name="20% - Accent6 42 5" xfId="18143"/>
    <cellStyle name="20% - Accent6 43" xfId="18144"/>
    <cellStyle name="20% - Accent6 43 2" xfId="18145"/>
    <cellStyle name="20% - Accent6 43 2 2" xfId="18146"/>
    <cellStyle name="20% - Accent6 43 2 3" xfId="18147"/>
    <cellStyle name="20% - Accent6 43 3" xfId="18148"/>
    <cellStyle name="20% - Accent6 43 3 2" xfId="18149"/>
    <cellStyle name="20% - Accent6 43 4" xfId="18150"/>
    <cellStyle name="20% - Accent6 43 5" xfId="18151"/>
    <cellStyle name="20% - Accent6 44" xfId="18152"/>
    <cellStyle name="20% - Accent6 44 2" xfId="18153"/>
    <cellStyle name="20% - Accent6 44 2 2" xfId="18154"/>
    <cellStyle name="20% - Accent6 44 2 3" xfId="18155"/>
    <cellStyle name="20% - Accent6 44 3" xfId="18156"/>
    <cellStyle name="20% - Accent6 44 3 2" xfId="18157"/>
    <cellStyle name="20% - Accent6 44 4" xfId="18158"/>
    <cellStyle name="20% - Accent6 44 5" xfId="18159"/>
    <cellStyle name="20% - Accent6 45" xfId="18160"/>
    <cellStyle name="20% - Accent6 45 2" xfId="18161"/>
    <cellStyle name="20% - Accent6 45 2 2" xfId="18162"/>
    <cellStyle name="20% - Accent6 45 2 3" xfId="18163"/>
    <cellStyle name="20% - Accent6 45 3" xfId="18164"/>
    <cellStyle name="20% - Accent6 45 3 2" xfId="18165"/>
    <cellStyle name="20% - Accent6 45 4" xfId="18166"/>
    <cellStyle name="20% - Accent6 45 5" xfId="18167"/>
    <cellStyle name="20% - Accent6 46" xfId="18168"/>
    <cellStyle name="20% - Accent6 46 2" xfId="18169"/>
    <cellStyle name="20% - Accent6 46 2 2" xfId="18170"/>
    <cellStyle name="20% - Accent6 46 2 3" xfId="18171"/>
    <cellStyle name="20% - Accent6 46 3" xfId="18172"/>
    <cellStyle name="20% - Accent6 46 3 2" xfId="18173"/>
    <cellStyle name="20% - Accent6 46 4" xfId="18174"/>
    <cellStyle name="20% - Accent6 46 5" xfId="18175"/>
    <cellStyle name="20% - Accent6 47" xfId="18176"/>
    <cellStyle name="20% - Accent6 47 2" xfId="18177"/>
    <cellStyle name="20% - Accent6 47 2 2" xfId="18178"/>
    <cellStyle name="20% - Accent6 47 2 3" xfId="18179"/>
    <cellStyle name="20% - Accent6 47 3" xfId="18180"/>
    <cellStyle name="20% - Accent6 47 3 2" xfId="18181"/>
    <cellStyle name="20% - Accent6 47 4" xfId="18182"/>
    <cellStyle name="20% - Accent6 47 5" xfId="18183"/>
    <cellStyle name="20% - Accent6 48" xfId="18184"/>
    <cellStyle name="20% - Accent6 48 2" xfId="18185"/>
    <cellStyle name="20% - Accent6 48 2 2" xfId="18186"/>
    <cellStyle name="20% - Accent6 48 2 3" xfId="18187"/>
    <cellStyle name="20% - Accent6 48 3" xfId="18188"/>
    <cellStyle name="20% - Accent6 48 3 2" xfId="18189"/>
    <cellStyle name="20% - Accent6 48 4" xfId="18190"/>
    <cellStyle name="20% - Accent6 48 5" xfId="18191"/>
    <cellStyle name="20% - Accent6 49" xfId="18192"/>
    <cellStyle name="20% - Accent6 49 2" xfId="18193"/>
    <cellStyle name="20% - Accent6 49 2 2" xfId="18194"/>
    <cellStyle name="20% - Accent6 49 2 3" xfId="18195"/>
    <cellStyle name="20% - Accent6 49 3" xfId="18196"/>
    <cellStyle name="20% - Accent6 49 3 2" xfId="18197"/>
    <cellStyle name="20% - Accent6 49 4" xfId="18198"/>
    <cellStyle name="20% - Accent6 49 5" xfId="18199"/>
    <cellStyle name="20% - Accent6 5" xfId="18200"/>
    <cellStyle name="20% - Accent6 5 10" xfId="18201"/>
    <cellStyle name="20% - Accent6 5 2" xfId="18202"/>
    <cellStyle name="20% - Accent6 5 2 2" xfId="18203"/>
    <cellStyle name="20% - Accent6 5 2 2 2" xfId="18204"/>
    <cellStyle name="20% - Accent6 5 2 2 3" xfId="18205"/>
    <cellStyle name="20% - Accent6 5 2 3" xfId="18206"/>
    <cellStyle name="20% - Accent6 5 2 3 2" xfId="18207"/>
    <cellStyle name="20% - Accent6 5 2 3 3" xfId="18208"/>
    <cellStyle name="20% - Accent6 5 2 4" xfId="18209"/>
    <cellStyle name="20% - Accent6 5 2 4 2" xfId="18210"/>
    <cellStyle name="20% - Accent6 5 2 4 3" xfId="18211"/>
    <cellStyle name="20% - Accent6 5 2 5" xfId="18212"/>
    <cellStyle name="20% - Accent6 5 2 5 2" xfId="18213"/>
    <cellStyle name="20% - Accent6 5 2 5 3" xfId="18214"/>
    <cellStyle name="20% - Accent6 5 2 6" xfId="18215"/>
    <cellStyle name="20% - Accent6 5 2 6 2" xfId="18216"/>
    <cellStyle name="20% - Accent6 5 2 6 3" xfId="18217"/>
    <cellStyle name="20% - Accent6 5 2 7" xfId="18218"/>
    <cellStyle name="20% - Accent6 5 2 7 2" xfId="18219"/>
    <cellStyle name="20% - Accent6 5 2 7 3" xfId="18220"/>
    <cellStyle name="20% - Accent6 5 2 8" xfId="18221"/>
    <cellStyle name="20% - Accent6 5 2 9" xfId="18222"/>
    <cellStyle name="20% - Accent6 5 2_2009 Actual" xfId="18223"/>
    <cellStyle name="20% - Accent6 5 3" xfId="18224"/>
    <cellStyle name="20% - Accent6 5 3 2" xfId="18225"/>
    <cellStyle name="20% - Accent6 5 3 3" xfId="18226"/>
    <cellStyle name="20% - Accent6 5 4" xfId="18227"/>
    <cellStyle name="20% - Accent6 5 4 2" xfId="18228"/>
    <cellStyle name="20% - Accent6 5 4 3" xfId="18229"/>
    <cellStyle name="20% - Accent6 5 5" xfId="18230"/>
    <cellStyle name="20% - Accent6 5 5 2" xfId="18231"/>
    <cellStyle name="20% - Accent6 5 5 3" xfId="18232"/>
    <cellStyle name="20% - Accent6 5 6" xfId="18233"/>
    <cellStyle name="20% - Accent6 5 6 2" xfId="18234"/>
    <cellStyle name="20% - Accent6 5 6 3" xfId="18235"/>
    <cellStyle name="20% - Accent6 5 7" xfId="18236"/>
    <cellStyle name="20% - Accent6 5 7 2" xfId="18237"/>
    <cellStyle name="20% - Accent6 5 7 3" xfId="18238"/>
    <cellStyle name="20% - Accent6 5 8" xfId="18239"/>
    <cellStyle name="20% - Accent6 5 8 2" xfId="18240"/>
    <cellStyle name="20% - Accent6 5 8 3" xfId="18241"/>
    <cellStyle name="20% - Accent6 5 9" xfId="18242"/>
    <cellStyle name="20% - Accent6 5_2009 Actual" xfId="18243"/>
    <cellStyle name="20% - Accent6 50" xfId="18244"/>
    <cellStyle name="20% - Accent6 50 2" xfId="18245"/>
    <cellStyle name="20% - Accent6 50 2 2" xfId="18246"/>
    <cellStyle name="20% - Accent6 50 2 3" xfId="18247"/>
    <cellStyle name="20% - Accent6 50 3" xfId="18248"/>
    <cellStyle name="20% - Accent6 50 3 2" xfId="18249"/>
    <cellStyle name="20% - Accent6 50 4" xfId="18250"/>
    <cellStyle name="20% - Accent6 50 5" xfId="18251"/>
    <cellStyle name="20% - Accent6 51" xfId="18252"/>
    <cellStyle name="20% - Accent6 51 2" xfId="18253"/>
    <cellStyle name="20% - Accent6 51 2 2" xfId="18254"/>
    <cellStyle name="20% - Accent6 51 2 3" xfId="18255"/>
    <cellStyle name="20% - Accent6 51 3" xfId="18256"/>
    <cellStyle name="20% - Accent6 51 3 2" xfId="18257"/>
    <cellStyle name="20% - Accent6 51 4" xfId="18258"/>
    <cellStyle name="20% - Accent6 51 5" xfId="18259"/>
    <cellStyle name="20% - Accent6 52" xfId="18260"/>
    <cellStyle name="20% - Accent6 52 2" xfId="18261"/>
    <cellStyle name="20% - Accent6 52 2 2" xfId="18262"/>
    <cellStyle name="20% - Accent6 52 2 3" xfId="18263"/>
    <cellStyle name="20% - Accent6 52 3" xfId="18264"/>
    <cellStyle name="20% - Accent6 52 3 2" xfId="18265"/>
    <cellStyle name="20% - Accent6 52 4" xfId="18266"/>
    <cellStyle name="20% - Accent6 52 5" xfId="18267"/>
    <cellStyle name="20% - Accent6 53" xfId="18268"/>
    <cellStyle name="20% - Accent6 53 2" xfId="18269"/>
    <cellStyle name="20% - Accent6 53 2 2" xfId="18270"/>
    <cellStyle name="20% - Accent6 53 2 3" xfId="18271"/>
    <cellStyle name="20% - Accent6 53 3" xfId="18272"/>
    <cellStyle name="20% - Accent6 53 3 2" xfId="18273"/>
    <cellStyle name="20% - Accent6 53 4" xfId="18274"/>
    <cellStyle name="20% - Accent6 53 5" xfId="18275"/>
    <cellStyle name="20% - Accent6 54" xfId="18276"/>
    <cellStyle name="20% - Accent6 54 2" xfId="18277"/>
    <cellStyle name="20% - Accent6 54 2 2" xfId="18278"/>
    <cellStyle name="20% - Accent6 54 2 3" xfId="18279"/>
    <cellStyle name="20% - Accent6 54 3" xfId="18280"/>
    <cellStyle name="20% - Accent6 54 3 2" xfId="18281"/>
    <cellStyle name="20% - Accent6 54 4" xfId="18282"/>
    <cellStyle name="20% - Accent6 54 5" xfId="18283"/>
    <cellStyle name="20% - Accent6 55" xfId="18284"/>
    <cellStyle name="20% - Accent6 55 2" xfId="18285"/>
    <cellStyle name="20% - Accent6 55 2 2" xfId="18286"/>
    <cellStyle name="20% - Accent6 55 2 3" xfId="18287"/>
    <cellStyle name="20% - Accent6 55 3" xfId="18288"/>
    <cellStyle name="20% - Accent6 55 3 2" xfId="18289"/>
    <cellStyle name="20% - Accent6 55 4" xfId="18290"/>
    <cellStyle name="20% - Accent6 55 5" xfId="18291"/>
    <cellStyle name="20% - Accent6 56" xfId="18292"/>
    <cellStyle name="20% - Accent6 56 2" xfId="18293"/>
    <cellStyle name="20% - Accent6 56 2 2" xfId="18294"/>
    <cellStyle name="20% - Accent6 56 2 3" xfId="18295"/>
    <cellStyle name="20% - Accent6 56 3" xfId="18296"/>
    <cellStyle name="20% - Accent6 56 3 2" xfId="18297"/>
    <cellStyle name="20% - Accent6 56 4" xfId="18298"/>
    <cellStyle name="20% - Accent6 56 5" xfId="18299"/>
    <cellStyle name="20% - Accent6 57" xfId="18300"/>
    <cellStyle name="20% - Accent6 57 2" xfId="18301"/>
    <cellStyle name="20% - Accent6 57 2 2" xfId="18302"/>
    <cellStyle name="20% - Accent6 57 2 3" xfId="18303"/>
    <cellStyle name="20% - Accent6 57 3" xfId="18304"/>
    <cellStyle name="20% - Accent6 57 3 2" xfId="18305"/>
    <cellStyle name="20% - Accent6 57 4" xfId="18306"/>
    <cellStyle name="20% - Accent6 57 5" xfId="18307"/>
    <cellStyle name="20% - Accent6 58" xfId="18308"/>
    <cellStyle name="20% - Accent6 58 2" xfId="18309"/>
    <cellStyle name="20% - Accent6 58 2 2" xfId="18310"/>
    <cellStyle name="20% - Accent6 58 2 3" xfId="18311"/>
    <cellStyle name="20% - Accent6 58 3" xfId="18312"/>
    <cellStyle name="20% - Accent6 58 3 2" xfId="18313"/>
    <cellStyle name="20% - Accent6 58 4" xfId="18314"/>
    <cellStyle name="20% - Accent6 58 5" xfId="18315"/>
    <cellStyle name="20% - Accent6 59" xfId="18316"/>
    <cellStyle name="20% - Accent6 59 2" xfId="18317"/>
    <cellStyle name="20% - Accent6 59 2 2" xfId="18318"/>
    <cellStyle name="20% - Accent6 59 2 3" xfId="18319"/>
    <cellStyle name="20% - Accent6 59 3" xfId="18320"/>
    <cellStyle name="20% - Accent6 59 3 2" xfId="18321"/>
    <cellStyle name="20% - Accent6 59 4" xfId="18322"/>
    <cellStyle name="20% - Accent6 59 5" xfId="18323"/>
    <cellStyle name="20% - Accent6 6" xfId="18324"/>
    <cellStyle name="20% - Accent6 6 2" xfId="18325"/>
    <cellStyle name="20% - Accent6 6 2 2" xfId="18326"/>
    <cellStyle name="20% - Accent6 6 2 3" xfId="18327"/>
    <cellStyle name="20% - Accent6 6 3" xfId="18328"/>
    <cellStyle name="20% - Accent6 6 3 2" xfId="18329"/>
    <cellStyle name="20% - Accent6 6 3 3" xfId="18330"/>
    <cellStyle name="20% - Accent6 6 4" xfId="18331"/>
    <cellStyle name="20% - Accent6 6 4 2" xfId="18332"/>
    <cellStyle name="20% - Accent6 6 4 3" xfId="18333"/>
    <cellStyle name="20% - Accent6 6 5" xfId="18334"/>
    <cellStyle name="20% - Accent6 6 5 2" xfId="18335"/>
    <cellStyle name="20% - Accent6 6 5 3" xfId="18336"/>
    <cellStyle name="20% - Accent6 6 6" xfId="18337"/>
    <cellStyle name="20% - Accent6 6 6 2" xfId="18338"/>
    <cellStyle name="20% - Accent6 6 6 3" xfId="18339"/>
    <cellStyle name="20% - Accent6 6 7" xfId="18340"/>
    <cellStyle name="20% - Accent6 6 7 2" xfId="18341"/>
    <cellStyle name="20% - Accent6 6 7 3" xfId="18342"/>
    <cellStyle name="20% - Accent6 6 8" xfId="18343"/>
    <cellStyle name="20% - Accent6 6 9" xfId="18344"/>
    <cellStyle name="20% - Accent6 6_2009 Actual" xfId="18345"/>
    <cellStyle name="20% - Accent6 60" xfId="18346"/>
    <cellStyle name="20% - Accent6 60 2" xfId="18347"/>
    <cellStyle name="20% - Accent6 60 2 2" xfId="18348"/>
    <cellStyle name="20% - Accent6 60 2 3" xfId="18349"/>
    <cellStyle name="20% - Accent6 60 3" xfId="18350"/>
    <cellStyle name="20% - Accent6 60 3 2" xfId="18351"/>
    <cellStyle name="20% - Accent6 60 4" xfId="18352"/>
    <cellStyle name="20% - Accent6 60 5" xfId="18353"/>
    <cellStyle name="20% - Accent6 61" xfId="18354"/>
    <cellStyle name="20% - Accent6 61 2" xfId="18355"/>
    <cellStyle name="20% - Accent6 61 2 2" xfId="18356"/>
    <cellStyle name="20% - Accent6 61 2 3" xfId="18357"/>
    <cellStyle name="20% - Accent6 61 3" xfId="18358"/>
    <cellStyle name="20% - Accent6 61 3 2" xfId="18359"/>
    <cellStyle name="20% - Accent6 61 4" xfId="18360"/>
    <cellStyle name="20% - Accent6 61 5" xfId="18361"/>
    <cellStyle name="20% - Accent6 62" xfId="18362"/>
    <cellStyle name="20% - Accent6 62 2" xfId="18363"/>
    <cellStyle name="20% - Accent6 62 2 2" xfId="18364"/>
    <cellStyle name="20% - Accent6 62 2 3" xfId="18365"/>
    <cellStyle name="20% - Accent6 62 3" xfId="18366"/>
    <cellStyle name="20% - Accent6 62 3 2" xfId="18367"/>
    <cellStyle name="20% - Accent6 62 4" xfId="18368"/>
    <cellStyle name="20% - Accent6 62 5" xfId="18369"/>
    <cellStyle name="20% - Accent6 63" xfId="18370"/>
    <cellStyle name="20% - Accent6 63 2" xfId="18371"/>
    <cellStyle name="20% - Accent6 63 2 2" xfId="18372"/>
    <cellStyle name="20% - Accent6 63 2 3" xfId="18373"/>
    <cellStyle name="20% - Accent6 63 3" xfId="18374"/>
    <cellStyle name="20% - Accent6 63 3 2" xfId="18375"/>
    <cellStyle name="20% - Accent6 63 4" xfId="18376"/>
    <cellStyle name="20% - Accent6 63 5" xfId="18377"/>
    <cellStyle name="20% - Accent6 64" xfId="18378"/>
    <cellStyle name="20% - Accent6 64 2" xfId="18379"/>
    <cellStyle name="20% - Accent6 64 2 2" xfId="18380"/>
    <cellStyle name="20% - Accent6 64 2 3" xfId="18381"/>
    <cellStyle name="20% - Accent6 64 3" xfId="18382"/>
    <cellStyle name="20% - Accent6 64 3 2" xfId="18383"/>
    <cellStyle name="20% - Accent6 64 4" xfId="18384"/>
    <cellStyle name="20% - Accent6 64 5" xfId="18385"/>
    <cellStyle name="20% - Accent6 65" xfId="18386"/>
    <cellStyle name="20% - Accent6 65 2" xfId="18387"/>
    <cellStyle name="20% - Accent6 65 2 2" xfId="18388"/>
    <cellStyle name="20% - Accent6 65 2 3" xfId="18389"/>
    <cellStyle name="20% - Accent6 65 3" xfId="18390"/>
    <cellStyle name="20% - Accent6 65 3 2" xfId="18391"/>
    <cellStyle name="20% - Accent6 65 4" xfId="18392"/>
    <cellStyle name="20% - Accent6 65 5" xfId="18393"/>
    <cellStyle name="20% - Accent6 66" xfId="18394"/>
    <cellStyle name="20% - Accent6 66 2" xfId="18395"/>
    <cellStyle name="20% - Accent6 66 2 2" xfId="18396"/>
    <cellStyle name="20% - Accent6 66 3" xfId="18397"/>
    <cellStyle name="20% - Accent6 66 4" xfId="18398"/>
    <cellStyle name="20% - Accent6 67" xfId="18399"/>
    <cellStyle name="20% - Accent6 67 2" xfId="18400"/>
    <cellStyle name="20% - Accent6 67 2 2" xfId="18401"/>
    <cellStyle name="20% - Accent6 67 3" xfId="18402"/>
    <cellStyle name="20% - Accent6 67 4" xfId="18403"/>
    <cellStyle name="20% - Accent6 68" xfId="18404"/>
    <cellStyle name="20% - Accent6 68 2" xfId="18405"/>
    <cellStyle name="20% - Accent6 68 2 2" xfId="18406"/>
    <cellStyle name="20% - Accent6 68 3" xfId="18407"/>
    <cellStyle name="20% - Accent6 68 4" xfId="18408"/>
    <cellStyle name="20% - Accent6 69" xfId="18409"/>
    <cellStyle name="20% - Accent6 69 2" xfId="18410"/>
    <cellStyle name="20% - Accent6 69 2 2" xfId="18411"/>
    <cellStyle name="20% - Accent6 69 3" xfId="18412"/>
    <cellStyle name="20% - Accent6 69 4" xfId="18413"/>
    <cellStyle name="20% - Accent6 7" xfId="18414"/>
    <cellStyle name="20% - Accent6 7 2" xfId="18415"/>
    <cellStyle name="20% - Accent6 7 2 2" xfId="18416"/>
    <cellStyle name="20% - Accent6 7 2 3" xfId="18417"/>
    <cellStyle name="20% - Accent6 7 3" xfId="18418"/>
    <cellStyle name="20% - Accent6 7 3 2" xfId="18419"/>
    <cellStyle name="20% - Accent6 7 3 3" xfId="18420"/>
    <cellStyle name="20% - Accent6 7 4" xfId="18421"/>
    <cellStyle name="20% - Accent6 7 4 2" xfId="18422"/>
    <cellStyle name="20% - Accent6 7 4 3" xfId="18423"/>
    <cellStyle name="20% - Accent6 7 5" xfId="18424"/>
    <cellStyle name="20% - Accent6 7 5 2" xfId="18425"/>
    <cellStyle name="20% - Accent6 7 5 3" xfId="18426"/>
    <cellStyle name="20% - Accent6 7 6" xfId="18427"/>
    <cellStyle name="20% - Accent6 7 6 2" xfId="18428"/>
    <cellStyle name="20% - Accent6 7 6 3" xfId="18429"/>
    <cellStyle name="20% - Accent6 7 7" xfId="18430"/>
    <cellStyle name="20% - Accent6 7 7 2" xfId="18431"/>
    <cellStyle name="20% - Accent6 7 7 3" xfId="18432"/>
    <cellStyle name="20% - Accent6 7 8" xfId="18433"/>
    <cellStyle name="20% - Accent6 7 9" xfId="18434"/>
    <cellStyle name="20% - Accent6 7_2009 Actual" xfId="18435"/>
    <cellStyle name="20% - Accent6 70" xfId="18436"/>
    <cellStyle name="20% - Accent6 70 2" xfId="18437"/>
    <cellStyle name="20% - Accent6 70 2 2" xfId="18438"/>
    <cellStyle name="20% - Accent6 70 3" xfId="18439"/>
    <cellStyle name="20% - Accent6 70 4" xfId="18440"/>
    <cellStyle name="20% - Accent6 71" xfId="18441"/>
    <cellStyle name="20% - Accent6 71 2" xfId="18442"/>
    <cellStyle name="20% - Accent6 71 2 2" xfId="18443"/>
    <cellStyle name="20% - Accent6 71 3" xfId="18444"/>
    <cellStyle name="20% - Accent6 71 4" xfId="18445"/>
    <cellStyle name="20% - Accent6 72" xfId="18446"/>
    <cellStyle name="20% - Accent6 72 2" xfId="18447"/>
    <cellStyle name="20% - Accent6 72 2 2" xfId="18448"/>
    <cellStyle name="20% - Accent6 72 3" xfId="18449"/>
    <cellStyle name="20% - Accent6 72 4" xfId="18450"/>
    <cellStyle name="20% - Accent6 73" xfId="18451"/>
    <cellStyle name="20% - Accent6 73 2" xfId="18452"/>
    <cellStyle name="20% - Accent6 73 2 2" xfId="18453"/>
    <cellStyle name="20% - Accent6 73 3" xfId="18454"/>
    <cellStyle name="20% - Accent6 73 4" xfId="18455"/>
    <cellStyle name="20% - Accent6 74" xfId="18456"/>
    <cellStyle name="20% - Accent6 74 2" xfId="18457"/>
    <cellStyle name="20% - Accent6 74 2 2" xfId="18458"/>
    <cellStyle name="20% - Accent6 74 3" xfId="18459"/>
    <cellStyle name="20% - Accent6 74 4" xfId="18460"/>
    <cellStyle name="20% - Accent6 75" xfId="18461"/>
    <cellStyle name="20% - Accent6 75 2" xfId="18462"/>
    <cellStyle name="20% - Accent6 75 2 2" xfId="18463"/>
    <cellStyle name="20% - Accent6 75 3" xfId="18464"/>
    <cellStyle name="20% - Accent6 75 4" xfId="18465"/>
    <cellStyle name="20% - Accent6 76" xfId="18466"/>
    <cellStyle name="20% - Accent6 76 2" xfId="18467"/>
    <cellStyle name="20% - Accent6 76 2 2" xfId="18468"/>
    <cellStyle name="20% - Accent6 76 3" xfId="18469"/>
    <cellStyle name="20% - Accent6 76 4" xfId="18470"/>
    <cellStyle name="20% - Accent6 77" xfId="18471"/>
    <cellStyle name="20% - Accent6 77 2" xfId="18472"/>
    <cellStyle name="20% - Accent6 77 2 2" xfId="18473"/>
    <cellStyle name="20% - Accent6 77 3" xfId="18474"/>
    <cellStyle name="20% - Accent6 77 4" xfId="18475"/>
    <cellStyle name="20% - Accent6 78" xfId="18476"/>
    <cellStyle name="20% - Accent6 78 2" xfId="18477"/>
    <cellStyle name="20% - Accent6 78 2 2" xfId="18478"/>
    <cellStyle name="20% - Accent6 78 3" xfId="18479"/>
    <cellStyle name="20% - Accent6 78 4" xfId="18480"/>
    <cellStyle name="20% - Accent6 79" xfId="18481"/>
    <cellStyle name="20% - Accent6 79 2" xfId="18482"/>
    <cellStyle name="20% - Accent6 79 2 2" xfId="18483"/>
    <cellStyle name="20% - Accent6 79 3" xfId="18484"/>
    <cellStyle name="20% - Accent6 79 4" xfId="18485"/>
    <cellStyle name="20% - Accent6 8" xfId="18486"/>
    <cellStyle name="20% - Accent6 8 2" xfId="18487"/>
    <cellStyle name="20% - Accent6 8 2 2" xfId="18488"/>
    <cellStyle name="20% - Accent6 8 2 3" xfId="18489"/>
    <cellStyle name="20% - Accent6 8 3" xfId="18490"/>
    <cellStyle name="20% - Accent6 8 3 2" xfId="18491"/>
    <cellStyle name="20% - Accent6 8 3 3" xfId="18492"/>
    <cellStyle name="20% - Accent6 8 4" xfId="18493"/>
    <cellStyle name="20% - Accent6 8 4 2" xfId="18494"/>
    <cellStyle name="20% - Accent6 8 4 3" xfId="18495"/>
    <cellStyle name="20% - Accent6 8 5" xfId="18496"/>
    <cellStyle name="20% - Accent6 8 5 2" xfId="18497"/>
    <cellStyle name="20% - Accent6 8 5 3" xfId="18498"/>
    <cellStyle name="20% - Accent6 8 6" xfId="18499"/>
    <cellStyle name="20% - Accent6 8 6 2" xfId="18500"/>
    <cellStyle name="20% - Accent6 8 6 3" xfId="18501"/>
    <cellStyle name="20% - Accent6 8 7" xfId="18502"/>
    <cellStyle name="20% - Accent6 8 7 2" xfId="18503"/>
    <cellStyle name="20% - Accent6 8 7 3" xfId="18504"/>
    <cellStyle name="20% - Accent6 8 8" xfId="18505"/>
    <cellStyle name="20% - Accent6 8 9" xfId="18506"/>
    <cellStyle name="20% - Accent6 8_2009 Actual" xfId="18507"/>
    <cellStyle name="20% - Accent6 80" xfId="18508"/>
    <cellStyle name="20% - Accent6 80 2" xfId="18509"/>
    <cellStyle name="20% - Accent6 80 2 2" xfId="18510"/>
    <cellStyle name="20% - Accent6 80 3" xfId="18511"/>
    <cellStyle name="20% - Accent6 80 4" xfId="18512"/>
    <cellStyle name="20% - Accent6 81" xfId="18513"/>
    <cellStyle name="20% - Accent6 81 2" xfId="18514"/>
    <cellStyle name="20% - Accent6 81 2 2" xfId="18515"/>
    <cellStyle name="20% - Accent6 81 3" xfId="18516"/>
    <cellStyle name="20% - Accent6 81 4" xfId="18517"/>
    <cellStyle name="20% - Accent6 82" xfId="18518"/>
    <cellStyle name="20% - Accent6 82 2" xfId="18519"/>
    <cellStyle name="20% - Accent6 82 2 2" xfId="18520"/>
    <cellStyle name="20% - Accent6 82 3" xfId="18521"/>
    <cellStyle name="20% - Accent6 82 4" xfId="18522"/>
    <cellStyle name="20% - Accent6 83" xfId="18523"/>
    <cellStyle name="20% - Accent6 83 2" xfId="18524"/>
    <cellStyle name="20% - Accent6 83 2 2" xfId="18525"/>
    <cellStyle name="20% - Accent6 83 3" xfId="18526"/>
    <cellStyle name="20% - Accent6 83 4" xfId="18527"/>
    <cellStyle name="20% - Accent6 84" xfId="18528"/>
    <cellStyle name="20% - Accent6 84 2" xfId="18529"/>
    <cellStyle name="20% - Accent6 84 2 2" xfId="18530"/>
    <cellStyle name="20% - Accent6 84 3" xfId="18531"/>
    <cellStyle name="20% - Accent6 84 4" xfId="18532"/>
    <cellStyle name="20% - Accent6 85" xfId="18533"/>
    <cellStyle name="20% - Accent6 85 2" xfId="18534"/>
    <cellStyle name="20% - Accent6 85 2 2" xfId="18535"/>
    <cellStyle name="20% - Accent6 85 3" xfId="18536"/>
    <cellStyle name="20% - Accent6 85 4" xfId="18537"/>
    <cellStyle name="20% - Accent6 86" xfId="18538"/>
    <cellStyle name="20% - Accent6 86 2" xfId="18539"/>
    <cellStyle name="20% - Accent6 86 2 2" xfId="18540"/>
    <cellStyle name="20% - Accent6 86 3" xfId="18541"/>
    <cellStyle name="20% - Accent6 86 4" xfId="18542"/>
    <cellStyle name="20% - Accent6 87" xfId="18543"/>
    <cellStyle name="20% - Accent6 87 2" xfId="18544"/>
    <cellStyle name="20% - Accent6 87 2 2" xfId="18545"/>
    <cellStyle name="20% - Accent6 87 3" xfId="18546"/>
    <cellStyle name="20% - Accent6 87 4" xfId="18547"/>
    <cellStyle name="20% - Accent6 88" xfId="18548"/>
    <cellStyle name="20% - Accent6 88 2" xfId="18549"/>
    <cellStyle name="20% - Accent6 88 2 2" xfId="18550"/>
    <cellStyle name="20% - Accent6 88 3" xfId="18551"/>
    <cellStyle name="20% - Accent6 88 4" xfId="18552"/>
    <cellStyle name="20% - Accent6 89" xfId="18553"/>
    <cellStyle name="20% - Accent6 89 2" xfId="18554"/>
    <cellStyle name="20% - Accent6 89 2 2" xfId="18555"/>
    <cellStyle name="20% - Accent6 89 3" xfId="18556"/>
    <cellStyle name="20% - Accent6 89 4" xfId="18557"/>
    <cellStyle name="20% - Accent6 9" xfId="18558"/>
    <cellStyle name="20% - Accent6 9 2" xfId="18559"/>
    <cellStyle name="20% - Accent6 9 2 2" xfId="18560"/>
    <cellStyle name="20% - Accent6 9 2 3" xfId="18561"/>
    <cellStyle name="20% - Accent6 9 3" xfId="18562"/>
    <cellStyle name="20% - Accent6 9 3 2" xfId="18563"/>
    <cellStyle name="20% - Accent6 9 3 3" xfId="18564"/>
    <cellStyle name="20% - Accent6 9 4" xfId="18565"/>
    <cellStyle name="20% - Accent6 9 4 2" xfId="18566"/>
    <cellStyle name="20% - Accent6 9 4 3" xfId="18567"/>
    <cellStyle name="20% - Accent6 9 5" xfId="18568"/>
    <cellStyle name="20% - Accent6 9 5 2" xfId="18569"/>
    <cellStyle name="20% - Accent6 9 5 3" xfId="18570"/>
    <cellStyle name="20% - Accent6 9 6" xfId="18571"/>
    <cellStyle name="20% - Accent6 9 6 2" xfId="18572"/>
    <cellStyle name="20% - Accent6 9 6 3" xfId="18573"/>
    <cellStyle name="20% - Accent6 9 7" xfId="18574"/>
    <cellStyle name="20% - Accent6 9 7 2" xfId="18575"/>
    <cellStyle name="20% - Accent6 9 7 3" xfId="18576"/>
    <cellStyle name="20% - Accent6 9 8" xfId="18577"/>
    <cellStyle name="20% - Accent6 9 9" xfId="18578"/>
    <cellStyle name="20% - Accent6 9_2009 Actual" xfId="18579"/>
    <cellStyle name="20% - Accent6 90" xfId="18580"/>
    <cellStyle name="20% - Accent6 90 2" xfId="18581"/>
    <cellStyle name="20% - Accent6 90 2 2" xfId="18582"/>
    <cellStyle name="20% - Accent6 90 3" xfId="18583"/>
    <cellStyle name="20% - Accent6 90 4" xfId="18584"/>
    <cellStyle name="20% - Accent6 91" xfId="18585"/>
    <cellStyle name="20% - Accent6 91 2" xfId="18586"/>
    <cellStyle name="20% - Accent6 91 3" xfId="18587"/>
    <cellStyle name="20% - Accent6 92" xfId="18588"/>
    <cellStyle name="20% - Accent6 92 2" xfId="18589"/>
    <cellStyle name="20% - Accent6 93" xfId="18590"/>
    <cellStyle name="20% - Accent6 93 2" xfId="18591"/>
    <cellStyle name="20% - Accent6 94" xfId="18592"/>
    <cellStyle name="20% - Accent6 94 2" xfId="18593"/>
    <cellStyle name="20% - Accent6 95" xfId="18594"/>
    <cellStyle name="20% - Accent6 95 2" xfId="18595"/>
    <cellStyle name="20% - Accent6 96" xfId="18596"/>
    <cellStyle name="20% - Accent6 96 2" xfId="18597"/>
    <cellStyle name="20% - Accent6 97" xfId="18598"/>
    <cellStyle name="20% - Accent6 97 2" xfId="18599"/>
    <cellStyle name="20% - Accent6 98" xfId="18600"/>
    <cellStyle name="20% - Accent6 98 2" xfId="18601"/>
    <cellStyle name="20% - Accent6 99" xfId="18602"/>
    <cellStyle name="20% - Accent6 99 2" xfId="18603"/>
    <cellStyle name="2-Blue-Input" xfId="18604"/>
    <cellStyle name="3-DarkRed-Data Oth Wks" xfId="18605"/>
    <cellStyle name="40% - Accent1 10" xfId="18606"/>
    <cellStyle name="40% - Accent1 10 2" xfId="18607"/>
    <cellStyle name="40% - Accent1 10 3" xfId="18608"/>
    <cellStyle name="40% - Accent1 10 4" xfId="18609"/>
    <cellStyle name="40% - Accent1 10 5" xfId="18610"/>
    <cellStyle name="40% - Accent1 10 6" xfId="18611"/>
    <cellStyle name="40% - Accent1 10 7" xfId="18612"/>
    <cellStyle name="40% - Accent1 10 8" xfId="18613"/>
    <cellStyle name="40% - Accent1 10_2009 Actual" xfId="18614"/>
    <cellStyle name="40% - Accent1 100" xfId="18615"/>
    <cellStyle name="40% - Accent1 101" xfId="18616"/>
    <cellStyle name="40% - Accent1 102" xfId="18617"/>
    <cellStyle name="40% - Accent1 103" xfId="18618"/>
    <cellStyle name="40% - Accent1 104" xfId="18619"/>
    <cellStyle name="40% - Accent1 105" xfId="18620"/>
    <cellStyle name="40% - Accent1 106" xfId="18621"/>
    <cellStyle name="40% - Accent1 107" xfId="18622"/>
    <cellStyle name="40% - Accent1 108" xfId="18623"/>
    <cellStyle name="40% - Accent1 109" xfId="18624"/>
    <cellStyle name="40% - Accent1 11" xfId="18625"/>
    <cellStyle name="40% - Accent1 11 2" xfId="18626"/>
    <cellStyle name="40% - Accent1 11 3" xfId="18627"/>
    <cellStyle name="40% - Accent1 11 4" xfId="18628"/>
    <cellStyle name="40% - Accent1 11 5" xfId="18629"/>
    <cellStyle name="40% - Accent1 11 6" xfId="18630"/>
    <cellStyle name="40% - Accent1 11 7" xfId="18631"/>
    <cellStyle name="40% - Accent1 11 8" xfId="18632"/>
    <cellStyle name="40% - Accent1 11_2009 Actual" xfId="18633"/>
    <cellStyle name="40% - Accent1 110" xfId="18634"/>
    <cellStyle name="40% - Accent1 111" xfId="18635"/>
    <cellStyle name="40% - Accent1 112" xfId="18636"/>
    <cellStyle name="40% - Accent1 113" xfId="18637"/>
    <cellStyle name="40% - Accent1 114" xfId="18638"/>
    <cellStyle name="40% - Accent1 115" xfId="18639"/>
    <cellStyle name="40% - Accent1 116" xfId="18640"/>
    <cellStyle name="40% - Accent1 117" xfId="18641"/>
    <cellStyle name="40% - Accent1 118" xfId="18642"/>
    <cellStyle name="40% - Accent1 119" xfId="18643"/>
    <cellStyle name="40% - Accent1 12" xfId="18644"/>
    <cellStyle name="40% - Accent1 12 10" xfId="18645"/>
    <cellStyle name="40% - Accent1 12 11" xfId="18646"/>
    <cellStyle name="40% - Accent1 12 2" xfId="18647"/>
    <cellStyle name="40% - Accent1 12 2 2" xfId="18648"/>
    <cellStyle name="40% - Accent1 12 2 3" xfId="18649"/>
    <cellStyle name="40% - Accent1 12 2_Elec Margin Analysis" xfId="18650"/>
    <cellStyle name="40% - Accent1 12 3" xfId="18651"/>
    <cellStyle name="40% - Accent1 12 3 2" xfId="18652"/>
    <cellStyle name="40% - Accent1 12 3 3" xfId="18653"/>
    <cellStyle name="40% - Accent1 12 3_Elec Margin Analysis" xfId="18654"/>
    <cellStyle name="40% - Accent1 12 4" xfId="18655"/>
    <cellStyle name="40% - Accent1 12 4 2" xfId="18656"/>
    <cellStyle name="40% - Accent1 12 4 3" xfId="18657"/>
    <cellStyle name="40% - Accent1 12 4_Elec Margin Analysis" xfId="18658"/>
    <cellStyle name="40% - Accent1 12 5" xfId="18659"/>
    <cellStyle name="40% - Accent1 12 5 2" xfId="18660"/>
    <cellStyle name="40% - Accent1 12 5 3" xfId="18661"/>
    <cellStyle name="40% - Accent1 12 5_Elec Margin Analysis" xfId="18662"/>
    <cellStyle name="40% - Accent1 12 6" xfId="18663"/>
    <cellStyle name="40% - Accent1 12 6 2" xfId="18664"/>
    <cellStyle name="40% - Accent1 12 6 3" xfId="18665"/>
    <cellStyle name="40% - Accent1 12 7" xfId="18666"/>
    <cellStyle name="40% - Accent1 12 8" xfId="18667"/>
    <cellStyle name="40% - Accent1 12 9" xfId="18668"/>
    <cellStyle name="40% - Accent1 12_2009 Actual" xfId="18669"/>
    <cellStyle name="40% - Accent1 120" xfId="18670"/>
    <cellStyle name="40% - Accent1 13" xfId="18671"/>
    <cellStyle name="40% - Accent1 13 2" xfId="18672"/>
    <cellStyle name="40% - Accent1 13 3" xfId="18673"/>
    <cellStyle name="40% - Accent1 13 4" xfId="18674"/>
    <cellStyle name="40% - Accent1 13 5" xfId="18675"/>
    <cellStyle name="40% - Accent1 13 6" xfId="18676"/>
    <cellStyle name="40% - Accent1 13 7" xfId="18677"/>
    <cellStyle name="40% - Accent1 13_2009 Actual" xfId="18678"/>
    <cellStyle name="40% - Accent1 14" xfId="18679"/>
    <cellStyle name="40% - Accent1 14 2" xfId="18680"/>
    <cellStyle name="40% - Accent1 14 3" xfId="18681"/>
    <cellStyle name="40% - Accent1 14 4" xfId="18682"/>
    <cellStyle name="40% - Accent1 14 5" xfId="18683"/>
    <cellStyle name="40% - Accent1 14 6" xfId="18684"/>
    <cellStyle name="40% - Accent1 14 7" xfId="18685"/>
    <cellStyle name="40% - Accent1 14_2009 Actual" xfId="18686"/>
    <cellStyle name="40% - Accent1 15" xfId="18687"/>
    <cellStyle name="40% - Accent1 15 2" xfId="18688"/>
    <cellStyle name="40% - Accent1 15 3" xfId="18689"/>
    <cellStyle name="40% - Accent1 15 4" xfId="18690"/>
    <cellStyle name="40% - Accent1 15 5" xfId="18691"/>
    <cellStyle name="40% - Accent1 15 6" xfId="18692"/>
    <cellStyle name="40% - Accent1 15_BHP" xfId="18693"/>
    <cellStyle name="40% - Accent1 16" xfId="18694"/>
    <cellStyle name="40% - Accent1 17" xfId="18695"/>
    <cellStyle name="40% - Accent1 18" xfId="18696"/>
    <cellStyle name="40% - Accent1 19" xfId="18697"/>
    <cellStyle name="40% - Accent1 19 2" xfId="18698"/>
    <cellStyle name="40% - Accent1 19 3" xfId="18699"/>
    <cellStyle name="40% - Accent1 19_Elec Margin Analysis" xfId="18700"/>
    <cellStyle name="40% - Accent1 2" xfId="48"/>
    <cellStyle name="40% - Accent1 2 10" xfId="18701"/>
    <cellStyle name="40% - Accent1 2 10 2" xfId="18702"/>
    <cellStyle name="40% - Accent1 2 10 3" xfId="18703"/>
    <cellStyle name="40% - Accent1 2 10 4" xfId="18704"/>
    <cellStyle name="40% - Accent1 2 10 5" xfId="18705"/>
    <cellStyle name="40% - Accent1 2 10 5 2" xfId="18706"/>
    <cellStyle name="40% - Accent1 2 10_BHP" xfId="18707"/>
    <cellStyle name="40% - Accent1 2 100" xfId="18708"/>
    <cellStyle name="40% - Accent1 2 100 2" xfId="18709"/>
    <cellStyle name="40% - Accent1 2 100 2 2" xfId="18710"/>
    <cellStyle name="40% - Accent1 2 100 3" xfId="18711"/>
    <cellStyle name="40% - Accent1 2 100 4" xfId="18712"/>
    <cellStyle name="40% - Accent1 2 101" xfId="18713"/>
    <cellStyle name="40% - Accent1 2 101 2" xfId="18714"/>
    <cellStyle name="40% - Accent1 2 101 2 2" xfId="18715"/>
    <cellStyle name="40% - Accent1 2 101 3" xfId="18716"/>
    <cellStyle name="40% - Accent1 2 101 4" xfId="18717"/>
    <cellStyle name="40% - Accent1 2 102" xfId="18718"/>
    <cellStyle name="40% - Accent1 2 102 2" xfId="18719"/>
    <cellStyle name="40% - Accent1 2 102 2 2" xfId="18720"/>
    <cellStyle name="40% - Accent1 2 102 3" xfId="18721"/>
    <cellStyle name="40% - Accent1 2 102 4" xfId="18722"/>
    <cellStyle name="40% - Accent1 2 103" xfId="18723"/>
    <cellStyle name="40% - Accent1 2 103 2" xfId="18724"/>
    <cellStyle name="40% - Accent1 2 103 2 2" xfId="18725"/>
    <cellStyle name="40% - Accent1 2 103 3" xfId="18726"/>
    <cellStyle name="40% - Accent1 2 103 4" xfId="18727"/>
    <cellStyle name="40% - Accent1 2 104" xfId="18728"/>
    <cellStyle name="40% - Accent1 2 104 2" xfId="18729"/>
    <cellStyle name="40% - Accent1 2 104 2 2" xfId="18730"/>
    <cellStyle name="40% - Accent1 2 104 3" xfId="18731"/>
    <cellStyle name="40% - Accent1 2 104 4" xfId="18732"/>
    <cellStyle name="40% - Accent1 2 105" xfId="18733"/>
    <cellStyle name="40% - Accent1 2 105 2" xfId="18734"/>
    <cellStyle name="40% - Accent1 2 105 2 2" xfId="18735"/>
    <cellStyle name="40% - Accent1 2 105 3" xfId="18736"/>
    <cellStyle name="40% - Accent1 2 105 4" xfId="18737"/>
    <cellStyle name="40% - Accent1 2 106" xfId="18738"/>
    <cellStyle name="40% - Accent1 2 106 2" xfId="18739"/>
    <cellStyle name="40% - Accent1 2 106 2 2" xfId="18740"/>
    <cellStyle name="40% - Accent1 2 106 3" xfId="18741"/>
    <cellStyle name="40% - Accent1 2 106 4" xfId="18742"/>
    <cellStyle name="40% - Accent1 2 107" xfId="18743"/>
    <cellStyle name="40% - Accent1 2 107 2" xfId="18744"/>
    <cellStyle name="40% - Accent1 2 107 2 2" xfId="18745"/>
    <cellStyle name="40% - Accent1 2 107 3" xfId="18746"/>
    <cellStyle name="40% - Accent1 2 107 4" xfId="18747"/>
    <cellStyle name="40% - Accent1 2 108" xfId="18748"/>
    <cellStyle name="40% - Accent1 2 108 2" xfId="18749"/>
    <cellStyle name="40% - Accent1 2 108 2 2" xfId="18750"/>
    <cellStyle name="40% - Accent1 2 108 3" xfId="18751"/>
    <cellStyle name="40% - Accent1 2 108 4" xfId="18752"/>
    <cellStyle name="40% - Accent1 2 109" xfId="18753"/>
    <cellStyle name="40% - Accent1 2 109 2" xfId="18754"/>
    <cellStyle name="40% - Accent1 2 109 2 2" xfId="18755"/>
    <cellStyle name="40% - Accent1 2 109 3" xfId="18756"/>
    <cellStyle name="40% - Accent1 2 109 4" xfId="18757"/>
    <cellStyle name="40% - Accent1 2 11" xfId="18758"/>
    <cellStyle name="40% - Accent1 2 11 2" xfId="18759"/>
    <cellStyle name="40% - Accent1 2 11 3" xfId="18760"/>
    <cellStyle name="40% - Accent1 2 110" xfId="18761"/>
    <cellStyle name="40% - Accent1 2 110 2" xfId="18762"/>
    <cellStyle name="40% - Accent1 2 110 2 2" xfId="18763"/>
    <cellStyle name="40% - Accent1 2 110 3" xfId="18764"/>
    <cellStyle name="40% - Accent1 2 110 4" xfId="18765"/>
    <cellStyle name="40% - Accent1 2 111" xfId="18766"/>
    <cellStyle name="40% - Accent1 2 111 2" xfId="18767"/>
    <cellStyle name="40% - Accent1 2 111 2 2" xfId="18768"/>
    <cellStyle name="40% - Accent1 2 111 3" xfId="18769"/>
    <cellStyle name="40% - Accent1 2 111 4" xfId="18770"/>
    <cellStyle name="40% - Accent1 2 112" xfId="18771"/>
    <cellStyle name="40% - Accent1 2 112 2" xfId="18772"/>
    <cellStyle name="40% - Accent1 2 112 2 2" xfId="18773"/>
    <cellStyle name="40% - Accent1 2 112 3" xfId="18774"/>
    <cellStyle name="40% - Accent1 2 112 4" xfId="18775"/>
    <cellStyle name="40% - Accent1 2 113" xfId="18776"/>
    <cellStyle name="40% - Accent1 2 113 2" xfId="18777"/>
    <cellStyle name="40% - Accent1 2 113 2 2" xfId="18778"/>
    <cellStyle name="40% - Accent1 2 113 3" xfId="18779"/>
    <cellStyle name="40% - Accent1 2 113 4" xfId="18780"/>
    <cellStyle name="40% - Accent1 2 114" xfId="18781"/>
    <cellStyle name="40% - Accent1 2 114 2" xfId="18782"/>
    <cellStyle name="40% - Accent1 2 114 2 2" xfId="18783"/>
    <cellStyle name="40% - Accent1 2 114 3" xfId="18784"/>
    <cellStyle name="40% - Accent1 2 114 4" xfId="18785"/>
    <cellStyle name="40% - Accent1 2 115" xfId="18786"/>
    <cellStyle name="40% - Accent1 2 115 2" xfId="18787"/>
    <cellStyle name="40% - Accent1 2 115 2 2" xfId="18788"/>
    <cellStyle name="40% - Accent1 2 115 3" xfId="18789"/>
    <cellStyle name="40% - Accent1 2 115 4" xfId="18790"/>
    <cellStyle name="40% - Accent1 2 116" xfId="18791"/>
    <cellStyle name="40% - Accent1 2 116 2" xfId="18792"/>
    <cellStyle name="40% - Accent1 2 116 2 2" xfId="18793"/>
    <cellStyle name="40% - Accent1 2 116 3" xfId="18794"/>
    <cellStyle name="40% - Accent1 2 116 4" xfId="18795"/>
    <cellStyle name="40% - Accent1 2 117" xfId="18796"/>
    <cellStyle name="40% - Accent1 2 117 2" xfId="18797"/>
    <cellStyle name="40% - Accent1 2 117 2 2" xfId="18798"/>
    <cellStyle name="40% - Accent1 2 117 3" xfId="18799"/>
    <cellStyle name="40% - Accent1 2 117 4" xfId="18800"/>
    <cellStyle name="40% - Accent1 2 118" xfId="18801"/>
    <cellStyle name="40% - Accent1 2 118 2" xfId="18802"/>
    <cellStyle name="40% - Accent1 2 119" xfId="18803"/>
    <cellStyle name="40% - Accent1 2 119 2" xfId="18804"/>
    <cellStyle name="40% - Accent1 2 12" xfId="18805"/>
    <cellStyle name="40% - Accent1 2 12 2" xfId="18806"/>
    <cellStyle name="40% - Accent1 2 120" xfId="18807"/>
    <cellStyle name="40% - Accent1 2 120 2" xfId="18808"/>
    <cellStyle name="40% - Accent1 2 121" xfId="18809"/>
    <cellStyle name="40% - Accent1 2 121 2" xfId="18810"/>
    <cellStyle name="40% - Accent1 2 122" xfId="18811"/>
    <cellStyle name="40% - Accent1 2 123" xfId="18812"/>
    <cellStyle name="40% - Accent1 2 124" xfId="18813"/>
    <cellStyle name="40% - Accent1 2 125" xfId="18814"/>
    <cellStyle name="40% - Accent1 2 126" xfId="18815"/>
    <cellStyle name="40% - Accent1 2 127" xfId="18816"/>
    <cellStyle name="40% - Accent1 2 128" xfId="18817"/>
    <cellStyle name="40% - Accent1 2 129" xfId="18818"/>
    <cellStyle name="40% - Accent1 2 13" xfId="18819"/>
    <cellStyle name="40% - Accent1 2 130" xfId="18820"/>
    <cellStyle name="40% - Accent1 2 131" xfId="18821"/>
    <cellStyle name="40% - Accent1 2 132" xfId="18822"/>
    <cellStyle name="40% - Accent1 2 133" xfId="18823"/>
    <cellStyle name="40% - Accent1 2 134" xfId="18824"/>
    <cellStyle name="40% - Accent1 2 135" xfId="18825"/>
    <cellStyle name="40% - Accent1 2 136" xfId="18826"/>
    <cellStyle name="40% - Accent1 2 137" xfId="18827"/>
    <cellStyle name="40% - Accent1 2 138" xfId="18828"/>
    <cellStyle name="40% - Accent1 2 139" xfId="18829"/>
    <cellStyle name="40% - Accent1 2 14" xfId="18830"/>
    <cellStyle name="40% - Accent1 2 140" xfId="18831"/>
    <cellStyle name="40% - Accent1 2 141" xfId="18832"/>
    <cellStyle name="40% - Accent1 2 142" xfId="18833"/>
    <cellStyle name="40% - Accent1 2 15" xfId="18834"/>
    <cellStyle name="40% - Accent1 2 16" xfId="18835"/>
    <cellStyle name="40% - Accent1 2 17" xfId="18836"/>
    <cellStyle name="40% - Accent1 2 18" xfId="18837"/>
    <cellStyle name="40% - Accent1 2 18 2" xfId="18838"/>
    <cellStyle name="40% - Accent1 2 18 2 2" xfId="18839"/>
    <cellStyle name="40% - Accent1 2 18 2 2 2" xfId="18840"/>
    <cellStyle name="40% - Accent1 2 18 2 2 3" xfId="18841"/>
    <cellStyle name="40% - Accent1 2 18 2 3" xfId="18842"/>
    <cellStyle name="40% - Accent1 2 18 2 3 2" xfId="18843"/>
    <cellStyle name="40% - Accent1 2 18 2 4" xfId="18844"/>
    <cellStyle name="40% - Accent1 2 18 2 5" xfId="18845"/>
    <cellStyle name="40% - Accent1 2 18 3" xfId="18846"/>
    <cellStyle name="40% - Accent1 2 18 3 2" xfId="18847"/>
    <cellStyle name="40% - Accent1 2 18 3 2 2" xfId="18848"/>
    <cellStyle name="40% - Accent1 2 18 3 3" xfId="18849"/>
    <cellStyle name="40% - Accent1 2 18 3 4" xfId="18850"/>
    <cellStyle name="40% - Accent1 2 18 4" xfId="18851"/>
    <cellStyle name="40% - Accent1 2 18 4 2" xfId="18852"/>
    <cellStyle name="40% - Accent1 2 18 4 2 2" xfId="18853"/>
    <cellStyle name="40% - Accent1 2 18 4 3" xfId="18854"/>
    <cellStyle name="40% - Accent1 2 18 4 4" xfId="18855"/>
    <cellStyle name="40% - Accent1 2 18 5" xfId="18856"/>
    <cellStyle name="40% - Accent1 2 18 5 2" xfId="18857"/>
    <cellStyle name="40% - Accent1 2 18 6" xfId="18858"/>
    <cellStyle name="40% - Accent1 2 18 7" xfId="18859"/>
    <cellStyle name="40% - Accent1 2 18 8" xfId="18860"/>
    <cellStyle name="40% - Accent1 2 19" xfId="18861"/>
    <cellStyle name="40% - Accent1 2 19 2" xfId="18862"/>
    <cellStyle name="40% - Accent1 2 19 2 2" xfId="18863"/>
    <cellStyle name="40% - Accent1 2 19 2 2 2" xfId="18864"/>
    <cellStyle name="40% - Accent1 2 19 2 2 3" xfId="18865"/>
    <cellStyle name="40% - Accent1 2 19 2 3" xfId="18866"/>
    <cellStyle name="40% - Accent1 2 19 2 3 2" xfId="18867"/>
    <cellStyle name="40% - Accent1 2 19 2 4" xfId="18868"/>
    <cellStyle name="40% - Accent1 2 19 2 5" xfId="18869"/>
    <cellStyle name="40% - Accent1 2 19 3" xfId="18870"/>
    <cellStyle name="40% - Accent1 2 19 3 2" xfId="18871"/>
    <cellStyle name="40% - Accent1 2 19 3 2 2" xfId="18872"/>
    <cellStyle name="40% - Accent1 2 19 3 3" xfId="18873"/>
    <cellStyle name="40% - Accent1 2 19 3 4" xfId="18874"/>
    <cellStyle name="40% - Accent1 2 19 4" xfId="18875"/>
    <cellStyle name="40% - Accent1 2 19 4 2" xfId="18876"/>
    <cellStyle name="40% - Accent1 2 19 4 2 2" xfId="18877"/>
    <cellStyle name="40% - Accent1 2 19 4 3" xfId="18878"/>
    <cellStyle name="40% - Accent1 2 19 4 4" xfId="18879"/>
    <cellStyle name="40% - Accent1 2 19 5" xfId="18880"/>
    <cellStyle name="40% - Accent1 2 19 5 2" xfId="18881"/>
    <cellStyle name="40% - Accent1 2 19 6" xfId="18882"/>
    <cellStyle name="40% - Accent1 2 19 7" xfId="18883"/>
    <cellStyle name="40% - Accent1 2 19 8" xfId="18884"/>
    <cellStyle name="40% - Accent1 2 2" xfId="299"/>
    <cellStyle name="40% - Accent1 2 2 10" xfId="18885"/>
    <cellStyle name="40% - Accent1 2 2 11" xfId="18886"/>
    <cellStyle name="40% - Accent1 2 2 12" xfId="18887"/>
    <cellStyle name="40% - Accent1 2 2 12 2" xfId="18888"/>
    <cellStyle name="40% - Accent1 2 2 12 2 2" xfId="18889"/>
    <cellStyle name="40% - Accent1 2 2 12 2 2 2" xfId="18890"/>
    <cellStyle name="40% - Accent1 2 2 12 2 2 3" xfId="18891"/>
    <cellStyle name="40% - Accent1 2 2 12 2 3" xfId="18892"/>
    <cellStyle name="40% - Accent1 2 2 12 2 3 2" xfId="18893"/>
    <cellStyle name="40% - Accent1 2 2 12 2 4" xfId="18894"/>
    <cellStyle name="40% - Accent1 2 2 12 2 5" xfId="18895"/>
    <cellStyle name="40% - Accent1 2 2 12 3" xfId="18896"/>
    <cellStyle name="40% - Accent1 2 2 12 3 2" xfId="18897"/>
    <cellStyle name="40% - Accent1 2 2 12 3 2 2" xfId="18898"/>
    <cellStyle name="40% - Accent1 2 2 12 3 3" xfId="18899"/>
    <cellStyle name="40% - Accent1 2 2 12 3 4" xfId="18900"/>
    <cellStyle name="40% - Accent1 2 2 12 4" xfId="18901"/>
    <cellStyle name="40% - Accent1 2 2 12 4 2" xfId="18902"/>
    <cellStyle name="40% - Accent1 2 2 12 4 2 2" xfId="18903"/>
    <cellStyle name="40% - Accent1 2 2 12 4 3" xfId="18904"/>
    <cellStyle name="40% - Accent1 2 2 12 4 4" xfId="18905"/>
    <cellStyle name="40% - Accent1 2 2 12 5" xfId="18906"/>
    <cellStyle name="40% - Accent1 2 2 12 5 2" xfId="18907"/>
    <cellStyle name="40% - Accent1 2 2 12 6" xfId="18908"/>
    <cellStyle name="40% - Accent1 2 2 12 7" xfId="18909"/>
    <cellStyle name="40% - Accent1 2 2 12 8" xfId="18910"/>
    <cellStyle name="40% - Accent1 2 2 13" xfId="18911"/>
    <cellStyle name="40% - Accent1 2 2 13 2" xfId="18912"/>
    <cellStyle name="40% - Accent1 2 2 13 2 2" xfId="18913"/>
    <cellStyle name="40% - Accent1 2 2 13 2 2 2" xfId="18914"/>
    <cellStyle name="40% - Accent1 2 2 13 2 2 3" xfId="18915"/>
    <cellStyle name="40% - Accent1 2 2 13 2 3" xfId="18916"/>
    <cellStyle name="40% - Accent1 2 2 13 2 3 2" xfId="18917"/>
    <cellStyle name="40% - Accent1 2 2 13 2 4" xfId="18918"/>
    <cellStyle name="40% - Accent1 2 2 13 2 5" xfId="18919"/>
    <cellStyle name="40% - Accent1 2 2 13 3" xfId="18920"/>
    <cellStyle name="40% - Accent1 2 2 13 3 2" xfId="18921"/>
    <cellStyle name="40% - Accent1 2 2 13 3 2 2" xfId="18922"/>
    <cellStyle name="40% - Accent1 2 2 13 3 3" xfId="18923"/>
    <cellStyle name="40% - Accent1 2 2 13 3 4" xfId="18924"/>
    <cellStyle name="40% - Accent1 2 2 13 4" xfId="18925"/>
    <cellStyle name="40% - Accent1 2 2 13 4 2" xfId="18926"/>
    <cellStyle name="40% - Accent1 2 2 13 4 2 2" xfId="18927"/>
    <cellStyle name="40% - Accent1 2 2 13 4 3" xfId="18928"/>
    <cellStyle name="40% - Accent1 2 2 13 4 4" xfId="18929"/>
    <cellStyle name="40% - Accent1 2 2 13 5" xfId="18930"/>
    <cellStyle name="40% - Accent1 2 2 13 5 2" xfId="18931"/>
    <cellStyle name="40% - Accent1 2 2 13 6" xfId="18932"/>
    <cellStyle name="40% - Accent1 2 2 13 7" xfId="18933"/>
    <cellStyle name="40% - Accent1 2 2 13 8" xfId="18934"/>
    <cellStyle name="40% - Accent1 2 2 14" xfId="18935"/>
    <cellStyle name="40% - Accent1 2 2 14 2" xfId="18936"/>
    <cellStyle name="40% - Accent1 2 2 14 2 2" xfId="18937"/>
    <cellStyle name="40% - Accent1 2 2 14 2 2 2" xfId="18938"/>
    <cellStyle name="40% - Accent1 2 2 14 2 2 3" xfId="18939"/>
    <cellStyle name="40% - Accent1 2 2 14 2 3" xfId="18940"/>
    <cellStyle name="40% - Accent1 2 2 14 2 3 2" xfId="18941"/>
    <cellStyle name="40% - Accent1 2 2 14 2 4" xfId="18942"/>
    <cellStyle name="40% - Accent1 2 2 14 2 5" xfId="18943"/>
    <cellStyle name="40% - Accent1 2 2 14 3" xfId="18944"/>
    <cellStyle name="40% - Accent1 2 2 14 3 2" xfId="18945"/>
    <cellStyle name="40% - Accent1 2 2 14 3 2 2" xfId="18946"/>
    <cellStyle name="40% - Accent1 2 2 14 3 3" xfId="18947"/>
    <cellStyle name="40% - Accent1 2 2 14 3 4" xfId="18948"/>
    <cellStyle name="40% - Accent1 2 2 14 4" xfId="18949"/>
    <cellStyle name="40% - Accent1 2 2 14 4 2" xfId="18950"/>
    <cellStyle name="40% - Accent1 2 2 14 4 2 2" xfId="18951"/>
    <cellStyle name="40% - Accent1 2 2 14 4 3" xfId="18952"/>
    <cellStyle name="40% - Accent1 2 2 14 4 4" xfId="18953"/>
    <cellStyle name="40% - Accent1 2 2 14 5" xfId="18954"/>
    <cellStyle name="40% - Accent1 2 2 14 5 2" xfId="18955"/>
    <cellStyle name="40% - Accent1 2 2 14 6" xfId="18956"/>
    <cellStyle name="40% - Accent1 2 2 14 7" xfId="18957"/>
    <cellStyle name="40% - Accent1 2 2 14 8" xfId="18958"/>
    <cellStyle name="40% - Accent1 2 2 2" xfId="18959"/>
    <cellStyle name="40% - Accent1 2 2 2 10" xfId="18960"/>
    <cellStyle name="40% - Accent1 2 2 2 11" xfId="18961"/>
    <cellStyle name="40% - Accent1 2 2 2 2" xfId="18962"/>
    <cellStyle name="40% - Accent1 2 2 2 3" xfId="18963"/>
    <cellStyle name="40% - Accent1 2 2 2 4" xfId="18964"/>
    <cellStyle name="40% - Accent1 2 2 2 5" xfId="18965"/>
    <cellStyle name="40% - Accent1 2 2 2 6" xfId="18966"/>
    <cellStyle name="40% - Accent1 2 2 2 7" xfId="18967"/>
    <cellStyle name="40% - Accent1 2 2 2 8" xfId="18968"/>
    <cellStyle name="40% - Accent1 2 2 2 9" xfId="18969"/>
    <cellStyle name="40% - Accent1 2 2 2_4Q Ops Metrics Gas &amp; Electric 2010" xfId="18970"/>
    <cellStyle name="40% - Accent1 2 2 3" xfId="18971"/>
    <cellStyle name="40% - Accent1 2 2 3 2" xfId="18972"/>
    <cellStyle name="40% - Accent1 2 2 4" xfId="18973"/>
    <cellStyle name="40% - Accent1 2 2 4 2" xfId="18974"/>
    <cellStyle name="40% - Accent1 2 2 5" xfId="18975"/>
    <cellStyle name="40% - Accent1 2 2 5 2" xfId="18976"/>
    <cellStyle name="40% - Accent1 2 2 6" xfId="18977"/>
    <cellStyle name="40% - Accent1 2 2 6 2" xfId="18978"/>
    <cellStyle name="40% - Accent1 2 2 7" xfId="18979"/>
    <cellStyle name="40% - Accent1 2 2 7 2" xfId="18980"/>
    <cellStyle name="40% - Accent1 2 2 8" xfId="18981"/>
    <cellStyle name="40% - Accent1 2 2 9" xfId="18982"/>
    <cellStyle name="40% - Accent1 2 2_2009 Actual" xfId="18983"/>
    <cellStyle name="40% - Accent1 2 20" xfId="18984"/>
    <cellStyle name="40% - Accent1 2 20 2" xfId="18985"/>
    <cellStyle name="40% - Accent1 2 20 2 2" xfId="18986"/>
    <cellStyle name="40% - Accent1 2 20 2 2 2" xfId="18987"/>
    <cellStyle name="40% - Accent1 2 20 2 2 3" xfId="18988"/>
    <cellStyle name="40% - Accent1 2 20 2 3" xfId="18989"/>
    <cellStyle name="40% - Accent1 2 20 2 3 2" xfId="18990"/>
    <cellStyle name="40% - Accent1 2 20 2 4" xfId="18991"/>
    <cellStyle name="40% - Accent1 2 20 2 5" xfId="18992"/>
    <cellStyle name="40% - Accent1 2 20 3" xfId="18993"/>
    <cellStyle name="40% - Accent1 2 20 3 2" xfId="18994"/>
    <cellStyle name="40% - Accent1 2 20 3 2 2" xfId="18995"/>
    <cellStyle name="40% - Accent1 2 20 3 3" xfId="18996"/>
    <cellStyle name="40% - Accent1 2 20 3 4" xfId="18997"/>
    <cellStyle name="40% - Accent1 2 20 4" xfId="18998"/>
    <cellStyle name="40% - Accent1 2 20 4 2" xfId="18999"/>
    <cellStyle name="40% - Accent1 2 20 4 2 2" xfId="19000"/>
    <cellStyle name="40% - Accent1 2 20 4 3" xfId="19001"/>
    <cellStyle name="40% - Accent1 2 20 4 4" xfId="19002"/>
    <cellStyle name="40% - Accent1 2 20 5" xfId="19003"/>
    <cellStyle name="40% - Accent1 2 20 5 2" xfId="19004"/>
    <cellStyle name="40% - Accent1 2 20 6" xfId="19005"/>
    <cellStyle name="40% - Accent1 2 20 7" xfId="19006"/>
    <cellStyle name="40% - Accent1 2 20 8" xfId="19007"/>
    <cellStyle name="40% - Accent1 2 21" xfId="19008"/>
    <cellStyle name="40% - Accent1 2 21 2" xfId="19009"/>
    <cellStyle name="40% - Accent1 2 21 2 2" xfId="19010"/>
    <cellStyle name="40% - Accent1 2 21 2 2 2" xfId="19011"/>
    <cellStyle name="40% - Accent1 2 21 2 2 3" xfId="19012"/>
    <cellStyle name="40% - Accent1 2 21 2 3" xfId="19013"/>
    <cellStyle name="40% - Accent1 2 21 2 3 2" xfId="19014"/>
    <cellStyle name="40% - Accent1 2 21 2 4" xfId="19015"/>
    <cellStyle name="40% - Accent1 2 21 2 5" xfId="19016"/>
    <cellStyle name="40% - Accent1 2 21 3" xfId="19017"/>
    <cellStyle name="40% - Accent1 2 21 3 2" xfId="19018"/>
    <cellStyle name="40% - Accent1 2 21 3 2 2" xfId="19019"/>
    <cellStyle name="40% - Accent1 2 21 3 3" xfId="19020"/>
    <cellStyle name="40% - Accent1 2 21 3 4" xfId="19021"/>
    <cellStyle name="40% - Accent1 2 21 4" xfId="19022"/>
    <cellStyle name="40% - Accent1 2 21 4 2" xfId="19023"/>
    <cellStyle name="40% - Accent1 2 21 4 2 2" xfId="19024"/>
    <cellStyle name="40% - Accent1 2 21 4 3" xfId="19025"/>
    <cellStyle name="40% - Accent1 2 21 4 4" xfId="19026"/>
    <cellStyle name="40% - Accent1 2 21 5" xfId="19027"/>
    <cellStyle name="40% - Accent1 2 21 5 2" xfId="19028"/>
    <cellStyle name="40% - Accent1 2 21 6" xfId="19029"/>
    <cellStyle name="40% - Accent1 2 21 7" xfId="19030"/>
    <cellStyle name="40% - Accent1 2 21 8" xfId="19031"/>
    <cellStyle name="40% - Accent1 2 22" xfId="19032"/>
    <cellStyle name="40% - Accent1 2 22 2" xfId="19033"/>
    <cellStyle name="40% - Accent1 2 22 2 2" xfId="19034"/>
    <cellStyle name="40% - Accent1 2 22 2 2 2" xfId="19035"/>
    <cellStyle name="40% - Accent1 2 22 2 2 3" xfId="19036"/>
    <cellStyle name="40% - Accent1 2 22 2 3" xfId="19037"/>
    <cellStyle name="40% - Accent1 2 22 2 3 2" xfId="19038"/>
    <cellStyle name="40% - Accent1 2 22 2 4" xfId="19039"/>
    <cellStyle name="40% - Accent1 2 22 2 5" xfId="19040"/>
    <cellStyle name="40% - Accent1 2 22 3" xfId="19041"/>
    <cellStyle name="40% - Accent1 2 22 3 2" xfId="19042"/>
    <cellStyle name="40% - Accent1 2 22 3 2 2" xfId="19043"/>
    <cellStyle name="40% - Accent1 2 22 3 3" xfId="19044"/>
    <cellStyle name="40% - Accent1 2 22 3 4" xfId="19045"/>
    <cellStyle name="40% - Accent1 2 22 4" xfId="19046"/>
    <cellStyle name="40% - Accent1 2 22 4 2" xfId="19047"/>
    <cellStyle name="40% - Accent1 2 22 4 2 2" xfId="19048"/>
    <cellStyle name="40% - Accent1 2 22 4 3" xfId="19049"/>
    <cellStyle name="40% - Accent1 2 22 4 4" xfId="19050"/>
    <cellStyle name="40% - Accent1 2 22 5" xfId="19051"/>
    <cellStyle name="40% - Accent1 2 22 5 2" xfId="19052"/>
    <cellStyle name="40% - Accent1 2 22 6" xfId="19053"/>
    <cellStyle name="40% - Accent1 2 22 7" xfId="19054"/>
    <cellStyle name="40% - Accent1 2 22 8" xfId="19055"/>
    <cellStyle name="40% - Accent1 2 23" xfId="19056"/>
    <cellStyle name="40% - Accent1 2 23 2" xfId="19057"/>
    <cellStyle name="40% - Accent1 2 23 2 2" xfId="19058"/>
    <cellStyle name="40% - Accent1 2 23 2 2 2" xfId="19059"/>
    <cellStyle name="40% - Accent1 2 23 2 2 3" xfId="19060"/>
    <cellStyle name="40% - Accent1 2 23 2 3" xfId="19061"/>
    <cellStyle name="40% - Accent1 2 23 2 3 2" xfId="19062"/>
    <cellStyle name="40% - Accent1 2 23 2 4" xfId="19063"/>
    <cellStyle name="40% - Accent1 2 23 2 5" xfId="19064"/>
    <cellStyle name="40% - Accent1 2 23 3" xfId="19065"/>
    <cellStyle name="40% - Accent1 2 23 3 2" xfId="19066"/>
    <cellStyle name="40% - Accent1 2 23 3 2 2" xfId="19067"/>
    <cellStyle name="40% - Accent1 2 23 3 3" xfId="19068"/>
    <cellStyle name="40% - Accent1 2 23 3 4" xfId="19069"/>
    <cellStyle name="40% - Accent1 2 23 4" xfId="19070"/>
    <cellStyle name="40% - Accent1 2 23 4 2" xfId="19071"/>
    <cellStyle name="40% - Accent1 2 23 4 2 2" xfId="19072"/>
    <cellStyle name="40% - Accent1 2 23 4 3" xfId="19073"/>
    <cellStyle name="40% - Accent1 2 23 4 4" xfId="19074"/>
    <cellStyle name="40% - Accent1 2 23 5" xfId="19075"/>
    <cellStyle name="40% - Accent1 2 23 5 2" xfId="19076"/>
    <cellStyle name="40% - Accent1 2 23 6" xfId="19077"/>
    <cellStyle name="40% - Accent1 2 23 7" xfId="19078"/>
    <cellStyle name="40% - Accent1 2 23 8" xfId="19079"/>
    <cellStyle name="40% - Accent1 2 24" xfId="19080"/>
    <cellStyle name="40% - Accent1 2 24 2" xfId="19081"/>
    <cellStyle name="40% - Accent1 2 24 2 2" xfId="19082"/>
    <cellStyle name="40% - Accent1 2 24 2 2 2" xfId="19083"/>
    <cellStyle name="40% - Accent1 2 24 2 2 3" xfId="19084"/>
    <cellStyle name="40% - Accent1 2 24 2 3" xfId="19085"/>
    <cellStyle name="40% - Accent1 2 24 2 3 2" xfId="19086"/>
    <cellStyle name="40% - Accent1 2 24 2 4" xfId="19087"/>
    <cellStyle name="40% - Accent1 2 24 2 5" xfId="19088"/>
    <cellStyle name="40% - Accent1 2 24 3" xfId="19089"/>
    <cellStyle name="40% - Accent1 2 24 3 2" xfId="19090"/>
    <cellStyle name="40% - Accent1 2 24 3 2 2" xfId="19091"/>
    <cellStyle name="40% - Accent1 2 24 3 3" xfId="19092"/>
    <cellStyle name="40% - Accent1 2 24 3 4" xfId="19093"/>
    <cellStyle name="40% - Accent1 2 24 4" xfId="19094"/>
    <cellStyle name="40% - Accent1 2 24 4 2" xfId="19095"/>
    <cellStyle name="40% - Accent1 2 24 4 2 2" xfId="19096"/>
    <cellStyle name="40% - Accent1 2 24 4 3" xfId="19097"/>
    <cellStyle name="40% - Accent1 2 24 4 4" xfId="19098"/>
    <cellStyle name="40% - Accent1 2 24 5" xfId="19099"/>
    <cellStyle name="40% - Accent1 2 24 5 2" xfId="19100"/>
    <cellStyle name="40% - Accent1 2 24 6" xfId="19101"/>
    <cellStyle name="40% - Accent1 2 24 7" xfId="19102"/>
    <cellStyle name="40% - Accent1 2 24 8" xfId="19103"/>
    <cellStyle name="40% - Accent1 2 25" xfId="19104"/>
    <cellStyle name="40% - Accent1 2 25 2" xfId="19105"/>
    <cellStyle name="40% - Accent1 2 25 2 2" xfId="19106"/>
    <cellStyle name="40% - Accent1 2 25 2 2 2" xfId="19107"/>
    <cellStyle name="40% - Accent1 2 25 2 2 3" xfId="19108"/>
    <cellStyle name="40% - Accent1 2 25 2 3" xfId="19109"/>
    <cellStyle name="40% - Accent1 2 25 2 3 2" xfId="19110"/>
    <cellStyle name="40% - Accent1 2 25 2 4" xfId="19111"/>
    <cellStyle name="40% - Accent1 2 25 2 5" xfId="19112"/>
    <cellStyle name="40% - Accent1 2 25 3" xfId="19113"/>
    <cellStyle name="40% - Accent1 2 25 3 2" xfId="19114"/>
    <cellStyle name="40% - Accent1 2 25 3 2 2" xfId="19115"/>
    <cellStyle name="40% - Accent1 2 25 3 3" xfId="19116"/>
    <cellStyle name="40% - Accent1 2 25 3 4" xfId="19117"/>
    <cellStyle name="40% - Accent1 2 25 4" xfId="19118"/>
    <cellStyle name="40% - Accent1 2 25 4 2" xfId="19119"/>
    <cellStyle name="40% - Accent1 2 25 4 2 2" xfId="19120"/>
    <cellStyle name="40% - Accent1 2 25 4 3" xfId="19121"/>
    <cellStyle name="40% - Accent1 2 25 4 4" xfId="19122"/>
    <cellStyle name="40% - Accent1 2 25 5" xfId="19123"/>
    <cellStyle name="40% - Accent1 2 25 5 2" xfId="19124"/>
    <cellStyle name="40% - Accent1 2 25 6" xfId="19125"/>
    <cellStyle name="40% - Accent1 2 25 7" xfId="19126"/>
    <cellStyle name="40% - Accent1 2 25 8" xfId="19127"/>
    <cellStyle name="40% - Accent1 2 26" xfId="19128"/>
    <cellStyle name="40% - Accent1 2 26 2" xfId="19129"/>
    <cellStyle name="40% - Accent1 2 26 2 2" xfId="19130"/>
    <cellStyle name="40% - Accent1 2 26 2 2 2" xfId="19131"/>
    <cellStyle name="40% - Accent1 2 26 2 2 3" xfId="19132"/>
    <cellStyle name="40% - Accent1 2 26 2 3" xfId="19133"/>
    <cellStyle name="40% - Accent1 2 26 2 3 2" xfId="19134"/>
    <cellStyle name="40% - Accent1 2 26 2 4" xfId="19135"/>
    <cellStyle name="40% - Accent1 2 26 2 5" xfId="19136"/>
    <cellStyle name="40% - Accent1 2 26 3" xfId="19137"/>
    <cellStyle name="40% - Accent1 2 26 3 2" xfId="19138"/>
    <cellStyle name="40% - Accent1 2 26 3 2 2" xfId="19139"/>
    <cellStyle name="40% - Accent1 2 26 3 3" xfId="19140"/>
    <cellStyle name="40% - Accent1 2 26 3 4" xfId="19141"/>
    <cellStyle name="40% - Accent1 2 26 4" xfId="19142"/>
    <cellStyle name="40% - Accent1 2 26 4 2" xfId="19143"/>
    <cellStyle name="40% - Accent1 2 26 4 2 2" xfId="19144"/>
    <cellStyle name="40% - Accent1 2 26 4 3" xfId="19145"/>
    <cellStyle name="40% - Accent1 2 26 4 4" xfId="19146"/>
    <cellStyle name="40% - Accent1 2 26 5" xfId="19147"/>
    <cellStyle name="40% - Accent1 2 26 5 2" xfId="19148"/>
    <cellStyle name="40% - Accent1 2 26 6" xfId="19149"/>
    <cellStyle name="40% - Accent1 2 26 7" xfId="19150"/>
    <cellStyle name="40% - Accent1 2 26 8" xfId="19151"/>
    <cellStyle name="40% - Accent1 2 27" xfId="19152"/>
    <cellStyle name="40% - Accent1 2 27 2" xfId="19153"/>
    <cellStyle name="40% - Accent1 2 27 2 2" xfId="19154"/>
    <cellStyle name="40% - Accent1 2 27 2 2 2" xfId="19155"/>
    <cellStyle name="40% - Accent1 2 27 2 2 3" xfId="19156"/>
    <cellStyle name="40% - Accent1 2 27 2 3" xfId="19157"/>
    <cellStyle name="40% - Accent1 2 27 2 3 2" xfId="19158"/>
    <cellStyle name="40% - Accent1 2 27 2 4" xfId="19159"/>
    <cellStyle name="40% - Accent1 2 27 2 5" xfId="19160"/>
    <cellStyle name="40% - Accent1 2 27 3" xfId="19161"/>
    <cellStyle name="40% - Accent1 2 27 3 2" xfId="19162"/>
    <cellStyle name="40% - Accent1 2 27 3 2 2" xfId="19163"/>
    <cellStyle name="40% - Accent1 2 27 3 3" xfId="19164"/>
    <cellStyle name="40% - Accent1 2 27 3 4" xfId="19165"/>
    <cellStyle name="40% - Accent1 2 27 4" xfId="19166"/>
    <cellStyle name="40% - Accent1 2 27 4 2" xfId="19167"/>
    <cellStyle name="40% - Accent1 2 27 4 2 2" xfId="19168"/>
    <cellStyle name="40% - Accent1 2 27 4 3" xfId="19169"/>
    <cellStyle name="40% - Accent1 2 27 4 4" xfId="19170"/>
    <cellStyle name="40% - Accent1 2 27 5" xfId="19171"/>
    <cellStyle name="40% - Accent1 2 27 5 2" xfId="19172"/>
    <cellStyle name="40% - Accent1 2 27 6" xfId="19173"/>
    <cellStyle name="40% - Accent1 2 27 7" xfId="19174"/>
    <cellStyle name="40% - Accent1 2 27 8" xfId="19175"/>
    <cellStyle name="40% - Accent1 2 28" xfId="19176"/>
    <cellStyle name="40% - Accent1 2 28 2" xfId="19177"/>
    <cellStyle name="40% - Accent1 2 28 2 2" xfId="19178"/>
    <cellStyle name="40% - Accent1 2 28 2 3" xfId="19179"/>
    <cellStyle name="40% - Accent1 2 28 3" xfId="19180"/>
    <cellStyle name="40% - Accent1 2 28 3 2" xfId="19181"/>
    <cellStyle name="40% - Accent1 2 28 4" xfId="19182"/>
    <cellStyle name="40% - Accent1 2 28 5" xfId="19183"/>
    <cellStyle name="40% - Accent1 2 29" xfId="19184"/>
    <cellStyle name="40% - Accent1 2 29 2" xfId="19185"/>
    <cellStyle name="40% - Accent1 2 29 2 2" xfId="19186"/>
    <cellStyle name="40% - Accent1 2 29 2 3" xfId="19187"/>
    <cellStyle name="40% - Accent1 2 29 3" xfId="19188"/>
    <cellStyle name="40% - Accent1 2 29 3 2" xfId="19189"/>
    <cellStyle name="40% - Accent1 2 29 4" xfId="19190"/>
    <cellStyle name="40% - Accent1 2 29 5" xfId="19191"/>
    <cellStyle name="40% - Accent1 2 3" xfId="300"/>
    <cellStyle name="40% - Accent1 2 3 10" xfId="19192"/>
    <cellStyle name="40% - Accent1 2 3 11" xfId="19193"/>
    <cellStyle name="40% - Accent1 2 3 12" xfId="19194"/>
    <cellStyle name="40% - Accent1 2 3 12 2" xfId="19195"/>
    <cellStyle name="40% - Accent1 2 3 2" xfId="301"/>
    <cellStyle name="40% - Accent1 2 3 2 2" xfId="302"/>
    <cellStyle name="40% - Accent1 2 3 2 2 2" xfId="303"/>
    <cellStyle name="40% - Accent1 2 3 2 3" xfId="304"/>
    <cellStyle name="40% - Accent1 2 3 3" xfId="305"/>
    <cellStyle name="40% - Accent1 2 3 3 2" xfId="306"/>
    <cellStyle name="40% - Accent1 2 3 3 2 2" xfId="19196"/>
    <cellStyle name="40% - Accent1 2 3 4" xfId="307"/>
    <cellStyle name="40% - Accent1 2 3 4 2" xfId="19197"/>
    <cellStyle name="40% - Accent1 2 3 4 2 2" xfId="19198"/>
    <cellStyle name="40% - Accent1 2 3 5" xfId="19199"/>
    <cellStyle name="40% - Accent1 2 3 5 2" xfId="19200"/>
    <cellStyle name="40% - Accent1 2 3 5 2 2" xfId="19201"/>
    <cellStyle name="40% - Accent1 2 3 6" xfId="19202"/>
    <cellStyle name="40% - Accent1 2 3 6 2" xfId="19203"/>
    <cellStyle name="40% - Accent1 2 3 6 3" xfId="19204"/>
    <cellStyle name="40% - Accent1 2 3 6 4" xfId="19205"/>
    <cellStyle name="40% - Accent1 2 3 6 4 2" xfId="19206"/>
    <cellStyle name="40% - Accent1 2 3 6_Elec Margin Analysis" xfId="19207"/>
    <cellStyle name="40% - Accent1 2 3 7" xfId="19208"/>
    <cellStyle name="40% - Accent1 2 3 7 2" xfId="19209"/>
    <cellStyle name="40% - Accent1 2 3 7 2 2" xfId="19210"/>
    <cellStyle name="40% - Accent1 2 3 8" xfId="19211"/>
    <cellStyle name="40% - Accent1 2 3 8 2" xfId="19212"/>
    <cellStyle name="40% - Accent1 2 3 8 2 2" xfId="19213"/>
    <cellStyle name="40% - Accent1 2 3 9" xfId="19214"/>
    <cellStyle name="40% - Accent1 2 3_2009 Actual" xfId="19215"/>
    <cellStyle name="40% - Accent1 2 30" xfId="19216"/>
    <cellStyle name="40% - Accent1 2 30 2" xfId="19217"/>
    <cellStyle name="40% - Accent1 2 30 2 2" xfId="19218"/>
    <cellStyle name="40% - Accent1 2 30 2 3" xfId="19219"/>
    <cellStyle name="40% - Accent1 2 30 3" xfId="19220"/>
    <cellStyle name="40% - Accent1 2 30 3 2" xfId="19221"/>
    <cellStyle name="40% - Accent1 2 30 4" xfId="19222"/>
    <cellStyle name="40% - Accent1 2 30 5" xfId="19223"/>
    <cellStyle name="40% - Accent1 2 31" xfId="19224"/>
    <cellStyle name="40% - Accent1 2 31 2" xfId="19225"/>
    <cellStyle name="40% - Accent1 2 31 2 2" xfId="19226"/>
    <cellStyle name="40% - Accent1 2 31 2 3" xfId="19227"/>
    <cellStyle name="40% - Accent1 2 31 3" xfId="19228"/>
    <cellStyle name="40% - Accent1 2 31 3 2" xfId="19229"/>
    <cellStyle name="40% - Accent1 2 31 4" xfId="19230"/>
    <cellStyle name="40% - Accent1 2 31 5" xfId="19231"/>
    <cellStyle name="40% - Accent1 2 32" xfId="19232"/>
    <cellStyle name="40% - Accent1 2 32 2" xfId="19233"/>
    <cellStyle name="40% - Accent1 2 32 2 2" xfId="19234"/>
    <cellStyle name="40% - Accent1 2 32 2 3" xfId="19235"/>
    <cellStyle name="40% - Accent1 2 32 3" xfId="19236"/>
    <cellStyle name="40% - Accent1 2 32 3 2" xfId="19237"/>
    <cellStyle name="40% - Accent1 2 32 4" xfId="19238"/>
    <cellStyle name="40% - Accent1 2 32 5" xfId="19239"/>
    <cellStyle name="40% - Accent1 2 33" xfId="19240"/>
    <cellStyle name="40% - Accent1 2 33 2" xfId="19241"/>
    <cellStyle name="40% - Accent1 2 33 2 2" xfId="19242"/>
    <cellStyle name="40% - Accent1 2 33 2 3" xfId="19243"/>
    <cellStyle name="40% - Accent1 2 33 3" xfId="19244"/>
    <cellStyle name="40% - Accent1 2 33 3 2" xfId="19245"/>
    <cellStyle name="40% - Accent1 2 33 4" xfId="19246"/>
    <cellStyle name="40% - Accent1 2 33 5" xfId="19247"/>
    <cellStyle name="40% - Accent1 2 34" xfId="19248"/>
    <cellStyle name="40% - Accent1 2 34 2" xfId="19249"/>
    <cellStyle name="40% - Accent1 2 34 2 2" xfId="19250"/>
    <cellStyle name="40% - Accent1 2 34 2 3" xfId="19251"/>
    <cellStyle name="40% - Accent1 2 34 3" xfId="19252"/>
    <cellStyle name="40% - Accent1 2 34 3 2" xfId="19253"/>
    <cellStyle name="40% - Accent1 2 34 4" xfId="19254"/>
    <cellStyle name="40% - Accent1 2 34 5" xfId="19255"/>
    <cellStyle name="40% - Accent1 2 35" xfId="19256"/>
    <cellStyle name="40% - Accent1 2 35 2" xfId="19257"/>
    <cellStyle name="40% - Accent1 2 35 2 2" xfId="19258"/>
    <cellStyle name="40% - Accent1 2 35 2 3" xfId="19259"/>
    <cellStyle name="40% - Accent1 2 35 3" xfId="19260"/>
    <cellStyle name="40% - Accent1 2 35 3 2" xfId="19261"/>
    <cellStyle name="40% - Accent1 2 35 4" xfId="19262"/>
    <cellStyle name="40% - Accent1 2 35 5" xfId="19263"/>
    <cellStyle name="40% - Accent1 2 36" xfId="19264"/>
    <cellStyle name="40% - Accent1 2 36 2" xfId="19265"/>
    <cellStyle name="40% - Accent1 2 36 2 2" xfId="19266"/>
    <cellStyle name="40% - Accent1 2 36 2 3" xfId="19267"/>
    <cellStyle name="40% - Accent1 2 36 3" xfId="19268"/>
    <cellStyle name="40% - Accent1 2 36 3 2" xfId="19269"/>
    <cellStyle name="40% - Accent1 2 36 4" xfId="19270"/>
    <cellStyle name="40% - Accent1 2 36 5" xfId="19271"/>
    <cellStyle name="40% - Accent1 2 37" xfId="19272"/>
    <cellStyle name="40% - Accent1 2 37 2" xfId="19273"/>
    <cellStyle name="40% - Accent1 2 37 2 2" xfId="19274"/>
    <cellStyle name="40% - Accent1 2 37 2 3" xfId="19275"/>
    <cellStyle name="40% - Accent1 2 37 3" xfId="19276"/>
    <cellStyle name="40% - Accent1 2 37 3 2" xfId="19277"/>
    <cellStyle name="40% - Accent1 2 37 4" xfId="19278"/>
    <cellStyle name="40% - Accent1 2 37 5" xfId="19279"/>
    <cellStyle name="40% - Accent1 2 38" xfId="19280"/>
    <cellStyle name="40% - Accent1 2 38 2" xfId="19281"/>
    <cellStyle name="40% - Accent1 2 38 2 2" xfId="19282"/>
    <cellStyle name="40% - Accent1 2 38 2 3" xfId="19283"/>
    <cellStyle name="40% - Accent1 2 38 3" xfId="19284"/>
    <cellStyle name="40% - Accent1 2 38 3 2" xfId="19285"/>
    <cellStyle name="40% - Accent1 2 38 4" xfId="19286"/>
    <cellStyle name="40% - Accent1 2 38 5" xfId="19287"/>
    <cellStyle name="40% - Accent1 2 39" xfId="19288"/>
    <cellStyle name="40% - Accent1 2 39 2" xfId="19289"/>
    <cellStyle name="40% - Accent1 2 39 2 2" xfId="19290"/>
    <cellStyle name="40% - Accent1 2 39 2 3" xfId="19291"/>
    <cellStyle name="40% - Accent1 2 39 3" xfId="19292"/>
    <cellStyle name="40% - Accent1 2 39 3 2" xfId="19293"/>
    <cellStyle name="40% - Accent1 2 39 4" xfId="19294"/>
    <cellStyle name="40% - Accent1 2 39 5" xfId="19295"/>
    <cellStyle name="40% - Accent1 2 4" xfId="308"/>
    <cellStyle name="40% - Accent1 2 4 2" xfId="309"/>
    <cellStyle name="40% - Accent1 2 4 2 2" xfId="310"/>
    <cellStyle name="40% - Accent1 2 4 3" xfId="311"/>
    <cellStyle name="40% - Accent1 2 4 4" xfId="19296"/>
    <cellStyle name="40% - Accent1 2 4 5" xfId="19297"/>
    <cellStyle name="40% - Accent1 2 4 6" xfId="19298"/>
    <cellStyle name="40% - Accent1 2 4 7" xfId="19299"/>
    <cellStyle name="40% - Accent1 2 4 8" xfId="19300"/>
    <cellStyle name="40% - Accent1 2 4 8 2" xfId="19301"/>
    <cellStyle name="40% - Accent1 2 4_2009 Actual" xfId="19302"/>
    <cellStyle name="40% - Accent1 2 40" xfId="19303"/>
    <cellStyle name="40% - Accent1 2 40 2" xfId="19304"/>
    <cellStyle name="40% - Accent1 2 40 2 2" xfId="19305"/>
    <cellStyle name="40% - Accent1 2 40 2 3" xfId="19306"/>
    <cellStyle name="40% - Accent1 2 40 3" xfId="19307"/>
    <cellStyle name="40% - Accent1 2 40 3 2" xfId="19308"/>
    <cellStyle name="40% - Accent1 2 40 4" xfId="19309"/>
    <cellStyle name="40% - Accent1 2 40 5" xfId="19310"/>
    <cellStyle name="40% - Accent1 2 41" xfId="19311"/>
    <cellStyle name="40% - Accent1 2 41 2" xfId="19312"/>
    <cellStyle name="40% - Accent1 2 41 2 2" xfId="19313"/>
    <cellStyle name="40% - Accent1 2 41 2 3" xfId="19314"/>
    <cellStyle name="40% - Accent1 2 41 3" xfId="19315"/>
    <cellStyle name="40% - Accent1 2 41 3 2" xfId="19316"/>
    <cellStyle name="40% - Accent1 2 41 4" xfId="19317"/>
    <cellStyle name="40% - Accent1 2 41 5" xfId="19318"/>
    <cellStyle name="40% - Accent1 2 42" xfId="19319"/>
    <cellStyle name="40% - Accent1 2 42 2" xfId="19320"/>
    <cellStyle name="40% - Accent1 2 42 2 2" xfId="19321"/>
    <cellStyle name="40% - Accent1 2 42 2 3" xfId="19322"/>
    <cellStyle name="40% - Accent1 2 42 3" xfId="19323"/>
    <cellStyle name="40% - Accent1 2 42 3 2" xfId="19324"/>
    <cellStyle name="40% - Accent1 2 42 4" xfId="19325"/>
    <cellStyle name="40% - Accent1 2 42 5" xfId="19326"/>
    <cellStyle name="40% - Accent1 2 43" xfId="19327"/>
    <cellStyle name="40% - Accent1 2 43 2" xfId="19328"/>
    <cellStyle name="40% - Accent1 2 43 2 2" xfId="19329"/>
    <cellStyle name="40% - Accent1 2 43 2 3" xfId="19330"/>
    <cellStyle name="40% - Accent1 2 43 3" xfId="19331"/>
    <cellStyle name="40% - Accent1 2 43 3 2" xfId="19332"/>
    <cellStyle name="40% - Accent1 2 43 4" xfId="19333"/>
    <cellStyle name="40% - Accent1 2 43 5" xfId="19334"/>
    <cellStyle name="40% - Accent1 2 44" xfId="19335"/>
    <cellStyle name="40% - Accent1 2 44 2" xfId="19336"/>
    <cellStyle name="40% - Accent1 2 44 2 2" xfId="19337"/>
    <cellStyle name="40% - Accent1 2 44 2 3" xfId="19338"/>
    <cellStyle name="40% - Accent1 2 44 3" xfId="19339"/>
    <cellStyle name="40% - Accent1 2 44 3 2" xfId="19340"/>
    <cellStyle name="40% - Accent1 2 44 4" xfId="19341"/>
    <cellStyle name="40% - Accent1 2 44 5" xfId="19342"/>
    <cellStyle name="40% - Accent1 2 45" xfId="19343"/>
    <cellStyle name="40% - Accent1 2 45 2" xfId="19344"/>
    <cellStyle name="40% - Accent1 2 45 2 2" xfId="19345"/>
    <cellStyle name="40% - Accent1 2 45 2 3" xfId="19346"/>
    <cellStyle name="40% - Accent1 2 45 3" xfId="19347"/>
    <cellStyle name="40% - Accent1 2 45 3 2" xfId="19348"/>
    <cellStyle name="40% - Accent1 2 45 4" xfId="19349"/>
    <cellStyle name="40% - Accent1 2 45 5" xfId="19350"/>
    <cellStyle name="40% - Accent1 2 46" xfId="19351"/>
    <cellStyle name="40% - Accent1 2 46 2" xfId="19352"/>
    <cellStyle name="40% - Accent1 2 46 2 2" xfId="19353"/>
    <cellStyle name="40% - Accent1 2 46 2 3" xfId="19354"/>
    <cellStyle name="40% - Accent1 2 46 3" xfId="19355"/>
    <cellStyle name="40% - Accent1 2 46 3 2" xfId="19356"/>
    <cellStyle name="40% - Accent1 2 46 4" xfId="19357"/>
    <cellStyle name="40% - Accent1 2 46 5" xfId="19358"/>
    <cellStyle name="40% - Accent1 2 47" xfId="19359"/>
    <cellStyle name="40% - Accent1 2 47 2" xfId="19360"/>
    <cellStyle name="40% - Accent1 2 47 2 2" xfId="19361"/>
    <cellStyle name="40% - Accent1 2 47 2 3" xfId="19362"/>
    <cellStyle name="40% - Accent1 2 47 3" xfId="19363"/>
    <cellStyle name="40% - Accent1 2 47 3 2" xfId="19364"/>
    <cellStyle name="40% - Accent1 2 47 4" xfId="19365"/>
    <cellStyle name="40% - Accent1 2 47 5" xfId="19366"/>
    <cellStyle name="40% - Accent1 2 48" xfId="19367"/>
    <cellStyle name="40% - Accent1 2 48 2" xfId="19368"/>
    <cellStyle name="40% - Accent1 2 48 2 2" xfId="19369"/>
    <cellStyle name="40% - Accent1 2 48 2 3" xfId="19370"/>
    <cellStyle name="40% - Accent1 2 48 3" xfId="19371"/>
    <cellStyle name="40% - Accent1 2 48 3 2" xfId="19372"/>
    <cellStyle name="40% - Accent1 2 48 4" xfId="19373"/>
    <cellStyle name="40% - Accent1 2 48 5" xfId="19374"/>
    <cellStyle name="40% - Accent1 2 49" xfId="19375"/>
    <cellStyle name="40% - Accent1 2 49 2" xfId="19376"/>
    <cellStyle name="40% - Accent1 2 49 2 2" xfId="19377"/>
    <cellStyle name="40% - Accent1 2 49 2 3" xfId="19378"/>
    <cellStyle name="40% - Accent1 2 49 3" xfId="19379"/>
    <cellStyle name="40% - Accent1 2 49 3 2" xfId="19380"/>
    <cellStyle name="40% - Accent1 2 49 4" xfId="19381"/>
    <cellStyle name="40% - Accent1 2 49 5" xfId="19382"/>
    <cellStyle name="40% - Accent1 2 5" xfId="312"/>
    <cellStyle name="40% - Accent1 2 5 2" xfId="313"/>
    <cellStyle name="40% - Accent1 2 5 3" xfId="19383"/>
    <cellStyle name="40% - Accent1 2 5 4" xfId="19384"/>
    <cellStyle name="40% - Accent1 2 5 5" xfId="19385"/>
    <cellStyle name="40% - Accent1 2 5 6" xfId="19386"/>
    <cellStyle name="40% - Accent1 2 5 7" xfId="19387"/>
    <cellStyle name="40% - Accent1 2 5 8" xfId="19388"/>
    <cellStyle name="40% - Accent1 2 5 8 2" xfId="19389"/>
    <cellStyle name="40% - Accent1 2 5_2009 Actual" xfId="19390"/>
    <cellStyle name="40% - Accent1 2 50" xfId="19391"/>
    <cellStyle name="40% - Accent1 2 50 2" xfId="19392"/>
    <cellStyle name="40% - Accent1 2 50 2 2" xfId="19393"/>
    <cellStyle name="40% - Accent1 2 50 2 3" xfId="19394"/>
    <cellStyle name="40% - Accent1 2 50 3" xfId="19395"/>
    <cellStyle name="40% - Accent1 2 50 3 2" xfId="19396"/>
    <cellStyle name="40% - Accent1 2 50 4" xfId="19397"/>
    <cellStyle name="40% - Accent1 2 50 5" xfId="19398"/>
    <cellStyle name="40% - Accent1 2 51" xfId="19399"/>
    <cellStyle name="40% - Accent1 2 51 2" xfId="19400"/>
    <cellStyle name="40% - Accent1 2 51 2 2" xfId="19401"/>
    <cellStyle name="40% - Accent1 2 51 2 3" xfId="19402"/>
    <cellStyle name="40% - Accent1 2 51 3" xfId="19403"/>
    <cellStyle name="40% - Accent1 2 51 3 2" xfId="19404"/>
    <cellStyle name="40% - Accent1 2 51 4" xfId="19405"/>
    <cellStyle name="40% - Accent1 2 51 5" xfId="19406"/>
    <cellStyle name="40% - Accent1 2 52" xfId="19407"/>
    <cellStyle name="40% - Accent1 2 52 2" xfId="19408"/>
    <cellStyle name="40% - Accent1 2 52 2 2" xfId="19409"/>
    <cellStyle name="40% - Accent1 2 52 2 3" xfId="19410"/>
    <cellStyle name="40% - Accent1 2 52 3" xfId="19411"/>
    <cellStyle name="40% - Accent1 2 52 3 2" xfId="19412"/>
    <cellStyle name="40% - Accent1 2 52 4" xfId="19413"/>
    <cellStyle name="40% - Accent1 2 52 5" xfId="19414"/>
    <cellStyle name="40% - Accent1 2 53" xfId="19415"/>
    <cellStyle name="40% - Accent1 2 53 2" xfId="19416"/>
    <cellStyle name="40% - Accent1 2 53 2 2" xfId="19417"/>
    <cellStyle name="40% - Accent1 2 53 2 3" xfId="19418"/>
    <cellStyle name="40% - Accent1 2 53 3" xfId="19419"/>
    <cellStyle name="40% - Accent1 2 53 3 2" xfId="19420"/>
    <cellStyle name="40% - Accent1 2 53 4" xfId="19421"/>
    <cellStyle name="40% - Accent1 2 53 5" xfId="19422"/>
    <cellStyle name="40% - Accent1 2 54" xfId="19423"/>
    <cellStyle name="40% - Accent1 2 54 2" xfId="19424"/>
    <cellStyle name="40% - Accent1 2 54 2 2" xfId="19425"/>
    <cellStyle name="40% - Accent1 2 54 2 3" xfId="19426"/>
    <cellStyle name="40% - Accent1 2 54 3" xfId="19427"/>
    <cellStyle name="40% - Accent1 2 54 3 2" xfId="19428"/>
    <cellStyle name="40% - Accent1 2 54 4" xfId="19429"/>
    <cellStyle name="40% - Accent1 2 54 5" xfId="19430"/>
    <cellStyle name="40% - Accent1 2 55" xfId="19431"/>
    <cellStyle name="40% - Accent1 2 55 2" xfId="19432"/>
    <cellStyle name="40% - Accent1 2 55 2 2" xfId="19433"/>
    <cellStyle name="40% - Accent1 2 55 2 3" xfId="19434"/>
    <cellStyle name="40% - Accent1 2 55 3" xfId="19435"/>
    <cellStyle name="40% - Accent1 2 55 3 2" xfId="19436"/>
    <cellStyle name="40% - Accent1 2 55 4" xfId="19437"/>
    <cellStyle name="40% - Accent1 2 55 5" xfId="19438"/>
    <cellStyle name="40% - Accent1 2 56" xfId="19439"/>
    <cellStyle name="40% - Accent1 2 56 2" xfId="19440"/>
    <cellStyle name="40% - Accent1 2 56 2 2" xfId="19441"/>
    <cellStyle name="40% - Accent1 2 56 2 3" xfId="19442"/>
    <cellStyle name="40% - Accent1 2 56 3" xfId="19443"/>
    <cellStyle name="40% - Accent1 2 56 3 2" xfId="19444"/>
    <cellStyle name="40% - Accent1 2 56 4" xfId="19445"/>
    <cellStyle name="40% - Accent1 2 56 5" xfId="19446"/>
    <cellStyle name="40% - Accent1 2 57" xfId="19447"/>
    <cellStyle name="40% - Accent1 2 57 2" xfId="19448"/>
    <cellStyle name="40% - Accent1 2 57 2 2" xfId="19449"/>
    <cellStyle name="40% - Accent1 2 57 2 3" xfId="19450"/>
    <cellStyle name="40% - Accent1 2 57 3" xfId="19451"/>
    <cellStyle name="40% - Accent1 2 57 3 2" xfId="19452"/>
    <cellStyle name="40% - Accent1 2 57 4" xfId="19453"/>
    <cellStyle name="40% - Accent1 2 57 5" xfId="19454"/>
    <cellStyle name="40% - Accent1 2 58" xfId="19455"/>
    <cellStyle name="40% - Accent1 2 58 2" xfId="19456"/>
    <cellStyle name="40% - Accent1 2 58 2 2" xfId="19457"/>
    <cellStyle name="40% - Accent1 2 58 2 3" xfId="19458"/>
    <cellStyle name="40% - Accent1 2 58 3" xfId="19459"/>
    <cellStyle name="40% - Accent1 2 58 3 2" xfId="19460"/>
    <cellStyle name="40% - Accent1 2 58 4" xfId="19461"/>
    <cellStyle name="40% - Accent1 2 58 5" xfId="19462"/>
    <cellStyle name="40% - Accent1 2 59" xfId="19463"/>
    <cellStyle name="40% - Accent1 2 59 2" xfId="19464"/>
    <cellStyle name="40% - Accent1 2 59 2 2" xfId="19465"/>
    <cellStyle name="40% - Accent1 2 59 2 3" xfId="19466"/>
    <cellStyle name="40% - Accent1 2 59 3" xfId="19467"/>
    <cellStyle name="40% - Accent1 2 59 3 2" xfId="19468"/>
    <cellStyle name="40% - Accent1 2 59 4" xfId="19469"/>
    <cellStyle name="40% - Accent1 2 59 5" xfId="19470"/>
    <cellStyle name="40% - Accent1 2 6" xfId="314"/>
    <cellStyle name="40% - Accent1 2 6 2" xfId="19471"/>
    <cellStyle name="40% - Accent1 2 6 3" xfId="19472"/>
    <cellStyle name="40% - Accent1 2 6 4" xfId="19473"/>
    <cellStyle name="40% - Accent1 2 6 5" xfId="19474"/>
    <cellStyle name="40% - Accent1 2 6 6" xfId="19475"/>
    <cellStyle name="40% - Accent1 2 6 7" xfId="19476"/>
    <cellStyle name="40% - Accent1 2 6 8" xfId="19477"/>
    <cellStyle name="40% - Accent1 2 6 8 2" xfId="19478"/>
    <cellStyle name="40% - Accent1 2 6_2009 Actual" xfId="19479"/>
    <cellStyle name="40% - Accent1 2 60" xfId="19480"/>
    <cellStyle name="40% - Accent1 2 60 2" xfId="19481"/>
    <cellStyle name="40% - Accent1 2 60 2 2" xfId="19482"/>
    <cellStyle name="40% - Accent1 2 60 2 3" xfId="19483"/>
    <cellStyle name="40% - Accent1 2 60 3" xfId="19484"/>
    <cellStyle name="40% - Accent1 2 60 3 2" xfId="19485"/>
    <cellStyle name="40% - Accent1 2 60 4" xfId="19486"/>
    <cellStyle name="40% - Accent1 2 60 5" xfId="19487"/>
    <cellStyle name="40% - Accent1 2 61" xfId="19488"/>
    <cellStyle name="40% - Accent1 2 61 2" xfId="19489"/>
    <cellStyle name="40% - Accent1 2 61 2 2" xfId="19490"/>
    <cellStyle name="40% - Accent1 2 61 2 3" xfId="19491"/>
    <cellStyle name="40% - Accent1 2 61 3" xfId="19492"/>
    <cellStyle name="40% - Accent1 2 61 3 2" xfId="19493"/>
    <cellStyle name="40% - Accent1 2 61 4" xfId="19494"/>
    <cellStyle name="40% - Accent1 2 61 5" xfId="19495"/>
    <cellStyle name="40% - Accent1 2 62" xfId="19496"/>
    <cellStyle name="40% - Accent1 2 62 2" xfId="19497"/>
    <cellStyle name="40% - Accent1 2 62 2 2" xfId="19498"/>
    <cellStyle name="40% - Accent1 2 62 2 3" xfId="19499"/>
    <cellStyle name="40% - Accent1 2 62 3" xfId="19500"/>
    <cellStyle name="40% - Accent1 2 62 3 2" xfId="19501"/>
    <cellStyle name="40% - Accent1 2 62 4" xfId="19502"/>
    <cellStyle name="40% - Accent1 2 62 5" xfId="19503"/>
    <cellStyle name="40% - Accent1 2 63" xfId="19504"/>
    <cellStyle name="40% - Accent1 2 63 2" xfId="19505"/>
    <cellStyle name="40% - Accent1 2 63 2 2" xfId="19506"/>
    <cellStyle name="40% - Accent1 2 63 2 3" xfId="19507"/>
    <cellStyle name="40% - Accent1 2 63 3" xfId="19508"/>
    <cellStyle name="40% - Accent1 2 63 3 2" xfId="19509"/>
    <cellStyle name="40% - Accent1 2 63 4" xfId="19510"/>
    <cellStyle name="40% - Accent1 2 63 5" xfId="19511"/>
    <cellStyle name="40% - Accent1 2 64" xfId="19512"/>
    <cellStyle name="40% - Accent1 2 64 2" xfId="19513"/>
    <cellStyle name="40% - Accent1 2 64 2 2" xfId="19514"/>
    <cellStyle name="40% - Accent1 2 64 2 3" xfId="19515"/>
    <cellStyle name="40% - Accent1 2 64 3" xfId="19516"/>
    <cellStyle name="40% - Accent1 2 64 3 2" xfId="19517"/>
    <cellStyle name="40% - Accent1 2 64 4" xfId="19518"/>
    <cellStyle name="40% - Accent1 2 64 5" xfId="19519"/>
    <cellStyle name="40% - Accent1 2 65" xfId="19520"/>
    <cellStyle name="40% - Accent1 2 65 2" xfId="19521"/>
    <cellStyle name="40% - Accent1 2 65 2 2" xfId="19522"/>
    <cellStyle name="40% - Accent1 2 65 2 3" xfId="19523"/>
    <cellStyle name="40% - Accent1 2 65 3" xfId="19524"/>
    <cellStyle name="40% - Accent1 2 65 3 2" xfId="19525"/>
    <cellStyle name="40% - Accent1 2 65 4" xfId="19526"/>
    <cellStyle name="40% - Accent1 2 65 5" xfId="19527"/>
    <cellStyle name="40% - Accent1 2 66" xfId="19528"/>
    <cellStyle name="40% - Accent1 2 66 2" xfId="19529"/>
    <cellStyle name="40% - Accent1 2 66 2 2" xfId="19530"/>
    <cellStyle name="40% - Accent1 2 66 2 3" xfId="19531"/>
    <cellStyle name="40% - Accent1 2 66 3" xfId="19532"/>
    <cellStyle name="40% - Accent1 2 66 3 2" xfId="19533"/>
    <cellStyle name="40% - Accent1 2 66 4" xfId="19534"/>
    <cellStyle name="40% - Accent1 2 66 5" xfId="19535"/>
    <cellStyle name="40% - Accent1 2 67" xfId="19536"/>
    <cellStyle name="40% - Accent1 2 67 2" xfId="19537"/>
    <cellStyle name="40% - Accent1 2 67 2 2" xfId="19538"/>
    <cellStyle name="40% - Accent1 2 67 2 3" xfId="19539"/>
    <cellStyle name="40% - Accent1 2 67 3" xfId="19540"/>
    <cellStyle name="40% - Accent1 2 67 3 2" xfId="19541"/>
    <cellStyle name="40% - Accent1 2 67 4" xfId="19542"/>
    <cellStyle name="40% - Accent1 2 67 5" xfId="19543"/>
    <cellStyle name="40% - Accent1 2 68" xfId="19544"/>
    <cellStyle name="40% - Accent1 2 68 2" xfId="19545"/>
    <cellStyle name="40% - Accent1 2 68 2 2" xfId="19546"/>
    <cellStyle name="40% - Accent1 2 68 2 3" xfId="19547"/>
    <cellStyle name="40% - Accent1 2 68 3" xfId="19548"/>
    <cellStyle name="40% - Accent1 2 68 3 2" xfId="19549"/>
    <cellStyle name="40% - Accent1 2 68 4" xfId="19550"/>
    <cellStyle name="40% - Accent1 2 68 5" xfId="19551"/>
    <cellStyle name="40% - Accent1 2 69" xfId="19552"/>
    <cellStyle name="40% - Accent1 2 69 2" xfId="19553"/>
    <cellStyle name="40% - Accent1 2 69 2 2" xfId="19554"/>
    <cellStyle name="40% - Accent1 2 69 2 3" xfId="19555"/>
    <cellStyle name="40% - Accent1 2 69 3" xfId="19556"/>
    <cellStyle name="40% - Accent1 2 69 3 2" xfId="19557"/>
    <cellStyle name="40% - Accent1 2 69 4" xfId="19558"/>
    <cellStyle name="40% - Accent1 2 69 5" xfId="19559"/>
    <cellStyle name="40% - Accent1 2 7" xfId="19560"/>
    <cellStyle name="40% - Accent1 2 7 2" xfId="19561"/>
    <cellStyle name="40% - Accent1 2 7 3" xfId="19562"/>
    <cellStyle name="40% - Accent1 2 7 4" xfId="19563"/>
    <cellStyle name="40% - Accent1 2 7 5" xfId="19564"/>
    <cellStyle name="40% - Accent1 2 7 5 2" xfId="19565"/>
    <cellStyle name="40% - Accent1 2 7_BHP" xfId="19566"/>
    <cellStyle name="40% - Accent1 2 70" xfId="19567"/>
    <cellStyle name="40% - Accent1 2 70 2" xfId="19568"/>
    <cellStyle name="40% - Accent1 2 70 2 2" xfId="19569"/>
    <cellStyle name="40% - Accent1 2 70 2 3" xfId="19570"/>
    <cellStyle name="40% - Accent1 2 70 3" xfId="19571"/>
    <cellStyle name="40% - Accent1 2 70 3 2" xfId="19572"/>
    <cellStyle name="40% - Accent1 2 70 4" xfId="19573"/>
    <cellStyle name="40% - Accent1 2 70 5" xfId="19574"/>
    <cellStyle name="40% - Accent1 2 71" xfId="19575"/>
    <cellStyle name="40% - Accent1 2 71 2" xfId="19576"/>
    <cellStyle name="40% - Accent1 2 71 2 2" xfId="19577"/>
    <cellStyle name="40% - Accent1 2 71 2 3" xfId="19578"/>
    <cellStyle name="40% - Accent1 2 71 3" xfId="19579"/>
    <cellStyle name="40% - Accent1 2 71 3 2" xfId="19580"/>
    <cellStyle name="40% - Accent1 2 71 4" xfId="19581"/>
    <cellStyle name="40% - Accent1 2 71 5" xfId="19582"/>
    <cellStyle name="40% - Accent1 2 72" xfId="19583"/>
    <cellStyle name="40% - Accent1 2 72 2" xfId="19584"/>
    <cellStyle name="40% - Accent1 2 72 2 2" xfId="19585"/>
    <cellStyle name="40% - Accent1 2 72 2 3" xfId="19586"/>
    <cellStyle name="40% - Accent1 2 72 3" xfId="19587"/>
    <cellStyle name="40% - Accent1 2 72 3 2" xfId="19588"/>
    <cellStyle name="40% - Accent1 2 72 4" xfId="19589"/>
    <cellStyle name="40% - Accent1 2 72 5" xfId="19590"/>
    <cellStyle name="40% - Accent1 2 73" xfId="19591"/>
    <cellStyle name="40% - Accent1 2 73 2" xfId="19592"/>
    <cellStyle name="40% - Accent1 2 73 2 2" xfId="19593"/>
    <cellStyle name="40% - Accent1 2 73 2 3" xfId="19594"/>
    <cellStyle name="40% - Accent1 2 73 3" xfId="19595"/>
    <cellStyle name="40% - Accent1 2 73 3 2" xfId="19596"/>
    <cellStyle name="40% - Accent1 2 73 4" xfId="19597"/>
    <cellStyle name="40% - Accent1 2 73 5" xfId="19598"/>
    <cellStyle name="40% - Accent1 2 74" xfId="19599"/>
    <cellStyle name="40% - Accent1 2 74 2" xfId="19600"/>
    <cellStyle name="40% - Accent1 2 74 2 2" xfId="19601"/>
    <cellStyle name="40% - Accent1 2 74 2 3" xfId="19602"/>
    <cellStyle name="40% - Accent1 2 74 3" xfId="19603"/>
    <cellStyle name="40% - Accent1 2 74 3 2" xfId="19604"/>
    <cellStyle name="40% - Accent1 2 74 4" xfId="19605"/>
    <cellStyle name="40% - Accent1 2 74 5" xfId="19606"/>
    <cellStyle name="40% - Accent1 2 75" xfId="19607"/>
    <cellStyle name="40% - Accent1 2 75 2" xfId="19608"/>
    <cellStyle name="40% - Accent1 2 75 2 2" xfId="19609"/>
    <cellStyle name="40% - Accent1 2 75 2 3" xfId="19610"/>
    <cellStyle name="40% - Accent1 2 75 3" xfId="19611"/>
    <cellStyle name="40% - Accent1 2 75 3 2" xfId="19612"/>
    <cellStyle name="40% - Accent1 2 75 4" xfId="19613"/>
    <cellStyle name="40% - Accent1 2 75 5" xfId="19614"/>
    <cellStyle name="40% - Accent1 2 76" xfId="19615"/>
    <cellStyle name="40% - Accent1 2 76 2" xfId="19616"/>
    <cellStyle name="40% - Accent1 2 76 2 2" xfId="19617"/>
    <cellStyle name="40% - Accent1 2 76 2 3" xfId="19618"/>
    <cellStyle name="40% - Accent1 2 76 3" xfId="19619"/>
    <cellStyle name="40% - Accent1 2 76 3 2" xfId="19620"/>
    <cellStyle name="40% - Accent1 2 76 4" xfId="19621"/>
    <cellStyle name="40% - Accent1 2 76 5" xfId="19622"/>
    <cellStyle name="40% - Accent1 2 77" xfId="19623"/>
    <cellStyle name="40% - Accent1 2 77 2" xfId="19624"/>
    <cellStyle name="40% - Accent1 2 77 2 2" xfId="19625"/>
    <cellStyle name="40% - Accent1 2 77 2 3" xfId="19626"/>
    <cellStyle name="40% - Accent1 2 77 3" xfId="19627"/>
    <cellStyle name="40% - Accent1 2 77 3 2" xfId="19628"/>
    <cellStyle name="40% - Accent1 2 77 4" xfId="19629"/>
    <cellStyle name="40% - Accent1 2 77 5" xfId="19630"/>
    <cellStyle name="40% - Accent1 2 78" xfId="19631"/>
    <cellStyle name="40% - Accent1 2 78 2" xfId="19632"/>
    <cellStyle name="40% - Accent1 2 78 2 2" xfId="19633"/>
    <cellStyle name="40% - Accent1 2 78 2 3" xfId="19634"/>
    <cellStyle name="40% - Accent1 2 78 3" xfId="19635"/>
    <cellStyle name="40% - Accent1 2 78 3 2" xfId="19636"/>
    <cellStyle name="40% - Accent1 2 78 4" xfId="19637"/>
    <cellStyle name="40% - Accent1 2 78 5" xfId="19638"/>
    <cellStyle name="40% - Accent1 2 79" xfId="19639"/>
    <cellStyle name="40% - Accent1 2 79 2" xfId="19640"/>
    <cellStyle name="40% - Accent1 2 79 2 2" xfId="19641"/>
    <cellStyle name="40% - Accent1 2 79 2 3" xfId="19642"/>
    <cellStyle name="40% - Accent1 2 79 3" xfId="19643"/>
    <cellStyle name="40% - Accent1 2 79 3 2" xfId="19644"/>
    <cellStyle name="40% - Accent1 2 79 4" xfId="19645"/>
    <cellStyle name="40% - Accent1 2 79 5" xfId="19646"/>
    <cellStyle name="40% - Accent1 2 8" xfId="19647"/>
    <cellStyle name="40% - Accent1 2 8 2" xfId="19648"/>
    <cellStyle name="40% - Accent1 2 8 3" xfId="19649"/>
    <cellStyle name="40% - Accent1 2 8 4" xfId="19650"/>
    <cellStyle name="40% - Accent1 2 8 5" xfId="19651"/>
    <cellStyle name="40% - Accent1 2 8 5 2" xfId="19652"/>
    <cellStyle name="40% - Accent1 2 8_BHP" xfId="19653"/>
    <cellStyle name="40% - Accent1 2 80" xfId="19654"/>
    <cellStyle name="40% - Accent1 2 80 2" xfId="19655"/>
    <cellStyle name="40% - Accent1 2 80 2 2" xfId="19656"/>
    <cellStyle name="40% - Accent1 2 80 2 3" xfId="19657"/>
    <cellStyle name="40% - Accent1 2 80 3" xfId="19658"/>
    <cellStyle name="40% - Accent1 2 80 3 2" xfId="19659"/>
    <cellStyle name="40% - Accent1 2 80 4" xfId="19660"/>
    <cellStyle name="40% - Accent1 2 80 5" xfId="19661"/>
    <cellStyle name="40% - Accent1 2 81" xfId="19662"/>
    <cellStyle name="40% - Accent1 2 81 2" xfId="19663"/>
    <cellStyle name="40% - Accent1 2 81 2 2" xfId="19664"/>
    <cellStyle name="40% - Accent1 2 81 2 3" xfId="19665"/>
    <cellStyle name="40% - Accent1 2 81 3" xfId="19666"/>
    <cellStyle name="40% - Accent1 2 81 3 2" xfId="19667"/>
    <cellStyle name="40% - Accent1 2 81 4" xfId="19668"/>
    <cellStyle name="40% - Accent1 2 81 5" xfId="19669"/>
    <cellStyle name="40% - Accent1 2 82" xfId="19670"/>
    <cellStyle name="40% - Accent1 2 82 2" xfId="19671"/>
    <cellStyle name="40% - Accent1 2 82 2 2" xfId="19672"/>
    <cellStyle name="40% - Accent1 2 82 2 3" xfId="19673"/>
    <cellStyle name="40% - Accent1 2 82 3" xfId="19674"/>
    <cellStyle name="40% - Accent1 2 82 3 2" xfId="19675"/>
    <cellStyle name="40% - Accent1 2 82 4" xfId="19676"/>
    <cellStyle name="40% - Accent1 2 82 5" xfId="19677"/>
    <cellStyle name="40% - Accent1 2 83" xfId="19678"/>
    <cellStyle name="40% - Accent1 2 83 2" xfId="19679"/>
    <cellStyle name="40% - Accent1 2 83 2 2" xfId="19680"/>
    <cellStyle name="40% - Accent1 2 83 2 3" xfId="19681"/>
    <cellStyle name="40% - Accent1 2 83 3" xfId="19682"/>
    <cellStyle name="40% - Accent1 2 83 3 2" xfId="19683"/>
    <cellStyle name="40% - Accent1 2 83 4" xfId="19684"/>
    <cellStyle name="40% - Accent1 2 83 5" xfId="19685"/>
    <cellStyle name="40% - Accent1 2 84" xfId="19686"/>
    <cellStyle name="40% - Accent1 2 84 2" xfId="19687"/>
    <cellStyle name="40% - Accent1 2 84 2 2" xfId="19688"/>
    <cellStyle name="40% - Accent1 2 84 2 3" xfId="19689"/>
    <cellStyle name="40% - Accent1 2 84 3" xfId="19690"/>
    <cellStyle name="40% - Accent1 2 84 3 2" xfId="19691"/>
    <cellStyle name="40% - Accent1 2 84 4" xfId="19692"/>
    <cellStyle name="40% - Accent1 2 84 5" xfId="19693"/>
    <cellStyle name="40% - Accent1 2 85" xfId="19694"/>
    <cellStyle name="40% - Accent1 2 85 2" xfId="19695"/>
    <cellStyle name="40% - Accent1 2 85 2 2" xfId="19696"/>
    <cellStyle name="40% - Accent1 2 85 2 3" xfId="19697"/>
    <cellStyle name="40% - Accent1 2 85 3" xfId="19698"/>
    <cellStyle name="40% - Accent1 2 85 3 2" xfId="19699"/>
    <cellStyle name="40% - Accent1 2 85 4" xfId="19700"/>
    <cellStyle name="40% - Accent1 2 85 5" xfId="19701"/>
    <cellStyle name="40% - Accent1 2 86" xfId="19702"/>
    <cellStyle name="40% - Accent1 2 86 2" xfId="19703"/>
    <cellStyle name="40% - Accent1 2 86 2 2" xfId="19704"/>
    <cellStyle name="40% - Accent1 2 86 2 3" xfId="19705"/>
    <cellStyle name="40% - Accent1 2 86 3" xfId="19706"/>
    <cellStyle name="40% - Accent1 2 86 3 2" xfId="19707"/>
    <cellStyle name="40% - Accent1 2 86 4" xfId="19708"/>
    <cellStyle name="40% - Accent1 2 86 5" xfId="19709"/>
    <cellStyle name="40% - Accent1 2 87" xfId="19710"/>
    <cellStyle name="40% - Accent1 2 87 2" xfId="19711"/>
    <cellStyle name="40% - Accent1 2 87 2 2" xfId="19712"/>
    <cellStyle name="40% - Accent1 2 87 2 3" xfId="19713"/>
    <cellStyle name="40% - Accent1 2 87 3" xfId="19714"/>
    <cellStyle name="40% - Accent1 2 87 3 2" xfId="19715"/>
    <cellStyle name="40% - Accent1 2 87 4" xfId="19716"/>
    <cellStyle name="40% - Accent1 2 87 5" xfId="19717"/>
    <cellStyle name="40% - Accent1 2 88" xfId="19718"/>
    <cellStyle name="40% - Accent1 2 88 2" xfId="19719"/>
    <cellStyle name="40% - Accent1 2 88 2 2" xfId="19720"/>
    <cellStyle name="40% - Accent1 2 88 2 3" xfId="19721"/>
    <cellStyle name="40% - Accent1 2 88 3" xfId="19722"/>
    <cellStyle name="40% - Accent1 2 88 3 2" xfId="19723"/>
    <cellStyle name="40% - Accent1 2 88 4" xfId="19724"/>
    <cellStyle name="40% - Accent1 2 88 5" xfId="19725"/>
    <cellStyle name="40% - Accent1 2 89" xfId="19726"/>
    <cellStyle name="40% - Accent1 2 89 2" xfId="19727"/>
    <cellStyle name="40% - Accent1 2 89 2 2" xfId="19728"/>
    <cellStyle name="40% - Accent1 2 89 2 3" xfId="19729"/>
    <cellStyle name="40% - Accent1 2 89 3" xfId="19730"/>
    <cellStyle name="40% - Accent1 2 89 3 2" xfId="19731"/>
    <cellStyle name="40% - Accent1 2 89 4" xfId="19732"/>
    <cellStyle name="40% - Accent1 2 89 5" xfId="19733"/>
    <cellStyle name="40% - Accent1 2 9" xfId="19734"/>
    <cellStyle name="40% - Accent1 2 9 2" xfId="19735"/>
    <cellStyle name="40% - Accent1 2 9 3" xfId="19736"/>
    <cellStyle name="40% - Accent1 2 9 4" xfId="19737"/>
    <cellStyle name="40% - Accent1 2 9 5" xfId="19738"/>
    <cellStyle name="40% - Accent1 2 9 5 2" xfId="19739"/>
    <cellStyle name="40% - Accent1 2 9_BHP" xfId="19740"/>
    <cellStyle name="40% - Accent1 2 90" xfId="19741"/>
    <cellStyle name="40% - Accent1 2 90 2" xfId="19742"/>
    <cellStyle name="40% - Accent1 2 90 2 2" xfId="19743"/>
    <cellStyle name="40% - Accent1 2 90 2 3" xfId="19744"/>
    <cellStyle name="40% - Accent1 2 90 3" xfId="19745"/>
    <cellStyle name="40% - Accent1 2 90 3 2" xfId="19746"/>
    <cellStyle name="40% - Accent1 2 90 4" xfId="19747"/>
    <cellStyle name="40% - Accent1 2 90 5" xfId="19748"/>
    <cellStyle name="40% - Accent1 2 91" xfId="19749"/>
    <cellStyle name="40% - Accent1 2 91 2" xfId="19750"/>
    <cellStyle name="40% - Accent1 2 91 2 2" xfId="19751"/>
    <cellStyle name="40% - Accent1 2 91 2 3" xfId="19752"/>
    <cellStyle name="40% - Accent1 2 91 3" xfId="19753"/>
    <cellStyle name="40% - Accent1 2 91 3 2" xfId="19754"/>
    <cellStyle name="40% - Accent1 2 91 4" xfId="19755"/>
    <cellStyle name="40% - Accent1 2 91 5" xfId="19756"/>
    <cellStyle name="40% - Accent1 2 92" xfId="19757"/>
    <cellStyle name="40% - Accent1 2 92 2" xfId="19758"/>
    <cellStyle name="40% - Accent1 2 92 2 2" xfId="19759"/>
    <cellStyle name="40% - Accent1 2 92 3" xfId="19760"/>
    <cellStyle name="40% - Accent1 2 92 4" xfId="19761"/>
    <cellStyle name="40% - Accent1 2 93" xfId="19762"/>
    <cellStyle name="40% - Accent1 2 93 2" xfId="19763"/>
    <cellStyle name="40% - Accent1 2 93 2 2" xfId="19764"/>
    <cellStyle name="40% - Accent1 2 93 3" xfId="19765"/>
    <cellStyle name="40% - Accent1 2 93 4" xfId="19766"/>
    <cellStyle name="40% - Accent1 2 94" xfId="19767"/>
    <cellStyle name="40% - Accent1 2 94 2" xfId="19768"/>
    <cellStyle name="40% - Accent1 2 94 2 2" xfId="19769"/>
    <cellStyle name="40% - Accent1 2 94 3" xfId="19770"/>
    <cellStyle name="40% - Accent1 2 94 4" xfId="19771"/>
    <cellStyle name="40% - Accent1 2 95" xfId="19772"/>
    <cellStyle name="40% - Accent1 2 95 2" xfId="19773"/>
    <cellStyle name="40% - Accent1 2 95 2 2" xfId="19774"/>
    <cellStyle name="40% - Accent1 2 95 3" xfId="19775"/>
    <cellStyle name="40% - Accent1 2 95 4" xfId="19776"/>
    <cellStyle name="40% - Accent1 2 96" xfId="19777"/>
    <cellStyle name="40% - Accent1 2 96 2" xfId="19778"/>
    <cellStyle name="40% - Accent1 2 96 2 2" xfId="19779"/>
    <cellStyle name="40% - Accent1 2 96 3" xfId="19780"/>
    <cellStyle name="40% - Accent1 2 96 4" xfId="19781"/>
    <cellStyle name="40% - Accent1 2 97" xfId="19782"/>
    <cellStyle name="40% - Accent1 2 97 2" xfId="19783"/>
    <cellStyle name="40% - Accent1 2 97 2 2" xfId="19784"/>
    <cellStyle name="40% - Accent1 2 97 3" xfId="19785"/>
    <cellStyle name="40% - Accent1 2 97 4" xfId="19786"/>
    <cellStyle name="40% - Accent1 2 98" xfId="19787"/>
    <cellStyle name="40% - Accent1 2 98 2" xfId="19788"/>
    <cellStyle name="40% - Accent1 2 98 2 2" xfId="19789"/>
    <cellStyle name="40% - Accent1 2 98 3" xfId="19790"/>
    <cellStyle name="40% - Accent1 2 98 4" xfId="19791"/>
    <cellStyle name="40% - Accent1 2 99" xfId="19792"/>
    <cellStyle name="40% - Accent1 2 99 2" xfId="19793"/>
    <cellStyle name="40% - Accent1 2 99 2 2" xfId="19794"/>
    <cellStyle name="40% - Accent1 2 99 3" xfId="19795"/>
    <cellStyle name="40% - Accent1 2 99 4" xfId="19796"/>
    <cellStyle name="40% - Accent1 2_1-10 BHU IS" xfId="19797"/>
    <cellStyle name="40% - Accent1 20" xfId="19798"/>
    <cellStyle name="40% - Accent1 21" xfId="19799"/>
    <cellStyle name="40% - Accent1 22" xfId="19800"/>
    <cellStyle name="40% - Accent1 23" xfId="19801"/>
    <cellStyle name="40% - Accent1 24" xfId="19802"/>
    <cellStyle name="40% - Accent1 25" xfId="19803"/>
    <cellStyle name="40% - Accent1 26" xfId="19804"/>
    <cellStyle name="40% - Accent1 26 2" xfId="19805"/>
    <cellStyle name="40% - Accent1 26 2 2" xfId="19806"/>
    <cellStyle name="40% - Accent1 26 2 2 2" xfId="19807"/>
    <cellStyle name="40% - Accent1 26 2 2 3" xfId="19808"/>
    <cellStyle name="40% - Accent1 26 2 3" xfId="19809"/>
    <cellStyle name="40% - Accent1 26 2 3 2" xfId="19810"/>
    <cellStyle name="40% - Accent1 26 2 4" xfId="19811"/>
    <cellStyle name="40% - Accent1 26 2 5" xfId="19812"/>
    <cellStyle name="40% - Accent1 26 3" xfId="19813"/>
    <cellStyle name="40% - Accent1 26 3 2" xfId="19814"/>
    <cellStyle name="40% - Accent1 26 3 2 2" xfId="19815"/>
    <cellStyle name="40% - Accent1 26 3 3" xfId="19816"/>
    <cellStyle name="40% - Accent1 26 3 4" xfId="19817"/>
    <cellStyle name="40% - Accent1 26 4" xfId="19818"/>
    <cellStyle name="40% - Accent1 26 4 2" xfId="19819"/>
    <cellStyle name="40% - Accent1 26 4 2 2" xfId="19820"/>
    <cellStyle name="40% - Accent1 26 4 3" xfId="19821"/>
    <cellStyle name="40% - Accent1 26 4 4" xfId="19822"/>
    <cellStyle name="40% - Accent1 26 5" xfId="19823"/>
    <cellStyle name="40% - Accent1 26 5 2" xfId="19824"/>
    <cellStyle name="40% - Accent1 26 6" xfId="19825"/>
    <cellStyle name="40% - Accent1 26 7" xfId="19826"/>
    <cellStyle name="40% - Accent1 26 8" xfId="19827"/>
    <cellStyle name="40% - Accent1 27" xfId="19828"/>
    <cellStyle name="40% - Accent1 27 2" xfId="19829"/>
    <cellStyle name="40% - Accent1 27 2 2" xfId="19830"/>
    <cellStyle name="40% - Accent1 27 2 2 2" xfId="19831"/>
    <cellStyle name="40% - Accent1 27 2 2 3" xfId="19832"/>
    <cellStyle name="40% - Accent1 27 2 3" xfId="19833"/>
    <cellStyle name="40% - Accent1 27 2 3 2" xfId="19834"/>
    <cellStyle name="40% - Accent1 27 2 4" xfId="19835"/>
    <cellStyle name="40% - Accent1 27 2 5" xfId="19836"/>
    <cellStyle name="40% - Accent1 27 3" xfId="19837"/>
    <cellStyle name="40% - Accent1 27 3 2" xfId="19838"/>
    <cellStyle name="40% - Accent1 27 3 2 2" xfId="19839"/>
    <cellStyle name="40% - Accent1 27 3 3" xfId="19840"/>
    <cellStyle name="40% - Accent1 27 3 4" xfId="19841"/>
    <cellStyle name="40% - Accent1 27 4" xfId="19842"/>
    <cellStyle name="40% - Accent1 27 4 2" xfId="19843"/>
    <cellStyle name="40% - Accent1 27 4 2 2" xfId="19844"/>
    <cellStyle name="40% - Accent1 27 4 3" xfId="19845"/>
    <cellStyle name="40% - Accent1 27 4 4" xfId="19846"/>
    <cellStyle name="40% - Accent1 27 5" xfId="19847"/>
    <cellStyle name="40% - Accent1 27 5 2" xfId="19848"/>
    <cellStyle name="40% - Accent1 27 6" xfId="19849"/>
    <cellStyle name="40% - Accent1 27 7" xfId="19850"/>
    <cellStyle name="40% - Accent1 27 8" xfId="19851"/>
    <cellStyle name="40% - Accent1 28" xfId="19852"/>
    <cellStyle name="40% - Accent1 28 2" xfId="19853"/>
    <cellStyle name="40% - Accent1 28 2 2" xfId="19854"/>
    <cellStyle name="40% - Accent1 28 2 2 2" xfId="19855"/>
    <cellStyle name="40% - Accent1 28 2 2 3" xfId="19856"/>
    <cellStyle name="40% - Accent1 28 2 3" xfId="19857"/>
    <cellStyle name="40% - Accent1 28 2 3 2" xfId="19858"/>
    <cellStyle name="40% - Accent1 28 2 4" xfId="19859"/>
    <cellStyle name="40% - Accent1 28 2 5" xfId="19860"/>
    <cellStyle name="40% - Accent1 28 3" xfId="19861"/>
    <cellStyle name="40% - Accent1 28 3 2" xfId="19862"/>
    <cellStyle name="40% - Accent1 28 3 2 2" xfId="19863"/>
    <cellStyle name="40% - Accent1 28 3 3" xfId="19864"/>
    <cellStyle name="40% - Accent1 28 3 4" xfId="19865"/>
    <cellStyle name="40% - Accent1 28 4" xfId="19866"/>
    <cellStyle name="40% - Accent1 28 4 2" xfId="19867"/>
    <cellStyle name="40% - Accent1 28 4 2 2" xfId="19868"/>
    <cellStyle name="40% - Accent1 28 4 3" xfId="19869"/>
    <cellStyle name="40% - Accent1 28 4 4" xfId="19870"/>
    <cellStyle name="40% - Accent1 28 5" xfId="19871"/>
    <cellStyle name="40% - Accent1 28 5 2" xfId="19872"/>
    <cellStyle name="40% - Accent1 28 6" xfId="19873"/>
    <cellStyle name="40% - Accent1 28 7" xfId="19874"/>
    <cellStyle name="40% - Accent1 28 8" xfId="19875"/>
    <cellStyle name="40% - Accent1 29" xfId="19876"/>
    <cellStyle name="40% - Accent1 29 2" xfId="19877"/>
    <cellStyle name="40% - Accent1 29 2 2" xfId="19878"/>
    <cellStyle name="40% - Accent1 29 2 2 2" xfId="19879"/>
    <cellStyle name="40% - Accent1 29 2 2 3" xfId="19880"/>
    <cellStyle name="40% - Accent1 29 2 3" xfId="19881"/>
    <cellStyle name="40% - Accent1 29 2 3 2" xfId="19882"/>
    <cellStyle name="40% - Accent1 29 2 4" xfId="19883"/>
    <cellStyle name="40% - Accent1 29 2 5" xfId="19884"/>
    <cellStyle name="40% - Accent1 29 3" xfId="19885"/>
    <cellStyle name="40% - Accent1 29 3 2" xfId="19886"/>
    <cellStyle name="40% - Accent1 29 3 2 2" xfId="19887"/>
    <cellStyle name="40% - Accent1 29 3 3" xfId="19888"/>
    <cellStyle name="40% - Accent1 29 3 4" xfId="19889"/>
    <cellStyle name="40% - Accent1 29 4" xfId="19890"/>
    <cellStyle name="40% - Accent1 29 4 2" xfId="19891"/>
    <cellStyle name="40% - Accent1 29 4 2 2" xfId="19892"/>
    <cellStyle name="40% - Accent1 29 4 3" xfId="19893"/>
    <cellStyle name="40% - Accent1 29 4 4" xfId="19894"/>
    <cellStyle name="40% - Accent1 29 5" xfId="19895"/>
    <cellStyle name="40% - Accent1 29 5 2" xfId="19896"/>
    <cellStyle name="40% - Accent1 29 6" xfId="19897"/>
    <cellStyle name="40% - Accent1 29 7" xfId="19898"/>
    <cellStyle name="40% - Accent1 29 8" xfId="19899"/>
    <cellStyle name="40% - Accent1 3" xfId="315"/>
    <cellStyle name="40% - Accent1 3 10" xfId="19900"/>
    <cellStyle name="40% - Accent1 3 10 2" xfId="19901"/>
    <cellStyle name="40% - Accent1 3 10 2 2" xfId="19902"/>
    <cellStyle name="40% - Accent1 3 10 2 2 2" xfId="19903"/>
    <cellStyle name="40% - Accent1 3 10 2 2 3" xfId="19904"/>
    <cellStyle name="40% - Accent1 3 10 2 3" xfId="19905"/>
    <cellStyle name="40% - Accent1 3 10 2 3 2" xfId="19906"/>
    <cellStyle name="40% - Accent1 3 10 2 4" xfId="19907"/>
    <cellStyle name="40% - Accent1 3 10 2 5" xfId="19908"/>
    <cellStyle name="40% - Accent1 3 10 3" xfId="19909"/>
    <cellStyle name="40% - Accent1 3 10 3 2" xfId="19910"/>
    <cellStyle name="40% - Accent1 3 10 3 2 2" xfId="19911"/>
    <cellStyle name="40% - Accent1 3 10 3 3" xfId="19912"/>
    <cellStyle name="40% - Accent1 3 10 3 4" xfId="19913"/>
    <cellStyle name="40% - Accent1 3 10 4" xfId="19914"/>
    <cellStyle name="40% - Accent1 3 10 4 2" xfId="19915"/>
    <cellStyle name="40% - Accent1 3 10 4 2 2" xfId="19916"/>
    <cellStyle name="40% - Accent1 3 10 4 3" xfId="19917"/>
    <cellStyle name="40% - Accent1 3 10 4 4" xfId="19918"/>
    <cellStyle name="40% - Accent1 3 10 5" xfId="19919"/>
    <cellStyle name="40% - Accent1 3 10 5 2" xfId="19920"/>
    <cellStyle name="40% - Accent1 3 10 6" xfId="19921"/>
    <cellStyle name="40% - Accent1 3 10 7" xfId="19922"/>
    <cellStyle name="40% - Accent1 3 10 8" xfId="19923"/>
    <cellStyle name="40% - Accent1 3 11" xfId="19924"/>
    <cellStyle name="40% - Accent1 3 11 2" xfId="19925"/>
    <cellStyle name="40% - Accent1 3 11 2 2" xfId="19926"/>
    <cellStyle name="40% - Accent1 3 11 2 2 2" xfId="19927"/>
    <cellStyle name="40% - Accent1 3 11 2 2 3" xfId="19928"/>
    <cellStyle name="40% - Accent1 3 11 2 3" xfId="19929"/>
    <cellStyle name="40% - Accent1 3 11 2 3 2" xfId="19930"/>
    <cellStyle name="40% - Accent1 3 11 2 4" xfId="19931"/>
    <cellStyle name="40% - Accent1 3 11 2 5" xfId="19932"/>
    <cellStyle name="40% - Accent1 3 11 3" xfId="19933"/>
    <cellStyle name="40% - Accent1 3 11 3 2" xfId="19934"/>
    <cellStyle name="40% - Accent1 3 11 3 2 2" xfId="19935"/>
    <cellStyle name="40% - Accent1 3 11 3 3" xfId="19936"/>
    <cellStyle name="40% - Accent1 3 11 3 4" xfId="19937"/>
    <cellStyle name="40% - Accent1 3 11 4" xfId="19938"/>
    <cellStyle name="40% - Accent1 3 11 4 2" xfId="19939"/>
    <cellStyle name="40% - Accent1 3 11 4 2 2" xfId="19940"/>
    <cellStyle name="40% - Accent1 3 11 4 3" xfId="19941"/>
    <cellStyle name="40% - Accent1 3 11 4 4" xfId="19942"/>
    <cellStyle name="40% - Accent1 3 11 5" xfId="19943"/>
    <cellStyle name="40% - Accent1 3 11 5 2" xfId="19944"/>
    <cellStyle name="40% - Accent1 3 11 6" xfId="19945"/>
    <cellStyle name="40% - Accent1 3 11 7" xfId="19946"/>
    <cellStyle name="40% - Accent1 3 11 8" xfId="19947"/>
    <cellStyle name="40% - Accent1 3 12" xfId="19948"/>
    <cellStyle name="40% - Accent1 3 12 2" xfId="19949"/>
    <cellStyle name="40% - Accent1 3 12 2 2" xfId="19950"/>
    <cellStyle name="40% - Accent1 3 12 2 2 2" xfId="19951"/>
    <cellStyle name="40% - Accent1 3 12 2 2 3" xfId="19952"/>
    <cellStyle name="40% - Accent1 3 12 2 3" xfId="19953"/>
    <cellStyle name="40% - Accent1 3 12 2 3 2" xfId="19954"/>
    <cellStyle name="40% - Accent1 3 12 2 4" xfId="19955"/>
    <cellStyle name="40% - Accent1 3 12 2 5" xfId="19956"/>
    <cellStyle name="40% - Accent1 3 12 3" xfId="19957"/>
    <cellStyle name="40% - Accent1 3 12 3 2" xfId="19958"/>
    <cellStyle name="40% - Accent1 3 12 3 2 2" xfId="19959"/>
    <cellStyle name="40% - Accent1 3 12 3 3" xfId="19960"/>
    <cellStyle name="40% - Accent1 3 12 3 4" xfId="19961"/>
    <cellStyle name="40% - Accent1 3 12 4" xfId="19962"/>
    <cellStyle name="40% - Accent1 3 12 4 2" xfId="19963"/>
    <cellStyle name="40% - Accent1 3 12 4 2 2" xfId="19964"/>
    <cellStyle name="40% - Accent1 3 12 4 3" xfId="19965"/>
    <cellStyle name="40% - Accent1 3 12 4 4" xfId="19966"/>
    <cellStyle name="40% - Accent1 3 12 5" xfId="19967"/>
    <cellStyle name="40% - Accent1 3 12 5 2" xfId="19968"/>
    <cellStyle name="40% - Accent1 3 12 6" xfId="19969"/>
    <cellStyle name="40% - Accent1 3 12 7" xfId="19970"/>
    <cellStyle name="40% - Accent1 3 12 8" xfId="19971"/>
    <cellStyle name="40% - Accent1 3 2" xfId="316"/>
    <cellStyle name="40% - Accent1 3 2 2" xfId="19972"/>
    <cellStyle name="40% - Accent1 3 2 2 2" xfId="19973"/>
    <cellStyle name="40% - Accent1 3 2 3" xfId="19974"/>
    <cellStyle name="40% - Accent1 3 2 4" xfId="19975"/>
    <cellStyle name="40% - Accent1 3 2 5" xfId="19976"/>
    <cellStyle name="40% - Accent1 3 2 6" xfId="19977"/>
    <cellStyle name="40% - Accent1 3 2 7" xfId="19978"/>
    <cellStyle name="40% - Accent1 3 2 8" xfId="19979"/>
    <cellStyle name="40% - Accent1 3 2_2009 Actual" xfId="19980"/>
    <cellStyle name="40% - Accent1 3 3" xfId="19981"/>
    <cellStyle name="40% - Accent1 3 3 2" xfId="19982"/>
    <cellStyle name="40% - Accent1 3 4" xfId="19983"/>
    <cellStyle name="40% - Accent1 3 5" xfId="19984"/>
    <cellStyle name="40% - Accent1 3 6" xfId="19985"/>
    <cellStyle name="40% - Accent1 3 7" xfId="19986"/>
    <cellStyle name="40% - Accent1 3 8" xfId="19987"/>
    <cellStyle name="40% - Accent1 3 9" xfId="19988"/>
    <cellStyle name="40% - Accent1 3_2009 Actual" xfId="19989"/>
    <cellStyle name="40% - Accent1 30" xfId="19990"/>
    <cellStyle name="40% - Accent1 30 2" xfId="19991"/>
    <cellStyle name="40% - Accent1 30 2 2" xfId="19992"/>
    <cellStyle name="40% - Accent1 30 2 2 2" xfId="19993"/>
    <cellStyle name="40% - Accent1 30 2 2 3" xfId="19994"/>
    <cellStyle name="40% - Accent1 30 2 3" xfId="19995"/>
    <cellStyle name="40% - Accent1 30 2 3 2" xfId="19996"/>
    <cellStyle name="40% - Accent1 30 2 4" xfId="19997"/>
    <cellStyle name="40% - Accent1 30 2 5" xfId="19998"/>
    <cellStyle name="40% - Accent1 30 3" xfId="19999"/>
    <cellStyle name="40% - Accent1 30 3 2" xfId="20000"/>
    <cellStyle name="40% - Accent1 30 3 2 2" xfId="20001"/>
    <cellStyle name="40% - Accent1 30 3 3" xfId="20002"/>
    <cellStyle name="40% - Accent1 30 3 4" xfId="20003"/>
    <cellStyle name="40% - Accent1 30 4" xfId="20004"/>
    <cellStyle name="40% - Accent1 30 4 2" xfId="20005"/>
    <cellStyle name="40% - Accent1 30 4 2 2" xfId="20006"/>
    <cellStyle name="40% - Accent1 30 4 3" xfId="20007"/>
    <cellStyle name="40% - Accent1 30 4 4" xfId="20008"/>
    <cellStyle name="40% - Accent1 30 5" xfId="20009"/>
    <cellStyle name="40% - Accent1 30 5 2" xfId="20010"/>
    <cellStyle name="40% - Accent1 30 6" xfId="20011"/>
    <cellStyle name="40% - Accent1 30 7" xfId="20012"/>
    <cellStyle name="40% - Accent1 30 8" xfId="20013"/>
    <cellStyle name="40% - Accent1 31" xfId="20014"/>
    <cellStyle name="40% - Accent1 31 2" xfId="20015"/>
    <cellStyle name="40% - Accent1 31 2 2" xfId="20016"/>
    <cellStyle name="40% - Accent1 31 2 3" xfId="20017"/>
    <cellStyle name="40% - Accent1 31 3" xfId="20018"/>
    <cellStyle name="40% - Accent1 31 3 2" xfId="20019"/>
    <cellStyle name="40% - Accent1 31 4" xfId="20020"/>
    <cellStyle name="40% - Accent1 31 5" xfId="20021"/>
    <cellStyle name="40% - Accent1 32" xfId="20022"/>
    <cellStyle name="40% - Accent1 32 2" xfId="20023"/>
    <cellStyle name="40% - Accent1 32 2 2" xfId="20024"/>
    <cellStyle name="40% - Accent1 32 2 3" xfId="20025"/>
    <cellStyle name="40% - Accent1 32 3" xfId="20026"/>
    <cellStyle name="40% - Accent1 32 3 2" xfId="20027"/>
    <cellStyle name="40% - Accent1 32 4" xfId="20028"/>
    <cellStyle name="40% - Accent1 32 5" xfId="20029"/>
    <cellStyle name="40% - Accent1 33" xfId="20030"/>
    <cellStyle name="40% - Accent1 33 2" xfId="20031"/>
    <cellStyle name="40% - Accent1 33 2 2" xfId="20032"/>
    <cellStyle name="40% - Accent1 33 2 3" xfId="20033"/>
    <cellStyle name="40% - Accent1 33 3" xfId="20034"/>
    <cellStyle name="40% - Accent1 33 3 2" xfId="20035"/>
    <cellStyle name="40% - Accent1 33 4" xfId="20036"/>
    <cellStyle name="40% - Accent1 33 5" xfId="20037"/>
    <cellStyle name="40% - Accent1 34" xfId="20038"/>
    <cellStyle name="40% - Accent1 34 2" xfId="20039"/>
    <cellStyle name="40% - Accent1 34 2 2" xfId="20040"/>
    <cellStyle name="40% - Accent1 34 2 3" xfId="20041"/>
    <cellStyle name="40% - Accent1 34 3" xfId="20042"/>
    <cellStyle name="40% - Accent1 34 3 2" xfId="20043"/>
    <cellStyle name="40% - Accent1 34 4" xfId="20044"/>
    <cellStyle name="40% - Accent1 34 5" xfId="20045"/>
    <cellStyle name="40% - Accent1 35" xfId="20046"/>
    <cellStyle name="40% - Accent1 35 2" xfId="20047"/>
    <cellStyle name="40% - Accent1 35 2 2" xfId="20048"/>
    <cellStyle name="40% - Accent1 35 2 3" xfId="20049"/>
    <cellStyle name="40% - Accent1 35 3" xfId="20050"/>
    <cellStyle name="40% - Accent1 35 3 2" xfId="20051"/>
    <cellStyle name="40% - Accent1 35 4" xfId="20052"/>
    <cellStyle name="40% - Accent1 35 5" xfId="20053"/>
    <cellStyle name="40% - Accent1 36" xfId="20054"/>
    <cellStyle name="40% - Accent1 36 2" xfId="20055"/>
    <cellStyle name="40% - Accent1 36 2 2" xfId="20056"/>
    <cellStyle name="40% - Accent1 36 2 3" xfId="20057"/>
    <cellStyle name="40% - Accent1 36 3" xfId="20058"/>
    <cellStyle name="40% - Accent1 36 3 2" xfId="20059"/>
    <cellStyle name="40% - Accent1 36 4" xfId="20060"/>
    <cellStyle name="40% - Accent1 36 5" xfId="20061"/>
    <cellStyle name="40% - Accent1 37" xfId="20062"/>
    <cellStyle name="40% - Accent1 37 2" xfId="20063"/>
    <cellStyle name="40% - Accent1 37 2 2" xfId="20064"/>
    <cellStyle name="40% - Accent1 37 2 3" xfId="20065"/>
    <cellStyle name="40% - Accent1 37 3" xfId="20066"/>
    <cellStyle name="40% - Accent1 37 3 2" xfId="20067"/>
    <cellStyle name="40% - Accent1 37 4" xfId="20068"/>
    <cellStyle name="40% - Accent1 37 5" xfId="20069"/>
    <cellStyle name="40% - Accent1 38" xfId="20070"/>
    <cellStyle name="40% - Accent1 38 2" xfId="20071"/>
    <cellStyle name="40% - Accent1 38 2 2" xfId="20072"/>
    <cellStyle name="40% - Accent1 38 2 3" xfId="20073"/>
    <cellStyle name="40% - Accent1 38 3" xfId="20074"/>
    <cellStyle name="40% - Accent1 38 3 2" xfId="20075"/>
    <cellStyle name="40% - Accent1 38 4" xfId="20076"/>
    <cellStyle name="40% - Accent1 38 5" xfId="20077"/>
    <cellStyle name="40% - Accent1 39" xfId="20078"/>
    <cellStyle name="40% - Accent1 39 2" xfId="20079"/>
    <cellStyle name="40% - Accent1 39 2 2" xfId="20080"/>
    <cellStyle name="40% - Accent1 39 2 3" xfId="20081"/>
    <cellStyle name="40% - Accent1 39 3" xfId="20082"/>
    <cellStyle name="40% - Accent1 39 3 2" xfId="20083"/>
    <cellStyle name="40% - Accent1 39 4" xfId="20084"/>
    <cellStyle name="40% - Accent1 39 5" xfId="20085"/>
    <cellStyle name="40% - Accent1 4" xfId="317"/>
    <cellStyle name="40% - Accent1 4 2" xfId="20086"/>
    <cellStyle name="40% - Accent1 4 2 2" xfId="20087"/>
    <cellStyle name="40% - Accent1 4 2 3" xfId="20088"/>
    <cellStyle name="40% - Accent1 4 2 4" xfId="20089"/>
    <cellStyle name="40% - Accent1 4 2 5" xfId="20090"/>
    <cellStyle name="40% - Accent1 4 2 6" xfId="20091"/>
    <cellStyle name="40% - Accent1 4 2 7" xfId="20092"/>
    <cellStyle name="40% - Accent1 4 2_2009 Actual" xfId="20093"/>
    <cellStyle name="40% - Accent1 4 3" xfId="20094"/>
    <cellStyle name="40% - Accent1 4 4" xfId="20095"/>
    <cellStyle name="40% - Accent1 4 5" xfId="20096"/>
    <cellStyle name="40% - Accent1 4 6" xfId="20097"/>
    <cellStyle name="40% - Accent1 4 7" xfId="20098"/>
    <cellStyle name="40% - Accent1 4 8" xfId="20099"/>
    <cellStyle name="40% - Accent1 4_2009 Actual" xfId="20100"/>
    <cellStyle name="40% - Accent1 40" xfId="20101"/>
    <cellStyle name="40% - Accent1 40 2" xfId="20102"/>
    <cellStyle name="40% - Accent1 40 2 2" xfId="20103"/>
    <cellStyle name="40% - Accent1 40 2 3" xfId="20104"/>
    <cellStyle name="40% - Accent1 40 3" xfId="20105"/>
    <cellStyle name="40% - Accent1 40 3 2" xfId="20106"/>
    <cellStyle name="40% - Accent1 40 4" xfId="20107"/>
    <cellStyle name="40% - Accent1 40 5" xfId="20108"/>
    <cellStyle name="40% - Accent1 41" xfId="20109"/>
    <cellStyle name="40% - Accent1 41 2" xfId="20110"/>
    <cellStyle name="40% - Accent1 41 2 2" xfId="20111"/>
    <cellStyle name="40% - Accent1 41 2 3" xfId="20112"/>
    <cellStyle name="40% - Accent1 41 3" xfId="20113"/>
    <cellStyle name="40% - Accent1 41 3 2" xfId="20114"/>
    <cellStyle name="40% - Accent1 41 4" xfId="20115"/>
    <cellStyle name="40% - Accent1 41 5" xfId="20116"/>
    <cellStyle name="40% - Accent1 42" xfId="20117"/>
    <cellStyle name="40% - Accent1 42 2" xfId="20118"/>
    <cellStyle name="40% - Accent1 42 2 2" xfId="20119"/>
    <cellStyle name="40% - Accent1 42 2 3" xfId="20120"/>
    <cellStyle name="40% - Accent1 42 3" xfId="20121"/>
    <cellStyle name="40% - Accent1 42 3 2" xfId="20122"/>
    <cellStyle name="40% - Accent1 42 4" xfId="20123"/>
    <cellStyle name="40% - Accent1 42 5" xfId="20124"/>
    <cellStyle name="40% - Accent1 43" xfId="20125"/>
    <cellStyle name="40% - Accent1 43 2" xfId="20126"/>
    <cellStyle name="40% - Accent1 43 2 2" xfId="20127"/>
    <cellStyle name="40% - Accent1 43 2 3" xfId="20128"/>
    <cellStyle name="40% - Accent1 43 3" xfId="20129"/>
    <cellStyle name="40% - Accent1 43 3 2" xfId="20130"/>
    <cellStyle name="40% - Accent1 43 4" xfId="20131"/>
    <cellStyle name="40% - Accent1 43 5" xfId="20132"/>
    <cellStyle name="40% - Accent1 44" xfId="20133"/>
    <cellStyle name="40% - Accent1 44 2" xfId="20134"/>
    <cellStyle name="40% - Accent1 44 2 2" xfId="20135"/>
    <cellStyle name="40% - Accent1 44 2 3" xfId="20136"/>
    <cellStyle name="40% - Accent1 44 3" xfId="20137"/>
    <cellStyle name="40% - Accent1 44 3 2" xfId="20138"/>
    <cellStyle name="40% - Accent1 44 4" xfId="20139"/>
    <cellStyle name="40% - Accent1 44 5" xfId="20140"/>
    <cellStyle name="40% - Accent1 45" xfId="20141"/>
    <cellStyle name="40% - Accent1 45 2" xfId="20142"/>
    <cellStyle name="40% - Accent1 45 2 2" xfId="20143"/>
    <cellStyle name="40% - Accent1 45 2 3" xfId="20144"/>
    <cellStyle name="40% - Accent1 45 3" xfId="20145"/>
    <cellStyle name="40% - Accent1 45 3 2" xfId="20146"/>
    <cellStyle name="40% - Accent1 45 4" xfId="20147"/>
    <cellStyle name="40% - Accent1 45 5" xfId="20148"/>
    <cellStyle name="40% - Accent1 46" xfId="20149"/>
    <cellStyle name="40% - Accent1 46 2" xfId="20150"/>
    <cellStyle name="40% - Accent1 46 2 2" xfId="20151"/>
    <cellStyle name="40% - Accent1 46 2 3" xfId="20152"/>
    <cellStyle name="40% - Accent1 46 3" xfId="20153"/>
    <cellStyle name="40% - Accent1 46 3 2" xfId="20154"/>
    <cellStyle name="40% - Accent1 46 4" xfId="20155"/>
    <cellStyle name="40% - Accent1 46 5" xfId="20156"/>
    <cellStyle name="40% - Accent1 47" xfId="20157"/>
    <cellStyle name="40% - Accent1 47 2" xfId="20158"/>
    <cellStyle name="40% - Accent1 47 2 2" xfId="20159"/>
    <cellStyle name="40% - Accent1 47 2 3" xfId="20160"/>
    <cellStyle name="40% - Accent1 47 3" xfId="20161"/>
    <cellStyle name="40% - Accent1 47 3 2" xfId="20162"/>
    <cellStyle name="40% - Accent1 47 4" xfId="20163"/>
    <cellStyle name="40% - Accent1 47 5" xfId="20164"/>
    <cellStyle name="40% - Accent1 48" xfId="20165"/>
    <cellStyle name="40% - Accent1 48 2" xfId="20166"/>
    <cellStyle name="40% - Accent1 48 2 2" xfId="20167"/>
    <cellStyle name="40% - Accent1 48 2 3" xfId="20168"/>
    <cellStyle name="40% - Accent1 48 3" xfId="20169"/>
    <cellStyle name="40% - Accent1 48 3 2" xfId="20170"/>
    <cellStyle name="40% - Accent1 48 4" xfId="20171"/>
    <cellStyle name="40% - Accent1 48 5" xfId="20172"/>
    <cellStyle name="40% - Accent1 49" xfId="20173"/>
    <cellStyle name="40% - Accent1 49 2" xfId="20174"/>
    <cellStyle name="40% - Accent1 49 2 2" xfId="20175"/>
    <cellStyle name="40% - Accent1 49 2 3" xfId="20176"/>
    <cellStyle name="40% - Accent1 49 3" xfId="20177"/>
    <cellStyle name="40% - Accent1 49 3 2" xfId="20178"/>
    <cellStyle name="40% - Accent1 49 4" xfId="20179"/>
    <cellStyle name="40% - Accent1 49 5" xfId="20180"/>
    <cellStyle name="40% - Accent1 5" xfId="20181"/>
    <cellStyle name="40% - Accent1 5 2" xfId="20182"/>
    <cellStyle name="40% - Accent1 5 2 2" xfId="20183"/>
    <cellStyle name="40% - Accent1 5 2 3" xfId="20184"/>
    <cellStyle name="40% - Accent1 5 2 4" xfId="20185"/>
    <cellStyle name="40% - Accent1 5 2 5" xfId="20186"/>
    <cellStyle name="40% - Accent1 5 2 6" xfId="20187"/>
    <cellStyle name="40% - Accent1 5 2 7" xfId="20188"/>
    <cellStyle name="40% - Accent1 5 2_2009 Actual" xfId="20189"/>
    <cellStyle name="40% - Accent1 5 3" xfId="20190"/>
    <cellStyle name="40% - Accent1 5 4" xfId="20191"/>
    <cellStyle name="40% - Accent1 5 5" xfId="20192"/>
    <cellStyle name="40% - Accent1 5 6" xfId="20193"/>
    <cellStyle name="40% - Accent1 5 7" xfId="20194"/>
    <cellStyle name="40% - Accent1 5 8" xfId="20195"/>
    <cellStyle name="40% - Accent1 5_2009 Actual" xfId="20196"/>
    <cellStyle name="40% - Accent1 50" xfId="20197"/>
    <cellStyle name="40% - Accent1 50 2" xfId="20198"/>
    <cellStyle name="40% - Accent1 50 2 2" xfId="20199"/>
    <cellStyle name="40% - Accent1 50 2 3" xfId="20200"/>
    <cellStyle name="40% - Accent1 50 3" xfId="20201"/>
    <cellStyle name="40% - Accent1 50 3 2" xfId="20202"/>
    <cellStyle name="40% - Accent1 50 4" xfId="20203"/>
    <cellStyle name="40% - Accent1 50 5" xfId="20204"/>
    <cellStyle name="40% - Accent1 51" xfId="20205"/>
    <cellStyle name="40% - Accent1 51 2" xfId="20206"/>
    <cellStyle name="40% - Accent1 51 2 2" xfId="20207"/>
    <cellStyle name="40% - Accent1 51 2 3" xfId="20208"/>
    <cellStyle name="40% - Accent1 51 3" xfId="20209"/>
    <cellStyle name="40% - Accent1 51 3 2" xfId="20210"/>
    <cellStyle name="40% - Accent1 51 4" xfId="20211"/>
    <cellStyle name="40% - Accent1 51 5" xfId="20212"/>
    <cellStyle name="40% - Accent1 52" xfId="20213"/>
    <cellStyle name="40% - Accent1 52 2" xfId="20214"/>
    <cellStyle name="40% - Accent1 52 2 2" xfId="20215"/>
    <cellStyle name="40% - Accent1 52 2 3" xfId="20216"/>
    <cellStyle name="40% - Accent1 52 3" xfId="20217"/>
    <cellStyle name="40% - Accent1 52 3 2" xfId="20218"/>
    <cellStyle name="40% - Accent1 52 4" xfId="20219"/>
    <cellStyle name="40% - Accent1 52 5" xfId="20220"/>
    <cellStyle name="40% - Accent1 53" xfId="20221"/>
    <cellStyle name="40% - Accent1 53 2" xfId="20222"/>
    <cellStyle name="40% - Accent1 53 2 2" xfId="20223"/>
    <cellStyle name="40% - Accent1 53 2 3" xfId="20224"/>
    <cellStyle name="40% - Accent1 53 3" xfId="20225"/>
    <cellStyle name="40% - Accent1 53 3 2" xfId="20226"/>
    <cellStyle name="40% - Accent1 53 4" xfId="20227"/>
    <cellStyle name="40% - Accent1 53 5" xfId="20228"/>
    <cellStyle name="40% - Accent1 54" xfId="20229"/>
    <cellStyle name="40% - Accent1 54 2" xfId="20230"/>
    <cellStyle name="40% - Accent1 54 2 2" xfId="20231"/>
    <cellStyle name="40% - Accent1 54 2 3" xfId="20232"/>
    <cellStyle name="40% - Accent1 54 3" xfId="20233"/>
    <cellStyle name="40% - Accent1 54 3 2" xfId="20234"/>
    <cellStyle name="40% - Accent1 54 4" xfId="20235"/>
    <cellStyle name="40% - Accent1 54 5" xfId="20236"/>
    <cellStyle name="40% - Accent1 55" xfId="20237"/>
    <cellStyle name="40% - Accent1 55 2" xfId="20238"/>
    <cellStyle name="40% - Accent1 55 2 2" xfId="20239"/>
    <cellStyle name="40% - Accent1 55 2 3" xfId="20240"/>
    <cellStyle name="40% - Accent1 55 3" xfId="20241"/>
    <cellStyle name="40% - Accent1 55 3 2" xfId="20242"/>
    <cellStyle name="40% - Accent1 55 4" xfId="20243"/>
    <cellStyle name="40% - Accent1 55 5" xfId="20244"/>
    <cellStyle name="40% - Accent1 56" xfId="20245"/>
    <cellStyle name="40% - Accent1 56 2" xfId="20246"/>
    <cellStyle name="40% - Accent1 56 2 2" xfId="20247"/>
    <cellStyle name="40% - Accent1 56 2 3" xfId="20248"/>
    <cellStyle name="40% - Accent1 56 3" xfId="20249"/>
    <cellStyle name="40% - Accent1 56 3 2" xfId="20250"/>
    <cellStyle name="40% - Accent1 56 4" xfId="20251"/>
    <cellStyle name="40% - Accent1 56 5" xfId="20252"/>
    <cellStyle name="40% - Accent1 57" xfId="20253"/>
    <cellStyle name="40% - Accent1 57 2" xfId="20254"/>
    <cellStyle name="40% - Accent1 57 2 2" xfId="20255"/>
    <cellStyle name="40% - Accent1 57 2 3" xfId="20256"/>
    <cellStyle name="40% - Accent1 57 3" xfId="20257"/>
    <cellStyle name="40% - Accent1 57 3 2" xfId="20258"/>
    <cellStyle name="40% - Accent1 57 4" xfId="20259"/>
    <cellStyle name="40% - Accent1 57 5" xfId="20260"/>
    <cellStyle name="40% - Accent1 58" xfId="20261"/>
    <cellStyle name="40% - Accent1 58 2" xfId="20262"/>
    <cellStyle name="40% - Accent1 58 2 2" xfId="20263"/>
    <cellStyle name="40% - Accent1 58 2 3" xfId="20264"/>
    <cellStyle name="40% - Accent1 58 3" xfId="20265"/>
    <cellStyle name="40% - Accent1 58 3 2" xfId="20266"/>
    <cellStyle name="40% - Accent1 58 4" xfId="20267"/>
    <cellStyle name="40% - Accent1 58 5" xfId="20268"/>
    <cellStyle name="40% - Accent1 59" xfId="20269"/>
    <cellStyle name="40% - Accent1 59 2" xfId="20270"/>
    <cellStyle name="40% - Accent1 59 2 2" xfId="20271"/>
    <cellStyle name="40% - Accent1 59 2 3" xfId="20272"/>
    <cellStyle name="40% - Accent1 59 3" xfId="20273"/>
    <cellStyle name="40% - Accent1 59 3 2" xfId="20274"/>
    <cellStyle name="40% - Accent1 59 4" xfId="20275"/>
    <cellStyle name="40% - Accent1 59 5" xfId="20276"/>
    <cellStyle name="40% - Accent1 6" xfId="20277"/>
    <cellStyle name="40% - Accent1 6 2" xfId="20278"/>
    <cellStyle name="40% - Accent1 6 3" xfId="20279"/>
    <cellStyle name="40% - Accent1 6 4" xfId="20280"/>
    <cellStyle name="40% - Accent1 6 5" xfId="20281"/>
    <cellStyle name="40% - Accent1 6 6" xfId="20282"/>
    <cellStyle name="40% - Accent1 6 7" xfId="20283"/>
    <cellStyle name="40% - Accent1 6 8" xfId="20284"/>
    <cellStyle name="40% - Accent1 6_2009 Actual" xfId="20285"/>
    <cellStyle name="40% - Accent1 60" xfId="20286"/>
    <cellStyle name="40% - Accent1 60 2" xfId="20287"/>
    <cellStyle name="40% - Accent1 60 2 2" xfId="20288"/>
    <cellStyle name="40% - Accent1 60 2 3" xfId="20289"/>
    <cellStyle name="40% - Accent1 60 3" xfId="20290"/>
    <cellStyle name="40% - Accent1 60 3 2" xfId="20291"/>
    <cellStyle name="40% - Accent1 60 4" xfId="20292"/>
    <cellStyle name="40% - Accent1 60 5" xfId="20293"/>
    <cellStyle name="40% - Accent1 61" xfId="20294"/>
    <cellStyle name="40% - Accent1 61 2" xfId="20295"/>
    <cellStyle name="40% - Accent1 61 2 2" xfId="20296"/>
    <cellStyle name="40% - Accent1 61 2 3" xfId="20297"/>
    <cellStyle name="40% - Accent1 61 3" xfId="20298"/>
    <cellStyle name="40% - Accent1 61 3 2" xfId="20299"/>
    <cellStyle name="40% - Accent1 61 4" xfId="20300"/>
    <cellStyle name="40% - Accent1 61 5" xfId="20301"/>
    <cellStyle name="40% - Accent1 62" xfId="20302"/>
    <cellStyle name="40% - Accent1 62 2" xfId="20303"/>
    <cellStyle name="40% - Accent1 62 2 2" xfId="20304"/>
    <cellStyle name="40% - Accent1 62 2 3" xfId="20305"/>
    <cellStyle name="40% - Accent1 62 3" xfId="20306"/>
    <cellStyle name="40% - Accent1 62 3 2" xfId="20307"/>
    <cellStyle name="40% - Accent1 62 4" xfId="20308"/>
    <cellStyle name="40% - Accent1 62 5" xfId="20309"/>
    <cellStyle name="40% - Accent1 63" xfId="20310"/>
    <cellStyle name="40% - Accent1 63 2" xfId="20311"/>
    <cellStyle name="40% - Accent1 63 2 2" xfId="20312"/>
    <cellStyle name="40% - Accent1 63 2 3" xfId="20313"/>
    <cellStyle name="40% - Accent1 63 3" xfId="20314"/>
    <cellStyle name="40% - Accent1 63 3 2" xfId="20315"/>
    <cellStyle name="40% - Accent1 63 4" xfId="20316"/>
    <cellStyle name="40% - Accent1 63 5" xfId="20317"/>
    <cellStyle name="40% - Accent1 64" xfId="20318"/>
    <cellStyle name="40% - Accent1 64 2" xfId="20319"/>
    <cellStyle name="40% - Accent1 64 2 2" xfId="20320"/>
    <cellStyle name="40% - Accent1 64 3" xfId="20321"/>
    <cellStyle name="40% - Accent1 64 4" xfId="20322"/>
    <cellStyle name="40% - Accent1 65" xfId="20323"/>
    <cellStyle name="40% - Accent1 65 2" xfId="20324"/>
    <cellStyle name="40% - Accent1 65 2 2" xfId="20325"/>
    <cellStyle name="40% - Accent1 65 3" xfId="20326"/>
    <cellStyle name="40% - Accent1 65 4" xfId="20327"/>
    <cellStyle name="40% - Accent1 66" xfId="20328"/>
    <cellStyle name="40% - Accent1 66 2" xfId="20329"/>
    <cellStyle name="40% - Accent1 66 2 2" xfId="20330"/>
    <cellStyle name="40% - Accent1 66 3" xfId="20331"/>
    <cellStyle name="40% - Accent1 66 4" xfId="20332"/>
    <cellStyle name="40% - Accent1 67" xfId="20333"/>
    <cellStyle name="40% - Accent1 67 2" xfId="20334"/>
    <cellStyle name="40% - Accent1 67 2 2" xfId="20335"/>
    <cellStyle name="40% - Accent1 67 3" xfId="20336"/>
    <cellStyle name="40% - Accent1 67 4" xfId="20337"/>
    <cellStyle name="40% - Accent1 68" xfId="20338"/>
    <cellStyle name="40% - Accent1 68 2" xfId="20339"/>
    <cellStyle name="40% - Accent1 68 2 2" xfId="20340"/>
    <cellStyle name="40% - Accent1 68 3" xfId="20341"/>
    <cellStyle name="40% - Accent1 68 4" xfId="20342"/>
    <cellStyle name="40% - Accent1 69" xfId="20343"/>
    <cellStyle name="40% - Accent1 69 2" xfId="20344"/>
    <cellStyle name="40% - Accent1 69 2 2" xfId="20345"/>
    <cellStyle name="40% - Accent1 69 3" xfId="20346"/>
    <cellStyle name="40% - Accent1 69 4" xfId="20347"/>
    <cellStyle name="40% - Accent1 7" xfId="20348"/>
    <cellStyle name="40% - Accent1 7 2" xfId="20349"/>
    <cellStyle name="40% - Accent1 7 3" xfId="20350"/>
    <cellStyle name="40% - Accent1 7 4" xfId="20351"/>
    <cellStyle name="40% - Accent1 7 5" xfId="20352"/>
    <cellStyle name="40% - Accent1 7 6" xfId="20353"/>
    <cellStyle name="40% - Accent1 7 7" xfId="20354"/>
    <cellStyle name="40% - Accent1 7 8" xfId="20355"/>
    <cellStyle name="40% - Accent1 7_2009 Actual" xfId="20356"/>
    <cellStyle name="40% - Accent1 70" xfId="20357"/>
    <cellStyle name="40% - Accent1 70 2" xfId="20358"/>
    <cellStyle name="40% - Accent1 70 2 2" xfId="20359"/>
    <cellStyle name="40% - Accent1 70 3" xfId="20360"/>
    <cellStyle name="40% - Accent1 70 4" xfId="20361"/>
    <cellStyle name="40% - Accent1 71" xfId="20362"/>
    <cellStyle name="40% - Accent1 71 2" xfId="20363"/>
    <cellStyle name="40% - Accent1 71 2 2" xfId="20364"/>
    <cellStyle name="40% - Accent1 71 3" xfId="20365"/>
    <cellStyle name="40% - Accent1 71 4" xfId="20366"/>
    <cellStyle name="40% - Accent1 72" xfId="20367"/>
    <cellStyle name="40% - Accent1 72 2" xfId="20368"/>
    <cellStyle name="40% - Accent1 72 2 2" xfId="20369"/>
    <cellStyle name="40% - Accent1 72 3" xfId="20370"/>
    <cellStyle name="40% - Accent1 72 4" xfId="20371"/>
    <cellStyle name="40% - Accent1 73" xfId="20372"/>
    <cellStyle name="40% - Accent1 73 2" xfId="20373"/>
    <cellStyle name="40% - Accent1 73 2 2" xfId="20374"/>
    <cellStyle name="40% - Accent1 73 3" xfId="20375"/>
    <cellStyle name="40% - Accent1 73 4" xfId="20376"/>
    <cellStyle name="40% - Accent1 74" xfId="20377"/>
    <cellStyle name="40% - Accent1 74 2" xfId="20378"/>
    <cellStyle name="40% - Accent1 74 2 2" xfId="20379"/>
    <cellStyle name="40% - Accent1 74 3" xfId="20380"/>
    <cellStyle name="40% - Accent1 74 4" xfId="20381"/>
    <cellStyle name="40% - Accent1 75" xfId="20382"/>
    <cellStyle name="40% - Accent1 75 2" xfId="20383"/>
    <cellStyle name="40% - Accent1 75 2 2" xfId="20384"/>
    <cellStyle name="40% - Accent1 75 3" xfId="20385"/>
    <cellStyle name="40% - Accent1 75 4" xfId="20386"/>
    <cellStyle name="40% - Accent1 76" xfId="20387"/>
    <cellStyle name="40% - Accent1 76 2" xfId="20388"/>
    <cellStyle name="40% - Accent1 76 2 2" xfId="20389"/>
    <cellStyle name="40% - Accent1 76 3" xfId="20390"/>
    <cellStyle name="40% - Accent1 76 4" xfId="20391"/>
    <cellStyle name="40% - Accent1 77" xfId="20392"/>
    <cellStyle name="40% - Accent1 77 2" xfId="20393"/>
    <cellStyle name="40% - Accent1 77 2 2" xfId="20394"/>
    <cellStyle name="40% - Accent1 77 3" xfId="20395"/>
    <cellStyle name="40% - Accent1 77 4" xfId="20396"/>
    <cellStyle name="40% - Accent1 78" xfId="20397"/>
    <cellStyle name="40% - Accent1 78 2" xfId="20398"/>
    <cellStyle name="40% - Accent1 78 2 2" xfId="20399"/>
    <cellStyle name="40% - Accent1 78 3" xfId="20400"/>
    <cellStyle name="40% - Accent1 78 4" xfId="20401"/>
    <cellStyle name="40% - Accent1 79" xfId="20402"/>
    <cellStyle name="40% - Accent1 79 2" xfId="20403"/>
    <cellStyle name="40% - Accent1 79 2 2" xfId="20404"/>
    <cellStyle name="40% - Accent1 79 3" xfId="20405"/>
    <cellStyle name="40% - Accent1 79 4" xfId="20406"/>
    <cellStyle name="40% - Accent1 8" xfId="20407"/>
    <cellStyle name="40% - Accent1 8 2" xfId="20408"/>
    <cellStyle name="40% - Accent1 8 3" xfId="20409"/>
    <cellStyle name="40% - Accent1 8 4" xfId="20410"/>
    <cellStyle name="40% - Accent1 8 5" xfId="20411"/>
    <cellStyle name="40% - Accent1 8 6" xfId="20412"/>
    <cellStyle name="40% - Accent1 8 7" xfId="20413"/>
    <cellStyle name="40% - Accent1 8 8" xfId="20414"/>
    <cellStyle name="40% - Accent1 8_2009 Actual" xfId="20415"/>
    <cellStyle name="40% - Accent1 80" xfId="20416"/>
    <cellStyle name="40% - Accent1 80 2" xfId="20417"/>
    <cellStyle name="40% - Accent1 80 2 2" xfId="20418"/>
    <cellStyle name="40% - Accent1 80 3" xfId="20419"/>
    <cellStyle name="40% - Accent1 80 4" xfId="20420"/>
    <cellStyle name="40% - Accent1 81" xfId="20421"/>
    <cellStyle name="40% - Accent1 81 2" xfId="20422"/>
    <cellStyle name="40% - Accent1 81 2 2" xfId="20423"/>
    <cellStyle name="40% - Accent1 81 3" xfId="20424"/>
    <cellStyle name="40% - Accent1 81 4" xfId="20425"/>
    <cellStyle name="40% - Accent1 82" xfId="20426"/>
    <cellStyle name="40% - Accent1 82 2" xfId="20427"/>
    <cellStyle name="40% - Accent1 82 2 2" xfId="20428"/>
    <cellStyle name="40% - Accent1 82 3" xfId="20429"/>
    <cellStyle name="40% - Accent1 82 4" xfId="20430"/>
    <cellStyle name="40% - Accent1 83" xfId="20431"/>
    <cellStyle name="40% - Accent1 83 2" xfId="20432"/>
    <cellStyle name="40% - Accent1 83 2 2" xfId="20433"/>
    <cellStyle name="40% - Accent1 83 3" xfId="20434"/>
    <cellStyle name="40% - Accent1 83 4" xfId="20435"/>
    <cellStyle name="40% - Accent1 84" xfId="20436"/>
    <cellStyle name="40% - Accent1 84 2" xfId="20437"/>
    <cellStyle name="40% - Accent1 84 2 2" xfId="20438"/>
    <cellStyle name="40% - Accent1 84 3" xfId="20439"/>
    <cellStyle name="40% - Accent1 84 4" xfId="20440"/>
    <cellStyle name="40% - Accent1 85" xfId="20441"/>
    <cellStyle name="40% - Accent1 85 2" xfId="20442"/>
    <cellStyle name="40% - Accent1 85 2 2" xfId="20443"/>
    <cellStyle name="40% - Accent1 85 3" xfId="20444"/>
    <cellStyle name="40% - Accent1 85 4" xfId="20445"/>
    <cellStyle name="40% - Accent1 86" xfId="20446"/>
    <cellStyle name="40% - Accent1 86 2" xfId="20447"/>
    <cellStyle name="40% - Accent1 86 2 2" xfId="20448"/>
    <cellStyle name="40% - Accent1 86 3" xfId="20449"/>
    <cellStyle name="40% - Accent1 86 4" xfId="20450"/>
    <cellStyle name="40% - Accent1 87" xfId="20451"/>
    <cellStyle name="40% - Accent1 87 2" xfId="20452"/>
    <cellStyle name="40% - Accent1 87 2 2" xfId="20453"/>
    <cellStyle name="40% - Accent1 87 3" xfId="20454"/>
    <cellStyle name="40% - Accent1 87 4" xfId="20455"/>
    <cellStyle name="40% - Accent1 88" xfId="20456"/>
    <cellStyle name="40% - Accent1 88 2" xfId="20457"/>
    <cellStyle name="40% - Accent1 88 2 2" xfId="20458"/>
    <cellStyle name="40% - Accent1 88 3" xfId="20459"/>
    <cellStyle name="40% - Accent1 88 4" xfId="20460"/>
    <cellStyle name="40% - Accent1 89" xfId="20461"/>
    <cellStyle name="40% - Accent1 89 2" xfId="20462"/>
    <cellStyle name="40% - Accent1 89 3" xfId="20463"/>
    <cellStyle name="40% - Accent1 9" xfId="20464"/>
    <cellStyle name="40% - Accent1 9 2" xfId="20465"/>
    <cellStyle name="40% - Accent1 9 3" xfId="20466"/>
    <cellStyle name="40% - Accent1 9 4" xfId="20467"/>
    <cellStyle name="40% - Accent1 9 5" xfId="20468"/>
    <cellStyle name="40% - Accent1 9 6" xfId="20469"/>
    <cellStyle name="40% - Accent1 9 7" xfId="20470"/>
    <cellStyle name="40% - Accent1 9 8" xfId="20471"/>
    <cellStyle name="40% - Accent1 9_2009 Actual" xfId="20472"/>
    <cellStyle name="40% - Accent1 90" xfId="20473"/>
    <cellStyle name="40% - Accent1 90 2" xfId="20474"/>
    <cellStyle name="40% - Accent1 91" xfId="20475"/>
    <cellStyle name="40% - Accent1 91 2" xfId="20476"/>
    <cellStyle name="40% - Accent1 92" xfId="20477"/>
    <cellStyle name="40% - Accent1 92 2" xfId="20478"/>
    <cellStyle name="40% - Accent1 93" xfId="20479"/>
    <cellStyle name="40% - Accent1 93 2" xfId="20480"/>
    <cellStyle name="40% - Accent1 94" xfId="20481"/>
    <cellStyle name="40% - Accent1 94 2" xfId="20482"/>
    <cellStyle name="40% - Accent1 95" xfId="20483"/>
    <cellStyle name="40% - Accent1 95 2" xfId="20484"/>
    <cellStyle name="40% - Accent1 96" xfId="20485"/>
    <cellStyle name="40% - Accent1 96 2" xfId="20486"/>
    <cellStyle name="40% - Accent1 97" xfId="20487"/>
    <cellStyle name="40% - Accent1 97 2" xfId="20488"/>
    <cellStyle name="40% - Accent1 98" xfId="20489"/>
    <cellStyle name="40% - Accent1 98 2" xfId="20490"/>
    <cellStyle name="40% - Accent1 99" xfId="20491"/>
    <cellStyle name="40% - Accent2 10" xfId="20492"/>
    <cellStyle name="40% - Accent2 10 2" xfId="20493"/>
    <cellStyle name="40% - Accent2 10 3" xfId="20494"/>
    <cellStyle name="40% - Accent2 10 4" xfId="20495"/>
    <cellStyle name="40% - Accent2 10 5" xfId="20496"/>
    <cellStyle name="40% - Accent2 10 6" xfId="20497"/>
    <cellStyle name="40% - Accent2 10 7" xfId="20498"/>
    <cellStyle name="40% - Accent2 10 8" xfId="20499"/>
    <cellStyle name="40% - Accent2 10 8 2" xfId="20500"/>
    <cellStyle name="40% - Accent2 10_2009 Actual" xfId="20501"/>
    <cellStyle name="40% - Accent2 100" xfId="20502"/>
    <cellStyle name="40% - Accent2 100 2" xfId="20503"/>
    <cellStyle name="40% - Accent2 100 2 2" xfId="20504"/>
    <cellStyle name="40% - Accent2 100 3" xfId="20505"/>
    <cellStyle name="40% - Accent2 100 4" xfId="20506"/>
    <cellStyle name="40% - Accent2 101" xfId="20507"/>
    <cellStyle name="40% - Accent2 101 2" xfId="20508"/>
    <cellStyle name="40% - Accent2 101 2 2" xfId="20509"/>
    <cellStyle name="40% - Accent2 101 3" xfId="20510"/>
    <cellStyle name="40% - Accent2 101 4" xfId="20511"/>
    <cellStyle name="40% - Accent2 102" xfId="20512"/>
    <cellStyle name="40% - Accent2 102 2" xfId="20513"/>
    <cellStyle name="40% - Accent2 102 2 2" xfId="20514"/>
    <cellStyle name="40% - Accent2 102 3" xfId="20515"/>
    <cellStyle name="40% - Accent2 102 4" xfId="20516"/>
    <cellStyle name="40% - Accent2 103" xfId="20517"/>
    <cellStyle name="40% - Accent2 103 2" xfId="20518"/>
    <cellStyle name="40% - Accent2 103 2 2" xfId="20519"/>
    <cellStyle name="40% - Accent2 103 3" xfId="20520"/>
    <cellStyle name="40% - Accent2 103 4" xfId="20521"/>
    <cellStyle name="40% - Accent2 104" xfId="20522"/>
    <cellStyle name="40% - Accent2 104 2" xfId="20523"/>
    <cellStyle name="40% - Accent2 104 2 2" xfId="20524"/>
    <cellStyle name="40% - Accent2 104 3" xfId="20525"/>
    <cellStyle name="40% - Accent2 104 4" xfId="20526"/>
    <cellStyle name="40% - Accent2 105" xfId="20527"/>
    <cellStyle name="40% - Accent2 105 2" xfId="20528"/>
    <cellStyle name="40% - Accent2 105 2 2" xfId="20529"/>
    <cellStyle name="40% - Accent2 105 3" xfId="20530"/>
    <cellStyle name="40% - Accent2 105 4" xfId="20531"/>
    <cellStyle name="40% - Accent2 106" xfId="20532"/>
    <cellStyle name="40% - Accent2 106 2" xfId="20533"/>
    <cellStyle name="40% - Accent2 106 2 2" xfId="20534"/>
    <cellStyle name="40% - Accent2 106 3" xfId="20535"/>
    <cellStyle name="40% - Accent2 106 4" xfId="20536"/>
    <cellStyle name="40% - Accent2 107" xfId="20537"/>
    <cellStyle name="40% - Accent2 107 2" xfId="20538"/>
    <cellStyle name="40% - Accent2 107 2 2" xfId="20539"/>
    <cellStyle name="40% - Accent2 107 3" xfId="20540"/>
    <cellStyle name="40% - Accent2 107 4" xfId="20541"/>
    <cellStyle name="40% - Accent2 108" xfId="20542"/>
    <cellStyle name="40% - Accent2 108 2" xfId="20543"/>
    <cellStyle name="40% - Accent2 108 2 2" xfId="20544"/>
    <cellStyle name="40% - Accent2 108 3" xfId="20545"/>
    <cellStyle name="40% - Accent2 108 4" xfId="20546"/>
    <cellStyle name="40% - Accent2 109" xfId="20547"/>
    <cellStyle name="40% - Accent2 109 2" xfId="20548"/>
    <cellStyle name="40% - Accent2 109 2 2" xfId="20549"/>
    <cellStyle name="40% - Accent2 109 3" xfId="20550"/>
    <cellStyle name="40% - Accent2 109 4" xfId="20551"/>
    <cellStyle name="40% - Accent2 11" xfId="20552"/>
    <cellStyle name="40% - Accent2 11 2" xfId="20553"/>
    <cellStyle name="40% - Accent2 11 3" xfId="20554"/>
    <cellStyle name="40% - Accent2 11 4" xfId="20555"/>
    <cellStyle name="40% - Accent2 11 5" xfId="20556"/>
    <cellStyle name="40% - Accent2 11 6" xfId="20557"/>
    <cellStyle name="40% - Accent2 11 7" xfId="20558"/>
    <cellStyle name="40% - Accent2 11_2009 Actual" xfId="20559"/>
    <cellStyle name="40% - Accent2 110" xfId="20560"/>
    <cellStyle name="40% - Accent2 110 2" xfId="20561"/>
    <cellStyle name="40% - Accent2 110 2 2" xfId="20562"/>
    <cellStyle name="40% - Accent2 110 3" xfId="20563"/>
    <cellStyle name="40% - Accent2 110 4" xfId="20564"/>
    <cellStyle name="40% - Accent2 111" xfId="20565"/>
    <cellStyle name="40% - Accent2 111 2" xfId="20566"/>
    <cellStyle name="40% - Accent2 111 2 2" xfId="20567"/>
    <cellStyle name="40% - Accent2 111 3" xfId="20568"/>
    <cellStyle name="40% - Accent2 111 4" xfId="20569"/>
    <cellStyle name="40% - Accent2 112" xfId="20570"/>
    <cellStyle name="40% - Accent2 112 2" xfId="20571"/>
    <cellStyle name="40% - Accent2 112 2 2" xfId="20572"/>
    <cellStyle name="40% - Accent2 112 3" xfId="20573"/>
    <cellStyle name="40% - Accent2 112 4" xfId="20574"/>
    <cellStyle name="40% - Accent2 113" xfId="20575"/>
    <cellStyle name="40% - Accent2 113 2" xfId="20576"/>
    <cellStyle name="40% - Accent2 113 2 2" xfId="20577"/>
    <cellStyle name="40% - Accent2 113 3" xfId="20578"/>
    <cellStyle name="40% - Accent2 113 4" xfId="20579"/>
    <cellStyle name="40% - Accent2 114" xfId="20580"/>
    <cellStyle name="40% - Accent2 114 2" xfId="20581"/>
    <cellStyle name="40% - Accent2 114 2 2" xfId="20582"/>
    <cellStyle name="40% - Accent2 114 3" xfId="20583"/>
    <cellStyle name="40% - Accent2 114 4" xfId="20584"/>
    <cellStyle name="40% - Accent2 115" xfId="20585"/>
    <cellStyle name="40% - Accent2 115 2" xfId="20586"/>
    <cellStyle name="40% - Accent2 115 2 2" xfId="20587"/>
    <cellStyle name="40% - Accent2 115 3" xfId="20588"/>
    <cellStyle name="40% - Accent2 115 4" xfId="20589"/>
    <cellStyle name="40% - Accent2 116" xfId="20590"/>
    <cellStyle name="40% - Accent2 116 2" xfId="20591"/>
    <cellStyle name="40% - Accent2 116 2 2" xfId="20592"/>
    <cellStyle name="40% - Accent2 116 3" xfId="20593"/>
    <cellStyle name="40% - Accent2 116 4" xfId="20594"/>
    <cellStyle name="40% - Accent2 117" xfId="20595"/>
    <cellStyle name="40% - Accent2 117 2" xfId="20596"/>
    <cellStyle name="40% - Accent2 117 2 2" xfId="20597"/>
    <cellStyle name="40% - Accent2 117 3" xfId="20598"/>
    <cellStyle name="40% - Accent2 117 4" xfId="20599"/>
    <cellStyle name="40% - Accent2 118" xfId="20600"/>
    <cellStyle name="40% - Accent2 118 2" xfId="20601"/>
    <cellStyle name="40% - Accent2 118 2 2" xfId="20602"/>
    <cellStyle name="40% - Accent2 118 3" xfId="20603"/>
    <cellStyle name="40% - Accent2 118 4" xfId="20604"/>
    <cellStyle name="40% - Accent2 119" xfId="20605"/>
    <cellStyle name="40% - Accent2 119 2" xfId="20606"/>
    <cellStyle name="40% - Accent2 119 2 2" xfId="20607"/>
    <cellStyle name="40% - Accent2 119 3" xfId="20608"/>
    <cellStyle name="40% - Accent2 119 4" xfId="20609"/>
    <cellStyle name="40% - Accent2 12" xfId="20610"/>
    <cellStyle name="40% - Accent2 12 10" xfId="20611"/>
    <cellStyle name="40% - Accent2 12 11" xfId="20612"/>
    <cellStyle name="40% - Accent2 12 2" xfId="20613"/>
    <cellStyle name="40% - Accent2 12 2 2" xfId="20614"/>
    <cellStyle name="40% - Accent2 12 2 3" xfId="20615"/>
    <cellStyle name="40% - Accent2 12 2_Elec Margin Analysis" xfId="20616"/>
    <cellStyle name="40% - Accent2 12 3" xfId="20617"/>
    <cellStyle name="40% - Accent2 12 3 2" xfId="20618"/>
    <cellStyle name="40% - Accent2 12 3 3" xfId="20619"/>
    <cellStyle name="40% - Accent2 12 3_Elec Margin Analysis" xfId="20620"/>
    <cellStyle name="40% - Accent2 12 4" xfId="20621"/>
    <cellStyle name="40% - Accent2 12 4 2" xfId="20622"/>
    <cellStyle name="40% - Accent2 12 4 3" xfId="20623"/>
    <cellStyle name="40% - Accent2 12 4_Elec Margin Analysis" xfId="20624"/>
    <cellStyle name="40% - Accent2 12 5" xfId="20625"/>
    <cellStyle name="40% - Accent2 12 5 2" xfId="20626"/>
    <cellStyle name="40% - Accent2 12 5 3" xfId="20627"/>
    <cellStyle name="40% - Accent2 12 5_Elec Margin Analysis" xfId="20628"/>
    <cellStyle name="40% - Accent2 12 6" xfId="20629"/>
    <cellStyle name="40% - Accent2 12 6 2" xfId="20630"/>
    <cellStyle name="40% - Accent2 12 6 3" xfId="20631"/>
    <cellStyle name="40% - Accent2 12 7" xfId="20632"/>
    <cellStyle name="40% - Accent2 12 8" xfId="20633"/>
    <cellStyle name="40% - Accent2 12 9" xfId="20634"/>
    <cellStyle name="40% - Accent2 12_2009 Actual" xfId="20635"/>
    <cellStyle name="40% - Accent2 120" xfId="20636"/>
    <cellStyle name="40% - Accent2 120 2" xfId="20637"/>
    <cellStyle name="40% - Accent2 120 2 2" xfId="20638"/>
    <cellStyle name="40% - Accent2 120 3" xfId="20639"/>
    <cellStyle name="40% - Accent2 120 4" xfId="20640"/>
    <cellStyle name="40% - Accent2 121" xfId="20641"/>
    <cellStyle name="40% - Accent2 121 2" xfId="20642"/>
    <cellStyle name="40% - Accent2 122" xfId="20643"/>
    <cellStyle name="40% - Accent2 122 2" xfId="20644"/>
    <cellStyle name="40% - Accent2 123" xfId="20645"/>
    <cellStyle name="40% - Accent2 123 2" xfId="20646"/>
    <cellStyle name="40% - Accent2 124" xfId="20647"/>
    <cellStyle name="40% - Accent2 125" xfId="20648"/>
    <cellStyle name="40% - Accent2 126" xfId="20649"/>
    <cellStyle name="40% - Accent2 127" xfId="20650"/>
    <cellStyle name="40% - Accent2 128" xfId="20651"/>
    <cellStyle name="40% - Accent2 129" xfId="20652"/>
    <cellStyle name="40% - Accent2 13" xfId="20653"/>
    <cellStyle name="40% - Accent2 13 2" xfId="20654"/>
    <cellStyle name="40% - Accent2 13 3" xfId="20655"/>
    <cellStyle name="40% - Accent2 13 4" xfId="20656"/>
    <cellStyle name="40% - Accent2 13 5" xfId="20657"/>
    <cellStyle name="40% - Accent2 13 6" xfId="20658"/>
    <cellStyle name="40% - Accent2 13 7" xfId="20659"/>
    <cellStyle name="40% - Accent2 13_2009 Actual" xfId="20660"/>
    <cellStyle name="40% - Accent2 130" xfId="20661"/>
    <cellStyle name="40% - Accent2 131" xfId="20662"/>
    <cellStyle name="40% - Accent2 132" xfId="20663"/>
    <cellStyle name="40% - Accent2 133" xfId="20664"/>
    <cellStyle name="40% - Accent2 134" xfId="20665"/>
    <cellStyle name="40% - Accent2 135" xfId="20666"/>
    <cellStyle name="40% - Accent2 136" xfId="20667"/>
    <cellStyle name="40% - Accent2 137" xfId="20668"/>
    <cellStyle name="40% - Accent2 138" xfId="20669"/>
    <cellStyle name="40% - Accent2 139" xfId="20670"/>
    <cellStyle name="40% - Accent2 14" xfId="20671"/>
    <cellStyle name="40% - Accent2 14 2" xfId="20672"/>
    <cellStyle name="40% - Accent2 14 3" xfId="20673"/>
    <cellStyle name="40% - Accent2 14 4" xfId="20674"/>
    <cellStyle name="40% - Accent2 14 5" xfId="20675"/>
    <cellStyle name="40% - Accent2 14 6" xfId="20676"/>
    <cellStyle name="40% - Accent2 14 7" xfId="20677"/>
    <cellStyle name="40% - Accent2 14_2009 Actual" xfId="20678"/>
    <cellStyle name="40% - Accent2 140" xfId="20679"/>
    <cellStyle name="40% - Accent2 141" xfId="20680"/>
    <cellStyle name="40% - Accent2 142" xfId="20681"/>
    <cellStyle name="40% - Accent2 143" xfId="20682"/>
    <cellStyle name="40% - Accent2 144" xfId="20683"/>
    <cellStyle name="40% - Accent2 15" xfId="20684"/>
    <cellStyle name="40% - Accent2 15 2" xfId="20685"/>
    <cellStyle name="40% - Accent2 15 3" xfId="20686"/>
    <cellStyle name="40% - Accent2 15 4" xfId="20687"/>
    <cellStyle name="40% - Accent2 15 5" xfId="20688"/>
    <cellStyle name="40% - Accent2 16" xfId="20689"/>
    <cellStyle name="40% - Accent2 17" xfId="20690"/>
    <cellStyle name="40% - Accent2 18" xfId="20691"/>
    <cellStyle name="40% - Accent2 19" xfId="20692"/>
    <cellStyle name="40% - Accent2 19 2" xfId="20693"/>
    <cellStyle name="40% - Accent2 19 3" xfId="20694"/>
    <cellStyle name="40% - Accent2 19_Elec Margin Analysis" xfId="20695"/>
    <cellStyle name="40% - Accent2 2" xfId="49"/>
    <cellStyle name="40% - Accent2 2 10" xfId="20696"/>
    <cellStyle name="40% - Accent2 2 10 2" xfId="20697"/>
    <cellStyle name="40% - Accent2 2 10 3" xfId="20698"/>
    <cellStyle name="40% - Accent2 2 10_Elec Margin Analysis" xfId="20699"/>
    <cellStyle name="40% - Accent2 2 11" xfId="20700"/>
    <cellStyle name="40% - Accent2 2 11 2" xfId="20701"/>
    <cellStyle name="40% - Accent2 2 11 3" xfId="20702"/>
    <cellStyle name="40% - Accent2 2 12" xfId="20703"/>
    <cellStyle name="40% - Accent2 2 13" xfId="20704"/>
    <cellStyle name="40% - Accent2 2 14" xfId="20705"/>
    <cellStyle name="40% - Accent2 2 15" xfId="20706"/>
    <cellStyle name="40% - Accent2 2 16" xfId="20707"/>
    <cellStyle name="40% - Accent2 2 17" xfId="20708"/>
    <cellStyle name="40% - Accent2 2 17 2" xfId="20709"/>
    <cellStyle name="40% - Accent2 2 17 2 2" xfId="20710"/>
    <cellStyle name="40% - Accent2 2 17 2 2 2" xfId="20711"/>
    <cellStyle name="40% - Accent2 2 17 2 2 3" xfId="20712"/>
    <cellStyle name="40% - Accent2 2 17 2 3" xfId="20713"/>
    <cellStyle name="40% - Accent2 2 17 2 3 2" xfId="20714"/>
    <cellStyle name="40% - Accent2 2 17 2 4" xfId="20715"/>
    <cellStyle name="40% - Accent2 2 17 2 5" xfId="20716"/>
    <cellStyle name="40% - Accent2 2 17 3" xfId="20717"/>
    <cellStyle name="40% - Accent2 2 17 3 2" xfId="20718"/>
    <cellStyle name="40% - Accent2 2 17 3 2 2" xfId="20719"/>
    <cellStyle name="40% - Accent2 2 17 3 3" xfId="20720"/>
    <cellStyle name="40% - Accent2 2 17 3 4" xfId="20721"/>
    <cellStyle name="40% - Accent2 2 17 4" xfId="20722"/>
    <cellStyle name="40% - Accent2 2 17 4 2" xfId="20723"/>
    <cellStyle name="40% - Accent2 2 17 4 2 2" xfId="20724"/>
    <cellStyle name="40% - Accent2 2 17 4 3" xfId="20725"/>
    <cellStyle name="40% - Accent2 2 17 4 4" xfId="20726"/>
    <cellStyle name="40% - Accent2 2 17 5" xfId="20727"/>
    <cellStyle name="40% - Accent2 2 17 5 2" xfId="20728"/>
    <cellStyle name="40% - Accent2 2 17 6" xfId="20729"/>
    <cellStyle name="40% - Accent2 2 17 7" xfId="20730"/>
    <cellStyle name="40% - Accent2 2 17 8" xfId="20731"/>
    <cellStyle name="40% - Accent2 2 18" xfId="20732"/>
    <cellStyle name="40% - Accent2 2 18 2" xfId="20733"/>
    <cellStyle name="40% - Accent2 2 18 2 2" xfId="20734"/>
    <cellStyle name="40% - Accent2 2 18 2 2 2" xfId="20735"/>
    <cellStyle name="40% - Accent2 2 18 2 2 3" xfId="20736"/>
    <cellStyle name="40% - Accent2 2 18 2 3" xfId="20737"/>
    <cellStyle name="40% - Accent2 2 18 2 3 2" xfId="20738"/>
    <cellStyle name="40% - Accent2 2 18 2 4" xfId="20739"/>
    <cellStyle name="40% - Accent2 2 18 2 5" xfId="20740"/>
    <cellStyle name="40% - Accent2 2 18 3" xfId="20741"/>
    <cellStyle name="40% - Accent2 2 18 3 2" xfId="20742"/>
    <cellStyle name="40% - Accent2 2 18 3 2 2" xfId="20743"/>
    <cellStyle name="40% - Accent2 2 18 3 3" xfId="20744"/>
    <cellStyle name="40% - Accent2 2 18 3 4" xfId="20745"/>
    <cellStyle name="40% - Accent2 2 18 4" xfId="20746"/>
    <cellStyle name="40% - Accent2 2 18 4 2" xfId="20747"/>
    <cellStyle name="40% - Accent2 2 18 4 2 2" xfId="20748"/>
    <cellStyle name="40% - Accent2 2 18 4 3" xfId="20749"/>
    <cellStyle name="40% - Accent2 2 18 4 4" xfId="20750"/>
    <cellStyle name="40% - Accent2 2 18 5" xfId="20751"/>
    <cellStyle name="40% - Accent2 2 18 5 2" xfId="20752"/>
    <cellStyle name="40% - Accent2 2 18 6" xfId="20753"/>
    <cellStyle name="40% - Accent2 2 18 7" xfId="20754"/>
    <cellStyle name="40% - Accent2 2 18 8" xfId="20755"/>
    <cellStyle name="40% - Accent2 2 19" xfId="20756"/>
    <cellStyle name="40% - Accent2 2 19 2" xfId="20757"/>
    <cellStyle name="40% - Accent2 2 19 2 2" xfId="20758"/>
    <cellStyle name="40% - Accent2 2 19 2 2 2" xfId="20759"/>
    <cellStyle name="40% - Accent2 2 19 2 2 3" xfId="20760"/>
    <cellStyle name="40% - Accent2 2 19 2 3" xfId="20761"/>
    <cellStyle name="40% - Accent2 2 19 2 3 2" xfId="20762"/>
    <cellStyle name="40% - Accent2 2 19 2 4" xfId="20763"/>
    <cellStyle name="40% - Accent2 2 19 2 5" xfId="20764"/>
    <cellStyle name="40% - Accent2 2 19 3" xfId="20765"/>
    <cellStyle name="40% - Accent2 2 19 3 2" xfId="20766"/>
    <cellStyle name="40% - Accent2 2 19 3 2 2" xfId="20767"/>
    <cellStyle name="40% - Accent2 2 19 3 3" xfId="20768"/>
    <cellStyle name="40% - Accent2 2 19 3 4" xfId="20769"/>
    <cellStyle name="40% - Accent2 2 19 4" xfId="20770"/>
    <cellStyle name="40% - Accent2 2 19 4 2" xfId="20771"/>
    <cellStyle name="40% - Accent2 2 19 4 2 2" xfId="20772"/>
    <cellStyle name="40% - Accent2 2 19 4 3" xfId="20773"/>
    <cellStyle name="40% - Accent2 2 19 4 4" xfId="20774"/>
    <cellStyle name="40% - Accent2 2 19 5" xfId="20775"/>
    <cellStyle name="40% - Accent2 2 19 5 2" xfId="20776"/>
    <cellStyle name="40% - Accent2 2 19 6" xfId="20777"/>
    <cellStyle name="40% - Accent2 2 19 7" xfId="20778"/>
    <cellStyle name="40% - Accent2 2 19 8" xfId="20779"/>
    <cellStyle name="40% - Accent2 2 2" xfId="318"/>
    <cellStyle name="40% - Accent2 2 2 10" xfId="20780"/>
    <cellStyle name="40% - Accent2 2 2 11" xfId="20781"/>
    <cellStyle name="40% - Accent2 2 2 12" xfId="20782"/>
    <cellStyle name="40% - Accent2 2 2 12 2" xfId="20783"/>
    <cellStyle name="40% - Accent2 2 2 12 2 2" xfId="20784"/>
    <cellStyle name="40% - Accent2 2 2 12 2 2 2" xfId="20785"/>
    <cellStyle name="40% - Accent2 2 2 12 2 2 3" xfId="20786"/>
    <cellStyle name="40% - Accent2 2 2 12 2 3" xfId="20787"/>
    <cellStyle name="40% - Accent2 2 2 12 2 3 2" xfId="20788"/>
    <cellStyle name="40% - Accent2 2 2 12 2 4" xfId="20789"/>
    <cellStyle name="40% - Accent2 2 2 12 2 5" xfId="20790"/>
    <cellStyle name="40% - Accent2 2 2 12 3" xfId="20791"/>
    <cellStyle name="40% - Accent2 2 2 12 3 2" xfId="20792"/>
    <cellStyle name="40% - Accent2 2 2 12 3 2 2" xfId="20793"/>
    <cellStyle name="40% - Accent2 2 2 12 3 3" xfId="20794"/>
    <cellStyle name="40% - Accent2 2 2 12 3 4" xfId="20795"/>
    <cellStyle name="40% - Accent2 2 2 12 4" xfId="20796"/>
    <cellStyle name="40% - Accent2 2 2 12 4 2" xfId="20797"/>
    <cellStyle name="40% - Accent2 2 2 12 4 2 2" xfId="20798"/>
    <cellStyle name="40% - Accent2 2 2 12 4 3" xfId="20799"/>
    <cellStyle name="40% - Accent2 2 2 12 4 4" xfId="20800"/>
    <cellStyle name="40% - Accent2 2 2 12 5" xfId="20801"/>
    <cellStyle name="40% - Accent2 2 2 12 5 2" xfId="20802"/>
    <cellStyle name="40% - Accent2 2 2 12 6" xfId="20803"/>
    <cellStyle name="40% - Accent2 2 2 12 7" xfId="20804"/>
    <cellStyle name="40% - Accent2 2 2 12 8" xfId="20805"/>
    <cellStyle name="40% - Accent2 2 2 13" xfId="20806"/>
    <cellStyle name="40% - Accent2 2 2 13 2" xfId="20807"/>
    <cellStyle name="40% - Accent2 2 2 13 2 2" xfId="20808"/>
    <cellStyle name="40% - Accent2 2 2 13 2 2 2" xfId="20809"/>
    <cellStyle name="40% - Accent2 2 2 13 2 2 3" xfId="20810"/>
    <cellStyle name="40% - Accent2 2 2 13 2 3" xfId="20811"/>
    <cellStyle name="40% - Accent2 2 2 13 2 3 2" xfId="20812"/>
    <cellStyle name="40% - Accent2 2 2 13 2 4" xfId="20813"/>
    <cellStyle name="40% - Accent2 2 2 13 2 5" xfId="20814"/>
    <cellStyle name="40% - Accent2 2 2 13 3" xfId="20815"/>
    <cellStyle name="40% - Accent2 2 2 13 3 2" xfId="20816"/>
    <cellStyle name="40% - Accent2 2 2 13 3 2 2" xfId="20817"/>
    <cellStyle name="40% - Accent2 2 2 13 3 3" xfId="20818"/>
    <cellStyle name="40% - Accent2 2 2 13 3 4" xfId="20819"/>
    <cellStyle name="40% - Accent2 2 2 13 4" xfId="20820"/>
    <cellStyle name="40% - Accent2 2 2 13 4 2" xfId="20821"/>
    <cellStyle name="40% - Accent2 2 2 13 4 2 2" xfId="20822"/>
    <cellStyle name="40% - Accent2 2 2 13 4 3" xfId="20823"/>
    <cellStyle name="40% - Accent2 2 2 13 4 4" xfId="20824"/>
    <cellStyle name="40% - Accent2 2 2 13 5" xfId="20825"/>
    <cellStyle name="40% - Accent2 2 2 13 5 2" xfId="20826"/>
    <cellStyle name="40% - Accent2 2 2 13 6" xfId="20827"/>
    <cellStyle name="40% - Accent2 2 2 13 7" xfId="20828"/>
    <cellStyle name="40% - Accent2 2 2 13 8" xfId="20829"/>
    <cellStyle name="40% - Accent2 2 2 14" xfId="20830"/>
    <cellStyle name="40% - Accent2 2 2 14 2" xfId="20831"/>
    <cellStyle name="40% - Accent2 2 2 14 2 2" xfId="20832"/>
    <cellStyle name="40% - Accent2 2 2 14 2 3" xfId="20833"/>
    <cellStyle name="40% - Accent2 2 2 14 3" xfId="20834"/>
    <cellStyle name="40% - Accent2 2 2 14 3 2" xfId="20835"/>
    <cellStyle name="40% - Accent2 2 2 14 4" xfId="20836"/>
    <cellStyle name="40% - Accent2 2 2 14 5" xfId="20837"/>
    <cellStyle name="40% - Accent2 2 2 15" xfId="20838"/>
    <cellStyle name="40% - Accent2 2 2 15 2" xfId="20839"/>
    <cellStyle name="40% - Accent2 2 2 15 2 2" xfId="20840"/>
    <cellStyle name="40% - Accent2 2 2 15 3" xfId="20841"/>
    <cellStyle name="40% - Accent2 2 2 15 4" xfId="20842"/>
    <cellStyle name="40% - Accent2 2 2 16" xfId="20843"/>
    <cellStyle name="40% - Accent2 2 2 16 2" xfId="20844"/>
    <cellStyle name="40% - Accent2 2 2 16 2 2" xfId="20845"/>
    <cellStyle name="40% - Accent2 2 2 16 3" xfId="20846"/>
    <cellStyle name="40% - Accent2 2 2 16 4" xfId="20847"/>
    <cellStyle name="40% - Accent2 2 2 17" xfId="20848"/>
    <cellStyle name="40% - Accent2 2 2 18" xfId="20849"/>
    <cellStyle name="40% - Accent2 2 2 18 2" xfId="20850"/>
    <cellStyle name="40% - Accent2 2 2 19" xfId="20851"/>
    <cellStyle name="40% - Accent2 2 2 2" xfId="20852"/>
    <cellStyle name="40% - Accent2 2 2 2 10" xfId="20853"/>
    <cellStyle name="40% - Accent2 2 2 2 2" xfId="20854"/>
    <cellStyle name="40% - Accent2 2 2 2 3" xfId="20855"/>
    <cellStyle name="40% - Accent2 2 2 2 4" xfId="20856"/>
    <cellStyle name="40% - Accent2 2 2 2 5" xfId="20857"/>
    <cellStyle name="40% - Accent2 2 2 2 6" xfId="20858"/>
    <cellStyle name="40% - Accent2 2 2 2 7" xfId="20859"/>
    <cellStyle name="40% - Accent2 2 2 2 8" xfId="20860"/>
    <cellStyle name="40% - Accent2 2 2 2 9" xfId="20861"/>
    <cellStyle name="40% - Accent2 2 2 2_4Q Ops Metrics Gas &amp; Electric 2010" xfId="20862"/>
    <cellStyle name="40% - Accent2 2 2 20" xfId="20863"/>
    <cellStyle name="40% - Accent2 2 2 21" xfId="20864"/>
    <cellStyle name="40% - Accent2 2 2 3" xfId="20865"/>
    <cellStyle name="40% - Accent2 2 2 4" xfId="20866"/>
    <cellStyle name="40% - Accent2 2 2 5" xfId="20867"/>
    <cellStyle name="40% - Accent2 2 2 6" xfId="20868"/>
    <cellStyle name="40% - Accent2 2 2 7" xfId="20869"/>
    <cellStyle name="40% - Accent2 2 2 8" xfId="20870"/>
    <cellStyle name="40% - Accent2 2 2 9" xfId="20871"/>
    <cellStyle name="40% - Accent2 2 2_2009 Actual" xfId="20872"/>
    <cellStyle name="40% - Accent2 2 20" xfId="20873"/>
    <cellStyle name="40% - Accent2 2 20 2" xfId="20874"/>
    <cellStyle name="40% - Accent2 2 20 2 2" xfId="20875"/>
    <cellStyle name="40% - Accent2 2 20 2 2 2" xfId="20876"/>
    <cellStyle name="40% - Accent2 2 20 2 2 3" xfId="20877"/>
    <cellStyle name="40% - Accent2 2 20 2 3" xfId="20878"/>
    <cellStyle name="40% - Accent2 2 20 2 3 2" xfId="20879"/>
    <cellStyle name="40% - Accent2 2 20 2 4" xfId="20880"/>
    <cellStyle name="40% - Accent2 2 20 2 5" xfId="20881"/>
    <cellStyle name="40% - Accent2 2 20 3" xfId="20882"/>
    <cellStyle name="40% - Accent2 2 20 3 2" xfId="20883"/>
    <cellStyle name="40% - Accent2 2 20 3 2 2" xfId="20884"/>
    <cellStyle name="40% - Accent2 2 20 3 3" xfId="20885"/>
    <cellStyle name="40% - Accent2 2 20 3 4" xfId="20886"/>
    <cellStyle name="40% - Accent2 2 20 4" xfId="20887"/>
    <cellStyle name="40% - Accent2 2 20 4 2" xfId="20888"/>
    <cellStyle name="40% - Accent2 2 20 4 2 2" xfId="20889"/>
    <cellStyle name="40% - Accent2 2 20 4 3" xfId="20890"/>
    <cellStyle name="40% - Accent2 2 20 4 4" xfId="20891"/>
    <cellStyle name="40% - Accent2 2 20 5" xfId="20892"/>
    <cellStyle name="40% - Accent2 2 20 5 2" xfId="20893"/>
    <cellStyle name="40% - Accent2 2 20 6" xfId="20894"/>
    <cellStyle name="40% - Accent2 2 20 7" xfId="20895"/>
    <cellStyle name="40% - Accent2 2 20 8" xfId="20896"/>
    <cellStyle name="40% - Accent2 2 21" xfId="20897"/>
    <cellStyle name="40% - Accent2 2 21 2" xfId="20898"/>
    <cellStyle name="40% - Accent2 2 21 2 2" xfId="20899"/>
    <cellStyle name="40% - Accent2 2 21 2 2 2" xfId="20900"/>
    <cellStyle name="40% - Accent2 2 21 2 2 3" xfId="20901"/>
    <cellStyle name="40% - Accent2 2 21 2 3" xfId="20902"/>
    <cellStyle name="40% - Accent2 2 21 2 3 2" xfId="20903"/>
    <cellStyle name="40% - Accent2 2 21 2 4" xfId="20904"/>
    <cellStyle name="40% - Accent2 2 21 2 5" xfId="20905"/>
    <cellStyle name="40% - Accent2 2 21 3" xfId="20906"/>
    <cellStyle name="40% - Accent2 2 21 3 2" xfId="20907"/>
    <cellStyle name="40% - Accent2 2 21 3 2 2" xfId="20908"/>
    <cellStyle name="40% - Accent2 2 21 3 3" xfId="20909"/>
    <cellStyle name="40% - Accent2 2 21 3 4" xfId="20910"/>
    <cellStyle name="40% - Accent2 2 21 4" xfId="20911"/>
    <cellStyle name="40% - Accent2 2 21 4 2" xfId="20912"/>
    <cellStyle name="40% - Accent2 2 21 4 2 2" xfId="20913"/>
    <cellStyle name="40% - Accent2 2 21 4 3" xfId="20914"/>
    <cellStyle name="40% - Accent2 2 21 4 4" xfId="20915"/>
    <cellStyle name="40% - Accent2 2 21 5" xfId="20916"/>
    <cellStyle name="40% - Accent2 2 21 5 2" xfId="20917"/>
    <cellStyle name="40% - Accent2 2 21 6" xfId="20918"/>
    <cellStyle name="40% - Accent2 2 21 7" xfId="20919"/>
    <cellStyle name="40% - Accent2 2 21 8" xfId="20920"/>
    <cellStyle name="40% - Accent2 2 22" xfId="20921"/>
    <cellStyle name="40% - Accent2 2 22 2" xfId="20922"/>
    <cellStyle name="40% - Accent2 2 22 2 2" xfId="20923"/>
    <cellStyle name="40% - Accent2 2 22 2 2 2" xfId="20924"/>
    <cellStyle name="40% - Accent2 2 22 2 2 3" xfId="20925"/>
    <cellStyle name="40% - Accent2 2 22 2 3" xfId="20926"/>
    <cellStyle name="40% - Accent2 2 22 2 3 2" xfId="20927"/>
    <cellStyle name="40% - Accent2 2 22 2 4" xfId="20928"/>
    <cellStyle name="40% - Accent2 2 22 2 5" xfId="20929"/>
    <cellStyle name="40% - Accent2 2 22 3" xfId="20930"/>
    <cellStyle name="40% - Accent2 2 22 3 2" xfId="20931"/>
    <cellStyle name="40% - Accent2 2 22 3 2 2" xfId="20932"/>
    <cellStyle name="40% - Accent2 2 22 3 3" xfId="20933"/>
    <cellStyle name="40% - Accent2 2 22 3 4" xfId="20934"/>
    <cellStyle name="40% - Accent2 2 22 4" xfId="20935"/>
    <cellStyle name="40% - Accent2 2 22 4 2" xfId="20936"/>
    <cellStyle name="40% - Accent2 2 22 4 2 2" xfId="20937"/>
    <cellStyle name="40% - Accent2 2 22 4 3" xfId="20938"/>
    <cellStyle name="40% - Accent2 2 22 4 4" xfId="20939"/>
    <cellStyle name="40% - Accent2 2 22 5" xfId="20940"/>
    <cellStyle name="40% - Accent2 2 22 5 2" xfId="20941"/>
    <cellStyle name="40% - Accent2 2 22 6" xfId="20942"/>
    <cellStyle name="40% - Accent2 2 22 7" xfId="20943"/>
    <cellStyle name="40% - Accent2 2 22 8" xfId="20944"/>
    <cellStyle name="40% - Accent2 2 23" xfId="20945"/>
    <cellStyle name="40% - Accent2 2 23 2" xfId="20946"/>
    <cellStyle name="40% - Accent2 2 23 2 2" xfId="20947"/>
    <cellStyle name="40% - Accent2 2 23 2 2 2" xfId="20948"/>
    <cellStyle name="40% - Accent2 2 23 2 2 3" xfId="20949"/>
    <cellStyle name="40% - Accent2 2 23 2 3" xfId="20950"/>
    <cellStyle name="40% - Accent2 2 23 2 3 2" xfId="20951"/>
    <cellStyle name="40% - Accent2 2 23 2 4" xfId="20952"/>
    <cellStyle name="40% - Accent2 2 23 2 5" xfId="20953"/>
    <cellStyle name="40% - Accent2 2 23 3" xfId="20954"/>
    <cellStyle name="40% - Accent2 2 23 3 2" xfId="20955"/>
    <cellStyle name="40% - Accent2 2 23 3 2 2" xfId="20956"/>
    <cellStyle name="40% - Accent2 2 23 3 3" xfId="20957"/>
    <cellStyle name="40% - Accent2 2 23 3 4" xfId="20958"/>
    <cellStyle name="40% - Accent2 2 23 4" xfId="20959"/>
    <cellStyle name="40% - Accent2 2 23 4 2" xfId="20960"/>
    <cellStyle name="40% - Accent2 2 23 4 2 2" xfId="20961"/>
    <cellStyle name="40% - Accent2 2 23 4 3" xfId="20962"/>
    <cellStyle name="40% - Accent2 2 23 4 4" xfId="20963"/>
    <cellStyle name="40% - Accent2 2 23 5" xfId="20964"/>
    <cellStyle name="40% - Accent2 2 23 5 2" xfId="20965"/>
    <cellStyle name="40% - Accent2 2 23 6" xfId="20966"/>
    <cellStyle name="40% - Accent2 2 23 7" xfId="20967"/>
    <cellStyle name="40% - Accent2 2 23 8" xfId="20968"/>
    <cellStyle name="40% - Accent2 2 24" xfId="20969"/>
    <cellStyle name="40% - Accent2 2 24 2" xfId="20970"/>
    <cellStyle name="40% - Accent2 2 24 2 2" xfId="20971"/>
    <cellStyle name="40% - Accent2 2 24 2 2 2" xfId="20972"/>
    <cellStyle name="40% - Accent2 2 24 2 2 3" xfId="20973"/>
    <cellStyle name="40% - Accent2 2 24 2 3" xfId="20974"/>
    <cellStyle name="40% - Accent2 2 24 2 3 2" xfId="20975"/>
    <cellStyle name="40% - Accent2 2 24 2 4" xfId="20976"/>
    <cellStyle name="40% - Accent2 2 24 2 5" xfId="20977"/>
    <cellStyle name="40% - Accent2 2 24 3" xfId="20978"/>
    <cellStyle name="40% - Accent2 2 24 3 2" xfId="20979"/>
    <cellStyle name="40% - Accent2 2 24 3 2 2" xfId="20980"/>
    <cellStyle name="40% - Accent2 2 24 3 3" xfId="20981"/>
    <cellStyle name="40% - Accent2 2 24 3 4" xfId="20982"/>
    <cellStyle name="40% - Accent2 2 24 4" xfId="20983"/>
    <cellStyle name="40% - Accent2 2 24 4 2" xfId="20984"/>
    <cellStyle name="40% - Accent2 2 24 4 2 2" xfId="20985"/>
    <cellStyle name="40% - Accent2 2 24 4 3" xfId="20986"/>
    <cellStyle name="40% - Accent2 2 24 4 4" xfId="20987"/>
    <cellStyle name="40% - Accent2 2 24 5" xfId="20988"/>
    <cellStyle name="40% - Accent2 2 24 5 2" xfId="20989"/>
    <cellStyle name="40% - Accent2 2 24 6" xfId="20990"/>
    <cellStyle name="40% - Accent2 2 24 7" xfId="20991"/>
    <cellStyle name="40% - Accent2 2 24 8" xfId="20992"/>
    <cellStyle name="40% - Accent2 2 25" xfId="20993"/>
    <cellStyle name="40% - Accent2 2 25 2" xfId="20994"/>
    <cellStyle name="40% - Accent2 2 25 2 2" xfId="20995"/>
    <cellStyle name="40% - Accent2 2 25 2 2 2" xfId="20996"/>
    <cellStyle name="40% - Accent2 2 25 2 2 3" xfId="20997"/>
    <cellStyle name="40% - Accent2 2 25 2 3" xfId="20998"/>
    <cellStyle name="40% - Accent2 2 25 2 3 2" xfId="20999"/>
    <cellStyle name="40% - Accent2 2 25 2 4" xfId="21000"/>
    <cellStyle name="40% - Accent2 2 25 2 5" xfId="21001"/>
    <cellStyle name="40% - Accent2 2 25 3" xfId="21002"/>
    <cellStyle name="40% - Accent2 2 25 3 2" xfId="21003"/>
    <cellStyle name="40% - Accent2 2 25 3 2 2" xfId="21004"/>
    <cellStyle name="40% - Accent2 2 25 3 3" xfId="21005"/>
    <cellStyle name="40% - Accent2 2 25 3 4" xfId="21006"/>
    <cellStyle name="40% - Accent2 2 25 4" xfId="21007"/>
    <cellStyle name="40% - Accent2 2 25 4 2" xfId="21008"/>
    <cellStyle name="40% - Accent2 2 25 4 2 2" xfId="21009"/>
    <cellStyle name="40% - Accent2 2 25 4 3" xfId="21010"/>
    <cellStyle name="40% - Accent2 2 25 4 4" xfId="21011"/>
    <cellStyle name="40% - Accent2 2 25 5" xfId="21012"/>
    <cellStyle name="40% - Accent2 2 25 5 2" xfId="21013"/>
    <cellStyle name="40% - Accent2 2 25 6" xfId="21014"/>
    <cellStyle name="40% - Accent2 2 25 7" xfId="21015"/>
    <cellStyle name="40% - Accent2 2 25 8" xfId="21016"/>
    <cellStyle name="40% - Accent2 2 26" xfId="21017"/>
    <cellStyle name="40% - Accent2 2 26 2" xfId="21018"/>
    <cellStyle name="40% - Accent2 2 26 2 2" xfId="21019"/>
    <cellStyle name="40% - Accent2 2 26 2 2 2" xfId="21020"/>
    <cellStyle name="40% - Accent2 2 26 2 2 3" xfId="21021"/>
    <cellStyle name="40% - Accent2 2 26 2 3" xfId="21022"/>
    <cellStyle name="40% - Accent2 2 26 2 3 2" xfId="21023"/>
    <cellStyle name="40% - Accent2 2 26 2 4" xfId="21024"/>
    <cellStyle name="40% - Accent2 2 26 2 5" xfId="21025"/>
    <cellStyle name="40% - Accent2 2 26 3" xfId="21026"/>
    <cellStyle name="40% - Accent2 2 26 3 2" xfId="21027"/>
    <cellStyle name="40% - Accent2 2 26 3 2 2" xfId="21028"/>
    <cellStyle name="40% - Accent2 2 26 3 3" xfId="21029"/>
    <cellStyle name="40% - Accent2 2 26 3 4" xfId="21030"/>
    <cellStyle name="40% - Accent2 2 26 4" xfId="21031"/>
    <cellStyle name="40% - Accent2 2 26 4 2" xfId="21032"/>
    <cellStyle name="40% - Accent2 2 26 4 2 2" xfId="21033"/>
    <cellStyle name="40% - Accent2 2 26 4 3" xfId="21034"/>
    <cellStyle name="40% - Accent2 2 26 4 4" xfId="21035"/>
    <cellStyle name="40% - Accent2 2 26 5" xfId="21036"/>
    <cellStyle name="40% - Accent2 2 26 5 2" xfId="21037"/>
    <cellStyle name="40% - Accent2 2 26 6" xfId="21038"/>
    <cellStyle name="40% - Accent2 2 26 7" xfId="21039"/>
    <cellStyle name="40% - Accent2 2 26 8" xfId="21040"/>
    <cellStyle name="40% - Accent2 2 3" xfId="319"/>
    <cellStyle name="40% - Accent2 2 3 10" xfId="21041"/>
    <cellStyle name="40% - Accent2 2 3 11" xfId="21042"/>
    <cellStyle name="40% - Accent2 2 3 2" xfId="320"/>
    <cellStyle name="40% - Accent2 2 3 2 2" xfId="321"/>
    <cellStyle name="40% - Accent2 2 3 2 2 2" xfId="322"/>
    <cellStyle name="40% - Accent2 2 3 2 3" xfId="323"/>
    <cellStyle name="40% - Accent2 2 3 3" xfId="324"/>
    <cellStyle name="40% - Accent2 2 3 3 2" xfId="325"/>
    <cellStyle name="40% - Accent2 2 3 4" xfId="326"/>
    <cellStyle name="40% - Accent2 2 3 5" xfId="21043"/>
    <cellStyle name="40% - Accent2 2 3 6" xfId="21044"/>
    <cellStyle name="40% - Accent2 2 3 6 2" xfId="21045"/>
    <cellStyle name="40% - Accent2 2 3 6 3" xfId="21046"/>
    <cellStyle name="40% - Accent2 2 3 6_Elec Margin Analysis" xfId="21047"/>
    <cellStyle name="40% - Accent2 2 3 7" xfId="21048"/>
    <cellStyle name="40% - Accent2 2 3 8" xfId="21049"/>
    <cellStyle name="40% - Accent2 2 3 9" xfId="21050"/>
    <cellStyle name="40% - Accent2 2 3_2009 Actual" xfId="21051"/>
    <cellStyle name="40% - Accent2 2 4" xfId="327"/>
    <cellStyle name="40% - Accent2 2 4 2" xfId="328"/>
    <cellStyle name="40% - Accent2 2 4 2 2" xfId="329"/>
    <cellStyle name="40% - Accent2 2 4 3" xfId="330"/>
    <cellStyle name="40% - Accent2 2 4 4" xfId="21052"/>
    <cellStyle name="40% - Accent2 2 4 5" xfId="21053"/>
    <cellStyle name="40% - Accent2 2 4 6" xfId="21054"/>
    <cellStyle name="40% - Accent2 2 4 7" xfId="21055"/>
    <cellStyle name="40% - Accent2 2 4_2009 Actual" xfId="21056"/>
    <cellStyle name="40% - Accent2 2 5" xfId="331"/>
    <cellStyle name="40% - Accent2 2 5 2" xfId="332"/>
    <cellStyle name="40% - Accent2 2 5 3" xfId="21057"/>
    <cellStyle name="40% - Accent2 2 5 4" xfId="21058"/>
    <cellStyle name="40% - Accent2 2 5 5" xfId="21059"/>
    <cellStyle name="40% - Accent2 2 5 6" xfId="21060"/>
    <cellStyle name="40% - Accent2 2 5 7" xfId="21061"/>
    <cellStyle name="40% - Accent2 2 5_2009 Actual" xfId="21062"/>
    <cellStyle name="40% - Accent2 2 6" xfId="333"/>
    <cellStyle name="40% - Accent2 2 6 2" xfId="21063"/>
    <cellStyle name="40% - Accent2 2 6 3" xfId="21064"/>
    <cellStyle name="40% - Accent2 2 6 4" xfId="21065"/>
    <cellStyle name="40% - Accent2 2 6 5" xfId="21066"/>
    <cellStyle name="40% - Accent2 2 6 6" xfId="21067"/>
    <cellStyle name="40% - Accent2 2 6 7" xfId="21068"/>
    <cellStyle name="40% - Accent2 2 6_2009 Actual" xfId="21069"/>
    <cellStyle name="40% - Accent2 2 7" xfId="21070"/>
    <cellStyle name="40% - Accent2 2 7 2" xfId="21071"/>
    <cellStyle name="40% - Accent2 2 7 3" xfId="21072"/>
    <cellStyle name="40% - Accent2 2 7_Elec Margin Analysis" xfId="21073"/>
    <cellStyle name="40% - Accent2 2 8" xfId="21074"/>
    <cellStyle name="40% - Accent2 2 8 2" xfId="21075"/>
    <cellStyle name="40% - Accent2 2 8 3" xfId="21076"/>
    <cellStyle name="40% - Accent2 2 8_Elec Margin Analysis" xfId="21077"/>
    <cellStyle name="40% - Accent2 2 9" xfId="21078"/>
    <cellStyle name="40% - Accent2 2 9 2" xfId="21079"/>
    <cellStyle name="40% - Accent2 2 9 3" xfId="21080"/>
    <cellStyle name="40% - Accent2 2 9_Elec Margin Analysis" xfId="21081"/>
    <cellStyle name="40% - Accent2 2_2009 Actual" xfId="21082"/>
    <cellStyle name="40% - Accent2 20" xfId="21083"/>
    <cellStyle name="40% - Accent2 21" xfId="21084"/>
    <cellStyle name="40% - Accent2 22" xfId="21085"/>
    <cellStyle name="40% - Accent2 23" xfId="21086"/>
    <cellStyle name="40% - Accent2 24" xfId="21087"/>
    <cellStyle name="40% - Accent2 25" xfId="21088"/>
    <cellStyle name="40% - Accent2 26" xfId="21089"/>
    <cellStyle name="40% - Accent2 26 2" xfId="21090"/>
    <cellStyle name="40% - Accent2 26 2 2" xfId="21091"/>
    <cellStyle name="40% - Accent2 26 2 2 2" xfId="21092"/>
    <cellStyle name="40% - Accent2 26 2 2 3" xfId="21093"/>
    <cellStyle name="40% - Accent2 26 2 3" xfId="21094"/>
    <cellStyle name="40% - Accent2 26 2 3 2" xfId="21095"/>
    <cellStyle name="40% - Accent2 26 2 4" xfId="21096"/>
    <cellStyle name="40% - Accent2 26 2 5" xfId="21097"/>
    <cellStyle name="40% - Accent2 26 3" xfId="21098"/>
    <cellStyle name="40% - Accent2 26 3 2" xfId="21099"/>
    <cellStyle name="40% - Accent2 26 3 2 2" xfId="21100"/>
    <cellStyle name="40% - Accent2 26 3 3" xfId="21101"/>
    <cellStyle name="40% - Accent2 26 3 4" xfId="21102"/>
    <cellStyle name="40% - Accent2 26 4" xfId="21103"/>
    <cellStyle name="40% - Accent2 26 4 2" xfId="21104"/>
    <cellStyle name="40% - Accent2 26 4 2 2" xfId="21105"/>
    <cellStyle name="40% - Accent2 26 4 3" xfId="21106"/>
    <cellStyle name="40% - Accent2 26 4 4" xfId="21107"/>
    <cellStyle name="40% - Accent2 26 5" xfId="21108"/>
    <cellStyle name="40% - Accent2 26 5 2" xfId="21109"/>
    <cellStyle name="40% - Accent2 26 6" xfId="21110"/>
    <cellStyle name="40% - Accent2 26 7" xfId="21111"/>
    <cellStyle name="40% - Accent2 26 8" xfId="21112"/>
    <cellStyle name="40% - Accent2 27" xfId="21113"/>
    <cellStyle name="40% - Accent2 27 2" xfId="21114"/>
    <cellStyle name="40% - Accent2 27 2 2" xfId="21115"/>
    <cellStyle name="40% - Accent2 27 2 2 2" xfId="21116"/>
    <cellStyle name="40% - Accent2 27 2 2 3" xfId="21117"/>
    <cellStyle name="40% - Accent2 27 2 3" xfId="21118"/>
    <cellStyle name="40% - Accent2 27 2 3 2" xfId="21119"/>
    <cellStyle name="40% - Accent2 27 2 4" xfId="21120"/>
    <cellStyle name="40% - Accent2 27 2 5" xfId="21121"/>
    <cellStyle name="40% - Accent2 27 3" xfId="21122"/>
    <cellStyle name="40% - Accent2 27 3 2" xfId="21123"/>
    <cellStyle name="40% - Accent2 27 3 2 2" xfId="21124"/>
    <cellStyle name="40% - Accent2 27 3 3" xfId="21125"/>
    <cellStyle name="40% - Accent2 27 3 4" xfId="21126"/>
    <cellStyle name="40% - Accent2 27 4" xfId="21127"/>
    <cellStyle name="40% - Accent2 27 4 2" xfId="21128"/>
    <cellStyle name="40% - Accent2 27 4 2 2" xfId="21129"/>
    <cellStyle name="40% - Accent2 27 4 3" xfId="21130"/>
    <cellStyle name="40% - Accent2 27 4 4" xfId="21131"/>
    <cellStyle name="40% - Accent2 27 5" xfId="21132"/>
    <cellStyle name="40% - Accent2 27 5 2" xfId="21133"/>
    <cellStyle name="40% - Accent2 27 6" xfId="21134"/>
    <cellStyle name="40% - Accent2 27 7" xfId="21135"/>
    <cellStyle name="40% - Accent2 27 8" xfId="21136"/>
    <cellStyle name="40% - Accent2 28" xfId="21137"/>
    <cellStyle name="40% - Accent2 28 2" xfId="21138"/>
    <cellStyle name="40% - Accent2 28 2 2" xfId="21139"/>
    <cellStyle name="40% - Accent2 28 2 2 2" xfId="21140"/>
    <cellStyle name="40% - Accent2 28 2 2 3" xfId="21141"/>
    <cellStyle name="40% - Accent2 28 2 3" xfId="21142"/>
    <cellStyle name="40% - Accent2 28 2 3 2" xfId="21143"/>
    <cellStyle name="40% - Accent2 28 2 4" xfId="21144"/>
    <cellStyle name="40% - Accent2 28 2 5" xfId="21145"/>
    <cellStyle name="40% - Accent2 28 3" xfId="21146"/>
    <cellStyle name="40% - Accent2 28 3 2" xfId="21147"/>
    <cellStyle name="40% - Accent2 28 3 2 2" xfId="21148"/>
    <cellStyle name="40% - Accent2 28 3 3" xfId="21149"/>
    <cellStyle name="40% - Accent2 28 3 4" xfId="21150"/>
    <cellStyle name="40% - Accent2 28 4" xfId="21151"/>
    <cellStyle name="40% - Accent2 28 4 2" xfId="21152"/>
    <cellStyle name="40% - Accent2 28 4 2 2" xfId="21153"/>
    <cellStyle name="40% - Accent2 28 4 3" xfId="21154"/>
    <cellStyle name="40% - Accent2 28 4 4" xfId="21155"/>
    <cellStyle name="40% - Accent2 28 5" xfId="21156"/>
    <cellStyle name="40% - Accent2 28 5 2" xfId="21157"/>
    <cellStyle name="40% - Accent2 28 6" xfId="21158"/>
    <cellStyle name="40% - Accent2 28 7" xfId="21159"/>
    <cellStyle name="40% - Accent2 28 8" xfId="21160"/>
    <cellStyle name="40% - Accent2 29" xfId="21161"/>
    <cellStyle name="40% - Accent2 29 2" xfId="21162"/>
    <cellStyle name="40% - Accent2 29 2 2" xfId="21163"/>
    <cellStyle name="40% - Accent2 29 2 2 2" xfId="21164"/>
    <cellStyle name="40% - Accent2 29 2 2 3" xfId="21165"/>
    <cellStyle name="40% - Accent2 29 2 3" xfId="21166"/>
    <cellStyle name="40% - Accent2 29 2 3 2" xfId="21167"/>
    <cellStyle name="40% - Accent2 29 2 4" xfId="21168"/>
    <cellStyle name="40% - Accent2 29 2 5" xfId="21169"/>
    <cellStyle name="40% - Accent2 29 3" xfId="21170"/>
    <cellStyle name="40% - Accent2 29 3 2" xfId="21171"/>
    <cellStyle name="40% - Accent2 29 3 2 2" xfId="21172"/>
    <cellStyle name="40% - Accent2 29 3 3" xfId="21173"/>
    <cellStyle name="40% - Accent2 29 3 4" xfId="21174"/>
    <cellStyle name="40% - Accent2 29 4" xfId="21175"/>
    <cellStyle name="40% - Accent2 29 4 2" xfId="21176"/>
    <cellStyle name="40% - Accent2 29 4 2 2" xfId="21177"/>
    <cellStyle name="40% - Accent2 29 4 3" xfId="21178"/>
    <cellStyle name="40% - Accent2 29 4 4" xfId="21179"/>
    <cellStyle name="40% - Accent2 29 5" xfId="21180"/>
    <cellStyle name="40% - Accent2 29 5 2" xfId="21181"/>
    <cellStyle name="40% - Accent2 29 6" xfId="21182"/>
    <cellStyle name="40% - Accent2 29 7" xfId="21183"/>
    <cellStyle name="40% - Accent2 29 8" xfId="21184"/>
    <cellStyle name="40% - Accent2 3" xfId="334"/>
    <cellStyle name="40% - Accent2 3 10" xfId="21185"/>
    <cellStyle name="40% - Accent2 3 10 2" xfId="21186"/>
    <cellStyle name="40% - Accent2 3 10 2 2" xfId="21187"/>
    <cellStyle name="40% - Accent2 3 10 2 2 2" xfId="21188"/>
    <cellStyle name="40% - Accent2 3 10 2 2 3" xfId="21189"/>
    <cellStyle name="40% - Accent2 3 10 2 3" xfId="21190"/>
    <cellStyle name="40% - Accent2 3 10 2 3 2" xfId="21191"/>
    <cellStyle name="40% - Accent2 3 10 2 4" xfId="21192"/>
    <cellStyle name="40% - Accent2 3 10 2 5" xfId="21193"/>
    <cellStyle name="40% - Accent2 3 10 3" xfId="21194"/>
    <cellStyle name="40% - Accent2 3 10 3 2" xfId="21195"/>
    <cellStyle name="40% - Accent2 3 10 3 2 2" xfId="21196"/>
    <cellStyle name="40% - Accent2 3 10 3 3" xfId="21197"/>
    <cellStyle name="40% - Accent2 3 10 3 4" xfId="21198"/>
    <cellStyle name="40% - Accent2 3 10 4" xfId="21199"/>
    <cellStyle name="40% - Accent2 3 10 4 2" xfId="21200"/>
    <cellStyle name="40% - Accent2 3 10 4 2 2" xfId="21201"/>
    <cellStyle name="40% - Accent2 3 10 4 3" xfId="21202"/>
    <cellStyle name="40% - Accent2 3 10 4 4" xfId="21203"/>
    <cellStyle name="40% - Accent2 3 10 5" xfId="21204"/>
    <cellStyle name="40% - Accent2 3 10 5 2" xfId="21205"/>
    <cellStyle name="40% - Accent2 3 10 6" xfId="21206"/>
    <cellStyle name="40% - Accent2 3 10 7" xfId="21207"/>
    <cellStyle name="40% - Accent2 3 10 8" xfId="21208"/>
    <cellStyle name="40% - Accent2 3 11" xfId="21209"/>
    <cellStyle name="40% - Accent2 3 11 2" xfId="21210"/>
    <cellStyle name="40% - Accent2 3 11 2 2" xfId="21211"/>
    <cellStyle name="40% - Accent2 3 11 2 2 2" xfId="21212"/>
    <cellStyle name="40% - Accent2 3 11 2 2 3" xfId="21213"/>
    <cellStyle name="40% - Accent2 3 11 2 3" xfId="21214"/>
    <cellStyle name="40% - Accent2 3 11 2 3 2" xfId="21215"/>
    <cellStyle name="40% - Accent2 3 11 2 4" xfId="21216"/>
    <cellStyle name="40% - Accent2 3 11 2 5" xfId="21217"/>
    <cellStyle name="40% - Accent2 3 11 3" xfId="21218"/>
    <cellStyle name="40% - Accent2 3 11 3 2" xfId="21219"/>
    <cellStyle name="40% - Accent2 3 11 3 2 2" xfId="21220"/>
    <cellStyle name="40% - Accent2 3 11 3 3" xfId="21221"/>
    <cellStyle name="40% - Accent2 3 11 3 4" xfId="21222"/>
    <cellStyle name="40% - Accent2 3 11 4" xfId="21223"/>
    <cellStyle name="40% - Accent2 3 11 4 2" xfId="21224"/>
    <cellStyle name="40% - Accent2 3 11 4 2 2" xfId="21225"/>
    <cellStyle name="40% - Accent2 3 11 4 3" xfId="21226"/>
    <cellStyle name="40% - Accent2 3 11 4 4" xfId="21227"/>
    <cellStyle name="40% - Accent2 3 11 5" xfId="21228"/>
    <cellStyle name="40% - Accent2 3 11 5 2" xfId="21229"/>
    <cellStyle name="40% - Accent2 3 11 6" xfId="21230"/>
    <cellStyle name="40% - Accent2 3 11 7" xfId="21231"/>
    <cellStyle name="40% - Accent2 3 11 8" xfId="21232"/>
    <cellStyle name="40% - Accent2 3 12" xfId="21233"/>
    <cellStyle name="40% - Accent2 3 12 2" xfId="21234"/>
    <cellStyle name="40% - Accent2 3 12 2 2" xfId="21235"/>
    <cellStyle name="40% - Accent2 3 12 2 3" xfId="21236"/>
    <cellStyle name="40% - Accent2 3 12 3" xfId="21237"/>
    <cellStyle name="40% - Accent2 3 12 3 2" xfId="21238"/>
    <cellStyle name="40% - Accent2 3 12 4" xfId="21239"/>
    <cellStyle name="40% - Accent2 3 12 5" xfId="21240"/>
    <cellStyle name="40% - Accent2 3 13" xfId="21241"/>
    <cellStyle name="40% - Accent2 3 13 2" xfId="21242"/>
    <cellStyle name="40% - Accent2 3 13 2 2" xfId="21243"/>
    <cellStyle name="40% - Accent2 3 13 3" xfId="21244"/>
    <cellStyle name="40% - Accent2 3 13 4" xfId="21245"/>
    <cellStyle name="40% - Accent2 3 14" xfId="21246"/>
    <cellStyle name="40% - Accent2 3 14 2" xfId="21247"/>
    <cellStyle name="40% - Accent2 3 14 2 2" xfId="21248"/>
    <cellStyle name="40% - Accent2 3 14 3" xfId="21249"/>
    <cellStyle name="40% - Accent2 3 14 4" xfId="21250"/>
    <cellStyle name="40% - Accent2 3 15" xfId="21251"/>
    <cellStyle name="40% - Accent2 3 15 2" xfId="21252"/>
    <cellStyle name="40% - Accent2 3 16" xfId="21253"/>
    <cellStyle name="40% - Accent2 3 17" xfId="21254"/>
    <cellStyle name="40% - Accent2 3 18" xfId="21255"/>
    <cellStyle name="40% - Accent2 3 2" xfId="335"/>
    <cellStyle name="40% - Accent2 3 2 2" xfId="21256"/>
    <cellStyle name="40% - Accent2 3 2 3" xfId="21257"/>
    <cellStyle name="40% - Accent2 3 2 4" xfId="21258"/>
    <cellStyle name="40% - Accent2 3 2 5" xfId="21259"/>
    <cellStyle name="40% - Accent2 3 2 6" xfId="21260"/>
    <cellStyle name="40% - Accent2 3 2 7" xfId="21261"/>
    <cellStyle name="40% - Accent2 3 2 8" xfId="21262"/>
    <cellStyle name="40% - Accent2 3 2 8 2" xfId="21263"/>
    <cellStyle name="40% - Accent2 3 2_2009 Actual" xfId="21264"/>
    <cellStyle name="40% - Accent2 3 3" xfId="21265"/>
    <cellStyle name="40% - Accent2 3 3 2" xfId="21266"/>
    <cellStyle name="40% - Accent2 3 3 2 2" xfId="21267"/>
    <cellStyle name="40% - Accent2 3 4" xfId="21268"/>
    <cellStyle name="40% - Accent2 3 4 2" xfId="21269"/>
    <cellStyle name="40% - Accent2 3 4 2 2" xfId="21270"/>
    <cellStyle name="40% - Accent2 3 5" xfId="21271"/>
    <cellStyle name="40% - Accent2 3 5 2" xfId="21272"/>
    <cellStyle name="40% - Accent2 3 5 2 2" xfId="21273"/>
    <cellStyle name="40% - Accent2 3 6" xfId="21274"/>
    <cellStyle name="40% - Accent2 3 6 2" xfId="21275"/>
    <cellStyle name="40% - Accent2 3 6 2 2" xfId="21276"/>
    <cellStyle name="40% - Accent2 3 7" xfId="21277"/>
    <cellStyle name="40% - Accent2 3 7 2" xfId="21278"/>
    <cellStyle name="40% - Accent2 3 7 2 2" xfId="21279"/>
    <cellStyle name="40% - Accent2 3 8" xfId="21280"/>
    <cellStyle name="40% - Accent2 3 8 2" xfId="21281"/>
    <cellStyle name="40% - Accent2 3 8 2 2" xfId="21282"/>
    <cellStyle name="40% - Accent2 3 9" xfId="21283"/>
    <cellStyle name="40% - Accent2 3_2009 Actual" xfId="21284"/>
    <cellStyle name="40% - Accent2 30" xfId="21285"/>
    <cellStyle name="40% - Accent2 30 2" xfId="21286"/>
    <cellStyle name="40% - Accent2 30 2 2" xfId="21287"/>
    <cellStyle name="40% - Accent2 30 2 2 2" xfId="21288"/>
    <cellStyle name="40% - Accent2 30 2 2 3" xfId="21289"/>
    <cellStyle name="40% - Accent2 30 2 3" xfId="21290"/>
    <cellStyle name="40% - Accent2 30 2 3 2" xfId="21291"/>
    <cellStyle name="40% - Accent2 30 2 4" xfId="21292"/>
    <cellStyle name="40% - Accent2 30 2 5" xfId="21293"/>
    <cellStyle name="40% - Accent2 30 3" xfId="21294"/>
    <cellStyle name="40% - Accent2 30 3 2" xfId="21295"/>
    <cellStyle name="40% - Accent2 30 3 2 2" xfId="21296"/>
    <cellStyle name="40% - Accent2 30 3 3" xfId="21297"/>
    <cellStyle name="40% - Accent2 30 3 4" xfId="21298"/>
    <cellStyle name="40% - Accent2 30 4" xfId="21299"/>
    <cellStyle name="40% - Accent2 30 4 2" xfId="21300"/>
    <cellStyle name="40% - Accent2 30 4 2 2" xfId="21301"/>
    <cellStyle name="40% - Accent2 30 4 3" xfId="21302"/>
    <cellStyle name="40% - Accent2 30 4 4" xfId="21303"/>
    <cellStyle name="40% - Accent2 30 5" xfId="21304"/>
    <cellStyle name="40% - Accent2 30 5 2" xfId="21305"/>
    <cellStyle name="40% - Accent2 30 6" xfId="21306"/>
    <cellStyle name="40% - Accent2 30 7" xfId="21307"/>
    <cellStyle name="40% - Accent2 30 8" xfId="21308"/>
    <cellStyle name="40% - Accent2 31" xfId="21309"/>
    <cellStyle name="40% - Accent2 31 2" xfId="21310"/>
    <cellStyle name="40% - Accent2 31 2 2" xfId="21311"/>
    <cellStyle name="40% - Accent2 31 2 3" xfId="21312"/>
    <cellStyle name="40% - Accent2 31 3" xfId="21313"/>
    <cellStyle name="40% - Accent2 31 3 2" xfId="21314"/>
    <cellStyle name="40% - Accent2 31 4" xfId="21315"/>
    <cellStyle name="40% - Accent2 31 5" xfId="21316"/>
    <cellStyle name="40% - Accent2 32" xfId="21317"/>
    <cellStyle name="40% - Accent2 32 2" xfId="21318"/>
    <cellStyle name="40% - Accent2 32 2 2" xfId="21319"/>
    <cellStyle name="40% - Accent2 32 2 3" xfId="21320"/>
    <cellStyle name="40% - Accent2 32 3" xfId="21321"/>
    <cellStyle name="40% - Accent2 32 3 2" xfId="21322"/>
    <cellStyle name="40% - Accent2 32 4" xfId="21323"/>
    <cellStyle name="40% - Accent2 32 5" xfId="21324"/>
    <cellStyle name="40% - Accent2 33" xfId="21325"/>
    <cellStyle name="40% - Accent2 33 2" xfId="21326"/>
    <cellStyle name="40% - Accent2 33 2 2" xfId="21327"/>
    <cellStyle name="40% - Accent2 33 2 3" xfId="21328"/>
    <cellStyle name="40% - Accent2 33 3" xfId="21329"/>
    <cellStyle name="40% - Accent2 33 3 2" xfId="21330"/>
    <cellStyle name="40% - Accent2 33 4" xfId="21331"/>
    <cellStyle name="40% - Accent2 33 5" xfId="21332"/>
    <cellStyle name="40% - Accent2 34" xfId="21333"/>
    <cellStyle name="40% - Accent2 34 2" xfId="21334"/>
    <cellStyle name="40% - Accent2 34 2 2" xfId="21335"/>
    <cellStyle name="40% - Accent2 34 2 3" xfId="21336"/>
    <cellStyle name="40% - Accent2 34 3" xfId="21337"/>
    <cellStyle name="40% - Accent2 34 3 2" xfId="21338"/>
    <cellStyle name="40% - Accent2 34 4" xfId="21339"/>
    <cellStyle name="40% - Accent2 34 5" xfId="21340"/>
    <cellStyle name="40% - Accent2 35" xfId="21341"/>
    <cellStyle name="40% - Accent2 35 2" xfId="21342"/>
    <cellStyle name="40% - Accent2 35 2 2" xfId="21343"/>
    <cellStyle name="40% - Accent2 35 2 3" xfId="21344"/>
    <cellStyle name="40% - Accent2 35 3" xfId="21345"/>
    <cellStyle name="40% - Accent2 35 3 2" xfId="21346"/>
    <cellStyle name="40% - Accent2 35 4" xfId="21347"/>
    <cellStyle name="40% - Accent2 35 5" xfId="21348"/>
    <cellStyle name="40% - Accent2 36" xfId="21349"/>
    <cellStyle name="40% - Accent2 36 2" xfId="21350"/>
    <cellStyle name="40% - Accent2 36 2 2" xfId="21351"/>
    <cellStyle name="40% - Accent2 36 2 3" xfId="21352"/>
    <cellStyle name="40% - Accent2 36 3" xfId="21353"/>
    <cellStyle name="40% - Accent2 36 3 2" xfId="21354"/>
    <cellStyle name="40% - Accent2 36 4" xfId="21355"/>
    <cellStyle name="40% - Accent2 36 5" xfId="21356"/>
    <cellStyle name="40% - Accent2 37" xfId="21357"/>
    <cellStyle name="40% - Accent2 37 2" xfId="21358"/>
    <cellStyle name="40% - Accent2 37 2 2" xfId="21359"/>
    <cellStyle name="40% - Accent2 37 2 3" xfId="21360"/>
    <cellStyle name="40% - Accent2 37 3" xfId="21361"/>
    <cellStyle name="40% - Accent2 37 3 2" xfId="21362"/>
    <cellStyle name="40% - Accent2 37 4" xfId="21363"/>
    <cellStyle name="40% - Accent2 37 5" xfId="21364"/>
    <cellStyle name="40% - Accent2 38" xfId="21365"/>
    <cellStyle name="40% - Accent2 38 2" xfId="21366"/>
    <cellStyle name="40% - Accent2 38 2 2" xfId="21367"/>
    <cellStyle name="40% - Accent2 38 2 3" xfId="21368"/>
    <cellStyle name="40% - Accent2 38 3" xfId="21369"/>
    <cellStyle name="40% - Accent2 38 3 2" xfId="21370"/>
    <cellStyle name="40% - Accent2 38 4" xfId="21371"/>
    <cellStyle name="40% - Accent2 38 5" xfId="21372"/>
    <cellStyle name="40% - Accent2 39" xfId="21373"/>
    <cellStyle name="40% - Accent2 39 2" xfId="21374"/>
    <cellStyle name="40% - Accent2 39 2 2" xfId="21375"/>
    <cellStyle name="40% - Accent2 39 2 3" xfId="21376"/>
    <cellStyle name="40% - Accent2 39 3" xfId="21377"/>
    <cellStyle name="40% - Accent2 39 3 2" xfId="21378"/>
    <cellStyle name="40% - Accent2 39 4" xfId="21379"/>
    <cellStyle name="40% - Accent2 39 5" xfId="21380"/>
    <cellStyle name="40% - Accent2 4" xfId="336"/>
    <cellStyle name="40% - Accent2 4 2" xfId="21381"/>
    <cellStyle name="40% - Accent2 4 2 2" xfId="21382"/>
    <cellStyle name="40% - Accent2 4 2 3" xfId="21383"/>
    <cellStyle name="40% - Accent2 4 2 4" xfId="21384"/>
    <cellStyle name="40% - Accent2 4 2 5" xfId="21385"/>
    <cellStyle name="40% - Accent2 4 2 6" xfId="21386"/>
    <cellStyle name="40% - Accent2 4 2 7" xfId="21387"/>
    <cellStyle name="40% - Accent2 4 2_2009 Actual" xfId="21388"/>
    <cellStyle name="40% - Accent2 4 3" xfId="21389"/>
    <cellStyle name="40% - Accent2 4 4" xfId="21390"/>
    <cellStyle name="40% - Accent2 4 5" xfId="21391"/>
    <cellStyle name="40% - Accent2 4 6" xfId="21392"/>
    <cellStyle name="40% - Accent2 4 7" xfId="21393"/>
    <cellStyle name="40% - Accent2 4 8" xfId="21394"/>
    <cellStyle name="40% - Accent2 4 9" xfId="21395"/>
    <cellStyle name="40% - Accent2 4 9 2" xfId="21396"/>
    <cellStyle name="40% - Accent2 4_2009 Actual" xfId="21397"/>
    <cellStyle name="40% - Accent2 40" xfId="21398"/>
    <cellStyle name="40% - Accent2 40 2" xfId="21399"/>
    <cellStyle name="40% - Accent2 40 2 2" xfId="21400"/>
    <cellStyle name="40% - Accent2 40 2 3" xfId="21401"/>
    <cellStyle name="40% - Accent2 40 3" xfId="21402"/>
    <cellStyle name="40% - Accent2 40 3 2" xfId="21403"/>
    <cellStyle name="40% - Accent2 40 4" xfId="21404"/>
    <cellStyle name="40% - Accent2 40 5" xfId="21405"/>
    <cellStyle name="40% - Accent2 41" xfId="21406"/>
    <cellStyle name="40% - Accent2 41 2" xfId="21407"/>
    <cellStyle name="40% - Accent2 41 2 2" xfId="21408"/>
    <cellStyle name="40% - Accent2 41 2 3" xfId="21409"/>
    <cellStyle name="40% - Accent2 41 3" xfId="21410"/>
    <cellStyle name="40% - Accent2 41 3 2" xfId="21411"/>
    <cellStyle name="40% - Accent2 41 4" xfId="21412"/>
    <cellStyle name="40% - Accent2 41 5" xfId="21413"/>
    <cellStyle name="40% - Accent2 42" xfId="21414"/>
    <cellStyle name="40% - Accent2 42 2" xfId="21415"/>
    <cellStyle name="40% - Accent2 42 2 2" xfId="21416"/>
    <cellStyle name="40% - Accent2 42 2 3" xfId="21417"/>
    <cellStyle name="40% - Accent2 42 3" xfId="21418"/>
    <cellStyle name="40% - Accent2 42 3 2" xfId="21419"/>
    <cellStyle name="40% - Accent2 42 4" xfId="21420"/>
    <cellStyle name="40% - Accent2 42 5" xfId="21421"/>
    <cellStyle name="40% - Accent2 43" xfId="21422"/>
    <cellStyle name="40% - Accent2 43 2" xfId="21423"/>
    <cellStyle name="40% - Accent2 43 2 2" xfId="21424"/>
    <cellStyle name="40% - Accent2 43 2 3" xfId="21425"/>
    <cellStyle name="40% - Accent2 43 3" xfId="21426"/>
    <cellStyle name="40% - Accent2 43 3 2" xfId="21427"/>
    <cellStyle name="40% - Accent2 43 4" xfId="21428"/>
    <cellStyle name="40% - Accent2 43 5" xfId="21429"/>
    <cellStyle name="40% - Accent2 44" xfId="21430"/>
    <cellStyle name="40% - Accent2 44 2" xfId="21431"/>
    <cellStyle name="40% - Accent2 44 2 2" xfId="21432"/>
    <cellStyle name="40% - Accent2 44 2 3" xfId="21433"/>
    <cellStyle name="40% - Accent2 44 3" xfId="21434"/>
    <cellStyle name="40% - Accent2 44 3 2" xfId="21435"/>
    <cellStyle name="40% - Accent2 44 4" xfId="21436"/>
    <cellStyle name="40% - Accent2 44 5" xfId="21437"/>
    <cellStyle name="40% - Accent2 45" xfId="21438"/>
    <cellStyle name="40% - Accent2 45 2" xfId="21439"/>
    <cellStyle name="40% - Accent2 45 2 2" xfId="21440"/>
    <cellStyle name="40% - Accent2 45 2 3" xfId="21441"/>
    <cellStyle name="40% - Accent2 45 3" xfId="21442"/>
    <cellStyle name="40% - Accent2 45 3 2" xfId="21443"/>
    <cellStyle name="40% - Accent2 45 4" xfId="21444"/>
    <cellStyle name="40% - Accent2 45 5" xfId="21445"/>
    <cellStyle name="40% - Accent2 46" xfId="21446"/>
    <cellStyle name="40% - Accent2 46 2" xfId="21447"/>
    <cellStyle name="40% - Accent2 46 2 2" xfId="21448"/>
    <cellStyle name="40% - Accent2 46 2 3" xfId="21449"/>
    <cellStyle name="40% - Accent2 46 3" xfId="21450"/>
    <cellStyle name="40% - Accent2 46 3 2" xfId="21451"/>
    <cellStyle name="40% - Accent2 46 4" xfId="21452"/>
    <cellStyle name="40% - Accent2 46 5" xfId="21453"/>
    <cellStyle name="40% - Accent2 47" xfId="21454"/>
    <cellStyle name="40% - Accent2 47 2" xfId="21455"/>
    <cellStyle name="40% - Accent2 47 2 2" xfId="21456"/>
    <cellStyle name="40% - Accent2 47 2 3" xfId="21457"/>
    <cellStyle name="40% - Accent2 47 3" xfId="21458"/>
    <cellStyle name="40% - Accent2 47 3 2" xfId="21459"/>
    <cellStyle name="40% - Accent2 47 4" xfId="21460"/>
    <cellStyle name="40% - Accent2 47 5" xfId="21461"/>
    <cellStyle name="40% - Accent2 48" xfId="21462"/>
    <cellStyle name="40% - Accent2 48 2" xfId="21463"/>
    <cellStyle name="40% - Accent2 48 2 2" xfId="21464"/>
    <cellStyle name="40% - Accent2 48 2 3" xfId="21465"/>
    <cellStyle name="40% - Accent2 48 3" xfId="21466"/>
    <cellStyle name="40% - Accent2 48 3 2" xfId="21467"/>
    <cellStyle name="40% - Accent2 48 4" xfId="21468"/>
    <cellStyle name="40% - Accent2 48 5" xfId="21469"/>
    <cellStyle name="40% - Accent2 49" xfId="21470"/>
    <cellStyle name="40% - Accent2 49 2" xfId="21471"/>
    <cellStyle name="40% - Accent2 49 2 2" xfId="21472"/>
    <cellStyle name="40% - Accent2 49 2 3" xfId="21473"/>
    <cellStyle name="40% - Accent2 49 3" xfId="21474"/>
    <cellStyle name="40% - Accent2 49 3 2" xfId="21475"/>
    <cellStyle name="40% - Accent2 49 4" xfId="21476"/>
    <cellStyle name="40% - Accent2 49 5" xfId="21477"/>
    <cellStyle name="40% - Accent2 5" xfId="21478"/>
    <cellStyle name="40% - Accent2 5 2" xfId="21479"/>
    <cellStyle name="40% - Accent2 5 2 2" xfId="21480"/>
    <cellStyle name="40% - Accent2 5 2 3" xfId="21481"/>
    <cellStyle name="40% - Accent2 5 2 4" xfId="21482"/>
    <cellStyle name="40% - Accent2 5 2 5" xfId="21483"/>
    <cellStyle name="40% - Accent2 5 2 6" xfId="21484"/>
    <cellStyle name="40% - Accent2 5 2 7" xfId="21485"/>
    <cellStyle name="40% - Accent2 5 2_2009 Actual" xfId="21486"/>
    <cellStyle name="40% - Accent2 5 3" xfId="21487"/>
    <cellStyle name="40% - Accent2 5 4" xfId="21488"/>
    <cellStyle name="40% - Accent2 5 5" xfId="21489"/>
    <cellStyle name="40% - Accent2 5 6" xfId="21490"/>
    <cellStyle name="40% - Accent2 5 7" xfId="21491"/>
    <cellStyle name="40% - Accent2 5 8" xfId="21492"/>
    <cellStyle name="40% - Accent2 5 9" xfId="21493"/>
    <cellStyle name="40% - Accent2 5 9 2" xfId="21494"/>
    <cellStyle name="40% - Accent2 5_2009 Actual" xfId="21495"/>
    <cellStyle name="40% - Accent2 50" xfId="21496"/>
    <cellStyle name="40% - Accent2 50 2" xfId="21497"/>
    <cellStyle name="40% - Accent2 50 2 2" xfId="21498"/>
    <cellStyle name="40% - Accent2 50 2 3" xfId="21499"/>
    <cellStyle name="40% - Accent2 50 3" xfId="21500"/>
    <cellStyle name="40% - Accent2 50 3 2" xfId="21501"/>
    <cellStyle name="40% - Accent2 50 4" xfId="21502"/>
    <cellStyle name="40% - Accent2 50 5" xfId="21503"/>
    <cellStyle name="40% - Accent2 51" xfId="21504"/>
    <cellStyle name="40% - Accent2 51 2" xfId="21505"/>
    <cellStyle name="40% - Accent2 51 2 2" xfId="21506"/>
    <cellStyle name="40% - Accent2 51 2 3" xfId="21507"/>
    <cellStyle name="40% - Accent2 51 3" xfId="21508"/>
    <cellStyle name="40% - Accent2 51 3 2" xfId="21509"/>
    <cellStyle name="40% - Accent2 51 4" xfId="21510"/>
    <cellStyle name="40% - Accent2 51 5" xfId="21511"/>
    <cellStyle name="40% - Accent2 52" xfId="21512"/>
    <cellStyle name="40% - Accent2 52 2" xfId="21513"/>
    <cellStyle name="40% - Accent2 52 2 2" xfId="21514"/>
    <cellStyle name="40% - Accent2 52 2 3" xfId="21515"/>
    <cellStyle name="40% - Accent2 52 3" xfId="21516"/>
    <cellStyle name="40% - Accent2 52 3 2" xfId="21517"/>
    <cellStyle name="40% - Accent2 52 4" xfId="21518"/>
    <cellStyle name="40% - Accent2 52 5" xfId="21519"/>
    <cellStyle name="40% - Accent2 53" xfId="21520"/>
    <cellStyle name="40% - Accent2 53 2" xfId="21521"/>
    <cellStyle name="40% - Accent2 53 2 2" xfId="21522"/>
    <cellStyle name="40% - Accent2 53 2 3" xfId="21523"/>
    <cellStyle name="40% - Accent2 53 3" xfId="21524"/>
    <cellStyle name="40% - Accent2 53 3 2" xfId="21525"/>
    <cellStyle name="40% - Accent2 53 4" xfId="21526"/>
    <cellStyle name="40% - Accent2 53 5" xfId="21527"/>
    <cellStyle name="40% - Accent2 54" xfId="21528"/>
    <cellStyle name="40% - Accent2 54 2" xfId="21529"/>
    <cellStyle name="40% - Accent2 54 2 2" xfId="21530"/>
    <cellStyle name="40% - Accent2 54 2 3" xfId="21531"/>
    <cellStyle name="40% - Accent2 54 3" xfId="21532"/>
    <cellStyle name="40% - Accent2 54 3 2" xfId="21533"/>
    <cellStyle name="40% - Accent2 54 4" xfId="21534"/>
    <cellStyle name="40% - Accent2 54 5" xfId="21535"/>
    <cellStyle name="40% - Accent2 55" xfId="21536"/>
    <cellStyle name="40% - Accent2 55 2" xfId="21537"/>
    <cellStyle name="40% - Accent2 55 2 2" xfId="21538"/>
    <cellStyle name="40% - Accent2 55 2 3" xfId="21539"/>
    <cellStyle name="40% - Accent2 55 3" xfId="21540"/>
    <cellStyle name="40% - Accent2 55 3 2" xfId="21541"/>
    <cellStyle name="40% - Accent2 55 4" xfId="21542"/>
    <cellStyle name="40% - Accent2 55 5" xfId="21543"/>
    <cellStyle name="40% - Accent2 56" xfId="21544"/>
    <cellStyle name="40% - Accent2 56 2" xfId="21545"/>
    <cellStyle name="40% - Accent2 56 2 2" xfId="21546"/>
    <cellStyle name="40% - Accent2 56 2 3" xfId="21547"/>
    <cellStyle name="40% - Accent2 56 3" xfId="21548"/>
    <cellStyle name="40% - Accent2 56 3 2" xfId="21549"/>
    <cellStyle name="40% - Accent2 56 4" xfId="21550"/>
    <cellStyle name="40% - Accent2 56 5" xfId="21551"/>
    <cellStyle name="40% - Accent2 57" xfId="21552"/>
    <cellStyle name="40% - Accent2 57 2" xfId="21553"/>
    <cellStyle name="40% - Accent2 57 2 2" xfId="21554"/>
    <cellStyle name="40% - Accent2 57 2 3" xfId="21555"/>
    <cellStyle name="40% - Accent2 57 3" xfId="21556"/>
    <cellStyle name="40% - Accent2 57 3 2" xfId="21557"/>
    <cellStyle name="40% - Accent2 57 4" xfId="21558"/>
    <cellStyle name="40% - Accent2 57 5" xfId="21559"/>
    <cellStyle name="40% - Accent2 58" xfId="21560"/>
    <cellStyle name="40% - Accent2 58 2" xfId="21561"/>
    <cellStyle name="40% - Accent2 58 2 2" xfId="21562"/>
    <cellStyle name="40% - Accent2 58 2 3" xfId="21563"/>
    <cellStyle name="40% - Accent2 58 3" xfId="21564"/>
    <cellStyle name="40% - Accent2 58 3 2" xfId="21565"/>
    <cellStyle name="40% - Accent2 58 4" xfId="21566"/>
    <cellStyle name="40% - Accent2 58 5" xfId="21567"/>
    <cellStyle name="40% - Accent2 59" xfId="21568"/>
    <cellStyle name="40% - Accent2 59 2" xfId="21569"/>
    <cellStyle name="40% - Accent2 59 2 2" xfId="21570"/>
    <cellStyle name="40% - Accent2 59 2 3" xfId="21571"/>
    <cellStyle name="40% - Accent2 59 3" xfId="21572"/>
    <cellStyle name="40% - Accent2 59 3 2" xfId="21573"/>
    <cellStyle name="40% - Accent2 59 4" xfId="21574"/>
    <cellStyle name="40% - Accent2 59 5" xfId="21575"/>
    <cellStyle name="40% - Accent2 6" xfId="21576"/>
    <cellStyle name="40% - Accent2 6 2" xfId="21577"/>
    <cellStyle name="40% - Accent2 6 3" xfId="21578"/>
    <cellStyle name="40% - Accent2 6 4" xfId="21579"/>
    <cellStyle name="40% - Accent2 6 4 2" xfId="21580"/>
    <cellStyle name="40% - Accent2 6_2009 Actual" xfId="21581"/>
    <cellStyle name="40% - Accent2 60" xfId="21582"/>
    <cellStyle name="40% - Accent2 60 2" xfId="21583"/>
    <cellStyle name="40% - Accent2 60 2 2" xfId="21584"/>
    <cellStyle name="40% - Accent2 60 2 3" xfId="21585"/>
    <cellStyle name="40% - Accent2 60 3" xfId="21586"/>
    <cellStyle name="40% - Accent2 60 3 2" xfId="21587"/>
    <cellStyle name="40% - Accent2 60 4" xfId="21588"/>
    <cellStyle name="40% - Accent2 60 5" xfId="21589"/>
    <cellStyle name="40% - Accent2 61" xfId="21590"/>
    <cellStyle name="40% - Accent2 61 2" xfId="21591"/>
    <cellStyle name="40% - Accent2 61 2 2" xfId="21592"/>
    <cellStyle name="40% - Accent2 61 2 3" xfId="21593"/>
    <cellStyle name="40% - Accent2 61 3" xfId="21594"/>
    <cellStyle name="40% - Accent2 61 3 2" xfId="21595"/>
    <cellStyle name="40% - Accent2 61 4" xfId="21596"/>
    <cellStyle name="40% - Accent2 61 5" xfId="21597"/>
    <cellStyle name="40% - Accent2 62" xfId="21598"/>
    <cellStyle name="40% - Accent2 62 2" xfId="21599"/>
    <cellStyle name="40% - Accent2 62 2 2" xfId="21600"/>
    <cellStyle name="40% - Accent2 62 2 3" xfId="21601"/>
    <cellStyle name="40% - Accent2 62 3" xfId="21602"/>
    <cellStyle name="40% - Accent2 62 3 2" xfId="21603"/>
    <cellStyle name="40% - Accent2 62 4" xfId="21604"/>
    <cellStyle name="40% - Accent2 62 5" xfId="21605"/>
    <cellStyle name="40% - Accent2 63" xfId="21606"/>
    <cellStyle name="40% - Accent2 63 2" xfId="21607"/>
    <cellStyle name="40% - Accent2 63 2 2" xfId="21608"/>
    <cellStyle name="40% - Accent2 63 2 3" xfId="21609"/>
    <cellStyle name="40% - Accent2 63 3" xfId="21610"/>
    <cellStyle name="40% - Accent2 63 3 2" xfId="21611"/>
    <cellStyle name="40% - Accent2 63 4" xfId="21612"/>
    <cellStyle name="40% - Accent2 63 5" xfId="21613"/>
    <cellStyle name="40% - Accent2 64" xfId="21614"/>
    <cellStyle name="40% - Accent2 64 2" xfId="21615"/>
    <cellStyle name="40% - Accent2 64 2 2" xfId="21616"/>
    <cellStyle name="40% - Accent2 64 2 3" xfId="21617"/>
    <cellStyle name="40% - Accent2 64 3" xfId="21618"/>
    <cellStyle name="40% - Accent2 64 3 2" xfId="21619"/>
    <cellStyle name="40% - Accent2 64 4" xfId="21620"/>
    <cellStyle name="40% - Accent2 64 5" xfId="21621"/>
    <cellStyle name="40% - Accent2 65" xfId="21622"/>
    <cellStyle name="40% - Accent2 65 2" xfId="21623"/>
    <cellStyle name="40% - Accent2 65 2 2" xfId="21624"/>
    <cellStyle name="40% - Accent2 65 2 3" xfId="21625"/>
    <cellStyle name="40% - Accent2 65 3" xfId="21626"/>
    <cellStyle name="40% - Accent2 65 3 2" xfId="21627"/>
    <cellStyle name="40% - Accent2 65 4" xfId="21628"/>
    <cellStyle name="40% - Accent2 65 5" xfId="21629"/>
    <cellStyle name="40% - Accent2 66" xfId="21630"/>
    <cellStyle name="40% - Accent2 66 2" xfId="21631"/>
    <cellStyle name="40% - Accent2 66 2 2" xfId="21632"/>
    <cellStyle name="40% - Accent2 66 2 3" xfId="21633"/>
    <cellStyle name="40% - Accent2 66 3" xfId="21634"/>
    <cellStyle name="40% - Accent2 66 3 2" xfId="21635"/>
    <cellStyle name="40% - Accent2 66 4" xfId="21636"/>
    <cellStyle name="40% - Accent2 66 5" xfId="21637"/>
    <cellStyle name="40% - Accent2 67" xfId="21638"/>
    <cellStyle name="40% - Accent2 67 2" xfId="21639"/>
    <cellStyle name="40% - Accent2 67 2 2" xfId="21640"/>
    <cellStyle name="40% - Accent2 67 2 3" xfId="21641"/>
    <cellStyle name="40% - Accent2 67 3" xfId="21642"/>
    <cellStyle name="40% - Accent2 67 3 2" xfId="21643"/>
    <cellStyle name="40% - Accent2 67 4" xfId="21644"/>
    <cellStyle name="40% - Accent2 67 5" xfId="21645"/>
    <cellStyle name="40% - Accent2 68" xfId="21646"/>
    <cellStyle name="40% - Accent2 68 2" xfId="21647"/>
    <cellStyle name="40% - Accent2 68 2 2" xfId="21648"/>
    <cellStyle name="40% - Accent2 68 2 3" xfId="21649"/>
    <cellStyle name="40% - Accent2 68 3" xfId="21650"/>
    <cellStyle name="40% - Accent2 68 3 2" xfId="21651"/>
    <cellStyle name="40% - Accent2 68 4" xfId="21652"/>
    <cellStyle name="40% - Accent2 68 5" xfId="21653"/>
    <cellStyle name="40% - Accent2 69" xfId="21654"/>
    <cellStyle name="40% - Accent2 69 2" xfId="21655"/>
    <cellStyle name="40% - Accent2 69 2 2" xfId="21656"/>
    <cellStyle name="40% - Accent2 69 2 3" xfId="21657"/>
    <cellStyle name="40% - Accent2 69 3" xfId="21658"/>
    <cellStyle name="40% - Accent2 69 3 2" xfId="21659"/>
    <cellStyle name="40% - Accent2 69 4" xfId="21660"/>
    <cellStyle name="40% - Accent2 69 5" xfId="21661"/>
    <cellStyle name="40% - Accent2 7" xfId="21662"/>
    <cellStyle name="40% - Accent2 7 2" xfId="21663"/>
    <cellStyle name="40% - Accent2 7 2 2" xfId="21664"/>
    <cellStyle name="40% - Accent2 70" xfId="21665"/>
    <cellStyle name="40% - Accent2 70 2" xfId="21666"/>
    <cellStyle name="40% - Accent2 70 2 2" xfId="21667"/>
    <cellStyle name="40% - Accent2 70 2 3" xfId="21668"/>
    <cellStyle name="40% - Accent2 70 3" xfId="21669"/>
    <cellStyle name="40% - Accent2 70 3 2" xfId="21670"/>
    <cellStyle name="40% - Accent2 70 4" xfId="21671"/>
    <cellStyle name="40% - Accent2 70 5" xfId="21672"/>
    <cellStyle name="40% - Accent2 71" xfId="21673"/>
    <cellStyle name="40% - Accent2 71 2" xfId="21674"/>
    <cellStyle name="40% - Accent2 71 2 2" xfId="21675"/>
    <cellStyle name="40% - Accent2 71 2 3" xfId="21676"/>
    <cellStyle name="40% - Accent2 71 3" xfId="21677"/>
    <cellStyle name="40% - Accent2 71 3 2" xfId="21678"/>
    <cellStyle name="40% - Accent2 71 4" xfId="21679"/>
    <cellStyle name="40% - Accent2 71 5" xfId="21680"/>
    <cellStyle name="40% - Accent2 72" xfId="21681"/>
    <cellStyle name="40% - Accent2 72 2" xfId="21682"/>
    <cellStyle name="40% - Accent2 72 2 2" xfId="21683"/>
    <cellStyle name="40% - Accent2 72 2 3" xfId="21684"/>
    <cellStyle name="40% - Accent2 72 3" xfId="21685"/>
    <cellStyle name="40% - Accent2 72 3 2" xfId="21686"/>
    <cellStyle name="40% - Accent2 72 4" xfId="21687"/>
    <cellStyle name="40% - Accent2 72 5" xfId="21688"/>
    <cellStyle name="40% - Accent2 73" xfId="21689"/>
    <cellStyle name="40% - Accent2 73 2" xfId="21690"/>
    <cellStyle name="40% - Accent2 73 2 2" xfId="21691"/>
    <cellStyle name="40% - Accent2 73 2 3" xfId="21692"/>
    <cellStyle name="40% - Accent2 73 3" xfId="21693"/>
    <cellStyle name="40% - Accent2 73 3 2" xfId="21694"/>
    <cellStyle name="40% - Accent2 73 4" xfId="21695"/>
    <cellStyle name="40% - Accent2 73 5" xfId="21696"/>
    <cellStyle name="40% - Accent2 74" xfId="21697"/>
    <cellStyle name="40% - Accent2 74 2" xfId="21698"/>
    <cellStyle name="40% - Accent2 74 2 2" xfId="21699"/>
    <cellStyle name="40% - Accent2 74 2 3" xfId="21700"/>
    <cellStyle name="40% - Accent2 74 3" xfId="21701"/>
    <cellStyle name="40% - Accent2 74 3 2" xfId="21702"/>
    <cellStyle name="40% - Accent2 74 4" xfId="21703"/>
    <cellStyle name="40% - Accent2 74 5" xfId="21704"/>
    <cellStyle name="40% - Accent2 75" xfId="21705"/>
    <cellStyle name="40% - Accent2 75 2" xfId="21706"/>
    <cellStyle name="40% - Accent2 75 2 2" xfId="21707"/>
    <cellStyle name="40% - Accent2 75 2 3" xfId="21708"/>
    <cellStyle name="40% - Accent2 75 3" xfId="21709"/>
    <cellStyle name="40% - Accent2 75 3 2" xfId="21710"/>
    <cellStyle name="40% - Accent2 75 4" xfId="21711"/>
    <cellStyle name="40% - Accent2 75 5" xfId="21712"/>
    <cellStyle name="40% - Accent2 76" xfId="21713"/>
    <cellStyle name="40% - Accent2 76 2" xfId="21714"/>
    <cellStyle name="40% - Accent2 76 2 2" xfId="21715"/>
    <cellStyle name="40% - Accent2 76 2 3" xfId="21716"/>
    <cellStyle name="40% - Accent2 76 3" xfId="21717"/>
    <cellStyle name="40% - Accent2 76 3 2" xfId="21718"/>
    <cellStyle name="40% - Accent2 76 4" xfId="21719"/>
    <cellStyle name="40% - Accent2 76 5" xfId="21720"/>
    <cellStyle name="40% - Accent2 77" xfId="21721"/>
    <cellStyle name="40% - Accent2 77 2" xfId="21722"/>
    <cellStyle name="40% - Accent2 77 2 2" xfId="21723"/>
    <cellStyle name="40% - Accent2 77 2 3" xfId="21724"/>
    <cellStyle name="40% - Accent2 77 3" xfId="21725"/>
    <cellStyle name="40% - Accent2 77 3 2" xfId="21726"/>
    <cellStyle name="40% - Accent2 77 4" xfId="21727"/>
    <cellStyle name="40% - Accent2 77 5" xfId="21728"/>
    <cellStyle name="40% - Accent2 78" xfId="21729"/>
    <cellStyle name="40% - Accent2 78 2" xfId="21730"/>
    <cellStyle name="40% - Accent2 78 2 2" xfId="21731"/>
    <cellStyle name="40% - Accent2 78 2 3" xfId="21732"/>
    <cellStyle name="40% - Accent2 78 3" xfId="21733"/>
    <cellStyle name="40% - Accent2 78 3 2" xfId="21734"/>
    <cellStyle name="40% - Accent2 78 4" xfId="21735"/>
    <cellStyle name="40% - Accent2 78 5" xfId="21736"/>
    <cellStyle name="40% - Accent2 79" xfId="21737"/>
    <cellStyle name="40% - Accent2 79 2" xfId="21738"/>
    <cellStyle name="40% - Accent2 79 2 2" xfId="21739"/>
    <cellStyle name="40% - Accent2 79 2 3" xfId="21740"/>
    <cellStyle name="40% - Accent2 79 3" xfId="21741"/>
    <cellStyle name="40% - Accent2 79 3 2" xfId="21742"/>
    <cellStyle name="40% - Accent2 79 4" xfId="21743"/>
    <cellStyle name="40% - Accent2 79 5" xfId="21744"/>
    <cellStyle name="40% - Accent2 8" xfId="21745"/>
    <cellStyle name="40% - Accent2 8 2" xfId="21746"/>
    <cellStyle name="40% - Accent2 8 2 2" xfId="21747"/>
    <cellStyle name="40% - Accent2 80" xfId="21748"/>
    <cellStyle name="40% - Accent2 80 2" xfId="21749"/>
    <cellStyle name="40% - Accent2 80 2 2" xfId="21750"/>
    <cellStyle name="40% - Accent2 80 2 3" xfId="21751"/>
    <cellStyle name="40% - Accent2 80 3" xfId="21752"/>
    <cellStyle name="40% - Accent2 80 3 2" xfId="21753"/>
    <cellStyle name="40% - Accent2 80 4" xfId="21754"/>
    <cellStyle name="40% - Accent2 80 5" xfId="21755"/>
    <cellStyle name="40% - Accent2 81" xfId="21756"/>
    <cellStyle name="40% - Accent2 81 2" xfId="21757"/>
    <cellStyle name="40% - Accent2 81 2 2" xfId="21758"/>
    <cellStyle name="40% - Accent2 81 2 3" xfId="21759"/>
    <cellStyle name="40% - Accent2 81 3" xfId="21760"/>
    <cellStyle name="40% - Accent2 81 3 2" xfId="21761"/>
    <cellStyle name="40% - Accent2 81 4" xfId="21762"/>
    <cellStyle name="40% - Accent2 81 5" xfId="21763"/>
    <cellStyle name="40% - Accent2 82" xfId="21764"/>
    <cellStyle name="40% - Accent2 82 2" xfId="21765"/>
    <cellStyle name="40% - Accent2 82 2 2" xfId="21766"/>
    <cellStyle name="40% - Accent2 82 2 3" xfId="21767"/>
    <cellStyle name="40% - Accent2 82 3" xfId="21768"/>
    <cellStyle name="40% - Accent2 82 3 2" xfId="21769"/>
    <cellStyle name="40% - Accent2 82 4" xfId="21770"/>
    <cellStyle name="40% - Accent2 82 5" xfId="21771"/>
    <cellStyle name="40% - Accent2 83" xfId="21772"/>
    <cellStyle name="40% - Accent2 83 2" xfId="21773"/>
    <cellStyle name="40% - Accent2 83 2 2" xfId="21774"/>
    <cellStyle name="40% - Accent2 83 2 3" xfId="21775"/>
    <cellStyle name="40% - Accent2 83 3" xfId="21776"/>
    <cellStyle name="40% - Accent2 83 3 2" xfId="21777"/>
    <cellStyle name="40% - Accent2 83 4" xfId="21778"/>
    <cellStyle name="40% - Accent2 83 5" xfId="21779"/>
    <cellStyle name="40% - Accent2 84" xfId="21780"/>
    <cellStyle name="40% - Accent2 84 2" xfId="21781"/>
    <cellStyle name="40% - Accent2 84 2 2" xfId="21782"/>
    <cellStyle name="40% - Accent2 84 2 3" xfId="21783"/>
    <cellStyle name="40% - Accent2 84 3" xfId="21784"/>
    <cellStyle name="40% - Accent2 84 3 2" xfId="21785"/>
    <cellStyle name="40% - Accent2 84 4" xfId="21786"/>
    <cellStyle name="40% - Accent2 84 5" xfId="21787"/>
    <cellStyle name="40% - Accent2 85" xfId="21788"/>
    <cellStyle name="40% - Accent2 85 2" xfId="21789"/>
    <cellStyle name="40% - Accent2 85 2 2" xfId="21790"/>
    <cellStyle name="40% - Accent2 85 2 3" xfId="21791"/>
    <cellStyle name="40% - Accent2 85 3" xfId="21792"/>
    <cellStyle name="40% - Accent2 85 3 2" xfId="21793"/>
    <cellStyle name="40% - Accent2 85 4" xfId="21794"/>
    <cellStyle name="40% - Accent2 85 5" xfId="21795"/>
    <cellStyle name="40% - Accent2 86" xfId="21796"/>
    <cellStyle name="40% - Accent2 86 2" xfId="21797"/>
    <cellStyle name="40% - Accent2 86 2 2" xfId="21798"/>
    <cellStyle name="40% - Accent2 86 2 3" xfId="21799"/>
    <cellStyle name="40% - Accent2 86 3" xfId="21800"/>
    <cellStyle name="40% - Accent2 86 3 2" xfId="21801"/>
    <cellStyle name="40% - Accent2 86 4" xfId="21802"/>
    <cellStyle name="40% - Accent2 86 5" xfId="21803"/>
    <cellStyle name="40% - Accent2 87" xfId="21804"/>
    <cellStyle name="40% - Accent2 87 2" xfId="21805"/>
    <cellStyle name="40% - Accent2 87 2 2" xfId="21806"/>
    <cellStyle name="40% - Accent2 87 2 3" xfId="21807"/>
    <cellStyle name="40% - Accent2 87 3" xfId="21808"/>
    <cellStyle name="40% - Accent2 87 3 2" xfId="21809"/>
    <cellStyle name="40% - Accent2 87 4" xfId="21810"/>
    <cellStyle name="40% - Accent2 87 5" xfId="21811"/>
    <cellStyle name="40% - Accent2 88" xfId="21812"/>
    <cellStyle name="40% - Accent2 88 2" xfId="21813"/>
    <cellStyle name="40% - Accent2 88 2 2" xfId="21814"/>
    <cellStyle name="40% - Accent2 88 2 3" xfId="21815"/>
    <cellStyle name="40% - Accent2 88 3" xfId="21816"/>
    <cellStyle name="40% - Accent2 88 3 2" xfId="21817"/>
    <cellStyle name="40% - Accent2 88 4" xfId="21818"/>
    <cellStyle name="40% - Accent2 88 5" xfId="21819"/>
    <cellStyle name="40% - Accent2 89" xfId="21820"/>
    <cellStyle name="40% - Accent2 89 2" xfId="21821"/>
    <cellStyle name="40% - Accent2 89 2 2" xfId="21822"/>
    <cellStyle name="40% - Accent2 89 2 3" xfId="21823"/>
    <cellStyle name="40% - Accent2 89 3" xfId="21824"/>
    <cellStyle name="40% - Accent2 89 3 2" xfId="21825"/>
    <cellStyle name="40% - Accent2 89 4" xfId="21826"/>
    <cellStyle name="40% - Accent2 89 5" xfId="21827"/>
    <cellStyle name="40% - Accent2 9" xfId="21828"/>
    <cellStyle name="40% - Accent2 9 2" xfId="21829"/>
    <cellStyle name="40% - Accent2 9 2 2" xfId="21830"/>
    <cellStyle name="40% - Accent2 90" xfId="21831"/>
    <cellStyle name="40% - Accent2 90 2" xfId="21832"/>
    <cellStyle name="40% - Accent2 90 2 2" xfId="21833"/>
    <cellStyle name="40% - Accent2 90 2 3" xfId="21834"/>
    <cellStyle name="40% - Accent2 90 3" xfId="21835"/>
    <cellStyle name="40% - Accent2 90 3 2" xfId="21836"/>
    <cellStyle name="40% - Accent2 90 4" xfId="21837"/>
    <cellStyle name="40% - Accent2 90 5" xfId="21838"/>
    <cellStyle name="40% - Accent2 91" xfId="21839"/>
    <cellStyle name="40% - Accent2 91 2" xfId="21840"/>
    <cellStyle name="40% - Accent2 91 2 2" xfId="21841"/>
    <cellStyle name="40% - Accent2 91 2 3" xfId="21842"/>
    <cellStyle name="40% - Accent2 91 3" xfId="21843"/>
    <cellStyle name="40% - Accent2 91 3 2" xfId="21844"/>
    <cellStyle name="40% - Accent2 91 4" xfId="21845"/>
    <cellStyle name="40% - Accent2 91 5" xfId="21846"/>
    <cellStyle name="40% - Accent2 92" xfId="21847"/>
    <cellStyle name="40% - Accent2 92 2" xfId="21848"/>
    <cellStyle name="40% - Accent2 92 2 2" xfId="21849"/>
    <cellStyle name="40% - Accent2 92 2 3" xfId="21850"/>
    <cellStyle name="40% - Accent2 92 3" xfId="21851"/>
    <cellStyle name="40% - Accent2 92 3 2" xfId="21852"/>
    <cellStyle name="40% - Accent2 92 4" xfId="21853"/>
    <cellStyle name="40% - Accent2 92 5" xfId="21854"/>
    <cellStyle name="40% - Accent2 93" xfId="21855"/>
    <cellStyle name="40% - Accent2 93 2" xfId="21856"/>
    <cellStyle name="40% - Accent2 93 2 2" xfId="21857"/>
    <cellStyle name="40% - Accent2 93 2 3" xfId="21858"/>
    <cellStyle name="40% - Accent2 93 3" xfId="21859"/>
    <cellStyle name="40% - Accent2 93 3 2" xfId="21860"/>
    <cellStyle name="40% - Accent2 93 4" xfId="21861"/>
    <cellStyle name="40% - Accent2 93 5" xfId="21862"/>
    <cellStyle name="40% - Accent2 94" xfId="21863"/>
    <cellStyle name="40% - Accent2 94 2" xfId="21864"/>
    <cellStyle name="40% - Accent2 94 2 2" xfId="21865"/>
    <cellStyle name="40% - Accent2 94 2 3" xfId="21866"/>
    <cellStyle name="40% - Accent2 94 3" xfId="21867"/>
    <cellStyle name="40% - Accent2 94 3 2" xfId="21868"/>
    <cellStyle name="40% - Accent2 94 4" xfId="21869"/>
    <cellStyle name="40% - Accent2 94 5" xfId="21870"/>
    <cellStyle name="40% - Accent2 95" xfId="21871"/>
    <cellStyle name="40% - Accent2 95 2" xfId="21872"/>
    <cellStyle name="40% - Accent2 95 2 2" xfId="21873"/>
    <cellStyle name="40% - Accent2 95 3" xfId="21874"/>
    <cellStyle name="40% - Accent2 95 4" xfId="21875"/>
    <cellStyle name="40% - Accent2 96" xfId="21876"/>
    <cellStyle name="40% - Accent2 96 2" xfId="21877"/>
    <cellStyle name="40% - Accent2 96 2 2" xfId="21878"/>
    <cellStyle name="40% - Accent2 96 3" xfId="21879"/>
    <cellStyle name="40% - Accent2 96 4" xfId="21880"/>
    <cellStyle name="40% - Accent2 97" xfId="21881"/>
    <cellStyle name="40% - Accent2 97 2" xfId="21882"/>
    <cellStyle name="40% - Accent2 97 2 2" xfId="21883"/>
    <cellStyle name="40% - Accent2 97 3" xfId="21884"/>
    <cellStyle name="40% - Accent2 97 4" xfId="21885"/>
    <cellStyle name="40% - Accent2 98" xfId="21886"/>
    <cellStyle name="40% - Accent2 98 2" xfId="21887"/>
    <cellStyle name="40% - Accent2 98 2 2" xfId="21888"/>
    <cellStyle name="40% - Accent2 98 3" xfId="21889"/>
    <cellStyle name="40% - Accent2 98 4" xfId="21890"/>
    <cellStyle name="40% - Accent2 99" xfId="21891"/>
    <cellStyle name="40% - Accent2 99 2" xfId="21892"/>
    <cellStyle name="40% - Accent2 99 2 2" xfId="21893"/>
    <cellStyle name="40% - Accent2 99 3" xfId="21894"/>
    <cellStyle name="40% - Accent2 99 4" xfId="21895"/>
    <cellStyle name="40% - Accent3 10" xfId="21896"/>
    <cellStyle name="40% - Accent3 10 2" xfId="21897"/>
    <cellStyle name="40% - Accent3 11" xfId="21898"/>
    <cellStyle name="40% - Accent3 11 2" xfId="21899"/>
    <cellStyle name="40% - Accent3 12" xfId="21900"/>
    <cellStyle name="40% - Accent3 13" xfId="21901"/>
    <cellStyle name="40% - Accent3 14" xfId="21902"/>
    <cellStyle name="40% - Accent3 15" xfId="21903"/>
    <cellStyle name="40% - Accent3 15 2" xfId="21904"/>
    <cellStyle name="40% - Accent3 16" xfId="21905"/>
    <cellStyle name="40% - Accent3 17" xfId="21906"/>
    <cellStyle name="40% - Accent3 18" xfId="21907"/>
    <cellStyle name="40% - Accent3 18 2" xfId="21908"/>
    <cellStyle name="40% - Accent3 18 2 2" xfId="21909"/>
    <cellStyle name="40% - Accent3 18 2 2 2" xfId="21910"/>
    <cellStyle name="40% - Accent3 18 2 2 3" xfId="21911"/>
    <cellStyle name="40% - Accent3 18 2 3" xfId="21912"/>
    <cellStyle name="40% - Accent3 18 2 3 2" xfId="21913"/>
    <cellStyle name="40% - Accent3 18 2 4" xfId="21914"/>
    <cellStyle name="40% - Accent3 18 2 5" xfId="21915"/>
    <cellStyle name="40% - Accent3 18 3" xfId="21916"/>
    <cellStyle name="40% - Accent3 18 3 2" xfId="21917"/>
    <cellStyle name="40% - Accent3 18 3 2 2" xfId="21918"/>
    <cellStyle name="40% - Accent3 18 3 3" xfId="21919"/>
    <cellStyle name="40% - Accent3 18 3 4" xfId="21920"/>
    <cellStyle name="40% - Accent3 18 4" xfId="21921"/>
    <cellStyle name="40% - Accent3 18 4 2" xfId="21922"/>
    <cellStyle name="40% - Accent3 18 4 2 2" xfId="21923"/>
    <cellStyle name="40% - Accent3 18 4 3" xfId="21924"/>
    <cellStyle name="40% - Accent3 18 4 4" xfId="21925"/>
    <cellStyle name="40% - Accent3 18 5" xfId="21926"/>
    <cellStyle name="40% - Accent3 18 5 2" xfId="21927"/>
    <cellStyle name="40% - Accent3 18 6" xfId="21928"/>
    <cellStyle name="40% - Accent3 18 7" xfId="21929"/>
    <cellStyle name="40% - Accent3 18 8" xfId="21930"/>
    <cellStyle name="40% - Accent3 19" xfId="21931"/>
    <cellStyle name="40% - Accent3 19 2" xfId="21932"/>
    <cellStyle name="40% - Accent3 19 2 2" xfId="21933"/>
    <cellStyle name="40% - Accent3 19 2 2 2" xfId="21934"/>
    <cellStyle name="40% - Accent3 19 2 2 3" xfId="21935"/>
    <cellStyle name="40% - Accent3 19 2 3" xfId="21936"/>
    <cellStyle name="40% - Accent3 19 2 3 2" xfId="21937"/>
    <cellStyle name="40% - Accent3 19 2 4" xfId="21938"/>
    <cellStyle name="40% - Accent3 19 2 5" xfId="21939"/>
    <cellStyle name="40% - Accent3 19 3" xfId="21940"/>
    <cellStyle name="40% - Accent3 19 3 2" xfId="21941"/>
    <cellStyle name="40% - Accent3 19 3 2 2" xfId="21942"/>
    <cellStyle name="40% - Accent3 19 3 3" xfId="21943"/>
    <cellStyle name="40% - Accent3 19 3 4" xfId="21944"/>
    <cellStyle name="40% - Accent3 19 4" xfId="21945"/>
    <cellStyle name="40% - Accent3 19 4 2" xfId="21946"/>
    <cellStyle name="40% - Accent3 19 4 2 2" xfId="21947"/>
    <cellStyle name="40% - Accent3 19 4 3" xfId="21948"/>
    <cellStyle name="40% - Accent3 19 4 4" xfId="21949"/>
    <cellStyle name="40% - Accent3 19 5" xfId="21950"/>
    <cellStyle name="40% - Accent3 19 5 2" xfId="21951"/>
    <cellStyle name="40% - Accent3 19 6" xfId="21952"/>
    <cellStyle name="40% - Accent3 19 7" xfId="21953"/>
    <cellStyle name="40% - Accent3 19 8" xfId="21954"/>
    <cellStyle name="40% - Accent3 2" xfId="50"/>
    <cellStyle name="40% - Accent3 2 10" xfId="21955"/>
    <cellStyle name="40% - Accent3 2 10 2" xfId="21956"/>
    <cellStyle name="40% - Accent3 2 10 2 2" xfId="21957"/>
    <cellStyle name="40% - Accent3 2 11" xfId="21958"/>
    <cellStyle name="40% - Accent3 2 12" xfId="21959"/>
    <cellStyle name="40% - Accent3 2 13" xfId="21960"/>
    <cellStyle name="40% - Accent3 2 14" xfId="21961"/>
    <cellStyle name="40% - Accent3 2 14 2" xfId="21962"/>
    <cellStyle name="40% - Accent3 2 14 2 2" xfId="21963"/>
    <cellStyle name="40% - Accent3 2 14 2 2 2" xfId="21964"/>
    <cellStyle name="40% - Accent3 2 14 2 2 3" xfId="21965"/>
    <cellStyle name="40% - Accent3 2 14 2 3" xfId="21966"/>
    <cellStyle name="40% - Accent3 2 14 2 3 2" xfId="21967"/>
    <cellStyle name="40% - Accent3 2 14 2 4" xfId="21968"/>
    <cellStyle name="40% - Accent3 2 14 2 5" xfId="21969"/>
    <cellStyle name="40% - Accent3 2 14 3" xfId="21970"/>
    <cellStyle name="40% - Accent3 2 14 3 2" xfId="21971"/>
    <cellStyle name="40% - Accent3 2 14 3 2 2" xfId="21972"/>
    <cellStyle name="40% - Accent3 2 14 3 3" xfId="21973"/>
    <cellStyle name="40% - Accent3 2 14 3 4" xfId="21974"/>
    <cellStyle name="40% - Accent3 2 14 4" xfId="21975"/>
    <cellStyle name="40% - Accent3 2 14 4 2" xfId="21976"/>
    <cellStyle name="40% - Accent3 2 14 4 2 2" xfId="21977"/>
    <cellStyle name="40% - Accent3 2 14 4 3" xfId="21978"/>
    <cellStyle name="40% - Accent3 2 14 4 4" xfId="21979"/>
    <cellStyle name="40% - Accent3 2 14 5" xfId="21980"/>
    <cellStyle name="40% - Accent3 2 14 5 2" xfId="21981"/>
    <cellStyle name="40% - Accent3 2 14 6" xfId="21982"/>
    <cellStyle name="40% - Accent3 2 14 7" xfId="21983"/>
    <cellStyle name="40% - Accent3 2 14 8" xfId="21984"/>
    <cellStyle name="40% - Accent3 2 15" xfId="21985"/>
    <cellStyle name="40% - Accent3 2 15 2" xfId="21986"/>
    <cellStyle name="40% - Accent3 2 15 2 2" xfId="21987"/>
    <cellStyle name="40% - Accent3 2 15 2 2 2" xfId="21988"/>
    <cellStyle name="40% - Accent3 2 15 2 2 3" xfId="21989"/>
    <cellStyle name="40% - Accent3 2 15 2 3" xfId="21990"/>
    <cellStyle name="40% - Accent3 2 15 2 3 2" xfId="21991"/>
    <cellStyle name="40% - Accent3 2 15 2 4" xfId="21992"/>
    <cellStyle name="40% - Accent3 2 15 2 5" xfId="21993"/>
    <cellStyle name="40% - Accent3 2 15 3" xfId="21994"/>
    <cellStyle name="40% - Accent3 2 15 3 2" xfId="21995"/>
    <cellStyle name="40% - Accent3 2 15 3 2 2" xfId="21996"/>
    <cellStyle name="40% - Accent3 2 15 3 3" xfId="21997"/>
    <cellStyle name="40% - Accent3 2 15 3 4" xfId="21998"/>
    <cellStyle name="40% - Accent3 2 15 4" xfId="21999"/>
    <cellStyle name="40% - Accent3 2 15 4 2" xfId="22000"/>
    <cellStyle name="40% - Accent3 2 15 4 2 2" xfId="22001"/>
    <cellStyle name="40% - Accent3 2 15 4 3" xfId="22002"/>
    <cellStyle name="40% - Accent3 2 15 4 4" xfId="22003"/>
    <cellStyle name="40% - Accent3 2 15 5" xfId="22004"/>
    <cellStyle name="40% - Accent3 2 15 5 2" xfId="22005"/>
    <cellStyle name="40% - Accent3 2 15 6" xfId="22006"/>
    <cellStyle name="40% - Accent3 2 15 7" xfId="22007"/>
    <cellStyle name="40% - Accent3 2 15 8" xfId="22008"/>
    <cellStyle name="40% - Accent3 2 16" xfId="22009"/>
    <cellStyle name="40% - Accent3 2 16 2" xfId="22010"/>
    <cellStyle name="40% - Accent3 2 16 2 2" xfId="22011"/>
    <cellStyle name="40% - Accent3 2 16 2 2 2" xfId="22012"/>
    <cellStyle name="40% - Accent3 2 16 2 2 3" xfId="22013"/>
    <cellStyle name="40% - Accent3 2 16 2 3" xfId="22014"/>
    <cellStyle name="40% - Accent3 2 16 2 3 2" xfId="22015"/>
    <cellStyle name="40% - Accent3 2 16 2 4" xfId="22016"/>
    <cellStyle name="40% - Accent3 2 16 2 5" xfId="22017"/>
    <cellStyle name="40% - Accent3 2 16 3" xfId="22018"/>
    <cellStyle name="40% - Accent3 2 16 3 2" xfId="22019"/>
    <cellStyle name="40% - Accent3 2 16 3 2 2" xfId="22020"/>
    <cellStyle name="40% - Accent3 2 16 3 3" xfId="22021"/>
    <cellStyle name="40% - Accent3 2 16 3 4" xfId="22022"/>
    <cellStyle name="40% - Accent3 2 16 4" xfId="22023"/>
    <cellStyle name="40% - Accent3 2 16 4 2" xfId="22024"/>
    <cellStyle name="40% - Accent3 2 16 4 2 2" xfId="22025"/>
    <cellStyle name="40% - Accent3 2 16 4 3" xfId="22026"/>
    <cellStyle name="40% - Accent3 2 16 4 4" xfId="22027"/>
    <cellStyle name="40% - Accent3 2 16 5" xfId="22028"/>
    <cellStyle name="40% - Accent3 2 16 5 2" xfId="22029"/>
    <cellStyle name="40% - Accent3 2 16 6" xfId="22030"/>
    <cellStyle name="40% - Accent3 2 16 7" xfId="22031"/>
    <cellStyle name="40% - Accent3 2 16 8" xfId="22032"/>
    <cellStyle name="40% - Accent3 2 17" xfId="22033"/>
    <cellStyle name="40% - Accent3 2 17 2" xfId="22034"/>
    <cellStyle name="40% - Accent3 2 17 2 2" xfId="22035"/>
    <cellStyle name="40% - Accent3 2 17 2 3" xfId="22036"/>
    <cellStyle name="40% - Accent3 2 17 3" xfId="22037"/>
    <cellStyle name="40% - Accent3 2 17 3 2" xfId="22038"/>
    <cellStyle name="40% - Accent3 2 17 4" xfId="22039"/>
    <cellStyle name="40% - Accent3 2 17 5" xfId="22040"/>
    <cellStyle name="40% - Accent3 2 18" xfId="22041"/>
    <cellStyle name="40% - Accent3 2 18 2" xfId="22042"/>
    <cellStyle name="40% - Accent3 2 18 2 2" xfId="22043"/>
    <cellStyle name="40% - Accent3 2 18 2 3" xfId="22044"/>
    <cellStyle name="40% - Accent3 2 18 3" xfId="22045"/>
    <cellStyle name="40% - Accent3 2 18 3 2" xfId="22046"/>
    <cellStyle name="40% - Accent3 2 18 4" xfId="22047"/>
    <cellStyle name="40% - Accent3 2 18 5" xfId="22048"/>
    <cellStyle name="40% - Accent3 2 19" xfId="22049"/>
    <cellStyle name="40% - Accent3 2 19 2" xfId="22050"/>
    <cellStyle name="40% - Accent3 2 19 2 2" xfId="22051"/>
    <cellStyle name="40% - Accent3 2 19 3" xfId="22052"/>
    <cellStyle name="40% - Accent3 2 19 4" xfId="22053"/>
    <cellStyle name="40% - Accent3 2 2" xfId="337"/>
    <cellStyle name="40% - Accent3 2 2 10" xfId="22054"/>
    <cellStyle name="40% - Accent3 2 2 11" xfId="22055"/>
    <cellStyle name="40% - Accent3 2 2 12" xfId="22056"/>
    <cellStyle name="40% - Accent3 2 2 12 2" xfId="22057"/>
    <cellStyle name="40% - Accent3 2 2 12 2 2" xfId="22058"/>
    <cellStyle name="40% - Accent3 2 2 12 2 2 2" xfId="22059"/>
    <cellStyle name="40% - Accent3 2 2 12 2 2 3" xfId="22060"/>
    <cellStyle name="40% - Accent3 2 2 12 2 3" xfId="22061"/>
    <cellStyle name="40% - Accent3 2 2 12 2 3 2" xfId="22062"/>
    <cellStyle name="40% - Accent3 2 2 12 2 4" xfId="22063"/>
    <cellStyle name="40% - Accent3 2 2 12 2 5" xfId="22064"/>
    <cellStyle name="40% - Accent3 2 2 12 3" xfId="22065"/>
    <cellStyle name="40% - Accent3 2 2 12 3 2" xfId="22066"/>
    <cellStyle name="40% - Accent3 2 2 12 3 2 2" xfId="22067"/>
    <cellStyle name="40% - Accent3 2 2 12 3 3" xfId="22068"/>
    <cellStyle name="40% - Accent3 2 2 12 3 4" xfId="22069"/>
    <cellStyle name="40% - Accent3 2 2 12 4" xfId="22070"/>
    <cellStyle name="40% - Accent3 2 2 12 4 2" xfId="22071"/>
    <cellStyle name="40% - Accent3 2 2 12 4 2 2" xfId="22072"/>
    <cellStyle name="40% - Accent3 2 2 12 4 3" xfId="22073"/>
    <cellStyle name="40% - Accent3 2 2 12 4 4" xfId="22074"/>
    <cellStyle name="40% - Accent3 2 2 12 5" xfId="22075"/>
    <cellStyle name="40% - Accent3 2 2 12 5 2" xfId="22076"/>
    <cellStyle name="40% - Accent3 2 2 12 6" xfId="22077"/>
    <cellStyle name="40% - Accent3 2 2 12 7" xfId="22078"/>
    <cellStyle name="40% - Accent3 2 2 12 8" xfId="22079"/>
    <cellStyle name="40% - Accent3 2 2 13" xfId="22080"/>
    <cellStyle name="40% - Accent3 2 2 13 2" xfId="22081"/>
    <cellStyle name="40% - Accent3 2 2 13 2 2" xfId="22082"/>
    <cellStyle name="40% - Accent3 2 2 13 2 2 2" xfId="22083"/>
    <cellStyle name="40% - Accent3 2 2 13 2 2 3" xfId="22084"/>
    <cellStyle name="40% - Accent3 2 2 13 2 3" xfId="22085"/>
    <cellStyle name="40% - Accent3 2 2 13 2 3 2" xfId="22086"/>
    <cellStyle name="40% - Accent3 2 2 13 2 4" xfId="22087"/>
    <cellStyle name="40% - Accent3 2 2 13 2 5" xfId="22088"/>
    <cellStyle name="40% - Accent3 2 2 13 3" xfId="22089"/>
    <cellStyle name="40% - Accent3 2 2 13 3 2" xfId="22090"/>
    <cellStyle name="40% - Accent3 2 2 13 3 2 2" xfId="22091"/>
    <cellStyle name="40% - Accent3 2 2 13 3 3" xfId="22092"/>
    <cellStyle name="40% - Accent3 2 2 13 3 4" xfId="22093"/>
    <cellStyle name="40% - Accent3 2 2 13 4" xfId="22094"/>
    <cellStyle name="40% - Accent3 2 2 13 4 2" xfId="22095"/>
    <cellStyle name="40% - Accent3 2 2 13 4 2 2" xfId="22096"/>
    <cellStyle name="40% - Accent3 2 2 13 4 3" xfId="22097"/>
    <cellStyle name="40% - Accent3 2 2 13 4 4" xfId="22098"/>
    <cellStyle name="40% - Accent3 2 2 13 5" xfId="22099"/>
    <cellStyle name="40% - Accent3 2 2 13 5 2" xfId="22100"/>
    <cellStyle name="40% - Accent3 2 2 13 6" xfId="22101"/>
    <cellStyle name="40% - Accent3 2 2 13 7" xfId="22102"/>
    <cellStyle name="40% - Accent3 2 2 13 8" xfId="22103"/>
    <cellStyle name="40% - Accent3 2 2 14" xfId="22104"/>
    <cellStyle name="40% - Accent3 2 2 14 2" xfId="22105"/>
    <cellStyle name="40% - Accent3 2 2 14 2 2" xfId="22106"/>
    <cellStyle name="40% - Accent3 2 2 14 2 2 2" xfId="22107"/>
    <cellStyle name="40% - Accent3 2 2 14 2 2 3" xfId="22108"/>
    <cellStyle name="40% - Accent3 2 2 14 2 3" xfId="22109"/>
    <cellStyle name="40% - Accent3 2 2 14 2 3 2" xfId="22110"/>
    <cellStyle name="40% - Accent3 2 2 14 2 4" xfId="22111"/>
    <cellStyle name="40% - Accent3 2 2 14 2 5" xfId="22112"/>
    <cellStyle name="40% - Accent3 2 2 14 3" xfId="22113"/>
    <cellStyle name="40% - Accent3 2 2 14 3 2" xfId="22114"/>
    <cellStyle name="40% - Accent3 2 2 14 3 2 2" xfId="22115"/>
    <cellStyle name="40% - Accent3 2 2 14 3 3" xfId="22116"/>
    <cellStyle name="40% - Accent3 2 2 14 3 4" xfId="22117"/>
    <cellStyle name="40% - Accent3 2 2 14 4" xfId="22118"/>
    <cellStyle name="40% - Accent3 2 2 14 4 2" xfId="22119"/>
    <cellStyle name="40% - Accent3 2 2 14 4 2 2" xfId="22120"/>
    <cellStyle name="40% - Accent3 2 2 14 4 3" xfId="22121"/>
    <cellStyle name="40% - Accent3 2 2 14 4 4" xfId="22122"/>
    <cellStyle name="40% - Accent3 2 2 14 5" xfId="22123"/>
    <cellStyle name="40% - Accent3 2 2 14 5 2" xfId="22124"/>
    <cellStyle name="40% - Accent3 2 2 14 6" xfId="22125"/>
    <cellStyle name="40% - Accent3 2 2 14 7" xfId="22126"/>
    <cellStyle name="40% - Accent3 2 2 14 8" xfId="22127"/>
    <cellStyle name="40% - Accent3 2 2 2" xfId="22128"/>
    <cellStyle name="40% - Accent3 2 2 2 10" xfId="22129"/>
    <cellStyle name="40% - Accent3 2 2 2 11" xfId="22130"/>
    <cellStyle name="40% - Accent3 2 2 2 2" xfId="22131"/>
    <cellStyle name="40% - Accent3 2 2 2 3" xfId="22132"/>
    <cellStyle name="40% - Accent3 2 2 2 4" xfId="22133"/>
    <cellStyle name="40% - Accent3 2 2 2 5" xfId="22134"/>
    <cellStyle name="40% - Accent3 2 2 2 6" xfId="22135"/>
    <cellStyle name="40% - Accent3 2 2 2 7" xfId="22136"/>
    <cellStyle name="40% - Accent3 2 2 2 8" xfId="22137"/>
    <cellStyle name="40% - Accent3 2 2 2 9" xfId="22138"/>
    <cellStyle name="40% - Accent3 2 2 2_4Q Ops Metrics Gas &amp; Electric 2010" xfId="22139"/>
    <cellStyle name="40% - Accent3 2 2 3" xfId="22140"/>
    <cellStyle name="40% - Accent3 2 2 4" xfId="22141"/>
    <cellStyle name="40% - Accent3 2 2 5" xfId="22142"/>
    <cellStyle name="40% - Accent3 2 2 6" xfId="22143"/>
    <cellStyle name="40% - Accent3 2 2 7" xfId="22144"/>
    <cellStyle name="40% - Accent3 2 2 8" xfId="22145"/>
    <cellStyle name="40% - Accent3 2 2 9" xfId="22146"/>
    <cellStyle name="40% - Accent3 2 2_4Q Ops Metrics Gas &amp; Electric 2010" xfId="22147"/>
    <cellStyle name="40% - Accent3 2 20" xfId="22148"/>
    <cellStyle name="40% - Accent3 2 20 2" xfId="22149"/>
    <cellStyle name="40% - Accent3 2 20 2 2" xfId="22150"/>
    <cellStyle name="40% - Accent3 2 20 3" xfId="22151"/>
    <cellStyle name="40% - Accent3 2 20 4" xfId="22152"/>
    <cellStyle name="40% - Accent3 2 21" xfId="22153"/>
    <cellStyle name="40% - Accent3 2 21 2" xfId="22154"/>
    <cellStyle name="40% - Accent3 2 22" xfId="22155"/>
    <cellStyle name="40% - Accent3 2 23" xfId="22156"/>
    <cellStyle name="40% - Accent3 2 24" xfId="22157"/>
    <cellStyle name="40% - Accent3 2 25" xfId="22158"/>
    <cellStyle name="40% - Accent3 2 26" xfId="22159"/>
    <cellStyle name="40% - Accent3 2 27" xfId="22160"/>
    <cellStyle name="40% - Accent3 2 28" xfId="22161"/>
    <cellStyle name="40% - Accent3 2 29" xfId="22162"/>
    <cellStyle name="40% - Accent3 2 3" xfId="338"/>
    <cellStyle name="40% - Accent3 2 3 2" xfId="339"/>
    <cellStyle name="40% - Accent3 2 3 2 2" xfId="340"/>
    <cellStyle name="40% - Accent3 2 3 2 2 2" xfId="341"/>
    <cellStyle name="40% - Accent3 2 3 2 3" xfId="342"/>
    <cellStyle name="40% - Accent3 2 3 3" xfId="343"/>
    <cellStyle name="40% - Accent3 2 3 3 2" xfId="344"/>
    <cellStyle name="40% - Accent3 2 3 4" xfId="345"/>
    <cellStyle name="40% - Accent3 2 3 4 2" xfId="22163"/>
    <cellStyle name="40% - Accent3 2 3 5" xfId="22164"/>
    <cellStyle name="40% - Accent3 2 3 5 2" xfId="22165"/>
    <cellStyle name="40% - Accent3 2 3 6" xfId="22166"/>
    <cellStyle name="40% - Accent3 2 3 6 2" xfId="22167"/>
    <cellStyle name="40% - Accent3 2 3 7" xfId="22168"/>
    <cellStyle name="40% - Accent3 2 3 7 2" xfId="22169"/>
    <cellStyle name="40% - Accent3 2 3 8" xfId="22170"/>
    <cellStyle name="40% - Accent3 2 3 8 2" xfId="22171"/>
    <cellStyle name="40% - Accent3 2 3 9" xfId="22172"/>
    <cellStyle name="40% - Accent3 2 3 9 2" xfId="22173"/>
    <cellStyle name="40% - Accent3 2 3_Dakota Panel" xfId="22174"/>
    <cellStyle name="40% - Accent3 2 30" xfId="22175"/>
    <cellStyle name="40% - Accent3 2 31" xfId="22176"/>
    <cellStyle name="40% - Accent3 2 32" xfId="22177"/>
    <cellStyle name="40% - Accent3 2 33" xfId="22178"/>
    <cellStyle name="40% - Accent3 2 34" xfId="22179"/>
    <cellStyle name="40% - Accent3 2 35" xfId="22180"/>
    <cellStyle name="40% - Accent3 2 36" xfId="22181"/>
    <cellStyle name="40% - Accent3 2 37" xfId="22182"/>
    <cellStyle name="40% - Accent3 2 38" xfId="22183"/>
    <cellStyle name="40% - Accent3 2 39" xfId="22184"/>
    <cellStyle name="40% - Accent3 2 4" xfId="346"/>
    <cellStyle name="40% - Accent3 2 4 2" xfId="347"/>
    <cellStyle name="40% - Accent3 2 4 2 2" xfId="348"/>
    <cellStyle name="40% - Accent3 2 4 3" xfId="349"/>
    <cellStyle name="40% - Accent3 2 40" xfId="22185"/>
    <cellStyle name="40% - Accent3 2 41" xfId="22186"/>
    <cellStyle name="40% - Accent3 2 42" xfId="22187"/>
    <cellStyle name="40% - Accent3 2 5" xfId="350"/>
    <cellStyle name="40% - Accent3 2 5 2" xfId="351"/>
    <cellStyle name="40% - Accent3 2 5 2 2" xfId="22188"/>
    <cellStyle name="40% - Accent3 2 6" xfId="352"/>
    <cellStyle name="40% - Accent3 2 6 2" xfId="22189"/>
    <cellStyle name="40% - Accent3 2 6 2 2" xfId="22190"/>
    <cellStyle name="40% - Accent3 2 7" xfId="22191"/>
    <cellStyle name="40% - Accent3 2 7 2" xfId="22192"/>
    <cellStyle name="40% - Accent3 2 7 2 2" xfId="22193"/>
    <cellStyle name="40% - Accent3 2 8" xfId="22194"/>
    <cellStyle name="40% - Accent3 2 8 2" xfId="22195"/>
    <cellStyle name="40% - Accent3 2 8 2 2" xfId="22196"/>
    <cellStyle name="40% - Accent3 2 9" xfId="22197"/>
    <cellStyle name="40% - Accent3 2 9 2" xfId="22198"/>
    <cellStyle name="40% - Accent3 2 9 2 2" xfId="22199"/>
    <cellStyle name="40% - Accent3 2_1-10 BHU IS" xfId="22200"/>
    <cellStyle name="40% - Accent3 20" xfId="22201"/>
    <cellStyle name="40% - Accent3 20 2" xfId="22202"/>
    <cellStyle name="40% - Accent3 20 2 2" xfId="22203"/>
    <cellStyle name="40% - Accent3 20 2 3" xfId="22204"/>
    <cellStyle name="40% - Accent3 20 3" xfId="22205"/>
    <cellStyle name="40% - Accent3 20 3 2" xfId="22206"/>
    <cellStyle name="40% - Accent3 20 4" xfId="22207"/>
    <cellStyle name="40% - Accent3 20 5" xfId="22208"/>
    <cellStyle name="40% - Accent3 21" xfId="22209"/>
    <cellStyle name="40% - Accent3 21 2" xfId="22210"/>
    <cellStyle name="40% - Accent3 21 2 2" xfId="22211"/>
    <cellStyle name="40% - Accent3 21 3" xfId="22212"/>
    <cellStyle name="40% - Accent3 21 4" xfId="22213"/>
    <cellStyle name="40% - Accent3 22" xfId="22214"/>
    <cellStyle name="40% - Accent3 22 2" xfId="22215"/>
    <cellStyle name="40% - Accent3 22 2 2" xfId="22216"/>
    <cellStyle name="40% - Accent3 22 3" xfId="22217"/>
    <cellStyle name="40% - Accent3 22 4" xfId="22218"/>
    <cellStyle name="40% - Accent3 23" xfId="22219"/>
    <cellStyle name="40% - Accent3 23 2" xfId="22220"/>
    <cellStyle name="40% - Accent3 24" xfId="22221"/>
    <cellStyle name="40% - Accent3 25" xfId="22222"/>
    <cellStyle name="40% - Accent3 26" xfId="22223"/>
    <cellStyle name="40% - Accent3 3" xfId="353"/>
    <cellStyle name="40% - Accent3 3 10" xfId="22224"/>
    <cellStyle name="40% - Accent3 3 10 2" xfId="22225"/>
    <cellStyle name="40% - Accent3 3 10 2 2" xfId="22226"/>
    <cellStyle name="40% - Accent3 3 10 2 2 2" xfId="22227"/>
    <cellStyle name="40% - Accent3 3 10 2 2 3" xfId="22228"/>
    <cellStyle name="40% - Accent3 3 10 2 3" xfId="22229"/>
    <cellStyle name="40% - Accent3 3 10 2 3 2" xfId="22230"/>
    <cellStyle name="40% - Accent3 3 10 2 4" xfId="22231"/>
    <cellStyle name="40% - Accent3 3 10 2 5" xfId="22232"/>
    <cellStyle name="40% - Accent3 3 10 3" xfId="22233"/>
    <cellStyle name="40% - Accent3 3 10 3 2" xfId="22234"/>
    <cellStyle name="40% - Accent3 3 10 3 2 2" xfId="22235"/>
    <cellStyle name="40% - Accent3 3 10 3 3" xfId="22236"/>
    <cellStyle name="40% - Accent3 3 10 3 4" xfId="22237"/>
    <cellStyle name="40% - Accent3 3 10 4" xfId="22238"/>
    <cellStyle name="40% - Accent3 3 10 4 2" xfId="22239"/>
    <cellStyle name="40% - Accent3 3 10 4 2 2" xfId="22240"/>
    <cellStyle name="40% - Accent3 3 10 4 3" xfId="22241"/>
    <cellStyle name="40% - Accent3 3 10 4 4" xfId="22242"/>
    <cellStyle name="40% - Accent3 3 10 5" xfId="22243"/>
    <cellStyle name="40% - Accent3 3 10 5 2" xfId="22244"/>
    <cellStyle name="40% - Accent3 3 10 6" xfId="22245"/>
    <cellStyle name="40% - Accent3 3 10 7" xfId="22246"/>
    <cellStyle name="40% - Accent3 3 10 8" xfId="22247"/>
    <cellStyle name="40% - Accent3 3 11" xfId="22248"/>
    <cellStyle name="40% - Accent3 3 11 2" xfId="22249"/>
    <cellStyle name="40% - Accent3 3 11 2 2" xfId="22250"/>
    <cellStyle name="40% - Accent3 3 11 2 2 2" xfId="22251"/>
    <cellStyle name="40% - Accent3 3 11 2 2 3" xfId="22252"/>
    <cellStyle name="40% - Accent3 3 11 2 3" xfId="22253"/>
    <cellStyle name="40% - Accent3 3 11 2 3 2" xfId="22254"/>
    <cellStyle name="40% - Accent3 3 11 2 4" xfId="22255"/>
    <cellStyle name="40% - Accent3 3 11 2 5" xfId="22256"/>
    <cellStyle name="40% - Accent3 3 11 3" xfId="22257"/>
    <cellStyle name="40% - Accent3 3 11 3 2" xfId="22258"/>
    <cellStyle name="40% - Accent3 3 11 3 2 2" xfId="22259"/>
    <cellStyle name="40% - Accent3 3 11 3 3" xfId="22260"/>
    <cellStyle name="40% - Accent3 3 11 3 4" xfId="22261"/>
    <cellStyle name="40% - Accent3 3 11 4" xfId="22262"/>
    <cellStyle name="40% - Accent3 3 11 4 2" xfId="22263"/>
    <cellStyle name="40% - Accent3 3 11 4 2 2" xfId="22264"/>
    <cellStyle name="40% - Accent3 3 11 4 3" xfId="22265"/>
    <cellStyle name="40% - Accent3 3 11 4 4" xfId="22266"/>
    <cellStyle name="40% - Accent3 3 11 5" xfId="22267"/>
    <cellStyle name="40% - Accent3 3 11 5 2" xfId="22268"/>
    <cellStyle name="40% - Accent3 3 11 6" xfId="22269"/>
    <cellStyle name="40% - Accent3 3 11 7" xfId="22270"/>
    <cellStyle name="40% - Accent3 3 11 8" xfId="22271"/>
    <cellStyle name="40% - Accent3 3 2" xfId="354"/>
    <cellStyle name="40% - Accent3 3 2 2" xfId="22272"/>
    <cellStyle name="40% - Accent3 3 2 2 2" xfId="22273"/>
    <cellStyle name="40% - Accent3 3 2 3" xfId="22274"/>
    <cellStyle name="40% - Accent3 3 2_Income Statement Query October" xfId="22275"/>
    <cellStyle name="40% - Accent3 3 3" xfId="22276"/>
    <cellStyle name="40% - Accent3 3 3 2" xfId="22277"/>
    <cellStyle name="40% - Accent3 3 4" xfId="22278"/>
    <cellStyle name="40% - Accent3 3 4 2" xfId="22279"/>
    <cellStyle name="40% - Accent3 3 4 2 2" xfId="22280"/>
    <cellStyle name="40% - Accent3 3 4 2 2 2" xfId="22281"/>
    <cellStyle name="40% - Accent3 3 4 2 2 3" xfId="22282"/>
    <cellStyle name="40% - Accent3 3 4 2 3" xfId="22283"/>
    <cellStyle name="40% - Accent3 3 4 2 3 2" xfId="22284"/>
    <cellStyle name="40% - Accent3 3 4 2 4" xfId="22285"/>
    <cellStyle name="40% - Accent3 3 4 2 5" xfId="22286"/>
    <cellStyle name="40% - Accent3 3 4 3" xfId="22287"/>
    <cellStyle name="40% - Accent3 3 4 3 2" xfId="22288"/>
    <cellStyle name="40% - Accent3 3 4 3 2 2" xfId="22289"/>
    <cellStyle name="40% - Accent3 3 4 3 3" xfId="22290"/>
    <cellStyle name="40% - Accent3 3 4 3 4" xfId="22291"/>
    <cellStyle name="40% - Accent3 3 4 4" xfId="22292"/>
    <cellStyle name="40% - Accent3 3 4 4 2" xfId="22293"/>
    <cellStyle name="40% - Accent3 3 4 4 2 2" xfId="22294"/>
    <cellStyle name="40% - Accent3 3 4 4 3" xfId="22295"/>
    <cellStyle name="40% - Accent3 3 4 4 4" xfId="22296"/>
    <cellStyle name="40% - Accent3 3 4 5" xfId="22297"/>
    <cellStyle name="40% - Accent3 3 4 5 2" xfId="22298"/>
    <cellStyle name="40% - Accent3 3 4 6" xfId="22299"/>
    <cellStyle name="40% - Accent3 3 4 7" xfId="22300"/>
    <cellStyle name="40% - Accent3 3 4 8" xfId="22301"/>
    <cellStyle name="40% - Accent3 3 5" xfId="22302"/>
    <cellStyle name="40% - Accent3 3 5 2" xfId="22303"/>
    <cellStyle name="40% - Accent3 3 5 2 2" xfId="22304"/>
    <cellStyle name="40% - Accent3 3 5 2 2 2" xfId="22305"/>
    <cellStyle name="40% - Accent3 3 5 2 2 3" xfId="22306"/>
    <cellStyle name="40% - Accent3 3 5 2 3" xfId="22307"/>
    <cellStyle name="40% - Accent3 3 5 2 3 2" xfId="22308"/>
    <cellStyle name="40% - Accent3 3 5 2 4" xfId="22309"/>
    <cellStyle name="40% - Accent3 3 5 2 5" xfId="22310"/>
    <cellStyle name="40% - Accent3 3 5 3" xfId="22311"/>
    <cellStyle name="40% - Accent3 3 5 3 2" xfId="22312"/>
    <cellStyle name="40% - Accent3 3 5 3 2 2" xfId="22313"/>
    <cellStyle name="40% - Accent3 3 5 3 3" xfId="22314"/>
    <cellStyle name="40% - Accent3 3 5 3 4" xfId="22315"/>
    <cellStyle name="40% - Accent3 3 5 4" xfId="22316"/>
    <cellStyle name="40% - Accent3 3 5 4 2" xfId="22317"/>
    <cellStyle name="40% - Accent3 3 5 4 2 2" xfId="22318"/>
    <cellStyle name="40% - Accent3 3 5 4 3" xfId="22319"/>
    <cellStyle name="40% - Accent3 3 5 4 4" xfId="22320"/>
    <cellStyle name="40% - Accent3 3 5 5" xfId="22321"/>
    <cellStyle name="40% - Accent3 3 5 5 2" xfId="22322"/>
    <cellStyle name="40% - Accent3 3 5 6" xfId="22323"/>
    <cellStyle name="40% - Accent3 3 5 7" xfId="22324"/>
    <cellStyle name="40% - Accent3 3 5 8" xfId="22325"/>
    <cellStyle name="40% - Accent3 3 6" xfId="22326"/>
    <cellStyle name="40% - Accent3 3 6 2" xfId="22327"/>
    <cellStyle name="40% - Accent3 3 6 2 2" xfId="22328"/>
    <cellStyle name="40% - Accent3 3 6 2 2 2" xfId="22329"/>
    <cellStyle name="40% - Accent3 3 6 2 2 3" xfId="22330"/>
    <cellStyle name="40% - Accent3 3 6 2 3" xfId="22331"/>
    <cellStyle name="40% - Accent3 3 6 2 3 2" xfId="22332"/>
    <cellStyle name="40% - Accent3 3 6 2 4" xfId="22333"/>
    <cellStyle name="40% - Accent3 3 6 2 5" xfId="22334"/>
    <cellStyle name="40% - Accent3 3 6 3" xfId="22335"/>
    <cellStyle name="40% - Accent3 3 6 3 2" xfId="22336"/>
    <cellStyle name="40% - Accent3 3 6 3 2 2" xfId="22337"/>
    <cellStyle name="40% - Accent3 3 6 3 3" xfId="22338"/>
    <cellStyle name="40% - Accent3 3 6 3 4" xfId="22339"/>
    <cellStyle name="40% - Accent3 3 6 4" xfId="22340"/>
    <cellStyle name="40% - Accent3 3 6 4 2" xfId="22341"/>
    <cellStyle name="40% - Accent3 3 6 4 2 2" xfId="22342"/>
    <cellStyle name="40% - Accent3 3 6 4 3" xfId="22343"/>
    <cellStyle name="40% - Accent3 3 6 4 4" xfId="22344"/>
    <cellStyle name="40% - Accent3 3 6 5" xfId="22345"/>
    <cellStyle name="40% - Accent3 3 6 5 2" xfId="22346"/>
    <cellStyle name="40% - Accent3 3 6 6" xfId="22347"/>
    <cellStyle name="40% - Accent3 3 6 7" xfId="22348"/>
    <cellStyle name="40% - Accent3 3 6 8" xfId="22349"/>
    <cellStyle name="40% - Accent3 3 7" xfId="22350"/>
    <cellStyle name="40% - Accent3 3 7 2" xfId="22351"/>
    <cellStyle name="40% - Accent3 3 7 2 2" xfId="22352"/>
    <cellStyle name="40% - Accent3 3 7 2 2 2" xfId="22353"/>
    <cellStyle name="40% - Accent3 3 7 2 2 3" xfId="22354"/>
    <cellStyle name="40% - Accent3 3 7 2 3" xfId="22355"/>
    <cellStyle name="40% - Accent3 3 7 2 3 2" xfId="22356"/>
    <cellStyle name="40% - Accent3 3 7 2 4" xfId="22357"/>
    <cellStyle name="40% - Accent3 3 7 2 5" xfId="22358"/>
    <cellStyle name="40% - Accent3 3 7 3" xfId="22359"/>
    <cellStyle name="40% - Accent3 3 7 3 2" xfId="22360"/>
    <cellStyle name="40% - Accent3 3 7 3 2 2" xfId="22361"/>
    <cellStyle name="40% - Accent3 3 7 3 3" xfId="22362"/>
    <cellStyle name="40% - Accent3 3 7 3 4" xfId="22363"/>
    <cellStyle name="40% - Accent3 3 7 4" xfId="22364"/>
    <cellStyle name="40% - Accent3 3 7 4 2" xfId="22365"/>
    <cellStyle name="40% - Accent3 3 7 4 2 2" xfId="22366"/>
    <cellStyle name="40% - Accent3 3 7 4 3" xfId="22367"/>
    <cellStyle name="40% - Accent3 3 7 4 4" xfId="22368"/>
    <cellStyle name="40% - Accent3 3 7 5" xfId="22369"/>
    <cellStyle name="40% - Accent3 3 7 5 2" xfId="22370"/>
    <cellStyle name="40% - Accent3 3 7 6" xfId="22371"/>
    <cellStyle name="40% - Accent3 3 7 7" xfId="22372"/>
    <cellStyle name="40% - Accent3 3 7 8" xfId="22373"/>
    <cellStyle name="40% - Accent3 3 8" xfId="22374"/>
    <cellStyle name="40% - Accent3 3 8 2" xfId="22375"/>
    <cellStyle name="40% - Accent3 3 8 2 2" xfId="22376"/>
    <cellStyle name="40% - Accent3 3 8 2 2 2" xfId="22377"/>
    <cellStyle name="40% - Accent3 3 8 2 2 3" xfId="22378"/>
    <cellStyle name="40% - Accent3 3 8 2 3" xfId="22379"/>
    <cellStyle name="40% - Accent3 3 8 2 3 2" xfId="22380"/>
    <cellStyle name="40% - Accent3 3 8 2 4" xfId="22381"/>
    <cellStyle name="40% - Accent3 3 8 2 5" xfId="22382"/>
    <cellStyle name="40% - Accent3 3 8 3" xfId="22383"/>
    <cellStyle name="40% - Accent3 3 8 3 2" xfId="22384"/>
    <cellStyle name="40% - Accent3 3 8 3 2 2" xfId="22385"/>
    <cellStyle name="40% - Accent3 3 8 3 3" xfId="22386"/>
    <cellStyle name="40% - Accent3 3 8 3 4" xfId="22387"/>
    <cellStyle name="40% - Accent3 3 8 4" xfId="22388"/>
    <cellStyle name="40% - Accent3 3 8 4 2" xfId="22389"/>
    <cellStyle name="40% - Accent3 3 8 4 2 2" xfId="22390"/>
    <cellStyle name="40% - Accent3 3 8 4 3" xfId="22391"/>
    <cellStyle name="40% - Accent3 3 8 4 4" xfId="22392"/>
    <cellStyle name="40% - Accent3 3 8 5" xfId="22393"/>
    <cellStyle name="40% - Accent3 3 8 5 2" xfId="22394"/>
    <cellStyle name="40% - Accent3 3 8 6" xfId="22395"/>
    <cellStyle name="40% - Accent3 3 8 7" xfId="22396"/>
    <cellStyle name="40% - Accent3 3 8 8" xfId="22397"/>
    <cellStyle name="40% - Accent3 3 9" xfId="22398"/>
    <cellStyle name="40% - Accent3 3 9 2" xfId="22399"/>
    <cellStyle name="40% - Accent3 3 9 2 2" xfId="22400"/>
    <cellStyle name="40% - Accent3 3 9 2 2 2" xfId="22401"/>
    <cellStyle name="40% - Accent3 3 9 2 2 3" xfId="22402"/>
    <cellStyle name="40% - Accent3 3 9 2 3" xfId="22403"/>
    <cellStyle name="40% - Accent3 3 9 2 3 2" xfId="22404"/>
    <cellStyle name="40% - Accent3 3 9 2 4" xfId="22405"/>
    <cellStyle name="40% - Accent3 3 9 2 5" xfId="22406"/>
    <cellStyle name="40% - Accent3 3 9 3" xfId="22407"/>
    <cellStyle name="40% - Accent3 3 9 3 2" xfId="22408"/>
    <cellStyle name="40% - Accent3 3 9 3 2 2" xfId="22409"/>
    <cellStyle name="40% - Accent3 3 9 3 3" xfId="22410"/>
    <cellStyle name="40% - Accent3 3 9 3 4" xfId="22411"/>
    <cellStyle name="40% - Accent3 3 9 4" xfId="22412"/>
    <cellStyle name="40% - Accent3 3 9 4 2" xfId="22413"/>
    <cellStyle name="40% - Accent3 3 9 4 2 2" xfId="22414"/>
    <cellStyle name="40% - Accent3 3 9 4 3" xfId="22415"/>
    <cellStyle name="40% - Accent3 3 9 4 4" xfId="22416"/>
    <cellStyle name="40% - Accent3 3 9 5" xfId="22417"/>
    <cellStyle name="40% - Accent3 3 9 5 2" xfId="22418"/>
    <cellStyle name="40% - Accent3 3 9 6" xfId="22419"/>
    <cellStyle name="40% - Accent3 3 9 7" xfId="22420"/>
    <cellStyle name="40% - Accent3 3 9 8" xfId="22421"/>
    <cellStyle name="40% - Accent3 3_4Q Ops Metrics Gas &amp; Electric 2010" xfId="22422"/>
    <cellStyle name="40% - Accent3 4" xfId="355"/>
    <cellStyle name="40% - Accent3 4 2" xfId="22423"/>
    <cellStyle name="40% - Accent3 4 2 2" xfId="22424"/>
    <cellStyle name="40% - Accent3 4 2_Income Statement Query October" xfId="22425"/>
    <cellStyle name="40% - Accent3 4_4Q Ops Metrics Gas &amp; Electric 2010" xfId="22426"/>
    <cellStyle name="40% - Accent3 5" xfId="22427"/>
    <cellStyle name="40% - Accent3 5 2" xfId="22428"/>
    <cellStyle name="40% - Accent3 5 2 2" xfId="22429"/>
    <cellStyle name="40% - Accent3 5 2_Income Statement Query October" xfId="22430"/>
    <cellStyle name="40% - Accent3 5_4Q Ops Metrics Gas &amp; Electric 2010" xfId="22431"/>
    <cellStyle name="40% - Accent3 6" xfId="22432"/>
    <cellStyle name="40% - Accent3 6 2" xfId="22433"/>
    <cellStyle name="40% - Accent3 7" xfId="22434"/>
    <cellStyle name="40% - Accent3 7 2" xfId="22435"/>
    <cellStyle name="40% - Accent3 8" xfId="22436"/>
    <cellStyle name="40% - Accent3 8 2" xfId="22437"/>
    <cellStyle name="40% - Accent3 9" xfId="22438"/>
    <cellStyle name="40% - Accent3 9 2" xfId="22439"/>
    <cellStyle name="40% - Accent4 10" xfId="22440"/>
    <cellStyle name="40% - Accent4 10 2" xfId="22441"/>
    <cellStyle name="40% - Accent4 11" xfId="22442"/>
    <cellStyle name="40% - Accent4 11 2" xfId="22443"/>
    <cellStyle name="40% - Accent4 12" xfId="22444"/>
    <cellStyle name="40% - Accent4 13" xfId="22445"/>
    <cellStyle name="40% - Accent4 14" xfId="22446"/>
    <cellStyle name="40% - Accent4 15" xfId="22447"/>
    <cellStyle name="40% - Accent4 15 2" xfId="22448"/>
    <cellStyle name="40% - Accent4 16" xfId="22449"/>
    <cellStyle name="40% - Accent4 17" xfId="22450"/>
    <cellStyle name="40% - Accent4 18" xfId="22451"/>
    <cellStyle name="40% - Accent4 18 2" xfId="22452"/>
    <cellStyle name="40% - Accent4 18 2 2" xfId="22453"/>
    <cellStyle name="40% - Accent4 18 2 2 2" xfId="22454"/>
    <cellStyle name="40% - Accent4 18 2 2 3" xfId="22455"/>
    <cellStyle name="40% - Accent4 18 2 3" xfId="22456"/>
    <cellStyle name="40% - Accent4 18 2 3 2" xfId="22457"/>
    <cellStyle name="40% - Accent4 18 2 4" xfId="22458"/>
    <cellStyle name="40% - Accent4 18 2 5" xfId="22459"/>
    <cellStyle name="40% - Accent4 18 3" xfId="22460"/>
    <cellStyle name="40% - Accent4 18 3 2" xfId="22461"/>
    <cellStyle name="40% - Accent4 18 3 2 2" xfId="22462"/>
    <cellStyle name="40% - Accent4 18 3 3" xfId="22463"/>
    <cellStyle name="40% - Accent4 18 3 4" xfId="22464"/>
    <cellStyle name="40% - Accent4 18 4" xfId="22465"/>
    <cellStyle name="40% - Accent4 18 4 2" xfId="22466"/>
    <cellStyle name="40% - Accent4 18 4 2 2" xfId="22467"/>
    <cellStyle name="40% - Accent4 18 4 3" xfId="22468"/>
    <cellStyle name="40% - Accent4 18 4 4" xfId="22469"/>
    <cellStyle name="40% - Accent4 18 5" xfId="22470"/>
    <cellStyle name="40% - Accent4 18 5 2" xfId="22471"/>
    <cellStyle name="40% - Accent4 18 6" xfId="22472"/>
    <cellStyle name="40% - Accent4 18 7" xfId="22473"/>
    <cellStyle name="40% - Accent4 18 8" xfId="22474"/>
    <cellStyle name="40% - Accent4 19" xfId="22475"/>
    <cellStyle name="40% - Accent4 19 2" xfId="22476"/>
    <cellStyle name="40% - Accent4 19 2 2" xfId="22477"/>
    <cellStyle name="40% - Accent4 19 2 2 2" xfId="22478"/>
    <cellStyle name="40% - Accent4 19 2 2 3" xfId="22479"/>
    <cellStyle name="40% - Accent4 19 2 3" xfId="22480"/>
    <cellStyle name="40% - Accent4 19 2 3 2" xfId="22481"/>
    <cellStyle name="40% - Accent4 19 2 4" xfId="22482"/>
    <cellStyle name="40% - Accent4 19 2 5" xfId="22483"/>
    <cellStyle name="40% - Accent4 19 3" xfId="22484"/>
    <cellStyle name="40% - Accent4 19 3 2" xfId="22485"/>
    <cellStyle name="40% - Accent4 19 3 2 2" xfId="22486"/>
    <cellStyle name="40% - Accent4 19 3 3" xfId="22487"/>
    <cellStyle name="40% - Accent4 19 3 4" xfId="22488"/>
    <cellStyle name="40% - Accent4 19 4" xfId="22489"/>
    <cellStyle name="40% - Accent4 19 4 2" xfId="22490"/>
    <cellStyle name="40% - Accent4 19 4 2 2" xfId="22491"/>
    <cellStyle name="40% - Accent4 19 4 3" xfId="22492"/>
    <cellStyle name="40% - Accent4 19 4 4" xfId="22493"/>
    <cellStyle name="40% - Accent4 19 5" xfId="22494"/>
    <cellStyle name="40% - Accent4 19 5 2" xfId="22495"/>
    <cellStyle name="40% - Accent4 19 6" xfId="22496"/>
    <cellStyle name="40% - Accent4 19 7" xfId="22497"/>
    <cellStyle name="40% - Accent4 19 8" xfId="22498"/>
    <cellStyle name="40% - Accent4 2" xfId="51"/>
    <cellStyle name="40% - Accent4 2 10" xfId="22499"/>
    <cellStyle name="40% - Accent4 2 10 2" xfId="22500"/>
    <cellStyle name="40% - Accent4 2 10 2 2" xfId="22501"/>
    <cellStyle name="40% - Accent4 2 11" xfId="22502"/>
    <cellStyle name="40% - Accent4 2 12" xfId="22503"/>
    <cellStyle name="40% - Accent4 2 13" xfId="22504"/>
    <cellStyle name="40% - Accent4 2 14" xfId="22505"/>
    <cellStyle name="40% - Accent4 2 14 2" xfId="22506"/>
    <cellStyle name="40% - Accent4 2 14 2 2" xfId="22507"/>
    <cellStyle name="40% - Accent4 2 14 2 2 2" xfId="22508"/>
    <cellStyle name="40% - Accent4 2 14 2 2 3" xfId="22509"/>
    <cellStyle name="40% - Accent4 2 14 2 3" xfId="22510"/>
    <cellStyle name="40% - Accent4 2 14 2 3 2" xfId="22511"/>
    <cellStyle name="40% - Accent4 2 14 2 4" xfId="22512"/>
    <cellStyle name="40% - Accent4 2 14 2 5" xfId="22513"/>
    <cellStyle name="40% - Accent4 2 14 3" xfId="22514"/>
    <cellStyle name="40% - Accent4 2 14 3 2" xfId="22515"/>
    <cellStyle name="40% - Accent4 2 14 3 2 2" xfId="22516"/>
    <cellStyle name="40% - Accent4 2 14 3 3" xfId="22517"/>
    <cellStyle name="40% - Accent4 2 14 3 4" xfId="22518"/>
    <cellStyle name="40% - Accent4 2 14 4" xfId="22519"/>
    <cellStyle name="40% - Accent4 2 14 4 2" xfId="22520"/>
    <cellStyle name="40% - Accent4 2 14 4 2 2" xfId="22521"/>
    <cellStyle name="40% - Accent4 2 14 4 3" xfId="22522"/>
    <cellStyle name="40% - Accent4 2 14 4 4" xfId="22523"/>
    <cellStyle name="40% - Accent4 2 14 5" xfId="22524"/>
    <cellStyle name="40% - Accent4 2 14 5 2" xfId="22525"/>
    <cellStyle name="40% - Accent4 2 14 6" xfId="22526"/>
    <cellStyle name="40% - Accent4 2 14 7" xfId="22527"/>
    <cellStyle name="40% - Accent4 2 14 8" xfId="22528"/>
    <cellStyle name="40% - Accent4 2 15" xfId="22529"/>
    <cellStyle name="40% - Accent4 2 15 2" xfId="22530"/>
    <cellStyle name="40% - Accent4 2 15 2 2" xfId="22531"/>
    <cellStyle name="40% - Accent4 2 15 2 2 2" xfId="22532"/>
    <cellStyle name="40% - Accent4 2 15 2 2 3" xfId="22533"/>
    <cellStyle name="40% - Accent4 2 15 2 3" xfId="22534"/>
    <cellStyle name="40% - Accent4 2 15 2 3 2" xfId="22535"/>
    <cellStyle name="40% - Accent4 2 15 2 4" xfId="22536"/>
    <cellStyle name="40% - Accent4 2 15 2 5" xfId="22537"/>
    <cellStyle name="40% - Accent4 2 15 3" xfId="22538"/>
    <cellStyle name="40% - Accent4 2 15 3 2" xfId="22539"/>
    <cellStyle name="40% - Accent4 2 15 3 2 2" xfId="22540"/>
    <cellStyle name="40% - Accent4 2 15 3 3" xfId="22541"/>
    <cellStyle name="40% - Accent4 2 15 3 4" xfId="22542"/>
    <cellStyle name="40% - Accent4 2 15 4" xfId="22543"/>
    <cellStyle name="40% - Accent4 2 15 4 2" xfId="22544"/>
    <cellStyle name="40% - Accent4 2 15 4 2 2" xfId="22545"/>
    <cellStyle name="40% - Accent4 2 15 4 3" xfId="22546"/>
    <cellStyle name="40% - Accent4 2 15 4 4" xfId="22547"/>
    <cellStyle name="40% - Accent4 2 15 5" xfId="22548"/>
    <cellStyle name="40% - Accent4 2 15 5 2" xfId="22549"/>
    <cellStyle name="40% - Accent4 2 15 6" xfId="22550"/>
    <cellStyle name="40% - Accent4 2 15 7" xfId="22551"/>
    <cellStyle name="40% - Accent4 2 15 8" xfId="22552"/>
    <cellStyle name="40% - Accent4 2 16" xfId="22553"/>
    <cellStyle name="40% - Accent4 2 16 2" xfId="22554"/>
    <cellStyle name="40% - Accent4 2 16 2 2" xfId="22555"/>
    <cellStyle name="40% - Accent4 2 16 2 2 2" xfId="22556"/>
    <cellStyle name="40% - Accent4 2 16 2 2 3" xfId="22557"/>
    <cellStyle name="40% - Accent4 2 16 2 3" xfId="22558"/>
    <cellStyle name="40% - Accent4 2 16 2 3 2" xfId="22559"/>
    <cellStyle name="40% - Accent4 2 16 2 4" xfId="22560"/>
    <cellStyle name="40% - Accent4 2 16 2 5" xfId="22561"/>
    <cellStyle name="40% - Accent4 2 16 3" xfId="22562"/>
    <cellStyle name="40% - Accent4 2 16 3 2" xfId="22563"/>
    <cellStyle name="40% - Accent4 2 16 3 2 2" xfId="22564"/>
    <cellStyle name="40% - Accent4 2 16 3 3" xfId="22565"/>
    <cellStyle name="40% - Accent4 2 16 3 4" xfId="22566"/>
    <cellStyle name="40% - Accent4 2 16 4" xfId="22567"/>
    <cellStyle name="40% - Accent4 2 16 4 2" xfId="22568"/>
    <cellStyle name="40% - Accent4 2 16 4 2 2" xfId="22569"/>
    <cellStyle name="40% - Accent4 2 16 4 3" xfId="22570"/>
    <cellStyle name="40% - Accent4 2 16 4 4" xfId="22571"/>
    <cellStyle name="40% - Accent4 2 16 5" xfId="22572"/>
    <cellStyle name="40% - Accent4 2 16 5 2" xfId="22573"/>
    <cellStyle name="40% - Accent4 2 16 6" xfId="22574"/>
    <cellStyle name="40% - Accent4 2 16 7" xfId="22575"/>
    <cellStyle name="40% - Accent4 2 16 8" xfId="22576"/>
    <cellStyle name="40% - Accent4 2 17" xfId="22577"/>
    <cellStyle name="40% - Accent4 2 17 2" xfId="22578"/>
    <cellStyle name="40% - Accent4 2 17 2 2" xfId="22579"/>
    <cellStyle name="40% - Accent4 2 17 2 3" xfId="22580"/>
    <cellStyle name="40% - Accent4 2 17 3" xfId="22581"/>
    <cellStyle name="40% - Accent4 2 17 3 2" xfId="22582"/>
    <cellStyle name="40% - Accent4 2 17 4" xfId="22583"/>
    <cellStyle name="40% - Accent4 2 17 5" xfId="22584"/>
    <cellStyle name="40% - Accent4 2 18" xfId="22585"/>
    <cellStyle name="40% - Accent4 2 18 2" xfId="22586"/>
    <cellStyle name="40% - Accent4 2 18 2 2" xfId="22587"/>
    <cellStyle name="40% - Accent4 2 18 2 3" xfId="22588"/>
    <cellStyle name="40% - Accent4 2 18 3" xfId="22589"/>
    <cellStyle name="40% - Accent4 2 18 3 2" xfId="22590"/>
    <cellStyle name="40% - Accent4 2 18 4" xfId="22591"/>
    <cellStyle name="40% - Accent4 2 18 5" xfId="22592"/>
    <cellStyle name="40% - Accent4 2 19" xfId="22593"/>
    <cellStyle name="40% - Accent4 2 19 2" xfId="22594"/>
    <cellStyle name="40% - Accent4 2 19 2 2" xfId="22595"/>
    <cellStyle name="40% - Accent4 2 19 3" xfId="22596"/>
    <cellStyle name="40% - Accent4 2 19 4" xfId="22597"/>
    <cellStyle name="40% - Accent4 2 2" xfId="356"/>
    <cellStyle name="40% - Accent4 2 2 10" xfId="22598"/>
    <cellStyle name="40% - Accent4 2 2 11" xfId="22599"/>
    <cellStyle name="40% - Accent4 2 2 12" xfId="22600"/>
    <cellStyle name="40% - Accent4 2 2 12 2" xfId="22601"/>
    <cellStyle name="40% - Accent4 2 2 12 2 2" xfId="22602"/>
    <cellStyle name="40% - Accent4 2 2 12 2 2 2" xfId="22603"/>
    <cellStyle name="40% - Accent4 2 2 12 2 2 3" xfId="22604"/>
    <cellStyle name="40% - Accent4 2 2 12 2 3" xfId="22605"/>
    <cellStyle name="40% - Accent4 2 2 12 2 3 2" xfId="22606"/>
    <cellStyle name="40% - Accent4 2 2 12 2 4" xfId="22607"/>
    <cellStyle name="40% - Accent4 2 2 12 2 5" xfId="22608"/>
    <cellStyle name="40% - Accent4 2 2 12 3" xfId="22609"/>
    <cellStyle name="40% - Accent4 2 2 12 3 2" xfId="22610"/>
    <cellStyle name="40% - Accent4 2 2 12 3 2 2" xfId="22611"/>
    <cellStyle name="40% - Accent4 2 2 12 3 3" xfId="22612"/>
    <cellStyle name="40% - Accent4 2 2 12 3 4" xfId="22613"/>
    <cellStyle name="40% - Accent4 2 2 12 4" xfId="22614"/>
    <cellStyle name="40% - Accent4 2 2 12 4 2" xfId="22615"/>
    <cellStyle name="40% - Accent4 2 2 12 4 2 2" xfId="22616"/>
    <cellStyle name="40% - Accent4 2 2 12 4 3" xfId="22617"/>
    <cellStyle name="40% - Accent4 2 2 12 4 4" xfId="22618"/>
    <cellStyle name="40% - Accent4 2 2 12 5" xfId="22619"/>
    <cellStyle name="40% - Accent4 2 2 12 5 2" xfId="22620"/>
    <cellStyle name="40% - Accent4 2 2 12 6" xfId="22621"/>
    <cellStyle name="40% - Accent4 2 2 12 7" xfId="22622"/>
    <cellStyle name="40% - Accent4 2 2 12 8" xfId="22623"/>
    <cellStyle name="40% - Accent4 2 2 13" xfId="22624"/>
    <cellStyle name="40% - Accent4 2 2 13 2" xfId="22625"/>
    <cellStyle name="40% - Accent4 2 2 13 2 2" xfId="22626"/>
    <cellStyle name="40% - Accent4 2 2 13 2 2 2" xfId="22627"/>
    <cellStyle name="40% - Accent4 2 2 13 2 2 3" xfId="22628"/>
    <cellStyle name="40% - Accent4 2 2 13 2 3" xfId="22629"/>
    <cellStyle name="40% - Accent4 2 2 13 2 3 2" xfId="22630"/>
    <cellStyle name="40% - Accent4 2 2 13 2 4" xfId="22631"/>
    <cellStyle name="40% - Accent4 2 2 13 2 5" xfId="22632"/>
    <cellStyle name="40% - Accent4 2 2 13 3" xfId="22633"/>
    <cellStyle name="40% - Accent4 2 2 13 3 2" xfId="22634"/>
    <cellStyle name="40% - Accent4 2 2 13 3 2 2" xfId="22635"/>
    <cellStyle name="40% - Accent4 2 2 13 3 3" xfId="22636"/>
    <cellStyle name="40% - Accent4 2 2 13 3 4" xfId="22637"/>
    <cellStyle name="40% - Accent4 2 2 13 4" xfId="22638"/>
    <cellStyle name="40% - Accent4 2 2 13 4 2" xfId="22639"/>
    <cellStyle name="40% - Accent4 2 2 13 4 2 2" xfId="22640"/>
    <cellStyle name="40% - Accent4 2 2 13 4 3" xfId="22641"/>
    <cellStyle name="40% - Accent4 2 2 13 4 4" xfId="22642"/>
    <cellStyle name="40% - Accent4 2 2 13 5" xfId="22643"/>
    <cellStyle name="40% - Accent4 2 2 13 5 2" xfId="22644"/>
    <cellStyle name="40% - Accent4 2 2 13 6" xfId="22645"/>
    <cellStyle name="40% - Accent4 2 2 13 7" xfId="22646"/>
    <cellStyle name="40% - Accent4 2 2 13 8" xfId="22647"/>
    <cellStyle name="40% - Accent4 2 2 14" xfId="22648"/>
    <cellStyle name="40% - Accent4 2 2 14 2" xfId="22649"/>
    <cellStyle name="40% - Accent4 2 2 14 2 2" xfId="22650"/>
    <cellStyle name="40% - Accent4 2 2 14 2 2 2" xfId="22651"/>
    <cellStyle name="40% - Accent4 2 2 14 2 2 3" xfId="22652"/>
    <cellStyle name="40% - Accent4 2 2 14 2 3" xfId="22653"/>
    <cellStyle name="40% - Accent4 2 2 14 2 3 2" xfId="22654"/>
    <cellStyle name="40% - Accent4 2 2 14 2 4" xfId="22655"/>
    <cellStyle name="40% - Accent4 2 2 14 2 5" xfId="22656"/>
    <cellStyle name="40% - Accent4 2 2 14 3" xfId="22657"/>
    <cellStyle name="40% - Accent4 2 2 14 3 2" xfId="22658"/>
    <cellStyle name="40% - Accent4 2 2 14 3 2 2" xfId="22659"/>
    <cellStyle name="40% - Accent4 2 2 14 3 3" xfId="22660"/>
    <cellStyle name="40% - Accent4 2 2 14 3 4" xfId="22661"/>
    <cellStyle name="40% - Accent4 2 2 14 4" xfId="22662"/>
    <cellStyle name="40% - Accent4 2 2 14 4 2" xfId="22663"/>
    <cellStyle name="40% - Accent4 2 2 14 4 2 2" xfId="22664"/>
    <cellStyle name="40% - Accent4 2 2 14 4 3" xfId="22665"/>
    <cellStyle name="40% - Accent4 2 2 14 4 4" xfId="22666"/>
    <cellStyle name="40% - Accent4 2 2 14 5" xfId="22667"/>
    <cellStyle name="40% - Accent4 2 2 14 5 2" xfId="22668"/>
    <cellStyle name="40% - Accent4 2 2 14 6" xfId="22669"/>
    <cellStyle name="40% - Accent4 2 2 14 7" xfId="22670"/>
    <cellStyle name="40% - Accent4 2 2 14 8" xfId="22671"/>
    <cellStyle name="40% - Accent4 2 2 2" xfId="22672"/>
    <cellStyle name="40% - Accent4 2 2 2 10" xfId="22673"/>
    <cellStyle name="40% - Accent4 2 2 2 11" xfId="22674"/>
    <cellStyle name="40% - Accent4 2 2 2 2" xfId="22675"/>
    <cellStyle name="40% - Accent4 2 2 2 3" xfId="22676"/>
    <cellStyle name="40% - Accent4 2 2 2 4" xfId="22677"/>
    <cellStyle name="40% - Accent4 2 2 2 5" xfId="22678"/>
    <cellStyle name="40% - Accent4 2 2 2 6" xfId="22679"/>
    <cellStyle name="40% - Accent4 2 2 2 7" xfId="22680"/>
    <cellStyle name="40% - Accent4 2 2 2 8" xfId="22681"/>
    <cellStyle name="40% - Accent4 2 2 2 9" xfId="22682"/>
    <cellStyle name="40% - Accent4 2 2 2_4Q Ops Metrics Gas &amp; Electric 2010" xfId="22683"/>
    <cellStyle name="40% - Accent4 2 2 3" xfId="22684"/>
    <cellStyle name="40% - Accent4 2 2 4" xfId="22685"/>
    <cellStyle name="40% - Accent4 2 2 5" xfId="22686"/>
    <cellStyle name="40% - Accent4 2 2 6" xfId="22687"/>
    <cellStyle name="40% - Accent4 2 2 7" xfId="22688"/>
    <cellStyle name="40% - Accent4 2 2 8" xfId="22689"/>
    <cellStyle name="40% - Accent4 2 2 9" xfId="22690"/>
    <cellStyle name="40% - Accent4 2 2_4Q Ops Metrics Gas &amp; Electric 2010" xfId="22691"/>
    <cellStyle name="40% - Accent4 2 20" xfId="22692"/>
    <cellStyle name="40% - Accent4 2 20 2" xfId="22693"/>
    <cellStyle name="40% - Accent4 2 20 2 2" xfId="22694"/>
    <cellStyle name="40% - Accent4 2 20 3" xfId="22695"/>
    <cellStyle name="40% - Accent4 2 20 4" xfId="22696"/>
    <cellStyle name="40% - Accent4 2 21" xfId="22697"/>
    <cellStyle name="40% - Accent4 2 21 2" xfId="22698"/>
    <cellStyle name="40% - Accent4 2 22" xfId="22699"/>
    <cellStyle name="40% - Accent4 2 23" xfId="22700"/>
    <cellStyle name="40% - Accent4 2 24" xfId="22701"/>
    <cellStyle name="40% - Accent4 2 25" xfId="22702"/>
    <cellStyle name="40% - Accent4 2 26" xfId="22703"/>
    <cellStyle name="40% - Accent4 2 27" xfId="22704"/>
    <cellStyle name="40% - Accent4 2 28" xfId="22705"/>
    <cellStyle name="40% - Accent4 2 29" xfId="22706"/>
    <cellStyle name="40% - Accent4 2 3" xfId="357"/>
    <cellStyle name="40% - Accent4 2 3 2" xfId="358"/>
    <cellStyle name="40% - Accent4 2 3 2 2" xfId="359"/>
    <cellStyle name="40% - Accent4 2 3 2 2 2" xfId="360"/>
    <cellStyle name="40% - Accent4 2 3 2 3" xfId="361"/>
    <cellStyle name="40% - Accent4 2 3 3" xfId="362"/>
    <cellStyle name="40% - Accent4 2 3 3 2" xfId="363"/>
    <cellStyle name="40% - Accent4 2 3 4" xfId="364"/>
    <cellStyle name="40% - Accent4 2 3 4 2" xfId="22707"/>
    <cellStyle name="40% - Accent4 2 3 5" xfId="22708"/>
    <cellStyle name="40% - Accent4 2 3 5 2" xfId="22709"/>
    <cellStyle name="40% - Accent4 2 3 6" xfId="22710"/>
    <cellStyle name="40% - Accent4 2 3 6 2" xfId="22711"/>
    <cellStyle name="40% - Accent4 2 3 7" xfId="22712"/>
    <cellStyle name="40% - Accent4 2 3 7 2" xfId="22713"/>
    <cellStyle name="40% - Accent4 2 3 8" xfId="22714"/>
    <cellStyle name="40% - Accent4 2 3 8 2" xfId="22715"/>
    <cellStyle name="40% - Accent4 2 3 9" xfId="22716"/>
    <cellStyle name="40% - Accent4 2 3 9 2" xfId="22717"/>
    <cellStyle name="40% - Accent4 2 3_Dakota Panel" xfId="22718"/>
    <cellStyle name="40% - Accent4 2 30" xfId="22719"/>
    <cellStyle name="40% - Accent4 2 31" xfId="22720"/>
    <cellStyle name="40% - Accent4 2 32" xfId="22721"/>
    <cellStyle name="40% - Accent4 2 33" xfId="22722"/>
    <cellStyle name="40% - Accent4 2 34" xfId="22723"/>
    <cellStyle name="40% - Accent4 2 35" xfId="22724"/>
    <cellStyle name="40% - Accent4 2 36" xfId="22725"/>
    <cellStyle name="40% - Accent4 2 37" xfId="22726"/>
    <cellStyle name="40% - Accent4 2 38" xfId="22727"/>
    <cellStyle name="40% - Accent4 2 39" xfId="22728"/>
    <cellStyle name="40% - Accent4 2 4" xfId="365"/>
    <cellStyle name="40% - Accent4 2 4 2" xfId="366"/>
    <cellStyle name="40% - Accent4 2 4 2 2" xfId="367"/>
    <cellStyle name="40% - Accent4 2 4 3" xfId="368"/>
    <cellStyle name="40% - Accent4 2 40" xfId="22729"/>
    <cellStyle name="40% - Accent4 2 41" xfId="22730"/>
    <cellStyle name="40% - Accent4 2 42" xfId="22731"/>
    <cellStyle name="40% - Accent4 2 5" xfId="369"/>
    <cellStyle name="40% - Accent4 2 5 2" xfId="370"/>
    <cellStyle name="40% - Accent4 2 5 2 2" xfId="22732"/>
    <cellStyle name="40% - Accent4 2 6" xfId="371"/>
    <cellStyle name="40% - Accent4 2 6 2" xfId="22733"/>
    <cellStyle name="40% - Accent4 2 6 2 2" xfId="22734"/>
    <cellStyle name="40% - Accent4 2 7" xfId="22735"/>
    <cellStyle name="40% - Accent4 2 7 2" xfId="22736"/>
    <cellStyle name="40% - Accent4 2 7 2 2" xfId="22737"/>
    <cellStyle name="40% - Accent4 2 8" xfId="22738"/>
    <cellStyle name="40% - Accent4 2 8 2" xfId="22739"/>
    <cellStyle name="40% - Accent4 2 8 2 2" xfId="22740"/>
    <cellStyle name="40% - Accent4 2 9" xfId="22741"/>
    <cellStyle name="40% - Accent4 2 9 2" xfId="22742"/>
    <cellStyle name="40% - Accent4 2 9 2 2" xfId="22743"/>
    <cellStyle name="40% - Accent4 2_1-10 BHU IS" xfId="22744"/>
    <cellStyle name="40% - Accent4 20" xfId="22745"/>
    <cellStyle name="40% - Accent4 20 2" xfId="22746"/>
    <cellStyle name="40% - Accent4 20 2 2" xfId="22747"/>
    <cellStyle name="40% - Accent4 20 2 3" xfId="22748"/>
    <cellStyle name="40% - Accent4 20 3" xfId="22749"/>
    <cellStyle name="40% - Accent4 20 3 2" xfId="22750"/>
    <cellStyle name="40% - Accent4 20 4" xfId="22751"/>
    <cellStyle name="40% - Accent4 20 5" xfId="22752"/>
    <cellStyle name="40% - Accent4 21" xfId="22753"/>
    <cellStyle name="40% - Accent4 21 2" xfId="22754"/>
    <cellStyle name="40% - Accent4 21 2 2" xfId="22755"/>
    <cellStyle name="40% - Accent4 21 3" xfId="22756"/>
    <cellStyle name="40% - Accent4 21 4" xfId="22757"/>
    <cellStyle name="40% - Accent4 22" xfId="22758"/>
    <cellStyle name="40% - Accent4 22 2" xfId="22759"/>
    <cellStyle name="40% - Accent4 22 2 2" xfId="22760"/>
    <cellStyle name="40% - Accent4 22 3" xfId="22761"/>
    <cellStyle name="40% - Accent4 22 4" xfId="22762"/>
    <cellStyle name="40% - Accent4 23" xfId="22763"/>
    <cellStyle name="40% - Accent4 23 2" xfId="22764"/>
    <cellStyle name="40% - Accent4 24" xfId="22765"/>
    <cellStyle name="40% - Accent4 25" xfId="22766"/>
    <cellStyle name="40% - Accent4 26" xfId="22767"/>
    <cellStyle name="40% - Accent4 3" xfId="372"/>
    <cellStyle name="40% - Accent4 3 10" xfId="22768"/>
    <cellStyle name="40% - Accent4 3 10 2" xfId="22769"/>
    <cellStyle name="40% - Accent4 3 10 2 2" xfId="22770"/>
    <cellStyle name="40% - Accent4 3 10 2 2 2" xfId="22771"/>
    <cellStyle name="40% - Accent4 3 10 2 2 3" xfId="22772"/>
    <cellStyle name="40% - Accent4 3 10 2 3" xfId="22773"/>
    <cellStyle name="40% - Accent4 3 10 2 3 2" xfId="22774"/>
    <cellStyle name="40% - Accent4 3 10 2 4" xfId="22775"/>
    <cellStyle name="40% - Accent4 3 10 2 5" xfId="22776"/>
    <cellStyle name="40% - Accent4 3 10 3" xfId="22777"/>
    <cellStyle name="40% - Accent4 3 10 3 2" xfId="22778"/>
    <cellStyle name="40% - Accent4 3 10 3 2 2" xfId="22779"/>
    <cellStyle name="40% - Accent4 3 10 3 3" xfId="22780"/>
    <cellStyle name="40% - Accent4 3 10 3 4" xfId="22781"/>
    <cellStyle name="40% - Accent4 3 10 4" xfId="22782"/>
    <cellStyle name="40% - Accent4 3 10 4 2" xfId="22783"/>
    <cellStyle name="40% - Accent4 3 10 4 2 2" xfId="22784"/>
    <cellStyle name="40% - Accent4 3 10 4 3" xfId="22785"/>
    <cellStyle name="40% - Accent4 3 10 4 4" xfId="22786"/>
    <cellStyle name="40% - Accent4 3 10 5" xfId="22787"/>
    <cellStyle name="40% - Accent4 3 10 5 2" xfId="22788"/>
    <cellStyle name="40% - Accent4 3 10 6" xfId="22789"/>
    <cellStyle name="40% - Accent4 3 10 7" xfId="22790"/>
    <cellStyle name="40% - Accent4 3 10 8" xfId="22791"/>
    <cellStyle name="40% - Accent4 3 11" xfId="22792"/>
    <cellStyle name="40% - Accent4 3 11 2" xfId="22793"/>
    <cellStyle name="40% - Accent4 3 11 2 2" xfId="22794"/>
    <cellStyle name="40% - Accent4 3 11 2 2 2" xfId="22795"/>
    <cellStyle name="40% - Accent4 3 11 2 2 3" xfId="22796"/>
    <cellStyle name="40% - Accent4 3 11 2 3" xfId="22797"/>
    <cellStyle name="40% - Accent4 3 11 2 3 2" xfId="22798"/>
    <cellStyle name="40% - Accent4 3 11 2 4" xfId="22799"/>
    <cellStyle name="40% - Accent4 3 11 2 5" xfId="22800"/>
    <cellStyle name="40% - Accent4 3 11 3" xfId="22801"/>
    <cellStyle name="40% - Accent4 3 11 3 2" xfId="22802"/>
    <cellStyle name="40% - Accent4 3 11 3 2 2" xfId="22803"/>
    <cellStyle name="40% - Accent4 3 11 3 3" xfId="22804"/>
    <cellStyle name="40% - Accent4 3 11 3 4" xfId="22805"/>
    <cellStyle name="40% - Accent4 3 11 4" xfId="22806"/>
    <cellStyle name="40% - Accent4 3 11 4 2" xfId="22807"/>
    <cellStyle name="40% - Accent4 3 11 4 2 2" xfId="22808"/>
    <cellStyle name="40% - Accent4 3 11 4 3" xfId="22809"/>
    <cellStyle name="40% - Accent4 3 11 4 4" xfId="22810"/>
    <cellStyle name="40% - Accent4 3 11 5" xfId="22811"/>
    <cellStyle name="40% - Accent4 3 11 5 2" xfId="22812"/>
    <cellStyle name="40% - Accent4 3 11 6" xfId="22813"/>
    <cellStyle name="40% - Accent4 3 11 7" xfId="22814"/>
    <cellStyle name="40% - Accent4 3 11 8" xfId="22815"/>
    <cellStyle name="40% - Accent4 3 2" xfId="373"/>
    <cellStyle name="40% - Accent4 3 2 2" xfId="22816"/>
    <cellStyle name="40% - Accent4 3 2 2 2" xfId="22817"/>
    <cellStyle name="40% - Accent4 3 2 3" xfId="22818"/>
    <cellStyle name="40% - Accent4 3 2_Income Statement Query October" xfId="22819"/>
    <cellStyle name="40% - Accent4 3 3" xfId="22820"/>
    <cellStyle name="40% - Accent4 3 3 2" xfId="22821"/>
    <cellStyle name="40% - Accent4 3 4" xfId="22822"/>
    <cellStyle name="40% - Accent4 3 4 2" xfId="22823"/>
    <cellStyle name="40% - Accent4 3 4 2 2" xfId="22824"/>
    <cellStyle name="40% - Accent4 3 4 2 2 2" xfId="22825"/>
    <cellStyle name="40% - Accent4 3 4 2 2 3" xfId="22826"/>
    <cellStyle name="40% - Accent4 3 4 2 3" xfId="22827"/>
    <cellStyle name="40% - Accent4 3 4 2 3 2" xfId="22828"/>
    <cellStyle name="40% - Accent4 3 4 2 4" xfId="22829"/>
    <cellStyle name="40% - Accent4 3 4 2 5" xfId="22830"/>
    <cellStyle name="40% - Accent4 3 4 3" xfId="22831"/>
    <cellStyle name="40% - Accent4 3 4 3 2" xfId="22832"/>
    <cellStyle name="40% - Accent4 3 4 3 2 2" xfId="22833"/>
    <cellStyle name="40% - Accent4 3 4 3 3" xfId="22834"/>
    <cellStyle name="40% - Accent4 3 4 3 4" xfId="22835"/>
    <cellStyle name="40% - Accent4 3 4 4" xfId="22836"/>
    <cellStyle name="40% - Accent4 3 4 4 2" xfId="22837"/>
    <cellStyle name="40% - Accent4 3 4 4 2 2" xfId="22838"/>
    <cellStyle name="40% - Accent4 3 4 4 3" xfId="22839"/>
    <cellStyle name="40% - Accent4 3 4 4 4" xfId="22840"/>
    <cellStyle name="40% - Accent4 3 4 5" xfId="22841"/>
    <cellStyle name="40% - Accent4 3 4 5 2" xfId="22842"/>
    <cellStyle name="40% - Accent4 3 4 6" xfId="22843"/>
    <cellStyle name="40% - Accent4 3 4 7" xfId="22844"/>
    <cellStyle name="40% - Accent4 3 4 8" xfId="22845"/>
    <cellStyle name="40% - Accent4 3 5" xfId="22846"/>
    <cellStyle name="40% - Accent4 3 5 2" xfId="22847"/>
    <cellStyle name="40% - Accent4 3 5 2 2" xfId="22848"/>
    <cellStyle name="40% - Accent4 3 5 2 2 2" xfId="22849"/>
    <cellStyle name="40% - Accent4 3 5 2 2 3" xfId="22850"/>
    <cellStyle name="40% - Accent4 3 5 2 3" xfId="22851"/>
    <cellStyle name="40% - Accent4 3 5 2 3 2" xfId="22852"/>
    <cellStyle name="40% - Accent4 3 5 2 4" xfId="22853"/>
    <cellStyle name="40% - Accent4 3 5 2 5" xfId="22854"/>
    <cellStyle name="40% - Accent4 3 5 3" xfId="22855"/>
    <cellStyle name="40% - Accent4 3 5 3 2" xfId="22856"/>
    <cellStyle name="40% - Accent4 3 5 3 2 2" xfId="22857"/>
    <cellStyle name="40% - Accent4 3 5 3 3" xfId="22858"/>
    <cellStyle name="40% - Accent4 3 5 3 4" xfId="22859"/>
    <cellStyle name="40% - Accent4 3 5 4" xfId="22860"/>
    <cellStyle name="40% - Accent4 3 5 4 2" xfId="22861"/>
    <cellStyle name="40% - Accent4 3 5 4 2 2" xfId="22862"/>
    <cellStyle name="40% - Accent4 3 5 4 3" xfId="22863"/>
    <cellStyle name="40% - Accent4 3 5 4 4" xfId="22864"/>
    <cellStyle name="40% - Accent4 3 5 5" xfId="22865"/>
    <cellStyle name="40% - Accent4 3 5 5 2" xfId="22866"/>
    <cellStyle name="40% - Accent4 3 5 6" xfId="22867"/>
    <cellStyle name="40% - Accent4 3 5 7" xfId="22868"/>
    <cellStyle name="40% - Accent4 3 5 8" xfId="22869"/>
    <cellStyle name="40% - Accent4 3 6" xfId="22870"/>
    <cellStyle name="40% - Accent4 3 6 2" xfId="22871"/>
    <cellStyle name="40% - Accent4 3 6 2 2" xfId="22872"/>
    <cellStyle name="40% - Accent4 3 6 2 2 2" xfId="22873"/>
    <cellStyle name="40% - Accent4 3 6 2 2 3" xfId="22874"/>
    <cellStyle name="40% - Accent4 3 6 2 3" xfId="22875"/>
    <cellStyle name="40% - Accent4 3 6 2 3 2" xfId="22876"/>
    <cellStyle name="40% - Accent4 3 6 2 4" xfId="22877"/>
    <cellStyle name="40% - Accent4 3 6 2 5" xfId="22878"/>
    <cellStyle name="40% - Accent4 3 6 3" xfId="22879"/>
    <cellStyle name="40% - Accent4 3 6 3 2" xfId="22880"/>
    <cellStyle name="40% - Accent4 3 6 3 2 2" xfId="22881"/>
    <cellStyle name="40% - Accent4 3 6 3 3" xfId="22882"/>
    <cellStyle name="40% - Accent4 3 6 3 4" xfId="22883"/>
    <cellStyle name="40% - Accent4 3 6 4" xfId="22884"/>
    <cellStyle name="40% - Accent4 3 6 4 2" xfId="22885"/>
    <cellStyle name="40% - Accent4 3 6 4 2 2" xfId="22886"/>
    <cellStyle name="40% - Accent4 3 6 4 3" xfId="22887"/>
    <cellStyle name="40% - Accent4 3 6 4 4" xfId="22888"/>
    <cellStyle name="40% - Accent4 3 6 5" xfId="22889"/>
    <cellStyle name="40% - Accent4 3 6 5 2" xfId="22890"/>
    <cellStyle name="40% - Accent4 3 6 6" xfId="22891"/>
    <cellStyle name="40% - Accent4 3 6 7" xfId="22892"/>
    <cellStyle name="40% - Accent4 3 6 8" xfId="22893"/>
    <cellStyle name="40% - Accent4 3 7" xfId="22894"/>
    <cellStyle name="40% - Accent4 3 7 2" xfId="22895"/>
    <cellStyle name="40% - Accent4 3 7 2 2" xfId="22896"/>
    <cellStyle name="40% - Accent4 3 7 2 2 2" xfId="22897"/>
    <cellStyle name="40% - Accent4 3 7 2 2 3" xfId="22898"/>
    <cellStyle name="40% - Accent4 3 7 2 3" xfId="22899"/>
    <cellStyle name="40% - Accent4 3 7 2 3 2" xfId="22900"/>
    <cellStyle name="40% - Accent4 3 7 2 4" xfId="22901"/>
    <cellStyle name="40% - Accent4 3 7 2 5" xfId="22902"/>
    <cellStyle name="40% - Accent4 3 7 3" xfId="22903"/>
    <cellStyle name="40% - Accent4 3 7 3 2" xfId="22904"/>
    <cellStyle name="40% - Accent4 3 7 3 2 2" xfId="22905"/>
    <cellStyle name="40% - Accent4 3 7 3 3" xfId="22906"/>
    <cellStyle name="40% - Accent4 3 7 3 4" xfId="22907"/>
    <cellStyle name="40% - Accent4 3 7 4" xfId="22908"/>
    <cellStyle name="40% - Accent4 3 7 4 2" xfId="22909"/>
    <cellStyle name="40% - Accent4 3 7 4 2 2" xfId="22910"/>
    <cellStyle name="40% - Accent4 3 7 4 3" xfId="22911"/>
    <cellStyle name="40% - Accent4 3 7 4 4" xfId="22912"/>
    <cellStyle name="40% - Accent4 3 7 5" xfId="22913"/>
    <cellStyle name="40% - Accent4 3 7 5 2" xfId="22914"/>
    <cellStyle name="40% - Accent4 3 7 6" xfId="22915"/>
    <cellStyle name="40% - Accent4 3 7 7" xfId="22916"/>
    <cellStyle name="40% - Accent4 3 7 8" xfId="22917"/>
    <cellStyle name="40% - Accent4 3 8" xfId="22918"/>
    <cellStyle name="40% - Accent4 3 8 2" xfId="22919"/>
    <cellStyle name="40% - Accent4 3 8 2 2" xfId="22920"/>
    <cellStyle name="40% - Accent4 3 8 2 2 2" xfId="22921"/>
    <cellStyle name="40% - Accent4 3 8 2 2 3" xfId="22922"/>
    <cellStyle name="40% - Accent4 3 8 2 3" xfId="22923"/>
    <cellStyle name="40% - Accent4 3 8 2 3 2" xfId="22924"/>
    <cellStyle name="40% - Accent4 3 8 2 4" xfId="22925"/>
    <cellStyle name="40% - Accent4 3 8 2 5" xfId="22926"/>
    <cellStyle name="40% - Accent4 3 8 3" xfId="22927"/>
    <cellStyle name="40% - Accent4 3 8 3 2" xfId="22928"/>
    <cellStyle name="40% - Accent4 3 8 3 2 2" xfId="22929"/>
    <cellStyle name="40% - Accent4 3 8 3 3" xfId="22930"/>
    <cellStyle name="40% - Accent4 3 8 3 4" xfId="22931"/>
    <cellStyle name="40% - Accent4 3 8 4" xfId="22932"/>
    <cellStyle name="40% - Accent4 3 8 4 2" xfId="22933"/>
    <cellStyle name="40% - Accent4 3 8 4 2 2" xfId="22934"/>
    <cellStyle name="40% - Accent4 3 8 4 3" xfId="22935"/>
    <cellStyle name="40% - Accent4 3 8 4 4" xfId="22936"/>
    <cellStyle name="40% - Accent4 3 8 5" xfId="22937"/>
    <cellStyle name="40% - Accent4 3 8 5 2" xfId="22938"/>
    <cellStyle name="40% - Accent4 3 8 6" xfId="22939"/>
    <cellStyle name="40% - Accent4 3 8 7" xfId="22940"/>
    <cellStyle name="40% - Accent4 3 8 8" xfId="22941"/>
    <cellStyle name="40% - Accent4 3 9" xfId="22942"/>
    <cellStyle name="40% - Accent4 3 9 2" xfId="22943"/>
    <cellStyle name="40% - Accent4 3 9 2 2" xfId="22944"/>
    <cellStyle name="40% - Accent4 3 9 2 2 2" xfId="22945"/>
    <cellStyle name="40% - Accent4 3 9 2 2 3" xfId="22946"/>
    <cellStyle name="40% - Accent4 3 9 2 3" xfId="22947"/>
    <cellStyle name="40% - Accent4 3 9 2 3 2" xfId="22948"/>
    <cellStyle name="40% - Accent4 3 9 2 4" xfId="22949"/>
    <cellStyle name="40% - Accent4 3 9 2 5" xfId="22950"/>
    <cellStyle name="40% - Accent4 3 9 3" xfId="22951"/>
    <cellStyle name="40% - Accent4 3 9 3 2" xfId="22952"/>
    <cellStyle name="40% - Accent4 3 9 3 2 2" xfId="22953"/>
    <cellStyle name="40% - Accent4 3 9 3 3" xfId="22954"/>
    <cellStyle name="40% - Accent4 3 9 3 4" xfId="22955"/>
    <cellStyle name="40% - Accent4 3 9 4" xfId="22956"/>
    <cellStyle name="40% - Accent4 3 9 4 2" xfId="22957"/>
    <cellStyle name="40% - Accent4 3 9 4 2 2" xfId="22958"/>
    <cellStyle name="40% - Accent4 3 9 4 3" xfId="22959"/>
    <cellStyle name="40% - Accent4 3 9 4 4" xfId="22960"/>
    <cellStyle name="40% - Accent4 3 9 5" xfId="22961"/>
    <cellStyle name="40% - Accent4 3 9 5 2" xfId="22962"/>
    <cellStyle name="40% - Accent4 3 9 6" xfId="22963"/>
    <cellStyle name="40% - Accent4 3 9 7" xfId="22964"/>
    <cellStyle name="40% - Accent4 3 9 8" xfId="22965"/>
    <cellStyle name="40% - Accent4 3_4Q Ops Metrics Gas &amp; Electric 2010" xfId="22966"/>
    <cellStyle name="40% - Accent4 4" xfId="374"/>
    <cellStyle name="40% - Accent4 4 2" xfId="22967"/>
    <cellStyle name="40% - Accent4 4 2 2" xfId="22968"/>
    <cellStyle name="40% - Accent4 4 2_Income Statement Query October" xfId="22969"/>
    <cellStyle name="40% - Accent4 4_4Q Ops Metrics Gas &amp; Electric 2010" xfId="22970"/>
    <cellStyle name="40% - Accent4 5" xfId="22971"/>
    <cellStyle name="40% - Accent4 5 2" xfId="22972"/>
    <cellStyle name="40% - Accent4 5 2 2" xfId="22973"/>
    <cellStyle name="40% - Accent4 5 2_Income Statement Query October" xfId="22974"/>
    <cellStyle name="40% - Accent4 5_4Q Ops Metrics Gas &amp; Electric 2010" xfId="22975"/>
    <cellStyle name="40% - Accent4 6" xfId="22976"/>
    <cellStyle name="40% - Accent4 6 2" xfId="22977"/>
    <cellStyle name="40% - Accent4 7" xfId="22978"/>
    <cellStyle name="40% - Accent4 7 2" xfId="22979"/>
    <cellStyle name="40% - Accent4 8" xfId="22980"/>
    <cellStyle name="40% - Accent4 8 2" xfId="22981"/>
    <cellStyle name="40% - Accent4 9" xfId="22982"/>
    <cellStyle name="40% - Accent4 9 2" xfId="22983"/>
    <cellStyle name="40% - Accent5 10" xfId="22984"/>
    <cellStyle name="40% - Accent5 10 2" xfId="22985"/>
    <cellStyle name="40% - Accent5 11" xfId="22986"/>
    <cellStyle name="40% - Accent5 11 2" xfId="22987"/>
    <cellStyle name="40% - Accent5 12" xfId="22988"/>
    <cellStyle name="40% - Accent5 13" xfId="22989"/>
    <cellStyle name="40% - Accent5 14" xfId="22990"/>
    <cellStyle name="40% - Accent5 15" xfId="22991"/>
    <cellStyle name="40% - Accent5 15 2" xfId="22992"/>
    <cellStyle name="40% - Accent5 16" xfId="22993"/>
    <cellStyle name="40% - Accent5 17" xfId="22994"/>
    <cellStyle name="40% - Accent5 18" xfId="22995"/>
    <cellStyle name="40% - Accent5 18 2" xfId="22996"/>
    <cellStyle name="40% - Accent5 18 2 2" xfId="22997"/>
    <cellStyle name="40% - Accent5 18 2 2 2" xfId="22998"/>
    <cellStyle name="40% - Accent5 18 2 2 3" xfId="22999"/>
    <cellStyle name="40% - Accent5 18 2 3" xfId="23000"/>
    <cellStyle name="40% - Accent5 18 2 3 2" xfId="23001"/>
    <cellStyle name="40% - Accent5 18 2 4" xfId="23002"/>
    <cellStyle name="40% - Accent5 18 2 5" xfId="23003"/>
    <cellStyle name="40% - Accent5 18 3" xfId="23004"/>
    <cellStyle name="40% - Accent5 18 3 2" xfId="23005"/>
    <cellStyle name="40% - Accent5 18 3 2 2" xfId="23006"/>
    <cellStyle name="40% - Accent5 18 3 3" xfId="23007"/>
    <cellStyle name="40% - Accent5 18 3 4" xfId="23008"/>
    <cellStyle name="40% - Accent5 18 4" xfId="23009"/>
    <cellStyle name="40% - Accent5 18 4 2" xfId="23010"/>
    <cellStyle name="40% - Accent5 18 4 2 2" xfId="23011"/>
    <cellStyle name="40% - Accent5 18 4 3" xfId="23012"/>
    <cellStyle name="40% - Accent5 18 4 4" xfId="23013"/>
    <cellStyle name="40% - Accent5 18 5" xfId="23014"/>
    <cellStyle name="40% - Accent5 18 5 2" xfId="23015"/>
    <cellStyle name="40% - Accent5 18 6" xfId="23016"/>
    <cellStyle name="40% - Accent5 18 7" xfId="23017"/>
    <cellStyle name="40% - Accent5 18 8" xfId="23018"/>
    <cellStyle name="40% - Accent5 19" xfId="23019"/>
    <cellStyle name="40% - Accent5 19 2" xfId="23020"/>
    <cellStyle name="40% - Accent5 19 2 2" xfId="23021"/>
    <cellStyle name="40% - Accent5 19 2 2 2" xfId="23022"/>
    <cellStyle name="40% - Accent5 19 2 2 3" xfId="23023"/>
    <cellStyle name="40% - Accent5 19 2 3" xfId="23024"/>
    <cellStyle name="40% - Accent5 19 2 3 2" xfId="23025"/>
    <cellStyle name="40% - Accent5 19 2 4" xfId="23026"/>
    <cellStyle name="40% - Accent5 19 2 5" xfId="23027"/>
    <cellStyle name="40% - Accent5 19 3" xfId="23028"/>
    <cellStyle name="40% - Accent5 19 3 2" xfId="23029"/>
    <cellStyle name="40% - Accent5 19 3 2 2" xfId="23030"/>
    <cellStyle name="40% - Accent5 19 3 3" xfId="23031"/>
    <cellStyle name="40% - Accent5 19 3 4" xfId="23032"/>
    <cellStyle name="40% - Accent5 19 4" xfId="23033"/>
    <cellStyle name="40% - Accent5 19 4 2" xfId="23034"/>
    <cellStyle name="40% - Accent5 19 4 2 2" xfId="23035"/>
    <cellStyle name="40% - Accent5 19 4 3" xfId="23036"/>
    <cellStyle name="40% - Accent5 19 4 4" xfId="23037"/>
    <cellStyle name="40% - Accent5 19 5" xfId="23038"/>
    <cellStyle name="40% - Accent5 19 5 2" xfId="23039"/>
    <cellStyle name="40% - Accent5 19 6" xfId="23040"/>
    <cellStyle name="40% - Accent5 19 7" xfId="23041"/>
    <cellStyle name="40% - Accent5 19 8" xfId="23042"/>
    <cellStyle name="40% - Accent5 2" xfId="52"/>
    <cellStyle name="40% - Accent5 2 10" xfId="23043"/>
    <cellStyle name="40% - Accent5 2 10 2" xfId="23044"/>
    <cellStyle name="40% - Accent5 2 10 2 2" xfId="23045"/>
    <cellStyle name="40% - Accent5 2 11" xfId="23046"/>
    <cellStyle name="40% - Accent5 2 12" xfId="23047"/>
    <cellStyle name="40% - Accent5 2 13" xfId="23048"/>
    <cellStyle name="40% - Accent5 2 14" xfId="23049"/>
    <cellStyle name="40% - Accent5 2 14 2" xfId="23050"/>
    <cellStyle name="40% - Accent5 2 14 2 2" xfId="23051"/>
    <cellStyle name="40% - Accent5 2 14 2 2 2" xfId="23052"/>
    <cellStyle name="40% - Accent5 2 14 2 2 3" xfId="23053"/>
    <cellStyle name="40% - Accent5 2 14 2 3" xfId="23054"/>
    <cellStyle name="40% - Accent5 2 14 2 3 2" xfId="23055"/>
    <cellStyle name="40% - Accent5 2 14 2 4" xfId="23056"/>
    <cellStyle name="40% - Accent5 2 14 2 5" xfId="23057"/>
    <cellStyle name="40% - Accent5 2 14 3" xfId="23058"/>
    <cellStyle name="40% - Accent5 2 14 3 2" xfId="23059"/>
    <cellStyle name="40% - Accent5 2 14 3 2 2" xfId="23060"/>
    <cellStyle name="40% - Accent5 2 14 3 3" xfId="23061"/>
    <cellStyle name="40% - Accent5 2 14 3 4" xfId="23062"/>
    <cellStyle name="40% - Accent5 2 14 4" xfId="23063"/>
    <cellStyle name="40% - Accent5 2 14 4 2" xfId="23064"/>
    <cellStyle name="40% - Accent5 2 14 4 2 2" xfId="23065"/>
    <cellStyle name="40% - Accent5 2 14 4 3" xfId="23066"/>
    <cellStyle name="40% - Accent5 2 14 4 4" xfId="23067"/>
    <cellStyle name="40% - Accent5 2 14 5" xfId="23068"/>
    <cellStyle name="40% - Accent5 2 14 5 2" xfId="23069"/>
    <cellStyle name="40% - Accent5 2 14 6" xfId="23070"/>
    <cellStyle name="40% - Accent5 2 14 7" xfId="23071"/>
    <cellStyle name="40% - Accent5 2 14 8" xfId="23072"/>
    <cellStyle name="40% - Accent5 2 15" xfId="23073"/>
    <cellStyle name="40% - Accent5 2 15 2" xfId="23074"/>
    <cellStyle name="40% - Accent5 2 15 2 2" xfId="23075"/>
    <cellStyle name="40% - Accent5 2 15 2 2 2" xfId="23076"/>
    <cellStyle name="40% - Accent5 2 15 2 2 3" xfId="23077"/>
    <cellStyle name="40% - Accent5 2 15 2 3" xfId="23078"/>
    <cellStyle name="40% - Accent5 2 15 2 3 2" xfId="23079"/>
    <cellStyle name="40% - Accent5 2 15 2 4" xfId="23080"/>
    <cellStyle name="40% - Accent5 2 15 2 5" xfId="23081"/>
    <cellStyle name="40% - Accent5 2 15 3" xfId="23082"/>
    <cellStyle name="40% - Accent5 2 15 3 2" xfId="23083"/>
    <cellStyle name="40% - Accent5 2 15 3 2 2" xfId="23084"/>
    <cellStyle name="40% - Accent5 2 15 3 3" xfId="23085"/>
    <cellStyle name="40% - Accent5 2 15 3 4" xfId="23086"/>
    <cellStyle name="40% - Accent5 2 15 4" xfId="23087"/>
    <cellStyle name="40% - Accent5 2 15 4 2" xfId="23088"/>
    <cellStyle name="40% - Accent5 2 15 4 2 2" xfId="23089"/>
    <cellStyle name="40% - Accent5 2 15 4 3" xfId="23090"/>
    <cellStyle name="40% - Accent5 2 15 4 4" xfId="23091"/>
    <cellStyle name="40% - Accent5 2 15 5" xfId="23092"/>
    <cellStyle name="40% - Accent5 2 15 5 2" xfId="23093"/>
    <cellStyle name="40% - Accent5 2 15 6" xfId="23094"/>
    <cellStyle name="40% - Accent5 2 15 7" xfId="23095"/>
    <cellStyle name="40% - Accent5 2 15 8" xfId="23096"/>
    <cellStyle name="40% - Accent5 2 16" xfId="23097"/>
    <cellStyle name="40% - Accent5 2 16 2" xfId="23098"/>
    <cellStyle name="40% - Accent5 2 16 2 2" xfId="23099"/>
    <cellStyle name="40% - Accent5 2 16 2 2 2" xfId="23100"/>
    <cellStyle name="40% - Accent5 2 16 2 2 3" xfId="23101"/>
    <cellStyle name="40% - Accent5 2 16 2 3" xfId="23102"/>
    <cellStyle name="40% - Accent5 2 16 2 3 2" xfId="23103"/>
    <cellStyle name="40% - Accent5 2 16 2 4" xfId="23104"/>
    <cellStyle name="40% - Accent5 2 16 2 5" xfId="23105"/>
    <cellStyle name="40% - Accent5 2 16 3" xfId="23106"/>
    <cellStyle name="40% - Accent5 2 16 3 2" xfId="23107"/>
    <cellStyle name="40% - Accent5 2 16 3 2 2" xfId="23108"/>
    <cellStyle name="40% - Accent5 2 16 3 3" xfId="23109"/>
    <cellStyle name="40% - Accent5 2 16 3 4" xfId="23110"/>
    <cellStyle name="40% - Accent5 2 16 4" xfId="23111"/>
    <cellStyle name="40% - Accent5 2 16 4 2" xfId="23112"/>
    <cellStyle name="40% - Accent5 2 16 4 2 2" xfId="23113"/>
    <cellStyle name="40% - Accent5 2 16 4 3" xfId="23114"/>
    <cellStyle name="40% - Accent5 2 16 4 4" xfId="23115"/>
    <cellStyle name="40% - Accent5 2 16 5" xfId="23116"/>
    <cellStyle name="40% - Accent5 2 16 5 2" xfId="23117"/>
    <cellStyle name="40% - Accent5 2 16 6" xfId="23118"/>
    <cellStyle name="40% - Accent5 2 16 7" xfId="23119"/>
    <cellStyle name="40% - Accent5 2 16 8" xfId="23120"/>
    <cellStyle name="40% - Accent5 2 17" xfId="23121"/>
    <cellStyle name="40% - Accent5 2 17 2" xfId="23122"/>
    <cellStyle name="40% - Accent5 2 17 2 2" xfId="23123"/>
    <cellStyle name="40% - Accent5 2 17 2 3" xfId="23124"/>
    <cellStyle name="40% - Accent5 2 17 3" xfId="23125"/>
    <cellStyle name="40% - Accent5 2 17 3 2" xfId="23126"/>
    <cellStyle name="40% - Accent5 2 17 4" xfId="23127"/>
    <cellStyle name="40% - Accent5 2 17 5" xfId="23128"/>
    <cellStyle name="40% - Accent5 2 18" xfId="23129"/>
    <cellStyle name="40% - Accent5 2 18 2" xfId="23130"/>
    <cellStyle name="40% - Accent5 2 18 2 2" xfId="23131"/>
    <cellStyle name="40% - Accent5 2 18 2 3" xfId="23132"/>
    <cellStyle name="40% - Accent5 2 18 3" xfId="23133"/>
    <cellStyle name="40% - Accent5 2 18 3 2" xfId="23134"/>
    <cellStyle name="40% - Accent5 2 18 4" xfId="23135"/>
    <cellStyle name="40% - Accent5 2 18 5" xfId="23136"/>
    <cellStyle name="40% - Accent5 2 19" xfId="23137"/>
    <cellStyle name="40% - Accent5 2 19 2" xfId="23138"/>
    <cellStyle name="40% - Accent5 2 19 2 2" xfId="23139"/>
    <cellStyle name="40% - Accent5 2 19 3" xfId="23140"/>
    <cellStyle name="40% - Accent5 2 19 4" xfId="23141"/>
    <cellStyle name="40% - Accent5 2 2" xfId="375"/>
    <cellStyle name="40% - Accent5 2 2 10" xfId="23142"/>
    <cellStyle name="40% - Accent5 2 2 11" xfId="23143"/>
    <cellStyle name="40% - Accent5 2 2 12" xfId="23144"/>
    <cellStyle name="40% - Accent5 2 2 12 2" xfId="23145"/>
    <cellStyle name="40% - Accent5 2 2 12 2 2" xfId="23146"/>
    <cellStyle name="40% - Accent5 2 2 12 2 2 2" xfId="23147"/>
    <cellStyle name="40% - Accent5 2 2 12 2 2 3" xfId="23148"/>
    <cellStyle name="40% - Accent5 2 2 12 2 3" xfId="23149"/>
    <cellStyle name="40% - Accent5 2 2 12 2 3 2" xfId="23150"/>
    <cellStyle name="40% - Accent5 2 2 12 2 4" xfId="23151"/>
    <cellStyle name="40% - Accent5 2 2 12 2 5" xfId="23152"/>
    <cellStyle name="40% - Accent5 2 2 12 3" xfId="23153"/>
    <cellStyle name="40% - Accent5 2 2 12 3 2" xfId="23154"/>
    <cellStyle name="40% - Accent5 2 2 12 3 2 2" xfId="23155"/>
    <cellStyle name="40% - Accent5 2 2 12 3 3" xfId="23156"/>
    <cellStyle name="40% - Accent5 2 2 12 3 4" xfId="23157"/>
    <cellStyle name="40% - Accent5 2 2 12 4" xfId="23158"/>
    <cellStyle name="40% - Accent5 2 2 12 4 2" xfId="23159"/>
    <cellStyle name="40% - Accent5 2 2 12 4 2 2" xfId="23160"/>
    <cellStyle name="40% - Accent5 2 2 12 4 3" xfId="23161"/>
    <cellStyle name="40% - Accent5 2 2 12 4 4" xfId="23162"/>
    <cellStyle name="40% - Accent5 2 2 12 5" xfId="23163"/>
    <cellStyle name="40% - Accent5 2 2 12 5 2" xfId="23164"/>
    <cellStyle name="40% - Accent5 2 2 12 6" xfId="23165"/>
    <cellStyle name="40% - Accent5 2 2 12 7" xfId="23166"/>
    <cellStyle name="40% - Accent5 2 2 12 8" xfId="23167"/>
    <cellStyle name="40% - Accent5 2 2 13" xfId="23168"/>
    <cellStyle name="40% - Accent5 2 2 13 2" xfId="23169"/>
    <cellStyle name="40% - Accent5 2 2 13 2 2" xfId="23170"/>
    <cellStyle name="40% - Accent5 2 2 13 2 2 2" xfId="23171"/>
    <cellStyle name="40% - Accent5 2 2 13 2 2 3" xfId="23172"/>
    <cellStyle name="40% - Accent5 2 2 13 2 3" xfId="23173"/>
    <cellStyle name="40% - Accent5 2 2 13 2 3 2" xfId="23174"/>
    <cellStyle name="40% - Accent5 2 2 13 2 4" xfId="23175"/>
    <cellStyle name="40% - Accent5 2 2 13 2 5" xfId="23176"/>
    <cellStyle name="40% - Accent5 2 2 13 3" xfId="23177"/>
    <cellStyle name="40% - Accent5 2 2 13 3 2" xfId="23178"/>
    <cellStyle name="40% - Accent5 2 2 13 3 2 2" xfId="23179"/>
    <cellStyle name="40% - Accent5 2 2 13 3 3" xfId="23180"/>
    <cellStyle name="40% - Accent5 2 2 13 3 4" xfId="23181"/>
    <cellStyle name="40% - Accent5 2 2 13 4" xfId="23182"/>
    <cellStyle name="40% - Accent5 2 2 13 4 2" xfId="23183"/>
    <cellStyle name="40% - Accent5 2 2 13 4 2 2" xfId="23184"/>
    <cellStyle name="40% - Accent5 2 2 13 4 3" xfId="23185"/>
    <cellStyle name="40% - Accent5 2 2 13 4 4" xfId="23186"/>
    <cellStyle name="40% - Accent5 2 2 13 5" xfId="23187"/>
    <cellStyle name="40% - Accent5 2 2 13 5 2" xfId="23188"/>
    <cellStyle name="40% - Accent5 2 2 13 6" xfId="23189"/>
    <cellStyle name="40% - Accent5 2 2 13 7" xfId="23190"/>
    <cellStyle name="40% - Accent5 2 2 13 8" xfId="23191"/>
    <cellStyle name="40% - Accent5 2 2 14" xfId="23192"/>
    <cellStyle name="40% - Accent5 2 2 14 2" xfId="23193"/>
    <cellStyle name="40% - Accent5 2 2 14 2 2" xfId="23194"/>
    <cellStyle name="40% - Accent5 2 2 14 2 2 2" xfId="23195"/>
    <cellStyle name="40% - Accent5 2 2 14 2 2 3" xfId="23196"/>
    <cellStyle name="40% - Accent5 2 2 14 2 3" xfId="23197"/>
    <cellStyle name="40% - Accent5 2 2 14 2 3 2" xfId="23198"/>
    <cellStyle name="40% - Accent5 2 2 14 2 4" xfId="23199"/>
    <cellStyle name="40% - Accent5 2 2 14 2 5" xfId="23200"/>
    <cellStyle name="40% - Accent5 2 2 14 3" xfId="23201"/>
    <cellStyle name="40% - Accent5 2 2 14 3 2" xfId="23202"/>
    <cellStyle name="40% - Accent5 2 2 14 3 2 2" xfId="23203"/>
    <cellStyle name="40% - Accent5 2 2 14 3 3" xfId="23204"/>
    <cellStyle name="40% - Accent5 2 2 14 3 4" xfId="23205"/>
    <cellStyle name="40% - Accent5 2 2 14 4" xfId="23206"/>
    <cellStyle name="40% - Accent5 2 2 14 4 2" xfId="23207"/>
    <cellStyle name="40% - Accent5 2 2 14 4 2 2" xfId="23208"/>
    <cellStyle name="40% - Accent5 2 2 14 4 3" xfId="23209"/>
    <cellStyle name="40% - Accent5 2 2 14 4 4" xfId="23210"/>
    <cellStyle name="40% - Accent5 2 2 14 5" xfId="23211"/>
    <cellStyle name="40% - Accent5 2 2 14 5 2" xfId="23212"/>
    <cellStyle name="40% - Accent5 2 2 14 6" xfId="23213"/>
    <cellStyle name="40% - Accent5 2 2 14 7" xfId="23214"/>
    <cellStyle name="40% - Accent5 2 2 14 8" xfId="23215"/>
    <cellStyle name="40% - Accent5 2 2 2" xfId="23216"/>
    <cellStyle name="40% - Accent5 2 2 2 10" xfId="23217"/>
    <cellStyle name="40% - Accent5 2 2 2 11" xfId="23218"/>
    <cellStyle name="40% - Accent5 2 2 2 2" xfId="23219"/>
    <cellStyle name="40% - Accent5 2 2 2 3" xfId="23220"/>
    <cellStyle name="40% - Accent5 2 2 2 4" xfId="23221"/>
    <cellStyle name="40% - Accent5 2 2 2 5" xfId="23222"/>
    <cellStyle name="40% - Accent5 2 2 2 6" xfId="23223"/>
    <cellStyle name="40% - Accent5 2 2 2 7" xfId="23224"/>
    <cellStyle name="40% - Accent5 2 2 2 8" xfId="23225"/>
    <cellStyle name="40% - Accent5 2 2 2 9" xfId="23226"/>
    <cellStyle name="40% - Accent5 2 2 2_4Q Ops Metrics Gas &amp; Electric 2010" xfId="23227"/>
    <cellStyle name="40% - Accent5 2 2 3" xfId="23228"/>
    <cellStyle name="40% - Accent5 2 2 4" xfId="23229"/>
    <cellStyle name="40% - Accent5 2 2 5" xfId="23230"/>
    <cellStyle name="40% - Accent5 2 2 6" xfId="23231"/>
    <cellStyle name="40% - Accent5 2 2 7" xfId="23232"/>
    <cellStyle name="40% - Accent5 2 2 8" xfId="23233"/>
    <cellStyle name="40% - Accent5 2 2 9" xfId="23234"/>
    <cellStyle name="40% - Accent5 2 2_4Q Ops Metrics Gas &amp; Electric 2010" xfId="23235"/>
    <cellStyle name="40% - Accent5 2 20" xfId="23236"/>
    <cellStyle name="40% - Accent5 2 20 2" xfId="23237"/>
    <cellStyle name="40% - Accent5 2 20 2 2" xfId="23238"/>
    <cellStyle name="40% - Accent5 2 20 3" xfId="23239"/>
    <cellStyle name="40% - Accent5 2 20 4" xfId="23240"/>
    <cellStyle name="40% - Accent5 2 21" xfId="23241"/>
    <cellStyle name="40% - Accent5 2 21 2" xfId="23242"/>
    <cellStyle name="40% - Accent5 2 22" xfId="23243"/>
    <cellStyle name="40% - Accent5 2 23" xfId="23244"/>
    <cellStyle name="40% - Accent5 2 24" xfId="23245"/>
    <cellStyle name="40% - Accent5 2 25" xfId="23246"/>
    <cellStyle name="40% - Accent5 2 26" xfId="23247"/>
    <cellStyle name="40% - Accent5 2 27" xfId="23248"/>
    <cellStyle name="40% - Accent5 2 28" xfId="23249"/>
    <cellStyle name="40% - Accent5 2 29" xfId="23250"/>
    <cellStyle name="40% - Accent5 2 3" xfId="376"/>
    <cellStyle name="40% - Accent5 2 3 2" xfId="377"/>
    <cellStyle name="40% - Accent5 2 3 2 2" xfId="378"/>
    <cellStyle name="40% - Accent5 2 3 2 2 2" xfId="379"/>
    <cellStyle name="40% - Accent5 2 3 2 3" xfId="380"/>
    <cellStyle name="40% - Accent5 2 3 3" xfId="381"/>
    <cellStyle name="40% - Accent5 2 3 3 2" xfId="382"/>
    <cellStyle name="40% - Accent5 2 3 4" xfId="383"/>
    <cellStyle name="40% - Accent5 2 3 4 2" xfId="23251"/>
    <cellStyle name="40% - Accent5 2 3 5" xfId="23252"/>
    <cellStyle name="40% - Accent5 2 3 5 2" xfId="23253"/>
    <cellStyle name="40% - Accent5 2 3 6" xfId="23254"/>
    <cellStyle name="40% - Accent5 2 3 6 2" xfId="23255"/>
    <cellStyle name="40% - Accent5 2 3 7" xfId="23256"/>
    <cellStyle name="40% - Accent5 2 3 7 2" xfId="23257"/>
    <cellStyle name="40% - Accent5 2 3 8" xfId="23258"/>
    <cellStyle name="40% - Accent5 2 3 8 2" xfId="23259"/>
    <cellStyle name="40% - Accent5 2 3 9" xfId="23260"/>
    <cellStyle name="40% - Accent5 2 3 9 2" xfId="23261"/>
    <cellStyle name="40% - Accent5 2 3_Dakota Panel" xfId="23262"/>
    <cellStyle name="40% - Accent5 2 30" xfId="23263"/>
    <cellStyle name="40% - Accent5 2 31" xfId="23264"/>
    <cellStyle name="40% - Accent5 2 32" xfId="23265"/>
    <cellStyle name="40% - Accent5 2 33" xfId="23266"/>
    <cellStyle name="40% - Accent5 2 34" xfId="23267"/>
    <cellStyle name="40% - Accent5 2 35" xfId="23268"/>
    <cellStyle name="40% - Accent5 2 36" xfId="23269"/>
    <cellStyle name="40% - Accent5 2 37" xfId="23270"/>
    <cellStyle name="40% - Accent5 2 38" xfId="23271"/>
    <cellStyle name="40% - Accent5 2 39" xfId="23272"/>
    <cellStyle name="40% - Accent5 2 4" xfId="384"/>
    <cellStyle name="40% - Accent5 2 4 2" xfId="385"/>
    <cellStyle name="40% - Accent5 2 4 2 2" xfId="386"/>
    <cellStyle name="40% - Accent5 2 4 3" xfId="387"/>
    <cellStyle name="40% - Accent5 2 40" xfId="23273"/>
    <cellStyle name="40% - Accent5 2 41" xfId="23274"/>
    <cellStyle name="40% - Accent5 2 42" xfId="23275"/>
    <cellStyle name="40% - Accent5 2 5" xfId="388"/>
    <cellStyle name="40% - Accent5 2 5 2" xfId="389"/>
    <cellStyle name="40% - Accent5 2 5 2 2" xfId="23276"/>
    <cellStyle name="40% - Accent5 2 6" xfId="390"/>
    <cellStyle name="40% - Accent5 2 6 2" xfId="23277"/>
    <cellStyle name="40% - Accent5 2 6 2 2" xfId="23278"/>
    <cellStyle name="40% - Accent5 2 7" xfId="23279"/>
    <cellStyle name="40% - Accent5 2 7 2" xfId="23280"/>
    <cellStyle name="40% - Accent5 2 7 2 2" xfId="23281"/>
    <cellStyle name="40% - Accent5 2 8" xfId="23282"/>
    <cellStyle name="40% - Accent5 2 8 2" xfId="23283"/>
    <cellStyle name="40% - Accent5 2 8 2 2" xfId="23284"/>
    <cellStyle name="40% - Accent5 2 9" xfId="23285"/>
    <cellStyle name="40% - Accent5 2 9 2" xfId="23286"/>
    <cellStyle name="40% - Accent5 2 9 2 2" xfId="23287"/>
    <cellStyle name="40% - Accent5 2_1-10 BHU IS" xfId="23288"/>
    <cellStyle name="40% - Accent5 20" xfId="23289"/>
    <cellStyle name="40% - Accent5 20 2" xfId="23290"/>
    <cellStyle name="40% - Accent5 20 2 2" xfId="23291"/>
    <cellStyle name="40% - Accent5 20 2 3" xfId="23292"/>
    <cellStyle name="40% - Accent5 20 3" xfId="23293"/>
    <cellStyle name="40% - Accent5 20 3 2" xfId="23294"/>
    <cellStyle name="40% - Accent5 20 4" xfId="23295"/>
    <cellStyle name="40% - Accent5 20 5" xfId="23296"/>
    <cellStyle name="40% - Accent5 21" xfId="23297"/>
    <cellStyle name="40% - Accent5 21 2" xfId="23298"/>
    <cellStyle name="40% - Accent5 21 2 2" xfId="23299"/>
    <cellStyle name="40% - Accent5 21 3" xfId="23300"/>
    <cellStyle name="40% - Accent5 21 4" xfId="23301"/>
    <cellStyle name="40% - Accent5 22" xfId="23302"/>
    <cellStyle name="40% - Accent5 22 2" xfId="23303"/>
    <cellStyle name="40% - Accent5 22 2 2" xfId="23304"/>
    <cellStyle name="40% - Accent5 22 3" xfId="23305"/>
    <cellStyle name="40% - Accent5 22 4" xfId="23306"/>
    <cellStyle name="40% - Accent5 23" xfId="23307"/>
    <cellStyle name="40% - Accent5 23 2" xfId="23308"/>
    <cellStyle name="40% - Accent5 24" xfId="23309"/>
    <cellStyle name="40% - Accent5 25" xfId="23310"/>
    <cellStyle name="40% - Accent5 26" xfId="23311"/>
    <cellStyle name="40% - Accent5 3" xfId="391"/>
    <cellStyle name="40% - Accent5 3 10" xfId="23312"/>
    <cellStyle name="40% - Accent5 3 10 2" xfId="23313"/>
    <cellStyle name="40% - Accent5 3 10 2 2" xfId="23314"/>
    <cellStyle name="40% - Accent5 3 10 2 2 2" xfId="23315"/>
    <cellStyle name="40% - Accent5 3 10 2 2 3" xfId="23316"/>
    <cellStyle name="40% - Accent5 3 10 2 3" xfId="23317"/>
    <cellStyle name="40% - Accent5 3 10 2 3 2" xfId="23318"/>
    <cellStyle name="40% - Accent5 3 10 2 4" xfId="23319"/>
    <cellStyle name="40% - Accent5 3 10 2 5" xfId="23320"/>
    <cellStyle name="40% - Accent5 3 10 3" xfId="23321"/>
    <cellStyle name="40% - Accent5 3 10 3 2" xfId="23322"/>
    <cellStyle name="40% - Accent5 3 10 3 2 2" xfId="23323"/>
    <cellStyle name="40% - Accent5 3 10 3 3" xfId="23324"/>
    <cellStyle name="40% - Accent5 3 10 3 4" xfId="23325"/>
    <cellStyle name="40% - Accent5 3 10 4" xfId="23326"/>
    <cellStyle name="40% - Accent5 3 10 4 2" xfId="23327"/>
    <cellStyle name="40% - Accent5 3 10 4 2 2" xfId="23328"/>
    <cellStyle name="40% - Accent5 3 10 4 3" xfId="23329"/>
    <cellStyle name="40% - Accent5 3 10 4 4" xfId="23330"/>
    <cellStyle name="40% - Accent5 3 10 5" xfId="23331"/>
    <cellStyle name="40% - Accent5 3 10 5 2" xfId="23332"/>
    <cellStyle name="40% - Accent5 3 10 6" xfId="23333"/>
    <cellStyle name="40% - Accent5 3 10 7" xfId="23334"/>
    <cellStyle name="40% - Accent5 3 10 8" xfId="23335"/>
    <cellStyle name="40% - Accent5 3 11" xfId="23336"/>
    <cellStyle name="40% - Accent5 3 11 2" xfId="23337"/>
    <cellStyle name="40% - Accent5 3 11 2 2" xfId="23338"/>
    <cellStyle name="40% - Accent5 3 11 2 2 2" xfId="23339"/>
    <cellStyle name="40% - Accent5 3 11 2 2 3" xfId="23340"/>
    <cellStyle name="40% - Accent5 3 11 2 3" xfId="23341"/>
    <cellStyle name="40% - Accent5 3 11 2 3 2" xfId="23342"/>
    <cellStyle name="40% - Accent5 3 11 2 4" xfId="23343"/>
    <cellStyle name="40% - Accent5 3 11 2 5" xfId="23344"/>
    <cellStyle name="40% - Accent5 3 11 3" xfId="23345"/>
    <cellStyle name="40% - Accent5 3 11 3 2" xfId="23346"/>
    <cellStyle name="40% - Accent5 3 11 3 2 2" xfId="23347"/>
    <cellStyle name="40% - Accent5 3 11 3 3" xfId="23348"/>
    <cellStyle name="40% - Accent5 3 11 3 4" xfId="23349"/>
    <cellStyle name="40% - Accent5 3 11 4" xfId="23350"/>
    <cellStyle name="40% - Accent5 3 11 4 2" xfId="23351"/>
    <cellStyle name="40% - Accent5 3 11 4 2 2" xfId="23352"/>
    <cellStyle name="40% - Accent5 3 11 4 3" xfId="23353"/>
    <cellStyle name="40% - Accent5 3 11 4 4" xfId="23354"/>
    <cellStyle name="40% - Accent5 3 11 5" xfId="23355"/>
    <cellStyle name="40% - Accent5 3 11 5 2" xfId="23356"/>
    <cellStyle name="40% - Accent5 3 11 6" xfId="23357"/>
    <cellStyle name="40% - Accent5 3 11 7" xfId="23358"/>
    <cellStyle name="40% - Accent5 3 11 8" xfId="23359"/>
    <cellStyle name="40% - Accent5 3 2" xfId="392"/>
    <cellStyle name="40% - Accent5 3 2 2" xfId="23360"/>
    <cellStyle name="40% - Accent5 3 2 2 2" xfId="23361"/>
    <cellStyle name="40% - Accent5 3 2 3" xfId="23362"/>
    <cellStyle name="40% - Accent5 3 2_Income Statement Query October" xfId="23363"/>
    <cellStyle name="40% - Accent5 3 3" xfId="23364"/>
    <cellStyle name="40% - Accent5 3 3 2" xfId="23365"/>
    <cellStyle name="40% - Accent5 3 4" xfId="23366"/>
    <cellStyle name="40% - Accent5 3 4 2" xfId="23367"/>
    <cellStyle name="40% - Accent5 3 4 2 2" xfId="23368"/>
    <cellStyle name="40% - Accent5 3 4 2 2 2" xfId="23369"/>
    <cellStyle name="40% - Accent5 3 4 2 2 3" xfId="23370"/>
    <cellStyle name="40% - Accent5 3 4 2 3" xfId="23371"/>
    <cellStyle name="40% - Accent5 3 4 2 3 2" xfId="23372"/>
    <cellStyle name="40% - Accent5 3 4 2 4" xfId="23373"/>
    <cellStyle name="40% - Accent5 3 4 2 5" xfId="23374"/>
    <cellStyle name="40% - Accent5 3 4 3" xfId="23375"/>
    <cellStyle name="40% - Accent5 3 4 3 2" xfId="23376"/>
    <cellStyle name="40% - Accent5 3 4 3 2 2" xfId="23377"/>
    <cellStyle name="40% - Accent5 3 4 3 3" xfId="23378"/>
    <cellStyle name="40% - Accent5 3 4 3 4" xfId="23379"/>
    <cellStyle name="40% - Accent5 3 4 4" xfId="23380"/>
    <cellStyle name="40% - Accent5 3 4 4 2" xfId="23381"/>
    <cellStyle name="40% - Accent5 3 4 4 2 2" xfId="23382"/>
    <cellStyle name="40% - Accent5 3 4 4 3" xfId="23383"/>
    <cellStyle name="40% - Accent5 3 4 4 4" xfId="23384"/>
    <cellStyle name="40% - Accent5 3 4 5" xfId="23385"/>
    <cellStyle name="40% - Accent5 3 4 5 2" xfId="23386"/>
    <cellStyle name="40% - Accent5 3 4 6" xfId="23387"/>
    <cellStyle name="40% - Accent5 3 4 7" xfId="23388"/>
    <cellStyle name="40% - Accent5 3 4 8" xfId="23389"/>
    <cellStyle name="40% - Accent5 3 5" xfId="23390"/>
    <cellStyle name="40% - Accent5 3 5 2" xfId="23391"/>
    <cellStyle name="40% - Accent5 3 5 2 2" xfId="23392"/>
    <cellStyle name="40% - Accent5 3 5 2 2 2" xfId="23393"/>
    <cellStyle name="40% - Accent5 3 5 2 2 3" xfId="23394"/>
    <cellStyle name="40% - Accent5 3 5 2 3" xfId="23395"/>
    <cellStyle name="40% - Accent5 3 5 2 3 2" xfId="23396"/>
    <cellStyle name="40% - Accent5 3 5 2 4" xfId="23397"/>
    <cellStyle name="40% - Accent5 3 5 2 5" xfId="23398"/>
    <cellStyle name="40% - Accent5 3 5 3" xfId="23399"/>
    <cellStyle name="40% - Accent5 3 5 3 2" xfId="23400"/>
    <cellStyle name="40% - Accent5 3 5 3 2 2" xfId="23401"/>
    <cellStyle name="40% - Accent5 3 5 3 3" xfId="23402"/>
    <cellStyle name="40% - Accent5 3 5 3 4" xfId="23403"/>
    <cellStyle name="40% - Accent5 3 5 4" xfId="23404"/>
    <cellStyle name="40% - Accent5 3 5 4 2" xfId="23405"/>
    <cellStyle name="40% - Accent5 3 5 4 2 2" xfId="23406"/>
    <cellStyle name="40% - Accent5 3 5 4 3" xfId="23407"/>
    <cellStyle name="40% - Accent5 3 5 4 4" xfId="23408"/>
    <cellStyle name="40% - Accent5 3 5 5" xfId="23409"/>
    <cellStyle name="40% - Accent5 3 5 5 2" xfId="23410"/>
    <cellStyle name="40% - Accent5 3 5 6" xfId="23411"/>
    <cellStyle name="40% - Accent5 3 5 7" xfId="23412"/>
    <cellStyle name="40% - Accent5 3 5 8" xfId="23413"/>
    <cellStyle name="40% - Accent5 3 6" xfId="23414"/>
    <cellStyle name="40% - Accent5 3 6 2" xfId="23415"/>
    <cellStyle name="40% - Accent5 3 6 2 2" xfId="23416"/>
    <cellStyle name="40% - Accent5 3 6 2 2 2" xfId="23417"/>
    <cellStyle name="40% - Accent5 3 6 2 2 3" xfId="23418"/>
    <cellStyle name="40% - Accent5 3 6 2 3" xfId="23419"/>
    <cellStyle name="40% - Accent5 3 6 2 3 2" xfId="23420"/>
    <cellStyle name="40% - Accent5 3 6 2 4" xfId="23421"/>
    <cellStyle name="40% - Accent5 3 6 2 5" xfId="23422"/>
    <cellStyle name="40% - Accent5 3 6 3" xfId="23423"/>
    <cellStyle name="40% - Accent5 3 6 3 2" xfId="23424"/>
    <cellStyle name="40% - Accent5 3 6 3 2 2" xfId="23425"/>
    <cellStyle name="40% - Accent5 3 6 3 3" xfId="23426"/>
    <cellStyle name="40% - Accent5 3 6 3 4" xfId="23427"/>
    <cellStyle name="40% - Accent5 3 6 4" xfId="23428"/>
    <cellStyle name="40% - Accent5 3 6 4 2" xfId="23429"/>
    <cellStyle name="40% - Accent5 3 6 4 2 2" xfId="23430"/>
    <cellStyle name="40% - Accent5 3 6 4 3" xfId="23431"/>
    <cellStyle name="40% - Accent5 3 6 4 4" xfId="23432"/>
    <cellStyle name="40% - Accent5 3 6 5" xfId="23433"/>
    <cellStyle name="40% - Accent5 3 6 5 2" xfId="23434"/>
    <cellStyle name="40% - Accent5 3 6 6" xfId="23435"/>
    <cellStyle name="40% - Accent5 3 6 7" xfId="23436"/>
    <cellStyle name="40% - Accent5 3 6 8" xfId="23437"/>
    <cellStyle name="40% - Accent5 3 7" xfId="23438"/>
    <cellStyle name="40% - Accent5 3 7 2" xfId="23439"/>
    <cellStyle name="40% - Accent5 3 7 2 2" xfId="23440"/>
    <cellStyle name="40% - Accent5 3 7 2 2 2" xfId="23441"/>
    <cellStyle name="40% - Accent5 3 7 2 2 3" xfId="23442"/>
    <cellStyle name="40% - Accent5 3 7 2 3" xfId="23443"/>
    <cellStyle name="40% - Accent5 3 7 2 3 2" xfId="23444"/>
    <cellStyle name="40% - Accent5 3 7 2 4" xfId="23445"/>
    <cellStyle name="40% - Accent5 3 7 2 5" xfId="23446"/>
    <cellStyle name="40% - Accent5 3 7 3" xfId="23447"/>
    <cellStyle name="40% - Accent5 3 7 3 2" xfId="23448"/>
    <cellStyle name="40% - Accent5 3 7 3 2 2" xfId="23449"/>
    <cellStyle name="40% - Accent5 3 7 3 3" xfId="23450"/>
    <cellStyle name="40% - Accent5 3 7 3 4" xfId="23451"/>
    <cellStyle name="40% - Accent5 3 7 4" xfId="23452"/>
    <cellStyle name="40% - Accent5 3 7 4 2" xfId="23453"/>
    <cellStyle name="40% - Accent5 3 7 4 2 2" xfId="23454"/>
    <cellStyle name="40% - Accent5 3 7 4 3" xfId="23455"/>
    <cellStyle name="40% - Accent5 3 7 4 4" xfId="23456"/>
    <cellStyle name="40% - Accent5 3 7 5" xfId="23457"/>
    <cellStyle name="40% - Accent5 3 7 5 2" xfId="23458"/>
    <cellStyle name="40% - Accent5 3 7 6" xfId="23459"/>
    <cellStyle name="40% - Accent5 3 7 7" xfId="23460"/>
    <cellStyle name="40% - Accent5 3 7 8" xfId="23461"/>
    <cellStyle name="40% - Accent5 3 8" xfId="23462"/>
    <cellStyle name="40% - Accent5 3 8 2" xfId="23463"/>
    <cellStyle name="40% - Accent5 3 8 2 2" xfId="23464"/>
    <cellStyle name="40% - Accent5 3 8 2 2 2" xfId="23465"/>
    <cellStyle name="40% - Accent5 3 8 2 2 3" xfId="23466"/>
    <cellStyle name="40% - Accent5 3 8 2 3" xfId="23467"/>
    <cellStyle name="40% - Accent5 3 8 2 3 2" xfId="23468"/>
    <cellStyle name="40% - Accent5 3 8 2 4" xfId="23469"/>
    <cellStyle name="40% - Accent5 3 8 2 5" xfId="23470"/>
    <cellStyle name="40% - Accent5 3 8 3" xfId="23471"/>
    <cellStyle name="40% - Accent5 3 8 3 2" xfId="23472"/>
    <cellStyle name="40% - Accent5 3 8 3 2 2" xfId="23473"/>
    <cellStyle name="40% - Accent5 3 8 3 3" xfId="23474"/>
    <cellStyle name="40% - Accent5 3 8 3 4" xfId="23475"/>
    <cellStyle name="40% - Accent5 3 8 4" xfId="23476"/>
    <cellStyle name="40% - Accent5 3 8 4 2" xfId="23477"/>
    <cellStyle name="40% - Accent5 3 8 4 2 2" xfId="23478"/>
    <cellStyle name="40% - Accent5 3 8 4 3" xfId="23479"/>
    <cellStyle name="40% - Accent5 3 8 4 4" xfId="23480"/>
    <cellStyle name="40% - Accent5 3 8 5" xfId="23481"/>
    <cellStyle name="40% - Accent5 3 8 5 2" xfId="23482"/>
    <cellStyle name="40% - Accent5 3 8 6" xfId="23483"/>
    <cellStyle name="40% - Accent5 3 8 7" xfId="23484"/>
    <cellStyle name="40% - Accent5 3 8 8" xfId="23485"/>
    <cellStyle name="40% - Accent5 3 9" xfId="23486"/>
    <cellStyle name="40% - Accent5 3 9 2" xfId="23487"/>
    <cellStyle name="40% - Accent5 3 9 2 2" xfId="23488"/>
    <cellStyle name="40% - Accent5 3 9 2 2 2" xfId="23489"/>
    <cellStyle name="40% - Accent5 3 9 2 2 3" xfId="23490"/>
    <cellStyle name="40% - Accent5 3 9 2 3" xfId="23491"/>
    <cellStyle name="40% - Accent5 3 9 2 3 2" xfId="23492"/>
    <cellStyle name="40% - Accent5 3 9 2 4" xfId="23493"/>
    <cellStyle name="40% - Accent5 3 9 2 5" xfId="23494"/>
    <cellStyle name="40% - Accent5 3 9 3" xfId="23495"/>
    <cellStyle name="40% - Accent5 3 9 3 2" xfId="23496"/>
    <cellStyle name="40% - Accent5 3 9 3 2 2" xfId="23497"/>
    <cellStyle name="40% - Accent5 3 9 3 3" xfId="23498"/>
    <cellStyle name="40% - Accent5 3 9 3 4" xfId="23499"/>
    <cellStyle name="40% - Accent5 3 9 4" xfId="23500"/>
    <cellStyle name="40% - Accent5 3 9 4 2" xfId="23501"/>
    <cellStyle name="40% - Accent5 3 9 4 2 2" xfId="23502"/>
    <cellStyle name="40% - Accent5 3 9 4 3" xfId="23503"/>
    <cellStyle name="40% - Accent5 3 9 4 4" xfId="23504"/>
    <cellStyle name="40% - Accent5 3 9 5" xfId="23505"/>
    <cellStyle name="40% - Accent5 3 9 5 2" xfId="23506"/>
    <cellStyle name="40% - Accent5 3 9 6" xfId="23507"/>
    <cellStyle name="40% - Accent5 3 9 7" xfId="23508"/>
    <cellStyle name="40% - Accent5 3 9 8" xfId="23509"/>
    <cellStyle name="40% - Accent5 3_4Q Ops Metrics Gas &amp; Electric 2010" xfId="23510"/>
    <cellStyle name="40% - Accent5 4" xfId="393"/>
    <cellStyle name="40% - Accent5 4 2" xfId="23511"/>
    <cellStyle name="40% - Accent5 4 2 2" xfId="23512"/>
    <cellStyle name="40% - Accent5 4 2_Income Statement Query October" xfId="23513"/>
    <cellStyle name="40% - Accent5 4_4Q Ops Metrics Gas &amp; Electric 2010" xfId="23514"/>
    <cellStyle name="40% - Accent5 5" xfId="23515"/>
    <cellStyle name="40% - Accent5 5 2" xfId="23516"/>
    <cellStyle name="40% - Accent5 5 2 2" xfId="23517"/>
    <cellStyle name="40% - Accent5 5 2_Income Statement Query October" xfId="23518"/>
    <cellStyle name="40% - Accent5 5_4Q Ops Metrics Gas &amp; Electric 2010" xfId="23519"/>
    <cellStyle name="40% - Accent5 6" xfId="23520"/>
    <cellStyle name="40% - Accent5 6 2" xfId="23521"/>
    <cellStyle name="40% - Accent5 7" xfId="23522"/>
    <cellStyle name="40% - Accent5 7 2" xfId="23523"/>
    <cellStyle name="40% - Accent5 8" xfId="23524"/>
    <cellStyle name="40% - Accent5 8 2" xfId="23525"/>
    <cellStyle name="40% - Accent5 9" xfId="23526"/>
    <cellStyle name="40% - Accent5 9 2" xfId="23527"/>
    <cellStyle name="40% - Accent6 10" xfId="23528"/>
    <cellStyle name="40% - Accent6 10 2" xfId="23529"/>
    <cellStyle name="40% - Accent6 11" xfId="23530"/>
    <cellStyle name="40% - Accent6 11 2" xfId="23531"/>
    <cellStyle name="40% - Accent6 12" xfId="23532"/>
    <cellStyle name="40% - Accent6 13" xfId="23533"/>
    <cellStyle name="40% - Accent6 14" xfId="23534"/>
    <cellStyle name="40% - Accent6 15" xfId="23535"/>
    <cellStyle name="40% - Accent6 15 2" xfId="23536"/>
    <cellStyle name="40% - Accent6 16" xfId="23537"/>
    <cellStyle name="40% - Accent6 17" xfId="23538"/>
    <cellStyle name="40% - Accent6 18" xfId="23539"/>
    <cellStyle name="40% - Accent6 18 2" xfId="23540"/>
    <cellStyle name="40% - Accent6 18 2 2" xfId="23541"/>
    <cellStyle name="40% - Accent6 18 2 2 2" xfId="23542"/>
    <cellStyle name="40% - Accent6 18 2 2 3" xfId="23543"/>
    <cellStyle name="40% - Accent6 18 2 3" xfId="23544"/>
    <cellStyle name="40% - Accent6 18 2 3 2" xfId="23545"/>
    <cellStyle name="40% - Accent6 18 2 4" xfId="23546"/>
    <cellStyle name="40% - Accent6 18 2 5" xfId="23547"/>
    <cellStyle name="40% - Accent6 18 3" xfId="23548"/>
    <cellStyle name="40% - Accent6 18 3 2" xfId="23549"/>
    <cellStyle name="40% - Accent6 18 3 2 2" xfId="23550"/>
    <cellStyle name="40% - Accent6 18 3 3" xfId="23551"/>
    <cellStyle name="40% - Accent6 18 3 4" xfId="23552"/>
    <cellStyle name="40% - Accent6 18 4" xfId="23553"/>
    <cellStyle name="40% - Accent6 18 4 2" xfId="23554"/>
    <cellStyle name="40% - Accent6 18 4 2 2" xfId="23555"/>
    <cellStyle name="40% - Accent6 18 4 3" xfId="23556"/>
    <cellStyle name="40% - Accent6 18 4 4" xfId="23557"/>
    <cellStyle name="40% - Accent6 18 5" xfId="23558"/>
    <cellStyle name="40% - Accent6 18 5 2" xfId="23559"/>
    <cellStyle name="40% - Accent6 18 6" xfId="23560"/>
    <cellStyle name="40% - Accent6 18 7" xfId="23561"/>
    <cellStyle name="40% - Accent6 18 8" xfId="23562"/>
    <cellStyle name="40% - Accent6 19" xfId="23563"/>
    <cellStyle name="40% - Accent6 19 2" xfId="23564"/>
    <cellStyle name="40% - Accent6 19 2 2" xfId="23565"/>
    <cellStyle name="40% - Accent6 19 2 2 2" xfId="23566"/>
    <cellStyle name="40% - Accent6 19 2 2 3" xfId="23567"/>
    <cellStyle name="40% - Accent6 19 2 3" xfId="23568"/>
    <cellStyle name="40% - Accent6 19 2 3 2" xfId="23569"/>
    <cellStyle name="40% - Accent6 19 2 4" xfId="23570"/>
    <cellStyle name="40% - Accent6 19 2 5" xfId="23571"/>
    <cellStyle name="40% - Accent6 19 3" xfId="23572"/>
    <cellStyle name="40% - Accent6 19 3 2" xfId="23573"/>
    <cellStyle name="40% - Accent6 19 3 2 2" xfId="23574"/>
    <cellStyle name="40% - Accent6 19 3 3" xfId="23575"/>
    <cellStyle name="40% - Accent6 19 3 4" xfId="23576"/>
    <cellStyle name="40% - Accent6 19 4" xfId="23577"/>
    <cellStyle name="40% - Accent6 19 4 2" xfId="23578"/>
    <cellStyle name="40% - Accent6 19 4 2 2" xfId="23579"/>
    <cellStyle name="40% - Accent6 19 4 3" xfId="23580"/>
    <cellStyle name="40% - Accent6 19 4 4" xfId="23581"/>
    <cellStyle name="40% - Accent6 19 5" xfId="23582"/>
    <cellStyle name="40% - Accent6 19 5 2" xfId="23583"/>
    <cellStyle name="40% - Accent6 19 6" xfId="23584"/>
    <cellStyle name="40% - Accent6 19 7" xfId="23585"/>
    <cellStyle name="40% - Accent6 19 8" xfId="23586"/>
    <cellStyle name="40% - Accent6 2" xfId="53"/>
    <cellStyle name="40% - Accent6 2 10" xfId="23587"/>
    <cellStyle name="40% - Accent6 2 10 2" xfId="23588"/>
    <cellStyle name="40% - Accent6 2 10 2 2" xfId="23589"/>
    <cellStyle name="40% - Accent6 2 11" xfId="23590"/>
    <cellStyle name="40% - Accent6 2 12" xfId="23591"/>
    <cellStyle name="40% - Accent6 2 13" xfId="23592"/>
    <cellStyle name="40% - Accent6 2 14" xfId="23593"/>
    <cellStyle name="40% - Accent6 2 14 2" xfId="23594"/>
    <cellStyle name="40% - Accent6 2 14 2 2" xfId="23595"/>
    <cellStyle name="40% - Accent6 2 14 2 2 2" xfId="23596"/>
    <cellStyle name="40% - Accent6 2 14 2 2 3" xfId="23597"/>
    <cellStyle name="40% - Accent6 2 14 2 3" xfId="23598"/>
    <cellStyle name="40% - Accent6 2 14 2 3 2" xfId="23599"/>
    <cellStyle name="40% - Accent6 2 14 2 4" xfId="23600"/>
    <cellStyle name="40% - Accent6 2 14 2 5" xfId="23601"/>
    <cellStyle name="40% - Accent6 2 14 3" xfId="23602"/>
    <cellStyle name="40% - Accent6 2 14 3 2" xfId="23603"/>
    <cellStyle name="40% - Accent6 2 14 3 2 2" xfId="23604"/>
    <cellStyle name="40% - Accent6 2 14 3 3" xfId="23605"/>
    <cellStyle name="40% - Accent6 2 14 3 4" xfId="23606"/>
    <cellStyle name="40% - Accent6 2 14 4" xfId="23607"/>
    <cellStyle name="40% - Accent6 2 14 4 2" xfId="23608"/>
    <cellStyle name="40% - Accent6 2 14 4 2 2" xfId="23609"/>
    <cellStyle name="40% - Accent6 2 14 4 3" xfId="23610"/>
    <cellStyle name="40% - Accent6 2 14 4 4" xfId="23611"/>
    <cellStyle name="40% - Accent6 2 14 5" xfId="23612"/>
    <cellStyle name="40% - Accent6 2 14 5 2" xfId="23613"/>
    <cellStyle name="40% - Accent6 2 14 6" xfId="23614"/>
    <cellStyle name="40% - Accent6 2 14 7" xfId="23615"/>
    <cellStyle name="40% - Accent6 2 14 8" xfId="23616"/>
    <cellStyle name="40% - Accent6 2 15" xfId="23617"/>
    <cellStyle name="40% - Accent6 2 15 2" xfId="23618"/>
    <cellStyle name="40% - Accent6 2 15 2 2" xfId="23619"/>
    <cellStyle name="40% - Accent6 2 15 2 2 2" xfId="23620"/>
    <cellStyle name="40% - Accent6 2 15 2 2 3" xfId="23621"/>
    <cellStyle name="40% - Accent6 2 15 2 3" xfId="23622"/>
    <cellStyle name="40% - Accent6 2 15 2 3 2" xfId="23623"/>
    <cellStyle name="40% - Accent6 2 15 2 4" xfId="23624"/>
    <cellStyle name="40% - Accent6 2 15 2 5" xfId="23625"/>
    <cellStyle name="40% - Accent6 2 15 3" xfId="23626"/>
    <cellStyle name="40% - Accent6 2 15 3 2" xfId="23627"/>
    <cellStyle name="40% - Accent6 2 15 3 2 2" xfId="23628"/>
    <cellStyle name="40% - Accent6 2 15 3 3" xfId="23629"/>
    <cellStyle name="40% - Accent6 2 15 3 4" xfId="23630"/>
    <cellStyle name="40% - Accent6 2 15 4" xfId="23631"/>
    <cellStyle name="40% - Accent6 2 15 4 2" xfId="23632"/>
    <cellStyle name="40% - Accent6 2 15 4 2 2" xfId="23633"/>
    <cellStyle name="40% - Accent6 2 15 4 3" xfId="23634"/>
    <cellStyle name="40% - Accent6 2 15 4 4" xfId="23635"/>
    <cellStyle name="40% - Accent6 2 15 5" xfId="23636"/>
    <cellStyle name="40% - Accent6 2 15 5 2" xfId="23637"/>
    <cellStyle name="40% - Accent6 2 15 6" xfId="23638"/>
    <cellStyle name="40% - Accent6 2 15 7" xfId="23639"/>
    <cellStyle name="40% - Accent6 2 15 8" xfId="23640"/>
    <cellStyle name="40% - Accent6 2 16" xfId="23641"/>
    <cellStyle name="40% - Accent6 2 16 2" xfId="23642"/>
    <cellStyle name="40% - Accent6 2 16 2 2" xfId="23643"/>
    <cellStyle name="40% - Accent6 2 16 2 2 2" xfId="23644"/>
    <cellStyle name="40% - Accent6 2 16 2 2 3" xfId="23645"/>
    <cellStyle name="40% - Accent6 2 16 2 3" xfId="23646"/>
    <cellStyle name="40% - Accent6 2 16 2 3 2" xfId="23647"/>
    <cellStyle name="40% - Accent6 2 16 2 4" xfId="23648"/>
    <cellStyle name="40% - Accent6 2 16 2 5" xfId="23649"/>
    <cellStyle name="40% - Accent6 2 16 3" xfId="23650"/>
    <cellStyle name="40% - Accent6 2 16 3 2" xfId="23651"/>
    <cellStyle name="40% - Accent6 2 16 3 2 2" xfId="23652"/>
    <cellStyle name="40% - Accent6 2 16 3 3" xfId="23653"/>
    <cellStyle name="40% - Accent6 2 16 3 4" xfId="23654"/>
    <cellStyle name="40% - Accent6 2 16 4" xfId="23655"/>
    <cellStyle name="40% - Accent6 2 16 4 2" xfId="23656"/>
    <cellStyle name="40% - Accent6 2 16 4 2 2" xfId="23657"/>
    <cellStyle name="40% - Accent6 2 16 4 3" xfId="23658"/>
    <cellStyle name="40% - Accent6 2 16 4 4" xfId="23659"/>
    <cellStyle name="40% - Accent6 2 16 5" xfId="23660"/>
    <cellStyle name="40% - Accent6 2 16 5 2" xfId="23661"/>
    <cellStyle name="40% - Accent6 2 16 6" xfId="23662"/>
    <cellStyle name="40% - Accent6 2 16 7" xfId="23663"/>
    <cellStyle name="40% - Accent6 2 16 8" xfId="23664"/>
    <cellStyle name="40% - Accent6 2 17" xfId="23665"/>
    <cellStyle name="40% - Accent6 2 17 2" xfId="23666"/>
    <cellStyle name="40% - Accent6 2 17 2 2" xfId="23667"/>
    <cellStyle name="40% - Accent6 2 17 2 3" xfId="23668"/>
    <cellStyle name="40% - Accent6 2 17 3" xfId="23669"/>
    <cellStyle name="40% - Accent6 2 17 3 2" xfId="23670"/>
    <cellStyle name="40% - Accent6 2 17 4" xfId="23671"/>
    <cellStyle name="40% - Accent6 2 17 5" xfId="23672"/>
    <cellStyle name="40% - Accent6 2 18" xfId="23673"/>
    <cellStyle name="40% - Accent6 2 18 2" xfId="23674"/>
    <cellStyle name="40% - Accent6 2 18 2 2" xfId="23675"/>
    <cellStyle name="40% - Accent6 2 18 2 3" xfId="23676"/>
    <cellStyle name="40% - Accent6 2 18 3" xfId="23677"/>
    <cellStyle name="40% - Accent6 2 18 3 2" xfId="23678"/>
    <cellStyle name="40% - Accent6 2 18 4" xfId="23679"/>
    <cellStyle name="40% - Accent6 2 18 5" xfId="23680"/>
    <cellStyle name="40% - Accent6 2 19" xfId="23681"/>
    <cellStyle name="40% - Accent6 2 19 2" xfId="23682"/>
    <cellStyle name="40% - Accent6 2 19 2 2" xfId="23683"/>
    <cellStyle name="40% - Accent6 2 19 3" xfId="23684"/>
    <cellStyle name="40% - Accent6 2 19 4" xfId="23685"/>
    <cellStyle name="40% - Accent6 2 2" xfId="394"/>
    <cellStyle name="40% - Accent6 2 2 10" xfId="23686"/>
    <cellStyle name="40% - Accent6 2 2 11" xfId="23687"/>
    <cellStyle name="40% - Accent6 2 2 12" xfId="23688"/>
    <cellStyle name="40% - Accent6 2 2 12 2" xfId="23689"/>
    <cellStyle name="40% - Accent6 2 2 12 2 2" xfId="23690"/>
    <cellStyle name="40% - Accent6 2 2 12 2 2 2" xfId="23691"/>
    <cellStyle name="40% - Accent6 2 2 12 2 2 3" xfId="23692"/>
    <cellStyle name="40% - Accent6 2 2 12 2 3" xfId="23693"/>
    <cellStyle name="40% - Accent6 2 2 12 2 3 2" xfId="23694"/>
    <cellStyle name="40% - Accent6 2 2 12 2 4" xfId="23695"/>
    <cellStyle name="40% - Accent6 2 2 12 2 5" xfId="23696"/>
    <cellStyle name="40% - Accent6 2 2 12 3" xfId="23697"/>
    <cellStyle name="40% - Accent6 2 2 12 3 2" xfId="23698"/>
    <cellStyle name="40% - Accent6 2 2 12 3 2 2" xfId="23699"/>
    <cellStyle name="40% - Accent6 2 2 12 3 3" xfId="23700"/>
    <cellStyle name="40% - Accent6 2 2 12 3 4" xfId="23701"/>
    <cellStyle name="40% - Accent6 2 2 12 4" xfId="23702"/>
    <cellStyle name="40% - Accent6 2 2 12 4 2" xfId="23703"/>
    <cellStyle name="40% - Accent6 2 2 12 4 2 2" xfId="23704"/>
    <cellStyle name="40% - Accent6 2 2 12 4 3" xfId="23705"/>
    <cellStyle name="40% - Accent6 2 2 12 4 4" xfId="23706"/>
    <cellStyle name="40% - Accent6 2 2 12 5" xfId="23707"/>
    <cellStyle name="40% - Accent6 2 2 12 5 2" xfId="23708"/>
    <cellStyle name="40% - Accent6 2 2 12 6" xfId="23709"/>
    <cellStyle name="40% - Accent6 2 2 12 7" xfId="23710"/>
    <cellStyle name="40% - Accent6 2 2 12 8" xfId="23711"/>
    <cellStyle name="40% - Accent6 2 2 13" xfId="23712"/>
    <cellStyle name="40% - Accent6 2 2 13 2" xfId="23713"/>
    <cellStyle name="40% - Accent6 2 2 13 2 2" xfId="23714"/>
    <cellStyle name="40% - Accent6 2 2 13 2 2 2" xfId="23715"/>
    <cellStyle name="40% - Accent6 2 2 13 2 2 3" xfId="23716"/>
    <cellStyle name="40% - Accent6 2 2 13 2 3" xfId="23717"/>
    <cellStyle name="40% - Accent6 2 2 13 2 3 2" xfId="23718"/>
    <cellStyle name="40% - Accent6 2 2 13 2 4" xfId="23719"/>
    <cellStyle name="40% - Accent6 2 2 13 2 5" xfId="23720"/>
    <cellStyle name="40% - Accent6 2 2 13 3" xfId="23721"/>
    <cellStyle name="40% - Accent6 2 2 13 3 2" xfId="23722"/>
    <cellStyle name="40% - Accent6 2 2 13 3 2 2" xfId="23723"/>
    <cellStyle name="40% - Accent6 2 2 13 3 3" xfId="23724"/>
    <cellStyle name="40% - Accent6 2 2 13 3 4" xfId="23725"/>
    <cellStyle name="40% - Accent6 2 2 13 4" xfId="23726"/>
    <cellStyle name="40% - Accent6 2 2 13 4 2" xfId="23727"/>
    <cellStyle name="40% - Accent6 2 2 13 4 2 2" xfId="23728"/>
    <cellStyle name="40% - Accent6 2 2 13 4 3" xfId="23729"/>
    <cellStyle name="40% - Accent6 2 2 13 4 4" xfId="23730"/>
    <cellStyle name="40% - Accent6 2 2 13 5" xfId="23731"/>
    <cellStyle name="40% - Accent6 2 2 13 5 2" xfId="23732"/>
    <cellStyle name="40% - Accent6 2 2 13 6" xfId="23733"/>
    <cellStyle name="40% - Accent6 2 2 13 7" xfId="23734"/>
    <cellStyle name="40% - Accent6 2 2 13 8" xfId="23735"/>
    <cellStyle name="40% - Accent6 2 2 14" xfId="23736"/>
    <cellStyle name="40% - Accent6 2 2 14 2" xfId="23737"/>
    <cellStyle name="40% - Accent6 2 2 14 2 2" xfId="23738"/>
    <cellStyle name="40% - Accent6 2 2 14 2 2 2" xfId="23739"/>
    <cellStyle name="40% - Accent6 2 2 14 2 2 3" xfId="23740"/>
    <cellStyle name="40% - Accent6 2 2 14 2 3" xfId="23741"/>
    <cellStyle name="40% - Accent6 2 2 14 2 3 2" xfId="23742"/>
    <cellStyle name="40% - Accent6 2 2 14 2 4" xfId="23743"/>
    <cellStyle name="40% - Accent6 2 2 14 2 5" xfId="23744"/>
    <cellStyle name="40% - Accent6 2 2 14 3" xfId="23745"/>
    <cellStyle name="40% - Accent6 2 2 14 3 2" xfId="23746"/>
    <cellStyle name="40% - Accent6 2 2 14 3 2 2" xfId="23747"/>
    <cellStyle name="40% - Accent6 2 2 14 3 3" xfId="23748"/>
    <cellStyle name="40% - Accent6 2 2 14 3 4" xfId="23749"/>
    <cellStyle name="40% - Accent6 2 2 14 4" xfId="23750"/>
    <cellStyle name="40% - Accent6 2 2 14 4 2" xfId="23751"/>
    <cellStyle name="40% - Accent6 2 2 14 4 2 2" xfId="23752"/>
    <cellStyle name="40% - Accent6 2 2 14 4 3" xfId="23753"/>
    <cellStyle name="40% - Accent6 2 2 14 4 4" xfId="23754"/>
    <cellStyle name="40% - Accent6 2 2 14 5" xfId="23755"/>
    <cellStyle name="40% - Accent6 2 2 14 5 2" xfId="23756"/>
    <cellStyle name="40% - Accent6 2 2 14 6" xfId="23757"/>
    <cellStyle name="40% - Accent6 2 2 14 7" xfId="23758"/>
    <cellStyle name="40% - Accent6 2 2 14 8" xfId="23759"/>
    <cellStyle name="40% - Accent6 2 2 2" xfId="23760"/>
    <cellStyle name="40% - Accent6 2 2 2 10" xfId="23761"/>
    <cellStyle name="40% - Accent6 2 2 2 11" xfId="23762"/>
    <cellStyle name="40% - Accent6 2 2 2 2" xfId="23763"/>
    <cellStyle name="40% - Accent6 2 2 2 3" xfId="23764"/>
    <cellStyle name="40% - Accent6 2 2 2 4" xfId="23765"/>
    <cellStyle name="40% - Accent6 2 2 2 5" xfId="23766"/>
    <cellStyle name="40% - Accent6 2 2 2 6" xfId="23767"/>
    <cellStyle name="40% - Accent6 2 2 2 7" xfId="23768"/>
    <cellStyle name="40% - Accent6 2 2 2 8" xfId="23769"/>
    <cellStyle name="40% - Accent6 2 2 2 9" xfId="23770"/>
    <cellStyle name="40% - Accent6 2 2 3" xfId="23771"/>
    <cellStyle name="40% - Accent6 2 2 4" xfId="23772"/>
    <cellStyle name="40% - Accent6 2 2 5" xfId="23773"/>
    <cellStyle name="40% - Accent6 2 2 6" xfId="23774"/>
    <cellStyle name="40% - Accent6 2 2 7" xfId="23775"/>
    <cellStyle name="40% - Accent6 2 2 8" xfId="23776"/>
    <cellStyle name="40% - Accent6 2 2 9" xfId="23777"/>
    <cellStyle name="40% - Accent6 2 2_Income Statement Query October" xfId="23778"/>
    <cellStyle name="40% - Accent6 2 20" xfId="23779"/>
    <cellStyle name="40% - Accent6 2 20 2" xfId="23780"/>
    <cellStyle name="40% - Accent6 2 20 2 2" xfId="23781"/>
    <cellStyle name="40% - Accent6 2 20 3" xfId="23782"/>
    <cellStyle name="40% - Accent6 2 20 4" xfId="23783"/>
    <cellStyle name="40% - Accent6 2 21" xfId="23784"/>
    <cellStyle name="40% - Accent6 2 21 2" xfId="23785"/>
    <cellStyle name="40% - Accent6 2 22" xfId="23786"/>
    <cellStyle name="40% - Accent6 2 23" xfId="23787"/>
    <cellStyle name="40% - Accent6 2 24" xfId="23788"/>
    <cellStyle name="40% - Accent6 2 25" xfId="23789"/>
    <cellStyle name="40% - Accent6 2 26" xfId="23790"/>
    <cellStyle name="40% - Accent6 2 27" xfId="23791"/>
    <cellStyle name="40% - Accent6 2 28" xfId="23792"/>
    <cellStyle name="40% - Accent6 2 29" xfId="23793"/>
    <cellStyle name="40% - Accent6 2 3" xfId="395"/>
    <cellStyle name="40% - Accent6 2 3 2" xfId="396"/>
    <cellStyle name="40% - Accent6 2 3 2 2" xfId="397"/>
    <cellStyle name="40% - Accent6 2 3 2 2 2" xfId="398"/>
    <cellStyle name="40% - Accent6 2 3 2 3" xfId="399"/>
    <cellStyle name="40% - Accent6 2 3 3" xfId="400"/>
    <cellStyle name="40% - Accent6 2 3 3 2" xfId="401"/>
    <cellStyle name="40% - Accent6 2 3 4" xfId="402"/>
    <cellStyle name="40% - Accent6 2 3 4 2" xfId="23794"/>
    <cellStyle name="40% - Accent6 2 3 5" xfId="23795"/>
    <cellStyle name="40% - Accent6 2 3 5 2" xfId="23796"/>
    <cellStyle name="40% - Accent6 2 3 6" xfId="23797"/>
    <cellStyle name="40% - Accent6 2 3 6 2" xfId="23798"/>
    <cellStyle name="40% - Accent6 2 3 7" xfId="23799"/>
    <cellStyle name="40% - Accent6 2 3 7 2" xfId="23800"/>
    <cellStyle name="40% - Accent6 2 3 8" xfId="23801"/>
    <cellStyle name="40% - Accent6 2 3 8 2" xfId="23802"/>
    <cellStyle name="40% - Accent6 2 3 9" xfId="23803"/>
    <cellStyle name="40% - Accent6 2 3 9 2" xfId="23804"/>
    <cellStyle name="40% - Accent6 2 3_Dakota Panel" xfId="23805"/>
    <cellStyle name="40% - Accent6 2 30" xfId="23806"/>
    <cellStyle name="40% - Accent6 2 31" xfId="23807"/>
    <cellStyle name="40% - Accent6 2 32" xfId="23808"/>
    <cellStyle name="40% - Accent6 2 33" xfId="23809"/>
    <cellStyle name="40% - Accent6 2 34" xfId="23810"/>
    <cellStyle name="40% - Accent6 2 35" xfId="23811"/>
    <cellStyle name="40% - Accent6 2 36" xfId="23812"/>
    <cellStyle name="40% - Accent6 2 37" xfId="23813"/>
    <cellStyle name="40% - Accent6 2 38" xfId="23814"/>
    <cellStyle name="40% - Accent6 2 39" xfId="23815"/>
    <cellStyle name="40% - Accent6 2 4" xfId="403"/>
    <cellStyle name="40% - Accent6 2 4 2" xfId="404"/>
    <cellStyle name="40% - Accent6 2 4 2 2" xfId="405"/>
    <cellStyle name="40% - Accent6 2 4 3" xfId="406"/>
    <cellStyle name="40% - Accent6 2 4 4" xfId="23816"/>
    <cellStyle name="40% - Accent6 2 4 4 2" xfId="23817"/>
    <cellStyle name="40% - Accent6 2 40" xfId="23818"/>
    <cellStyle name="40% - Accent6 2 41" xfId="23819"/>
    <cellStyle name="40% - Accent6 2 42" xfId="23820"/>
    <cellStyle name="40% - Accent6 2 5" xfId="407"/>
    <cellStyle name="40% - Accent6 2 5 2" xfId="408"/>
    <cellStyle name="40% - Accent6 2 5 3" xfId="23821"/>
    <cellStyle name="40% - Accent6 2 5 4" xfId="23822"/>
    <cellStyle name="40% - Accent6 2 5 4 2" xfId="23823"/>
    <cellStyle name="40% - Accent6 2 6" xfId="409"/>
    <cellStyle name="40% - Accent6 2 6 2" xfId="23824"/>
    <cellStyle name="40% - Accent6 2 6 3" xfId="23825"/>
    <cellStyle name="40% - Accent6 2 6 4" xfId="23826"/>
    <cellStyle name="40% - Accent6 2 6 4 2" xfId="23827"/>
    <cellStyle name="40% - Accent6 2 7" xfId="23828"/>
    <cellStyle name="40% - Accent6 2 7 2" xfId="23829"/>
    <cellStyle name="40% - Accent6 2 7 2 2" xfId="23830"/>
    <cellStyle name="40% - Accent6 2 7 2 3" xfId="23831"/>
    <cellStyle name="40% - Accent6 2 7 3" xfId="23832"/>
    <cellStyle name="40% - Accent6 2 7 4" xfId="23833"/>
    <cellStyle name="40% - Accent6 2 7 5" xfId="23834"/>
    <cellStyle name="40% - Accent6 2 7 5 2" xfId="23835"/>
    <cellStyle name="40% - Accent6 2 8" xfId="23836"/>
    <cellStyle name="40% - Accent6 2 8 2" xfId="23837"/>
    <cellStyle name="40% - Accent6 2 8 3" xfId="23838"/>
    <cellStyle name="40% - Accent6 2 8 4" xfId="23839"/>
    <cellStyle name="40% - Accent6 2 8 4 2" xfId="23840"/>
    <cellStyle name="40% - Accent6 2 9" xfId="23841"/>
    <cellStyle name="40% - Accent6 2 9 2" xfId="23842"/>
    <cellStyle name="40% - Accent6 2 9 3" xfId="23843"/>
    <cellStyle name="40% - Accent6 2 9 4" xfId="23844"/>
    <cellStyle name="40% - Accent6 2 9 4 2" xfId="23845"/>
    <cellStyle name="40% - Accent6 2_1-10 BHU IS" xfId="23846"/>
    <cellStyle name="40% - Accent6 20" xfId="23847"/>
    <cellStyle name="40% - Accent6 20 2" xfId="23848"/>
    <cellStyle name="40% - Accent6 20 2 2" xfId="23849"/>
    <cellStyle name="40% - Accent6 20 2 3" xfId="23850"/>
    <cellStyle name="40% - Accent6 20 3" xfId="23851"/>
    <cellStyle name="40% - Accent6 20 3 2" xfId="23852"/>
    <cellStyle name="40% - Accent6 20 4" xfId="23853"/>
    <cellStyle name="40% - Accent6 20 5" xfId="23854"/>
    <cellStyle name="40% - Accent6 21" xfId="23855"/>
    <cellStyle name="40% - Accent6 21 2" xfId="23856"/>
    <cellStyle name="40% - Accent6 21 2 2" xfId="23857"/>
    <cellStyle name="40% - Accent6 21 3" xfId="23858"/>
    <cellStyle name="40% - Accent6 21 4" xfId="23859"/>
    <cellStyle name="40% - Accent6 22" xfId="23860"/>
    <cellStyle name="40% - Accent6 22 2" xfId="23861"/>
    <cellStyle name="40% - Accent6 22 2 2" xfId="23862"/>
    <cellStyle name="40% - Accent6 22 3" xfId="23863"/>
    <cellStyle name="40% - Accent6 22 4" xfId="23864"/>
    <cellStyle name="40% - Accent6 23" xfId="23865"/>
    <cellStyle name="40% - Accent6 23 2" xfId="23866"/>
    <cellStyle name="40% - Accent6 24" xfId="23867"/>
    <cellStyle name="40% - Accent6 25" xfId="23868"/>
    <cellStyle name="40% - Accent6 26" xfId="23869"/>
    <cellStyle name="40% - Accent6 3" xfId="410"/>
    <cellStyle name="40% - Accent6 3 10" xfId="23870"/>
    <cellStyle name="40% - Accent6 3 10 2" xfId="23871"/>
    <cellStyle name="40% - Accent6 3 10 2 2" xfId="23872"/>
    <cellStyle name="40% - Accent6 3 10 2 2 2" xfId="23873"/>
    <cellStyle name="40% - Accent6 3 10 2 2 3" xfId="23874"/>
    <cellStyle name="40% - Accent6 3 10 2 3" xfId="23875"/>
    <cellStyle name="40% - Accent6 3 10 2 3 2" xfId="23876"/>
    <cellStyle name="40% - Accent6 3 10 2 4" xfId="23877"/>
    <cellStyle name="40% - Accent6 3 10 2 5" xfId="23878"/>
    <cellStyle name="40% - Accent6 3 10 3" xfId="23879"/>
    <cellStyle name="40% - Accent6 3 10 3 2" xfId="23880"/>
    <cellStyle name="40% - Accent6 3 10 3 2 2" xfId="23881"/>
    <cellStyle name="40% - Accent6 3 10 3 3" xfId="23882"/>
    <cellStyle name="40% - Accent6 3 10 3 4" xfId="23883"/>
    <cellStyle name="40% - Accent6 3 10 4" xfId="23884"/>
    <cellStyle name="40% - Accent6 3 10 4 2" xfId="23885"/>
    <cellStyle name="40% - Accent6 3 10 4 2 2" xfId="23886"/>
    <cellStyle name="40% - Accent6 3 10 4 3" xfId="23887"/>
    <cellStyle name="40% - Accent6 3 10 4 4" xfId="23888"/>
    <cellStyle name="40% - Accent6 3 10 5" xfId="23889"/>
    <cellStyle name="40% - Accent6 3 10 5 2" xfId="23890"/>
    <cellStyle name="40% - Accent6 3 10 6" xfId="23891"/>
    <cellStyle name="40% - Accent6 3 10 7" xfId="23892"/>
    <cellStyle name="40% - Accent6 3 10 8" xfId="23893"/>
    <cellStyle name="40% - Accent6 3 11" xfId="23894"/>
    <cellStyle name="40% - Accent6 3 11 2" xfId="23895"/>
    <cellStyle name="40% - Accent6 3 11 2 2" xfId="23896"/>
    <cellStyle name="40% - Accent6 3 11 2 2 2" xfId="23897"/>
    <cellStyle name="40% - Accent6 3 11 2 2 3" xfId="23898"/>
    <cellStyle name="40% - Accent6 3 11 2 3" xfId="23899"/>
    <cellStyle name="40% - Accent6 3 11 2 3 2" xfId="23900"/>
    <cellStyle name="40% - Accent6 3 11 2 4" xfId="23901"/>
    <cellStyle name="40% - Accent6 3 11 2 5" xfId="23902"/>
    <cellStyle name="40% - Accent6 3 11 3" xfId="23903"/>
    <cellStyle name="40% - Accent6 3 11 3 2" xfId="23904"/>
    <cellStyle name="40% - Accent6 3 11 3 2 2" xfId="23905"/>
    <cellStyle name="40% - Accent6 3 11 3 3" xfId="23906"/>
    <cellStyle name="40% - Accent6 3 11 3 4" xfId="23907"/>
    <cellStyle name="40% - Accent6 3 11 4" xfId="23908"/>
    <cellStyle name="40% - Accent6 3 11 4 2" xfId="23909"/>
    <cellStyle name="40% - Accent6 3 11 4 2 2" xfId="23910"/>
    <cellStyle name="40% - Accent6 3 11 4 3" xfId="23911"/>
    <cellStyle name="40% - Accent6 3 11 4 4" xfId="23912"/>
    <cellStyle name="40% - Accent6 3 11 5" xfId="23913"/>
    <cellStyle name="40% - Accent6 3 11 5 2" xfId="23914"/>
    <cellStyle name="40% - Accent6 3 11 6" xfId="23915"/>
    <cellStyle name="40% - Accent6 3 11 7" xfId="23916"/>
    <cellStyle name="40% - Accent6 3 11 8" xfId="23917"/>
    <cellStyle name="40% - Accent6 3 12" xfId="23918"/>
    <cellStyle name="40% - Accent6 3 2" xfId="411"/>
    <cellStyle name="40% - Accent6 3 2 2" xfId="23919"/>
    <cellStyle name="40% - Accent6 3 2 2 2" xfId="23920"/>
    <cellStyle name="40% - Accent6 3 2 2 3" xfId="23921"/>
    <cellStyle name="40% - Accent6 3 2 2 4" xfId="23922"/>
    <cellStyle name="40% - Accent6 3 2 3" xfId="23923"/>
    <cellStyle name="40% - Accent6 3 2 3 2" xfId="23924"/>
    <cellStyle name="40% - Accent6 3 2 4" xfId="23925"/>
    <cellStyle name="40% - Accent6 3 2 5" xfId="23926"/>
    <cellStyle name="40% - Accent6 3 2 6" xfId="23927"/>
    <cellStyle name="40% - Accent6 3 2_Income Statement Query October" xfId="23928"/>
    <cellStyle name="40% - Accent6 3 3" xfId="23929"/>
    <cellStyle name="40% - Accent6 3 3 2" xfId="23930"/>
    <cellStyle name="40% - Accent6 3 3 3" xfId="23931"/>
    <cellStyle name="40% - Accent6 3 3 4" xfId="23932"/>
    <cellStyle name="40% - Accent6 3 4" xfId="23933"/>
    <cellStyle name="40% - Accent6 3 4 2" xfId="23934"/>
    <cellStyle name="40% - Accent6 3 5" xfId="23935"/>
    <cellStyle name="40% - Accent6 3 5 2" xfId="23936"/>
    <cellStyle name="40% - Accent6 3 5 2 2" xfId="23937"/>
    <cellStyle name="40% - Accent6 3 5 2 2 2" xfId="23938"/>
    <cellStyle name="40% - Accent6 3 5 2 2 3" xfId="23939"/>
    <cellStyle name="40% - Accent6 3 5 2 3" xfId="23940"/>
    <cellStyle name="40% - Accent6 3 5 2 3 2" xfId="23941"/>
    <cellStyle name="40% - Accent6 3 5 2 4" xfId="23942"/>
    <cellStyle name="40% - Accent6 3 5 2 5" xfId="23943"/>
    <cellStyle name="40% - Accent6 3 5 3" xfId="23944"/>
    <cellStyle name="40% - Accent6 3 5 3 2" xfId="23945"/>
    <cellStyle name="40% - Accent6 3 5 3 2 2" xfId="23946"/>
    <cellStyle name="40% - Accent6 3 5 3 3" xfId="23947"/>
    <cellStyle name="40% - Accent6 3 5 3 4" xfId="23948"/>
    <cellStyle name="40% - Accent6 3 5 4" xfId="23949"/>
    <cellStyle name="40% - Accent6 3 5 4 2" xfId="23950"/>
    <cellStyle name="40% - Accent6 3 5 4 2 2" xfId="23951"/>
    <cellStyle name="40% - Accent6 3 5 4 3" xfId="23952"/>
    <cellStyle name="40% - Accent6 3 5 4 4" xfId="23953"/>
    <cellStyle name="40% - Accent6 3 5 5" xfId="23954"/>
    <cellStyle name="40% - Accent6 3 5 5 2" xfId="23955"/>
    <cellStyle name="40% - Accent6 3 5 6" xfId="23956"/>
    <cellStyle name="40% - Accent6 3 5 7" xfId="23957"/>
    <cellStyle name="40% - Accent6 3 5 8" xfId="23958"/>
    <cellStyle name="40% - Accent6 3 6" xfId="23959"/>
    <cellStyle name="40% - Accent6 3 6 2" xfId="23960"/>
    <cellStyle name="40% - Accent6 3 6 2 2" xfId="23961"/>
    <cellStyle name="40% - Accent6 3 6 2 2 2" xfId="23962"/>
    <cellStyle name="40% - Accent6 3 6 2 2 3" xfId="23963"/>
    <cellStyle name="40% - Accent6 3 6 2 3" xfId="23964"/>
    <cellStyle name="40% - Accent6 3 6 2 3 2" xfId="23965"/>
    <cellStyle name="40% - Accent6 3 6 2 4" xfId="23966"/>
    <cellStyle name="40% - Accent6 3 6 2 5" xfId="23967"/>
    <cellStyle name="40% - Accent6 3 6 3" xfId="23968"/>
    <cellStyle name="40% - Accent6 3 6 3 2" xfId="23969"/>
    <cellStyle name="40% - Accent6 3 6 3 2 2" xfId="23970"/>
    <cellStyle name="40% - Accent6 3 6 3 3" xfId="23971"/>
    <cellStyle name="40% - Accent6 3 6 3 4" xfId="23972"/>
    <cellStyle name="40% - Accent6 3 6 4" xfId="23973"/>
    <cellStyle name="40% - Accent6 3 6 4 2" xfId="23974"/>
    <cellStyle name="40% - Accent6 3 6 4 2 2" xfId="23975"/>
    <cellStyle name="40% - Accent6 3 6 4 3" xfId="23976"/>
    <cellStyle name="40% - Accent6 3 6 4 4" xfId="23977"/>
    <cellStyle name="40% - Accent6 3 6 5" xfId="23978"/>
    <cellStyle name="40% - Accent6 3 6 5 2" xfId="23979"/>
    <cellStyle name="40% - Accent6 3 6 6" xfId="23980"/>
    <cellStyle name="40% - Accent6 3 6 7" xfId="23981"/>
    <cellStyle name="40% - Accent6 3 6 8" xfId="23982"/>
    <cellStyle name="40% - Accent6 3 7" xfId="23983"/>
    <cellStyle name="40% - Accent6 3 7 2" xfId="23984"/>
    <cellStyle name="40% - Accent6 3 7 2 2" xfId="23985"/>
    <cellStyle name="40% - Accent6 3 7 2 2 2" xfId="23986"/>
    <cellStyle name="40% - Accent6 3 7 2 2 3" xfId="23987"/>
    <cellStyle name="40% - Accent6 3 7 2 3" xfId="23988"/>
    <cellStyle name="40% - Accent6 3 7 2 3 2" xfId="23989"/>
    <cellStyle name="40% - Accent6 3 7 2 4" xfId="23990"/>
    <cellStyle name="40% - Accent6 3 7 2 5" xfId="23991"/>
    <cellStyle name="40% - Accent6 3 7 3" xfId="23992"/>
    <cellStyle name="40% - Accent6 3 7 3 2" xfId="23993"/>
    <cellStyle name="40% - Accent6 3 7 3 2 2" xfId="23994"/>
    <cellStyle name="40% - Accent6 3 7 3 3" xfId="23995"/>
    <cellStyle name="40% - Accent6 3 7 3 4" xfId="23996"/>
    <cellStyle name="40% - Accent6 3 7 4" xfId="23997"/>
    <cellStyle name="40% - Accent6 3 7 4 2" xfId="23998"/>
    <cellStyle name="40% - Accent6 3 7 4 2 2" xfId="23999"/>
    <cellStyle name="40% - Accent6 3 7 4 3" xfId="24000"/>
    <cellStyle name="40% - Accent6 3 7 4 4" xfId="24001"/>
    <cellStyle name="40% - Accent6 3 7 5" xfId="24002"/>
    <cellStyle name="40% - Accent6 3 7 5 2" xfId="24003"/>
    <cellStyle name="40% - Accent6 3 7 6" xfId="24004"/>
    <cellStyle name="40% - Accent6 3 7 7" xfId="24005"/>
    <cellStyle name="40% - Accent6 3 7 8" xfId="24006"/>
    <cellStyle name="40% - Accent6 3 8" xfId="24007"/>
    <cellStyle name="40% - Accent6 3 8 2" xfId="24008"/>
    <cellStyle name="40% - Accent6 3 8 2 2" xfId="24009"/>
    <cellStyle name="40% - Accent6 3 8 2 2 2" xfId="24010"/>
    <cellStyle name="40% - Accent6 3 8 2 2 3" xfId="24011"/>
    <cellStyle name="40% - Accent6 3 8 2 3" xfId="24012"/>
    <cellStyle name="40% - Accent6 3 8 2 3 2" xfId="24013"/>
    <cellStyle name="40% - Accent6 3 8 2 4" xfId="24014"/>
    <cellStyle name="40% - Accent6 3 8 2 5" xfId="24015"/>
    <cellStyle name="40% - Accent6 3 8 3" xfId="24016"/>
    <cellStyle name="40% - Accent6 3 8 3 2" xfId="24017"/>
    <cellStyle name="40% - Accent6 3 8 3 2 2" xfId="24018"/>
    <cellStyle name="40% - Accent6 3 8 3 3" xfId="24019"/>
    <cellStyle name="40% - Accent6 3 8 3 4" xfId="24020"/>
    <cellStyle name="40% - Accent6 3 8 4" xfId="24021"/>
    <cellStyle name="40% - Accent6 3 8 4 2" xfId="24022"/>
    <cellStyle name="40% - Accent6 3 8 4 2 2" xfId="24023"/>
    <cellStyle name="40% - Accent6 3 8 4 3" xfId="24024"/>
    <cellStyle name="40% - Accent6 3 8 4 4" xfId="24025"/>
    <cellStyle name="40% - Accent6 3 8 5" xfId="24026"/>
    <cellStyle name="40% - Accent6 3 8 5 2" xfId="24027"/>
    <cellStyle name="40% - Accent6 3 8 6" xfId="24028"/>
    <cellStyle name="40% - Accent6 3 8 7" xfId="24029"/>
    <cellStyle name="40% - Accent6 3 8 8" xfId="24030"/>
    <cellStyle name="40% - Accent6 3 9" xfId="24031"/>
    <cellStyle name="40% - Accent6 3 9 2" xfId="24032"/>
    <cellStyle name="40% - Accent6 3 9 2 2" xfId="24033"/>
    <cellStyle name="40% - Accent6 3 9 2 2 2" xfId="24034"/>
    <cellStyle name="40% - Accent6 3 9 2 2 3" xfId="24035"/>
    <cellStyle name="40% - Accent6 3 9 2 3" xfId="24036"/>
    <cellStyle name="40% - Accent6 3 9 2 3 2" xfId="24037"/>
    <cellStyle name="40% - Accent6 3 9 2 4" xfId="24038"/>
    <cellStyle name="40% - Accent6 3 9 2 5" xfId="24039"/>
    <cellStyle name="40% - Accent6 3 9 3" xfId="24040"/>
    <cellStyle name="40% - Accent6 3 9 3 2" xfId="24041"/>
    <cellStyle name="40% - Accent6 3 9 3 2 2" xfId="24042"/>
    <cellStyle name="40% - Accent6 3 9 3 3" xfId="24043"/>
    <cellStyle name="40% - Accent6 3 9 3 4" xfId="24044"/>
    <cellStyle name="40% - Accent6 3 9 4" xfId="24045"/>
    <cellStyle name="40% - Accent6 3 9 4 2" xfId="24046"/>
    <cellStyle name="40% - Accent6 3 9 4 2 2" xfId="24047"/>
    <cellStyle name="40% - Accent6 3 9 4 3" xfId="24048"/>
    <cellStyle name="40% - Accent6 3 9 4 4" xfId="24049"/>
    <cellStyle name="40% - Accent6 3 9 5" xfId="24050"/>
    <cellStyle name="40% - Accent6 3 9 5 2" xfId="24051"/>
    <cellStyle name="40% - Accent6 3 9 6" xfId="24052"/>
    <cellStyle name="40% - Accent6 3 9 7" xfId="24053"/>
    <cellStyle name="40% - Accent6 3 9 8" xfId="24054"/>
    <cellStyle name="40% - Accent6 3_Income Statement Query October" xfId="24055"/>
    <cellStyle name="40% - Accent6 4" xfId="412"/>
    <cellStyle name="40% - Accent6 4 2" xfId="24056"/>
    <cellStyle name="40% - Accent6 4 2 2" xfId="24057"/>
    <cellStyle name="40% - Accent6 4 2 2 2" xfId="24058"/>
    <cellStyle name="40% - Accent6 4 2 2 3" xfId="24059"/>
    <cellStyle name="40% - Accent6 4 2 3" xfId="24060"/>
    <cellStyle name="40% - Accent6 4 2 4" xfId="24061"/>
    <cellStyle name="40% - Accent6 4 2_Income Statement Query October" xfId="24062"/>
    <cellStyle name="40% - Accent6 4 3" xfId="24063"/>
    <cellStyle name="40% - Accent6 4 4" xfId="24064"/>
    <cellStyle name="40% - Accent6 4_Income Statement Query October" xfId="24065"/>
    <cellStyle name="40% - Accent6 5" xfId="24066"/>
    <cellStyle name="40% - Accent6 5 2" xfId="24067"/>
    <cellStyle name="40% - Accent6 5 2 2" xfId="24068"/>
    <cellStyle name="40% - Accent6 5 2 2 2" xfId="24069"/>
    <cellStyle name="40% - Accent6 5 2 2 3" xfId="24070"/>
    <cellStyle name="40% - Accent6 5 2 3" xfId="24071"/>
    <cellStyle name="40% - Accent6 5 2 4" xfId="24072"/>
    <cellStyle name="40% - Accent6 5 2_Income Statement Query October" xfId="24073"/>
    <cellStyle name="40% - Accent6 5 3" xfId="24074"/>
    <cellStyle name="40% - Accent6 5 4" xfId="24075"/>
    <cellStyle name="40% - Accent6 5_Income Statement Query October" xfId="24076"/>
    <cellStyle name="40% - Accent6 6" xfId="24077"/>
    <cellStyle name="40% - Accent6 6 2" xfId="24078"/>
    <cellStyle name="40% - Accent6 6 2 2" xfId="24079"/>
    <cellStyle name="40% - Accent6 6 2 3" xfId="24080"/>
    <cellStyle name="40% - Accent6 6 3" xfId="24081"/>
    <cellStyle name="40% - Accent6 6 4" xfId="24082"/>
    <cellStyle name="40% - Accent6 7" xfId="24083"/>
    <cellStyle name="40% - Accent6 7 2" xfId="24084"/>
    <cellStyle name="40% - Accent6 7 2 2" xfId="24085"/>
    <cellStyle name="40% - Accent6 7 2 3" xfId="24086"/>
    <cellStyle name="40% - Accent6 7 3" xfId="24087"/>
    <cellStyle name="40% - Accent6 7 4" xfId="24088"/>
    <cellStyle name="40% - Accent6 8" xfId="24089"/>
    <cellStyle name="40% - Accent6 8 2" xfId="24090"/>
    <cellStyle name="40% - Accent6 8 2 2" xfId="24091"/>
    <cellStyle name="40% - Accent6 8 2 3" xfId="24092"/>
    <cellStyle name="40% - Accent6 8 3" xfId="24093"/>
    <cellStyle name="40% - Accent6 8 4" xfId="24094"/>
    <cellStyle name="40% - Accent6 9" xfId="24095"/>
    <cellStyle name="40% - Accent6 9 2" xfId="24096"/>
    <cellStyle name="40% - Accent6 9 2 2" xfId="24097"/>
    <cellStyle name="40% - Accent6 9 2 3" xfId="24098"/>
    <cellStyle name="40% - Accent6 9 3" xfId="24099"/>
    <cellStyle name="40% - Accent6 9 4" xfId="24100"/>
    <cellStyle name="4-Dark Blue-Formula Oth Wks" xfId="24101"/>
    <cellStyle name="4-Dark Blue-Formula Oth Wks 2" xfId="24102"/>
    <cellStyle name="4-Dark Blue-Formula Oth Wks 3" xfId="24103"/>
    <cellStyle name="60% - Accent1 10" xfId="24104"/>
    <cellStyle name="60% - Accent1 10 2" xfId="24105"/>
    <cellStyle name="60% - Accent1 10 2 2" xfId="24106"/>
    <cellStyle name="60% - Accent1 10 2 3" xfId="24107"/>
    <cellStyle name="60% - Accent1 10 3" xfId="24108"/>
    <cellStyle name="60% - Accent1 10 4" xfId="24109"/>
    <cellStyle name="60% - Accent1 11" xfId="24110"/>
    <cellStyle name="60% - Accent1 11 2" xfId="24111"/>
    <cellStyle name="60% - Accent1 11 2 2" xfId="24112"/>
    <cellStyle name="60% - Accent1 11 2 3" xfId="24113"/>
    <cellStyle name="60% - Accent1 11 3" xfId="24114"/>
    <cellStyle name="60% - Accent1 11 4" xfId="24115"/>
    <cellStyle name="60% - Accent1 12" xfId="24116"/>
    <cellStyle name="60% - Accent1 12 2" xfId="24117"/>
    <cellStyle name="60% - Accent1 12 3" xfId="24118"/>
    <cellStyle name="60% - Accent1 13" xfId="24119"/>
    <cellStyle name="60% - Accent1 13 2" xfId="24120"/>
    <cellStyle name="60% - Accent1 13 3" xfId="24121"/>
    <cellStyle name="60% - Accent1 14" xfId="24122"/>
    <cellStyle name="60% - Accent1 14 2" xfId="24123"/>
    <cellStyle name="60% - Accent1 14 3" xfId="24124"/>
    <cellStyle name="60% - Accent1 15" xfId="24125"/>
    <cellStyle name="60% - Accent1 15 2" xfId="24126"/>
    <cellStyle name="60% - Accent1 15 2 2" xfId="24127"/>
    <cellStyle name="60% - Accent1 15 2 3" xfId="24128"/>
    <cellStyle name="60% - Accent1 15 3" xfId="24129"/>
    <cellStyle name="60% - Accent1 15 4" xfId="24130"/>
    <cellStyle name="60% - Accent1 16" xfId="24131"/>
    <cellStyle name="60% - Accent1 16 2" xfId="24132"/>
    <cellStyle name="60% - Accent1 16 3" xfId="24133"/>
    <cellStyle name="60% - Accent1 17" xfId="24134"/>
    <cellStyle name="60% - Accent1 18" xfId="24135"/>
    <cellStyle name="60% - Accent1 2" xfId="54"/>
    <cellStyle name="60% - Accent1 2 10" xfId="24136"/>
    <cellStyle name="60% - Accent1 2 10 2" xfId="24137"/>
    <cellStyle name="60% - Accent1 2 10 3" xfId="24138"/>
    <cellStyle name="60% - Accent1 2 11" xfId="24139"/>
    <cellStyle name="60% - Accent1 2 11 2" xfId="24140"/>
    <cellStyle name="60% - Accent1 2 11 3" xfId="24141"/>
    <cellStyle name="60% - Accent1 2 12" xfId="24142"/>
    <cellStyle name="60% - Accent1 2 12 2" xfId="24143"/>
    <cellStyle name="60% - Accent1 2 12 3" xfId="24144"/>
    <cellStyle name="60% - Accent1 2 13" xfId="24145"/>
    <cellStyle name="60% - Accent1 2 13 2" xfId="24146"/>
    <cellStyle name="60% - Accent1 2 14" xfId="24147"/>
    <cellStyle name="60% - Accent1 2 15" xfId="24148"/>
    <cellStyle name="60% - Accent1 2 16" xfId="24149"/>
    <cellStyle name="60% - Accent1 2 2" xfId="413"/>
    <cellStyle name="60% - Accent1 2 2 10" xfId="24150"/>
    <cellStyle name="60% - Accent1 2 2 10 2" xfId="24151"/>
    <cellStyle name="60% - Accent1 2 2 10 3" xfId="24152"/>
    <cellStyle name="60% - Accent1 2 2 11" xfId="24153"/>
    <cellStyle name="60% - Accent1 2 2 12" xfId="24154"/>
    <cellStyle name="60% - Accent1 2 2 2" xfId="24155"/>
    <cellStyle name="60% - Accent1 2 2 2 10" xfId="24156"/>
    <cellStyle name="60% - Accent1 2 2 2 10 2" xfId="24157"/>
    <cellStyle name="60% - Accent1 2 2 2 10 3" xfId="24158"/>
    <cellStyle name="60% - Accent1 2 2 2 11" xfId="24159"/>
    <cellStyle name="60% - Accent1 2 2 2 12" xfId="24160"/>
    <cellStyle name="60% - Accent1 2 2 2 13" xfId="24161"/>
    <cellStyle name="60% - Accent1 2 2 2 2" xfId="24162"/>
    <cellStyle name="60% - Accent1 2 2 2 2 2" xfId="24163"/>
    <cellStyle name="60% - Accent1 2 2 2 2 3" xfId="24164"/>
    <cellStyle name="60% - Accent1 2 2 2 3" xfId="24165"/>
    <cellStyle name="60% - Accent1 2 2 2 3 2" xfId="24166"/>
    <cellStyle name="60% - Accent1 2 2 2 3 3" xfId="24167"/>
    <cellStyle name="60% - Accent1 2 2 2 4" xfId="24168"/>
    <cellStyle name="60% - Accent1 2 2 2 4 2" xfId="24169"/>
    <cellStyle name="60% - Accent1 2 2 2 4 3" xfId="24170"/>
    <cellStyle name="60% - Accent1 2 2 2 5" xfId="24171"/>
    <cellStyle name="60% - Accent1 2 2 2 5 2" xfId="24172"/>
    <cellStyle name="60% - Accent1 2 2 2 5 3" xfId="24173"/>
    <cellStyle name="60% - Accent1 2 2 2 6" xfId="24174"/>
    <cellStyle name="60% - Accent1 2 2 2 6 2" xfId="24175"/>
    <cellStyle name="60% - Accent1 2 2 2 6 3" xfId="24176"/>
    <cellStyle name="60% - Accent1 2 2 2 7" xfId="24177"/>
    <cellStyle name="60% - Accent1 2 2 2 7 2" xfId="24178"/>
    <cellStyle name="60% - Accent1 2 2 2 7 3" xfId="24179"/>
    <cellStyle name="60% - Accent1 2 2 2 8" xfId="24180"/>
    <cellStyle name="60% - Accent1 2 2 2 8 2" xfId="24181"/>
    <cellStyle name="60% - Accent1 2 2 2 8 3" xfId="24182"/>
    <cellStyle name="60% - Accent1 2 2 2 9" xfId="24183"/>
    <cellStyle name="60% - Accent1 2 2 2 9 2" xfId="24184"/>
    <cellStyle name="60% - Accent1 2 2 2 9 3" xfId="24185"/>
    <cellStyle name="60% - Accent1 2 2 3" xfId="24186"/>
    <cellStyle name="60% - Accent1 2 2 3 2" xfId="24187"/>
    <cellStyle name="60% - Accent1 2 2 3 3" xfId="24188"/>
    <cellStyle name="60% - Accent1 2 2 4" xfId="24189"/>
    <cellStyle name="60% - Accent1 2 2 4 2" xfId="24190"/>
    <cellStyle name="60% - Accent1 2 2 4 3" xfId="24191"/>
    <cellStyle name="60% - Accent1 2 2 5" xfId="24192"/>
    <cellStyle name="60% - Accent1 2 2 5 2" xfId="24193"/>
    <cellStyle name="60% - Accent1 2 2 5 3" xfId="24194"/>
    <cellStyle name="60% - Accent1 2 2 6" xfId="24195"/>
    <cellStyle name="60% - Accent1 2 2 6 2" xfId="24196"/>
    <cellStyle name="60% - Accent1 2 2 6 3" xfId="24197"/>
    <cellStyle name="60% - Accent1 2 2 7" xfId="24198"/>
    <cellStyle name="60% - Accent1 2 2 7 2" xfId="24199"/>
    <cellStyle name="60% - Accent1 2 2 7 3" xfId="24200"/>
    <cellStyle name="60% - Accent1 2 2 8" xfId="24201"/>
    <cellStyle name="60% - Accent1 2 2 8 2" xfId="24202"/>
    <cellStyle name="60% - Accent1 2 2 8 3" xfId="24203"/>
    <cellStyle name="60% - Accent1 2 2 9" xfId="24204"/>
    <cellStyle name="60% - Accent1 2 2 9 2" xfId="24205"/>
    <cellStyle name="60% - Accent1 2 2 9 3" xfId="24206"/>
    <cellStyle name="60% - Accent1 2 3" xfId="24207"/>
    <cellStyle name="60% - Accent1 2 3 2" xfId="24208"/>
    <cellStyle name="60% - Accent1 2 3 3" xfId="24209"/>
    <cellStyle name="60% - Accent1 2 3 4" xfId="24210"/>
    <cellStyle name="60% - Accent1 2 4" xfId="24211"/>
    <cellStyle name="60% - Accent1 2 4 2" xfId="24212"/>
    <cellStyle name="60% - Accent1 2 4 3" xfId="24213"/>
    <cellStyle name="60% - Accent1 2 5" xfId="24214"/>
    <cellStyle name="60% - Accent1 2 5 2" xfId="24215"/>
    <cellStyle name="60% - Accent1 2 5 3" xfId="24216"/>
    <cellStyle name="60% - Accent1 2 6" xfId="24217"/>
    <cellStyle name="60% - Accent1 2 6 2" xfId="24218"/>
    <cellStyle name="60% - Accent1 2 6 3" xfId="24219"/>
    <cellStyle name="60% - Accent1 2 7" xfId="24220"/>
    <cellStyle name="60% - Accent1 2 7 2" xfId="24221"/>
    <cellStyle name="60% - Accent1 2 7 2 2" xfId="24222"/>
    <cellStyle name="60% - Accent1 2 7 2 3" xfId="24223"/>
    <cellStyle name="60% - Accent1 2 7 3" xfId="24224"/>
    <cellStyle name="60% - Accent1 2 7 4" xfId="24225"/>
    <cellStyle name="60% - Accent1 2 8" xfId="24226"/>
    <cellStyle name="60% - Accent1 2 8 2" xfId="24227"/>
    <cellStyle name="60% - Accent1 2 8 3" xfId="24228"/>
    <cellStyle name="60% - Accent1 2 9" xfId="24229"/>
    <cellStyle name="60% - Accent1 2 9 2" xfId="24230"/>
    <cellStyle name="60% - Accent1 2 9 3" xfId="24231"/>
    <cellStyle name="60% - Accent1 2_1-10 BHU IS" xfId="24232"/>
    <cellStyle name="60% - Accent1 3" xfId="414"/>
    <cellStyle name="60% - Accent1 3 2" xfId="24233"/>
    <cellStyle name="60% - Accent1 3 2 2" xfId="24234"/>
    <cellStyle name="60% - Accent1 3 2 2 2" xfId="24235"/>
    <cellStyle name="60% - Accent1 3 2 2 3" xfId="24236"/>
    <cellStyle name="60% - Accent1 3 2 3" xfId="24237"/>
    <cellStyle name="60% - Accent1 3 2 4" xfId="24238"/>
    <cellStyle name="60% - Accent1 3 2 5" xfId="24239"/>
    <cellStyle name="60% - Accent1 3 3" xfId="24240"/>
    <cellStyle name="60% - Accent1 3 3 2" xfId="24241"/>
    <cellStyle name="60% - Accent1 3 4" xfId="24242"/>
    <cellStyle name="60% - Accent1 4" xfId="415"/>
    <cellStyle name="60% - Accent1 4 2" xfId="24243"/>
    <cellStyle name="60% - Accent1 4 2 2" xfId="24244"/>
    <cellStyle name="60% - Accent1 4 2 3" xfId="24245"/>
    <cellStyle name="60% - Accent1 4 3" xfId="24246"/>
    <cellStyle name="60% - Accent1 4 4" xfId="24247"/>
    <cellStyle name="60% - Accent1 5" xfId="24248"/>
    <cellStyle name="60% - Accent1 5 2" xfId="24249"/>
    <cellStyle name="60% - Accent1 5 2 2" xfId="24250"/>
    <cellStyle name="60% - Accent1 5 2 3" xfId="24251"/>
    <cellStyle name="60% - Accent1 5 3" xfId="24252"/>
    <cellStyle name="60% - Accent1 5 4" xfId="24253"/>
    <cellStyle name="60% - Accent1 6" xfId="24254"/>
    <cellStyle name="60% - Accent1 6 2" xfId="24255"/>
    <cellStyle name="60% - Accent1 6 2 2" xfId="24256"/>
    <cellStyle name="60% - Accent1 6 2 3" xfId="24257"/>
    <cellStyle name="60% - Accent1 6 3" xfId="24258"/>
    <cellStyle name="60% - Accent1 6 4" xfId="24259"/>
    <cellStyle name="60% - Accent1 7" xfId="24260"/>
    <cellStyle name="60% - Accent1 7 2" xfId="24261"/>
    <cellStyle name="60% - Accent1 7 2 2" xfId="24262"/>
    <cellStyle name="60% - Accent1 7 2 3" xfId="24263"/>
    <cellStyle name="60% - Accent1 7 3" xfId="24264"/>
    <cellStyle name="60% - Accent1 7 4" xfId="24265"/>
    <cellStyle name="60% - Accent1 8" xfId="24266"/>
    <cellStyle name="60% - Accent1 8 2" xfId="24267"/>
    <cellStyle name="60% - Accent1 8 2 2" xfId="24268"/>
    <cellStyle name="60% - Accent1 8 2 3" xfId="24269"/>
    <cellStyle name="60% - Accent1 8 3" xfId="24270"/>
    <cellStyle name="60% - Accent1 8 4" xfId="24271"/>
    <cellStyle name="60% - Accent1 9" xfId="24272"/>
    <cellStyle name="60% - Accent1 9 2" xfId="24273"/>
    <cellStyle name="60% - Accent1 9 2 2" xfId="24274"/>
    <cellStyle name="60% - Accent1 9 2 3" xfId="24275"/>
    <cellStyle name="60% - Accent1 9 3" xfId="24276"/>
    <cellStyle name="60% - Accent1 9 4" xfId="24277"/>
    <cellStyle name="60% - Accent2 10" xfId="24278"/>
    <cellStyle name="60% - Accent2 10 2" xfId="24279"/>
    <cellStyle name="60% - Accent2 10 2 2" xfId="24280"/>
    <cellStyle name="60% - Accent2 10 2 3" xfId="24281"/>
    <cellStyle name="60% - Accent2 10 3" xfId="24282"/>
    <cellStyle name="60% - Accent2 10 4" xfId="24283"/>
    <cellStyle name="60% - Accent2 11" xfId="24284"/>
    <cellStyle name="60% - Accent2 11 2" xfId="24285"/>
    <cellStyle name="60% - Accent2 11 2 2" xfId="24286"/>
    <cellStyle name="60% - Accent2 11 2 3" xfId="24287"/>
    <cellStyle name="60% - Accent2 11 3" xfId="24288"/>
    <cellStyle name="60% - Accent2 11 4" xfId="24289"/>
    <cellStyle name="60% - Accent2 12" xfId="24290"/>
    <cellStyle name="60% - Accent2 12 2" xfId="24291"/>
    <cellStyle name="60% - Accent2 12 3" xfId="24292"/>
    <cellStyle name="60% - Accent2 13" xfId="24293"/>
    <cellStyle name="60% - Accent2 13 2" xfId="24294"/>
    <cellStyle name="60% - Accent2 13 3" xfId="24295"/>
    <cellStyle name="60% - Accent2 14" xfId="24296"/>
    <cellStyle name="60% - Accent2 14 2" xfId="24297"/>
    <cellStyle name="60% - Accent2 14 3" xfId="24298"/>
    <cellStyle name="60% - Accent2 15" xfId="24299"/>
    <cellStyle name="60% - Accent2 15 2" xfId="24300"/>
    <cellStyle name="60% - Accent2 15 2 2" xfId="24301"/>
    <cellStyle name="60% - Accent2 15 2 3" xfId="24302"/>
    <cellStyle name="60% - Accent2 15 3" xfId="24303"/>
    <cellStyle name="60% - Accent2 15 4" xfId="24304"/>
    <cellStyle name="60% - Accent2 16" xfId="24305"/>
    <cellStyle name="60% - Accent2 16 2" xfId="24306"/>
    <cellStyle name="60% - Accent2 16 3" xfId="24307"/>
    <cellStyle name="60% - Accent2 17" xfId="24308"/>
    <cellStyle name="60% - Accent2 18" xfId="24309"/>
    <cellStyle name="60% - Accent2 2" xfId="55"/>
    <cellStyle name="60% - Accent2 2 10" xfId="24310"/>
    <cellStyle name="60% - Accent2 2 10 2" xfId="24311"/>
    <cellStyle name="60% - Accent2 2 10 3" xfId="24312"/>
    <cellStyle name="60% - Accent2 2 11" xfId="24313"/>
    <cellStyle name="60% - Accent2 2 11 2" xfId="24314"/>
    <cellStyle name="60% - Accent2 2 11 3" xfId="24315"/>
    <cellStyle name="60% - Accent2 2 12" xfId="24316"/>
    <cellStyle name="60% - Accent2 2 12 2" xfId="24317"/>
    <cellStyle name="60% - Accent2 2 12 3" xfId="24318"/>
    <cellStyle name="60% - Accent2 2 13" xfId="24319"/>
    <cellStyle name="60% - Accent2 2 13 2" xfId="24320"/>
    <cellStyle name="60% - Accent2 2 14" xfId="24321"/>
    <cellStyle name="60% - Accent2 2 15" xfId="24322"/>
    <cellStyle name="60% - Accent2 2 16" xfId="24323"/>
    <cellStyle name="60% - Accent2 2 2" xfId="416"/>
    <cellStyle name="60% - Accent2 2 2 10" xfId="24324"/>
    <cellStyle name="60% - Accent2 2 2 10 2" xfId="24325"/>
    <cellStyle name="60% - Accent2 2 2 10 3" xfId="24326"/>
    <cellStyle name="60% - Accent2 2 2 11" xfId="24327"/>
    <cellStyle name="60% - Accent2 2 2 12" xfId="24328"/>
    <cellStyle name="60% - Accent2 2 2 2" xfId="24329"/>
    <cellStyle name="60% - Accent2 2 2 2 10" xfId="24330"/>
    <cellStyle name="60% - Accent2 2 2 2 10 2" xfId="24331"/>
    <cellStyle name="60% - Accent2 2 2 2 10 3" xfId="24332"/>
    <cellStyle name="60% - Accent2 2 2 2 11" xfId="24333"/>
    <cellStyle name="60% - Accent2 2 2 2 12" xfId="24334"/>
    <cellStyle name="60% - Accent2 2 2 2 13" xfId="24335"/>
    <cellStyle name="60% - Accent2 2 2 2 2" xfId="24336"/>
    <cellStyle name="60% - Accent2 2 2 2 2 2" xfId="24337"/>
    <cellStyle name="60% - Accent2 2 2 2 2 3" xfId="24338"/>
    <cellStyle name="60% - Accent2 2 2 2 3" xfId="24339"/>
    <cellStyle name="60% - Accent2 2 2 2 3 2" xfId="24340"/>
    <cellStyle name="60% - Accent2 2 2 2 3 3" xfId="24341"/>
    <cellStyle name="60% - Accent2 2 2 2 4" xfId="24342"/>
    <cellStyle name="60% - Accent2 2 2 2 4 2" xfId="24343"/>
    <cellStyle name="60% - Accent2 2 2 2 4 3" xfId="24344"/>
    <cellStyle name="60% - Accent2 2 2 2 5" xfId="24345"/>
    <cellStyle name="60% - Accent2 2 2 2 5 2" xfId="24346"/>
    <cellStyle name="60% - Accent2 2 2 2 5 3" xfId="24347"/>
    <cellStyle name="60% - Accent2 2 2 2 6" xfId="24348"/>
    <cellStyle name="60% - Accent2 2 2 2 6 2" xfId="24349"/>
    <cellStyle name="60% - Accent2 2 2 2 6 3" xfId="24350"/>
    <cellStyle name="60% - Accent2 2 2 2 7" xfId="24351"/>
    <cellStyle name="60% - Accent2 2 2 2 7 2" xfId="24352"/>
    <cellStyle name="60% - Accent2 2 2 2 7 3" xfId="24353"/>
    <cellStyle name="60% - Accent2 2 2 2 8" xfId="24354"/>
    <cellStyle name="60% - Accent2 2 2 2 8 2" xfId="24355"/>
    <cellStyle name="60% - Accent2 2 2 2 8 3" xfId="24356"/>
    <cellStyle name="60% - Accent2 2 2 2 9" xfId="24357"/>
    <cellStyle name="60% - Accent2 2 2 2 9 2" xfId="24358"/>
    <cellStyle name="60% - Accent2 2 2 2 9 3" xfId="24359"/>
    <cellStyle name="60% - Accent2 2 2 3" xfId="24360"/>
    <cellStyle name="60% - Accent2 2 2 3 2" xfId="24361"/>
    <cellStyle name="60% - Accent2 2 2 3 3" xfId="24362"/>
    <cellStyle name="60% - Accent2 2 2 4" xfId="24363"/>
    <cellStyle name="60% - Accent2 2 2 4 2" xfId="24364"/>
    <cellStyle name="60% - Accent2 2 2 4 3" xfId="24365"/>
    <cellStyle name="60% - Accent2 2 2 5" xfId="24366"/>
    <cellStyle name="60% - Accent2 2 2 5 2" xfId="24367"/>
    <cellStyle name="60% - Accent2 2 2 5 3" xfId="24368"/>
    <cellStyle name="60% - Accent2 2 2 6" xfId="24369"/>
    <cellStyle name="60% - Accent2 2 2 6 2" xfId="24370"/>
    <cellStyle name="60% - Accent2 2 2 6 3" xfId="24371"/>
    <cellStyle name="60% - Accent2 2 2 7" xfId="24372"/>
    <cellStyle name="60% - Accent2 2 2 7 2" xfId="24373"/>
    <cellStyle name="60% - Accent2 2 2 7 3" xfId="24374"/>
    <cellStyle name="60% - Accent2 2 2 8" xfId="24375"/>
    <cellStyle name="60% - Accent2 2 2 8 2" xfId="24376"/>
    <cellStyle name="60% - Accent2 2 2 8 3" xfId="24377"/>
    <cellStyle name="60% - Accent2 2 2 9" xfId="24378"/>
    <cellStyle name="60% - Accent2 2 2 9 2" xfId="24379"/>
    <cellStyle name="60% - Accent2 2 2 9 3" xfId="24380"/>
    <cellStyle name="60% - Accent2 2 3" xfId="24381"/>
    <cellStyle name="60% - Accent2 2 3 2" xfId="24382"/>
    <cellStyle name="60% - Accent2 2 3 3" xfId="24383"/>
    <cellStyle name="60% - Accent2 2 3 4" xfId="24384"/>
    <cellStyle name="60% - Accent2 2 4" xfId="24385"/>
    <cellStyle name="60% - Accent2 2 4 2" xfId="24386"/>
    <cellStyle name="60% - Accent2 2 4 3" xfId="24387"/>
    <cellStyle name="60% - Accent2 2 5" xfId="24388"/>
    <cellStyle name="60% - Accent2 2 5 2" xfId="24389"/>
    <cellStyle name="60% - Accent2 2 5 3" xfId="24390"/>
    <cellStyle name="60% - Accent2 2 6" xfId="24391"/>
    <cellStyle name="60% - Accent2 2 6 2" xfId="24392"/>
    <cellStyle name="60% - Accent2 2 6 3" xfId="24393"/>
    <cellStyle name="60% - Accent2 2 7" xfId="24394"/>
    <cellStyle name="60% - Accent2 2 7 2" xfId="24395"/>
    <cellStyle name="60% - Accent2 2 7 2 2" xfId="24396"/>
    <cellStyle name="60% - Accent2 2 7 2 3" xfId="24397"/>
    <cellStyle name="60% - Accent2 2 7 3" xfId="24398"/>
    <cellStyle name="60% - Accent2 2 7 4" xfId="24399"/>
    <cellStyle name="60% - Accent2 2 8" xfId="24400"/>
    <cellStyle name="60% - Accent2 2 8 2" xfId="24401"/>
    <cellStyle name="60% - Accent2 2 8 3" xfId="24402"/>
    <cellStyle name="60% - Accent2 2 9" xfId="24403"/>
    <cellStyle name="60% - Accent2 2 9 2" xfId="24404"/>
    <cellStyle name="60% - Accent2 2 9 3" xfId="24405"/>
    <cellStyle name="60% - Accent2 2_1-10 BHU IS" xfId="24406"/>
    <cellStyle name="60% - Accent2 3" xfId="417"/>
    <cellStyle name="60% - Accent2 3 2" xfId="24407"/>
    <cellStyle name="60% - Accent2 3 2 2" xfId="24408"/>
    <cellStyle name="60% - Accent2 3 2 2 2" xfId="24409"/>
    <cellStyle name="60% - Accent2 3 2 2 3" xfId="24410"/>
    <cellStyle name="60% - Accent2 3 2 3" xfId="24411"/>
    <cellStyle name="60% - Accent2 3 2 4" xfId="24412"/>
    <cellStyle name="60% - Accent2 3 2 5" xfId="24413"/>
    <cellStyle name="60% - Accent2 3 3" xfId="24414"/>
    <cellStyle name="60% - Accent2 3 3 2" xfId="24415"/>
    <cellStyle name="60% - Accent2 3 4" xfId="24416"/>
    <cellStyle name="60% - Accent2 4" xfId="418"/>
    <cellStyle name="60% - Accent2 4 2" xfId="24417"/>
    <cellStyle name="60% - Accent2 4 2 2" xfId="24418"/>
    <cellStyle name="60% - Accent2 4 2 3" xfId="24419"/>
    <cellStyle name="60% - Accent2 4 3" xfId="24420"/>
    <cellStyle name="60% - Accent2 4 4" xfId="24421"/>
    <cellStyle name="60% - Accent2 5" xfId="24422"/>
    <cellStyle name="60% - Accent2 5 2" xfId="24423"/>
    <cellStyle name="60% - Accent2 5 2 2" xfId="24424"/>
    <cellStyle name="60% - Accent2 5 2 3" xfId="24425"/>
    <cellStyle name="60% - Accent2 5 3" xfId="24426"/>
    <cellStyle name="60% - Accent2 5 4" xfId="24427"/>
    <cellStyle name="60% - Accent2 6" xfId="24428"/>
    <cellStyle name="60% - Accent2 6 2" xfId="24429"/>
    <cellStyle name="60% - Accent2 6 2 2" xfId="24430"/>
    <cellStyle name="60% - Accent2 6 2 3" xfId="24431"/>
    <cellStyle name="60% - Accent2 6 3" xfId="24432"/>
    <cellStyle name="60% - Accent2 6 4" xfId="24433"/>
    <cellStyle name="60% - Accent2 7" xfId="24434"/>
    <cellStyle name="60% - Accent2 7 2" xfId="24435"/>
    <cellStyle name="60% - Accent2 7 2 2" xfId="24436"/>
    <cellStyle name="60% - Accent2 7 2 3" xfId="24437"/>
    <cellStyle name="60% - Accent2 7 3" xfId="24438"/>
    <cellStyle name="60% - Accent2 7 4" xfId="24439"/>
    <cellStyle name="60% - Accent2 8" xfId="24440"/>
    <cellStyle name="60% - Accent2 8 2" xfId="24441"/>
    <cellStyle name="60% - Accent2 8 2 2" xfId="24442"/>
    <cellStyle name="60% - Accent2 8 2 3" xfId="24443"/>
    <cellStyle name="60% - Accent2 8 3" xfId="24444"/>
    <cellStyle name="60% - Accent2 8 4" xfId="24445"/>
    <cellStyle name="60% - Accent2 9" xfId="24446"/>
    <cellStyle name="60% - Accent2 9 2" xfId="24447"/>
    <cellStyle name="60% - Accent2 9 2 2" xfId="24448"/>
    <cellStyle name="60% - Accent2 9 2 3" xfId="24449"/>
    <cellStyle name="60% - Accent2 9 3" xfId="24450"/>
    <cellStyle name="60% - Accent2 9 4" xfId="24451"/>
    <cellStyle name="60% - Accent3 10" xfId="24452"/>
    <cellStyle name="60% - Accent3 10 2" xfId="24453"/>
    <cellStyle name="60% - Accent3 10 2 2" xfId="24454"/>
    <cellStyle name="60% - Accent3 10 2 3" xfId="24455"/>
    <cellStyle name="60% - Accent3 10 3" xfId="24456"/>
    <cellStyle name="60% - Accent3 10 4" xfId="24457"/>
    <cellStyle name="60% - Accent3 11" xfId="24458"/>
    <cellStyle name="60% - Accent3 11 2" xfId="24459"/>
    <cellStyle name="60% - Accent3 11 2 2" xfId="24460"/>
    <cellStyle name="60% - Accent3 11 2 3" xfId="24461"/>
    <cellStyle name="60% - Accent3 11 3" xfId="24462"/>
    <cellStyle name="60% - Accent3 11 4" xfId="24463"/>
    <cellStyle name="60% - Accent3 12" xfId="24464"/>
    <cellStyle name="60% - Accent3 12 2" xfId="24465"/>
    <cellStyle name="60% - Accent3 12 3" xfId="24466"/>
    <cellStyle name="60% - Accent3 13" xfId="24467"/>
    <cellStyle name="60% - Accent3 13 2" xfId="24468"/>
    <cellStyle name="60% - Accent3 13 3" xfId="24469"/>
    <cellStyle name="60% - Accent3 14" xfId="24470"/>
    <cellStyle name="60% - Accent3 14 2" xfId="24471"/>
    <cellStyle name="60% - Accent3 14 3" xfId="24472"/>
    <cellStyle name="60% - Accent3 15" xfId="24473"/>
    <cellStyle name="60% - Accent3 15 2" xfId="24474"/>
    <cellStyle name="60% - Accent3 15 2 2" xfId="24475"/>
    <cellStyle name="60% - Accent3 15 2 3" xfId="24476"/>
    <cellStyle name="60% - Accent3 15 3" xfId="24477"/>
    <cellStyle name="60% - Accent3 15 4" xfId="24478"/>
    <cellStyle name="60% - Accent3 16" xfId="24479"/>
    <cellStyle name="60% - Accent3 16 2" xfId="24480"/>
    <cellStyle name="60% - Accent3 16 3" xfId="24481"/>
    <cellStyle name="60% - Accent3 17" xfId="24482"/>
    <cellStyle name="60% - Accent3 18" xfId="24483"/>
    <cellStyle name="60% - Accent3 2" xfId="56"/>
    <cellStyle name="60% - Accent3 2 10" xfId="24484"/>
    <cellStyle name="60% - Accent3 2 10 2" xfId="24485"/>
    <cellStyle name="60% - Accent3 2 10 3" xfId="24486"/>
    <cellStyle name="60% - Accent3 2 11" xfId="24487"/>
    <cellStyle name="60% - Accent3 2 11 2" xfId="24488"/>
    <cellStyle name="60% - Accent3 2 11 3" xfId="24489"/>
    <cellStyle name="60% - Accent3 2 12" xfId="24490"/>
    <cellStyle name="60% - Accent3 2 12 2" xfId="24491"/>
    <cellStyle name="60% - Accent3 2 12 3" xfId="24492"/>
    <cellStyle name="60% - Accent3 2 13" xfId="24493"/>
    <cellStyle name="60% - Accent3 2 13 2" xfId="24494"/>
    <cellStyle name="60% - Accent3 2 14" xfId="24495"/>
    <cellStyle name="60% - Accent3 2 15" xfId="24496"/>
    <cellStyle name="60% - Accent3 2 16" xfId="24497"/>
    <cellStyle name="60% - Accent3 2 2" xfId="419"/>
    <cellStyle name="60% - Accent3 2 2 10" xfId="24498"/>
    <cellStyle name="60% - Accent3 2 2 10 2" xfId="24499"/>
    <cellStyle name="60% - Accent3 2 2 10 3" xfId="24500"/>
    <cellStyle name="60% - Accent3 2 2 11" xfId="24501"/>
    <cellStyle name="60% - Accent3 2 2 12" xfId="24502"/>
    <cellStyle name="60% - Accent3 2 2 2" xfId="24503"/>
    <cellStyle name="60% - Accent3 2 2 2 10" xfId="24504"/>
    <cellStyle name="60% - Accent3 2 2 2 10 2" xfId="24505"/>
    <cellStyle name="60% - Accent3 2 2 2 10 3" xfId="24506"/>
    <cellStyle name="60% - Accent3 2 2 2 11" xfId="24507"/>
    <cellStyle name="60% - Accent3 2 2 2 12" xfId="24508"/>
    <cellStyle name="60% - Accent3 2 2 2 13" xfId="24509"/>
    <cellStyle name="60% - Accent3 2 2 2 2" xfId="24510"/>
    <cellStyle name="60% - Accent3 2 2 2 2 2" xfId="24511"/>
    <cellStyle name="60% - Accent3 2 2 2 2 3" xfId="24512"/>
    <cellStyle name="60% - Accent3 2 2 2 3" xfId="24513"/>
    <cellStyle name="60% - Accent3 2 2 2 3 2" xfId="24514"/>
    <cellStyle name="60% - Accent3 2 2 2 3 3" xfId="24515"/>
    <cellStyle name="60% - Accent3 2 2 2 4" xfId="24516"/>
    <cellStyle name="60% - Accent3 2 2 2 4 2" xfId="24517"/>
    <cellStyle name="60% - Accent3 2 2 2 4 3" xfId="24518"/>
    <cellStyle name="60% - Accent3 2 2 2 5" xfId="24519"/>
    <cellStyle name="60% - Accent3 2 2 2 5 2" xfId="24520"/>
    <cellStyle name="60% - Accent3 2 2 2 5 3" xfId="24521"/>
    <cellStyle name="60% - Accent3 2 2 2 6" xfId="24522"/>
    <cellStyle name="60% - Accent3 2 2 2 6 2" xfId="24523"/>
    <cellStyle name="60% - Accent3 2 2 2 6 3" xfId="24524"/>
    <cellStyle name="60% - Accent3 2 2 2 7" xfId="24525"/>
    <cellStyle name="60% - Accent3 2 2 2 7 2" xfId="24526"/>
    <cellStyle name="60% - Accent3 2 2 2 7 3" xfId="24527"/>
    <cellStyle name="60% - Accent3 2 2 2 8" xfId="24528"/>
    <cellStyle name="60% - Accent3 2 2 2 8 2" xfId="24529"/>
    <cellStyle name="60% - Accent3 2 2 2 8 3" xfId="24530"/>
    <cellStyle name="60% - Accent3 2 2 2 9" xfId="24531"/>
    <cellStyle name="60% - Accent3 2 2 2 9 2" xfId="24532"/>
    <cellStyle name="60% - Accent3 2 2 2 9 3" xfId="24533"/>
    <cellStyle name="60% - Accent3 2 2 3" xfId="24534"/>
    <cellStyle name="60% - Accent3 2 2 3 2" xfId="24535"/>
    <cellStyle name="60% - Accent3 2 2 3 3" xfId="24536"/>
    <cellStyle name="60% - Accent3 2 2 4" xfId="24537"/>
    <cellStyle name="60% - Accent3 2 2 4 2" xfId="24538"/>
    <cellStyle name="60% - Accent3 2 2 4 3" xfId="24539"/>
    <cellStyle name="60% - Accent3 2 2 5" xfId="24540"/>
    <cellStyle name="60% - Accent3 2 2 5 2" xfId="24541"/>
    <cellStyle name="60% - Accent3 2 2 5 3" xfId="24542"/>
    <cellStyle name="60% - Accent3 2 2 6" xfId="24543"/>
    <cellStyle name="60% - Accent3 2 2 6 2" xfId="24544"/>
    <cellStyle name="60% - Accent3 2 2 6 3" xfId="24545"/>
    <cellStyle name="60% - Accent3 2 2 7" xfId="24546"/>
    <cellStyle name="60% - Accent3 2 2 7 2" xfId="24547"/>
    <cellStyle name="60% - Accent3 2 2 7 3" xfId="24548"/>
    <cellStyle name="60% - Accent3 2 2 8" xfId="24549"/>
    <cellStyle name="60% - Accent3 2 2 8 2" xfId="24550"/>
    <cellStyle name="60% - Accent3 2 2 8 3" xfId="24551"/>
    <cellStyle name="60% - Accent3 2 2 9" xfId="24552"/>
    <cellStyle name="60% - Accent3 2 2 9 2" xfId="24553"/>
    <cellStyle name="60% - Accent3 2 2 9 3" xfId="24554"/>
    <cellStyle name="60% - Accent3 2 3" xfId="24555"/>
    <cellStyle name="60% - Accent3 2 3 2" xfId="24556"/>
    <cellStyle name="60% - Accent3 2 3 3" xfId="24557"/>
    <cellStyle name="60% - Accent3 2 3 4" xfId="24558"/>
    <cellStyle name="60% - Accent3 2 4" xfId="24559"/>
    <cellStyle name="60% - Accent3 2 4 2" xfId="24560"/>
    <cellStyle name="60% - Accent3 2 4 3" xfId="24561"/>
    <cellStyle name="60% - Accent3 2 5" xfId="24562"/>
    <cellStyle name="60% - Accent3 2 5 2" xfId="24563"/>
    <cellStyle name="60% - Accent3 2 5 3" xfId="24564"/>
    <cellStyle name="60% - Accent3 2 6" xfId="24565"/>
    <cellStyle name="60% - Accent3 2 6 2" xfId="24566"/>
    <cellStyle name="60% - Accent3 2 6 3" xfId="24567"/>
    <cellStyle name="60% - Accent3 2 7" xfId="24568"/>
    <cellStyle name="60% - Accent3 2 7 2" xfId="24569"/>
    <cellStyle name="60% - Accent3 2 7 2 2" xfId="24570"/>
    <cellStyle name="60% - Accent3 2 7 2 3" xfId="24571"/>
    <cellStyle name="60% - Accent3 2 7 3" xfId="24572"/>
    <cellStyle name="60% - Accent3 2 7 4" xfId="24573"/>
    <cellStyle name="60% - Accent3 2 8" xfId="24574"/>
    <cellStyle name="60% - Accent3 2 8 2" xfId="24575"/>
    <cellStyle name="60% - Accent3 2 8 3" xfId="24576"/>
    <cellStyle name="60% - Accent3 2 9" xfId="24577"/>
    <cellStyle name="60% - Accent3 2 9 2" xfId="24578"/>
    <cellStyle name="60% - Accent3 2 9 3" xfId="24579"/>
    <cellStyle name="60% - Accent3 2_1-10 BHU IS" xfId="24580"/>
    <cellStyle name="60% - Accent3 3" xfId="420"/>
    <cellStyle name="60% - Accent3 3 2" xfId="24581"/>
    <cellStyle name="60% - Accent3 3 2 2" xfId="24582"/>
    <cellStyle name="60% - Accent3 3 2 2 2" xfId="24583"/>
    <cellStyle name="60% - Accent3 3 2 2 3" xfId="24584"/>
    <cellStyle name="60% - Accent3 3 2 3" xfId="24585"/>
    <cellStyle name="60% - Accent3 3 2 4" xfId="24586"/>
    <cellStyle name="60% - Accent3 3 2 5" xfId="24587"/>
    <cellStyle name="60% - Accent3 3 3" xfId="24588"/>
    <cellStyle name="60% - Accent3 3 3 2" xfId="24589"/>
    <cellStyle name="60% - Accent3 3 4" xfId="24590"/>
    <cellStyle name="60% - Accent3 4" xfId="421"/>
    <cellStyle name="60% - Accent3 4 2" xfId="24591"/>
    <cellStyle name="60% - Accent3 4 2 2" xfId="24592"/>
    <cellStyle name="60% - Accent3 4 2 3" xfId="24593"/>
    <cellStyle name="60% - Accent3 4 3" xfId="24594"/>
    <cellStyle name="60% - Accent3 4 4" xfId="24595"/>
    <cellStyle name="60% - Accent3 5" xfId="24596"/>
    <cellStyle name="60% - Accent3 5 2" xfId="24597"/>
    <cellStyle name="60% - Accent3 5 2 2" xfId="24598"/>
    <cellStyle name="60% - Accent3 5 2 3" xfId="24599"/>
    <cellStyle name="60% - Accent3 5 3" xfId="24600"/>
    <cellStyle name="60% - Accent3 5 4" xfId="24601"/>
    <cellStyle name="60% - Accent3 6" xfId="24602"/>
    <cellStyle name="60% - Accent3 6 2" xfId="24603"/>
    <cellStyle name="60% - Accent3 6 2 2" xfId="24604"/>
    <cellStyle name="60% - Accent3 6 2 3" xfId="24605"/>
    <cellStyle name="60% - Accent3 6 3" xfId="24606"/>
    <cellStyle name="60% - Accent3 6 4" xfId="24607"/>
    <cellStyle name="60% - Accent3 7" xfId="24608"/>
    <cellStyle name="60% - Accent3 7 2" xfId="24609"/>
    <cellStyle name="60% - Accent3 7 2 2" xfId="24610"/>
    <cellStyle name="60% - Accent3 7 2 3" xfId="24611"/>
    <cellStyle name="60% - Accent3 7 3" xfId="24612"/>
    <cellStyle name="60% - Accent3 7 4" xfId="24613"/>
    <cellStyle name="60% - Accent3 8" xfId="24614"/>
    <cellStyle name="60% - Accent3 8 2" xfId="24615"/>
    <cellStyle name="60% - Accent3 8 2 2" xfId="24616"/>
    <cellStyle name="60% - Accent3 8 2 3" xfId="24617"/>
    <cellStyle name="60% - Accent3 8 3" xfId="24618"/>
    <cellStyle name="60% - Accent3 8 4" xfId="24619"/>
    <cellStyle name="60% - Accent3 9" xfId="24620"/>
    <cellStyle name="60% - Accent3 9 2" xfId="24621"/>
    <cellStyle name="60% - Accent3 9 2 2" xfId="24622"/>
    <cellStyle name="60% - Accent3 9 2 3" xfId="24623"/>
    <cellStyle name="60% - Accent3 9 3" xfId="24624"/>
    <cellStyle name="60% - Accent3 9 4" xfId="24625"/>
    <cellStyle name="60% - Accent4 10" xfId="24626"/>
    <cellStyle name="60% - Accent4 10 2" xfId="24627"/>
    <cellStyle name="60% - Accent4 10 2 2" xfId="24628"/>
    <cellStyle name="60% - Accent4 10 2 3" xfId="24629"/>
    <cellStyle name="60% - Accent4 10 3" xfId="24630"/>
    <cellStyle name="60% - Accent4 10 4" xfId="24631"/>
    <cellStyle name="60% - Accent4 11" xfId="24632"/>
    <cellStyle name="60% - Accent4 11 2" xfId="24633"/>
    <cellStyle name="60% - Accent4 11 2 2" xfId="24634"/>
    <cellStyle name="60% - Accent4 11 2 3" xfId="24635"/>
    <cellStyle name="60% - Accent4 11 3" xfId="24636"/>
    <cellStyle name="60% - Accent4 11 4" xfId="24637"/>
    <cellStyle name="60% - Accent4 12" xfId="24638"/>
    <cellStyle name="60% - Accent4 12 2" xfId="24639"/>
    <cellStyle name="60% - Accent4 12 3" xfId="24640"/>
    <cellStyle name="60% - Accent4 13" xfId="24641"/>
    <cellStyle name="60% - Accent4 13 2" xfId="24642"/>
    <cellStyle name="60% - Accent4 13 3" xfId="24643"/>
    <cellStyle name="60% - Accent4 14" xfId="24644"/>
    <cellStyle name="60% - Accent4 14 2" xfId="24645"/>
    <cellStyle name="60% - Accent4 14 3" xfId="24646"/>
    <cellStyle name="60% - Accent4 15" xfId="24647"/>
    <cellStyle name="60% - Accent4 15 2" xfId="24648"/>
    <cellStyle name="60% - Accent4 15 2 2" xfId="24649"/>
    <cellStyle name="60% - Accent4 15 2 3" xfId="24650"/>
    <cellStyle name="60% - Accent4 15 3" xfId="24651"/>
    <cellStyle name="60% - Accent4 15 4" xfId="24652"/>
    <cellStyle name="60% - Accent4 16" xfId="24653"/>
    <cellStyle name="60% - Accent4 16 2" xfId="24654"/>
    <cellStyle name="60% - Accent4 16 3" xfId="24655"/>
    <cellStyle name="60% - Accent4 17" xfId="24656"/>
    <cellStyle name="60% - Accent4 18" xfId="24657"/>
    <cellStyle name="60% - Accent4 2" xfId="57"/>
    <cellStyle name="60% - Accent4 2 10" xfId="24658"/>
    <cellStyle name="60% - Accent4 2 10 2" xfId="24659"/>
    <cellStyle name="60% - Accent4 2 10 3" xfId="24660"/>
    <cellStyle name="60% - Accent4 2 11" xfId="24661"/>
    <cellStyle name="60% - Accent4 2 11 2" xfId="24662"/>
    <cellStyle name="60% - Accent4 2 11 3" xfId="24663"/>
    <cellStyle name="60% - Accent4 2 12" xfId="24664"/>
    <cellStyle name="60% - Accent4 2 12 2" xfId="24665"/>
    <cellStyle name="60% - Accent4 2 12 3" xfId="24666"/>
    <cellStyle name="60% - Accent4 2 13" xfId="24667"/>
    <cellStyle name="60% - Accent4 2 13 2" xfId="24668"/>
    <cellStyle name="60% - Accent4 2 14" xfId="24669"/>
    <cellStyle name="60% - Accent4 2 15" xfId="24670"/>
    <cellStyle name="60% - Accent4 2 16" xfId="24671"/>
    <cellStyle name="60% - Accent4 2 2" xfId="422"/>
    <cellStyle name="60% - Accent4 2 2 10" xfId="24672"/>
    <cellStyle name="60% - Accent4 2 2 10 2" xfId="24673"/>
    <cellStyle name="60% - Accent4 2 2 10 3" xfId="24674"/>
    <cellStyle name="60% - Accent4 2 2 11" xfId="24675"/>
    <cellStyle name="60% - Accent4 2 2 12" xfId="24676"/>
    <cellStyle name="60% - Accent4 2 2 2" xfId="24677"/>
    <cellStyle name="60% - Accent4 2 2 2 10" xfId="24678"/>
    <cellStyle name="60% - Accent4 2 2 2 10 2" xfId="24679"/>
    <cellStyle name="60% - Accent4 2 2 2 10 3" xfId="24680"/>
    <cellStyle name="60% - Accent4 2 2 2 11" xfId="24681"/>
    <cellStyle name="60% - Accent4 2 2 2 12" xfId="24682"/>
    <cellStyle name="60% - Accent4 2 2 2 13" xfId="24683"/>
    <cellStyle name="60% - Accent4 2 2 2 2" xfId="24684"/>
    <cellStyle name="60% - Accent4 2 2 2 2 2" xfId="24685"/>
    <cellStyle name="60% - Accent4 2 2 2 2 3" xfId="24686"/>
    <cellStyle name="60% - Accent4 2 2 2 3" xfId="24687"/>
    <cellStyle name="60% - Accent4 2 2 2 3 2" xfId="24688"/>
    <cellStyle name="60% - Accent4 2 2 2 3 3" xfId="24689"/>
    <cellStyle name="60% - Accent4 2 2 2 4" xfId="24690"/>
    <cellStyle name="60% - Accent4 2 2 2 4 2" xfId="24691"/>
    <cellStyle name="60% - Accent4 2 2 2 4 3" xfId="24692"/>
    <cellStyle name="60% - Accent4 2 2 2 5" xfId="24693"/>
    <cellStyle name="60% - Accent4 2 2 2 5 2" xfId="24694"/>
    <cellStyle name="60% - Accent4 2 2 2 5 3" xfId="24695"/>
    <cellStyle name="60% - Accent4 2 2 2 6" xfId="24696"/>
    <cellStyle name="60% - Accent4 2 2 2 6 2" xfId="24697"/>
    <cellStyle name="60% - Accent4 2 2 2 6 3" xfId="24698"/>
    <cellStyle name="60% - Accent4 2 2 2 7" xfId="24699"/>
    <cellStyle name="60% - Accent4 2 2 2 7 2" xfId="24700"/>
    <cellStyle name="60% - Accent4 2 2 2 7 3" xfId="24701"/>
    <cellStyle name="60% - Accent4 2 2 2 8" xfId="24702"/>
    <cellStyle name="60% - Accent4 2 2 2 8 2" xfId="24703"/>
    <cellStyle name="60% - Accent4 2 2 2 8 3" xfId="24704"/>
    <cellStyle name="60% - Accent4 2 2 2 9" xfId="24705"/>
    <cellStyle name="60% - Accent4 2 2 2 9 2" xfId="24706"/>
    <cellStyle name="60% - Accent4 2 2 2 9 3" xfId="24707"/>
    <cellStyle name="60% - Accent4 2 2 3" xfId="24708"/>
    <cellStyle name="60% - Accent4 2 2 3 2" xfId="24709"/>
    <cellStyle name="60% - Accent4 2 2 3 3" xfId="24710"/>
    <cellStyle name="60% - Accent4 2 2 4" xfId="24711"/>
    <cellStyle name="60% - Accent4 2 2 4 2" xfId="24712"/>
    <cellStyle name="60% - Accent4 2 2 4 3" xfId="24713"/>
    <cellStyle name="60% - Accent4 2 2 5" xfId="24714"/>
    <cellStyle name="60% - Accent4 2 2 5 2" xfId="24715"/>
    <cellStyle name="60% - Accent4 2 2 5 3" xfId="24716"/>
    <cellStyle name="60% - Accent4 2 2 6" xfId="24717"/>
    <cellStyle name="60% - Accent4 2 2 6 2" xfId="24718"/>
    <cellStyle name="60% - Accent4 2 2 6 3" xfId="24719"/>
    <cellStyle name="60% - Accent4 2 2 7" xfId="24720"/>
    <cellStyle name="60% - Accent4 2 2 7 2" xfId="24721"/>
    <cellStyle name="60% - Accent4 2 2 7 3" xfId="24722"/>
    <cellStyle name="60% - Accent4 2 2 8" xfId="24723"/>
    <cellStyle name="60% - Accent4 2 2 8 2" xfId="24724"/>
    <cellStyle name="60% - Accent4 2 2 8 3" xfId="24725"/>
    <cellStyle name="60% - Accent4 2 2 9" xfId="24726"/>
    <cellStyle name="60% - Accent4 2 2 9 2" xfId="24727"/>
    <cellStyle name="60% - Accent4 2 2 9 3" xfId="24728"/>
    <cellStyle name="60% - Accent4 2 3" xfId="24729"/>
    <cellStyle name="60% - Accent4 2 3 2" xfId="24730"/>
    <cellStyle name="60% - Accent4 2 3 3" xfId="24731"/>
    <cellStyle name="60% - Accent4 2 3 4" xfId="24732"/>
    <cellStyle name="60% - Accent4 2 4" xfId="24733"/>
    <cellStyle name="60% - Accent4 2 4 2" xfId="24734"/>
    <cellStyle name="60% - Accent4 2 4 3" xfId="24735"/>
    <cellStyle name="60% - Accent4 2 5" xfId="24736"/>
    <cellStyle name="60% - Accent4 2 5 2" xfId="24737"/>
    <cellStyle name="60% - Accent4 2 5 3" xfId="24738"/>
    <cellStyle name="60% - Accent4 2 6" xfId="24739"/>
    <cellStyle name="60% - Accent4 2 6 2" xfId="24740"/>
    <cellStyle name="60% - Accent4 2 6 3" xfId="24741"/>
    <cellStyle name="60% - Accent4 2 7" xfId="24742"/>
    <cellStyle name="60% - Accent4 2 7 2" xfId="24743"/>
    <cellStyle name="60% - Accent4 2 7 2 2" xfId="24744"/>
    <cellStyle name="60% - Accent4 2 7 2 3" xfId="24745"/>
    <cellStyle name="60% - Accent4 2 7 3" xfId="24746"/>
    <cellStyle name="60% - Accent4 2 7 4" xfId="24747"/>
    <cellStyle name="60% - Accent4 2 8" xfId="24748"/>
    <cellStyle name="60% - Accent4 2 8 2" xfId="24749"/>
    <cellStyle name="60% - Accent4 2 8 3" xfId="24750"/>
    <cellStyle name="60% - Accent4 2 9" xfId="24751"/>
    <cellStyle name="60% - Accent4 2 9 2" xfId="24752"/>
    <cellStyle name="60% - Accent4 2 9 3" xfId="24753"/>
    <cellStyle name="60% - Accent4 2_1-10 BHU IS" xfId="24754"/>
    <cellStyle name="60% - Accent4 3" xfId="423"/>
    <cellStyle name="60% - Accent4 3 2" xfId="24755"/>
    <cellStyle name="60% - Accent4 3 2 2" xfId="24756"/>
    <cellStyle name="60% - Accent4 3 2 2 2" xfId="24757"/>
    <cellStyle name="60% - Accent4 3 2 2 3" xfId="24758"/>
    <cellStyle name="60% - Accent4 3 2 3" xfId="24759"/>
    <cellStyle name="60% - Accent4 3 2 4" xfId="24760"/>
    <cellStyle name="60% - Accent4 3 2 5" xfId="24761"/>
    <cellStyle name="60% - Accent4 3 3" xfId="24762"/>
    <cellStyle name="60% - Accent4 3 3 2" xfId="24763"/>
    <cellStyle name="60% - Accent4 3 4" xfId="24764"/>
    <cellStyle name="60% - Accent4 4" xfId="424"/>
    <cellStyle name="60% - Accent4 4 2" xfId="24765"/>
    <cellStyle name="60% - Accent4 4 2 2" xfId="24766"/>
    <cellStyle name="60% - Accent4 4 2 3" xfId="24767"/>
    <cellStyle name="60% - Accent4 4 3" xfId="24768"/>
    <cellStyle name="60% - Accent4 4 4" xfId="24769"/>
    <cellStyle name="60% - Accent4 5" xfId="24770"/>
    <cellStyle name="60% - Accent4 5 2" xfId="24771"/>
    <cellStyle name="60% - Accent4 5 2 2" xfId="24772"/>
    <cellStyle name="60% - Accent4 5 2 3" xfId="24773"/>
    <cellStyle name="60% - Accent4 5 3" xfId="24774"/>
    <cellStyle name="60% - Accent4 5 4" xfId="24775"/>
    <cellStyle name="60% - Accent4 6" xfId="24776"/>
    <cellStyle name="60% - Accent4 6 2" xfId="24777"/>
    <cellStyle name="60% - Accent4 6 2 2" xfId="24778"/>
    <cellStyle name="60% - Accent4 6 2 3" xfId="24779"/>
    <cellStyle name="60% - Accent4 6 3" xfId="24780"/>
    <cellStyle name="60% - Accent4 6 4" xfId="24781"/>
    <cellStyle name="60% - Accent4 7" xfId="24782"/>
    <cellStyle name="60% - Accent4 7 2" xfId="24783"/>
    <cellStyle name="60% - Accent4 7 2 2" xfId="24784"/>
    <cellStyle name="60% - Accent4 7 2 3" xfId="24785"/>
    <cellStyle name="60% - Accent4 7 3" xfId="24786"/>
    <cellStyle name="60% - Accent4 7 4" xfId="24787"/>
    <cellStyle name="60% - Accent4 8" xfId="24788"/>
    <cellStyle name="60% - Accent4 8 2" xfId="24789"/>
    <cellStyle name="60% - Accent4 8 2 2" xfId="24790"/>
    <cellStyle name="60% - Accent4 8 2 3" xfId="24791"/>
    <cellStyle name="60% - Accent4 8 3" xfId="24792"/>
    <cellStyle name="60% - Accent4 8 4" xfId="24793"/>
    <cellStyle name="60% - Accent4 9" xfId="24794"/>
    <cellStyle name="60% - Accent4 9 2" xfId="24795"/>
    <cellStyle name="60% - Accent4 9 2 2" xfId="24796"/>
    <cellStyle name="60% - Accent4 9 2 3" xfId="24797"/>
    <cellStyle name="60% - Accent4 9 3" xfId="24798"/>
    <cellStyle name="60% - Accent4 9 4" xfId="24799"/>
    <cellStyle name="60% - Accent5 10" xfId="24800"/>
    <cellStyle name="60% - Accent5 10 2" xfId="24801"/>
    <cellStyle name="60% - Accent5 10 2 2" xfId="24802"/>
    <cellStyle name="60% - Accent5 10 2 3" xfId="24803"/>
    <cellStyle name="60% - Accent5 10 3" xfId="24804"/>
    <cellStyle name="60% - Accent5 10 4" xfId="24805"/>
    <cellStyle name="60% - Accent5 11" xfId="24806"/>
    <cellStyle name="60% - Accent5 11 2" xfId="24807"/>
    <cellStyle name="60% - Accent5 11 2 2" xfId="24808"/>
    <cellStyle name="60% - Accent5 11 2 3" xfId="24809"/>
    <cellStyle name="60% - Accent5 11 3" xfId="24810"/>
    <cellStyle name="60% - Accent5 11 4" xfId="24811"/>
    <cellStyle name="60% - Accent5 12" xfId="24812"/>
    <cellStyle name="60% - Accent5 12 2" xfId="24813"/>
    <cellStyle name="60% - Accent5 12 3" xfId="24814"/>
    <cellStyle name="60% - Accent5 13" xfId="24815"/>
    <cellStyle name="60% - Accent5 13 2" xfId="24816"/>
    <cellStyle name="60% - Accent5 13 3" xfId="24817"/>
    <cellStyle name="60% - Accent5 14" xfId="24818"/>
    <cellStyle name="60% - Accent5 14 2" xfId="24819"/>
    <cellStyle name="60% - Accent5 14 3" xfId="24820"/>
    <cellStyle name="60% - Accent5 15" xfId="24821"/>
    <cellStyle name="60% - Accent5 15 2" xfId="24822"/>
    <cellStyle name="60% - Accent5 15 2 2" xfId="24823"/>
    <cellStyle name="60% - Accent5 15 2 3" xfId="24824"/>
    <cellStyle name="60% - Accent5 15 3" xfId="24825"/>
    <cellStyle name="60% - Accent5 15 4" xfId="24826"/>
    <cellStyle name="60% - Accent5 16" xfId="24827"/>
    <cellStyle name="60% - Accent5 16 2" xfId="24828"/>
    <cellStyle name="60% - Accent5 16 3" xfId="24829"/>
    <cellStyle name="60% - Accent5 17" xfId="24830"/>
    <cellStyle name="60% - Accent5 18" xfId="24831"/>
    <cellStyle name="60% - Accent5 2" xfId="58"/>
    <cellStyle name="60% - Accent5 2 10" xfId="24832"/>
    <cellStyle name="60% - Accent5 2 10 2" xfId="24833"/>
    <cellStyle name="60% - Accent5 2 10 3" xfId="24834"/>
    <cellStyle name="60% - Accent5 2 11" xfId="24835"/>
    <cellStyle name="60% - Accent5 2 11 2" xfId="24836"/>
    <cellStyle name="60% - Accent5 2 11 3" xfId="24837"/>
    <cellStyle name="60% - Accent5 2 12" xfId="24838"/>
    <cellStyle name="60% - Accent5 2 12 2" xfId="24839"/>
    <cellStyle name="60% - Accent5 2 12 3" xfId="24840"/>
    <cellStyle name="60% - Accent5 2 13" xfId="24841"/>
    <cellStyle name="60% - Accent5 2 13 2" xfId="24842"/>
    <cellStyle name="60% - Accent5 2 14" xfId="24843"/>
    <cellStyle name="60% - Accent5 2 15" xfId="24844"/>
    <cellStyle name="60% - Accent5 2 16" xfId="24845"/>
    <cellStyle name="60% - Accent5 2 2" xfId="425"/>
    <cellStyle name="60% - Accent5 2 2 10" xfId="24846"/>
    <cellStyle name="60% - Accent5 2 2 10 2" xfId="24847"/>
    <cellStyle name="60% - Accent5 2 2 10 3" xfId="24848"/>
    <cellStyle name="60% - Accent5 2 2 11" xfId="24849"/>
    <cellStyle name="60% - Accent5 2 2 12" xfId="24850"/>
    <cellStyle name="60% - Accent5 2 2 2" xfId="24851"/>
    <cellStyle name="60% - Accent5 2 2 2 10" xfId="24852"/>
    <cellStyle name="60% - Accent5 2 2 2 10 2" xfId="24853"/>
    <cellStyle name="60% - Accent5 2 2 2 10 3" xfId="24854"/>
    <cellStyle name="60% - Accent5 2 2 2 11" xfId="24855"/>
    <cellStyle name="60% - Accent5 2 2 2 12" xfId="24856"/>
    <cellStyle name="60% - Accent5 2 2 2 13" xfId="24857"/>
    <cellStyle name="60% - Accent5 2 2 2 2" xfId="24858"/>
    <cellStyle name="60% - Accent5 2 2 2 2 2" xfId="24859"/>
    <cellStyle name="60% - Accent5 2 2 2 2 3" xfId="24860"/>
    <cellStyle name="60% - Accent5 2 2 2 3" xfId="24861"/>
    <cellStyle name="60% - Accent5 2 2 2 3 2" xfId="24862"/>
    <cellStyle name="60% - Accent5 2 2 2 3 3" xfId="24863"/>
    <cellStyle name="60% - Accent5 2 2 2 4" xfId="24864"/>
    <cellStyle name="60% - Accent5 2 2 2 4 2" xfId="24865"/>
    <cellStyle name="60% - Accent5 2 2 2 4 3" xfId="24866"/>
    <cellStyle name="60% - Accent5 2 2 2 5" xfId="24867"/>
    <cellStyle name="60% - Accent5 2 2 2 5 2" xfId="24868"/>
    <cellStyle name="60% - Accent5 2 2 2 5 3" xfId="24869"/>
    <cellStyle name="60% - Accent5 2 2 2 6" xfId="24870"/>
    <cellStyle name="60% - Accent5 2 2 2 6 2" xfId="24871"/>
    <cellStyle name="60% - Accent5 2 2 2 6 3" xfId="24872"/>
    <cellStyle name="60% - Accent5 2 2 2 7" xfId="24873"/>
    <cellStyle name="60% - Accent5 2 2 2 7 2" xfId="24874"/>
    <cellStyle name="60% - Accent5 2 2 2 7 3" xfId="24875"/>
    <cellStyle name="60% - Accent5 2 2 2 8" xfId="24876"/>
    <cellStyle name="60% - Accent5 2 2 2 8 2" xfId="24877"/>
    <cellStyle name="60% - Accent5 2 2 2 8 3" xfId="24878"/>
    <cellStyle name="60% - Accent5 2 2 2 9" xfId="24879"/>
    <cellStyle name="60% - Accent5 2 2 2 9 2" xfId="24880"/>
    <cellStyle name="60% - Accent5 2 2 2 9 3" xfId="24881"/>
    <cellStyle name="60% - Accent5 2 2 3" xfId="24882"/>
    <cellStyle name="60% - Accent5 2 2 3 2" xfId="24883"/>
    <cellStyle name="60% - Accent5 2 2 3 3" xfId="24884"/>
    <cellStyle name="60% - Accent5 2 2 4" xfId="24885"/>
    <cellStyle name="60% - Accent5 2 2 4 2" xfId="24886"/>
    <cellStyle name="60% - Accent5 2 2 4 3" xfId="24887"/>
    <cellStyle name="60% - Accent5 2 2 5" xfId="24888"/>
    <cellStyle name="60% - Accent5 2 2 5 2" xfId="24889"/>
    <cellStyle name="60% - Accent5 2 2 5 3" xfId="24890"/>
    <cellStyle name="60% - Accent5 2 2 6" xfId="24891"/>
    <cellStyle name="60% - Accent5 2 2 6 2" xfId="24892"/>
    <cellStyle name="60% - Accent5 2 2 6 3" xfId="24893"/>
    <cellStyle name="60% - Accent5 2 2 7" xfId="24894"/>
    <cellStyle name="60% - Accent5 2 2 7 2" xfId="24895"/>
    <cellStyle name="60% - Accent5 2 2 7 3" xfId="24896"/>
    <cellStyle name="60% - Accent5 2 2 8" xfId="24897"/>
    <cellStyle name="60% - Accent5 2 2 8 2" xfId="24898"/>
    <cellStyle name="60% - Accent5 2 2 8 3" xfId="24899"/>
    <cellStyle name="60% - Accent5 2 2 9" xfId="24900"/>
    <cellStyle name="60% - Accent5 2 2 9 2" xfId="24901"/>
    <cellStyle name="60% - Accent5 2 2 9 3" xfId="24902"/>
    <cellStyle name="60% - Accent5 2 3" xfId="24903"/>
    <cellStyle name="60% - Accent5 2 3 2" xfId="24904"/>
    <cellStyle name="60% - Accent5 2 3 3" xfId="24905"/>
    <cellStyle name="60% - Accent5 2 3 4" xfId="24906"/>
    <cellStyle name="60% - Accent5 2 4" xfId="24907"/>
    <cellStyle name="60% - Accent5 2 4 2" xfId="24908"/>
    <cellStyle name="60% - Accent5 2 4 3" xfId="24909"/>
    <cellStyle name="60% - Accent5 2 5" xfId="24910"/>
    <cellStyle name="60% - Accent5 2 5 2" xfId="24911"/>
    <cellStyle name="60% - Accent5 2 5 3" xfId="24912"/>
    <cellStyle name="60% - Accent5 2 6" xfId="24913"/>
    <cellStyle name="60% - Accent5 2 6 2" xfId="24914"/>
    <cellStyle name="60% - Accent5 2 6 3" xfId="24915"/>
    <cellStyle name="60% - Accent5 2 7" xfId="24916"/>
    <cellStyle name="60% - Accent5 2 7 2" xfId="24917"/>
    <cellStyle name="60% - Accent5 2 7 2 2" xfId="24918"/>
    <cellStyle name="60% - Accent5 2 7 2 3" xfId="24919"/>
    <cellStyle name="60% - Accent5 2 7 3" xfId="24920"/>
    <cellStyle name="60% - Accent5 2 7 4" xfId="24921"/>
    <cellStyle name="60% - Accent5 2 8" xfId="24922"/>
    <cellStyle name="60% - Accent5 2 8 2" xfId="24923"/>
    <cellStyle name="60% - Accent5 2 8 3" xfId="24924"/>
    <cellStyle name="60% - Accent5 2 9" xfId="24925"/>
    <cellStyle name="60% - Accent5 2 9 2" xfId="24926"/>
    <cellStyle name="60% - Accent5 2 9 3" xfId="24927"/>
    <cellStyle name="60% - Accent5 2_1-10 BHU IS" xfId="24928"/>
    <cellStyle name="60% - Accent5 3" xfId="426"/>
    <cellStyle name="60% - Accent5 3 2" xfId="24929"/>
    <cellStyle name="60% - Accent5 3 2 2" xfId="24930"/>
    <cellStyle name="60% - Accent5 3 2 2 2" xfId="24931"/>
    <cellStyle name="60% - Accent5 3 2 2 3" xfId="24932"/>
    <cellStyle name="60% - Accent5 3 2 3" xfId="24933"/>
    <cellStyle name="60% - Accent5 3 2 4" xfId="24934"/>
    <cellStyle name="60% - Accent5 3 2 5" xfId="24935"/>
    <cellStyle name="60% - Accent5 3 3" xfId="24936"/>
    <cellStyle name="60% - Accent5 3 3 2" xfId="24937"/>
    <cellStyle name="60% - Accent5 3 4" xfId="24938"/>
    <cellStyle name="60% - Accent5 4" xfId="427"/>
    <cellStyle name="60% - Accent5 4 2" xfId="24939"/>
    <cellStyle name="60% - Accent5 4 2 2" xfId="24940"/>
    <cellStyle name="60% - Accent5 4 2 3" xfId="24941"/>
    <cellStyle name="60% - Accent5 4 3" xfId="24942"/>
    <cellStyle name="60% - Accent5 4 4" xfId="24943"/>
    <cellStyle name="60% - Accent5 5" xfId="24944"/>
    <cellStyle name="60% - Accent5 5 2" xfId="24945"/>
    <cellStyle name="60% - Accent5 5 2 2" xfId="24946"/>
    <cellStyle name="60% - Accent5 5 2 3" xfId="24947"/>
    <cellStyle name="60% - Accent5 5 3" xfId="24948"/>
    <cellStyle name="60% - Accent5 5 4" xfId="24949"/>
    <cellStyle name="60% - Accent5 6" xfId="24950"/>
    <cellStyle name="60% - Accent5 6 2" xfId="24951"/>
    <cellStyle name="60% - Accent5 6 2 2" xfId="24952"/>
    <cellStyle name="60% - Accent5 6 2 3" xfId="24953"/>
    <cellStyle name="60% - Accent5 6 3" xfId="24954"/>
    <cellStyle name="60% - Accent5 6 4" xfId="24955"/>
    <cellStyle name="60% - Accent5 7" xfId="24956"/>
    <cellStyle name="60% - Accent5 7 2" xfId="24957"/>
    <cellStyle name="60% - Accent5 7 2 2" xfId="24958"/>
    <cellStyle name="60% - Accent5 7 2 3" xfId="24959"/>
    <cellStyle name="60% - Accent5 7 3" xfId="24960"/>
    <cellStyle name="60% - Accent5 7 4" xfId="24961"/>
    <cellStyle name="60% - Accent5 8" xfId="24962"/>
    <cellStyle name="60% - Accent5 8 2" xfId="24963"/>
    <cellStyle name="60% - Accent5 8 2 2" xfId="24964"/>
    <cellStyle name="60% - Accent5 8 2 3" xfId="24965"/>
    <cellStyle name="60% - Accent5 8 3" xfId="24966"/>
    <cellStyle name="60% - Accent5 8 4" xfId="24967"/>
    <cellStyle name="60% - Accent5 9" xfId="24968"/>
    <cellStyle name="60% - Accent5 9 2" xfId="24969"/>
    <cellStyle name="60% - Accent5 9 2 2" xfId="24970"/>
    <cellStyle name="60% - Accent5 9 2 3" xfId="24971"/>
    <cellStyle name="60% - Accent5 9 3" xfId="24972"/>
    <cellStyle name="60% - Accent5 9 4" xfId="24973"/>
    <cellStyle name="60% - Accent6 10" xfId="24974"/>
    <cellStyle name="60% - Accent6 10 2" xfId="24975"/>
    <cellStyle name="60% - Accent6 10 2 2" xfId="24976"/>
    <cellStyle name="60% - Accent6 10 2 3" xfId="24977"/>
    <cellStyle name="60% - Accent6 10 3" xfId="24978"/>
    <cellStyle name="60% - Accent6 10 4" xfId="24979"/>
    <cellStyle name="60% - Accent6 11" xfId="24980"/>
    <cellStyle name="60% - Accent6 11 2" xfId="24981"/>
    <cellStyle name="60% - Accent6 11 2 2" xfId="24982"/>
    <cellStyle name="60% - Accent6 11 2 3" xfId="24983"/>
    <cellStyle name="60% - Accent6 11 3" xfId="24984"/>
    <cellStyle name="60% - Accent6 11 4" xfId="24985"/>
    <cellStyle name="60% - Accent6 12" xfId="24986"/>
    <cellStyle name="60% - Accent6 12 2" xfId="24987"/>
    <cellStyle name="60% - Accent6 12 3" xfId="24988"/>
    <cellStyle name="60% - Accent6 13" xfId="24989"/>
    <cellStyle name="60% - Accent6 13 2" xfId="24990"/>
    <cellStyle name="60% - Accent6 13 3" xfId="24991"/>
    <cellStyle name="60% - Accent6 14" xfId="24992"/>
    <cellStyle name="60% - Accent6 14 2" xfId="24993"/>
    <cellStyle name="60% - Accent6 14 3" xfId="24994"/>
    <cellStyle name="60% - Accent6 15" xfId="24995"/>
    <cellStyle name="60% - Accent6 15 2" xfId="24996"/>
    <cellStyle name="60% - Accent6 15 2 2" xfId="24997"/>
    <cellStyle name="60% - Accent6 15 2 3" xfId="24998"/>
    <cellStyle name="60% - Accent6 15 3" xfId="24999"/>
    <cellStyle name="60% - Accent6 15 4" xfId="25000"/>
    <cellStyle name="60% - Accent6 16" xfId="25001"/>
    <cellStyle name="60% - Accent6 16 2" xfId="25002"/>
    <cellStyle name="60% - Accent6 16 3" xfId="25003"/>
    <cellStyle name="60% - Accent6 17" xfId="25004"/>
    <cellStyle name="60% - Accent6 18" xfId="25005"/>
    <cellStyle name="60% - Accent6 2" xfId="59"/>
    <cellStyle name="60% - Accent6 2 10" xfId="25006"/>
    <cellStyle name="60% - Accent6 2 10 2" xfId="25007"/>
    <cellStyle name="60% - Accent6 2 10 3" xfId="25008"/>
    <cellStyle name="60% - Accent6 2 11" xfId="25009"/>
    <cellStyle name="60% - Accent6 2 11 2" xfId="25010"/>
    <cellStyle name="60% - Accent6 2 11 3" xfId="25011"/>
    <cellStyle name="60% - Accent6 2 12" xfId="25012"/>
    <cellStyle name="60% - Accent6 2 12 2" xfId="25013"/>
    <cellStyle name="60% - Accent6 2 12 3" xfId="25014"/>
    <cellStyle name="60% - Accent6 2 13" xfId="25015"/>
    <cellStyle name="60% - Accent6 2 13 2" xfId="25016"/>
    <cellStyle name="60% - Accent6 2 14" xfId="25017"/>
    <cellStyle name="60% - Accent6 2 15" xfId="25018"/>
    <cellStyle name="60% - Accent6 2 16" xfId="25019"/>
    <cellStyle name="60% - Accent6 2 2" xfId="428"/>
    <cellStyle name="60% - Accent6 2 2 10" xfId="25020"/>
    <cellStyle name="60% - Accent6 2 2 10 2" xfId="25021"/>
    <cellStyle name="60% - Accent6 2 2 10 3" xfId="25022"/>
    <cellStyle name="60% - Accent6 2 2 11" xfId="25023"/>
    <cellStyle name="60% - Accent6 2 2 12" xfId="25024"/>
    <cellStyle name="60% - Accent6 2 2 2" xfId="25025"/>
    <cellStyle name="60% - Accent6 2 2 2 10" xfId="25026"/>
    <cellStyle name="60% - Accent6 2 2 2 10 2" xfId="25027"/>
    <cellStyle name="60% - Accent6 2 2 2 10 3" xfId="25028"/>
    <cellStyle name="60% - Accent6 2 2 2 11" xfId="25029"/>
    <cellStyle name="60% - Accent6 2 2 2 12" xfId="25030"/>
    <cellStyle name="60% - Accent6 2 2 2 13" xfId="25031"/>
    <cellStyle name="60% - Accent6 2 2 2 2" xfId="25032"/>
    <cellStyle name="60% - Accent6 2 2 2 2 2" xfId="25033"/>
    <cellStyle name="60% - Accent6 2 2 2 2 3" xfId="25034"/>
    <cellStyle name="60% - Accent6 2 2 2 3" xfId="25035"/>
    <cellStyle name="60% - Accent6 2 2 2 3 2" xfId="25036"/>
    <cellStyle name="60% - Accent6 2 2 2 3 3" xfId="25037"/>
    <cellStyle name="60% - Accent6 2 2 2 4" xfId="25038"/>
    <cellStyle name="60% - Accent6 2 2 2 4 2" xfId="25039"/>
    <cellStyle name="60% - Accent6 2 2 2 4 3" xfId="25040"/>
    <cellStyle name="60% - Accent6 2 2 2 5" xfId="25041"/>
    <cellStyle name="60% - Accent6 2 2 2 5 2" xfId="25042"/>
    <cellStyle name="60% - Accent6 2 2 2 5 3" xfId="25043"/>
    <cellStyle name="60% - Accent6 2 2 2 6" xfId="25044"/>
    <cellStyle name="60% - Accent6 2 2 2 6 2" xfId="25045"/>
    <cellStyle name="60% - Accent6 2 2 2 6 3" xfId="25046"/>
    <cellStyle name="60% - Accent6 2 2 2 7" xfId="25047"/>
    <cellStyle name="60% - Accent6 2 2 2 7 2" xfId="25048"/>
    <cellStyle name="60% - Accent6 2 2 2 7 3" xfId="25049"/>
    <cellStyle name="60% - Accent6 2 2 2 8" xfId="25050"/>
    <cellStyle name="60% - Accent6 2 2 2 8 2" xfId="25051"/>
    <cellStyle name="60% - Accent6 2 2 2 8 3" xfId="25052"/>
    <cellStyle name="60% - Accent6 2 2 2 9" xfId="25053"/>
    <cellStyle name="60% - Accent6 2 2 2 9 2" xfId="25054"/>
    <cellStyle name="60% - Accent6 2 2 2 9 3" xfId="25055"/>
    <cellStyle name="60% - Accent6 2 2 3" xfId="25056"/>
    <cellStyle name="60% - Accent6 2 2 3 2" xfId="25057"/>
    <cellStyle name="60% - Accent6 2 2 3 3" xfId="25058"/>
    <cellStyle name="60% - Accent6 2 2 4" xfId="25059"/>
    <cellStyle name="60% - Accent6 2 2 4 2" xfId="25060"/>
    <cellStyle name="60% - Accent6 2 2 4 3" xfId="25061"/>
    <cellStyle name="60% - Accent6 2 2 5" xfId="25062"/>
    <cellStyle name="60% - Accent6 2 2 5 2" xfId="25063"/>
    <cellStyle name="60% - Accent6 2 2 5 3" xfId="25064"/>
    <cellStyle name="60% - Accent6 2 2 6" xfId="25065"/>
    <cellStyle name="60% - Accent6 2 2 6 2" xfId="25066"/>
    <cellStyle name="60% - Accent6 2 2 6 3" xfId="25067"/>
    <cellStyle name="60% - Accent6 2 2 7" xfId="25068"/>
    <cellStyle name="60% - Accent6 2 2 7 2" xfId="25069"/>
    <cellStyle name="60% - Accent6 2 2 7 3" xfId="25070"/>
    <cellStyle name="60% - Accent6 2 2 8" xfId="25071"/>
    <cellStyle name="60% - Accent6 2 2 8 2" xfId="25072"/>
    <cellStyle name="60% - Accent6 2 2 8 3" xfId="25073"/>
    <cellStyle name="60% - Accent6 2 2 9" xfId="25074"/>
    <cellStyle name="60% - Accent6 2 2 9 2" xfId="25075"/>
    <cellStyle name="60% - Accent6 2 2 9 3" xfId="25076"/>
    <cellStyle name="60% - Accent6 2 3" xfId="25077"/>
    <cellStyle name="60% - Accent6 2 3 2" xfId="25078"/>
    <cellStyle name="60% - Accent6 2 3 3" xfId="25079"/>
    <cellStyle name="60% - Accent6 2 3 4" xfId="25080"/>
    <cellStyle name="60% - Accent6 2 4" xfId="25081"/>
    <cellStyle name="60% - Accent6 2 4 2" xfId="25082"/>
    <cellStyle name="60% - Accent6 2 4 3" xfId="25083"/>
    <cellStyle name="60% - Accent6 2 5" xfId="25084"/>
    <cellStyle name="60% - Accent6 2 5 2" xfId="25085"/>
    <cellStyle name="60% - Accent6 2 5 3" xfId="25086"/>
    <cellStyle name="60% - Accent6 2 6" xfId="25087"/>
    <cellStyle name="60% - Accent6 2 6 2" xfId="25088"/>
    <cellStyle name="60% - Accent6 2 6 3" xfId="25089"/>
    <cellStyle name="60% - Accent6 2 7" xfId="25090"/>
    <cellStyle name="60% - Accent6 2 7 2" xfId="25091"/>
    <cellStyle name="60% - Accent6 2 7 2 2" xfId="25092"/>
    <cellStyle name="60% - Accent6 2 7 2 3" xfId="25093"/>
    <cellStyle name="60% - Accent6 2 7 3" xfId="25094"/>
    <cellStyle name="60% - Accent6 2 7 4" xfId="25095"/>
    <cellStyle name="60% - Accent6 2 8" xfId="25096"/>
    <cellStyle name="60% - Accent6 2 8 2" xfId="25097"/>
    <cellStyle name="60% - Accent6 2 8 3" xfId="25098"/>
    <cellStyle name="60% - Accent6 2 9" xfId="25099"/>
    <cellStyle name="60% - Accent6 2 9 2" xfId="25100"/>
    <cellStyle name="60% - Accent6 2 9 3" xfId="25101"/>
    <cellStyle name="60% - Accent6 2_1-10 BHU IS" xfId="25102"/>
    <cellStyle name="60% - Accent6 3" xfId="429"/>
    <cellStyle name="60% - Accent6 3 2" xfId="25103"/>
    <cellStyle name="60% - Accent6 3 2 2" xfId="25104"/>
    <cellStyle name="60% - Accent6 3 2 2 2" xfId="25105"/>
    <cellStyle name="60% - Accent6 3 2 2 3" xfId="25106"/>
    <cellStyle name="60% - Accent6 3 2 3" xfId="25107"/>
    <cellStyle name="60% - Accent6 3 2 4" xfId="25108"/>
    <cellStyle name="60% - Accent6 3 2 5" xfId="25109"/>
    <cellStyle name="60% - Accent6 3 3" xfId="25110"/>
    <cellStyle name="60% - Accent6 3 3 2" xfId="25111"/>
    <cellStyle name="60% - Accent6 3 4" xfId="25112"/>
    <cellStyle name="60% - Accent6 4" xfId="430"/>
    <cellStyle name="60% - Accent6 4 2" xfId="25113"/>
    <cellStyle name="60% - Accent6 4 2 2" xfId="25114"/>
    <cellStyle name="60% - Accent6 4 2 3" xfId="25115"/>
    <cellStyle name="60% - Accent6 4 3" xfId="25116"/>
    <cellStyle name="60% - Accent6 4 4" xfId="25117"/>
    <cellStyle name="60% - Accent6 5" xfId="25118"/>
    <cellStyle name="60% - Accent6 5 2" xfId="25119"/>
    <cellStyle name="60% - Accent6 5 2 2" xfId="25120"/>
    <cellStyle name="60% - Accent6 5 2 3" xfId="25121"/>
    <cellStyle name="60% - Accent6 5 3" xfId="25122"/>
    <cellStyle name="60% - Accent6 5 4" xfId="25123"/>
    <cellStyle name="60% - Accent6 6" xfId="25124"/>
    <cellStyle name="60% - Accent6 6 2" xfId="25125"/>
    <cellStyle name="60% - Accent6 6 2 2" xfId="25126"/>
    <cellStyle name="60% - Accent6 6 2 3" xfId="25127"/>
    <cellStyle name="60% - Accent6 6 3" xfId="25128"/>
    <cellStyle name="60% - Accent6 6 4" xfId="25129"/>
    <cellStyle name="60% - Accent6 7" xfId="25130"/>
    <cellStyle name="60% - Accent6 7 2" xfId="25131"/>
    <cellStyle name="60% - Accent6 7 2 2" xfId="25132"/>
    <cellStyle name="60% - Accent6 7 2 3" xfId="25133"/>
    <cellStyle name="60% - Accent6 7 3" xfId="25134"/>
    <cellStyle name="60% - Accent6 7 4" xfId="25135"/>
    <cellStyle name="60% - Accent6 8" xfId="25136"/>
    <cellStyle name="60% - Accent6 8 2" xfId="25137"/>
    <cellStyle name="60% - Accent6 8 2 2" xfId="25138"/>
    <cellStyle name="60% - Accent6 8 2 3" xfId="25139"/>
    <cellStyle name="60% - Accent6 8 3" xfId="25140"/>
    <cellStyle name="60% - Accent6 8 4" xfId="25141"/>
    <cellStyle name="60% - Accent6 9" xfId="25142"/>
    <cellStyle name="60% - Accent6 9 2" xfId="25143"/>
    <cellStyle name="60% - Accent6 9 2 2" xfId="25144"/>
    <cellStyle name="60% - Accent6 9 2 3" xfId="25145"/>
    <cellStyle name="60% - Accent6 9 3" xfId="25146"/>
    <cellStyle name="60% - Accent6 9 4" xfId="25147"/>
    <cellStyle name="Accent1" xfId="138" builtinId="29"/>
    <cellStyle name="Accent1 10" xfId="25148"/>
    <cellStyle name="Accent1 10 2" xfId="25149"/>
    <cellStyle name="Accent1 10 2 2" xfId="25150"/>
    <cellStyle name="Accent1 10 2 3" xfId="25151"/>
    <cellStyle name="Accent1 10 3" xfId="25152"/>
    <cellStyle name="Accent1 10 4" xfId="25153"/>
    <cellStyle name="Accent1 11" xfId="25154"/>
    <cellStyle name="Accent1 11 2" xfId="25155"/>
    <cellStyle name="Accent1 11 2 2" xfId="25156"/>
    <cellStyle name="Accent1 11 2 3" xfId="25157"/>
    <cellStyle name="Accent1 11 3" xfId="25158"/>
    <cellStyle name="Accent1 11 4" xfId="25159"/>
    <cellStyle name="Accent1 12" xfId="25160"/>
    <cellStyle name="Accent1 12 2" xfId="25161"/>
    <cellStyle name="Accent1 12 3" xfId="25162"/>
    <cellStyle name="Accent1 13" xfId="25163"/>
    <cellStyle name="Accent1 13 2" xfId="25164"/>
    <cellStyle name="Accent1 13 3" xfId="25165"/>
    <cellStyle name="Accent1 14" xfId="25166"/>
    <cellStyle name="Accent1 14 2" xfId="25167"/>
    <cellStyle name="Accent1 14 3" xfId="25168"/>
    <cellStyle name="Accent1 15" xfId="25169"/>
    <cellStyle name="Accent1 15 2" xfId="25170"/>
    <cellStyle name="Accent1 15 2 2" xfId="25171"/>
    <cellStyle name="Accent1 15 2 3" xfId="25172"/>
    <cellStyle name="Accent1 15 3" xfId="25173"/>
    <cellStyle name="Accent1 15 4" xfId="25174"/>
    <cellStyle name="Accent1 16" xfId="25175"/>
    <cellStyle name="Accent1 16 2" xfId="25176"/>
    <cellStyle name="Accent1 16 3" xfId="25177"/>
    <cellStyle name="Accent1 17" xfId="25178"/>
    <cellStyle name="Accent1 18" xfId="25179"/>
    <cellStyle name="Accent1 2" xfId="60"/>
    <cellStyle name="Accent1 2 10" xfId="25180"/>
    <cellStyle name="Accent1 2 10 2" xfId="25181"/>
    <cellStyle name="Accent1 2 10 3" xfId="25182"/>
    <cellStyle name="Accent1 2 11" xfId="25183"/>
    <cellStyle name="Accent1 2 11 2" xfId="25184"/>
    <cellStyle name="Accent1 2 11 3" xfId="25185"/>
    <cellStyle name="Accent1 2 12" xfId="25186"/>
    <cellStyle name="Accent1 2 12 2" xfId="25187"/>
    <cellStyle name="Accent1 2 12 3" xfId="25188"/>
    <cellStyle name="Accent1 2 13" xfId="25189"/>
    <cellStyle name="Accent1 2 13 2" xfId="25190"/>
    <cellStyle name="Accent1 2 14" xfId="25191"/>
    <cellStyle name="Accent1 2 15" xfId="25192"/>
    <cellStyle name="Accent1 2 16" xfId="25193"/>
    <cellStyle name="Accent1 2 2" xfId="431"/>
    <cellStyle name="Accent1 2 2 10" xfId="25194"/>
    <cellStyle name="Accent1 2 2 10 2" xfId="25195"/>
    <cellStyle name="Accent1 2 2 10 3" xfId="25196"/>
    <cellStyle name="Accent1 2 2 11" xfId="25197"/>
    <cellStyle name="Accent1 2 2 12" xfId="25198"/>
    <cellStyle name="Accent1 2 2 2" xfId="25199"/>
    <cellStyle name="Accent1 2 2 2 10" xfId="25200"/>
    <cellStyle name="Accent1 2 2 2 10 2" xfId="25201"/>
    <cellStyle name="Accent1 2 2 2 10 3" xfId="25202"/>
    <cellStyle name="Accent1 2 2 2 11" xfId="25203"/>
    <cellStyle name="Accent1 2 2 2 12" xfId="25204"/>
    <cellStyle name="Accent1 2 2 2 13" xfId="25205"/>
    <cellStyle name="Accent1 2 2 2 2" xfId="25206"/>
    <cellStyle name="Accent1 2 2 2 2 2" xfId="25207"/>
    <cellStyle name="Accent1 2 2 2 2 3" xfId="25208"/>
    <cellStyle name="Accent1 2 2 2 3" xfId="25209"/>
    <cellStyle name="Accent1 2 2 2 3 2" xfId="25210"/>
    <cellStyle name="Accent1 2 2 2 3 3" xfId="25211"/>
    <cellStyle name="Accent1 2 2 2 4" xfId="25212"/>
    <cellStyle name="Accent1 2 2 2 4 2" xfId="25213"/>
    <cellStyle name="Accent1 2 2 2 4 3" xfId="25214"/>
    <cellStyle name="Accent1 2 2 2 5" xfId="25215"/>
    <cellStyle name="Accent1 2 2 2 5 2" xfId="25216"/>
    <cellStyle name="Accent1 2 2 2 5 3" xfId="25217"/>
    <cellStyle name="Accent1 2 2 2 6" xfId="25218"/>
    <cellStyle name="Accent1 2 2 2 6 2" xfId="25219"/>
    <cellStyle name="Accent1 2 2 2 6 3" xfId="25220"/>
    <cellStyle name="Accent1 2 2 2 7" xfId="25221"/>
    <cellStyle name="Accent1 2 2 2 7 2" xfId="25222"/>
    <cellStyle name="Accent1 2 2 2 7 3" xfId="25223"/>
    <cellStyle name="Accent1 2 2 2 8" xfId="25224"/>
    <cellStyle name="Accent1 2 2 2 8 2" xfId="25225"/>
    <cellStyle name="Accent1 2 2 2 8 3" xfId="25226"/>
    <cellStyle name="Accent1 2 2 2 9" xfId="25227"/>
    <cellStyle name="Accent1 2 2 2 9 2" xfId="25228"/>
    <cellStyle name="Accent1 2 2 2 9 3" xfId="25229"/>
    <cellStyle name="Accent1 2 2 3" xfId="25230"/>
    <cellStyle name="Accent1 2 2 3 2" xfId="25231"/>
    <cellStyle name="Accent1 2 2 3 3" xfId="25232"/>
    <cellStyle name="Accent1 2 2 4" xfId="25233"/>
    <cellStyle name="Accent1 2 2 4 2" xfId="25234"/>
    <cellStyle name="Accent1 2 2 4 3" xfId="25235"/>
    <cellStyle name="Accent1 2 2 5" xfId="25236"/>
    <cellStyle name="Accent1 2 2 5 2" xfId="25237"/>
    <cellStyle name="Accent1 2 2 5 3" xfId="25238"/>
    <cellStyle name="Accent1 2 2 6" xfId="25239"/>
    <cellStyle name="Accent1 2 2 6 2" xfId="25240"/>
    <cellStyle name="Accent1 2 2 6 3" xfId="25241"/>
    <cellStyle name="Accent1 2 2 7" xfId="25242"/>
    <cellStyle name="Accent1 2 2 7 2" xfId="25243"/>
    <cellStyle name="Accent1 2 2 7 3" xfId="25244"/>
    <cellStyle name="Accent1 2 2 8" xfId="25245"/>
    <cellStyle name="Accent1 2 2 8 2" xfId="25246"/>
    <cellStyle name="Accent1 2 2 8 3" xfId="25247"/>
    <cellStyle name="Accent1 2 2 9" xfId="25248"/>
    <cellStyle name="Accent1 2 2 9 2" xfId="25249"/>
    <cellStyle name="Accent1 2 2 9 3" xfId="25250"/>
    <cellStyle name="Accent1 2 3" xfId="25251"/>
    <cellStyle name="Accent1 2 3 2" xfId="25252"/>
    <cellStyle name="Accent1 2 3 3" xfId="25253"/>
    <cellStyle name="Accent1 2 3 4" xfId="25254"/>
    <cellStyle name="Accent1 2 4" xfId="25255"/>
    <cellStyle name="Accent1 2 4 2" xfId="25256"/>
    <cellStyle name="Accent1 2 4 3" xfId="25257"/>
    <cellStyle name="Accent1 2 5" xfId="25258"/>
    <cellStyle name="Accent1 2 5 2" xfId="25259"/>
    <cellStyle name="Accent1 2 5 3" xfId="25260"/>
    <cellStyle name="Accent1 2 6" xfId="25261"/>
    <cellStyle name="Accent1 2 6 2" xfId="25262"/>
    <cellStyle name="Accent1 2 6 3" xfId="25263"/>
    <cellStyle name="Accent1 2 7" xfId="25264"/>
    <cellStyle name="Accent1 2 7 2" xfId="25265"/>
    <cellStyle name="Accent1 2 7 2 2" xfId="25266"/>
    <cellStyle name="Accent1 2 7 2 3" xfId="25267"/>
    <cellStyle name="Accent1 2 7 3" xfId="25268"/>
    <cellStyle name="Accent1 2 7 4" xfId="25269"/>
    <cellStyle name="Accent1 2 8" xfId="25270"/>
    <cellStyle name="Accent1 2 8 2" xfId="25271"/>
    <cellStyle name="Accent1 2 8 3" xfId="25272"/>
    <cellStyle name="Accent1 2 9" xfId="25273"/>
    <cellStyle name="Accent1 2 9 2" xfId="25274"/>
    <cellStyle name="Accent1 2 9 3" xfId="25275"/>
    <cellStyle name="Accent1 2_1-10 BHU IS" xfId="25276"/>
    <cellStyle name="Accent1 3" xfId="432"/>
    <cellStyle name="Accent1 3 2" xfId="25277"/>
    <cellStyle name="Accent1 3 2 2" xfId="25278"/>
    <cellStyle name="Accent1 3 2 2 2" xfId="25279"/>
    <cellStyle name="Accent1 3 2 2 3" xfId="25280"/>
    <cellStyle name="Accent1 3 2 3" xfId="25281"/>
    <cellStyle name="Accent1 3 2 4" xfId="25282"/>
    <cellStyle name="Accent1 3 2 5" xfId="25283"/>
    <cellStyle name="Accent1 3 3" xfId="25284"/>
    <cellStyle name="Accent1 3 3 2" xfId="25285"/>
    <cellStyle name="Accent1 3 4" xfId="25286"/>
    <cellStyle name="Accent1 4" xfId="433"/>
    <cellStyle name="Accent1 4 2" xfId="25287"/>
    <cellStyle name="Accent1 4 2 2" xfId="25288"/>
    <cellStyle name="Accent1 4 2 3" xfId="25289"/>
    <cellStyle name="Accent1 4 3" xfId="25290"/>
    <cellStyle name="Accent1 4 4" xfId="25291"/>
    <cellStyle name="Accent1 5" xfId="25292"/>
    <cellStyle name="Accent1 5 2" xfId="25293"/>
    <cellStyle name="Accent1 5 2 2" xfId="25294"/>
    <cellStyle name="Accent1 5 2 3" xfId="25295"/>
    <cellStyle name="Accent1 5 3" xfId="25296"/>
    <cellStyle name="Accent1 5 4" xfId="25297"/>
    <cellStyle name="Accent1 6" xfId="25298"/>
    <cellStyle name="Accent1 6 2" xfId="25299"/>
    <cellStyle name="Accent1 6 2 2" xfId="25300"/>
    <cellStyle name="Accent1 6 2 3" xfId="25301"/>
    <cellStyle name="Accent1 6 3" xfId="25302"/>
    <cellStyle name="Accent1 6 4" xfId="25303"/>
    <cellStyle name="Accent1 7" xfId="25304"/>
    <cellStyle name="Accent1 7 2" xfId="25305"/>
    <cellStyle name="Accent1 7 2 2" xfId="25306"/>
    <cellStyle name="Accent1 7 2 3" xfId="25307"/>
    <cellStyle name="Accent1 7 3" xfId="25308"/>
    <cellStyle name="Accent1 7 4" xfId="25309"/>
    <cellStyle name="Accent1 8" xfId="25310"/>
    <cellStyle name="Accent1 8 2" xfId="25311"/>
    <cellStyle name="Accent1 8 2 2" xfId="25312"/>
    <cellStyle name="Accent1 8 2 3" xfId="25313"/>
    <cellStyle name="Accent1 8 3" xfId="25314"/>
    <cellStyle name="Accent1 8 4" xfId="25315"/>
    <cellStyle name="Accent1 9" xfId="25316"/>
    <cellStyle name="Accent1 9 2" xfId="25317"/>
    <cellStyle name="Accent1 9 2 2" xfId="25318"/>
    <cellStyle name="Accent1 9 2 3" xfId="25319"/>
    <cellStyle name="Accent1 9 3" xfId="25320"/>
    <cellStyle name="Accent1 9 4" xfId="25321"/>
    <cellStyle name="Accent2 10" xfId="25322"/>
    <cellStyle name="Accent2 10 2" xfId="25323"/>
    <cellStyle name="Accent2 10 2 2" xfId="25324"/>
    <cellStyle name="Accent2 10 2 3" xfId="25325"/>
    <cellStyle name="Accent2 10 3" xfId="25326"/>
    <cellStyle name="Accent2 10 4" xfId="25327"/>
    <cellStyle name="Accent2 11" xfId="25328"/>
    <cellStyle name="Accent2 11 2" xfId="25329"/>
    <cellStyle name="Accent2 11 2 2" xfId="25330"/>
    <cellStyle name="Accent2 11 2 3" xfId="25331"/>
    <cellStyle name="Accent2 11 3" xfId="25332"/>
    <cellStyle name="Accent2 11 4" xfId="25333"/>
    <cellStyle name="Accent2 12" xfId="25334"/>
    <cellStyle name="Accent2 12 2" xfId="25335"/>
    <cellStyle name="Accent2 12 3" xfId="25336"/>
    <cellStyle name="Accent2 13" xfId="25337"/>
    <cellStyle name="Accent2 13 2" xfId="25338"/>
    <cellStyle name="Accent2 13 3" xfId="25339"/>
    <cellStyle name="Accent2 14" xfId="25340"/>
    <cellStyle name="Accent2 14 2" xfId="25341"/>
    <cellStyle name="Accent2 14 3" xfId="25342"/>
    <cellStyle name="Accent2 15" xfId="25343"/>
    <cellStyle name="Accent2 15 2" xfId="25344"/>
    <cellStyle name="Accent2 15 2 2" xfId="25345"/>
    <cellStyle name="Accent2 15 2 3" xfId="25346"/>
    <cellStyle name="Accent2 15 3" xfId="25347"/>
    <cellStyle name="Accent2 15 4" xfId="25348"/>
    <cellStyle name="Accent2 16" xfId="25349"/>
    <cellStyle name="Accent2 16 2" xfId="25350"/>
    <cellStyle name="Accent2 16 3" xfId="25351"/>
    <cellStyle name="Accent2 17" xfId="25352"/>
    <cellStyle name="Accent2 18" xfId="25353"/>
    <cellStyle name="Accent2 2" xfId="61"/>
    <cellStyle name="Accent2 2 10" xfId="25354"/>
    <cellStyle name="Accent2 2 10 2" xfId="25355"/>
    <cellStyle name="Accent2 2 10 3" xfId="25356"/>
    <cellStyle name="Accent2 2 11" xfId="25357"/>
    <cellStyle name="Accent2 2 11 2" xfId="25358"/>
    <cellStyle name="Accent2 2 11 3" xfId="25359"/>
    <cellStyle name="Accent2 2 12" xfId="25360"/>
    <cellStyle name="Accent2 2 12 2" xfId="25361"/>
    <cellStyle name="Accent2 2 12 3" xfId="25362"/>
    <cellStyle name="Accent2 2 13" xfId="25363"/>
    <cellStyle name="Accent2 2 13 2" xfId="25364"/>
    <cellStyle name="Accent2 2 14" xfId="25365"/>
    <cellStyle name="Accent2 2 15" xfId="25366"/>
    <cellStyle name="Accent2 2 16" xfId="25367"/>
    <cellStyle name="Accent2 2 2" xfId="434"/>
    <cellStyle name="Accent2 2 2 10" xfId="25368"/>
    <cellStyle name="Accent2 2 2 10 2" xfId="25369"/>
    <cellStyle name="Accent2 2 2 10 3" xfId="25370"/>
    <cellStyle name="Accent2 2 2 11" xfId="25371"/>
    <cellStyle name="Accent2 2 2 12" xfId="25372"/>
    <cellStyle name="Accent2 2 2 2" xfId="25373"/>
    <cellStyle name="Accent2 2 2 2 10" xfId="25374"/>
    <cellStyle name="Accent2 2 2 2 10 2" xfId="25375"/>
    <cellStyle name="Accent2 2 2 2 10 3" xfId="25376"/>
    <cellStyle name="Accent2 2 2 2 11" xfId="25377"/>
    <cellStyle name="Accent2 2 2 2 12" xfId="25378"/>
    <cellStyle name="Accent2 2 2 2 13" xfId="25379"/>
    <cellStyle name="Accent2 2 2 2 2" xfId="25380"/>
    <cellStyle name="Accent2 2 2 2 2 2" xfId="25381"/>
    <cellStyle name="Accent2 2 2 2 2 3" xfId="25382"/>
    <cellStyle name="Accent2 2 2 2 3" xfId="25383"/>
    <cellStyle name="Accent2 2 2 2 3 2" xfId="25384"/>
    <cellStyle name="Accent2 2 2 2 3 3" xfId="25385"/>
    <cellStyle name="Accent2 2 2 2 4" xfId="25386"/>
    <cellStyle name="Accent2 2 2 2 4 2" xfId="25387"/>
    <cellStyle name="Accent2 2 2 2 4 3" xfId="25388"/>
    <cellStyle name="Accent2 2 2 2 5" xfId="25389"/>
    <cellStyle name="Accent2 2 2 2 5 2" xfId="25390"/>
    <cellStyle name="Accent2 2 2 2 5 3" xfId="25391"/>
    <cellStyle name="Accent2 2 2 2 6" xfId="25392"/>
    <cellStyle name="Accent2 2 2 2 6 2" xfId="25393"/>
    <cellStyle name="Accent2 2 2 2 6 3" xfId="25394"/>
    <cellStyle name="Accent2 2 2 2 7" xfId="25395"/>
    <cellStyle name="Accent2 2 2 2 7 2" xfId="25396"/>
    <cellStyle name="Accent2 2 2 2 7 3" xfId="25397"/>
    <cellStyle name="Accent2 2 2 2 8" xfId="25398"/>
    <cellStyle name="Accent2 2 2 2 8 2" xfId="25399"/>
    <cellStyle name="Accent2 2 2 2 8 3" xfId="25400"/>
    <cellStyle name="Accent2 2 2 2 9" xfId="25401"/>
    <cellStyle name="Accent2 2 2 2 9 2" xfId="25402"/>
    <cellStyle name="Accent2 2 2 2 9 3" xfId="25403"/>
    <cellStyle name="Accent2 2 2 3" xfId="25404"/>
    <cellStyle name="Accent2 2 2 3 2" xfId="25405"/>
    <cellStyle name="Accent2 2 2 3 3" xfId="25406"/>
    <cellStyle name="Accent2 2 2 4" xfId="25407"/>
    <cellStyle name="Accent2 2 2 4 2" xfId="25408"/>
    <cellStyle name="Accent2 2 2 4 3" xfId="25409"/>
    <cellStyle name="Accent2 2 2 5" xfId="25410"/>
    <cellStyle name="Accent2 2 2 5 2" xfId="25411"/>
    <cellStyle name="Accent2 2 2 5 3" xfId="25412"/>
    <cellStyle name="Accent2 2 2 6" xfId="25413"/>
    <cellStyle name="Accent2 2 2 6 2" xfId="25414"/>
    <cellStyle name="Accent2 2 2 6 3" xfId="25415"/>
    <cellStyle name="Accent2 2 2 7" xfId="25416"/>
    <cellStyle name="Accent2 2 2 7 2" xfId="25417"/>
    <cellStyle name="Accent2 2 2 7 3" xfId="25418"/>
    <cellStyle name="Accent2 2 2 8" xfId="25419"/>
    <cellStyle name="Accent2 2 2 8 2" xfId="25420"/>
    <cellStyle name="Accent2 2 2 8 3" xfId="25421"/>
    <cellStyle name="Accent2 2 2 9" xfId="25422"/>
    <cellStyle name="Accent2 2 2 9 2" xfId="25423"/>
    <cellStyle name="Accent2 2 2 9 3" xfId="25424"/>
    <cellStyle name="Accent2 2 3" xfId="25425"/>
    <cellStyle name="Accent2 2 3 2" xfId="25426"/>
    <cellStyle name="Accent2 2 3 3" xfId="25427"/>
    <cellStyle name="Accent2 2 3 4" xfId="25428"/>
    <cellStyle name="Accent2 2 4" xfId="25429"/>
    <cellStyle name="Accent2 2 4 2" xfId="25430"/>
    <cellStyle name="Accent2 2 4 3" xfId="25431"/>
    <cellStyle name="Accent2 2 5" xfId="25432"/>
    <cellStyle name="Accent2 2 5 2" xfId="25433"/>
    <cellStyle name="Accent2 2 5 3" xfId="25434"/>
    <cellStyle name="Accent2 2 6" xfId="25435"/>
    <cellStyle name="Accent2 2 6 2" xfId="25436"/>
    <cellStyle name="Accent2 2 6 3" xfId="25437"/>
    <cellStyle name="Accent2 2 7" xfId="25438"/>
    <cellStyle name="Accent2 2 7 2" xfId="25439"/>
    <cellStyle name="Accent2 2 7 2 2" xfId="25440"/>
    <cellStyle name="Accent2 2 7 2 3" xfId="25441"/>
    <cellStyle name="Accent2 2 7 3" xfId="25442"/>
    <cellStyle name="Accent2 2 7 4" xfId="25443"/>
    <cellStyle name="Accent2 2 8" xfId="25444"/>
    <cellStyle name="Accent2 2 8 2" xfId="25445"/>
    <cellStyle name="Accent2 2 8 3" xfId="25446"/>
    <cellStyle name="Accent2 2 9" xfId="25447"/>
    <cellStyle name="Accent2 2 9 2" xfId="25448"/>
    <cellStyle name="Accent2 2 9 3" xfId="25449"/>
    <cellStyle name="Accent2 2_1-10 BHU IS" xfId="25450"/>
    <cellStyle name="Accent2 3" xfId="435"/>
    <cellStyle name="Accent2 3 2" xfId="25451"/>
    <cellStyle name="Accent2 3 2 2" xfId="25452"/>
    <cellStyle name="Accent2 3 2 2 2" xfId="25453"/>
    <cellStyle name="Accent2 3 2 2 3" xfId="25454"/>
    <cellStyle name="Accent2 3 2 3" xfId="25455"/>
    <cellStyle name="Accent2 3 2 4" xfId="25456"/>
    <cellStyle name="Accent2 3 2 5" xfId="25457"/>
    <cellStyle name="Accent2 3 3" xfId="25458"/>
    <cellStyle name="Accent2 3 3 2" xfId="25459"/>
    <cellStyle name="Accent2 3 4" xfId="25460"/>
    <cellStyle name="Accent2 4" xfId="436"/>
    <cellStyle name="Accent2 4 2" xfId="25461"/>
    <cellStyle name="Accent2 4 2 2" xfId="25462"/>
    <cellStyle name="Accent2 4 2 3" xfId="25463"/>
    <cellStyle name="Accent2 4 3" xfId="25464"/>
    <cellStyle name="Accent2 4 4" xfId="25465"/>
    <cellStyle name="Accent2 5" xfId="25466"/>
    <cellStyle name="Accent2 5 2" xfId="25467"/>
    <cellStyle name="Accent2 5 2 2" xfId="25468"/>
    <cellStyle name="Accent2 5 2 3" xfId="25469"/>
    <cellStyle name="Accent2 5 3" xfId="25470"/>
    <cellStyle name="Accent2 5 4" xfId="25471"/>
    <cellStyle name="Accent2 6" xfId="25472"/>
    <cellStyle name="Accent2 6 2" xfId="25473"/>
    <cellStyle name="Accent2 6 2 2" xfId="25474"/>
    <cellStyle name="Accent2 6 2 3" xfId="25475"/>
    <cellStyle name="Accent2 6 3" xfId="25476"/>
    <cellStyle name="Accent2 6 4" xfId="25477"/>
    <cellStyle name="Accent2 7" xfId="25478"/>
    <cellStyle name="Accent2 7 2" xfId="25479"/>
    <cellStyle name="Accent2 7 2 2" xfId="25480"/>
    <cellStyle name="Accent2 7 2 3" xfId="25481"/>
    <cellStyle name="Accent2 7 3" xfId="25482"/>
    <cellStyle name="Accent2 7 4" xfId="25483"/>
    <cellStyle name="Accent2 8" xfId="25484"/>
    <cellStyle name="Accent2 8 2" xfId="25485"/>
    <cellStyle name="Accent2 8 2 2" xfId="25486"/>
    <cellStyle name="Accent2 8 2 3" xfId="25487"/>
    <cellStyle name="Accent2 8 3" xfId="25488"/>
    <cellStyle name="Accent2 8 4" xfId="25489"/>
    <cellStyle name="Accent2 9" xfId="25490"/>
    <cellStyle name="Accent2 9 2" xfId="25491"/>
    <cellStyle name="Accent2 9 2 2" xfId="25492"/>
    <cellStyle name="Accent2 9 2 3" xfId="25493"/>
    <cellStyle name="Accent2 9 3" xfId="25494"/>
    <cellStyle name="Accent2 9 4" xfId="25495"/>
    <cellStyle name="Accent3 10" xfId="25496"/>
    <cellStyle name="Accent3 10 2" xfId="25497"/>
    <cellStyle name="Accent3 10 2 2" xfId="25498"/>
    <cellStyle name="Accent3 10 2 3" xfId="25499"/>
    <cellStyle name="Accent3 10 3" xfId="25500"/>
    <cellStyle name="Accent3 10 4" xfId="25501"/>
    <cellStyle name="Accent3 11" xfId="25502"/>
    <cellStyle name="Accent3 11 2" xfId="25503"/>
    <cellStyle name="Accent3 11 2 2" xfId="25504"/>
    <cellStyle name="Accent3 11 2 3" xfId="25505"/>
    <cellStyle name="Accent3 11 3" xfId="25506"/>
    <cellStyle name="Accent3 11 4" xfId="25507"/>
    <cellStyle name="Accent3 12" xfId="25508"/>
    <cellStyle name="Accent3 12 2" xfId="25509"/>
    <cellStyle name="Accent3 12 3" xfId="25510"/>
    <cellStyle name="Accent3 13" xfId="25511"/>
    <cellStyle name="Accent3 13 2" xfId="25512"/>
    <cellStyle name="Accent3 13 3" xfId="25513"/>
    <cellStyle name="Accent3 14" xfId="25514"/>
    <cellStyle name="Accent3 14 2" xfId="25515"/>
    <cellStyle name="Accent3 14 3" xfId="25516"/>
    <cellStyle name="Accent3 15" xfId="25517"/>
    <cellStyle name="Accent3 15 2" xfId="25518"/>
    <cellStyle name="Accent3 15 2 2" xfId="25519"/>
    <cellStyle name="Accent3 15 2 3" xfId="25520"/>
    <cellStyle name="Accent3 15 3" xfId="25521"/>
    <cellStyle name="Accent3 15 4" xfId="25522"/>
    <cellStyle name="Accent3 16" xfId="25523"/>
    <cellStyle name="Accent3 16 2" xfId="25524"/>
    <cellStyle name="Accent3 16 3" xfId="25525"/>
    <cellStyle name="Accent3 17" xfId="25526"/>
    <cellStyle name="Accent3 18" xfId="25527"/>
    <cellStyle name="Accent3 2" xfId="62"/>
    <cellStyle name="Accent3 2 10" xfId="25528"/>
    <cellStyle name="Accent3 2 10 2" xfId="25529"/>
    <cellStyle name="Accent3 2 10 3" xfId="25530"/>
    <cellStyle name="Accent3 2 11" xfId="25531"/>
    <cellStyle name="Accent3 2 11 2" xfId="25532"/>
    <cellStyle name="Accent3 2 11 3" xfId="25533"/>
    <cellStyle name="Accent3 2 12" xfId="25534"/>
    <cellStyle name="Accent3 2 12 2" xfId="25535"/>
    <cellStyle name="Accent3 2 12 3" xfId="25536"/>
    <cellStyle name="Accent3 2 13" xfId="25537"/>
    <cellStyle name="Accent3 2 13 2" xfId="25538"/>
    <cellStyle name="Accent3 2 14" xfId="25539"/>
    <cellStyle name="Accent3 2 15" xfId="25540"/>
    <cellStyle name="Accent3 2 16" xfId="25541"/>
    <cellStyle name="Accent3 2 2" xfId="437"/>
    <cellStyle name="Accent3 2 2 10" xfId="25542"/>
    <cellStyle name="Accent3 2 2 10 2" xfId="25543"/>
    <cellStyle name="Accent3 2 2 10 3" xfId="25544"/>
    <cellStyle name="Accent3 2 2 11" xfId="25545"/>
    <cellStyle name="Accent3 2 2 12" xfId="25546"/>
    <cellStyle name="Accent3 2 2 2" xfId="25547"/>
    <cellStyle name="Accent3 2 2 2 10" xfId="25548"/>
    <cellStyle name="Accent3 2 2 2 10 2" xfId="25549"/>
    <cellStyle name="Accent3 2 2 2 10 3" xfId="25550"/>
    <cellStyle name="Accent3 2 2 2 11" xfId="25551"/>
    <cellStyle name="Accent3 2 2 2 12" xfId="25552"/>
    <cellStyle name="Accent3 2 2 2 13" xfId="25553"/>
    <cellStyle name="Accent3 2 2 2 2" xfId="25554"/>
    <cellStyle name="Accent3 2 2 2 2 2" xfId="25555"/>
    <cellStyle name="Accent3 2 2 2 2 3" xfId="25556"/>
    <cellStyle name="Accent3 2 2 2 3" xfId="25557"/>
    <cellStyle name="Accent3 2 2 2 3 2" xfId="25558"/>
    <cellStyle name="Accent3 2 2 2 3 3" xfId="25559"/>
    <cellStyle name="Accent3 2 2 2 4" xfId="25560"/>
    <cellStyle name="Accent3 2 2 2 4 2" xfId="25561"/>
    <cellStyle name="Accent3 2 2 2 4 3" xfId="25562"/>
    <cellStyle name="Accent3 2 2 2 5" xfId="25563"/>
    <cellStyle name="Accent3 2 2 2 5 2" xfId="25564"/>
    <cellStyle name="Accent3 2 2 2 5 3" xfId="25565"/>
    <cellStyle name="Accent3 2 2 2 6" xfId="25566"/>
    <cellStyle name="Accent3 2 2 2 6 2" xfId="25567"/>
    <cellStyle name="Accent3 2 2 2 6 3" xfId="25568"/>
    <cellStyle name="Accent3 2 2 2 7" xfId="25569"/>
    <cellStyle name="Accent3 2 2 2 7 2" xfId="25570"/>
    <cellStyle name="Accent3 2 2 2 7 3" xfId="25571"/>
    <cellStyle name="Accent3 2 2 2 8" xfId="25572"/>
    <cellStyle name="Accent3 2 2 2 8 2" xfId="25573"/>
    <cellStyle name="Accent3 2 2 2 8 3" xfId="25574"/>
    <cellStyle name="Accent3 2 2 2 9" xfId="25575"/>
    <cellStyle name="Accent3 2 2 2 9 2" xfId="25576"/>
    <cellStyle name="Accent3 2 2 2 9 3" xfId="25577"/>
    <cellStyle name="Accent3 2 2 3" xfId="25578"/>
    <cellStyle name="Accent3 2 2 3 2" xfId="25579"/>
    <cellStyle name="Accent3 2 2 3 3" xfId="25580"/>
    <cellStyle name="Accent3 2 2 4" xfId="25581"/>
    <cellStyle name="Accent3 2 2 4 2" xfId="25582"/>
    <cellStyle name="Accent3 2 2 4 3" xfId="25583"/>
    <cellStyle name="Accent3 2 2 5" xfId="25584"/>
    <cellStyle name="Accent3 2 2 5 2" xfId="25585"/>
    <cellStyle name="Accent3 2 2 5 3" xfId="25586"/>
    <cellStyle name="Accent3 2 2 6" xfId="25587"/>
    <cellStyle name="Accent3 2 2 6 2" xfId="25588"/>
    <cellStyle name="Accent3 2 2 6 3" xfId="25589"/>
    <cellStyle name="Accent3 2 2 7" xfId="25590"/>
    <cellStyle name="Accent3 2 2 7 2" xfId="25591"/>
    <cellStyle name="Accent3 2 2 7 3" xfId="25592"/>
    <cellStyle name="Accent3 2 2 8" xfId="25593"/>
    <cellStyle name="Accent3 2 2 8 2" xfId="25594"/>
    <cellStyle name="Accent3 2 2 8 3" xfId="25595"/>
    <cellStyle name="Accent3 2 2 9" xfId="25596"/>
    <cellStyle name="Accent3 2 2 9 2" xfId="25597"/>
    <cellStyle name="Accent3 2 2 9 3" xfId="25598"/>
    <cellStyle name="Accent3 2 3" xfId="25599"/>
    <cellStyle name="Accent3 2 3 2" xfId="25600"/>
    <cellStyle name="Accent3 2 3 3" xfId="25601"/>
    <cellStyle name="Accent3 2 3 4" xfId="25602"/>
    <cellStyle name="Accent3 2 4" xfId="25603"/>
    <cellStyle name="Accent3 2 4 2" xfId="25604"/>
    <cellStyle name="Accent3 2 4 3" xfId="25605"/>
    <cellStyle name="Accent3 2 5" xfId="25606"/>
    <cellStyle name="Accent3 2 5 2" xfId="25607"/>
    <cellStyle name="Accent3 2 5 3" xfId="25608"/>
    <cellStyle name="Accent3 2 6" xfId="25609"/>
    <cellStyle name="Accent3 2 6 2" xfId="25610"/>
    <cellStyle name="Accent3 2 6 3" xfId="25611"/>
    <cellStyle name="Accent3 2 7" xfId="25612"/>
    <cellStyle name="Accent3 2 7 2" xfId="25613"/>
    <cellStyle name="Accent3 2 7 2 2" xfId="25614"/>
    <cellStyle name="Accent3 2 7 2 3" xfId="25615"/>
    <cellStyle name="Accent3 2 7 3" xfId="25616"/>
    <cellStyle name="Accent3 2 7 4" xfId="25617"/>
    <cellStyle name="Accent3 2 8" xfId="25618"/>
    <cellStyle name="Accent3 2 8 2" xfId="25619"/>
    <cellStyle name="Accent3 2 8 3" xfId="25620"/>
    <cellStyle name="Accent3 2 9" xfId="25621"/>
    <cellStyle name="Accent3 2 9 2" xfId="25622"/>
    <cellStyle name="Accent3 2 9 3" xfId="25623"/>
    <cellStyle name="Accent3 2_1-10 BHU IS" xfId="25624"/>
    <cellStyle name="Accent3 3" xfId="438"/>
    <cellStyle name="Accent3 3 2" xfId="25625"/>
    <cellStyle name="Accent3 3 2 2" xfId="25626"/>
    <cellStyle name="Accent3 3 2 2 2" xfId="25627"/>
    <cellStyle name="Accent3 3 2 2 3" xfId="25628"/>
    <cellStyle name="Accent3 3 2 3" xfId="25629"/>
    <cellStyle name="Accent3 3 2 4" xfId="25630"/>
    <cellStyle name="Accent3 3 2 5" xfId="25631"/>
    <cellStyle name="Accent3 3 3" xfId="25632"/>
    <cellStyle name="Accent3 3 3 2" xfId="25633"/>
    <cellStyle name="Accent3 3 4" xfId="25634"/>
    <cellStyle name="Accent3 4" xfId="439"/>
    <cellStyle name="Accent3 4 2" xfId="25635"/>
    <cellStyle name="Accent3 4 2 2" xfId="25636"/>
    <cellStyle name="Accent3 4 2 3" xfId="25637"/>
    <cellStyle name="Accent3 4 3" xfId="25638"/>
    <cellStyle name="Accent3 4 4" xfId="25639"/>
    <cellStyle name="Accent3 5" xfId="25640"/>
    <cellStyle name="Accent3 5 2" xfId="25641"/>
    <cellStyle name="Accent3 5 2 2" xfId="25642"/>
    <cellStyle name="Accent3 5 2 3" xfId="25643"/>
    <cellStyle name="Accent3 5 3" xfId="25644"/>
    <cellStyle name="Accent3 5 4" xfId="25645"/>
    <cellStyle name="Accent3 6" xfId="25646"/>
    <cellStyle name="Accent3 6 2" xfId="25647"/>
    <cellStyle name="Accent3 6 2 2" xfId="25648"/>
    <cellStyle name="Accent3 6 2 3" xfId="25649"/>
    <cellStyle name="Accent3 6 3" xfId="25650"/>
    <cellStyle name="Accent3 6 4" xfId="25651"/>
    <cellStyle name="Accent3 7" xfId="25652"/>
    <cellStyle name="Accent3 7 2" xfId="25653"/>
    <cellStyle name="Accent3 7 2 2" xfId="25654"/>
    <cellStyle name="Accent3 7 2 3" xfId="25655"/>
    <cellStyle name="Accent3 7 3" xfId="25656"/>
    <cellStyle name="Accent3 7 4" xfId="25657"/>
    <cellStyle name="Accent3 8" xfId="25658"/>
    <cellStyle name="Accent3 8 2" xfId="25659"/>
    <cellStyle name="Accent3 8 2 2" xfId="25660"/>
    <cellStyle name="Accent3 8 2 3" xfId="25661"/>
    <cellStyle name="Accent3 8 3" xfId="25662"/>
    <cellStyle name="Accent3 8 4" xfId="25663"/>
    <cellStyle name="Accent3 9" xfId="25664"/>
    <cellStyle name="Accent3 9 2" xfId="25665"/>
    <cellStyle name="Accent3 9 2 2" xfId="25666"/>
    <cellStyle name="Accent3 9 2 3" xfId="25667"/>
    <cellStyle name="Accent3 9 3" xfId="25668"/>
    <cellStyle name="Accent3 9 4" xfId="25669"/>
    <cellStyle name="Accent4 10" xfId="25670"/>
    <cellStyle name="Accent4 10 2" xfId="25671"/>
    <cellStyle name="Accent4 10 2 2" xfId="25672"/>
    <cellStyle name="Accent4 10 2 3" xfId="25673"/>
    <cellStyle name="Accent4 10 3" xfId="25674"/>
    <cellStyle name="Accent4 10 4" xfId="25675"/>
    <cellStyle name="Accent4 11" xfId="25676"/>
    <cellStyle name="Accent4 11 2" xfId="25677"/>
    <cellStyle name="Accent4 11 2 2" xfId="25678"/>
    <cellStyle name="Accent4 11 2 3" xfId="25679"/>
    <cellStyle name="Accent4 11 3" xfId="25680"/>
    <cellStyle name="Accent4 11 4" xfId="25681"/>
    <cellStyle name="Accent4 12" xfId="25682"/>
    <cellStyle name="Accent4 12 2" xfId="25683"/>
    <cellStyle name="Accent4 12 3" xfId="25684"/>
    <cellStyle name="Accent4 13" xfId="25685"/>
    <cellStyle name="Accent4 13 2" xfId="25686"/>
    <cellStyle name="Accent4 13 3" xfId="25687"/>
    <cellStyle name="Accent4 14" xfId="25688"/>
    <cellStyle name="Accent4 14 2" xfId="25689"/>
    <cellStyle name="Accent4 14 3" xfId="25690"/>
    <cellStyle name="Accent4 15" xfId="25691"/>
    <cellStyle name="Accent4 15 2" xfId="25692"/>
    <cellStyle name="Accent4 15 2 2" xfId="25693"/>
    <cellStyle name="Accent4 15 2 3" xfId="25694"/>
    <cellStyle name="Accent4 15 3" xfId="25695"/>
    <cellStyle name="Accent4 15 4" xfId="25696"/>
    <cellStyle name="Accent4 16" xfId="25697"/>
    <cellStyle name="Accent4 16 2" xfId="25698"/>
    <cellStyle name="Accent4 16 3" xfId="25699"/>
    <cellStyle name="Accent4 17" xfId="25700"/>
    <cellStyle name="Accent4 18" xfId="25701"/>
    <cellStyle name="Accent4 2" xfId="63"/>
    <cellStyle name="Accent4 2 10" xfId="25702"/>
    <cellStyle name="Accent4 2 10 2" xfId="25703"/>
    <cellStyle name="Accent4 2 10 3" xfId="25704"/>
    <cellStyle name="Accent4 2 11" xfId="25705"/>
    <cellStyle name="Accent4 2 11 2" xfId="25706"/>
    <cellStyle name="Accent4 2 11 3" xfId="25707"/>
    <cellStyle name="Accent4 2 12" xfId="25708"/>
    <cellStyle name="Accent4 2 12 2" xfId="25709"/>
    <cellStyle name="Accent4 2 12 3" xfId="25710"/>
    <cellStyle name="Accent4 2 13" xfId="25711"/>
    <cellStyle name="Accent4 2 13 2" xfId="25712"/>
    <cellStyle name="Accent4 2 14" xfId="25713"/>
    <cellStyle name="Accent4 2 15" xfId="25714"/>
    <cellStyle name="Accent4 2 16" xfId="25715"/>
    <cellStyle name="Accent4 2 2" xfId="440"/>
    <cellStyle name="Accent4 2 2 10" xfId="25716"/>
    <cellStyle name="Accent4 2 2 10 2" xfId="25717"/>
    <cellStyle name="Accent4 2 2 10 3" xfId="25718"/>
    <cellStyle name="Accent4 2 2 11" xfId="25719"/>
    <cellStyle name="Accent4 2 2 12" xfId="25720"/>
    <cellStyle name="Accent4 2 2 2" xfId="25721"/>
    <cellStyle name="Accent4 2 2 2 10" xfId="25722"/>
    <cellStyle name="Accent4 2 2 2 10 2" xfId="25723"/>
    <cellStyle name="Accent4 2 2 2 10 3" xfId="25724"/>
    <cellStyle name="Accent4 2 2 2 11" xfId="25725"/>
    <cellStyle name="Accent4 2 2 2 12" xfId="25726"/>
    <cellStyle name="Accent4 2 2 2 13" xfId="25727"/>
    <cellStyle name="Accent4 2 2 2 2" xfId="25728"/>
    <cellStyle name="Accent4 2 2 2 2 2" xfId="25729"/>
    <cellStyle name="Accent4 2 2 2 2 3" xfId="25730"/>
    <cellStyle name="Accent4 2 2 2 3" xfId="25731"/>
    <cellStyle name="Accent4 2 2 2 3 2" xfId="25732"/>
    <cellStyle name="Accent4 2 2 2 3 3" xfId="25733"/>
    <cellStyle name="Accent4 2 2 2 4" xfId="25734"/>
    <cellStyle name="Accent4 2 2 2 4 2" xfId="25735"/>
    <cellStyle name="Accent4 2 2 2 4 3" xfId="25736"/>
    <cellStyle name="Accent4 2 2 2 5" xfId="25737"/>
    <cellStyle name="Accent4 2 2 2 5 2" xfId="25738"/>
    <cellStyle name="Accent4 2 2 2 5 3" xfId="25739"/>
    <cellStyle name="Accent4 2 2 2 6" xfId="25740"/>
    <cellStyle name="Accent4 2 2 2 6 2" xfId="25741"/>
    <cellStyle name="Accent4 2 2 2 6 3" xfId="25742"/>
    <cellStyle name="Accent4 2 2 2 7" xfId="25743"/>
    <cellStyle name="Accent4 2 2 2 7 2" xfId="25744"/>
    <cellStyle name="Accent4 2 2 2 7 3" xfId="25745"/>
    <cellStyle name="Accent4 2 2 2 8" xfId="25746"/>
    <cellStyle name="Accent4 2 2 2 8 2" xfId="25747"/>
    <cellStyle name="Accent4 2 2 2 8 3" xfId="25748"/>
    <cellStyle name="Accent4 2 2 2 9" xfId="25749"/>
    <cellStyle name="Accent4 2 2 2 9 2" xfId="25750"/>
    <cellStyle name="Accent4 2 2 2 9 3" xfId="25751"/>
    <cellStyle name="Accent4 2 2 3" xfId="25752"/>
    <cellStyle name="Accent4 2 2 3 2" xfId="25753"/>
    <cellStyle name="Accent4 2 2 3 3" xfId="25754"/>
    <cellStyle name="Accent4 2 2 4" xfId="25755"/>
    <cellStyle name="Accent4 2 2 4 2" xfId="25756"/>
    <cellStyle name="Accent4 2 2 4 3" xfId="25757"/>
    <cellStyle name="Accent4 2 2 5" xfId="25758"/>
    <cellStyle name="Accent4 2 2 5 2" xfId="25759"/>
    <cellStyle name="Accent4 2 2 5 3" xfId="25760"/>
    <cellStyle name="Accent4 2 2 6" xfId="25761"/>
    <cellStyle name="Accent4 2 2 6 2" xfId="25762"/>
    <cellStyle name="Accent4 2 2 6 3" xfId="25763"/>
    <cellStyle name="Accent4 2 2 7" xfId="25764"/>
    <cellStyle name="Accent4 2 2 7 2" xfId="25765"/>
    <cellStyle name="Accent4 2 2 7 3" xfId="25766"/>
    <cellStyle name="Accent4 2 2 8" xfId="25767"/>
    <cellStyle name="Accent4 2 2 8 2" xfId="25768"/>
    <cellStyle name="Accent4 2 2 8 3" xfId="25769"/>
    <cellStyle name="Accent4 2 2 9" xfId="25770"/>
    <cellStyle name="Accent4 2 2 9 2" xfId="25771"/>
    <cellStyle name="Accent4 2 2 9 3" xfId="25772"/>
    <cellStyle name="Accent4 2 3" xfId="25773"/>
    <cellStyle name="Accent4 2 3 2" xfId="25774"/>
    <cellStyle name="Accent4 2 3 3" xfId="25775"/>
    <cellStyle name="Accent4 2 3 4" xfId="25776"/>
    <cellStyle name="Accent4 2 4" xfId="25777"/>
    <cellStyle name="Accent4 2 4 2" xfId="25778"/>
    <cellStyle name="Accent4 2 4 3" xfId="25779"/>
    <cellStyle name="Accent4 2 5" xfId="25780"/>
    <cellStyle name="Accent4 2 5 2" xfId="25781"/>
    <cellStyle name="Accent4 2 5 3" xfId="25782"/>
    <cellStyle name="Accent4 2 6" xfId="25783"/>
    <cellStyle name="Accent4 2 6 2" xfId="25784"/>
    <cellStyle name="Accent4 2 6 3" xfId="25785"/>
    <cellStyle name="Accent4 2 7" xfId="25786"/>
    <cellStyle name="Accent4 2 7 2" xfId="25787"/>
    <cellStyle name="Accent4 2 7 2 2" xfId="25788"/>
    <cellStyle name="Accent4 2 7 2 3" xfId="25789"/>
    <cellStyle name="Accent4 2 7 3" xfId="25790"/>
    <cellStyle name="Accent4 2 7 4" xfId="25791"/>
    <cellStyle name="Accent4 2 8" xfId="25792"/>
    <cellStyle name="Accent4 2 8 2" xfId="25793"/>
    <cellStyle name="Accent4 2 8 3" xfId="25794"/>
    <cellStyle name="Accent4 2 9" xfId="25795"/>
    <cellStyle name="Accent4 2 9 2" xfId="25796"/>
    <cellStyle name="Accent4 2 9 3" xfId="25797"/>
    <cellStyle name="Accent4 2_1-10 BHU IS" xfId="25798"/>
    <cellStyle name="Accent4 3" xfId="441"/>
    <cellStyle name="Accent4 3 2" xfId="25799"/>
    <cellStyle name="Accent4 3 2 2" xfId="25800"/>
    <cellStyle name="Accent4 3 2 2 2" xfId="25801"/>
    <cellStyle name="Accent4 3 2 2 3" xfId="25802"/>
    <cellStyle name="Accent4 3 2 3" xfId="25803"/>
    <cellStyle name="Accent4 3 2 4" xfId="25804"/>
    <cellStyle name="Accent4 3 2 5" xfId="25805"/>
    <cellStyle name="Accent4 3 3" xfId="25806"/>
    <cellStyle name="Accent4 3 3 2" xfId="25807"/>
    <cellStyle name="Accent4 3 4" xfId="25808"/>
    <cellStyle name="Accent4 4" xfId="442"/>
    <cellStyle name="Accent4 4 2" xfId="25809"/>
    <cellStyle name="Accent4 4 2 2" xfId="25810"/>
    <cellStyle name="Accent4 4 2 3" xfId="25811"/>
    <cellStyle name="Accent4 4 3" xfId="25812"/>
    <cellStyle name="Accent4 4 4" xfId="25813"/>
    <cellStyle name="Accent4 5" xfId="25814"/>
    <cellStyle name="Accent4 5 2" xfId="25815"/>
    <cellStyle name="Accent4 5 2 2" xfId="25816"/>
    <cellStyle name="Accent4 5 2 3" xfId="25817"/>
    <cellStyle name="Accent4 5 3" xfId="25818"/>
    <cellStyle name="Accent4 5 4" xfId="25819"/>
    <cellStyle name="Accent4 6" xfId="25820"/>
    <cellStyle name="Accent4 6 2" xfId="25821"/>
    <cellStyle name="Accent4 6 2 2" xfId="25822"/>
    <cellStyle name="Accent4 6 2 3" xfId="25823"/>
    <cellStyle name="Accent4 6 3" xfId="25824"/>
    <cellStyle name="Accent4 6 4" xfId="25825"/>
    <cellStyle name="Accent4 7" xfId="25826"/>
    <cellStyle name="Accent4 7 2" xfId="25827"/>
    <cellStyle name="Accent4 7 2 2" xfId="25828"/>
    <cellStyle name="Accent4 7 2 3" xfId="25829"/>
    <cellStyle name="Accent4 7 3" xfId="25830"/>
    <cellStyle name="Accent4 7 4" xfId="25831"/>
    <cellStyle name="Accent4 8" xfId="25832"/>
    <cellStyle name="Accent4 8 2" xfId="25833"/>
    <cellStyle name="Accent4 8 2 2" xfId="25834"/>
    <cellStyle name="Accent4 8 2 3" xfId="25835"/>
    <cellStyle name="Accent4 8 3" xfId="25836"/>
    <cellStyle name="Accent4 8 4" xfId="25837"/>
    <cellStyle name="Accent4 9" xfId="25838"/>
    <cellStyle name="Accent4 9 2" xfId="25839"/>
    <cellStyle name="Accent4 9 2 2" xfId="25840"/>
    <cellStyle name="Accent4 9 2 3" xfId="25841"/>
    <cellStyle name="Accent4 9 3" xfId="25842"/>
    <cellStyle name="Accent4 9 4" xfId="25843"/>
    <cellStyle name="Accent5 10" xfId="25844"/>
    <cellStyle name="Accent5 10 2" xfId="25845"/>
    <cellStyle name="Accent5 10 3" xfId="25846"/>
    <cellStyle name="Accent5 11" xfId="25847"/>
    <cellStyle name="Accent5 11 2" xfId="25848"/>
    <cellStyle name="Accent5 11 3" xfId="25849"/>
    <cellStyle name="Accent5 12" xfId="25850"/>
    <cellStyle name="Accent5 12 2" xfId="25851"/>
    <cellStyle name="Accent5 12 3" xfId="25852"/>
    <cellStyle name="Accent5 13" xfId="25853"/>
    <cellStyle name="Accent5 13 2" xfId="25854"/>
    <cellStyle name="Accent5 13 3" xfId="25855"/>
    <cellStyle name="Accent5 14" xfId="25856"/>
    <cellStyle name="Accent5 14 2" xfId="25857"/>
    <cellStyle name="Accent5 14 3" xfId="25858"/>
    <cellStyle name="Accent5 15" xfId="25859"/>
    <cellStyle name="Accent5 15 2" xfId="25860"/>
    <cellStyle name="Accent5 15 3" xfId="25861"/>
    <cellStyle name="Accent5 16" xfId="25862"/>
    <cellStyle name="Accent5 16 2" xfId="25863"/>
    <cellStyle name="Accent5 16 3" xfId="25864"/>
    <cellStyle name="Accent5 17" xfId="25865"/>
    <cellStyle name="Accent5 18" xfId="25866"/>
    <cellStyle name="Accent5 2" xfId="64"/>
    <cellStyle name="Accent5 2 10" xfId="25867"/>
    <cellStyle name="Accent5 2 10 2" xfId="25868"/>
    <cellStyle name="Accent5 2 10 3" xfId="25869"/>
    <cellStyle name="Accent5 2 11" xfId="25870"/>
    <cellStyle name="Accent5 2 11 2" xfId="25871"/>
    <cellStyle name="Accent5 2 11 3" xfId="25872"/>
    <cellStyle name="Accent5 2 12" xfId="25873"/>
    <cellStyle name="Accent5 2 12 2" xfId="25874"/>
    <cellStyle name="Accent5 2 12 3" xfId="25875"/>
    <cellStyle name="Accent5 2 13" xfId="25876"/>
    <cellStyle name="Accent5 2 14" xfId="25877"/>
    <cellStyle name="Accent5 2 2" xfId="443"/>
    <cellStyle name="Accent5 2 2 10" xfId="25878"/>
    <cellStyle name="Accent5 2 2 10 2" xfId="25879"/>
    <cellStyle name="Accent5 2 2 10 3" xfId="25880"/>
    <cellStyle name="Accent5 2 2 11" xfId="25881"/>
    <cellStyle name="Accent5 2 2 12" xfId="25882"/>
    <cellStyle name="Accent5 2 2 13" xfId="25883"/>
    <cellStyle name="Accent5 2 2 2" xfId="25884"/>
    <cellStyle name="Accent5 2 2 2 10" xfId="25885"/>
    <cellStyle name="Accent5 2 2 2 10 2" xfId="25886"/>
    <cellStyle name="Accent5 2 2 2 10 3" xfId="25887"/>
    <cellStyle name="Accent5 2 2 2 11" xfId="25888"/>
    <cellStyle name="Accent5 2 2 2 12" xfId="25889"/>
    <cellStyle name="Accent5 2 2 2 2" xfId="25890"/>
    <cellStyle name="Accent5 2 2 2 2 2" xfId="25891"/>
    <cellStyle name="Accent5 2 2 2 2 3" xfId="25892"/>
    <cellStyle name="Accent5 2 2 2 3" xfId="25893"/>
    <cellStyle name="Accent5 2 2 2 3 2" xfId="25894"/>
    <cellStyle name="Accent5 2 2 2 3 3" xfId="25895"/>
    <cellStyle name="Accent5 2 2 2 4" xfId="25896"/>
    <cellStyle name="Accent5 2 2 2 4 2" xfId="25897"/>
    <cellStyle name="Accent5 2 2 2 4 3" xfId="25898"/>
    <cellStyle name="Accent5 2 2 2 5" xfId="25899"/>
    <cellStyle name="Accent5 2 2 2 5 2" xfId="25900"/>
    <cellStyle name="Accent5 2 2 2 5 3" xfId="25901"/>
    <cellStyle name="Accent5 2 2 2 6" xfId="25902"/>
    <cellStyle name="Accent5 2 2 2 6 2" xfId="25903"/>
    <cellStyle name="Accent5 2 2 2 6 3" xfId="25904"/>
    <cellStyle name="Accent5 2 2 2 7" xfId="25905"/>
    <cellStyle name="Accent5 2 2 2 7 2" xfId="25906"/>
    <cellStyle name="Accent5 2 2 2 7 3" xfId="25907"/>
    <cellStyle name="Accent5 2 2 2 8" xfId="25908"/>
    <cellStyle name="Accent5 2 2 2 8 2" xfId="25909"/>
    <cellStyle name="Accent5 2 2 2 8 3" xfId="25910"/>
    <cellStyle name="Accent5 2 2 2 9" xfId="25911"/>
    <cellStyle name="Accent5 2 2 2 9 2" xfId="25912"/>
    <cellStyle name="Accent5 2 2 2 9 3" xfId="25913"/>
    <cellStyle name="Accent5 2 2 3" xfId="25914"/>
    <cellStyle name="Accent5 2 2 3 2" xfId="25915"/>
    <cellStyle name="Accent5 2 2 3 3" xfId="25916"/>
    <cellStyle name="Accent5 2 2 4" xfId="25917"/>
    <cellStyle name="Accent5 2 2 4 2" xfId="25918"/>
    <cellStyle name="Accent5 2 2 4 3" xfId="25919"/>
    <cellStyle name="Accent5 2 2 5" xfId="25920"/>
    <cellStyle name="Accent5 2 2 5 2" xfId="25921"/>
    <cellStyle name="Accent5 2 2 5 3" xfId="25922"/>
    <cellStyle name="Accent5 2 2 6" xfId="25923"/>
    <cellStyle name="Accent5 2 2 6 2" xfId="25924"/>
    <cellStyle name="Accent5 2 2 6 3" xfId="25925"/>
    <cellStyle name="Accent5 2 2 7" xfId="25926"/>
    <cellStyle name="Accent5 2 2 7 2" xfId="25927"/>
    <cellStyle name="Accent5 2 2 7 3" xfId="25928"/>
    <cellStyle name="Accent5 2 2 8" xfId="25929"/>
    <cellStyle name="Accent5 2 2 8 2" xfId="25930"/>
    <cellStyle name="Accent5 2 2 8 3" xfId="25931"/>
    <cellStyle name="Accent5 2 2 9" xfId="25932"/>
    <cellStyle name="Accent5 2 2 9 2" xfId="25933"/>
    <cellStyle name="Accent5 2 2 9 3" xfId="25934"/>
    <cellStyle name="Accent5 2 3" xfId="25935"/>
    <cellStyle name="Accent5 2 3 2" xfId="25936"/>
    <cellStyle name="Accent5 2 3 3" xfId="25937"/>
    <cellStyle name="Accent5 2 4" xfId="25938"/>
    <cellStyle name="Accent5 2 4 2" xfId="25939"/>
    <cellStyle name="Accent5 2 4 3" xfId="25940"/>
    <cellStyle name="Accent5 2 5" xfId="25941"/>
    <cellStyle name="Accent5 2 5 2" xfId="25942"/>
    <cellStyle name="Accent5 2 5 3" xfId="25943"/>
    <cellStyle name="Accent5 2 6" xfId="25944"/>
    <cellStyle name="Accent5 2 6 2" xfId="25945"/>
    <cellStyle name="Accent5 2 6 3" xfId="25946"/>
    <cellStyle name="Accent5 2 7" xfId="25947"/>
    <cellStyle name="Accent5 2 7 2" xfId="25948"/>
    <cellStyle name="Accent5 2 7 3" xfId="25949"/>
    <cellStyle name="Accent5 2 8" xfId="25950"/>
    <cellStyle name="Accent5 2 8 2" xfId="25951"/>
    <cellStyle name="Accent5 2 8 3" xfId="25952"/>
    <cellStyle name="Accent5 2 9" xfId="25953"/>
    <cellStyle name="Accent5 2 9 2" xfId="25954"/>
    <cellStyle name="Accent5 2 9 3" xfId="25955"/>
    <cellStyle name="Accent5 3" xfId="444"/>
    <cellStyle name="Accent5 3 2" xfId="25956"/>
    <cellStyle name="Accent5 3 2 2" xfId="25957"/>
    <cellStyle name="Accent5 3 2 3" xfId="25958"/>
    <cellStyle name="Accent5 3 3" xfId="25959"/>
    <cellStyle name="Accent5 3 4" xfId="25960"/>
    <cellStyle name="Accent5 3 5" xfId="25961"/>
    <cellStyle name="Accent5 4" xfId="445"/>
    <cellStyle name="Accent5 4 2" xfId="25962"/>
    <cellStyle name="Accent5 4 2 2" xfId="25963"/>
    <cellStyle name="Accent5 4 2 3" xfId="25964"/>
    <cellStyle name="Accent5 4 3" xfId="25965"/>
    <cellStyle name="Accent5 4 4" xfId="25966"/>
    <cellStyle name="Accent5 5" xfId="25967"/>
    <cellStyle name="Accent5 5 2" xfId="25968"/>
    <cellStyle name="Accent5 5 2 2" xfId="25969"/>
    <cellStyle name="Accent5 5 2 3" xfId="25970"/>
    <cellStyle name="Accent5 5 3" xfId="25971"/>
    <cellStyle name="Accent5 5 4" xfId="25972"/>
    <cellStyle name="Accent5 6" xfId="25973"/>
    <cellStyle name="Accent5 6 2" xfId="25974"/>
    <cellStyle name="Accent5 6 3" xfId="25975"/>
    <cellStyle name="Accent5 7" xfId="25976"/>
    <cellStyle name="Accent5 7 2" xfId="25977"/>
    <cellStyle name="Accent5 7 3" xfId="25978"/>
    <cellStyle name="Accent5 8" xfId="25979"/>
    <cellStyle name="Accent5 8 2" xfId="25980"/>
    <cellStyle name="Accent5 8 3" xfId="25981"/>
    <cellStyle name="Accent5 9" xfId="25982"/>
    <cellStyle name="Accent5 9 2" xfId="25983"/>
    <cellStyle name="Accent5 9 3" xfId="25984"/>
    <cellStyle name="Accent6 10" xfId="25985"/>
    <cellStyle name="Accent6 10 2" xfId="25986"/>
    <cellStyle name="Accent6 10 2 2" xfId="25987"/>
    <cellStyle name="Accent6 10 2 3" xfId="25988"/>
    <cellStyle name="Accent6 10 3" xfId="25989"/>
    <cellStyle name="Accent6 10 4" xfId="25990"/>
    <cellStyle name="Accent6 11" xfId="25991"/>
    <cellStyle name="Accent6 11 2" xfId="25992"/>
    <cellStyle name="Accent6 11 2 2" xfId="25993"/>
    <cellStyle name="Accent6 11 2 3" xfId="25994"/>
    <cellStyle name="Accent6 11 3" xfId="25995"/>
    <cellStyle name="Accent6 11 4" xfId="25996"/>
    <cellStyle name="Accent6 12" xfId="25997"/>
    <cellStyle name="Accent6 12 2" xfId="25998"/>
    <cellStyle name="Accent6 12 3" xfId="25999"/>
    <cellStyle name="Accent6 13" xfId="26000"/>
    <cellStyle name="Accent6 13 2" xfId="26001"/>
    <cellStyle name="Accent6 13 3" xfId="26002"/>
    <cellStyle name="Accent6 14" xfId="26003"/>
    <cellStyle name="Accent6 14 2" xfId="26004"/>
    <cellStyle name="Accent6 14 3" xfId="26005"/>
    <cellStyle name="Accent6 15" xfId="26006"/>
    <cellStyle name="Accent6 15 2" xfId="26007"/>
    <cellStyle name="Accent6 15 2 2" xfId="26008"/>
    <cellStyle name="Accent6 15 2 3" xfId="26009"/>
    <cellStyle name="Accent6 15 3" xfId="26010"/>
    <cellStyle name="Accent6 15 4" xfId="26011"/>
    <cellStyle name="Accent6 16" xfId="26012"/>
    <cellStyle name="Accent6 16 2" xfId="26013"/>
    <cellStyle name="Accent6 16 3" xfId="26014"/>
    <cellStyle name="Accent6 17" xfId="26015"/>
    <cellStyle name="Accent6 18" xfId="26016"/>
    <cellStyle name="Accent6 2" xfId="65"/>
    <cellStyle name="Accent6 2 10" xfId="26017"/>
    <cellStyle name="Accent6 2 10 2" xfId="26018"/>
    <cellStyle name="Accent6 2 10 3" xfId="26019"/>
    <cellStyle name="Accent6 2 11" xfId="26020"/>
    <cellStyle name="Accent6 2 11 2" xfId="26021"/>
    <cellStyle name="Accent6 2 11 3" xfId="26022"/>
    <cellStyle name="Accent6 2 12" xfId="26023"/>
    <cellStyle name="Accent6 2 12 2" xfId="26024"/>
    <cellStyle name="Accent6 2 12 3" xfId="26025"/>
    <cellStyle name="Accent6 2 13" xfId="26026"/>
    <cellStyle name="Accent6 2 13 2" xfId="26027"/>
    <cellStyle name="Accent6 2 14" xfId="26028"/>
    <cellStyle name="Accent6 2 15" xfId="26029"/>
    <cellStyle name="Accent6 2 16" xfId="26030"/>
    <cellStyle name="Accent6 2 2" xfId="446"/>
    <cellStyle name="Accent6 2 2 10" xfId="26031"/>
    <cellStyle name="Accent6 2 2 10 2" xfId="26032"/>
    <cellStyle name="Accent6 2 2 10 3" xfId="26033"/>
    <cellStyle name="Accent6 2 2 11" xfId="26034"/>
    <cellStyle name="Accent6 2 2 12" xfId="26035"/>
    <cellStyle name="Accent6 2 2 2" xfId="26036"/>
    <cellStyle name="Accent6 2 2 2 10" xfId="26037"/>
    <cellStyle name="Accent6 2 2 2 10 2" xfId="26038"/>
    <cellStyle name="Accent6 2 2 2 10 3" xfId="26039"/>
    <cellStyle name="Accent6 2 2 2 11" xfId="26040"/>
    <cellStyle name="Accent6 2 2 2 12" xfId="26041"/>
    <cellStyle name="Accent6 2 2 2 13" xfId="26042"/>
    <cellStyle name="Accent6 2 2 2 2" xfId="26043"/>
    <cellStyle name="Accent6 2 2 2 2 2" xfId="26044"/>
    <cellStyle name="Accent6 2 2 2 2 3" xfId="26045"/>
    <cellStyle name="Accent6 2 2 2 3" xfId="26046"/>
    <cellStyle name="Accent6 2 2 2 3 2" xfId="26047"/>
    <cellStyle name="Accent6 2 2 2 3 3" xfId="26048"/>
    <cellStyle name="Accent6 2 2 2 4" xfId="26049"/>
    <cellStyle name="Accent6 2 2 2 4 2" xfId="26050"/>
    <cellStyle name="Accent6 2 2 2 4 3" xfId="26051"/>
    <cellStyle name="Accent6 2 2 2 5" xfId="26052"/>
    <cellStyle name="Accent6 2 2 2 5 2" xfId="26053"/>
    <cellStyle name="Accent6 2 2 2 5 3" xfId="26054"/>
    <cellStyle name="Accent6 2 2 2 6" xfId="26055"/>
    <cellStyle name="Accent6 2 2 2 6 2" xfId="26056"/>
    <cellStyle name="Accent6 2 2 2 6 3" xfId="26057"/>
    <cellStyle name="Accent6 2 2 2 7" xfId="26058"/>
    <cellStyle name="Accent6 2 2 2 7 2" xfId="26059"/>
    <cellStyle name="Accent6 2 2 2 7 3" xfId="26060"/>
    <cellStyle name="Accent6 2 2 2 8" xfId="26061"/>
    <cellStyle name="Accent6 2 2 2 8 2" xfId="26062"/>
    <cellStyle name="Accent6 2 2 2 8 3" xfId="26063"/>
    <cellStyle name="Accent6 2 2 2 9" xfId="26064"/>
    <cellStyle name="Accent6 2 2 2 9 2" xfId="26065"/>
    <cellStyle name="Accent6 2 2 2 9 3" xfId="26066"/>
    <cellStyle name="Accent6 2 2 3" xfId="26067"/>
    <cellStyle name="Accent6 2 2 3 2" xfId="26068"/>
    <cellStyle name="Accent6 2 2 3 3" xfId="26069"/>
    <cellStyle name="Accent6 2 2 4" xfId="26070"/>
    <cellStyle name="Accent6 2 2 4 2" xfId="26071"/>
    <cellStyle name="Accent6 2 2 4 3" xfId="26072"/>
    <cellStyle name="Accent6 2 2 5" xfId="26073"/>
    <cellStyle name="Accent6 2 2 5 2" xfId="26074"/>
    <cellStyle name="Accent6 2 2 5 3" xfId="26075"/>
    <cellStyle name="Accent6 2 2 6" xfId="26076"/>
    <cellStyle name="Accent6 2 2 6 2" xfId="26077"/>
    <cellStyle name="Accent6 2 2 6 3" xfId="26078"/>
    <cellStyle name="Accent6 2 2 7" xfId="26079"/>
    <cellStyle name="Accent6 2 2 7 2" xfId="26080"/>
    <cellStyle name="Accent6 2 2 7 3" xfId="26081"/>
    <cellStyle name="Accent6 2 2 8" xfId="26082"/>
    <cellStyle name="Accent6 2 2 8 2" xfId="26083"/>
    <cellStyle name="Accent6 2 2 8 3" xfId="26084"/>
    <cellStyle name="Accent6 2 2 9" xfId="26085"/>
    <cellStyle name="Accent6 2 2 9 2" xfId="26086"/>
    <cellStyle name="Accent6 2 2 9 3" xfId="26087"/>
    <cellStyle name="Accent6 2 3" xfId="26088"/>
    <cellStyle name="Accent6 2 3 2" xfId="26089"/>
    <cellStyle name="Accent6 2 3 3" xfId="26090"/>
    <cellStyle name="Accent6 2 3 4" xfId="26091"/>
    <cellStyle name="Accent6 2 4" xfId="26092"/>
    <cellStyle name="Accent6 2 4 2" xfId="26093"/>
    <cellStyle name="Accent6 2 4 3" xfId="26094"/>
    <cellStyle name="Accent6 2 5" xfId="26095"/>
    <cellStyle name="Accent6 2 5 2" xfId="26096"/>
    <cellStyle name="Accent6 2 5 3" xfId="26097"/>
    <cellStyle name="Accent6 2 6" xfId="26098"/>
    <cellStyle name="Accent6 2 6 2" xfId="26099"/>
    <cellStyle name="Accent6 2 6 3" xfId="26100"/>
    <cellStyle name="Accent6 2 7" xfId="26101"/>
    <cellStyle name="Accent6 2 7 2" xfId="26102"/>
    <cellStyle name="Accent6 2 7 2 2" xfId="26103"/>
    <cellStyle name="Accent6 2 7 2 3" xfId="26104"/>
    <cellStyle name="Accent6 2 7 3" xfId="26105"/>
    <cellStyle name="Accent6 2 7 4" xfId="26106"/>
    <cellStyle name="Accent6 2 8" xfId="26107"/>
    <cellStyle name="Accent6 2 8 2" xfId="26108"/>
    <cellStyle name="Accent6 2 8 3" xfId="26109"/>
    <cellStyle name="Accent6 2 9" xfId="26110"/>
    <cellStyle name="Accent6 2 9 2" xfId="26111"/>
    <cellStyle name="Accent6 2 9 3" xfId="26112"/>
    <cellStyle name="Accent6 2_1-10 BHU IS" xfId="26113"/>
    <cellStyle name="Accent6 3" xfId="447"/>
    <cellStyle name="Accent6 3 2" xfId="26114"/>
    <cellStyle name="Accent6 3 2 2" xfId="26115"/>
    <cellStyle name="Accent6 3 2 2 2" xfId="26116"/>
    <cellStyle name="Accent6 3 2 2 3" xfId="26117"/>
    <cellStyle name="Accent6 3 2 3" xfId="26118"/>
    <cellStyle name="Accent6 3 2 4" xfId="26119"/>
    <cellStyle name="Accent6 3 2 5" xfId="26120"/>
    <cellStyle name="Accent6 3 3" xfId="26121"/>
    <cellStyle name="Accent6 3 3 2" xfId="26122"/>
    <cellStyle name="Accent6 3 4" xfId="26123"/>
    <cellStyle name="Accent6 4" xfId="448"/>
    <cellStyle name="Accent6 4 2" xfId="26124"/>
    <cellStyle name="Accent6 4 2 2" xfId="26125"/>
    <cellStyle name="Accent6 4 2 3" xfId="26126"/>
    <cellStyle name="Accent6 4 3" xfId="26127"/>
    <cellStyle name="Accent6 4 4" xfId="26128"/>
    <cellStyle name="Accent6 5" xfId="26129"/>
    <cellStyle name="Accent6 5 2" xfId="26130"/>
    <cellStyle name="Accent6 5 2 2" xfId="26131"/>
    <cellStyle name="Accent6 5 2 3" xfId="26132"/>
    <cellStyle name="Accent6 5 3" xfId="26133"/>
    <cellStyle name="Accent6 5 4" xfId="26134"/>
    <cellStyle name="Accent6 6" xfId="26135"/>
    <cellStyle name="Accent6 6 2" xfId="26136"/>
    <cellStyle name="Accent6 6 2 2" xfId="26137"/>
    <cellStyle name="Accent6 6 2 3" xfId="26138"/>
    <cellStyle name="Accent6 6 3" xfId="26139"/>
    <cellStyle name="Accent6 6 4" xfId="26140"/>
    <cellStyle name="Accent6 7" xfId="26141"/>
    <cellStyle name="Accent6 7 2" xfId="26142"/>
    <cellStyle name="Accent6 7 2 2" xfId="26143"/>
    <cellStyle name="Accent6 7 2 3" xfId="26144"/>
    <cellStyle name="Accent6 7 3" xfId="26145"/>
    <cellStyle name="Accent6 7 4" xfId="26146"/>
    <cellStyle name="Accent6 8" xfId="26147"/>
    <cellStyle name="Accent6 8 2" xfId="26148"/>
    <cellStyle name="Accent6 8 2 2" xfId="26149"/>
    <cellStyle name="Accent6 8 2 3" xfId="26150"/>
    <cellStyle name="Accent6 8 3" xfId="26151"/>
    <cellStyle name="Accent6 8 4" xfId="26152"/>
    <cellStyle name="Accent6 9" xfId="26153"/>
    <cellStyle name="Accent6 9 2" xfId="26154"/>
    <cellStyle name="Accent6 9 2 2" xfId="26155"/>
    <cellStyle name="Accent6 9 2 3" xfId="26156"/>
    <cellStyle name="Accent6 9 3" xfId="26157"/>
    <cellStyle name="Accent6 9 4" xfId="26158"/>
    <cellStyle name="Accounting" xfId="26159"/>
    <cellStyle name="Accounting 2" xfId="26160"/>
    <cellStyle name="Accounting 3" xfId="26161"/>
    <cellStyle name="Add" xfId="449"/>
    <cellStyle name="args.style" xfId="450"/>
    <cellStyle name="Ariel 7 pt. plain" xfId="451"/>
    <cellStyle name="AS1" xfId="452"/>
    <cellStyle name="AS2" xfId="453"/>
    <cellStyle name="AS3" xfId="454"/>
    <cellStyle name="AS4" xfId="455"/>
    <cellStyle name="AS5" xfId="456"/>
    <cellStyle name="B&amp;P" xfId="457"/>
    <cellStyle name="B&amp;P 2" xfId="458"/>
    <cellStyle name="Background" xfId="459"/>
    <cellStyle name="Background 10" xfId="460"/>
    <cellStyle name="Background 2" xfId="461"/>
    <cellStyle name="Background 2 2" xfId="462"/>
    <cellStyle name="Background 2 2 2" xfId="463"/>
    <cellStyle name="Background 2 2 2 2" xfId="464"/>
    <cellStyle name="Background 2 2 2 2 2" xfId="465"/>
    <cellStyle name="Background 2 2 2 2 2 2" xfId="466"/>
    <cellStyle name="Background 2 2 2 2 2 2 2" xfId="467"/>
    <cellStyle name="Background 2 2 2 2 2 2 3" xfId="468"/>
    <cellStyle name="Background 2 2 2 2 2 3" xfId="469"/>
    <cellStyle name="Background 2 2 2 2 2 3 2" xfId="470"/>
    <cellStyle name="Background 2 2 2 2 2 3 3" xfId="471"/>
    <cellStyle name="Background 2 2 2 2 2 4" xfId="472"/>
    <cellStyle name="Background 2 2 2 2 2 4 2" xfId="473"/>
    <cellStyle name="Background 2 2 2 2 2 4 3" xfId="474"/>
    <cellStyle name="Background 2 2 2 2 2 5" xfId="475"/>
    <cellStyle name="Background 2 2 2 2 2 5 2" xfId="476"/>
    <cellStyle name="Background 2 2 2 2 2 5 3" xfId="477"/>
    <cellStyle name="Background 2 2 2 2 2 6" xfId="478"/>
    <cellStyle name="Background 2 2 2 2 2 6 2" xfId="479"/>
    <cellStyle name="Background 2 2 2 2 2 6 3" xfId="480"/>
    <cellStyle name="Background 2 2 2 2 2 7" xfId="481"/>
    <cellStyle name="Background 2 2 2 2 2 8" xfId="482"/>
    <cellStyle name="Background 2 2 2 2 3" xfId="483"/>
    <cellStyle name="Background 2 2 2 2 3 2" xfId="484"/>
    <cellStyle name="Background 2 2 2 2 3 3" xfId="485"/>
    <cellStyle name="Background 2 2 2 2 4" xfId="486"/>
    <cellStyle name="Background 2 2 2 2 4 2" xfId="487"/>
    <cellStyle name="Background 2 2 2 2 4 3" xfId="488"/>
    <cellStyle name="Background 2 2 2 2 5" xfId="489"/>
    <cellStyle name="Background 2 2 2 2 5 2" xfId="490"/>
    <cellStyle name="Background 2 2 2 2 5 3" xfId="491"/>
    <cellStyle name="Background 2 2 2 2 6" xfId="492"/>
    <cellStyle name="Background 2 2 2 2 6 2" xfId="493"/>
    <cellStyle name="Background 2 2 2 2 6 3" xfId="494"/>
    <cellStyle name="Background 2 2 2 2 7" xfId="495"/>
    <cellStyle name="Background 2 2 2 2 7 2" xfId="496"/>
    <cellStyle name="Background 2 2 2 2 7 3" xfId="497"/>
    <cellStyle name="Background 2 2 2 2 8" xfId="498"/>
    <cellStyle name="Background 2 2 2 2 9" xfId="499"/>
    <cellStyle name="Background 2 2 2 3" xfId="500"/>
    <cellStyle name="Background 2 2 2 3 2" xfId="501"/>
    <cellStyle name="Background 2 2 2 3 2 2" xfId="502"/>
    <cellStyle name="Background 2 2 2 3 2 3" xfId="503"/>
    <cellStyle name="Background 2 2 2 3 3" xfId="504"/>
    <cellStyle name="Background 2 2 2 3 3 2" xfId="505"/>
    <cellStyle name="Background 2 2 2 3 3 3" xfId="506"/>
    <cellStyle name="Background 2 2 2 3 4" xfId="507"/>
    <cellStyle name="Background 2 2 2 3 4 2" xfId="508"/>
    <cellStyle name="Background 2 2 2 3 4 3" xfId="509"/>
    <cellStyle name="Background 2 2 2 3 5" xfId="510"/>
    <cellStyle name="Background 2 2 2 3 5 2" xfId="511"/>
    <cellStyle name="Background 2 2 2 3 5 3" xfId="512"/>
    <cellStyle name="Background 2 2 2 3 6" xfId="513"/>
    <cellStyle name="Background 2 2 2 3 6 2" xfId="514"/>
    <cellStyle name="Background 2 2 2 3 6 3" xfId="515"/>
    <cellStyle name="Background 2 2 2 3 7" xfId="516"/>
    <cellStyle name="Background 2 2 2 3 8" xfId="517"/>
    <cellStyle name="Background 2 2 2 4" xfId="518"/>
    <cellStyle name="Background 2 2 2 4 2" xfId="519"/>
    <cellStyle name="Background 2 2 2 4 3" xfId="520"/>
    <cellStyle name="Background 2 2 2 5" xfId="521"/>
    <cellStyle name="Background 2 2 2 5 2" xfId="522"/>
    <cellStyle name="Background 2 2 2 5 3" xfId="523"/>
    <cellStyle name="Background 2 2 2 6" xfId="524"/>
    <cellStyle name="Background 2 2 2 6 2" xfId="525"/>
    <cellStyle name="Background 2 2 2 6 3" xfId="526"/>
    <cellStyle name="Background 2 2 2 7" xfId="527"/>
    <cellStyle name="Background 2 2 2 8" xfId="528"/>
    <cellStyle name="Background 2 2 3" xfId="529"/>
    <cellStyle name="Background 2 2 3 2" xfId="530"/>
    <cellStyle name="Background 2 2 3 2 2" xfId="531"/>
    <cellStyle name="Background 2 2 3 2 2 2" xfId="532"/>
    <cellStyle name="Background 2 2 3 2 2 3" xfId="533"/>
    <cellStyle name="Background 2 2 3 2 3" xfId="534"/>
    <cellStyle name="Background 2 2 3 2 3 2" xfId="535"/>
    <cellStyle name="Background 2 2 3 2 3 3" xfId="536"/>
    <cellStyle name="Background 2 2 3 2 4" xfId="537"/>
    <cellStyle name="Background 2 2 3 2 4 2" xfId="538"/>
    <cellStyle name="Background 2 2 3 2 4 3" xfId="539"/>
    <cellStyle name="Background 2 2 3 2 5" xfId="540"/>
    <cellStyle name="Background 2 2 3 2 5 2" xfId="541"/>
    <cellStyle name="Background 2 2 3 2 5 3" xfId="542"/>
    <cellStyle name="Background 2 2 3 2 6" xfId="543"/>
    <cellStyle name="Background 2 2 3 2 6 2" xfId="544"/>
    <cellStyle name="Background 2 2 3 2 6 3" xfId="545"/>
    <cellStyle name="Background 2 2 3 2 7" xfId="546"/>
    <cellStyle name="Background 2 2 3 2 8" xfId="547"/>
    <cellStyle name="Background 2 2 3 3" xfId="548"/>
    <cellStyle name="Background 2 2 3 3 2" xfId="549"/>
    <cellStyle name="Background 2 2 3 3 3" xfId="550"/>
    <cellStyle name="Background 2 2 3 4" xfId="551"/>
    <cellStyle name="Background 2 2 3 4 2" xfId="552"/>
    <cellStyle name="Background 2 2 3 4 3" xfId="553"/>
    <cellStyle name="Background 2 2 3 5" xfId="554"/>
    <cellStyle name="Background 2 2 3 5 2" xfId="555"/>
    <cellStyle name="Background 2 2 3 5 3" xfId="556"/>
    <cellStyle name="Background 2 2 3 6" xfId="557"/>
    <cellStyle name="Background 2 2 3 6 2" xfId="558"/>
    <cellStyle name="Background 2 2 3 6 3" xfId="559"/>
    <cellStyle name="Background 2 2 3 7" xfId="560"/>
    <cellStyle name="Background 2 2 3 7 2" xfId="561"/>
    <cellStyle name="Background 2 2 3 7 3" xfId="562"/>
    <cellStyle name="Background 2 2 3 8" xfId="563"/>
    <cellStyle name="Background 2 2 3 9" xfId="564"/>
    <cellStyle name="Background 2 2 4" xfId="565"/>
    <cellStyle name="Background 2 2 4 2" xfId="566"/>
    <cellStyle name="Background 2 2 4 2 2" xfId="567"/>
    <cellStyle name="Background 2 2 4 2 3" xfId="568"/>
    <cellStyle name="Background 2 2 4 3" xfId="569"/>
    <cellStyle name="Background 2 2 4 3 2" xfId="570"/>
    <cellStyle name="Background 2 2 4 3 3" xfId="571"/>
    <cellStyle name="Background 2 2 4 4" xfId="572"/>
    <cellStyle name="Background 2 2 4 4 2" xfId="573"/>
    <cellStyle name="Background 2 2 4 4 3" xfId="574"/>
    <cellStyle name="Background 2 2 4 5" xfId="575"/>
    <cellStyle name="Background 2 2 4 5 2" xfId="576"/>
    <cellStyle name="Background 2 2 4 5 3" xfId="577"/>
    <cellStyle name="Background 2 2 4 6" xfId="578"/>
    <cellStyle name="Background 2 2 4 6 2" xfId="579"/>
    <cellStyle name="Background 2 2 4 6 3" xfId="580"/>
    <cellStyle name="Background 2 2 4 7" xfId="581"/>
    <cellStyle name="Background 2 2 4 8" xfId="582"/>
    <cellStyle name="Background 2 2 5" xfId="583"/>
    <cellStyle name="Background 2 2 5 2" xfId="584"/>
    <cellStyle name="Background 2 2 5 3" xfId="585"/>
    <cellStyle name="Background 2 2 6" xfId="586"/>
    <cellStyle name="Background 2 2 6 2" xfId="587"/>
    <cellStyle name="Background 2 2 6 3" xfId="588"/>
    <cellStyle name="Background 2 2 7" xfId="589"/>
    <cellStyle name="Background 2 2 7 2" xfId="590"/>
    <cellStyle name="Background 2 2 7 3" xfId="591"/>
    <cellStyle name="Background 2 2 8" xfId="592"/>
    <cellStyle name="Background 2 2 9" xfId="593"/>
    <cellStyle name="Background 2 3" xfId="594"/>
    <cellStyle name="Background 2 3 2" xfId="595"/>
    <cellStyle name="Background 2 3 2 2" xfId="596"/>
    <cellStyle name="Background 2 3 2 2 2" xfId="597"/>
    <cellStyle name="Background 2 3 2 2 3" xfId="598"/>
    <cellStyle name="Background 2 3 2 3" xfId="599"/>
    <cellStyle name="Background 2 3 2 3 2" xfId="600"/>
    <cellStyle name="Background 2 3 2 3 3" xfId="601"/>
    <cellStyle name="Background 2 3 2 4" xfId="602"/>
    <cellStyle name="Background 2 3 2 4 2" xfId="603"/>
    <cellStyle name="Background 2 3 2 4 3" xfId="604"/>
    <cellStyle name="Background 2 3 2 5" xfId="605"/>
    <cellStyle name="Background 2 3 2 5 2" xfId="606"/>
    <cellStyle name="Background 2 3 2 5 3" xfId="607"/>
    <cellStyle name="Background 2 3 2 6" xfId="608"/>
    <cellStyle name="Background 2 3 2 6 2" xfId="609"/>
    <cellStyle name="Background 2 3 2 6 3" xfId="610"/>
    <cellStyle name="Background 2 3 2 7" xfId="611"/>
    <cellStyle name="Background 2 3 2 8" xfId="612"/>
    <cellStyle name="Background 2 3 3" xfId="613"/>
    <cellStyle name="Background 2 3 3 2" xfId="614"/>
    <cellStyle name="Background 2 3 3 3" xfId="615"/>
    <cellStyle name="Background 2 3 4" xfId="616"/>
    <cellStyle name="Background 2 3 4 2" xfId="617"/>
    <cellStyle name="Background 2 3 4 3" xfId="618"/>
    <cellStyle name="Background 2 3 5" xfId="619"/>
    <cellStyle name="Background 2 3 5 2" xfId="620"/>
    <cellStyle name="Background 2 3 5 3" xfId="621"/>
    <cellStyle name="Background 2 3 6" xfId="622"/>
    <cellStyle name="Background 2 3 6 2" xfId="623"/>
    <cellStyle name="Background 2 3 6 3" xfId="624"/>
    <cellStyle name="Background 2 3 7" xfId="625"/>
    <cellStyle name="Background 2 3 7 2" xfId="626"/>
    <cellStyle name="Background 2 3 7 3" xfId="627"/>
    <cellStyle name="Background 2 3 8" xfId="628"/>
    <cellStyle name="Background 2 3 9" xfId="629"/>
    <cellStyle name="Background 2 4" xfId="630"/>
    <cellStyle name="Background 2 4 2" xfId="631"/>
    <cellStyle name="Background 2 4 2 2" xfId="632"/>
    <cellStyle name="Background 2 4 2 3" xfId="633"/>
    <cellStyle name="Background 2 4 3" xfId="634"/>
    <cellStyle name="Background 2 4 3 2" xfId="635"/>
    <cellStyle name="Background 2 4 3 3" xfId="636"/>
    <cellStyle name="Background 2 4 4" xfId="637"/>
    <cellStyle name="Background 2 4 4 2" xfId="638"/>
    <cellStyle name="Background 2 4 4 3" xfId="639"/>
    <cellStyle name="Background 2 4 5" xfId="640"/>
    <cellStyle name="Background 2 4 5 2" xfId="641"/>
    <cellStyle name="Background 2 4 5 3" xfId="642"/>
    <cellStyle name="Background 2 4 6" xfId="643"/>
    <cellStyle name="Background 2 4 6 2" xfId="644"/>
    <cellStyle name="Background 2 4 6 3" xfId="645"/>
    <cellStyle name="Background 2 4 7" xfId="646"/>
    <cellStyle name="Background 2 4 8" xfId="647"/>
    <cellStyle name="Background 2 5" xfId="648"/>
    <cellStyle name="Background 2 5 2" xfId="649"/>
    <cellStyle name="Background 2 5 3" xfId="650"/>
    <cellStyle name="Background 2 6" xfId="651"/>
    <cellStyle name="Background 2 6 2" xfId="652"/>
    <cellStyle name="Background 2 6 3" xfId="653"/>
    <cellStyle name="Background 2 7" xfId="654"/>
    <cellStyle name="Background 2 7 2" xfId="655"/>
    <cellStyle name="Background 2 7 3" xfId="656"/>
    <cellStyle name="Background 2 8" xfId="657"/>
    <cellStyle name="Background 2 9" xfId="658"/>
    <cellStyle name="Background 3" xfId="659"/>
    <cellStyle name="Background 3 2" xfId="660"/>
    <cellStyle name="Background 3 2 2" xfId="661"/>
    <cellStyle name="Background 3 2 2 2" xfId="662"/>
    <cellStyle name="Background 3 2 2 2 2" xfId="663"/>
    <cellStyle name="Background 3 2 2 2 2 2" xfId="664"/>
    <cellStyle name="Background 3 2 2 2 2 3" xfId="665"/>
    <cellStyle name="Background 3 2 2 2 3" xfId="666"/>
    <cellStyle name="Background 3 2 2 2 3 2" xfId="667"/>
    <cellStyle name="Background 3 2 2 2 3 3" xfId="668"/>
    <cellStyle name="Background 3 2 2 2 4" xfId="669"/>
    <cellStyle name="Background 3 2 2 2 4 2" xfId="670"/>
    <cellStyle name="Background 3 2 2 2 4 3" xfId="671"/>
    <cellStyle name="Background 3 2 2 2 5" xfId="672"/>
    <cellStyle name="Background 3 2 2 2 5 2" xfId="673"/>
    <cellStyle name="Background 3 2 2 2 5 3" xfId="674"/>
    <cellStyle name="Background 3 2 2 2 6" xfId="675"/>
    <cellStyle name="Background 3 2 2 2 6 2" xfId="676"/>
    <cellStyle name="Background 3 2 2 2 6 3" xfId="677"/>
    <cellStyle name="Background 3 2 2 2 7" xfId="678"/>
    <cellStyle name="Background 3 2 2 2 8" xfId="679"/>
    <cellStyle name="Background 3 2 2 3" xfId="680"/>
    <cellStyle name="Background 3 2 2 3 2" xfId="681"/>
    <cellStyle name="Background 3 2 2 3 3" xfId="682"/>
    <cellStyle name="Background 3 2 2 4" xfId="683"/>
    <cellStyle name="Background 3 2 2 4 2" xfId="684"/>
    <cellStyle name="Background 3 2 2 4 3" xfId="685"/>
    <cellStyle name="Background 3 2 2 5" xfId="686"/>
    <cellStyle name="Background 3 2 2 5 2" xfId="687"/>
    <cellStyle name="Background 3 2 2 5 3" xfId="688"/>
    <cellStyle name="Background 3 2 2 6" xfId="689"/>
    <cellStyle name="Background 3 2 2 6 2" xfId="690"/>
    <cellStyle name="Background 3 2 2 6 3" xfId="691"/>
    <cellStyle name="Background 3 2 2 7" xfId="692"/>
    <cellStyle name="Background 3 2 2 7 2" xfId="693"/>
    <cellStyle name="Background 3 2 2 7 3" xfId="694"/>
    <cellStyle name="Background 3 2 2 8" xfId="695"/>
    <cellStyle name="Background 3 2 2 9" xfId="696"/>
    <cellStyle name="Background 3 2 3" xfId="697"/>
    <cellStyle name="Background 3 2 3 2" xfId="698"/>
    <cellStyle name="Background 3 2 3 2 2" xfId="699"/>
    <cellStyle name="Background 3 2 3 2 3" xfId="700"/>
    <cellStyle name="Background 3 2 3 3" xfId="701"/>
    <cellStyle name="Background 3 2 3 3 2" xfId="702"/>
    <cellStyle name="Background 3 2 3 3 3" xfId="703"/>
    <cellStyle name="Background 3 2 3 4" xfId="704"/>
    <cellStyle name="Background 3 2 3 4 2" xfId="705"/>
    <cellStyle name="Background 3 2 3 4 3" xfId="706"/>
    <cellStyle name="Background 3 2 3 5" xfId="707"/>
    <cellStyle name="Background 3 2 3 5 2" xfId="708"/>
    <cellStyle name="Background 3 2 3 5 3" xfId="709"/>
    <cellStyle name="Background 3 2 3 6" xfId="710"/>
    <cellStyle name="Background 3 2 3 6 2" xfId="711"/>
    <cellStyle name="Background 3 2 3 6 3" xfId="712"/>
    <cellStyle name="Background 3 2 3 7" xfId="713"/>
    <cellStyle name="Background 3 2 3 8" xfId="714"/>
    <cellStyle name="Background 3 2 4" xfId="715"/>
    <cellStyle name="Background 3 2 4 2" xfId="716"/>
    <cellStyle name="Background 3 2 4 3" xfId="717"/>
    <cellStyle name="Background 3 2 5" xfId="718"/>
    <cellStyle name="Background 3 2 5 2" xfId="719"/>
    <cellStyle name="Background 3 2 5 3" xfId="720"/>
    <cellStyle name="Background 3 2 6" xfId="721"/>
    <cellStyle name="Background 3 2 6 2" xfId="722"/>
    <cellStyle name="Background 3 2 6 3" xfId="723"/>
    <cellStyle name="Background 3 2 7" xfId="724"/>
    <cellStyle name="Background 3 2 8" xfId="725"/>
    <cellStyle name="Background 3 3" xfId="726"/>
    <cellStyle name="Background 3 3 2" xfId="727"/>
    <cellStyle name="Background 3 3 2 2" xfId="728"/>
    <cellStyle name="Background 3 3 2 2 2" xfId="729"/>
    <cellStyle name="Background 3 3 2 2 3" xfId="730"/>
    <cellStyle name="Background 3 3 2 3" xfId="731"/>
    <cellStyle name="Background 3 3 2 3 2" xfId="732"/>
    <cellStyle name="Background 3 3 2 3 3" xfId="733"/>
    <cellStyle name="Background 3 3 2 4" xfId="734"/>
    <cellStyle name="Background 3 3 2 4 2" xfId="735"/>
    <cellStyle name="Background 3 3 2 4 3" xfId="736"/>
    <cellStyle name="Background 3 3 2 5" xfId="737"/>
    <cellStyle name="Background 3 3 2 5 2" xfId="738"/>
    <cellStyle name="Background 3 3 2 5 3" xfId="739"/>
    <cellStyle name="Background 3 3 2 6" xfId="740"/>
    <cellStyle name="Background 3 3 2 6 2" xfId="741"/>
    <cellStyle name="Background 3 3 2 6 3" xfId="742"/>
    <cellStyle name="Background 3 3 2 7" xfId="743"/>
    <cellStyle name="Background 3 3 2 8" xfId="744"/>
    <cellStyle name="Background 3 3 3" xfId="745"/>
    <cellStyle name="Background 3 3 3 2" xfId="746"/>
    <cellStyle name="Background 3 3 3 3" xfId="747"/>
    <cellStyle name="Background 3 3 4" xfId="748"/>
    <cellStyle name="Background 3 3 4 2" xfId="749"/>
    <cellStyle name="Background 3 3 4 3" xfId="750"/>
    <cellStyle name="Background 3 3 5" xfId="751"/>
    <cellStyle name="Background 3 3 5 2" xfId="752"/>
    <cellStyle name="Background 3 3 5 3" xfId="753"/>
    <cellStyle name="Background 3 3 6" xfId="754"/>
    <cellStyle name="Background 3 3 6 2" xfId="755"/>
    <cellStyle name="Background 3 3 6 3" xfId="756"/>
    <cellStyle name="Background 3 3 7" xfId="757"/>
    <cellStyle name="Background 3 3 7 2" xfId="758"/>
    <cellStyle name="Background 3 3 7 3" xfId="759"/>
    <cellStyle name="Background 3 3 8" xfId="760"/>
    <cellStyle name="Background 3 3 9" xfId="761"/>
    <cellStyle name="Background 3 4" xfId="762"/>
    <cellStyle name="Background 3 4 2" xfId="763"/>
    <cellStyle name="Background 3 4 2 2" xfId="764"/>
    <cellStyle name="Background 3 4 2 3" xfId="765"/>
    <cellStyle name="Background 3 4 3" xfId="766"/>
    <cellStyle name="Background 3 4 3 2" xfId="767"/>
    <cellStyle name="Background 3 4 3 3" xfId="768"/>
    <cellStyle name="Background 3 4 4" xfId="769"/>
    <cellStyle name="Background 3 4 4 2" xfId="770"/>
    <cellStyle name="Background 3 4 4 3" xfId="771"/>
    <cellStyle name="Background 3 4 5" xfId="772"/>
    <cellStyle name="Background 3 4 5 2" xfId="773"/>
    <cellStyle name="Background 3 4 5 3" xfId="774"/>
    <cellStyle name="Background 3 4 6" xfId="775"/>
    <cellStyle name="Background 3 4 6 2" xfId="776"/>
    <cellStyle name="Background 3 4 6 3" xfId="777"/>
    <cellStyle name="Background 3 4 7" xfId="778"/>
    <cellStyle name="Background 3 4 8" xfId="779"/>
    <cellStyle name="Background 3 5" xfId="780"/>
    <cellStyle name="Background 3 5 2" xfId="781"/>
    <cellStyle name="Background 3 5 3" xfId="782"/>
    <cellStyle name="Background 3 6" xfId="783"/>
    <cellStyle name="Background 3 6 2" xfId="784"/>
    <cellStyle name="Background 3 6 3" xfId="785"/>
    <cellStyle name="Background 3 7" xfId="786"/>
    <cellStyle name="Background 3 7 2" xfId="787"/>
    <cellStyle name="Background 3 7 3" xfId="788"/>
    <cellStyle name="Background 3 8" xfId="789"/>
    <cellStyle name="Background 3 9" xfId="790"/>
    <cellStyle name="Background 4" xfId="791"/>
    <cellStyle name="Background 4 2" xfId="792"/>
    <cellStyle name="Background 4 2 2" xfId="793"/>
    <cellStyle name="Background 4 2 2 2" xfId="794"/>
    <cellStyle name="Background 4 2 2 3" xfId="795"/>
    <cellStyle name="Background 4 2 3" xfId="796"/>
    <cellStyle name="Background 4 2 3 2" xfId="797"/>
    <cellStyle name="Background 4 2 3 3" xfId="798"/>
    <cellStyle name="Background 4 2 4" xfId="799"/>
    <cellStyle name="Background 4 2 4 2" xfId="800"/>
    <cellStyle name="Background 4 2 4 3" xfId="801"/>
    <cellStyle name="Background 4 2 5" xfId="802"/>
    <cellStyle name="Background 4 2 5 2" xfId="803"/>
    <cellStyle name="Background 4 2 5 3" xfId="804"/>
    <cellStyle name="Background 4 2 6" xfId="805"/>
    <cellStyle name="Background 4 2 6 2" xfId="806"/>
    <cellStyle name="Background 4 2 6 3" xfId="807"/>
    <cellStyle name="Background 4 2 7" xfId="808"/>
    <cellStyle name="Background 4 2 8" xfId="809"/>
    <cellStyle name="Background 4 3" xfId="810"/>
    <cellStyle name="Background 4 3 2" xfId="811"/>
    <cellStyle name="Background 4 3 3" xfId="812"/>
    <cellStyle name="Background 4 4" xfId="813"/>
    <cellStyle name="Background 4 4 2" xfId="814"/>
    <cellStyle name="Background 4 4 3" xfId="815"/>
    <cellStyle name="Background 4 5" xfId="816"/>
    <cellStyle name="Background 4 5 2" xfId="817"/>
    <cellStyle name="Background 4 5 3" xfId="818"/>
    <cellStyle name="Background 4 6" xfId="819"/>
    <cellStyle name="Background 4 6 2" xfId="820"/>
    <cellStyle name="Background 4 6 3" xfId="821"/>
    <cellStyle name="Background 4 7" xfId="822"/>
    <cellStyle name="Background 4 7 2" xfId="823"/>
    <cellStyle name="Background 4 7 3" xfId="824"/>
    <cellStyle name="Background 4 8" xfId="825"/>
    <cellStyle name="Background 4 9" xfId="826"/>
    <cellStyle name="Background 5" xfId="827"/>
    <cellStyle name="Background 5 2" xfId="828"/>
    <cellStyle name="Background 5 2 2" xfId="829"/>
    <cellStyle name="Background 5 2 3" xfId="830"/>
    <cellStyle name="Background 5 3" xfId="831"/>
    <cellStyle name="Background 5 3 2" xfId="832"/>
    <cellStyle name="Background 5 3 3" xfId="833"/>
    <cellStyle name="Background 5 4" xfId="834"/>
    <cellStyle name="Background 5 4 2" xfId="835"/>
    <cellStyle name="Background 5 4 3" xfId="836"/>
    <cellStyle name="Background 5 5" xfId="837"/>
    <cellStyle name="Background 5 5 2" xfId="838"/>
    <cellStyle name="Background 5 5 3" xfId="839"/>
    <cellStyle name="Background 5 6" xfId="840"/>
    <cellStyle name="Background 5 6 2" xfId="841"/>
    <cellStyle name="Background 5 6 3" xfId="842"/>
    <cellStyle name="Background 5 7" xfId="843"/>
    <cellStyle name="Background 5 8" xfId="844"/>
    <cellStyle name="Background 6" xfId="845"/>
    <cellStyle name="Background 6 2" xfId="846"/>
    <cellStyle name="Background 6 3" xfId="847"/>
    <cellStyle name="Background 7" xfId="848"/>
    <cellStyle name="Background 7 2" xfId="849"/>
    <cellStyle name="Background 7 3" xfId="850"/>
    <cellStyle name="Background 8" xfId="851"/>
    <cellStyle name="Background 8 2" xfId="852"/>
    <cellStyle name="Background 8 3" xfId="853"/>
    <cellStyle name="Background 9" xfId="854"/>
    <cellStyle name="Bad 10" xfId="26162"/>
    <cellStyle name="Bad 10 2" xfId="26163"/>
    <cellStyle name="Bad 10 2 2" xfId="26164"/>
    <cellStyle name="Bad 10 2 3" xfId="26165"/>
    <cellStyle name="Bad 10 3" xfId="26166"/>
    <cellStyle name="Bad 10 4" xfId="26167"/>
    <cellStyle name="Bad 11" xfId="26168"/>
    <cellStyle name="Bad 11 2" xfId="26169"/>
    <cellStyle name="Bad 11 2 2" xfId="26170"/>
    <cellStyle name="Bad 11 2 3" xfId="26171"/>
    <cellStyle name="Bad 11 3" xfId="26172"/>
    <cellStyle name="Bad 11 4" xfId="26173"/>
    <cellStyle name="Bad 12" xfId="26174"/>
    <cellStyle name="Bad 12 2" xfId="26175"/>
    <cellStyle name="Bad 12 3" xfId="26176"/>
    <cellStyle name="Bad 13" xfId="26177"/>
    <cellStyle name="Bad 13 2" xfId="26178"/>
    <cellStyle name="Bad 13 3" xfId="26179"/>
    <cellStyle name="Bad 14" xfId="26180"/>
    <cellStyle name="Bad 14 2" xfId="26181"/>
    <cellStyle name="Bad 14 3" xfId="26182"/>
    <cellStyle name="Bad 15" xfId="26183"/>
    <cellStyle name="Bad 15 2" xfId="26184"/>
    <cellStyle name="Bad 15 2 2" xfId="26185"/>
    <cellStyle name="Bad 15 2 3" xfId="26186"/>
    <cellStyle name="Bad 15 3" xfId="26187"/>
    <cellStyle name="Bad 15 4" xfId="26188"/>
    <cellStyle name="Bad 16" xfId="26189"/>
    <cellStyle name="Bad 16 2" xfId="26190"/>
    <cellStyle name="Bad 16 3" xfId="26191"/>
    <cellStyle name="Bad 17" xfId="26192"/>
    <cellStyle name="Bad 18" xfId="26193"/>
    <cellStyle name="Bad 2" xfId="66"/>
    <cellStyle name="Bad 2 10" xfId="26194"/>
    <cellStyle name="Bad 2 10 2" xfId="26195"/>
    <cellStyle name="Bad 2 10 3" xfId="26196"/>
    <cellStyle name="Bad 2 11" xfId="26197"/>
    <cellStyle name="Bad 2 11 2" xfId="26198"/>
    <cellStyle name="Bad 2 11 3" xfId="26199"/>
    <cellStyle name="Bad 2 12" xfId="26200"/>
    <cellStyle name="Bad 2 12 2" xfId="26201"/>
    <cellStyle name="Bad 2 12 3" xfId="26202"/>
    <cellStyle name="Bad 2 13" xfId="26203"/>
    <cellStyle name="Bad 2 13 2" xfId="26204"/>
    <cellStyle name="Bad 2 14" xfId="26205"/>
    <cellStyle name="Bad 2 15" xfId="26206"/>
    <cellStyle name="Bad 2 16" xfId="26207"/>
    <cellStyle name="Bad 2 2" xfId="855"/>
    <cellStyle name="Bad 2 2 10" xfId="26208"/>
    <cellStyle name="Bad 2 2 10 2" xfId="26209"/>
    <cellStyle name="Bad 2 2 10 3" xfId="26210"/>
    <cellStyle name="Bad 2 2 11" xfId="26211"/>
    <cellStyle name="Bad 2 2 12" xfId="26212"/>
    <cellStyle name="Bad 2 2 2" xfId="26213"/>
    <cellStyle name="Bad 2 2 2 10" xfId="26214"/>
    <cellStyle name="Bad 2 2 2 10 2" xfId="26215"/>
    <cellStyle name="Bad 2 2 2 10 3" xfId="26216"/>
    <cellStyle name="Bad 2 2 2 11" xfId="26217"/>
    <cellStyle name="Bad 2 2 2 12" xfId="26218"/>
    <cellStyle name="Bad 2 2 2 13" xfId="26219"/>
    <cellStyle name="Bad 2 2 2 2" xfId="26220"/>
    <cellStyle name="Bad 2 2 2 2 2" xfId="26221"/>
    <cellStyle name="Bad 2 2 2 2 3" xfId="26222"/>
    <cellStyle name="Bad 2 2 2 3" xfId="26223"/>
    <cellStyle name="Bad 2 2 2 3 2" xfId="26224"/>
    <cellStyle name="Bad 2 2 2 3 3" xfId="26225"/>
    <cellStyle name="Bad 2 2 2 4" xfId="26226"/>
    <cellStyle name="Bad 2 2 2 4 2" xfId="26227"/>
    <cellStyle name="Bad 2 2 2 4 3" xfId="26228"/>
    <cellStyle name="Bad 2 2 2 5" xfId="26229"/>
    <cellStyle name="Bad 2 2 2 5 2" xfId="26230"/>
    <cellStyle name="Bad 2 2 2 5 3" xfId="26231"/>
    <cellStyle name="Bad 2 2 2 6" xfId="26232"/>
    <cellStyle name="Bad 2 2 2 6 2" xfId="26233"/>
    <cellStyle name="Bad 2 2 2 6 3" xfId="26234"/>
    <cellStyle name="Bad 2 2 2 7" xfId="26235"/>
    <cellStyle name="Bad 2 2 2 7 2" xfId="26236"/>
    <cellStyle name="Bad 2 2 2 7 3" xfId="26237"/>
    <cellStyle name="Bad 2 2 2 8" xfId="26238"/>
    <cellStyle name="Bad 2 2 2 8 2" xfId="26239"/>
    <cellStyle name="Bad 2 2 2 8 3" xfId="26240"/>
    <cellStyle name="Bad 2 2 2 9" xfId="26241"/>
    <cellStyle name="Bad 2 2 2 9 2" xfId="26242"/>
    <cellStyle name="Bad 2 2 2 9 3" xfId="26243"/>
    <cellStyle name="Bad 2 2 3" xfId="26244"/>
    <cellStyle name="Bad 2 2 3 2" xfId="26245"/>
    <cellStyle name="Bad 2 2 3 3" xfId="26246"/>
    <cellStyle name="Bad 2 2 4" xfId="26247"/>
    <cellStyle name="Bad 2 2 4 2" xfId="26248"/>
    <cellStyle name="Bad 2 2 4 3" xfId="26249"/>
    <cellStyle name="Bad 2 2 5" xfId="26250"/>
    <cellStyle name="Bad 2 2 5 2" xfId="26251"/>
    <cellStyle name="Bad 2 2 5 3" xfId="26252"/>
    <cellStyle name="Bad 2 2 6" xfId="26253"/>
    <cellStyle name="Bad 2 2 6 2" xfId="26254"/>
    <cellStyle name="Bad 2 2 6 3" xfId="26255"/>
    <cellStyle name="Bad 2 2 7" xfId="26256"/>
    <cellStyle name="Bad 2 2 7 2" xfId="26257"/>
    <cellStyle name="Bad 2 2 7 3" xfId="26258"/>
    <cellStyle name="Bad 2 2 8" xfId="26259"/>
    <cellStyle name="Bad 2 2 8 2" xfId="26260"/>
    <cellStyle name="Bad 2 2 8 3" xfId="26261"/>
    <cellStyle name="Bad 2 2 9" xfId="26262"/>
    <cellStyle name="Bad 2 2 9 2" xfId="26263"/>
    <cellStyle name="Bad 2 2 9 3" xfId="26264"/>
    <cellStyle name="Bad 2 3" xfId="26265"/>
    <cellStyle name="Bad 2 3 2" xfId="26266"/>
    <cellStyle name="Bad 2 3 3" xfId="26267"/>
    <cellStyle name="Bad 2 3 4" xfId="26268"/>
    <cellStyle name="Bad 2 4" xfId="26269"/>
    <cellStyle name="Bad 2 4 2" xfId="26270"/>
    <cellStyle name="Bad 2 4 3" xfId="26271"/>
    <cellStyle name="Bad 2 5" xfId="26272"/>
    <cellStyle name="Bad 2 5 2" xfId="26273"/>
    <cellStyle name="Bad 2 5 3" xfId="26274"/>
    <cellStyle name="Bad 2 6" xfId="26275"/>
    <cellStyle name="Bad 2 6 2" xfId="26276"/>
    <cellStyle name="Bad 2 6 3" xfId="26277"/>
    <cellStyle name="Bad 2 7" xfId="26278"/>
    <cellStyle name="Bad 2 7 2" xfId="26279"/>
    <cellStyle name="Bad 2 7 2 2" xfId="26280"/>
    <cellStyle name="Bad 2 7 2 3" xfId="26281"/>
    <cellStyle name="Bad 2 7 3" xfId="26282"/>
    <cellStyle name="Bad 2 7 4" xfId="26283"/>
    <cellStyle name="Bad 2 8" xfId="26284"/>
    <cellStyle name="Bad 2 8 2" xfId="26285"/>
    <cellStyle name="Bad 2 8 3" xfId="26286"/>
    <cellStyle name="Bad 2 9" xfId="26287"/>
    <cellStyle name="Bad 2 9 2" xfId="26288"/>
    <cellStyle name="Bad 2 9 3" xfId="26289"/>
    <cellStyle name="Bad 2_1-10 BHU IS" xfId="26290"/>
    <cellStyle name="Bad 3" xfId="856"/>
    <cellStyle name="Bad 3 2" xfId="26291"/>
    <cellStyle name="Bad 3 2 2" xfId="26292"/>
    <cellStyle name="Bad 3 2 2 2" xfId="26293"/>
    <cellStyle name="Bad 3 2 2 3" xfId="26294"/>
    <cellStyle name="Bad 3 2 3" xfId="26295"/>
    <cellStyle name="Bad 3 2 4" xfId="26296"/>
    <cellStyle name="Bad 3 2 5" xfId="26297"/>
    <cellStyle name="Bad 3 3" xfId="26298"/>
    <cellStyle name="Bad 3 3 2" xfId="26299"/>
    <cellStyle name="Bad 3 4" xfId="26300"/>
    <cellStyle name="Bad 4" xfId="857"/>
    <cellStyle name="Bad 4 2" xfId="26301"/>
    <cellStyle name="Bad 4 2 2" xfId="26302"/>
    <cellStyle name="Bad 4 2 3" xfId="26303"/>
    <cellStyle name="Bad 4 3" xfId="26304"/>
    <cellStyle name="Bad 4 4" xfId="26305"/>
    <cellStyle name="Bad 5" xfId="26306"/>
    <cellStyle name="Bad 5 2" xfId="26307"/>
    <cellStyle name="Bad 5 2 2" xfId="26308"/>
    <cellStyle name="Bad 5 2 3" xfId="26309"/>
    <cellStyle name="Bad 5 3" xfId="26310"/>
    <cellStyle name="Bad 5 4" xfId="26311"/>
    <cellStyle name="Bad 6" xfId="26312"/>
    <cellStyle name="Bad 6 2" xfId="26313"/>
    <cellStyle name="Bad 6 2 2" xfId="26314"/>
    <cellStyle name="Bad 6 2 3" xfId="26315"/>
    <cellStyle name="Bad 6 3" xfId="26316"/>
    <cellStyle name="Bad 6 4" xfId="26317"/>
    <cellStyle name="Bad 7" xfId="26318"/>
    <cellStyle name="Bad 7 2" xfId="26319"/>
    <cellStyle name="Bad 7 2 2" xfId="26320"/>
    <cellStyle name="Bad 7 2 3" xfId="26321"/>
    <cellStyle name="Bad 7 3" xfId="26322"/>
    <cellStyle name="Bad 7 4" xfId="26323"/>
    <cellStyle name="Bad 8" xfId="26324"/>
    <cellStyle name="Bad 8 2" xfId="26325"/>
    <cellStyle name="Bad 8 2 2" xfId="26326"/>
    <cellStyle name="Bad 8 2 3" xfId="26327"/>
    <cellStyle name="Bad 8 3" xfId="26328"/>
    <cellStyle name="Bad 8 4" xfId="26329"/>
    <cellStyle name="Bad 9" xfId="26330"/>
    <cellStyle name="Bad 9 2" xfId="26331"/>
    <cellStyle name="Bad 9 2 2" xfId="26332"/>
    <cellStyle name="Bad 9 2 3" xfId="26333"/>
    <cellStyle name="Bad 9 3" xfId="26334"/>
    <cellStyle name="Bad 9 4" xfId="26335"/>
    <cellStyle name="bigred" xfId="858"/>
    <cellStyle name="Body" xfId="26336"/>
    <cellStyle name="Body 2" xfId="26337"/>
    <cellStyle name="Body 3" xfId="26338"/>
    <cellStyle name="BorderAreas" xfId="859"/>
    <cellStyle name="Business Unit" xfId="26339"/>
    <cellStyle name="Business Unit 2" xfId="26340"/>
    <cellStyle name="Business Unit 2 2" xfId="26341"/>
    <cellStyle name="Business Unit 2 3" xfId="26342"/>
    <cellStyle name="Business Unit 3" xfId="26343"/>
    <cellStyle name="Business Unit 3 2" xfId="26344"/>
    <cellStyle name="Business Unit 3 3" xfId="26345"/>
    <cellStyle name="Business Unit 4" xfId="26346"/>
    <cellStyle name="Business Unit 5" xfId="26347"/>
    <cellStyle name="Calc Currency (0)" xfId="860"/>
    <cellStyle name="Calc Currency (2)" xfId="861"/>
    <cellStyle name="Calc Percent (0)" xfId="862"/>
    <cellStyle name="Calc Percent (1)" xfId="863"/>
    <cellStyle name="Calc Percent (2)" xfId="864"/>
    <cellStyle name="Calc Units (0)" xfId="865"/>
    <cellStyle name="Calc Units (1)" xfId="866"/>
    <cellStyle name="Calc Units (2)" xfId="867"/>
    <cellStyle name="calculate" xfId="868"/>
    <cellStyle name="calculate 2" xfId="869"/>
    <cellStyle name="Calculation 10" xfId="26348"/>
    <cellStyle name="Calculation 10 2" xfId="26349"/>
    <cellStyle name="Calculation 10 2 2" xfId="26350"/>
    <cellStyle name="Calculation 10 2 3" xfId="26351"/>
    <cellStyle name="Calculation 10 3" xfId="26352"/>
    <cellStyle name="Calculation 10 4" xfId="26353"/>
    <cellStyle name="Calculation 11" xfId="26354"/>
    <cellStyle name="Calculation 11 2" xfId="26355"/>
    <cellStyle name="Calculation 11 2 2" xfId="26356"/>
    <cellStyle name="Calculation 11 2 3" xfId="26357"/>
    <cellStyle name="Calculation 11 3" xfId="26358"/>
    <cellStyle name="Calculation 11 4" xfId="26359"/>
    <cellStyle name="Calculation 12" xfId="26360"/>
    <cellStyle name="Calculation 12 2" xfId="26361"/>
    <cellStyle name="Calculation 12 3" xfId="26362"/>
    <cellStyle name="Calculation 13" xfId="26363"/>
    <cellStyle name="Calculation 13 2" xfId="26364"/>
    <cellStyle name="Calculation 13 3" xfId="26365"/>
    <cellStyle name="Calculation 14" xfId="26366"/>
    <cellStyle name="Calculation 14 2" xfId="26367"/>
    <cellStyle name="Calculation 14 3" xfId="26368"/>
    <cellStyle name="Calculation 15" xfId="26369"/>
    <cellStyle name="Calculation 15 2" xfId="26370"/>
    <cellStyle name="Calculation 15 2 2" xfId="26371"/>
    <cellStyle name="Calculation 15 2 3" xfId="26372"/>
    <cellStyle name="Calculation 15 3" xfId="26373"/>
    <cellStyle name="Calculation 15 4" xfId="26374"/>
    <cellStyle name="Calculation 16" xfId="26375"/>
    <cellStyle name="Calculation 16 2" xfId="26376"/>
    <cellStyle name="Calculation 16 3" xfId="26377"/>
    <cellStyle name="Calculation 17" xfId="26378"/>
    <cellStyle name="Calculation 18" xfId="26379"/>
    <cellStyle name="Calculation 2" xfId="67"/>
    <cellStyle name="Calculation 2 10" xfId="870"/>
    <cellStyle name="Calculation 2 10 2" xfId="26380"/>
    <cellStyle name="Calculation 2 10 3" xfId="26381"/>
    <cellStyle name="Calculation 2 11" xfId="26382"/>
    <cellStyle name="Calculation 2 11 2" xfId="26383"/>
    <cellStyle name="Calculation 2 11 3" xfId="26384"/>
    <cellStyle name="Calculation 2 12" xfId="26385"/>
    <cellStyle name="Calculation 2 12 2" xfId="26386"/>
    <cellStyle name="Calculation 2 12 3" xfId="26387"/>
    <cellStyle name="Calculation 2 13" xfId="26388"/>
    <cellStyle name="Calculation 2 13 2" xfId="26389"/>
    <cellStyle name="Calculation 2 14" xfId="26390"/>
    <cellStyle name="Calculation 2 15" xfId="26391"/>
    <cellStyle name="Calculation 2 16" xfId="26392"/>
    <cellStyle name="Calculation 2 2" xfId="871"/>
    <cellStyle name="Calculation 2 2 10" xfId="26393"/>
    <cellStyle name="Calculation 2 2 10 2" xfId="26394"/>
    <cellStyle name="Calculation 2 2 10 3" xfId="26395"/>
    <cellStyle name="Calculation 2 2 11" xfId="26396"/>
    <cellStyle name="Calculation 2 2 12" xfId="26397"/>
    <cellStyle name="Calculation 2 2 2" xfId="872"/>
    <cellStyle name="Calculation 2 2 2 10" xfId="26398"/>
    <cellStyle name="Calculation 2 2 2 10 2" xfId="26399"/>
    <cellStyle name="Calculation 2 2 2 10 3" xfId="26400"/>
    <cellStyle name="Calculation 2 2 2 11" xfId="26401"/>
    <cellStyle name="Calculation 2 2 2 12" xfId="26402"/>
    <cellStyle name="Calculation 2 2 2 13" xfId="26403"/>
    <cellStyle name="Calculation 2 2 2 2" xfId="873"/>
    <cellStyle name="Calculation 2 2 2 2 2" xfId="874"/>
    <cellStyle name="Calculation 2 2 2 2 2 2" xfId="875"/>
    <cellStyle name="Calculation 2 2 2 2 2 2 2" xfId="876"/>
    <cellStyle name="Calculation 2 2 2 2 2 2 3" xfId="877"/>
    <cellStyle name="Calculation 2 2 2 2 2 3" xfId="878"/>
    <cellStyle name="Calculation 2 2 2 2 2 3 2" xfId="879"/>
    <cellStyle name="Calculation 2 2 2 2 2 3 3" xfId="880"/>
    <cellStyle name="Calculation 2 2 2 2 2 4" xfId="881"/>
    <cellStyle name="Calculation 2 2 2 2 2 4 2" xfId="882"/>
    <cellStyle name="Calculation 2 2 2 2 2 4 3" xfId="883"/>
    <cellStyle name="Calculation 2 2 2 2 2 5" xfId="884"/>
    <cellStyle name="Calculation 2 2 2 2 2 5 2" xfId="885"/>
    <cellStyle name="Calculation 2 2 2 2 2 5 3" xfId="886"/>
    <cellStyle name="Calculation 2 2 2 2 2 6" xfId="887"/>
    <cellStyle name="Calculation 2 2 2 2 2 6 2" xfId="888"/>
    <cellStyle name="Calculation 2 2 2 2 2 6 3" xfId="889"/>
    <cellStyle name="Calculation 2 2 2 2 2 7" xfId="890"/>
    <cellStyle name="Calculation 2 2 2 2 2 8" xfId="891"/>
    <cellStyle name="Calculation 2 2 2 2 3" xfId="892"/>
    <cellStyle name="Calculation 2 2 2 2 3 2" xfId="893"/>
    <cellStyle name="Calculation 2 2 2 2 3 3" xfId="894"/>
    <cellStyle name="Calculation 2 2 2 2 4" xfId="895"/>
    <cellStyle name="Calculation 2 2 2 2 4 2" xfId="896"/>
    <cellStyle name="Calculation 2 2 2 2 4 3" xfId="897"/>
    <cellStyle name="Calculation 2 2 2 2 5" xfId="898"/>
    <cellStyle name="Calculation 2 2 2 2 5 2" xfId="899"/>
    <cellStyle name="Calculation 2 2 2 2 5 3" xfId="900"/>
    <cellStyle name="Calculation 2 2 2 2 6" xfId="901"/>
    <cellStyle name="Calculation 2 2 2 2 6 2" xfId="902"/>
    <cellStyle name="Calculation 2 2 2 2 6 3" xfId="903"/>
    <cellStyle name="Calculation 2 2 2 2 7" xfId="904"/>
    <cellStyle name="Calculation 2 2 2 2 7 2" xfId="905"/>
    <cellStyle name="Calculation 2 2 2 2 7 3" xfId="906"/>
    <cellStyle name="Calculation 2 2 2 2 8" xfId="907"/>
    <cellStyle name="Calculation 2 2 2 2 9" xfId="908"/>
    <cellStyle name="Calculation 2 2 2 3" xfId="909"/>
    <cellStyle name="Calculation 2 2 2 3 2" xfId="910"/>
    <cellStyle name="Calculation 2 2 2 3 2 2" xfId="911"/>
    <cellStyle name="Calculation 2 2 2 3 2 3" xfId="912"/>
    <cellStyle name="Calculation 2 2 2 3 3" xfId="913"/>
    <cellStyle name="Calculation 2 2 2 3 3 2" xfId="914"/>
    <cellStyle name="Calculation 2 2 2 3 3 3" xfId="915"/>
    <cellStyle name="Calculation 2 2 2 3 4" xfId="916"/>
    <cellStyle name="Calculation 2 2 2 3 4 2" xfId="917"/>
    <cellStyle name="Calculation 2 2 2 3 4 3" xfId="918"/>
    <cellStyle name="Calculation 2 2 2 3 5" xfId="919"/>
    <cellStyle name="Calculation 2 2 2 3 5 2" xfId="920"/>
    <cellStyle name="Calculation 2 2 2 3 5 3" xfId="921"/>
    <cellStyle name="Calculation 2 2 2 3 6" xfId="922"/>
    <cellStyle name="Calculation 2 2 2 3 6 2" xfId="923"/>
    <cellStyle name="Calculation 2 2 2 3 6 3" xfId="924"/>
    <cellStyle name="Calculation 2 2 2 3 7" xfId="925"/>
    <cellStyle name="Calculation 2 2 2 3 8" xfId="926"/>
    <cellStyle name="Calculation 2 2 2 4" xfId="927"/>
    <cellStyle name="Calculation 2 2 2 4 2" xfId="928"/>
    <cellStyle name="Calculation 2 2 2 4 3" xfId="929"/>
    <cellStyle name="Calculation 2 2 2 5" xfId="930"/>
    <cellStyle name="Calculation 2 2 2 5 2" xfId="931"/>
    <cellStyle name="Calculation 2 2 2 5 3" xfId="932"/>
    <cellStyle name="Calculation 2 2 2 6" xfId="933"/>
    <cellStyle name="Calculation 2 2 2 6 2" xfId="934"/>
    <cellStyle name="Calculation 2 2 2 6 3" xfId="935"/>
    <cellStyle name="Calculation 2 2 2 7" xfId="936"/>
    <cellStyle name="Calculation 2 2 2 7 2" xfId="26404"/>
    <cellStyle name="Calculation 2 2 2 7 3" xfId="26405"/>
    <cellStyle name="Calculation 2 2 2 8" xfId="937"/>
    <cellStyle name="Calculation 2 2 2 8 2" xfId="26406"/>
    <cellStyle name="Calculation 2 2 2 8 3" xfId="26407"/>
    <cellStyle name="Calculation 2 2 2 9" xfId="26408"/>
    <cellStyle name="Calculation 2 2 2 9 2" xfId="26409"/>
    <cellStyle name="Calculation 2 2 2 9 3" xfId="26410"/>
    <cellStyle name="Calculation 2 2 2_BHP 4Q 2010 Ops Review Senior Managment " xfId="26411"/>
    <cellStyle name="Calculation 2 2 3" xfId="938"/>
    <cellStyle name="Calculation 2 2 3 2" xfId="939"/>
    <cellStyle name="Calculation 2 2 3 2 2" xfId="940"/>
    <cellStyle name="Calculation 2 2 3 2 2 2" xfId="941"/>
    <cellStyle name="Calculation 2 2 3 2 2 3" xfId="942"/>
    <cellStyle name="Calculation 2 2 3 2 3" xfId="943"/>
    <cellStyle name="Calculation 2 2 3 2 3 2" xfId="944"/>
    <cellStyle name="Calculation 2 2 3 2 3 3" xfId="945"/>
    <cellStyle name="Calculation 2 2 3 2 4" xfId="946"/>
    <cellStyle name="Calculation 2 2 3 2 4 2" xfId="947"/>
    <cellStyle name="Calculation 2 2 3 2 4 3" xfId="948"/>
    <cellStyle name="Calculation 2 2 3 2 5" xfId="949"/>
    <cellStyle name="Calculation 2 2 3 2 5 2" xfId="950"/>
    <cellStyle name="Calculation 2 2 3 2 5 3" xfId="951"/>
    <cellStyle name="Calculation 2 2 3 2 6" xfId="952"/>
    <cellStyle name="Calculation 2 2 3 2 6 2" xfId="953"/>
    <cellStyle name="Calculation 2 2 3 2 6 3" xfId="954"/>
    <cellStyle name="Calculation 2 2 3 2 7" xfId="955"/>
    <cellStyle name="Calculation 2 2 3 2 8" xfId="956"/>
    <cellStyle name="Calculation 2 2 3 3" xfId="957"/>
    <cellStyle name="Calculation 2 2 3 3 2" xfId="958"/>
    <cellStyle name="Calculation 2 2 3 3 3" xfId="959"/>
    <cellStyle name="Calculation 2 2 3 4" xfId="960"/>
    <cellStyle name="Calculation 2 2 3 4 2" xfId="961"/>
    <cellStyle name="Calculation 2 2 3 4 3" xfId="962"/>
    <cellStyle name="Calculation 2 2 3 5" xfId="963"/>
    <cellStyle name="Calculation 2 2 3 5 2" xfId="964"/>
    <cellStyle name="Calculation 2 2 3 5 3" xfId="965"/>
    <cellStyle name="Calculation 2 2 3 6" xfId="966"/>
    <cellStyle name="Calculation 2 2 3 6 2" xfId="967"/>
    <cellStyle name="Calculation 2 2 3 6 3" xfId="968"/>
    <cellStyle name="Calculation 2 2 3 7" xfId="969"/>
    <cellStyle name="Calculation 2 2 3 7 2" xfId="970"/>
    <cellStyle name="Calculation 2 2 3 7 3" xfId="971"/>
    <cellStyle name="Calculation 2 2 3 8" xfId="972"/>
    <cellStyle name="Calculation 2 2 3 9" xfId="973"/>
    <cellStyle name="Calculation 2 2 4" xfId="974"/>
    <cellStyle name="Calculation 2 2 4 2" xfId="975"/>
    <cellStyle name="Calculation 2 2 4 2 2" xfId="976"/>
    <cellStyle name="Calculation 2 2 4 2 3" xfId="977"/>
    <cellStyle name="Calculation 2 2 4 3" xfId="978"/>
    <cellStyle name="Calculation 2 2 4 3 2" xfId="979"/>
    <cellStyle name="Calculation 2 2 4 3 3" xfId="980"/>
    <cellStyle name="Calculation 2 2 4 4" xfId="981"/>
    <cellStyle name="Calculation 2 2 4 4 2" xfId="982"/>
    <cellStyle name="Calculation 2 2 4 4 3" xfId="983"/>
    <cellStyle name="Calculation 2 2 4 5" xfId="984"/>
    <cellStyle name="Calculation 2 2 4 5 2" xfId="985"/>
    <cellStyle name="Calculation 2 2 4 5 3" xfId="986"/>
    <cellStyle name="Calculation 2 2 4 6" xfId="987"/>
    <cellStyle name="Calculation 2 2 4 6 2" xfId="988"/>
    <cellStyle name="Calculation 2 2 4 6 3" xfId="989"/>
    <cellStyle name="Calculation 2 2 4 7" xfId="990"/>
    <cellStyle name="Calculation 2 2 4 8" xfId="991"/>
    <cellStyle name="Calculation 2 2 5" xfId="992"/>
    <cellStyle name="Calculation 2 2 5 2" xfId="993"/>
    <cellStyle name="Calculation 2 2 5 3" xfId="994"/>
    <cellStyle name="Calculation 2 2 6" xfId="995"/>
    <cellStyle name="Calculation 2 2 6 2" xfId="996"/>
    <cellStyle name="Calculation 2 2 6 3" xfId="997"/>
    <cellStyle name="Calculation 2 2 7" xfId="998"/>
    <cellStyle name="Calculation 2 2 7 2" xfId="999"/>
    <cellStyle name="Calculation 2 2 7 3" xfId="1000"/>
    <cellStyle name="Calculation 2 2 8" xfId="1001"/>
    <cellStyle name="Calculation 2 2 8 2" xfId="26412"/>
    <cellStyle name="Calculation 2 2 8 3" xfId="26413"/>
    <cellStyle name="Calculation 2 2 9" xfId="1002"/>
    <cellStyle name="Calculation 2 2 9 2" xfId="26414"/>
    <cellStyle name="Calculation 2 2 9 3" xfId="26415"/>
    <cellStyle name="Calculation 2 2_BHP 4Q 2010 Ops Review Senior Managment " xfId="26416"/>
    <cellStyle name="Calculation 2 3" xfId="1003"/>
    <cellStyle name="Calculation 2 3 2" xfId="1004"/>
    <cellStyle name="Calculation 2 3 2 2" xfId="1005"/>
    <cellStyle name="Calculation 2 3 2 2 2" xfId="1006"/>
    <cellStyle name="Calculation 2 3 2 2 2 2" xfId="1007"/>
    <cellStyle name="Calculation 2 3 2 2 2 3" xfId="1008"/>
    <cellStyle name="Calculation 2 3 2 2 3" xfId="1009"/>
    <cellStyle name="Calculation 2 3 2 2 3 2" xfId="1010"/>
    <cellStyle name="Calculation 2 3 2 2 3 3" xfId="1011"/>
    <cellStyle name="Calculation 2 3 2 2 4" xfId="1012"/>
    <cellStyle name="Calculation 2 3 2 2 4 2" xfId="1013"/>
    <cellStyle name="Calculation 2 3 2 2 4 3" xfId="1014"/>
    <cellStyle name="Calculation 2 3 2 2 5" xfId="1015"/>
    <cellStyle name="Calculation 2 3 2 2 5 2" xfId="1016"/>
    <cellStyle name="Calculation 2 3 2 2 5 3" xfId="1017"/>
    <cellStyle name="Calculation 2 3 2 2 6" xfId="1018"/>
    <cellStyle name="Calculation 2 3 2 2 6 2" xfId="1019"/>
    <cellStyle name="Calculation 2 3 2 2 6 3" xfId="1020"/>
    <cellStyle name="Calculation 2 3 2 2 7" xfId="1021"/>
    <cellStyle name="Calculation 2 3 2 2 8" xfId="1022"/>
    <cellStyle name="Calculation 2 3 2 3" xfId="1023"/>
    <cellStyle name="Calculation 2 3 2 3 2" xfId="1024"/>
    <cellStyle name="Calculation 2 3 2 3 3" xfId="1025"/>
    <cellStyle name="Calculation 2 3 2 4" xfId="1026"/>
    <cellStyle name="Calculation 2 3 2 4 2" xfId="1027"/>
    <cellStyle name="Calculation 2 3 2 4 3" xfId="1028"/>
    <cellStyle name="Calculation 2 3 2 5" xfId="1029"/>
    <cellStyle name="Calculation 2 3 2 5 2" xfId="1030"/>
    <cellStyle name="Calculation 2 3 2 5 3" xfId="1031"/>
    <cellStyle name="Calculation 2 3 2 6" xfId="1032"/>
    <cellStyle name="Calculation 2 3 2 6 2" xfId="1033"/>
    <cellStyle name="Calculation 2 3 2 6 3" xfId="1034"/>
    <cellStyle name="Calculation 2 3 2 7" xfId="1035"/>
    <cellStyle name="Calculation 2 3 2 7 2" xfId="1036"/>
    <cellStyle name="Calculation 2 3 2 7 3" xfId="1037"/>
    <cellStyle name="Calculation 2 3 2 8" xfId="1038"/>
    <cellStyle name="Calculation 2 3 2 9" xfId="1039"/>
    <cellStyle name="Calculation 2 3 3" xfId="1040"/>
    <cellStyle name="Calculation 2 3 3 2" xfId="1041"/>
    <cellStyle name="Calculation 2 3 3 2 2" xfId="1042"/>
    <cellStyle name="Calculation 2 3 3 2 3" xfId="1043"/>
    <cellStyle name="Calculation 2 3 3 3" xfId="1044"/>
    <cellStyle name="Calculation 2 3 3 3 2" xfId="1045"/>
    <cellStyle name="Calculation 2 3 3 3 3" xfId="1046"/>
    <cellStyle name="Calculation 2 3 3 4" xfId="1047"/>
    <cellStyle name="Calculation 2 3 3 4 2" xfId="1048"/>
    <cellStyle name="Calculation 2 3 3 4 3" xfId="1049"/>
    <cellStyle name="Calculation 2 3 3 5" xfId="1050"/>
    <cellStyle name="Calculation 2 3 3 5 2" xfId="1051"/>
    <cellStyle name="Calculation 2 3 3 5 3" xfId="1052"/>
    <cellStyle name="Calculation 2 3 3 6" xfId="1053"/>
    <cellStyle name="Calculation 2 3 3 6 2" xfId="1054"/>
    <cellStyle name="Calculation 2 3 3 6 3" xfId="1055"/>
    <cellStyle name="Calculation 2 3 3 7" xfId="1056"/>
    <cellStyle name="Calculation 2 3 3 8" xfId="1057"/>
    <cellStyle name="Calculation 2 3 4" xfId="1058"/>
    <cellStyle name="Calculation 2 3 4 2" xfId="1059"/>
    <cellStyle name="Calculation 2 3 4 3" xfId="1060"/>
    <cellStyle name="Calculation 2 3 5" xfId="1061"/>
    <cellStyle name="Calculation 2 3 5 2" xfId="1062"/>
    <cellStyle name="Calculation 2 3 5 3" xfId="1063"/>
    <cellStyle name="Calculation 2 3 6" xfId="1064"/>
    <cellStyle name="Calculation 2 3 6 2" xfId="1065"/>
    <cellStyle name="Calculation 2 3 6 3" xfId="1066"/>
    <cellStyle name="Calculation 2 3 7" xfId="1067"/>
    <cellStyle name="Calculation 2 3 8" xfId="1068"/>
    <cellStyle name="Calculation 2 4" xfId="1069"/>
    <cellStyle name="Calculation 2 4 2" xfId="1070"/>
    <cellStyle name="Calculation 2 4 2 2" xfId="1071"/>
    <cellStyle name="Calculation 2 4 2 2 2" xfId="1072"/>
    <cellStyle name="Calculation 2 4 2 2 3" xfId="1073"/>
    <cellStyle name="Calculation 2 4 2 3" xfId="1074"/>
    <cellStyle name="Calculation 2 4 2 3 2" xfId="1075"/>
    <cellStyle name="Calculation 2 4 2 3 3" xfId="1076"/>
    <cellStyle name="Calculation 2 4 2 4" xfId="1077"/>
    <cellStyle name="Calculation 2 4 2 4 2" xfId="1078"/>
    <cellStyle name="Calculation 2 4 2 4 3" xfId="1079"/>
    <cellStyle name="Calculation 2 4 2 5" xfId="1080"/>
    <cellStyle name="Calculation 2 4 2 5 2" xfId="1081"/>
    <cellStyle name="Calculation 2 4 2 5 3" xfId="1082"/>
    <cellStyle name="Calculation 2 4 2 6" xfId="1083"/>
    <cellStyle name="Calculation 2 4 2 6 2" xfId="1084"/>
    <cellStyle name="Calculation 2 4 2 6 3" xfId="1085"/>
    <cellStyle name="Calculation 2 4 2 7" xfId="1086"/>
    <cellStyle name="Calculation 2 4 2 8" xfId="1087"/>
    <cellStyle name="Calculation 2 4 3" xfId="1088"/>
    <cellStyle name="Calculation 2 4 3 2" xfId="1089"/>
    <cellStyle name="Calculation 2 4 3 3" xfId="1090"/>
    <cellStyle name="Calculation 2 4 4" xfId="1091"/>
    <cellStyle name="Calculation 2 4 4 2" xfId="1092"/>
    <cellStyle name="Calculation 2 4 4 3" xfId="1093"/>
    <cellStyle name="Calculation 2 4 5" xfId="1094"/>
    <cellStyle name="Calculation 2 4 5 2" xfId="1095"/>
    <cellStyle name="Calculation 2 4 5 3" xfId="1096"/>
    <cellStyle name="Calculation 2 4 6" xfId="1097"/>
    <cellStyle name="Calculation 2 4 6 2" xfId="1098"/>
    <cellStyle name="Calculation 2 4 6 3" xfId="1099"/>
    <cellStyle name="Calculation 2 4 7" xfId="1100"/>
    <cellStyle name="Calculation 2 4 7 2" xfId="1101"/>
    <cellStyle name="Calculation 2 4 7 3" xfId="1102"/>
    <cellStyle name="Calculation 2 4 8" xfId="1103"/>
    <cellStyle name="Calculation 2 4 9" xfId="1104"/>
    <cellStyle name="Calculation 2 5" xfId="1105"/>
    <cellStyle name="Calculation 2 5 2" xfId="1106"/>
    <cellStyle name="Calculation 2 5 2 2" xfId="1107"/>
    <cellStyle name="Calculation 2 5 2 3" xfId="1108"/>
    <cellStyle name="Calculation 2 5 3" xfId="1109"/>
    <cellStyle name="Calculation 2 5 3 2" xfId="1110"/>
    <cellStyle name="Calculation 2 5 3 3" xfId="1111"/>
    <cellStyle name="Calculation 2 5 4" xfId="1112"/>
    <cellStyle name="Calculation 2 5 4 2" xfId="1113"/>
    <cellStyle name="Calculation 2 5 4 3" xfId="1114"/>
    <cellStyle name="Calculation 2 5 5" xfId="1115"/>
    <cellStyle name="Calculation 2 5 5 2" xfId="1116"/>
    <cellStyle name="Calculation 2 5 5 3" xfId="1117"/>
    <cellStyle name="Calculation 2 5 6" xfId="1118"/>
    <cellStyle name="Calculation 2 5 6 2" xfId="1119"/>
    <cellStyle name="Calculation 2 5 6 3" xfId="1120"/>
    <cellStyle name="Calculation 2 5 7" xfId="1121"/>
    <cellStyle name="Calculation 2 5 8" xfId="1122"/>
    <cellStyle name="Calculation 2 6" xfId="1123"/>
    <cellStyle name="Calculation 2 6 2" xfId="1124"/>
    <cellStyle name="Calculation 2 6 3" xfId="1125"/>
    <cellStyle name="Calculation 2 7" xfId="1126"/>
    <cellStyle name="Calculation 2 7 2" xfId="1127"/>
    <cellStyle name="Calculation 2 7 2 2" xfId="26417"/>
    <cellStyle name="Calculation 2 7 2 3" xfId="26418"/>
    <cellStyle name="Calculation 2 7 3" xfId="1128"/>
    <cellStyle name="Calculation 2 7 4" xfId="26419"/>
    <cellStyle name="Calculation 2 8" xfId="1129"/>
    <cellStyle name="Calculation 2 8 2" xfId="1130"/>
    <cellStyle name="Calculation 2 8 3" xfId="1131"/>
    <cellStyle name="Calculation 2 9" xfId="1132"/>
    <cellStyle name="Calculation 2 9 2" xfId="26420"/>
    <cellStyle name="Calculation 2 9 3" xfId="26421"/>
    <cellStyle name="Calculation 2_1-10 BHU IS" xfId="26422"/>
    <cellStyle name="Calculation 3" xfId="1133"/>
    <cellStyle name="Calculation 3 2" xfId="1134"/>
    <cellStyle name="Calculation 3 2 2" xfId="1135"/>
    <cellStyle name="Calculation 3 2 2 2" xfId="1136"/>
    <cellStyle name="Calculation 3 2 2 2 2" xfId="1137"/>
    <cellStyle name="Calculation 3 2 2 2 2 2" xfId="1138"/>
    <cellStyle name="Calculation 3 2 2 2 2 3" xfId="1139"/>
    <cellStyle name="Calculation 3 2 2 2 3" xfId="1140"/>
    <cellStyle name="Calculation 3 2 2 2 3 2" xfId="1141"/>
    <cellStyle name="Calculation 3 2 2 2 3 3" xfId="1142"/>
    <cellStyle name="Calculation 3 2 2 2 4" xfId="1143"/>
    <cellStyle name="Calculation 3 2 2 2 4 2" xfId="1144"/>
    <cellStyle name="Calculation 3 2 2 2 4 3" xfId="1145"/>
    <cellStyle name="Calculation 3 2 2 2 5" xfId="1146"/>
    <cellStyle name="Calculation 3 2 2 2 5 2" xfId="1147"/>
    <cellStyle name="Calculation 3 2 2 2 5 3" xfId="1148"/>
    <cellStyle name="Calculation 3 2 2 2 6" xfId="1149"/>
    <cellStyle name="Calculation 3 2 2 2 6 2" xfId="1150"/>
    <cellStyle name="Calculation 3 2 2 2 6 3" xfId="1151"/>
    <cellStyle name="Calculation 3 2 2 2 7" xfId="1152"/>
    <cellStyle name="Calculation 3 2 2 2 8" xfId="1153"/>
    <cellStyle name="Calculation 3 2 2 3" xfId="1154"/>
    <cellStyle name="Calculation 3 2 2 3 2" xfId="1155"/>
    <cellStyle name="Calculation 3 2 2 3 3" xfId="1156"/>
    <cellStyle name="Calculation 3 2 2 4" xfId="1157"/>
    <cellStyle name="Calculation 3 2 2 4 2" xfId="1158"/>
    <cellStyle name="Calculation 3 2 2 4 3" xfId="1159"/>
    <cellStyle name="Calculation 3 2 2 5" xfId="1160"/>
    <cellStyle name="Calculation 3 2 2 5 2" xfId="1161"/>
    <cellStyle name="Calculation 3 2 2 5 3" xfId="1162"/>
    <cellStyle name="Calculation 3 2 2 6" xfId="1163"/>
    <cellStyle name="Calculation 3 2 2 6 2" xfId="1164"/>
    <cellStyle name="Calculation 3 2 2 6 3" xfId="1165"/>
    <cellStyle name="Calculation 3 2 2 7" xfId="1166"/>
    <cellStyle name="Calculation 3 2 2 7 2" xfId="1167"/>
    <cellStyle name="Calculation 3 2 2 7 3" xfId="1168"/>
    <cellStyle name="Calculation 3 2 2 8" xfId="1169"/>
    <cellStyle name="Calculation 3 2 2 9" xfId="1170"/>
    <cellStyle name="Calculation 3 2 3" xfId="1171"/>
    <cellStyle name="Calculation 3 2 3 2" xfId="1172"/>
    <cellStyle name="Calculation 3 2 3 2 2" xfId="1173"/>
    <cellStyle name="Calculation 3 2 3 2 3" xfId="1174"/>
    <cellStyle name="Calculation 3 2 3 3" xfId="1175"/>
    <cellStyle name="Calculation 3 2 3 3 2" xfId="1176"/>
    <cellStyle name="Calculation 3 2 3 3 3" xfId="1177"/>
    <cellStyle name="Calculation 3 2 3 4" xfId="1178"/>
    <cellStyle name="Calculation 3 2 3 4 2" xfId="1179"/>
    <cellStyle name="Calculation 3 2 3 4 3" xfId="1180"/>
    <cellStyle name="Calculation 3 2 3 5" xfId="1181"/>
    <cellStyle name="Calculation 3 2 3 5 2" xfId="1182"/>
    <cellStyle name="Calculation 3 2 3 5 3" xfId="1183"/>
    <cellStyle name="Calculation 3 2 3 6" xfId="1184"/>
    <cellStyle name="Calculation 3 2 3 6 2" xfId="1185"/>
    <cellStyle name="Calculation 3 2 3 6 3" xfId="1186"/>
    <cellStyle name="Calculation 3 2 3 7" xfId="1187"/>
    <cellStyle name="Calculation 3 2 3 8" xfId="1188"/>
    <cellStyle name="Calculation 3 2 4" xfId="1189"/>
    <cellStyle name="Calculation 3 2 4 2" xfId="1190"/>
    <cellStyle name="Calculation 3 2 4 3" xfId="1191"/>
    <cellStyle name="Calculation 3 2 5" xfId="1192"/>
    <cellStyle name="Calculation 3 2 5 2" xfId="1193"/>
    <cellStyle name="Calculation 3 2 5 3" xfId="1194"/>
    <cellStyle name="Calculation 3 2 6" xfId="1195"/>
    <cellStyle name="Calculation 3 2 6 2" xfId="1196"/>
    <cellStyle name="Calculation 3 2 6 3" xfId="1197"/>
    <cellStyle name="Calculation 3 2 7" xfId="1198"/>
    <cellStyle name="Calculation 3 2 8" xfId="1199"/>
    <cellStyle name="Calculation 3 3" xfId="1200"/>
    <cellStyle name="Calculation 3 3 2" xfId="1201"/>
    <cellStyle name="Calculation 3 3 2 2" xfId="1202"/>
    <cellStyle name="Calculation 3 3 2 2 2" xfId="1203"/>
    <cellStyle name="Calculation 3 3 2 2 3" xfId="1204"/>
    <cellStyle name="Calculation 3 3 2 3" xfId="1205"/>
    <cellStyle name="Calculation 3 3 2 3 2" xfId="1206"/>
    <cellStyle name="Calculation 3 3 2 3 3" xfId="1207"/>
    <cellStyle name="Calculation 3 3 2 4" xfId="1208"/>
    <cellStyle name="Calculation 3 3 2 4 2" xfId="1209"/>
    <cellStyle name="Calculation 3 3 2 4 3" xfId="1210"/>
    <cellStyle name="Calculation 3 3 2 5" xfId="1211"/>
    <cellStyle name="Calculation 3 3 2 5 2" xfId="1212"/>
    <cellStyle name="Calculation 3 3 2 5 3" xfId="1213"/>
    <cellStyle name="Calculation 3 3 2 6" xfId="1214"/>
    <cellStyle name="Calculation 3 3 2 6 2" xfId="1215"/>
    <cellStyle name="Calculation 3 3 2 6 3" xfId="1216"/>
    <cellStyle name="Calculation 3 3 2 7" xfId="1217"/>
    <cellStyle name="Calculation 3 3 2 8" xfId="1218"/>
    <cellStyle name="Calculation 3 3 3" xfId="1219"/>
    <cellStyle name="Calculation 3 3 3 2" xfId="1220"/>
    <cellStyle name="Calculation 3 3 3 3" xfId="1221"/>
    <cellStyle name="Calculation 3 3 4" xfId="1222"/>
    <cellStyle name="Calculation 3 3 4 2" xfId="1223"/>
    <cellStyle name="Calculation 3 3 4 3" xfId="1224"/>
    <cellStyle name="Calculation 3 3 5" xfId="1225"/>
    <cellStyle name="Calculation 3 3 5 2" xfId="1226"/>
    <cellStyle name="Calculation 3 3 5 3" xfId="1227"/>
    <cellStyle name="Calculation 3 3 6" xfId="1228"/>
    <cellStyle name="Calculation 3 3 6 2" xfId="1229"/>
    <cellStyle name="Calculation 3 3 6 3" xfId="1230"/>
    <cellStyle name="Calculation 3 3 7" xfId="1231"/>
    <cellStyle name="Calculation 3 3 7 2" xfId="1232"/>
    <cellStyle name="Calculation 3 3 7 3" xfId="1233"/>
    <cellStyle name="Calculation 3 3 8" xfId="1234"/>
    <cellStyle name="Calculation 3 3 9" xfId="1235"/>
    <cellStyle name="Calculation 3 4" xfId="1236"/>
    <cellStyle name="Calculation 3 4 2" xfId="1237"/>
    <cellStyle name="Calculation 3 4 2 2" xfId="1238"/>
    <cellStyle name="Calculation 3 4 2 3" xfId="1239"/>
    <cellStyle name="Calculation 3 4 3" xfId="1240"/>
    <cellStyle name="Calculation 3 4 3 2" xfId="1241"/>
    <cellStyle name="Calculation 3 4 3 3" xfId="1242"/>
    <cellStyle name="Calculation 3 4 4" xfId="1243"/>
    <cellStyle name="Calculation 3 4 4 2" xfId="1244"/>
    <cellStyle name="Calculation 3 4 4 3" xfId="1245"/>
    <cellStyle name="Calculation 3 4 5" xfId="1246"/>
    <cellStyle name="Calculation 3 4 5 2" xfId="1247"/>
    <cellStyle name="Calculation 3 4 5 3" xfId="1248"/>
    <cellStyle name="Calculation 3 4 6" xfId="1249"/>
    <cellStyle name="Calculation 3 4 6 2" xfId="1250"/>
    <cellStyle name="Calculation 3 4 6 3" xfId="1251"/>
    <cellStyle name="Calculation 3 4 7" xfId="1252"/>
    <cellStyle name="Calculation 3 4 8" xfId="1253"/>
    <cellStyle name="Calculation 3 5" xfId="1254"/>
    <cellStyle name="Calculation 3 5 2" xfId="1255"/>
    <cellStyle name="Calculation 3 5 3" xfId="1256"/>
    <cellStyle name="Calculation 3 6" xfId="1257"/>
    <cellStyle name="Calculation 3 6 2" xfId="1258"/>
    <cellStyle name="Calculation 3 6 3" xfId="1259"/>
    <cellStyle name="Calculation 3 7" xfId="1260"/>
    <cellStyle name="Calculation 3 7 2" xfId="1261"/>
    <cellStyle name="Calculation 3 7 3" xfId="1262"/>
    <cellStyle name="Calculation 3 8" xfId="1263"/>
    <cellStyle name="Calculation 3 9" xfId="1264"/>
    <cellStyle name="Calculation 3_1-10 BHU IS" xfId="26423"/>
    <cellStyle name="Calculation 4" xfId="1265"/>
    <cellStyle name="Calculation 4 2" xfId="1266"/>
    <cellStyle name="Calculation 4 2 2" xfId="1267"/>
    <cellStyle name="Calculation 4 2 2 2" xfId="1268"/>
    <cellStyle name="Calculation 4 2 2 2 2" xfId="1269"/>
    <cellStyle name="Calculation 4 2 2 2 2 2" xfId="1270"/>
    <cellStyle name="Calculation 4 2 2 2 2 3" xfId="1271"/>
    <cellStyle name="Calculation 4 2 2 2 3" xfId="1272"/>
    <cellStyle name="Calculation 4 2 2 2 3 2" xfId="1273"/>
    <cellStyle name="Calculation 4 2 2 2 3 3" xfId="1274"/>
    <cellStyle name="Calculation 4 2 2 2 4" xfId="1275"/>
    <cellStyle name="Calculation 4 2 2 2 4 2" xfId="1276"/>
    <cellStyle name="Calculation 4 2 2 2 4 3" xfId="1277"/>
    <cellStyle name="Calculation 4 2 2 2 5" xfId="1278"/>
    <cellStyle name="Calculation 4 2 2 2 5 2" xfId="1279"/>
    <cellStyle name="Calculation 4 2 2 2 5 3" xfId="1280"/>
    <cellStyle name="Calculation 4 2 2 2 6" xfId="1281"/>
    <cellStyle name="Calculation 4 2 2 2 6 2" xfId="1282"/>
    <cellStyle name="Calculation 4 2 2 2 6 3" xfId="1283"/>
    <cellStyle name="Calculation 4 2 2 2 7" xfId="1284"/>
    <cellStyle name="Calculation 4 2 2 2 8" xfId="1285"/>
    <cellStyle name="Calculation 4 2 2 3" xfId="1286"/>
    <cellStyle name="Calculation 4 2 2 3 2" xfId="1287"/>
    <cellStyle name="Calculation 4 2 2 3 3" xfId="1288"/>
    <cellStyle name="Calculation 4 2 2 4" xfId="1289"/>
    <cellStyle name="Calculation 4 2 2 4 2" xfId="1290"/>
    <cellStyle name="Calculation 4 2 2 4 3" xfId="1291"/>
    <cellStyle name="Calculation 4 2 2 5" xfId="1292"/>
    <cellStyle name="Calculation 4 2 2 5 2" xfId="1293"/>
    <cellStyle name="Calculation 4 2 2 5 3" xfId="1294"/>
    <cellStyle name="Calculation 4 2 2 6" xfId="1295"/>
    <cellStyle name="Calculation 4 2 2 6 2" xfId="1296"/>
    <cellStyle name="Calculation 4 2 2 6 3" xfId="1297"/>
    <cellStyle name="Calculation 4 2 2 7" xfId="1298"/>
    <cellStyle name="Calculation 4 2 2 7 2" xfId="1299"/>
    <cellStyle name="Calculation 4 2 2 7 3" xfId="1300"/>
    <cellStyle name="Calculation 4 2 2 8" xfId="1301"/>
    <cellStyle name="Calculation 4 2 2 9" xfId="1302"/>
    <cellStyle name="Calculation 4 2 3" xfId="1303"/>
    <cellStyle name="Calculation 4 2 3 2" xfId="1304"/>
    <cellStyle name="Calculation 4 2 3 2 2" xfId="1305"/>
    <cellStyle name="Calculation 4 2 3 2 3" xfId="1306"/>
    <cellStyle name="Calculation 4 2 3 3" xfId="1307"/>
    <cellStyle name="Calculation 4 2 3 3 2" xfId="1308"/>
    <cellStyle name="Calculation 4 2 3 3 3" xfId="1309"/>
    <cellStyle name="Calculation 4 2 3 4" xfId="1310"/>
    <cellStyle name="Calculation 4 2 3 4 2" xfId="1311"/>
    <cellStyle name="Calculation 4 2 3 4 3" xfId="1312"/>
    <cellStyle name="Calculation 4 2 3 5" xfId="1313"/>
    <cellStyle name="Calculation 4 2 3 5 2" xfId="1314"/>
    <cellStyle name="Calculation 4 2 3 5 3" xfId="1315"/>
    <cellStyle name="Calculation 4 2 3 6" xfId="1316"/>
    <cellStyle name="Calculation 4 2 3 6 2" xfId="1317"/>
    <cellStyle name="Calculation 4 2 3 6 3" xfId="1318"/>
    <cellStyle name="Calculation 4 2 3 7" xfId="1319"/>
    <cellStyle name="Calculation 4 2 3 8" xfId="1320"/>
    <cellStyle name="Calculation 4 2 4" xfId="1321"/>
    <cellStyle name="Calculation 4 2 4 2" xfId="1322"/>
    <cellStyle name="Calculation 4 2 4 3" xfId="1323"/>
    <cellStyle name="Calculation 4 2 5" xfId="1324"/>
    <cellStyle name="Calculation 4 2 5 2" xfId="1325"/>
    <cellStyle name="Calculation 4 2 5 3" xfId="1326"/>
    <cellStyle name="Calculation 4 2 6" xfId="1327"/>
    <cellStyle name="Calculation 4 2 6 2" xfId="1328"/>
    <cellStyle name="Calculation 4 2 6 3" xfId="1329"/>
    <cellStyle name="Calculation 4 2 7" xfId="1330"/>
    <cellStyle name="Calculation 4 2 8" xfId="1331"/>
    <cellStyle name="Calculation 4 3" xfId="1332"/>
    <cellStyle name="Calculation 4 3 2" xfId="1333"/>
    <cellStyle name="Calculation 4 3 2 2" xfId="1334"/>
    <cellStyle name="Calculation 4 3 2 2 2" xfId="1335"/>
    <cellStyle name="Calculation 4 3 2 2 3" xfId="1336"/>
    <cellStyle name="Calculation 4 3 2 3" xfId="1337"/>
    <cellStyle name="Calculation 4 3 2 3 2" xfId="1338"/>
    <cellStyle name="Calculation 4 3 2 3 3" xfId="1339"/>
    <cellStyle name="Calculation 4 3 2 4" xfId="1340"/>
    <cellStyle name="Calculation 4 3 2 4 2" xfId="1341"/>
    <cellStyle name="Calculation 4 3 2 4 3" xfId="1342"/>
    <cellStyle name="Calculation 4 3 2 5" xfId="1343"/>
    <cellStyle name="Calculation 4 3 2 5 2" xfId="1344"/>
    <cellStyle name="Calculation 4 3 2 5 3" xfId="1345"/>
    <cellStyle name="Calculation 4 3 2 6" xfId="1346"/>
    <cellStyle name="Calculation 4 3 2 6 2" xfId="1347"/>
    <cellStyle name="Calculation 4 3 2 6 3" xfId="1348"/>
    <cellStyle name="Calculation 4 3 2 7" xfId="1349"/>
    <cellStyle name="Calculation 4 3 2 8" xfId="1350"/>
    <cellStyle name="Calculation 4 3 3" xfId="1351"/>
    <cellStyle name="Calculation 4 3 3 2" xfId="1352"/>
    <cellStyle name="Calculation 4 3 3 3" xfId="1353"/>
    <cellStyle name="Calculation 4 3 4" xfId="1354"/>
    <cellStyle name="Calculation 4 3 4 2" xfId="1355"/>
    <cellStyle name="Calculation 4 3 4 3" xfId="1356"/>
    <cellStyle name="Calculation 4 3 5" xfId="1357"/>
    <cellStyle name="Calculation 4 3 5 2" xfId="1358"/>
    <cellStyle name="Calculation 4 3 5 3" xfId="1359"/>
    <cellStyle name="Calculation 4 3 6" xfId="1360"/>
    <cellStyle name="Calculation 4 3 6 2" xfId="1361"/>
    <cellStyle name="Calculation 4 3 6 3" xfId="1362"/>
    <cellStyle name="Calculation 4 3 7" xfId="1363"/>
    <cellStyle name="Calculation 4 3 7 2" xfId="1364"/>
    <cellStyle name="Calculation 4 3 7 3" xfId="1365"/>
    <cellStyle name="Calculation 4 3 8" xfId="1366"/>
    <cellStyle name="Calculation 4 3 9" xfId="1367"/>
    <cellStyle name="Calculation 4 4" xfId="1368"/>
    <cellStyle name="Calculation 4 4 2" xfId="1369"/>
    <cellStyle name="Calculation 4 4 2 2" xfId="1370"/>
    <cellStyle name="Calculation 4 4 2 3" xfId="1371"/>
    <cellStyle name="Calculation 4 4 3" xfId="1372"/>
    <cellStyle name="Calculation 4 4 3 2" xfId="1373"/>
    <cellStyle name="Calculation 4 4 3 3" xfId="1374"/>
    <cellStyle name="Calculation 4 4 4" xfId="1375"/>
    <cellStyle name="Calculation 4 4 4 2" xfId="1376"/>
    <cellStyle name="Calculation 4 4 4 3" xfId="1377"/>
    <cellStyle name="Calculation 4 4 5" xfId="1378"/>
    <cellStyle name="Calculation 4 4 5 2" xfId="1379"/>
    <cellStyle name="Calculation 4 4 5 3" xfId="1380"/>
    <cellStyle name="Calculation 4 4 6" xfId="1381"/>
    <cellStyle name="Calculation 4 4 6 2" xfId="1382"/>
    <cellStyle name="Calculation 4 4 6 3" xfId="1383"/>
    <cellStyle name="Calculation 4 4 7" xfId="1384"/>
    <cellStyle name="Calculation 4 4 8" xfId="1385"/>
    <cellStyle name="Calculation 4 5" xfId="1386"/>
    <cellStyle name="Calculation 4 5 2" xfId="1387"/>
    <cellStyle name="Calculation 4 5 3" xfId="1388"/>
    <cellStyle name="Calculation 4 6" xfId="1389"/>
    <cellStyle name="Calculation 4 6 2" xfId="1390"/>
    <cellStyle name="Calculation 4 6 3" xfId="1391"/>
    <cellStyle name="Calculation 4 7" xfId="1392"/>
    <cellStyle name="Calculation 4 7 2" xfId="1393"/>
    <cellStyle name="Calculation 4 7 3" xfId="1394"/>
    <cellStyle name="Calculation 4 8" xfId="1395"/>
    <cellStyle name="Calculation 4 9" xfId="1396"/>
    <cellStyle name="Calculation 4_1-10 BHU IS" xfId="26424"/>
    <cellStyle name="Calculation 5" xfId="26425"/>
    <cellStyle name="Calculation 5 2" xfId="26426"/>
    <cellStyle name="Calculation 5 2 2" xfId="26427"/>
    <cellStyle name="Calculation 5 2 3" xfId="26428"/>
    <cellStyle name="Calculation 5 3" xfId="26429"/>
    <cellStyle name="Calculation 5 4" xfId="26430"/>
    <cellStyle name="Calculation 5_1-10 BHU IS" xfId="26431"/>
    <cellStyle name="Calculation 6" xfId="26432"/>
    <cellStyle name="Calculation 6 2" xfId="26433"/>
    <cellStyle name="Calculation 6 2 2" xfId="26434"/>
    <cellStyle name="Calculation 6 2 3" xfId="26435"/>
    <cellStyle name="Calculation 6 3" xfId="26436"/>
    <cellStyle name="Calculation 6 4" xfId="26437"/>
    <cellStyle name="Calculation 7" xfId="26438"/>
    <cellStyle name="Calculation 7 2" xfId="26439"/>
    <cellStyle name="Calculation 7 2 2" xfId="26440"/>
    <cellStyle name="Calculation 7 2 3" xfId="26441"/>
    <cellStyle name="Calculation 7 3" xfId="26442"/>
    <cellStyle name="Calculation 7 4" xfId="26443"/>
    <cellStyle name="Calculation 8" xfId="26444"/>
    <cellStyle name="Calculation 8 2" xfId="26445"/>
    <cellStyle name="Calculation 8 2 2" xfId="26446"/>
    <cellStyle name="Calculation 8 2 3" xfId="26447"/>
    <cellStyle name="Calculation 8 3" xfId="26448"/>
    <cellStyle name="Calculation 8 4" xfId="26449"/>
    <cellStyle name="Calculation 9" xfId="26450"/>
    <cellStyle name="Calculation 9 2" xfId="26451"/>
    <cellStyle name="Calculation 9 2 2" xfId="26452"/>
    <cellStyle name="Calculation 9 2 3" xfId="26453"/>
    <cellStyle name="Calculation 9 3" xfId="26454"/>
    <cellStyle name="Calculation 9 4" xfId="26455"/>
    <cellStyle name="Cancel" xfId="1397"/>
    <cellStyle name="Cell" xfId="1398"/>
    <cellStyle name="Cents" xfId="1399"/>
    <cellStyle name="Cents (0.0)" xfId="1400"/>
    <cellStyle name="Cents (0.0) 2" xfId="1401"/>
    <cellStyle name="Cents 10" xfId="1402"/>
    <cellStyle name="Cents 11" xfId="1403"/>
    <cellStyle name="Cents 12" xfId="1404"/>
    <cellStyle name="Cents 13" xfId="1405"/>
    <cellStyle name="Cents 14" xfId="1406"/>
    <cellStyle name="Cents 15" xfId="1407"/>
    <cellStyle name="Cents 16" xfId="1408"/>
    <cellStyle name="Cents 17" xfId="1409"/>
    <cellStyle name="Cents 18" xfId="1410"/>
    <cellStyle name="Cents 2" xfId="1411"/>
    <cellStyle name="Cents 3" xfId="1412"/>
    <cellStyle name="Cents 4" xfId="1413"/>
    <cellStyle name="Cents 5" xfId="1414"/>
    <cellStyle name="Cents 6" xfId="1415"/>
    <cellStyle name="Cents 7" xfId="1416"/>
    <cellStyle name="Cents 8" xfId="1417"/>
    <cellStyle name="Cents 9" xfId="1418"/>
    <cellStyle name="Check" xfId="1419"/>
    <cellStyle name="Check 2" xfId="1420"/>
    <cellStyle name="Check 2 2" xfId="1421"/>
    <cellStyle name="Check 2 2 2" xfId="1422"/>
    <cellStyle name="Check 2 2 2 2" xfId="1423"/>
    <cellStyle name="Check 2 2 2 2 2" xfId="1424"/>
    <cellStyle name="Check 2 2 2 2 3" xfId="1425"/>
    <cellStyle name="Check 2 2 2 3" xfId="1426"/>
    <cellStyle name="Check 2 2 2 3 2" xfId="1427"/>
    <cellStyle name="Check 2 2 2 3 3" xfId="1428"/>
    <cellStyle name="Check 2 2 2 4" xfId="1429"/>
    <cellStyle name="Check 2 2 2 4 2" xfId="1430"/>
    <cellStyle name="Check 2 2 2 4 3" xfId="1431"/>
    <cellStyle name="Check 2 2 2 5" xfId="1432"/>
    <cellStyle name="Check 2 2 2 5 2" xfId="1433"/>
    <cellStyle name="Check 2 2 2 5 3" xfId="1434"/>
    <cellStyle name="Check 2 2 2 6" xfId="1435"/>
    <cellStyle name="Check 2 2 2 6 2" xfId="1436"/>
    <cellStyle name="Check 2 2 2 6 3" xfId="1437"/>
    <cellStyle name="Check 2 2 2 7" xfId="1438"/>
    <cellStyle name="Check 2 2 2 8" xfId="1439"/>
    <cellStyle name="Check 2 2 3" xfId="1440"/>
    <cellStyle name="Check 2 2 3 2" xfId="1441"/>
    <cellStyle name="Check 2 2 3 3" xfId="1442"/>
    <cellStyle name="Check 2 2 4" xfId="1443"/>
    <cellStyle name="Check 2 2 4 2" xfId="1444"/>
    <cellStyle name="Check 2 2 4 3" xfId="1445"/>
    <cellStyle name="Check 2 2 5" xfId="1446"/>
    <cellStyle name="Check 2 2 5 2" xfId="1447"/>
    <cellStyle name="Check 2 2 5 3" xfId="1448"/>
    <cellStyle name="Check 2 2 6" xfId="1449"/>
    <cellStyle name="Check 2 2 6 2" xfId="1450"/>
    <cellStyle name="Check 2 2 6 3" xfId="1451"/>
    <cellStyle name="Check 2 2 7" xfId="1452"/>
    <cellStyle name="Check 2 2 7 2" xfId="1453"/>
    <cellStyle name="Check 2 2 7 3" xfId="1454"/>
    <cellStyle name="Check 2 2 8" xfId="1455"/>
    <cellStyle name="Check 2 2 9" xfId="1456"/>
    <cellStyle name="Check 2 3" xfId="1457"/>
    <cellStyle name="Check 2 3 2" xfId="1458"/>
    <cellStyle name="Check 2 3 2 2" xfId="1459"/>
    <cellStyle name="Check 2 3 2 3" xfId="1460"/>
    <cellStyle name="Check 2 3 3" xfId="1461"/>
    <cellStyle name="Check 2 3 3 2" xfId="1462"/>
    <cellStyle name="Check 2 3 3 3" xfId="1463"/>
    <cellStyle name="Check 2 3 4" xfId="1464"/>
    <cellStyle name="Check 2 3 4 2" xfId="1465"/>
    <cellStyle name="Check 2 3 4 3" xfId="1466"/>
    <cellStyle name="Check 2 3 5" xfId="1467"/>
    <cellStyle name="Check 2 3 5 2" xfId="1468"/>
    <cellStyle name="Check 2 3 5 3" xfId="1469"/>
    <cellStyle name="Check 2 3 6" xfId="1470"/>
    <cellStyle name="Check 2 3 6 2" xfId="1471"/>
    <cellStyle name="Check 2 3 6 3" xfId="1472"/>
    <cellStyle name="Check 2 3 7" xfId="1473"/>
    <cellStyle name="Check 2 3 8" xfId="1474"/>
    <cellStyle name="Check 2 4" xfId="1475"/>
    <cellStyle name="Check 2 4 2" xfId="1476"/>
    <cellStyle name="Check 2 4 3" xfId="1477"/>
    <cellStyle name="Check 2 5" xfId="1478"/>
    <cellStyle name="Check 2 5 2" xfId="1479"/>
    <cellStyle name="Check 2 5 3" xfId="1480"/>
    <cellStyle name="Check 2 6" xfId="1481"/>
    <cellStyle name="Check 2 6 2" xfId="1482"/>
    <cellStyle name="Check 2 6 3" xfId="1483"/>
    <cellStyle name="Check 2 7" xfId="1484"/>
    <cellStyle name="Check 2 8" xfId="1485"/>
    <cellStyle name="Check 3" xfId="1486"/>
    <cellStyle name="Check 3 2" xfId="1487"/>
    <cellStyle name="Check 3 2 2" xfId="1488"/>
    <cellStyle name="Check 3 2 2 2" xfId="1489"/>
    <cellStyle name="Check 3 2 2 3" xfId="1490"/>
    <cellStyle name="Check 3 2 3" xfId="1491"/>
    <cellStyle name="Check 3 2 3 2" xfId="1492"/>
    <cellStyle name="Check 3 2 3 3" xfId="1493"/>
    <cellStyle name="Check 3 2 4" xfId="1494"/>
    <cellStyle name="Check 3 2 4 2" xfId="1495"/>
    <cellStyle name="Check 3 2 4 3" xfId="1496"/>
    <cellStyle name="Check 3 2 5" xfId="1497"/>
    <cellStyle name="Check 3 2 5 2" xfId="1498"/>
    <cellStyle name="Check 3 2 5 3" xfId="1499"/>
    <cellStyle name="Check 3 2 6" xfId="1500"/>
    <cellStyle name="Check 3 2 6 2" xfId="1501"/>
    <cellStyle name="Check 3 2 6 3" xfId="1502"/>
    <cellStyle name="Check 3 2 7" xfId="1503"/>
    <cellStyle name="Check 3 2 8" xfId="1504"/>
    <cellStyle name="Check 3 3" xfId="1505"/>
    <cellStyle name="Check 3 3 2" xfId="1506"/>
    <cellStyle name="Check 3 3 3" xfId="1507"/>
    <cellStyle name="Check 3 4" xfId="1508"/>
    <cellStyle name="Check 3 4 2" xfId="1509"/>
    <cellStyle name="Check 3 4 3" xfId="1510"/>
    <cellStyle name="Check 3 5" xfId="1511"/>
    <cellStyle name="Check 3 5 2" xfId="1512"/>
    <cellStyle name="Check 3 5 3" xfId="1513"/>
    <cellStyle name="Check 3 6" xfId="1514"/>
    <cellStyle name="Check 3 6 2" xfId="1515"/>
    <cellStyle name="Check 3 6 3" xfId="1516"/>
    <cellStyle name="Check 3 7" xfId="1517"/>
    <cellStyle name="Check 3 7 2" xfId="1518"/>
    <cellStyle name="Check 3 7 3" xfId="1519"/>
    <cellStyle name="Check 3 8" xfId="1520"/>
    <cellStyle name="Check 3 9" xfId="1521"/>
    <cellStyle name="Check 4" xfId="1522"/>
    <cellStyle name="Check 4 2" xfId="1523"/>
    <cellStyle name="Check 4 2 2" xfId="1524"/>
    <cellStyle name="Check 4 2 3" xfId="1525"/>
    <cellStyle name="Check 4 3" xfId="1526"/>
    <cellStyle name="Check 4 3 2" xfId="1527"/>
    <cellStyle name="Check 4 3 3" xfId="1528"/>
    <cellStyle name="Check 4 4" xfId="1529"/>
    <cellStyle name="Check 4 4 2" xfId="1530"/>
    <cellStyle name="Check 4 4 3" xfId="1531"/>
    <cellStyle name="Check 4 5" xfId="1532"/>
    <cellStyle name="Check 4 5 2" xfId="1533"/>
    <cellStyle name="Check 4 5 3" xfId="1534"/>
    <cellStyle name="Check 4 6" xfId="1535"/>
    <cellStyle name="Check 4 6 2" xfId="1536"/>
    <cellStyle name="Check 4 6 3" xfId="1537"/>
    <cellStyle name="Check 4 7" xfId="1538"/>
    <cellStyle name="Check 4 8" xfId="1539"/>
    <cellStyle name="Check 5" xfId="1540"/>
    <cellStyle name="Check 5 2" xfId="1541"/>
    <cellStyle name="Check 5 3" xfId="1542"/>
    <cellStyle name="Check 6" xfId="1543"/>
    <cellStyle name="Check 6 2" xfId="1544"/>
    <cellStyle name="Check 6 3" xfId="1545"/>
    <cellStyle name="Check 7" xfId="1546"/>
    <cellStyle name="Check 7 2" xfId="1547"/>
    <cellStyle name="Check 7 3" xfId="1548"/>
    <cellStyle name="Check 8" xfId="1549"/>
    <cellStyle name="Check 9" xfId="1550"/>
    <cellStyle name="Check Cell 10" xfId="26456"/>
    <cellStyle name="Check Cell 10 2" xfId="26457"/>
    <cellStyle name="Check Cell 10 3" xfId="26458"/>
    <cellStyle name="Check Cell 11" xfId="26459"/>
    <cellStyle name="Check Cell 11 2" xfId="26460"/>
    <cellStyle name="Check Cell 11 3" xfId="26461"/>
    <cellStyle name="Check Cell 12" xfId="26462"/>
    <cellStyle name="Check Cell 12 2" xfId="26463"/>
    <cellStyle name="Check Cell 12 3" xfId="26464"/>
    <cellStyle name="Check Cell 13" xfId="26465"/>
    <cellStyle name="Check Cell 13 2" xfId="26466"/>
    <cellStyle name="Check Cell 13 3" xfId="26467"/>
    <cellStyle name="Check Cell 14" xfId="26468"/>
    <cellStyle name="Check Cell 14 2" xfId="26469"/>
    <cellStyle name="Check Cell 14 3" xfId="26470"/>
    <cellStyle name="Check Cell 15" xfId="26471"/>
    <cellStyle name="Check Cell 15 2" xfId="26472"/>
    <cellStyle name="Check Cell 15 3" xfId="26473"/>
    <cellStyle name="Check Cell 16" xfId="26474"/>
    <cellStyle name="Check Cell 16 2" xfId="26475"/>
    <cellStyle name="Check Cell 16 3" xfId="26476"/>
    <cellStyle name="Check Cell 17" xfId="26477"/>
    <cellStyle name="Check Cell 18" xfId="26478"/>
    <cellStyle name="Check Cell 2" xfId="68"/>
    <cellStyle name="Check Cell 2 10" xfId="26479"/>
    <cellStyle name="Check Cell 2 10 2" xfId="26480"/>
    <cellStyle name="Check Cell 2 10 3" xfId="26481"/>
    <cellStyle name="Check Cell 2 11" xfId="26482"/>
    <cellStyle name="Check Cell 2 11 2" xfId="26483"/>
    <cellStyle name="Check Cell 2 11 3" xfId="26484"/>
    <cellStyle name="Check Cell 2 12" xfId="26485"/>
    <cellStyle name="Check Cell 2 12 2" xfId="26486"/>
    <cellStyle name="Check Cell 2 12 3" xfId="26487"/>
    <cellStyle name="Check Cell 2 13" xfId="26488"/>
    <cellStyle name="Check Cell 2 14" xfId="26489"/>
    <cellStyle name="Check Cell 2 2" xfId="1551"/>
    <cellStyle name="Check Cell 2 2 10" xfId="26490"/>
    <cellStyle name="Check Cell 2 2 10 2" xfId="26491"/>
    <cellStyle name="Check Cell 2 2 10 3" xfId="26492"/>
    <cellStyle name="Check Cell 2 2 11" xfId="26493"/>
    <cellStyle name="Check Cell 2 2 12" xfId="26494"/>
    <cellStyle name="Check Cell 2 2 13" xfId="26495"/>
    <cellStyle name="Check Cell 2 2 2" xfId="26496"/>
    <cellStyle name="Check Cell 2 2 2 10" xfId="26497"/>
    <cellStyle name="Check Cell 2 2 2 10 2" xfId="26498"/>
    <cellStyle name="Check Cell 2 2 2 10 3" xfId="26499"/>
    <cellStyle name="Check Cell 2 2 2 11" xfId="26500"/>
    <cellStyle name="Check Cell 2 2 2 12" xfId="26501"/>
    <cellStyle name="Check Cell 2 2 2 2" xfId="26502"/>
    <cellStyle name="Check Cell 2 2 2 2 2" xfId="26503"/>
    <cellStyle name="Check Cell 2 2 2 2 3" xfId="26504"/>
    <cellStyle name="Check Cell 2 2 2 3" xfId="26505"/>
    <cellStyle name="Check Cell 2 2 2 3 2" xfId="26506"/>
    <cellStyle name="Check Cell 2 2 2 3 3" xfId="26507"/>
    <cellStyle name="Check Cell 2 2 2 4" xfId="26508"/>
    <cellStyle name="Check Cell 2 2 2 4 2" xfId="26509"/>
    <cellStyle name="Check Cell 2 2 2 4 3" xfId="26510"/>
    <cellStyle name="Check Cell 2 2 2 5" xfId="26511"/>
    <cellStyle name="Check Cell 2 2 2 5 2" xfId="26512"/>
    <cellStyle name="Check Cell 2 2 2 5 3" xfId="26513"/>
    <cellStyle name="Check Cell 2 2 2 6" xfId="26514"/>
    <cellStyle name="Check Cell 2 2 2 6 2" xfId="26515"/>
    <cellStyle name="Check Cell 2 2 2 6 3" xfId="26516"/>
    <cellStyle name="Check Cell 2 2 2 7" xfId="26517"/>
    <cellStyle name="Check Cell 2 2 2 7 2" xfId="26518"/>
    <cellStyle name="Check Cell 2 2 2 7 3" xfId="26519"/>
    <cellStyle name="Check Cell 2 2 2 8" xfId="26520"/>
    <cellStyle name="Check Cell 2 2 2 8 2" xfId="26521"/>
    <cellStyle name="Check Cell 2 2 2 8 3" xfId="26522"/>
    <cellStyle name="Check Cell 2 2 2 9" xfId="26523"/>
    <cellStyle name="Check Cell 2 2 2 9 2" xfId="26524"/>
    <cellStyle name="Check Cell 2 2 2 9 3" xfId="26525"/>
    <cellStyle name="Check Cell 2 2 2_BHP 4Q 2010 Ops Review Senior Managment " xfId="26526"/>
    <cellStyle name="Check Cell 2 2 3" xfId="26527"/>
    <cellStyle name="Check Cell 2 2 3 2" xfId="26528"/>
    <cellStyle name="Check Cell 2 2 3 3" xfId="26529"/>
    <cellStyle name="Check Cell 2 2 4" xfId="26530"/>
    <cellStyle name="Check Cell 2 2 4 2" xfId="26531"/>
    <cellStyle name="Check Cell 2 2 4 3" xfId="26532"/>
    <cellStyle name="Check Cell 2 2 5" xfId="26533"/>
    <cellStyle name="Check Cell 2 2 5 2" xfId="26534"/>
    <cellStyle name="Check Cell 2 2 5 3" xfId="26535"/>
    <cellStyle name="Check Cell 2 2 6" xfId="26536"/>
    <cellStyle name="Check Cell 2 2 6 2" xfId="26537"/>
    <cellStyle name="Check Cell 2 2 6 3" xfId="26538"/>
    <cellStyle name="Check Cell 2 2 7" xfId="26539"/>
    <cellStyle name="Check Cell 2 2 7 2" xfId="26540"/>
    <cellStyle name="Check Cell 2 2 7 3" xfId="26541"/>
    <cellStyle name="Check Cell 2 2 8" xfId="26542"/>
    <cellStyle name="Check Cell 2 2 8 2" xfId="26543"/>
    <cellStyle name="Check Cell 2 2 8 3" xfId="26544"/>
    <cellStyle name="Check Cell 2 2 9" xfId="26545"/>
    <cellStyle name="Check Cell 2 2 9 2" xfId="26546"/>
    <cellStyle name="Check Cell 2 2 9 3" xfId="26547"/>
    <cellStyle name="Check Cell 2 2_BHP 4Q 2010 Ops Review Senior Managment " xfId="26548"/>
    <cellStyle name="Check Cell 2 3" xfId="26549"/>
    <cellStyle name="Check Cell 2 3 2" xfId="26550"/>
    <cellStyle name="Check Cell 2 3 3" xfId="26551"/>
    <cellStyle name="Check Cell 2 4" xfId="26552"/>
    <cellStyle name="Check Cell 2 4 2" xfId="26553"/>
    <cellStyle name="Check Cell 2 4 3" xfId="26554"/>
    <cellStyle name="Check Cell 2 5" xfId="26555"/>
    <cellStyle name="Check Cell 2 5 2" xfId="26556"/>
    <cellStyle name="Check Cell 2 5 3" xfId="26557"/>
    <cellStyle name="Check Cell 2 6" xfId="26558"/>
    <cellStyle name="Check Cell 2 6 2" xfId="26559"/>
    <cellStyle name="Check Cell 2 6 3" xfId="26560"/>
    <cellStyle name="Check Cell 2 7" xfId="26561"/>
    <cellStyle name="Check Cell 2 7 2" xfId="26562"/>
    <cellStyle name="Check Cell 2 7 3" xfId="26563"/>
    <cellStyle name="Check Cell 2 8" xfId="26564"/>
    <cellStyle name="Check Cell 2 8 2" xfId="26565"/>
    <cellStyle name="Check Cell 2 8 3" xfId="26566"/>
    <cellStyle name="Check Cell 2 9" xfId="26567"/>
    <cellStyle name="Check Cell 2 9 2" xfId="26568"/>
    <cellStyle name="Check Cell 2 9 3" xfId="26569"/>
    <cellStyle name="Check Cell 2_1-10 BHU IS" xfId="26570"/>
    <cellStyle name="Check Cell 3" xfId="1552"/>
    <cellStyle name="Check Cell 3 2" xfId="26571"/>
    <cellStyle name="Check Cell 3 2 2" xfId="26572"/>
    <cellStyle name="Check Cell 3 2 3" xfId="26573"/>
    <cellStyle name="Check Cell 3 3" xfId="26574"/>
    <cellStyle name="Check Cell 3 4" xfId="26575"/>
    <cellStyle name="Check Cell 3 5" xfId="26576"/>
    <cellStyle name="Check Cell 3_1-10 BHU IS" xfId="26577"/>
    <cellStyle name="Check Cell 4" xfId="1553"/>
    <cellStyle name="Check Cell 4 2" xfId="26578"/>
    <cellStyle name="Check Cell 4 2 2" xfId="26579"/>
    <cellStyle name="Check Cell 4 2 3" xfId="26580"/>
    <cellStyle name="Check Cell 4 3" xfId="26581"/>
    <cellStyle name="Check Cell 4 4" xfId="26582"/>
    <cellStyle name="Check Cell 4_1-10 BHU IS" xfId="26583"/>
    <cellStyle name="Check Cell 5" xfId="26584"/>
    <cellStyle name="Check Cell 5 2" xfId="26585"/>
    <cellStyle name="Check Cell 5 2 2" xfId="26586"/>
    <cellStyle name="Check Cell 5 2 3" xfId="26587"/>
    <cellStyle name="Check Cell 5 3" xfId="26588"/>
    <cellStyle name="Check Cell 5 4" xfId="26589"/>
    <cellStyle name="Check Cell 5_1-10 BHU IS" xfId="26590"/>
    <cellStyle name="Check Cell 6" xfId="26591"/>
    <cellStyle name="Check Cell 6 2" xfId="26592"/>
    <cellStyle name="Check Cell 6 3" xfId="26593"/>
    <cellStyle name="Check Cell 7" xfId="26594"/>
    <cellStyle name="Check Cell 7 2" xfId="26595"/>
    <cellStyle name="Check Cell 7 3" xfId="26596"/>
    <cellStyle name="Check Cell 8" xfId="26597"/>
    <cellStyle name="Check Cell 8 2" xfId="26598"/>
    <cellStyle name="Check Cell 8 3" xfId="26599"/>
    <cellStyle name="Check Cell 9" xfId="26600"/>
    <cellStyle name="Check Cell 9 2" xfId="26601"/>
    <cellStyle name="Check Cell 9 3" xfId="26602"/>
    <cellStyle name="ColHead" xfId="1554"/>
    <cellStyle name="ColHead 2" xfId="1555"/>
    <cellStyle name="Column Headers" xfId="1556"/>
    <cellStyle name="Comma" xfId="1" builtinId="3"/>
    <cellStyle name="Comma [0 Decimal]" xfId="26603"/>
    <cellStyle name="Comma [0 Decimal] 2" xfId="26604"/>
    <cellStyle name="Comma [0 Decimal] 2 2" xfId="26605"/>
    <cellStyle name="Comma [0 Decimal] 2 2 2" xfId="26606"/>
    <cellStyle name="Comma [0 Decimal] 2 3" xfId="26607"/>
    <cellStyle name="Comma [0 Decimal] 3" xfId="26608"/>
    <cellStyle name="Comma [0 Decimal] 4" xfId="26609"/>
    <cellStyle name="Comma [0] 2" xfId="69"/>
    <cellStyle name="Comma [0] 2 2" xfId="26610"/>
    <cellStyle name="Comma [0] 2 2 2" xfId="26611"/>
    <cellStyle name="Comma [0] 2 2 3" xfId="26612"/>
    <cellStyle name="Comma [0] 2 3" xfId="26613"/>
    <cellStyle name="Comma [0] 2 4" xfId="26614"/>
    <cellStyle name="Comma [0] 3" xfId="26615"/>
    <cellStyle name="Comma [0] 3 2" xfId="26616"/>
    <cellStyle name="Comma [0] 3 2 2" xfId="26617"/>
    <cellStyle name="Comma [0] 3 2 3" xfId="26618"/>
    <cellStyle name="Comma [0] 3 3" xfId="26619"/>
    <cellStyle name="Comma [0] 3 4" xfId="26620"/>
    <cellStyle name="Comma [0] 4" xfId="26621"/>
    <cellStyle name="Comma [0] 4 2" xfId="26622"/>
    <cellStyle name="Comma [0] 4 2 2" xfId="26623"/>
    <cellStyle name="Comma [0] 4 2 3" xfId="26624"/>
    <cellStyle name="Comma [0] 4 3" xfId="26625"/>
    <cellStyle name="Comma [0] 4 4" xfId="26626"/>
    <cellStyle name="Comma [0] 5" xfId="26627"/>
    <cellStyle name="Comma [0] 5 2" xfId="26628"/>
    <cellStyle name="Comma [0] 5 2 2" xfId="26629"/>
    <cellStyle name="Comma [0] 5 3" xfId="26630"/>
    <cellStyle name="Comma [00]" xfId="1557"/>
    <cellStyle name="Comma [2 Decimal]" xfId="26631"/>
    <cellStyle name="Comma [2 Decimal] 2" xfId="26632"/>
    <cellStyle name="Comma [2 Decimal] 2 2" xfId="26633"/>
    <cellStyle name="Comma [2 Decimal] 2 2 2" xfId="26634"/>
    <cellStyle name="Comma [2 Decimal] 2 3" xfId="26635"/>
    <cellStyle name="Comma [2 Decimal] 3" xfId="26636"/>
    <cellStyle name="Comma [2 Decimal] 4" xfId="26637"/>
    <cellStyle name="Comma [3 Decimal]" xfId="26638"/>
    <cellStyle name="Comma [3 Decimal] 2" xfId="26639"/>
    <cellStyle name="Comma [3 Decimal] 2 2" xfId="26640"/>
    <cellStyle name="Comma [3 Decimal] 2 2 2" xfId="26641"/>
    <cellStyle name="Comma [3 Decimal] 2 3" xfId="26642"/>
    <cellStyle name="Comma [3 Decimal] 3" xfId="26643"/>
    <cellStyle name="Comma [3 Decimal] 4" xfId="26644"/>
    <cellStyle name="Comma 10" xfId="103"/>
    <cellStyle name="Comma 10 2" xfId="1558"/>
    <cellStyle name="Comma 10 2 2" xfId="1559"/>
    <cellStyle name="Comma 10 2 2 2" xfId="1560"/>
    <cellStyle name="Comma 10 2 3" xfId="1561"/>
    <cellStyle name="Comma 10 2 4" xfId="26645"/>
    <cellStyle name="Comma 10 2 5" xfId="26646"/>
    <cellStyle name="Comma 10 3" xfId="1562"/>
    <cellStyle name="Comma 10 3 2" xfId="1563"/>
    <cellStyle name="Comma 10 3 3" xfId="26647"/>
    <cellStyle name="Comma 10 4" xfId="1564"/>
    <cellStyle name="Comma 10 4 2" xfId="26648"/>
    <cellStyle name="Comma 10 5" xfId="1565"/>
    <cellStyle name="Comma 10 6" xfId="26649"/>
    <cellStyle name="Comma 100" xfId="26650"/>
    <cellStyle name="Comma 100 2" xfId="26651"/>
    <cellStyle name="Comma 100 3" xfId="26652"/>
    <cellStyle name="Comma 101" xfId="26653"/>
    <cellStyle name="Comma 101 2" xfId="26654"/>
    <cellStyle name="Comma 101 3" xfId="26655"/>
    <cellStyle name="Comma 102" xfId="26656"/>
    <cellStyle name="Comma 102 2" xfId="26657"/>
    <cellStyle name="Comma 102 3" xfId="26658"/>
    <cellStyle name="Comma 103" xfId="26659"/>
    <cellStyle name="Comma 103 2" xfId="26660"/>
    <cellStyle name="Comma 103 3" xfId="26661"/>
    <cellStyle name="Comma 104" xfId="26662"/>
    <cellStyle name="Comma 104 2" xfId="26663"/>
    <cellStyle name="Comma 104 3" xfId="26664"/>
    <cellStyle name="Comma 105" xfId="26665"/>
    <cellStyle name="Comma 105 2" xfId="26666"/>
    <cellStyle name="Comma 105 3" xfId="26667"/>
    <cellStyle name="Comma 106" xfId="26668"/>
    <cellStyle name="Comma 106 2" xfId="26669"/>
    <cellStyle name="Comma 106 3" xfId="26670"/>
    <cellStyle name="Comma 107" xfId="26671"/>
    <cellStyle name="Comma 107 2" xfId="26672"/>
    <cellStyle name="Comma 107 3" xfId="26673"/>
    <cellStyle name="Comma 108" xfId="26674"/>
    <cellStyle name="Comma 108 2" xfId="26675"/>
    <cellStyle name="Comma 108 3" xfId="26676"/>
    <cellStyle name="Comma 109" xfId="26677"/>
    <cellStyle name="Comma 109 2" xfId="26678"/>
    <cellStyle name="Comma 109 3" xfId="26679"/>
    <cellStyle name="Comma 11" xfId="97"/>
    <cellStyle name="Comma 11 2" xfId="1566"/>
    <cellStyle name="Comma 11 2 2" xfId="1567"/>
    <cellStyle name="Comma 11 2 2 2" xfId="1568"/>
    <cellStyle name="Comma 11 2 3" xfId="1569"/>
    <cellStyle name="Comma 11 2 4" xfId="26680"/>
    <cellStyle name="Comma 11 2 5" xfId="26681"/>
    <cellStyle name="Comma 11 3" xfId="1570"/>
    <cellStyle name="Comma 11 3 2" xfId="1571"/>
    <cellStyle name="Comma 11 3 3" xfId="26682"/>
    <cellStyle name="Comma 11 4" xfId="1572"/>
    <cellStyle name="Comma 11 4 2" xfId="26683"/>
    <cellStyle name="Comma 11 5" xfId="26684"/>
    <cellStyle name="Comma 11 6" xfId="26685"/>
    <cellStyle name="Comma 11 7" xfId="26686"/>
    <cellStyle name="Comma 110" xfId="26687"/>
    <cellStyle name="Comma 110 2" xfId="26688"/>
    <cellStyle name="Comma 110 3" xfId="26689"/>
    <cellStyle name="Comma 111" xfId="26690"/>
    <cellStyle name="Comma 111 2" xfId="26691"/>
    <cellStyle name="Comma 111 3" xfId="26692"/>
    <cellStyle name="Comma 112" xfId="26693"/>
    <cellStyle name="Comma 112 2" xfId="26694"/>
    <cellStyle name="Comma 112 3" xfId="26695"/>
    <cellStyle name="Comma 113" xfId="26696"/>
    <cellStyle name="Comma 113 2" xfId="26697"/>
    <cellStyle name="Comma 113 3" xfId="26698"/>
    <cellStyle name="Comma 114" xfId="26699"/>
    <cellStyle name="Comma 114 2" xfId="26700"/>
    <cellStyle name="Comma 114 3" xfId="26701"/>
    <cellStyle name="Comma 115" xfId="26702"/>
    <cellStyle name="Comma 115 2" xfId="26703"/>
    <cellStyle name="Comma 115 3" xfId="26704"/>
    <cellStyle name="Comma 116" xfId="26705"/>
    <cellStyle name="Comma 116 2" xfId="26706"/>
    <cellStyle name="Comma 116 3" xfId="26707"/>
    <cellStyle name="Comma 117" xfId="26708"/>
    <cellStyle name="Comma 117 2" xfId="26709"/>
    <cellStyle name="Comma 117 3" xfId="26710"/>
    <cellStyle name="Comma 118" xfId="26711"/>
    <cellStyle name="Comma 118 2" xfId="26712"/>
    <cellStyle name="Comma 118 3" xfId="26713"/>
    <cellStyle name="Comma 119" xfId="26714"/>
    <cellStyle name="Comma 119 2" xfId="26715"/>
    <cellStyle name="Comma 119 3" xfId="26716"/>
    <cellStyle name="Comma 12" xfId="133"/>
    <cellStyle name="Comma 12 2" xfId="1573"/>
    <cellStyle name="Comma 12 2 2" xfId="1574"/>
    <cellStyle name="Comma 12 2 2 2" xfId="1575"/>
    <cellStyle name="Comma 12 2 2 2 2" xfId="1576"/>
    <cellStyle name="Comma 12 2 2 3" xfId="1577"/>
    <cellStyle name="Comma 12 2 3" xfId="1578"/>
    <cellStyle name="Comma 12 2 3 2" xfId="1579"/>
    <cellStyle name="Comma 12 2 4" xfId="1580"/>
    <cellStyle name="Comma 12 2 5" xfId="26717"/>
    <cellStyle name="Comma 12 3" xfId="1581"/>
    <cellStyle name="Comma 12 3 2" xfId="1582"/>
    <cellStyle name="Comma 12 3 2 2" xfId="1583"/>
    <cellStyle name="Comma 12 3 3" xfId="1584"/>
    <cellStyle name="Comma 12 4" xfId="1585"/>
    <cellStyle name="Comma 12 4 2" xfId="1586"/>
    <cellStyle name="Comma 12 5" xfId="1587"/>
    <cellStyle name="Comma 12 6" xfId="26718"/>
    <cellStyle name="Comma 12 6 2" xfId="26719"/>
    <cellStyle name="Comma 12 6 2 2" xfId="26720"/>
    <cellStyle name="Comma 12 6 2 2 2" xfId="26721"/>
    <cellStyle name="Comma 12 6 2 2 3" xfId="26722"/>
    <cellStyle name="Comma 12 6 2 3" xfId="26723"/>
    <cellStyle name="Comma 12 6 2 3 2" xfId="26724"/>
    <cellStyle name="Comma 12 6 2 4" xfId="26725"/>
    <cellStyle name="Comma 12 6 2 5" xfId="26726"/>
    <cellStyle name="Comma 12 6 3" xfId="26727"/>
    <cellStyle name="Comma 12 6 3 2" xfId="26728"/>
    <cellStyle name="Comma 12 6 3 2 2" xfId="26729"/>
    <cellStyle name="Comma 12 6 3 3" xfId="26730"/>
    <cellStyle name="Comma 12 6 3 4" xfId="26731"/>
    <cellStyle name="Comma 12 6 4" xfId="26732"/>
    <cellStyle name="Comma 12 6 4 2" xfId="26733"/>
    <cellStyle name="Comma 12 6 4 2 2" xfId="26734"/>
    <cellStyle name="Comma 12 6 4 3" xfId="26735"/>
    <cellStyle name="Comma 12 6 4 4" xfId="26736"/>
    <cellStyle name="Comma 12 6 5" xfId="26737"/>
    <cellStyle name="Comma 12 6 5 2" xfId="26738"/>
    <cellStyle name="Comma 12 6 6" xfId="26739"/>
    <cellStyle name="Comma 12 6 7" xfId="26740"/>
    <cellStyle name="Comma 12 6 8" xfId="26741"/>
    <cellStyle name="Comma 12 7" xfId="26742"/>
    <cellStyle name="Comma 12 8" xfId="26743"/>
    <cellStyle name="Comma 120" xfId="26744"/>
    <cellStyle name="Comma 120 2" xfId="26745"/>
    <cellStyle name="Comma 120 3" xfId="26746"/>
    <cellStyle name="Comma 121" xfId="26747"/>
    <cellStyle name="Comma 121 2" xfId="26748"/>
    <cellStyle name="Comma 121 3" xfId="26749"/>
    <cellStyle name="Comma 122" xfId="26750"/>
    <cellStyle name="Comma 122 2" xfId="26751"/>
    <cellStyle name="Comma 122 3" xfId="26752"/>
    <cellStyle name="Comma 123" xfId="26753"/>
    <cellStyle name="Comma 123 2" xfId="26754"/>
    <cellStyle name="Comma 123 3" xfId="26755"/>
    <cellStyle name="Comma 124" xfId="26756"/>
    <cellStyle name="Comma 124 2" xfId="26757"/>
    <cellStyle name="Comma 124 3" xfId="26758"/>
    <cellStyle name="Comma 125" xfId="26759"/>
    <cellStyle name="Comma 125 2" xfId="26760"/>
    <cellStyle name="Comma 125 3" xfId="26761"/>
    <cellStyle name="Comma 126" xfId="26762"/>
    <cellStyle name="Comma 126 2" xfId="26763"/>
    <cellStyle name="Comma 126 3" xfId="26764"/>
    <cellStyle name="Comma 127" xfId="26765"/>
    <cellStyle name="Comma 127 2" xfId="26766"/>
    <cellStyle name="Comma 127 3" xfId="26767"/>
    <cellStyle name="Comma 128" xfId="26768"/>
    <cellStyle name="Comma 128 2" xfId="26769"/>
    <cellStyle name="Comma 128 3" xfId="26770"/>
    <cellStyle name="Comma 129" xfId="26771"/>
    <cellStyle name="Comma 129 2" xfId="26772"/>
    <cellStyle name="Comma 129 3" xfId="26773"/>
    <cellStyle name="Comma 13" xfId="1588"/>
    <cellStyle name="Comma 13 2" xfId="1589"/>
    <cellStyle name="Comma 13 2 2" xfId="1590"/>
    <cellStyle name="Comma 13 2 2 2" xfId="26774"/>
    <cellStyle name="Comma 13 2 3" xfId="26775"/>
    <cellStyle name="Comma 13 2 4" xfId="26776"/>
    <cellStyle name="Comma 13 2 5" xfId="26777"/>
    <cellStyle name="Comma 13 3" xfId="1591"/>
    <cellStyle name="Comma 13 3 2" xfId="1592"/>
    <cellStyle name="Comma 13 4" xfId="1593"/>
    <cellStyle name="Comma 13 5" xfId="26778"/>
    <cellStyle name="Comma 130" xfId="26779"/>
    <cellStyle name="Comma 130 2" xfId="26780"/>
    <cellStyle name="Comma 130 3" xfId="26781"/>
    <cellStyle name="Comma 131" xfId="26782"/>
    <cellStyle name="Comma 131 2" xfId="26783"/>
    <cellStyle name="Comma 131 3" xfId="26784"/>
    <cellStyle name="Comma 132" xfId="26785"/>
    <cellStyle name="Comma 132 2" xfId="26786"/>
    <cellStyle name="Comma 132 3" xfId="26787"/>
    <cellStyle name="Comma 133" xfId="26788"/>
    <cellStyle name="Comma 133 2" xfId="26789"/>
    <cellStyle name="Comma 133 3" xfId="26790"/>
    <cellStyle name="Comma 134" xfId="26791"/>
    <cellStyle name="Comma 134 2" xfId="26792"/>
    <cellStyle name="Comma 134 3" xfId="26793"/>
    <cellStyle name="Comma 135" xfId="26794"/>
    <cellStyle name="Comma 135 2" xfId="26795"/>
    <cellStyle name="Comma 135 3" xfId="26796"/>
    <cellStyle name="Comma 136" xfId="26797"/>
    <cellStyle name="Comma 136 2" xfId="26798"/>
    <cellStyle name="Comma 136 3" xfId="26799"/>
    <cellStyle name="Comma 137" xfId="26800"/>
    <cellStyle name="Comma 137 2" xfId="26801"/>
    <cellStyle name="Comma 137 3" xfId="26802"/>
    <cellStyle name="Comma 138" xfId="26803"/>
    <cellStyle name="Comma 138 2" xfId="26804"/>
    <cellStyle name="Comma 138 3" xfId="26805"/>
    <cellStyle name="Comma 139" xfId="26806"/>
    <cellStyle name="Comma 139 2" xfId="26807"/>
    <cellStyle name="Comma 139 3" xfId="26808"/>
    <cellStyle name="Comma 14" xfId="1594"/>
    <cellStyle name="Comma 14 2" xfId="1595"/>
    <cellStyle name="Comma 14 2 2" xfId="1596"/>
    <cellStyle name="Comma 14 2 2 2" xfId="26809"/>
    <cellStyle name="Comma 14 2 3" xfId="26810"/>
    <cellStyle name="Comma 14 2 4" xfId="26811"/>
    <cellStyle name="Comma 14 2 5" xfId="26812"/>
    <cellStyle name="Comma 14 3" xfId="1597"/>
    <cellStyle name="Comma 14 3 2" xfId="26813"/>
    <cellStyle name="Comma 14 3 2 2" xfId="26814"/>
    <cellStyle name="Comma 14 3 3" xfId="26815"/>
    <cellStyle name="Comma 14 3 4" xfId="26816"/>
    <cellStyle name="Comma 14 3 5" xfId="26817"/>
    <cellStyle name="Comma 14 4" xfId="26818"/>
    <cellStyle name="Comma 14 4 2" xfId="26819"/>
    <cellStyle name="Comma 14 5" xfId="26820"/>
    <cellStyle name="Comma 14 6" xfId="26821"/>
    <cellStyle name="Comma 14 7" xfId="26822"/>
    <cellStyle name="Comma 140" xfId="26823"/>
    <cellStyle name="Comma 140 2" xfId="26824"/>
    <cellStyle name="Comma 140 3" xfId="26825"/>
    <cellStyle name="Comma 141" xfId="26826"/>
    <cellStyle name="Comma 141 2" xfId="26827"/>
    <cellStyle name="Comma 141 3" xfId="26828"/>
    <cellStyle name="Comma 142" xfId="26829"/>
    <cellStyle name="Comma 142 2" xfId="26830"/>
    <cellStyle name="Comma 142 3" xfId="26831"/>
    <cellStyle name="Comma 143" xfId="26832"/>
    <cellStyle name="Comma 143 2" xfId="26833"/>
    <cellStyle name="Comma 143 3" xfId="26834"/>
    <cellStyle name="Comma 144" xfId="26835"/>
    <cellStyle name="Comma 144 2" xfId="26836"/>
    <cellStyle name="Comma 144 3" xfId="26837"/>
    <cellStyle name="Comma 145" xfId="26838"/>
    <cellStyle name="Comma 145 2" xfId="26839"/>
    <cellStyle name="Comma 145 3" xfId="26840"/>
    <cellStyle name="Comma 146" xfId="26841"/>
    <cellStyle name="Comma 146 2" xfId="26842"/>
    <cellStyle name="Comma 146 3" xfId="26843"/>
    <cellStyle name="Comma 147" xfId="26844"/>
    <cellStyle name="Comma 147 2" xfId="26845"/>
    <cellStyle name="Comma 147 3" xfId="26846"/>
    <cellStyle name="Comma 148" xfId="26847"/>
    <cellStyle name="Comma 148 2" xfId="26848"/>
    <cellStyle name="Comma 148 3" xfId="26849"/>
    <cellStyle name="Comma 149" xfId="26850"/>
    <cellStyle name="Comma 149 2" xfId="26851"/>
    <cellStyle name="Comma 149 3" xfId="26852"/>
    <cellStyle name="Comma 15" xfId="1598"/>
    <cellStyle name="Comma 15 2" xfId="1599"/>
    <cellStyle name="Comma 15 2 2" xfId="1600"/>
    <cellStyle name="Comma 15 2 2 2" xfId="26853"/>
    <cellStyle name="Comma 15 2 3" xfId="26854"/>
    <cellStyle name="Comma 15 2 4" xfId="26855"/>
    <cellStyle name="Comma 15 2 5" xfId="26856"/>
    <cellStyle name="Comma 15 3" xfId="1601"/>
    <cellStyle name="Comma 15 3 2" xfId="26857"/>
    <cellStyle name="Comma 15 3 3" xfId="26858"/>
    <cellStyle name="Comma 15 4" xfId="26859"/>
    <cellStyle name="Comma 15 4 2" xfId="26860"/>
    <cellStyle name="Comma 15 5" xfId="26861"/>
    <cellStyle name="Comma 15 6" xfId="26862"/>
    <cellStyle name="Comma 15 7" xfId="26863"/>
    <cellStyle name="Comma 150" xfId="26864"/>
    <cellStyle name="Comma 150 2" xfId="26865"/>
    <cellStyle name="Comma 150 3" xfId="26866"/>
    <cellStyle name="Comma 151" xfId="26867"/>
    <cellStyle name="Comma 151 2" xfId="26868"/>
    <cellStyle name="Comma 151 3" xfId="26869"/>
    <cellStyle name="Comma 152" xfId="26870"/>
    <cellStyle name="Comma 152 2" xfId="26871"/>
    <cellStyle name="Comma 152 3" xfId="26872"/>
    <cellStyle name="Comma 153" xfId="26873"/>
    <cellStyle name="Comma 153 2" xfId="26874"/>
    <cellStyle name="Comma 153 3" xfId="26875"/>
    <cellStyle name="Comma 154" xfId="26876"/>
    <cellStyle name="Comma 154 2" xfId="26877"/>
    <cellStyle name="Comma 154 3" xfId="26878"/>
    <cellStyle name="Comma 155" xfId="26879"/>
    <cellStyle name="Comma 155 2" xfId="26880"/>
    <cellStyle name="Comma 155 3" xfId="26881"/>
    <cellStyle name="Comma 156" xfId="26882"/>
    <cellStyle name="Comma 156 2" xfId="26883"/>
    <cellStyle name="Comma 156 3" xfId="26884"/>
    <cellStyle name="Comma 157" xfId="26885"/>
    <cellStyle name="Comma 157 2" xfId="26886"/>
    <cellStyle name="Comma 157 3" xfId="26887"/>
    <cellStyle name="Comma 158" xfId="26888"/>
    <cellStyle name="Comma 158 2" xfId="26889"/>
    <cellStyle name="Comma 158 3" xfId="26890"/>
    <cellStyle name="Comma 159" xfId="26891"/>
    <cellStyle name="Comma 159 2" xfId="26892"/>
    <cellStyle name="Comma 159 3" xfId="26893"/>
    <cellStyle name="Comma 16" xfId="1602"/>
    <cellStyle name="Comma 16 2" xfId="1603"/>
    <cellStyle name="Comma 16 2 2" xfId="1604"/>
    <cellStyle name="Comma 16 2 3" xfId="1605"/>
    <cellStyle name="Comma 16 3" xfId="1606"/>
    <cellStyle name="Comma 16 3 2" xfId="26894"/>
    <cellStyle name="Comma 16 4" xfId="26895"/>
    <cellStyle name="Comma 16 5" xfId="26896"/>
    <cellStyle name="Comma 16 6" xfId="26897"/>
    <cellStyle name="Comma 160" xfId="26898"/>
    <cellStyle name="Comma 160 2" xfId="26899"/>
    <cellStyle name="Comma 160 3" xfId="26900"/>
    <cellStyle name="Comma 161" xfId="26901"/>
    <cellStyle name="Comma 161 2" xfId="26902"/>
    <cellStyle name="Comma 161 3" xfId="26903"/>
    <cellStyle name="Comma 162" xfId="26904"/>
    <cellStyle name="Comma 162 2" xfId="26905"/>
    <cellStyle name="Comma 162 3" xfId="26906"/>
    <cellStyle name="Comma 163" xfId="26907"/>
    <cellStyle name="Comma 163 2" xfId="26908"/>
    <cellStyle name="Comma 163 3" xfId="26909"/>
    <cellStyle name="Comma 164" xfId="26910"/>
    <cellStyle name="Comma 164 2" xfId="26911"/>
    <cellStyle name="Comma 164 3" xfId="26912"/>
    <cellStyle name="Comma 165" xfId="26913"/>
    <cellStyle name="Comma 165 2" xfId="26914"/>
    <cellStyle name="Comma 165 3" xfId="26915"/>
    <cellStyle name="Comma 166" xfId="26916"/>
    <cellStyle name="Comma 166 2" xfId="26917"/>
    <cellStyle name="Comma 166 3" xfId="26918"/>
    <cellStyle name="Comma 167" xfId="26919"/>
    <cellStyle name="Comma 167 2" xfId="26920"/>
    <cellStyle name="Comma 167 3" xfId="26921"/>
    <cellStyle name="Comma 168" xfId="26922"/>
    <cellStyle name="Comma 168 2" xfId="26923"/>
    <cellStyle name="Comma 168 3" xfId="26924"/>
    <cellStyle name="Comma 169" xfId="26925"/>
    <cellStyle name="Comma 169 2" xfId="26926"/>
    <cellStyle name="Comma 169 3" xfId="26927"/>
    <cellStyle name="Comma 17" xfId="1607"/>
    <cellStyle name="Comma 17 2" xfId="1608"/>
    <cellStyle name="Comma 17 2 2" xfId="26928"/>
    <cellStyle name="Comma 17 2 3" xfId="26929"/>
    <cellStyle name="Comma 17 3" xfId="26930"/>
    <cellStyle name="Comma 17 4" xfId="26931"/>
    <cellStyle name="Comma 170" xfId="26932"/>
    <cellStyle name="Comma 170 2" xfId="26933"/>
    <cellStyle name="Comma 170 3" xfId="26934"/>
    <cellStyle name="Comma 171" xfId="26935"/>
    <cellStyle name="Comma 171 2" xfId="26936"/>
    <cellStyle name="Comma 171 3" xfId="26937"/>
    <cellStyle name="Comma 172" xfId="26938"/>
    <cellStyle name="Comma 172 2" xfId="26939"/>
    <cellStyle name="Comma 172 3" xfId="26940"/>
    <cellStyle name="Comma 173" xfId="26941"/>
    <cellStyle name="Comma 173 2" xfId="26942"/>
    <cellStyle name="Comma 173 3" xfId="26943"/>
    <cellStyle name="Comma 174" xfId="26944"/>
    <cellStyle name="Comma 174 2" xfId="26945"/>
    <cellStyle name="Comma 174 3" xfId="26946"/>
    <cellStyle name="Comma 175" xfId="26947"/>
    <cellStyle name="Comma 175 2" xfId="26948"/>
    <cellStyle name="Comma 175 3" xfId="26949"/>
    <cellStyle name="Comma 176" xfId="26950"/>
    <cellStyle name="Comma 176 2" xfId="26951"/>
    <cellStyle name="Comma 176 3" xfId="26952"/>
    <cellStyle name="Comma 177" xfId="26953"/>
    <cellStyle name="Comma 177 2" xfId="26954"/>
    <cellStyle name="Comma 177 3" xfId="26955"/>
    <cellStyle name="Comma 178" xfId="26956"/>
    <cellStyle name="Comma 178 2" xfId="26957"/>
    <cellStyle name="Comma 178 3" xfId="26958"/>
    <cellStyle name="Comma 179" xfId="26959"/>
    <cellStyle name="Comma 179 2" xfId="26960"/>
    <cellStyle name="Comma 179 3" xfId="26961"/>
    <cellStyle name="Comma 18" xfId="1609"/>
    <cellStyle name="Comma 18 2" xfId="1610"/>
    <cellStyle name="Comma 18 2 2" xfId="26962"/>
    <cellStyle name="Comma 18 2 3" xfId="26963"/>
    <cellStyle name="Comma 18 3" xfId="26964"/>
    <cellStyle name="Comma 18 4" xfId="26965"/>
    <cellStyle name="Comma 180" xfId="26966"/>
    <cellStyle name="Comma 180 2" xfId="26967"/>
    <cellStyle name="Comma 180 3" xfId="26968"/>
    <cellStyle name="Comma 181" xfId="26969"/>
    <cellStyle name="Comma 181 2" xfId="26970"/>
    <cellStyle name="Comma 181 3" xfId="26971"/>
    <cellStyle name="Comma 182" xfId="26972"/>
    <cellStyle name="Comma 182 2" xfId="26973"/>
    <cellStyle name="Comma 183" xfId="26974"/>
    <cellStyle name="Comma 183 2" xfId="26975"/>
    <cellStyle name="Comma 184" xfId="26976"/>
    <cellStyle name="Comma 184 2" xfId="26977"/>
    <cellStyle name="Comma 185" xfId="26978"/>
    <cellStyle name="Comma 185 2" xfId="26979"/>
    <cellStyle name="Comma 186" xfId="26980"/>
    <cellStyle name="Comma 186 2" xfId="26981"/>
    <cellStyle name="Comma 186 2 2" xfId="26982"/>
    <cellStyle name="Comma 186 3" xfId="26983"/>
    <cellStyle name="Comma 186 4" xfId="26984"/>
    <cellStyle name="Comma 187" xfId="26985"/>
    <cellStyle name="Comma 187 2" xfId="26986"/>
    <cellStyle name="Comma 187 2 2" xfId="26987"/>
    <cellStyle name="Comma 188" xfId="26988"/>
    <cellStyle name="Comma 188 2" xfId="26989"/>
    <cellStyle name="Comma 188 2 2" xfId="26990"/>
    <cellStyle name="Comma 189" xfId="26991"/>
    <cellStyle name="Comma 19" xfId="1611"/>
    <cellStyle name="Comma 19 2" xfId="1612"/>
    <cellStyle name="Comma 19 2 2" xfId="26992"/>
    <cellStyle name="Comma 19 2 3" xfId="26993"/>
    <cellStyle name="Comma 19 3" xfId="26994"/>
    <cellStyle name="Comma 19 4" xfId="26995"/>
    <cellStyle name="Comma 190" xfId="26996"/>
    <cellStyle name="Comma 191" xfId="26997"/>
    <cellStyle name="Comma 192" xfId="26998"/>
    <cellStyle name="Comma 193" xfId="26999"/>
    <cellStyle name="Comma 194" xfId="27000"/>
    <cellStyle name="Comma 195" xfId="27001"/>
    <cellStyle name="Comma 196" xfId="27002"/>
    <cellStyle name="Comma 197" xfId="27003"/>
    <cellStyle name="Comma 198" xfId="27004"/>
    <cellStyle name="Comma 199" xfId="27005"/>
    <cellStyle name="Comma 2" xfId="9"/>
    <cellStyle name="Comma 2 10" xfId="27006"/>
    <cellStyle name="Comma 2 10 2" xfId="27007"/>
    <cellStyle name="Comma 2 10 3" xfId="27008"/>
    <cellStyle name="Comma 2 11" xfId="27009"/>
    <cellStyle name="Comma 2 11 2" xfId="27010"/>
    <cellStyle name="Comma 2 11 3" xfId="27011"/>
    <cellStyle name="Comma 2 12" xfId="27012"/>
    <cellStyle name="Comma 2 12 2" xfId="27013"/>
    <cellStyle name="Comma 2 12 3" xfId="27014"/>
    <cellStyle name="Comma 2 13" xfId="27015"/>
    <cellStyle name="Comma 2 13 2" xfId="27016"/>
    <cellStyle name="Comma 2 13 3" xfId="27017"/>
    <cellStyle name="Comma 2 14" xfId="27018"/>
    <cellStyle name="Comma 2 15" xfId="27019"/>
    <cellStyle name="Comma 2 2" xfId="10"/>
    <cellStyle name="Comma 2 2 10" xfId="27020"/>
    <cellStyle name="Comma 2 2 11" xfId="27021"/>
    <cellStyle name="Comma 2 2 2" xfId="117"/>
    <cellStyle name="Comma 2 2 2 2" xfId="27022"/>
    <cellStyle name="Comma 2 2 2 2 2" xfId="27023"/>
    <cellStyle name="Comma 2 2 2 2 2 2" xfId="27024"/>
    <cellStyle name="Comma 2 2 2 2 2 3" xfId="27025"/>
    <cellStyle name="Comma 2 2 2 2 3" xfId="27026"/>
    <cellStyle name="Comma 2 2 2 2 3 2" xfId="27027"/>
    <cellStyle name="Comma 2 2 2 2 3 3" xfId="27028"/>
    <cellStyle name="Comma 2 2 2 2 4" xfId="27029"/>
    <cellStyle name="Comma 2 2 2 2 5" xfId="27030"/>
    <cellStyle name="Comma 2 2 2 3" xfId="27031"/>
    <cellStyle name="Comma 2 2 2 3 2" xfId="27032"/>
    <cellStyle name="Comma 2 2 2 3 3" xfId="27033"/>
    <cellStyle name="Comma 2 2 2 4" xfId="27034"/>
    <cellStyle name="Comma 2 2 2 4 2" xfId="27035"/>
    <cellStyle name="Comma 2 2 2 4 3" xfId="27036"/>
    <cellStyle name="Comma 2 2 2 5" xfId="27037"/>
    <cellStyle name="Comma 2 2 2 6" xfId="27038"/>
    <cellStyle name="Comma 2 2 3" xfId="27039"/>
    <cellStyle name="Comma 2 2 3 2" xfId="27040"/>
    <cellStyle name="Comma 2 2 3 3" xfId="27041"/>
    <cellStyle name="Comma 2 2 4" xfId="27042"/>
    <cellStyle name="Comma 2 2 4 2" xfId="27043"/>
    <cellStyle name="Comma 2 2 4 3" xfId="27044"/>
    <cellStyle name="Comma 2 2 5" xfId="27045"/>
    <cellStyle name="Comma 2 2 5 2" xfId="27046"/>
    <cellStyle name="Comma 2 2 5 3" xfId="27047"/>
    <cellStyle name="Comma 2 2 6" xfId="27048"/>
    <cellStyle name="Comma 2 2 6 2" xfId="27049"/>
    <cellStyle name="Comma 2 2 6 3" xfId="27050"/>
    <cellStyle name="Comma 2 2 7" xfId="27051"/>
    <cellStyle name="Comma 2 2 7 2" xfId="27052"/>
    <cellStyle name="Comma 2 2 7 3" xfId="27053"/>
    <cellStyle name="Comma 2 2 8" xfId="27054"/>
    <cellStyle name="Comma 2 2 8 2" xfId="27055"/>
    <cellStyle name="Comma 2 2 8 3" xfId="27056"/>
    <cellStyle name="Comma 2 2 9" xfId="27057"/>
    <cellStyle name="Comma 2 3" xfId="11"/>
    <cellStyle name="Comma 2 3 10" xfId="27058"/>
    <cellStyle name="Comma 2 3 10 2" xfId="27059"/>
    <cellStyle name="Comma 2 3 10 2 2" xfId="27060"/>
    <cellStyle name="Comma 2 3 10 2 3" xfId="27061"/>
    <cellStyle name="Comma 2 3 10 3" xfId="27062"/>
    <cellStyle name="Comma 2 3 10 3 2" xfId="27063"/>
    <cellStyle name="Comma 2 3 10 3 3" xfId="27064"/>
    <cellStyle name="Comma 2 3 10 4" xfId="27065"/>
    <cellStyle name="Comma 2 3 10 5" xfId="27066"/>
    <cellStyle name="Comma 2 3 11" xfId="27067"/>
    <cellStyle name="Comma 2 3 11 2" xfId="27068"/>
    <cellStyle name="Comma 2 3 11 3" xfId="27069"/>
    <cellStyle name="Comma 2 3 12" xfId="27070"/>
    <cellStyle name="Comma 2 3 12 2" xfId="27071"/>
    <cellStyle name="Comma 2 3 12 3" xfId="27072"/>
    <cellStyle name="Comma 2 3 13" xfId="27073"/>
    <cellStyle name="Comma 2 3 14" xfId="27074"/>
    <cellStyle name="Comma 2 3 15" xfId="27075"/>
    <cellStyle name="Comma 2 3 2" xfId="27076"/>
    <cellStyle name="Comma 2 3 2 2" xfId="27077"/>
    <cellStyle name="Comma 2 3 2 2 2" xfId="27078"/>
    <cellStyle name="Comma 2 3 2 2 3" xfId="27079"/>
    <cellStyle name="Comma 2 3 2 3" xfId="27080"/>
    <cellStyle name="Comma 2 3 2 3 2" xfId="27081"/>
    <cellStyle name="Comma 2 3 2 3 3" xfId="27082"/>
    <cellStyle name="Comma 2 3 2 4" xfId="27083"/>
    <cellStyle name="Comma 2 3 2 5" xfId="27084"/>
    <cellStyle name="Comma 2 3 3" xfId="27085"/>
    <cellStyle name="Comma 2 3 3 2" xfId="27086"/>
    <cellStyle name="Comma 2 3 3 2 2" xfId="27087"/>
    <cellStyle name="Comma 2 3 3 2 3" xfId="27088"/>
    <cellStyle name="Comma 2 3 3 3" xfId="27089"/>
    <cellStyle name="Comma 2 3 3 3 2" xfId="27090"/>
    <cellStyle name="Comma 2 3 3 3 3" xfId="27091"/>
    <cellStyle name="Comma 2 3 3 4" xfId="27092"/>
    <cellStyle name="Comma 2 3 3 5" xfId="27093"/>
    <cellStyle name="Comma 2 3 4" xfId="27094"/>
    <cellStyle name="Comma 2 3 4 2" xfId="27095"/>
    <cellStyle name="Comma 2 3 4 2 2" xfId="27096"/>
    <cellStyle name="Comma 2 3 4 2 3" xfId="27097"/>
    <cellStyle name="Comma 2 3 4 3" xfId="27098"/>
    <cellStyle name="Comma 2 3 4 3 2" xfId="27099"/>
    <cellStyle name="Comma 2 3 4 3 3" xfId="27100"/>
    <cellStyle name="Comma 2 3 4 4" xfId="27101"/>
    <cellStyle name="Comma 2 3 4 5" xfId="27102"/>
    <cellStyle name="Comma 2 3 5" xfId="27103"/>
    <cellStyle name="Comma 2 3 5 2" xfId="27104"/>
    <cellStyle name="Comma 2 3 5 2 2" xfId="27105"/>
    <cellStyle name="Comma 2 3 5 2 3" xfId="27106"/>
    <cellStyle name="Comma 2 3 5 3" xfId="27107"/>
    <cellStyle name="Comma 2 3 5 3 2" xfId="27108"/>
    <cellStyle name="Comma 2 3 5 3 3" xfId="27109"/>
    <cellStyle name="Comma 2 3 5 4" xfId="27110"/>
    <cellStyle name="Comma 2 3 5 5" xfId="27111"/>
    <cellStyle name="Comma 2 3 6" xfId="27112"/>
    <cellStyle name="Comma 2 3 6 2" xfId="27113"/>
    <cellStyle name="Comma 2 3 6 2 2" xfId="27114"/>
    <cellStyle name="Comma 2 3 6 2 3" xfId="27115"/>
    <cellStyle name="Comma 2 3 6 3" xfId="27116"/>
    <cellStyle name="Comma 2 3 6 3 2" xfId="27117"/>
    <cellStyle name="Comma 2 3 6 3 3" xfId="27118"/>
    <cellStyle name="Comma 2 3 6 4" xfId="27119"/>
    <cellStyle name="Comma 2 3 6 5" xfId="27120"/>
    <cellStyle name="Comma 2 3 7" xfId="27121"/>
    <cellStyle name="Comma 2 3 7 2" xfId="27122"/>
    <cellStyle name="Comma 2 3 7 2 2" xfId="27123"/>
    <cellStyle name="Comma 2 3 7 2 3" xfId="27124"/>
    <cellStyle name="Comma 2 3 7 3" xfId="27125"/>
    <cellStyle name="Comma 2 3 7 3 2" xfId="27126"/>
    <cellStyle name="Comma 2 3 7 3 3" xfId="27127"/>
    <cellStyle name="Comma 2 3 7 4" xfId="27128"/>
    <cellStyle name="Comma 2 3 7 5" xfId="27129"/>
    <cellStyle name="Comma 2 3 8" xfId="27130"/>
    <cellStyle name="Comma 2 3 8 2" xfId="27131"/>
    <cellStyle name="Comma 2 3 8 2 2" xfId="27132"/>
    <cellStyle name="Comma 2 3 8 2 3" xfId="27133"/>
    <cellStyle name="Comma 2 3 8 3" xfId="27134"/>
    <cellStyle name="Comma 2 3 8 3 2" xfId="27135"/>
    <cellStyle name="Comma 2 3 8 3 3" xfId="27136"/>
    <cellStyle name="Comma 2 3 8 4" xfId="27137"/>
    <cellStyle name="Comma 2 3 8 5" xfId="27138"/>
    <cellStyle name="Comma 2 3 9" xfId="27139"/>
    <cellStyle name="Comma 2 3 9 2" xfId="27140"/>
    <cellStyle name="Comma 2 3 9 2 2" xfId="27141"/>
    <cellStyle name="Comma 2 3 9 2 3" xfId="27142"/>
    <cellStyle name="Comma 2 3 9 3" xfId="27143"/>
    <cellStyle name="Comma 2 3 9 3 2" xfId="27144"/>
    <cellStyle name="Comma 2 3 9 3 3" xfId="27145"/>
    <cellStyle name="Comma 2 3 9 4" xfId="27146"/>
    <cellStyle name="Comma 2 3 9 5" xfId="27147"/>
    <cellStyle name="Comma 2 4" xfId="1613"/>
    <cellStyle name="Comma 2 4 2" xfId="27148"/>
    <cellStyle name="Comma 2 4 2 2" xfId="27149"/>
    <cellStyle name="Comma 2 4 2 3" xfId="27150"/>
    <cellStyle name="Comma 2 4 3" xfId="27151"/>
    <cellStyle name="Comma 2 4 3 2" xfId="27152"/>
    <cellStyle name="Comma 2 4 3 3" xfId="27153"/>
    <cellStyle name="Comma 2 4 4" xfId="27154"/>
    <cellStyle name="Comma 2 4 5" xfId="27155"/>
    <cellStyle name="Comma 2 5" xfId="1614"/>
    <cellStyle name="Comma 2 5 2" xfId="27156"/>
    <cellStyle name="Comma 2 5 2 2" xfId="27157"/>
    <cellStyle name="Comma 2 5 2 3" xfId="27158"/>
    <cellStyle name="Comma 2 5 3" xfId="27159"/>
    <cellStyle name="Comma 2 5 4" xfId="27160"/>
    <cellStyle name="Comma 2 6" xfId="27161"/>
    <cellStyle name="Comma 2 6 2" xfId="27162"/>
    <cellStyle name="Comma 2 6 2 2" xfId="27163"/>
    <cellStyle name="Comma 2 6 2 3" xfId="27164"/>
    <cellStyle name="Comma 2 6 3" xfId="27165"/>
    <cellStyle name="Comma 2 6 4" xfId="27166"/>
    <cellStyle name="Comma 2 7" xfId="27167"/>
    <cellStyle name="Comma 2 7 2" xfId="27168"/>
    <cellStyle name="Comma 2 7 3" xfId="27169"/>
    <cellStyle name="Comma 2 8" xfId="27170"/>
    <cellStyle name="Comma 2 8 2" xfId="27171"/>
    <cellStyle name="Comma 2 8 3" xfId="27172"/>
    <cellStyle name="Comma 2 9" xfId="27173"/>
    <cellStyle name="Comma 2 9 2" xfId="27174"/>
    <cellStyle name="Comma 2 9 3" xfId="27175"/>
    <cellStyle name="Comma 20" xfId="1615"/>
    <cellStyle name="Comma 20 2" xfId="27176"/>
    <cellStyle name="Comma 20 2 2" xfId="27177"/>
    <cellStyle name="Comma 20 2 3" xfId="27178"/>
    <cellStyle name="Comma 20 3" xfId="27179"/>
    <cellStyle name="Comma 20 4" xfId="27180"/>
    <cellStyle name="Comma 200" xfId="27181"/>
    <cellStyle name="Comma 201" xfId="27182"/>
    <cellStyle name="Comma 202" xfId="27183"/>
    <cellStyle name="Comma 203" xfId="27184"/>
    <cellStyle name="Comma 204" xfId="27185"/>
    <cellStyle name="Comma 205" xfId="27186"/>
    <cellStyle name="Comma 206" xfId="27187"/>
    <cellStyle name="Comma 207" xfId="27188"/>
    <cellStyle name="Comma 208" xfId="27189"/>
    <cellStyle name="Comma 209" xfId="27190"/>
    <cellStyle name="Comma 21" xfId="1616"/>
    <cellStyle name="Comma 21 2" xfId="27191"/>
    <cellStyle name="Comma 21 2 2" xfId="27192"/>
    <cellStyle name="Comma 21 2 3" xfId="27193"/>
    <cellStyle name="Comma 21 3" xfId="27194"/>
    <cellStyle name="Comma 21 4" xfId="27195"/>
    <cellStyle name="Comma 210" xfId="27196"/>
    <cellStyle name="Comma 211" xfId="27197"/>
    <cellStyle name="Comma 212" xfId="27198"/>
    <cellStyle name="Comma 213" xfId="27199"/>
    <cellStyle name="Comma 214" xfId="27200"/>
    <cellStyle name="Comma 215" xfId="27201"/>
    <cellStyle name="Comma 216" xfId="27202"/>
    <cellStyle name="Comma 217" xfId="27203"/>
    <cellStyle name="Comma 218" xfId="27204"/>
    <cellStyle name="Comma 219" xfId="27205"/>
    <cellStyle name="Comma 22" xfId="1617"/>
    <cellStyle name="Comma 22 2" xfId="27206"/>
    <cellStyle name="Comma 22 2 2" xfId="27207"/>
    <cellStyle name="Comma 22 2 3" xfId="27208"/>
    <cellStyle name="Comma 22 3" xfId="27209"/>
    <cellStyle name="Comma 22 4" xfId="27210"/>
    <cellStyle name="Comma 220" xfId="27211"/>
    <cellStyle name="Comma 221" xfId="27212"/>
    <cellStyle name="Comma 222" xfId="27213"/>
    <cellStyle name="Comma 23" xfId="1618"/>
    <cellStyle name="Comma 23 2" xfId="27214"/>
    <cellStyle name="Comma 23 2 2" xfId="27215"/>
    <cellStyle name="Comma 23 2 3" xfId="27216"/>
    <cellStyle name="Comma 23 3" xfId="27217"/>
    <cellStyle name="Comma 23 4" xfId="27218"/>
    <cellStyle name="Comma 24" xfId="1619"/>
    <cellStyle name="Comma 24 2" xfId="27219"/>
    <cellStyle name="Comma 24 2 2" xfId="27220"/>
    <cellStyle name="Comma 24 2 3" xfId="27221"/>
    <cellStyle name="Comma 24 3" xfId="27222"/>
    <cellStyle name="Comma 24 4" xfId="27223"/>
    <cellStyle name="Comma 25" xfId="1620"/>
    <cellStyle name="Comma 25 2" xfId="27224"/>
    <cellStyle name="Comma 25 2 2" xfId="27225"/>
    <cellStyle name="Comma 25 2 3" xfId="27226"/>
    <cellStyle name="Comma 25 3" xfId="27227"/>
    <cellStyle name="Comma 25 3 2" xfId="27228"/>
    <cellStyle name="Comma 25 3 3" xfId="27229"/>
    <cellStyle name="Comma 25 4" xfId="27230"/>
    <cellStyle name="Comma 25 5" xfId="27231"/>
    <cellStyle name="Comma 26" xfId="1621"/>
    <cellStyle name="Comma 26 2" xfId="27232"/>
    <cellStyle name="Comma 26 2 2" xfId="27233"/>
    <cellStyle name="Comma 26 2 3" xfId="27234"/>
    <cellStyle name="Comma 26 3" xfId="27235"/>
    <cellStyle name="Comma 26 4" xfId="27236"/>
    <cellStyle name="Comma 27" xfId="1622"/>
    <cellStyle name="Comma 27 2" xfId="27237"/>
    <cellStyle name="Comma 27 2 2" xfId="27238"/>
    <cellStyle name="Comma 27 2 3" xfId="27239"/>
    <cellStyle name="Comma 27 3" xfId="27240"/>
    <cellStyle name="Comma 27 4" xfId="27241"/>
    <cellStyle name="Comma 28" xfId="1623"/>
    <cellStyle name="Comma 28 2" xfId="1624"/>
    <cellStyle name="Comma 28 2 2" xfId="27242"/>
    <cellStyle name="Comma 28 2 3" xfId="27243"/>
    <cellStyle name="Comma 28 3" xfId="27244"/>
    <cellStyle name="Comma 28 4" xfId="27245"/>
    <cellStyle name="Comma 29" xfId="1625"/>
    <cellStyle name="Comma 29 2" xfId="27246"/>
    <cellStyle name="Comma 29 2 2" xfId="27247"/>
    <cellStyle name="Comma 29 2 3" xfId="27248"/>
    <cellStyle name="Comma 29 3" xfId="27249"/>
    <cellStyle name="Comma 29 3 2" xfId="27250"/>
    <cellStyle name="Comma 29 3 3" xfId="27251"/>
    <cellStyle name="Comma 29 4" xfId="27252"/>
    <cellStyle name="Comma 29 5" xfId="27253"/>
    <cellStyle name="Comma 3" xfId="12"/>
    <cellStyle name="Comma 3 10" xfId="27254"/>
    <cellStyle name="Comma 3 10 2" xfId="27255"/>
    <cellStyle name="Comma 3 10 3" xfId="27256"/>
    <cellStyle name="Comma 3 11" xfId="27257"/>
    <cellStyle name="Comma 3 11 2" xfId="27258"/>
    <cellStyle name="Comma 3 11 3" xfId="27259"/>
    <cellStyle name="Comma 3 12" xfId="27260"/>
    <cellStyle name="Comma 3 12 2" xfId="27261"/>
    <cellStyle name="Comma 3 12 3" xfId="27262"/>
    <cellStyle name="Comma 3 13" xfId="27263"/>
    <cellStyle name="Comma 3 13 2" xfId="27264"/>
    <cellStyle name="Comma 3 13 3" xfId="27265"/>
    <cellStyle name="Comma 3 14" xfId="27266"/>
    <cellStyle name="Comma 3 14 2" xfId="27267"/>
    <cellStyle name="Comma 3 14 3" xfId="27268"/>
    <cellStyle name="Comma 3 15" xfId="27269"/>
    <cellStyle name="Comma 3 15 2" xfId="27270"/>
    <cellStyle name="Comma 3 15 2 2" xfId="27271"/>
    <cellStyle name="Comma 3 15 2 2 2" xfId="27272"/>
    <cellStyle name="Comma 3 15 2 2 3" xfId="27273"/>
    <cellStyle name="Comma 3 15 2 3" xfId="27274"/>
    <cellStyle name="Comma 3 15 2 3 2" xfId="27275"/>
    <cellStyle name="Comma 3 15 2 4" xfId="27276"/>
    <cellStyle name="Comma 3 15 2 5" xfId="27277"/>
    <cellStyle name="Comma 3 15 3" xfId="27278"/>
    <cellStyle name="Comma 3 15 3 2" xfId="27279"/>
    <cellStyle name="Comma 3 15 3 2 2" xfId="27280"/>
    <cellStyle name="Comma 3 15 3 3" xfId="27281"/>
    <cellStyle name="Comma 3 15 3 4" xfId="27282"/>
    <cellStyle name="Comma 3 15 4" xfId="27283"/>
    <cellStyle name="Comma 3 15 4 2" xfId="27284"/>
    <cellStyle name="Comma 3 15 4 2 2" xfId="27285"/>
    <cellStyle name="Comma 3 15 4 3" xfId="27286"/>
    <cellStyle name="Comma 3 15 4 4" xfId="27287"/>
    <cellStyle name="Comma 3 15 5" xfId="27288"/>
    <cellStyle name="Comma 3 15 5 2" xfId="27289"/>
    <cellStyle name="Comma 3 15 6" xfId="27290"/>
    <cellStyle name="Comma 3 15 7" xfId="27291"/>
    <cellStyle name="Comma 3 15 8" xfId="27292"/>
    <cellStyle name="Comma 3 16" xfId="27293"/>
    <cellStyle name="Comma 3 16 2" xfId="27294"/>
    <cellStyle name="Comma 3 16 2 2" xfId="27295"/>
    <cellStyle name="Comma 3 16 2 2 2" xfId="27296"/>
    <cellStyle name="Comma 3 16 2 2 3" xfId="27297"/>
    <cellStyle name="Comma 3 16 2 3" xfId="27298"/>
    <cellStyle name="Comma 3 16 2 3 2" xfId="27299"/>
    <cellStyle name="Comma 3 16 2 4" xfId="27300"/>
    <cellStyle name="Comma 3 16 2 5" xfId="27301"/>
    <cellStyle name="Comma 3 16 3" xfId="27302"/>
    <cellStyle name="Comma 3 16 3 2" xfId="27303"/>
    <cellStyle name="Comma 3 16 3 2 2" xfId="27304"/>
    <cellStyle name="Comma 3 16 3 3" xfId="27305"/>
    <cellStyle name="Comma 3 16 3 4" xfId="27306"/>
    <cellStyle name="Comma 3 16 4" xfId="27307"/>
    <cellStyle name="Comma 3 16 4 2" xfId="27308"/>
    <cellStyle name="Comma 3 16 4 2 2" xfId="27309"/>
    <cellStyle name="Comma 3 16 4 3" xfId="27310"/>
    <cellStyle name="Comma 3 16 4 4" xfId="27311"/>
    <cellStyle name="Comma 3 16 5" xfId="27312"/>
    <cellStyle name="Comma 3 16 5 2" xfId="27313"/>
    <cellStyle name="Comma 3 16 6" xfId="27314"/>
    <cellStyle name="Comma 3 16 7" xfId="27315"/>
    <cellStyle name="Comma 3 16 8" xfId="27316"/>
    <cellStyle name="Comma 3 17" xfId="27317"/>
    <cellStyle name="Comma 3 17 2" xfId="27318"/>
    <cellStyle name="Comma 3 17 2 2" xfId="27319"/>
    <cellStyle name="Comma 3 17 2 2 2" xfId="27320"/>
    <cellStyle name="Comma 3 17 2 2 3" xfId="27321"/>
    <cellStyle name="Comma 3 17 2 3" xfId="27322"/>
    <cellStyle name="Comma 3 17 2 3 2" xfId="27323"/>
    <cellStyle name="Comma 3 17 2 4" xfId="27324"/>
    <cellStyle name="Comma 3 17 2 5" xfId="27325"/>
    <cellStyle name="Comma 3 17 3" xfId="27326"/>
    <cellStyle name="Comma 3 17 3 2" xfId="27327"/>
    <cellStyle name="Comma 3 17 3 2 2" xfId="27328"/>
    <cellStyle name="Comma 3 17 3 3" xfId="27329"/>
    <cellStyle name="Comma 3 17 3 4" xfId="27330"/>
    <cellStyle name="Comma 3 17 4" xfId="27331"/>
    <cellStyle name="Comma 3 17 4 2" xfId="27332"/>
    <cellStyle name="Comma 3 17 4 2 2" xfId="27333"/>
    <cellStyle name="Comma 3 17 4 3" xfId="27334"/>
    <cellStyle name="Comma 3 17 4 4" xfId="27335"/>
    <cellStyle name="Comma 3 17 5" xfId="27336"/>
    <cellStyle name="Comma 3 17 5 2" xfId="27337"/>
    <cellStyle name="Comma 3 17 6" xfId="27338"/>
    <cellStyle name="Comma 3 17 7" xfId="27339"/>
    <cellStyle name="Comma 3 17 8" xfId="27340"/>
    <cellStyle name="Comma 3 18" xfId="27341"/>
    <cellStyle name="Comma 3 19" xfId="27342"/>
    <cellStyle name="Comma 3 2" xfId="70"/>
    <cellStyle name="Comma 3 2 10" xfId="27343"/>
    <cellStyle name="Comma 3 2 10 2" xfId="27344"/>
    <cellStyle name="Comma 3 2 10 2 2" xfId="27345"/>
    <cellStyle name="Comma 3 2 10 2 2 2" xfId="27346"/>
    <cellStyle name="Comma 3 2 10 2 2 3" xfId="27347"/>
    <cellStyle name="Comma 3 2 10 2 3" xfId="27348"/>
    <cellStyle name="Comma 3 2 10 2 3 2" xfId="27349"/>
    <cellStyle name="Comma 3 2 10 2 4" xfId="27350"/>
    <cellStyle name="Comma 3 2 10 2 5" xfId="27351"/>
    <cellStyle name="Comma 3 2 10 3" xfId="27352"/>
    <cellStyle name="Comma 3 2 10 3 2" xfId="27353"/>
    <cellStyle name="Comma 3 2 10 3 2 2" xfId="27354"/>
    <cellStyle name="Comma 3 2 10 3 3" xfId="27355"/>
    <cellStyle name="Comma 3 2 10 3 4" xfId="27356"/>
    <cellStyle name="Comma 3 2 10 4" xfId="27357"/>
    <cellStyle name="Comma 3 2 10 4 2" xfId="27358"/>
    <cellStyle name="Comma 3 2 10 4 2 2" xfId="27359"/>
    <cellStyle name="Comma 3 2 10 4 3" xfId="27360"/>
    <cellStyle name="Comma 3 2 10 4 4" xfId="27361"/>
    <cellStyle name="Comma 3 2 10 5" xfId="27362"/>
    <cellStyle name="Comma 3 2 10 5 2" xfId="27363"/>
    <cellStyle name="Comma 3 2 10 6" xfId="27364"/>
    <cellStyle name="Comma 3 2 10 7" xfId="27365"/>
    <cellStyle name="Comma 3 2 10 8" xfId="27366"/>
    <cellStyle name="Comma 3 2 11" xfId="27367"/>
    <cellStyle name="Comma 3 2 11 2" xfId="27368"/>
    <cellStyle name="Comma 3 2 11 2 2" xfId="27369"/>
    <cellStyle name="Comma 3 2 11 2 2 2" xfId="27370"/>
    <cellStyle name="Comma 3 2 11 2 2 3" xfId="27371"/>
    <cellStyle name="Comma 3 2 11 2 3" xfId="27372"/>
    <cellStyle name="Comma 3 2 11 2 3 2" xfId="27373"/>
    <cellStyle name="Comma 3 2 11 2 4" xfId="27374"/>
    <cellStyle name="Comma 3 2 11 2 5" xfId="27375"/>
    <cellStyle name="Comma 3 2 11 3" xfId="27376"/>
    <cellStyle name="Comma 3 2 11 3 2" xfId="27377"/>
    <cellStyle name="Comma 3 2 11 3 2 2" xfId="27378"/>
    <cellStyle name="Comma 3 2 11 3 3" xfId="27379"/>
    <cellStyle name="Comma 3 2 11 3 4" xfId="27380"/>
    <cellStyle name="Comma 3 2 11 4" xfId="27381"/>
    <cellStyle name="Comma 3 2 11 4 2" xfId="27382"/>
    <cellStyle name="Comma 3 2 11 4 2 2" xfId="27383"/>
    <cellStyle name="Comma 3 2 11 4 3" xfId="27384"/>
    <cellStyle name="Comma 3 2 11 4 4" xfId="27385"/>
    <cellStyle name="Comma 3 2 11 5" xfId="27386"/>
    <cellStyle name="Comma 3 2 11 5 2" xfId="27387"/>
    <cellStyle name="Comma 3 2 11 6" xfId="27388"/>
    <cellStyle name="Comma 3 2 11 7" xfId="27389"/>
    <cellStyle name="Comma 3 2 11 8" xfId="27390"/>
    <cellStyle name="Comma 3 2 12" xfId="27391"/>
    <cellStyle name="Comma 3 2 2" xfId="1626"/>
    <cellStyle name="Comma 3 2 2 2" xfId="1627"/>
    <cellStyle name="Comma 3 2 2 2 2" xfId="27392"/>
    <cellStyle name="Comma 3 2 2 2 3" xfId="27393"/>
    <cellStyle name="Comma 3 2 2 3" xfId="27394"/>
    <cellStyle name="Comma 3 2 2 3 2" xfId="27395"/>
    <cellStyle name="Comma 3 2 2 3 2 2" xfId="27396"/>
    <cellStyle name="Comma 3 2 2 3 2 2 2" xfId="27397"/>
    <cellStyle name="Comma 3 2 2 3 2 2 3" xfId="27398"/>
    <cellStyle name="Comma 3 2 2 3 2 3" xfId="27399"/>
    <cellStyle name="Comma 3 2 2 3 2 3 2" xfId="27400"/>
    <cellStyle name="Comma 3 2 2 3 2 4" xfId="27401"/>
    <cellStyle name="Comma 3 2 2 3 2 5" xfId="27402"/>
    <cellStyle name="Comma 3 2 2 3 3" xfId="27403"/>
    <cellStyle name="Comma 3 2 2 3 3 2" xfId="27404"/>
    <cellStyle name="Comma 3 2 2 3 3 2 2" xfId="27405"/>
    <cellStyle name="Comma 3 2 2 3 3 3" xfId="27406"/>
    <cellStyle name="Comma 3 2 2 3 3 4" xfId="27407"/>
    <cellStyle name="Comma 3 2 2 3 4" xfId="27408"/>
    <cellStyle name="Comma 3 2 2 3 4 2" xfId="27409"/>
    <cellStyle name="Comma 3 2 2 3 4 2 2" xfId="27410"/>
    <cellStyle name="Comma 3 2 2 3 4 3" xfId="27411"/>
    <cellStyle name="Comma 3 2 2 3 4 4" xfId="27412"/>
    <cellStyle name="Comma 3 2 2 3 5" xfId="27413"/>
    <cellStyle name="Comma 3 2 2 3 5 2" xfId="27414"/>
    <cellStyle name="Comma 3 2 2 3 6" xfId="27415"/>
    <cellStyle name="Comma 3 2 2 3 7" xfId="27416"/>
    <cellStyle name="Comma 3 2 2 3 8" xfId="27417"/>
    <cellStyle name="Comma 3 2 2 4" xfId="27418"/>
    <cellStyle name="Comma 3 2 2 4 2" xfId="27419"/>
    <cellStyle name="Comma 3 2 2 4 2 2" xfId="27420"/>
    <cellStyle name="Comma 3 2 2 4 2 2 2" xfId="27421"/>
    <cellStyle name="Comma 3 2 2 4 2 2 3" xfId="27422"/>
    <cellStyle name="Comma 3 2 2 4 2 3" xfId="27423"/>
    <cellStyle name="Comma 3 2 2 4 2 3 2" xfId="27424"/>
    <cellStyle name="Comma 3 2 2 4 2 4" xfId="27425"/>
    <cellStyle name="Comma 3 2 2 4 2 5" xfId="27426"/>
    <cellStyle name="Comma 3 2 2 4 3" xfId="27427"/>
    <cellStyle name="Comma 3 2 2 4 3 2" xfId="27428"/>
    <cellStyle name="Comma 3 2 2 4 3 2 2" xfId="27429"/>
    <cellStyle name="Comma 3 2 2 4 3 3" xfId="27430"/>
    <cellStyle name="Comma 3 2 2 4 3 4" xfId="27431"/>
    <cellStyle name="Comma 3 2 2 4 4" xfId="27432"/>
    <cellStyle name="Comma 3 2 2 4 4 2" xfId="27433"/>
    <cellStyle name="Comma 3 2 2 4 4 2 2" xfId="27434"/>
    <cellStyle name="Comma 3 2 2 4 4 3" xfId="27435"/>
    <cellStyle name="Comma 3 2 2 4 4 4" xfId="27436"/>
    <cellStyle name="Comma 3 2 2 4 5" xfId="27437"/>
    <cellStyle name="Comma 3 2 2 4 5 2" xfId="27438"/>
    <cellStyle name="Comma 3 2 2 4 6" xfId="27439"/>
    <cellStyle name="Comma 3 2 2 4 7" xfId="27440"/>
    <cellStyle name="Comma 3 2 2 4 8" xfId="27441"/>
    <cellStyle name="Comma 3 2 2 5" xfId="27442"/>
    <cellStyle name="Comma 3 2 2 5 2" xfId="27443"/>
    <cellStyle name="Comma 3 2 2 5 2 2" xfId="27444"/>
    <cellStyle name="Comma 3 2 2 5 2 2 2" xfId="27445"/>
    <cellStyle name="Comma 3 2 2 5 2 2 3" xfId="27446"/>
    <cellStyle name="Comma 3 2 2 5 2 3" xfId="27447"/>
    <cellStyle name="Comma 3 2 2 5 2 3 2" xfId="27448"/>
    <cellStyle name="Comma 3 2 2 5 2 4" xfId="27449"/>
    <cellStyle name="Comma 3 2 2 5 2 5" xfId="27450"/>
    <cellStyle name="Comma 3 2 2 5 3" xfId="27451"/>
    <cellStyle name="Comma 3 2 2 5 3 2" xfId="27452"/>
    <cellStyle name="Comma 3 2 2 5 3 2 2" xfId="27453"/>
    <cellStyle name="Comma 3 2 2 5 3 3" xfId="27454"/>
    <cellStyle name="Comma 3 2 2 5 3 4" xfId="27455"/>
    <cellStyle name="Comma 3 2 2 5 4" xfId="27456"/>
    <cellStyle name="Comma 3 2 2 5 4 2" xfId="27457"/>
    <cellStyle name="Comma 3 2 2 5 4 2 2" xfId="27458"/>
    <cellStyle name="Comma 3 2 2 5 4 3" xfId="27459"/>
    <cellStyle name="Comma 3 2 2 5 4 4" xfId="27460"/>
    <cellStyle name="Comma 3 2 2 5 5" xfId="27461"/>
    <cellStyle name="Comma 3 2 2 5 5 2" xfId="27462"/>
    <cellStyle name="Comma 3 2 2 5 6" xfId="27463"/>
    <cellStyle name="Comma 3 2 2 5 7" xfId="27464"/>
    <cellStyle name="Comma 3 2 2 5 8" xfId="27465"/>
    <cellStyle name="Comma 3 2 2 6" xfId="27466"/>
    <cellStyle name="Comma 3 2 3" xfId="1628"/>
    <cellStyle name="Comma 3 2 3 2" xfId="1629"/>
    <cellStyle name="Comma 3 2 3 3" xfId="27467"/>
    <cellStyle name="Comma 3 2 4" xfId="1630"/>
    <cellStyle name="Comma 3 2 4 2" xfId="27468"/>
    <cellStyle name="Comma 3 2 4 3" xfId="27469"/>
    <cellStyle name="Comma 3 2 4 3 2" xfId="27470"/>
    <cellStyle name="Comma 3 2 4 3 2 2" xfId="27471"/>
    <cellStyle name="Comma 3 2 4 3 2 2 2" xfId="27472"/>
    <cellStyle name="Comma 3 2 4 3 2 2 3" xfId="27473"/>
    <cellStyle name="Comma 3 2 4 3 2 3" xfId="27474"/>
    <cellStyle name="Comma 3 2 4 3 2 3 2" xfId="27475"/>
    <cellStyle name="Comma 3 2 4 3 2 4" xfId="27476"/>
    <cellStyle name="Comma 3 2 4 3 2 5" xfId="27477"/>
    <cellStyle name="Comma 3 2 4 3 3" xfId="27478"/>
    <cellStyle name="Comma 3 2 4 3 3 2" xfId="27479"/>
    <cellStyle name="Comma 3 2 4 3 3 2 2" xfId="27480"/>
    <cellStyle name="Comma 3 2 4 3 3 3" xfId="27481"/>
    <cellStyle name="Comma 3 2 4 3 3 4" xfId="27482"/>
    <cellStyle name="Comma 3 2 4 3 4" xfId="27483"/>
    <cellStyle name="Comma 3 2 4 3 4 2" xfId="27484"/>
    <cellStyle name="Comma 3 2 4 3 4 2 2" xfId="27485"/>
    <cellStyle name="Comma 3 2 4 3 4 3" xfId="27486"/>
    <cellStyle name="Comma 3 2 4 3 4 4" xfId="27487"/>
    <cellStyle name="Comma 3 2 4 3 5" xfId="27488"/>
    <cellStyle name="Comma 3 2 4 3 5 2" xfId="27489"/>
    <cellStyle name="Comma 3 2 4 3 6" xfId="27490"/>
    <cellStyle name="Comma 3 2 4 3 7" xfId="27491"/>
    <cellStyle name="Comma 3 2 4 3 8" xfId="27492"/>
    <cellStyle name="Comma 3 2 4 4" xfId="27493"/>
    <cellStyle name="Comma 3 2 5" xfId="27494"/>
    <cellStyle name="Comma 3 2 5 2" xfId="27495"/>
    <cellStyle name="Comma 3 2 5 3" xfId="27496"/>
    <cellStyle name="Comma 3 2 6" xfId="27497"/>
    <cellStyle name="Comma 3 2 6 2" xfId="27498"/>
    <cellStyle name="Comma 3 2 6 3" xfId="27499"/>
    <cellStyle name="Comma 3 2 7" xfId="27500"/>
    <cellStyle name="Comma 3 2 7 2" xfId="27501"/>
    <cellStyle name="Comma 3 2 7 3" xfId="27502"/>
    <cellStyle name="Comma 3 2 8" xfId="27503"/>
    <cellStyle name="Comma 3 2 8 2" xfId="27504"/>
    <cellStyle name="Comma 3 2 8 3" xfId="27505"/>
    <cellStyle name="Comma 3 2 9" xfId="27506"/>
    <cellStyle name="Comma 3 2 9 2" xfId="27507"/>
    <cellStyle name="Comma 3 2 9 2 2" xfId="27508"/>
    <cellStyle name="Comma 3 2 9 2 2 2" xfId="27509"/>
    <cellStyle name="Comma 3 2 9 2 2 3" xfId="27510"/>
    <cellStyle name="Comma 3 2 9 2 3" xfId="27511"/>
    <cellStyle name="Comma 3 2 9 2 3 2" xfId="27512"/>
    <cellStyle name="Comma 3 2 9 2 4" xfId="27513"/>
    <cellStyle name="Comma 3 2 9 2 5" xfId="27514"/>
    <cellStyle name="Comma 3 2 9 3" xfId="27515"/>
    <cellStyle name="Comma 3 2 9 3 2" xfId="27516"/>
    <cellStyle name="Comma 3 2 9 3 2 2" xfId="27517"/>
    <cellStyle name="Comma 3 2 9 3 3" xfId="27518"/>
    <cellStyle name="Comma 3 2 9 3 4" xfId="27519"/>
    <cellStyle name="Comma 3 2 9 4" xfId="27520"/>
    <cellStyle name="Comma 3 2 9 4 2" xfId="27521"/>
    <cellStyle name="Comma 3 2 9 4 2 2" xfId="27522"/>
    <cellStyle name="Comma 3 2 9 4 3" xfId="27523"/>
    <cellStyle name="Comma 3 2 9 4 4" xfId="27524"/>
    <cellStyle name="Comma 3 2 9 5" xfId="27525"/>
    <cellStyle name="Comma 3 2 9 5 2" xfId="27526"/>
    <cellStyle name="Comma 3 2 9 6" xfId="27527"/>
    <cellStyle name="Comma 3 2 9 7" xfId="27528"/>
    <cellStyle name="Comma 3 2 9 8" xfId="27529"/>
    <cellStyle name="Comma 3 3" xfId="1631"/>
    <cellStyle name="Comma 3 3 2" xfId="1632"/>
    <cellStyle name="Comma 3 3 2 2" xfId="1633"/>
    <cellStyle name="Comma 3 3 2 2 2" xfId="27530"/>
    <cellStyle name="Comma 3 3 2 2 2 2" xfId="27531"/>
    <cellStyle name="Comma 3 3 2 3" xfId="27532"/>
    <cellStyle name="Comma 3 3 2 4" xfId="27533"/>
    <cellStyle name="Comma 3 3 2 4 2" xfId="27534"/>
    <cellStyle name="Comma 3 3 3" xfId="1634"/>
    <cellStyle name="Comma 3 3 3 2" xfId="1635"/>
    <cellStyle name="Comma 3 3 3 3" xfId="27535"/>
    <cellStyle name="Comma 3 3 3 4" xfId="27536"/>
    <cellStyle name="Comma 3 3 3 4 2" xfId="27537"/>
    <cellStyle name="Comma 3 3 4" xfId="1636"/>
    <cellStyle name="Comma 3 3 4 2" xfId="27538"/>
    <cellStyle name="Comma 3 3 4 3" xfId="27539"/>
    <cellStyle name="Comma 3 3 4 3 2" xfId="27540"/>
    <cellStyle name="Comma 3 3 5" xfId="27541"/>
    <cellStyle name="Comma 3 3 6" xfId="27542"/>
    <cellStyle name="Comma 3 3 7" xfId="27543"/>
    <cellStyle name="Comma 3 3 7 2" xfId="27544"/>
    <cellStyle name="Comma 3 3 7 2 2" xfId="27545"/>
    <cellStyle name="Comma 3 3 7 3" xfId="27546"/>
    <cellStyle name="Comma 3 3 7 4" xfId="27547"/>
    <cellStyle name="Comma 3 3 8" xfId="27548"/>
    <cellStyle name="Comma 3 3 8 2" xfId="27549"/>
    <cellStyle name="Comma 3 3 9" xfId="27550"/>
    <cellStyle name="Comma 3 4" xfId="1637"/>
    <cellStyle name="Comma 3 4 2" xfId="1638"/>
    <cellStyle name="Comma 3 4 2 2" xfId="1639"/>
    <cellStyle name="Comma 3 4 2 3" xfId="27551"/>
    <cellStyle name="Comma 3 4 3" xfId="1640"/>
    <cellStyle name="Comma 3 4 3 2" xfId="1641"/>
    <cellStyle name="Comma 3 4 3 3" xfId="27552"/>
    <cellStyle name="Comma 3 4 4" xfId="1642"/>
    <cellStyle name="Comma 3 4 4 2" xfId="27553"/>
    <cellStyle name="Comma 3 4 4 2 2" xfId="27554"/>
    <cellStyle name="Comma 3 4 4 2 2 2" xfId="27555"/>
    <cellStyle name="Comma 3 4 4 2 2 3" xfId="27556"/>
    <cellStyle name="Comma 3 4 4 2 3" xfId="27557"/>
    <cellStyle name="Comma 3 4 4 2 3 2" xfId="27558"/>
    <cellStyle name="Comma 3 4 4 2 4" xfId="27559"/>
    <cellStyle name="Comma 3 4 4 2 5" xfId="27560"/>
    <cellStyle name="Comma 3 4 4 3" xfId="27561"/>
    <cellStyle name="Comma 3 4 4 3 2" xfId="27562"/>
    <cellStyle name="Comma 3 4 4 3 2 2" xfId="27563"/>
    <cellStyle name="Comma 3 4 4 3 3" xfId="27564"/>
    <cellStyle name="Comma 3 4 4 3 4" xfId="27565"/>
    <cellStyle name="Comma 3 4 4 4" xfId="27566"/>
    <cellStyle name="Comma 3 4 4 4 2" xfId="27567"/>
    <cellStyle name="Comma 3 4 4 4 2 2" xfId="27568"/>
    <cellStyle name="Comma 3 4 4 4 3" xfId="27569"/>
    <cellStyle name="Comma 3 4 4 4 4" xfId="27570"/>
    <cellStyle name="Comma 3 4 4 5" xfId="27571"/>
    <cellStyle name="Comma 3 4 4 5 2" xfId="27572"/>
    <cellStyle name="Comma 3 4 4 6" xfId="27573"/>
    <cellStyle name="Comma 3 4 4 7" xfId="27574"/>
    <cellStyle name="Comma 3 4 4 8" xfId="27575"/>
    <cellStyle name="Comma 3 4 5" xfId="27576"/>
    <cellStyle name="Comma 3 4 5 2" xfId="27577"/>
    <cellStyle name="Comma 3 4 5 2 2" xfId="27578"/>
    <cellStyle name="Comma 3 4 5 2 2 2" xfId="27579"/>
    <cellStyle name="Comma 3 4 5 2 2 3" xfId="27580"/>
    <cellStyle name="Comma 3 4 5 2 3" xfId="27581"/>
    <cellStyle name="Comma 3 4 5 2 3 2" xfId="27582"/>
    <cellStyle name="Comma 3 4 5 2 4" xfId="27583"/>
    <cellStyle name="Comma 3 4 5 2 5" xfId="27584"/>
    <cellStyle name="Comma 3 4 5 3" xfId="27585"/>
    <cellStyle name="Comma 3 4 5 3 2" xfId="27586"/>
    <cellStyle name="Comma 3 4 5 3 2 2" xfId="27587"/>
    <cellStyle name="Comma 3 4 5 3 3" xfId="27588"/>
    <cellStyle name="Comma 3 4 5 3 4" xfId="27589"/>
    <cellStyle name="Comma 3 4 5 4" xfId="27590"/>
    <cellStyle name="Comma 3 4 5 4 2" xfId="27591"/>
    <cellStyle name="Comma 3 4 5 4 2 2" xfId="27592"/>
    <cellStyle name="Comma 3 4 5 4 3" xfId="27593"/>
    <cellStyle name="Comma 3 4 5 4 4" xfId="27594"/>
    <cellStyle name="Comma 3 4 5 5" xfId="27595"/>
    <cellStyle name="Comma 3 4 5 5 2" xfId="27596"/>
    <cellStyle name="Comma 3 4 5 6" xfId="27597"/>
    <cellStyle name="Comma 3 4 5 7" xfId="27598"/>
    <cellStyle name="Comma 3 4 5 8" xfId="27599"/>
    <cellStyle name="Comma 3 4 6" xfId="27600"/>
    <cellStyle name="Comma 3 4 6 2" xfId="27601"/>
    <cellStyle name="Comma 3 4 6 2 2" xfId="27602"/>
    <cellStyle name="Comma 3 4 6 2 2 2" xfId="27603"/>
    <cellStyle name="Comma 3 4 6 2 2 3" xfId="27604"/>
    <cellStyle name="Comma 3 4 6 2 3" xfId="27605"/>
    <cellStyle name="Comma 3 4 6 2 3 2" xfId="27606"/>
    <cellStyle name="Comma 3 4 6 2 4" xfId="27607"/>
    <cellStyle name="Comma 3 4 6 2 5" xfId="27608"/>
    <cellStyle name="Comma 3 4 6 3" xfId="27609"/>
    <cellStyle name="Comma 3 4 6 3 2" xfId="27610"/>
    <cellStyle name="Comma 3 4 6 3 2 2" xfId="27611"/>
    <cellStyle name="Comma 3 4 6 3 3" xfId="27612"/>
    <cellStyle name="Comma 3 4 6 3 4" xfId="27613"/>
    <cellStyle name="Comma 3 4 6 4" xfId="27614"/>
    <cellStyle name="Comma 3 4 6 4 2" xfId="27615"/>
    <cellStyle name="Comma 3 4 6 4 2 2" xfId="27616"/>
    <cellStyle name="Comma 3 4 6 4 3" xfId="27617"/>
    <cellStyle name="Comma 3 4 6 4 4" xfId="27618"/>
    <cellStyle name="Comma 3 4 6 5" xfId="27619"/>
    <cellStyle name="Comma 3 4 6 5 2" xfId="27620"/>
    <cellStyle name="Comma 3 4 6 6" xfId="27621"/>
    <cellStyle name="Comma 3 4 6 7" xfId="27622"/>
    <cellStyle name="Comma 3 4 6 8" xfId="27623"/>
    <cellStyle name="Comma 3 4 7" xfId="27624"/>
    <cellStyle name="Comma 3 5" xfId="1643"/>
    <cellStyle name="Comma 3 5 2" xfId="1644"/>
    <cellStyle name="Comma 3 5 2 2" xfId="27625"/>
    <cellStyle name="Comma 3 5 2 3" xfId="27626"/>
    <cellStyle name="Comma 3 5 3" xfId="27627"/>
    <cellStyle name="Comma 3 5 3 2" xfId="27628"/>
    <cellStyle name="Comma 3 5 3 3" xfId="27629"/>
    <cellStyle name="Comma 3 5 4" xfId="27630"/>
    <cellStyle name="Comma 3 5 5" xfId="27631"/>
    <cellStyle name="Comma 3 6" xfId="1645"/>
    <cellStyle name="Comma 3 6 2" xfId="27632"/>
    <cellStyle name="Comma 3 6 2 2" xfId="27633"/>
    <cellStyle name="Comma 3 6 2 3" xfId="27634"/>
    <cellStyle name="Comma 3 6 3" xfId="27635"/>
    <cellStyle name="Comma 3 6 4" xfId="27636"/>
    <cellStyle name="Comma 3 6 4 2" xfId="27637"/>
    <cellStyle name="Comma 3 6 4 2 2" xfId="27638"/>
    <cellStyle name="Comma 3 6 4 2 2 2" xfId="27639"/>
    <cellStyle name="Comma 3 6 4 2 2 3" xfId="27640"/>
    <cellStyle name="Comma 3 6 4 2 3" xfId="27641"/>
    <cellStyle name="Comma 3 6 4 2 3 2" xfId="27642"/>
    <cellStyle name="Comma 3 6 4 2 4" xfId="27643"/>
    <cellStyle name="Comma 3 6 4 2 5" xfId="27644"/>
    <cellStyle name="Comma 3 6 4 3" xfId="27645"/>
    <cellStyle name="Comma 3 6 4 3 2" xfId="27646"/>
    <cellStyle name="Comma 3 6 4 3 2 2" xfId="27647"/>
    <cellStyle name="Comma 3 6 4 3 3" xfId="27648"/>
    <cellStyle name="Comma 3 6 4 3 4" xfId="27649"/>
    <cellStyle name="Comma 3 6 4 4" xfId="27650"/>
    <cellStyle name="Comma 3 6 4 4 2" xfId="27651"/>
    <cellStyle name="Comma 3 6 4 4 2 2" xfId="27652"/>
    <cellStyle name="Comma 3 6 4 4 3" xfId="27653"/>
    <cellStyle name="Comma 3 6 4 4 4" xfId="27654"/>
    <cellStyle name="Comma 3 6 4 5" xfId="27655"/>
    <cellStyle name="Comma 3 6 4 5 2" xfId="27656"/>
    <cellStyle name="Comma 3 6 4 6" xfId="27657"/>
    <cellStyle name="Comma 3 6 4 7" xfId="27658"/>
    <cellStyle name="Comma 3 6 4 8" xfId="27659"/>
    <cellStyle name="Comma 3 6 5" xfId="27660"/>
    <cellStyle name="Comma 3 7" xfId="1646"/>
    <cellStyle name="Comma 3 7 2" xfId="1647"/>
    <cellStyle name="Comma 3 7 2 2" xfId="1648"/>
    <cellStyle name="Comma 3 7 2 2 2" xfId="1649"/>
    <cellStyle name="Comma 3 7 2 2 2 2" xfId="1650"/>
    <cellStyle name="Comma 3 7 2 2 3" xfId="1651"/>
    <cellStyle name="Comma 3 7 2 3" xfId="1652"/>
    <cellStyle name="Comma 3 7 2 3 2" xfId="1653"/>
    <cellStyle name="Comma 3 7 2 4" xfId="1654"/>
    <cellStyle name="Comma 3 7 3" xfId="1655"/>
    <cellStyle name="Comma 3 7 3 2" xfId="1656"/>
    <cellStyle name="Comma 3 7 3 2 2" xfId="1657"/>
    <cellStyle name="Comma 3 7 3 3" xfId="1658"/>
    <cellStyle name="Comma 3 7 4" xfId="1659"/>
    <cellStyle name="Comma 3 7 4 2" xfId="1660"/>
    <cellStyle name="Comma 3 7 5" xfId="1661"/>
    <cellStyle name="Comma 3 8" xfId="27661"/>
    <cellStyle name="Comma 3 8 2" xfId="27662"/>
    <cellStyle name="Comma 3 8 3" xfId="27663"/>
    <cellStyle name="Comma 3 9" xfId="27664"/>
    <cellStyle name="Comma 3 9 2" xfId="27665"/>
    <cellStyle name="Comma 3 9 3" xfId="27666"/>
    <cellStyle name="Comma 30" xfId="1662"/>
    <cellStyle name="Comma 30 2" xfId="27667"/>
    <cellStyle name="Comma 30 2 2" xfId="27668"/>
    <cellStyle name="Comma 30 2 3" xfId="27669"/>
    <cellStyle name="Comma 30 3" xfId="27670"/>
    <cellStyle name="Comma 30 3 2" xfId="27671"/>
    <cellStyle name="Comma 30 3 3" xfId="27672"/>
    <cellStyle name="Comma 30 4" xfId="27673"/>
    <cellStyle name="Comma 30 5" xfId="27674"/>
    <cellStyle name="Comma 31" xfId="27675"/>
    <cellStyle name="Comma 31 2" xfId="27676"/>
    <cellStyle name="Comma 31 2 2" xfId="27677"/>
    <cellStyle name="Comma 31 2 3" xfId="27678"/>
    <cellStyle name="Comma 31 3" xfId="27679"/>
    <cellStyle name="Comma 31 3 2" xfId="27680"/>
    <cellStyle name="Comma 31 3 3" xfId="27681"/>
    <cellStyle name="Comma 31 4" xfId="27682"/>
    <cellStyle name="Comma 31 4 2" xfId="27683"/>
    <cellStyle name="Comma 31 4 3" xfId="27684"/>
    <cellStyle name="Comma 31 5" xfId="27685"/>
    <cellStyle name="Comma 31 6" xfId="27686"/>
    <cellStyle name="Comma 32" xfId="27687"/>
    <cellStyle name="Comma 32 2" xfId="27688"/>
    <cellStyle name="Comma 32 2 2" xfId="27689"/>
    <cellStyle name="Comma 32 2 3" xfId="27690"/>
    <cellStyle name="Comma 32 3" xfId="27691"/>
    <cellStyle name="Comma 32 4" xfId="27692"/>
    <cellStyle name="Comma 33" xfId="27693"/>
    <cellStyle name="Comma 33 2" xfId="27694"/>
    <cellStyle name="Comma 33 2 2" xfId="27695"/>
    <cellStyle name="Comma 33 2 3" xfId="27696"/>
    <cellStyle name="Comma 33 3" xfId="27697"/>
    <cellStyle name="Comma 33 4" xfId="27698"/>
    <cellStyle name="Comma 34" xfId="27699"/>
    <cellStyle name="Comma 34 2" xfId="27700"/>
    <cellStyle name="Comma 34 2 2" xfId="27701"/>
    <cellStyle name="Comma 34 2 3" xfId="27702"/>
    <cellStyle name="Comma 34 3" xfId="27703"/>
    <cellStyle name="Comma 34 4" xfId="27704"/>
    <cellStyle name="Comma 35" xfId="27705"/>
    <cellStyle name="Comma 35 2" xfId="27706"/>
    <cellStyle name="Comma 35 2 2" xfId="27707"/>
    <cellStyle name="Comma 35 2 3" xfId="27708"/>
    <cellStyle name="Comma 35 3" xfId="27709"/>
    <cellStyle name="Comma 35 4" xfId="27710"/>
    <cellStyle name="Comma 36" xfId="27711"/>
    <cellStyle name="Comma 36 2" xfId="27712"/>
    <cellStyle name="Comma 36 2 2" xfId="27713"/>
    <cellStyle name="Comma 36 2 3" xfId="27714"/>
    <cellStyle name="Comma 36 3" xfId="27715"/>
    <cellStyle name="Comma 36 4" xfId="27716"/>
    <cellStyle name="Comma 37" xfId="27717"/>
    <cellStyle name="Comma 37 2" xfId="27718"/>
    <cellStyle name="Comma 37 2 2" xfId="27719"/>
    <cellStyle name="Comma 37 2 3" xfId="27720"/>
    <cellStyle name="Comma 37 3" xfId="27721"/>
    <cellStyle name="Comma 37 4" xfId="27722"/>
    <cellStyle name="Comma 38" xfId="27723"/>
    <cellStyle name="Comma 38 2" xfId="27724"/>
    <cellStyle name="Comma 38 2 2" xfId="27725"/>
    <cellStyle name="Comma 38 2 3" xfId="27726"/>
    <cellStyle name="Comma 38 3" xfId="27727"/>
    <cellStyle name="Comma 38 3 2" xfId="27728"/>
    <cellStyle name="Comma 38 3 3" xfId="27729"/>
    <cellStyle name="Comma 38 4" xfId="27730"/>
    <cellStyle name="Comma 38 5" xfId="27731"/>
    <cellStyle name="Comma 39" xfId="27732"/>
    <cellStyle name="Comma 39 2" xfId="27733"/>
    <cellStyle name="Comma 39 2 2" xfId="27734"/>
    <cellStyle name="Comma 39 2 3" xfId="27735"/>
    <cellStyle name="Comma 39 3" xfId="27736"/>
    <cellStyle name="Comma 39 3 2" xfId="27737"/>
    <cellStyle name="Comma 39 3 3" xfId="27738"/>
    <cellStyle name="Comma 39 4" xfId="27739"/>
    <cellStyle name="Comma 39 5" xfId="27740"/>
    <cellStyle name="Comma 4" xfId="13"/>
    <cellStyle name="Comma 4 10" xfId="27741"/>
    <cellStyle name="Comma 4 10 2" xfId="27742"/>
    <cellStyle name="Comma 4 10 3" xfId="27743"/>
    <cellStyle name="Comma 4 11" xfId="27744"/>
    <cellStyle name="Comma 4 11 2" xfId="27745"/>
    <cellStyle name="Comma 4 11 3" xfId="27746"/>
    <cellStyle name="Comma 4 12" xfId="27747"/>
    <cellStyle name="Comma 4 12 2" xfId="27748"/>
    <cellStyle name="Comma 4 12 3" xfId="27749"/>
    <cellStyle name="Comma 4 13" xfId="27750"/>
    <cellStyle name="Comma 4 14" xfId="27751"/>
    <cellStyle name="Comma 4 2" xfId="1663"/>
    <cellStyle name="Comma 4 2 2" xfId="1664"/>
    <cellStyle name="Comma 4 2 2 2" xfId="27752"/>
    <cellStyle name="Comma 4 2 2 3" xfId="27753"/>
    <cellStyle name="Comma 4 2 3" xfId="27754"/>
    <cellStyle name="Comma 4 2 3 2" xfId="27755"/>
    <cellStyle name="Comma 4 2 3 3" xfId="27756"/>
    <cellStyle name="Comma 4 2 4" xfId="27757"/>
    <cellStyle name="Comma 4 2 4 2" xfId="27758"/>
    <cellStyle name="Comma 4 2 5" xfId="27759"/>
    <cellStyle name="Comma 4 2 6" xfId="27760"/>
    <cellStyle name="Comma 4 3" xfId="1665"/>
    <cellStyle name="Comma 4 3 2" xfId="27761"/>
    <cellStyle name="Comma 4 3 2 2" xfId="27762"/>
    <cellStyle name="Comma 4 3 2 3" xfId="27763"/>
    <cellStyle name="Comma 4 3 3" xfId="27764"/>
    <cellStyle name="Comma 4 3 3 2" xfId="27765"/>
    <cellStyle name="Comma 4 3 3 3" xfId="27766"/>
    <cellStyle name="Comma 4 3 4" xfId="27767"/>
    <cellStyle name="Comma 4 3 5" xfId="27768"/>
    <cellStyle name="Comma 4 4" xfId="1666"/>
    <cellStyle name="Comma 4 4 2" xfId="1667"/>
    <cellStyle name="Comma 4 4 2 2" xfId="1668"/>
    <cellStyle name="Comma 4 4 2 2 2" xfId="1669"/>
    <cellStyle name="Comma 4 4 2 3" xfId="1670"/>
    <cellStyle name="Comma 4 4 3" xfId="1671"/>
    <cellStyle name="Comma 4 4 3 2" xfId="1672"/>
    <cellStyle name="Comma 4 4 3 3" xfId="27769"/>
    <cellStyle name="Comma 4 4 4" xfId="1673"/>
    <cellStyle name="Comma 4 4 5" xfId="27770"/>
    <cellStyle name="Comma 4 5" xfId="1674"/>
    <cellStyle name="Comma 4 5 2" xfId="1675"/>
    <cellStyle name="Comma 4 5 2 2" xfId="1676"/>
    <cellStyle name="Comma 4 5 2 3" xfId="27771"/>
    <cellStyle name="Comma 4 5 3" xfId="1677"/>
    <cellStyle name="Comma 4 5 3 2" xfId="27772"/>
    <cellStyle name="Comma 4 5 3 3" xfId="27773"/>
    <cellStyle name="Comma 4 5 4" xfId="27774"/>
    <cellStyle name="Comma 4 5 5" xfId="27775"/>
    <cellStyle name="Comma 4 6" xfId="1678"/>
    <cellStyle name="Comma 4 6 2" xfId="1679"/>
    <cellStyle name="Comma 4 6 2 2" xfId="27776"/>
    <cellStyle name="Comma 4 6 2 3" xfId="27777"/>
    <cellStyle name="Comma 4 6 3" xfId="27778"/>
    <cellStyle name="Comma 4 6 4" xfId="27779"/>
    <cellStyle name="Comma 4 7" xfId="1680"/>
    <cellStyle name="Comma 4 7 2" xfId="27780"/>
    <cellStyle name="Comma 4 7 2 2" xfId="27781"/>
    <cellStyle name="Comma 4 7 2 3" xfId="27782"/>
    <cellStyle name="Comma 4 7 3" xfId="27783"/>
    <cellStyle name="Comma 4 7 4" xfId="27784"/>
    <cellStyle name="Comma 4 8" xfId="5710"/>
    <cellStyle name="Comma 4 8 2" xfId="27785"/>
    <cellStyle name="Comma 4 8 3" xfId="27786"/>
    <cellStyle name="Comma 4 9" xfId="27787"/>
    <cellStyle name="Comma 4 9 2" xfId="27788"/>
    <cellStyle name="Comma 4 9 3" xfId="27789"/>
    <cellStyle name="Comma 40" xfId="27790"/>
    <cellStyle name="Comma 40 2" xfId="27791"/>
    <cellStyle name="Comma 40 2 2" xfId="27792"/>
    <cellStyle name="Comma 40 2 3" xfId="27793"/>
    <cellStyle name="Comma 40 3" xfId="27794"/>
    <cellStyle name="Comma 40 3 2" xfId="27795"/>
    <cellStyle name="Comma 40 3 3" xfId="27796"/>
    <cellStyle name="Comma 40 4" xfId="27797"/>
    <cellStyle name="Comma 40 5" xfId="27798"/>
    <cellStyle name="Comma 41" xfId="27799"/>
    <cellStyle name="Comma 41 2" xfId="27800"/>
    <cellStyle name="Comma 41 2 2" xfId="27801"/>
    <cellStyle name="Comma 41 2 3" xfId="27802"/>
    <cellStyle name="Comma 41 3" xfId="27803"/>
    <cellStyle name="Comma 41 3 2" xfId="27804"/>
    <cellStyle name="Comma 41 3 3" xfId="27805"/>
    <cellStyle name="Comma 41 4" xfId="27806"/>
    <cellStyle name="Comma 41 5" xfId="27807"/>
    <cellStyle name="Comma 42" xfId="27808"/>
    <cellStyle name="Comma 42 2" xfId="27809"/>
    <cellStyle name="Comma 42 2 2" xfId="27810"/>
    <cellStyle name="Comma 42 2 3" xfId="27811"/>
    <cellStyle name="Comma 42 3" xfId="27812"/>
    <cellStyle name="Comma 42 4" xfId="27813"/>
    <cellStyle name="Comma 43" xfId="27814"/>
    <cellStyle name="Comma 43 2" xfId="27815"/>
    <cellStyle name="Comma 43 2 2" xfId="27816"/>
    <cellStyle name="Comma 43 2 3" xfId="27817"/>
    <cellStyle name="Comma 43 3" xfId="27818"/>
    <cellStyle name="Comma 43 4" xfId="27819"/>
    <cellStyle name="Comma 44" xfId="27820"/>
    <cellStyle name="Comma 44 2" xfId="27821"/>
    <cellStyle name="Comma 44 2 2" xfId="27822"/>
    <cellStyle name="Comma 44 2 3" xfId="27823"/>
    <cellStyle name="Comma 44 3" xfId="27824"/>
    <cellStyle name="Comma 44 4" xfId="27825"/>
    <cellStyle name="Comma 45" xfId="27826"/>
    <cellStyle name="Comma 45 2" xfId="27827"/>
    <cellStyle name="Comma 45 2 2" xfId="27828"/>
    <cellStyle name="Comma 45 2 3" xfId="27829"/>
    <cellStyle name="Comma 45 3" xfId="27830"/>
    <cellStyle name="Comma 45 4" xfId="27831"/>
    <cellStyle name="Comma 46" xfId="27832"/>
    <cellStyle name="Comma 46 2" xfId="27833"/>
    <cellStyle name="Comma 46 2 2" xfId="27834"/>
    <cellStyle name="Comma 46 2 3" xfId="27835"/>
    <cellStyle name="Comma 46 3" xfId="27836"/>
    <cellStyle name="Comma 46 4" xfId="27837"/>
    <cellStyle name="Comma 47" xfId="27838"/>
    <cellStyle name="Comma 47 2" xfId="27839"/>
    <cellStyle name="Comma 47 2 2" xfId="27840"/>
    <cellStyle name="Comma 47 2 3" xfId="27841"/>
    <cellStyle name="Comma 47 3" xfId="27842"/>
    <cellStyle name="Comma 47 4" xfId="27843"/>
    <cellStyle name="Comma 48" xfId="27844"/>
    <cellStyle name="Comma 48 2" xfId="27845"/>
    <cellStyle name="Comma 48 2 2" xfId="27846"/>
    <cellStyle name="Comma 48 2 3" xfId="27847"/>
    <cellStyle name="Comma 48 3" xfId="27848"/>
    <cellStyle name="Comma 48 4" xfId="27849"/>
    <cellStyle name="Comma 49" xfId="27850"/>
    <cellStyle name="Comma 49 2" xfId="27851"/>
    <cellStyle name="Comma 49 2 2" xfId="27852"/>
    <cellStyle name="Comma 49 2 3" xfId="27853"/>
    <cellStyle name="Comma 49 3" xfId="27854"/>
    <cellStyle name="Comma 49 4" xfId="27855"/>
    <cellStyle name="Comma 5" xfId="14"/>
    <cellStyle name="Comma 5 10" xfId="27856"/>
    <cellStyle name="Comma 5 2" xfId="98"/>
    <cellStyle name="Comma 5 2 2" xfId="27857"/>
    <cellStyle name="Comma 5 2 2 2" xfId="27858"/>
    <cellStyle name="Comma 5 2 2 3" xfId="27859"/>
    <cellStyle name="Comma 5 2 3" xfId="27860"/>
    <cellStyle name="Comma 5 2 3 2" xfId="27861"/>
    <cellStyle name="Comma 5 2 4" xfId="27862"/>
    <cellStyle name="Comma 5 2 5" xfId="27863"/>
    <cellStyle name="Comma 5 2 6" xfId="27864"/>
    <cellStyle name="Comma 5 3" xfId="1681"/>
    <cellStyle name="Comma 5 3 2" xfId="27865"/>
    <cellStyle name="Comma 5 3 3" xfId="27866"/>
    <cellStyle name="Comma 5 4" xfId="27867"/>
    <cellStyle name="Comma 5 4 2" xfId="27868"/>
    <cellStyle name="Comma 5 4 2 2" xfId="27869"/>
    <cellStyle name="Comma 5 4 2 3" xfId="27870"/>
    <cellStyle name="Comma 5 4 3" xfId="27871"/>
    <cellStyle name="Comma 5 4 4" xfId="27872"/>
    <cellStyle name="Comma 5 5" xfId="27873"/>
    <cellStyle name="Comma 5 5 2" xfId="27874"/>
    <cellStyle name="Comma 5 5 2 2" xfId="27875"/>
    <cellStyle name="Comma 5 5 3" xfId="27876"/>
    <cellStyle name="Comma 5 5 4" xfId="27877"/>
    <cellStyle name="Comma 5 6" xfId="27878"/>
    <cellStyle name="Comma 5 6 2" xfId="27879"/>
    <cellStyle name="Comma 5 6 3" xfId="27880"/>
    <cellStyle name="Comma 5 7" xfId="27881"/>
    <cellStyle name="Comma 5 7 2" xfId="27882"/>
    <cellStyle name="Comma 5 7 2 2" xfId="27883"/>
    <cellStyle name="Comma 5 7 2 3" xfId="27884"/>
    <cellStyle name="Comma 5 7 3" xfId="27885"/>
    <cellStyle name="Comma 5 7 4" xfId="27886"/>
    <cellStyle name="Comma 5 8" xfId="27887"/>
    <cellStyle name="Comma 5 8 2" xfId="27888"/>
    <cellStyle name="Comma 5 8 3" xfId="27889"/>
    <cellStyle name="Comma 5 9" xfId="27890"/>
    <cellStyle name="Comma 50" xfId="27891"/>
    <cellStyle name="Comma 50 2" xfId="27892"/>
    <cellStyle name="Comma 50 2 2" xfId="27893"/>
    <cellStyle name="Comma 50 2 3" xfId="27894"/>
    <cellStyle name="Comma 50 3" xfId="27895"/>
    <cellStyle name="Comma 50 4" xfId="27896"/>
    <cellStyle name="Comma 51" xfId="27897"/>
    <cellStyle name="Comma 51 2" xfId="27898"/>
    <cellStyle name="Comma 51 2 2" xfId="27899"/>
    <cellStyle name="Comma 51 2 3" xfId="27900"/>
    <cellStyle name="Comma 51 3" xfId="27901"/>
    <cellStyle name="Comma 51 3 2" xfId="27902"/>
    <cellStyle name="Comma 51 4" xfId="27903"/>
    <cellStyle name="Comma 52" xfId="27904"/>
    <cellStyle name="Comma 52 2" xfId="27905"/>
    <cellStyle name="Comma 52 2 2" xfId="27906"/>
    <cellStyle name="Comma 52 2 3" xfId="27907"/>
    <cellStyle name="Comma 52 3" xfId="27908"/>
    <cellStyle name="Comma 52 3 2" xfId="27909"/>
    <cellStyle name="Comma 52 4" xfId="27910"/>
    <cellStyle name="Comma 53" xfId="27911"/>
    <cellStyle name="Comma 53 2" xfId="27912"/>
    <cellStyle name="Comma 53 2 2" xfId="27913"/>
    <cellStyle name="Comma 53 2 3" xfId="27914"/>
    <cellStyle name="Comma 53 3" xfId="27915"/>
    <cellStyle name="Comma 53 3 2" xfId="27916"/>
    <cellStyle name="Comma 53 4" xfId="27917"/>
    <cellStyle name="Comma 54" xfId="27918"/>
    <cellStyle name="Comma 54 2" xfId="27919"/>
    <cellStyle name="Comma 54 2 2" xfId="27920"/>
    <cellStyle name="Comma 54 2 3" xfId="27921"/>
    <cellStyle name="Comma 54 3" xfId="27922"/>
    <cellStyle name="Comma 54 3 2" xfId="27923"/>
    <cellStyle name="Comma 54 4" xfId="27924"/>
    <cellStyle name="Comma 55" xfId="27925"/>
    <cellStyle name="Comma 55 2" xfId="27926"/>
    <cellStyle name="Comma 55 2 2" xfId="27927"/>
    <cellStyle name="Comma 55 2 3" xfId="27928"/>
    <cellStyle name="Comma 55 3" xfId="27929"/>
    <cellStyle name="Comma 55 3 2" xfId="27930"/>
    <cellStyle name="Comma 55 4" xfId="27931"/>
    <cellStyle name="Comma 56" xfId="27932"/>
    <cellStyle name="Comma 56 2" xfId="27933"/>
    <cellStyle name="Comma 56 2 2" xfId="27934"/>
    <cellStyle name="Comma 56 2 3" xfId="27935"/>
    <cellStyle name="Comma 56 3" xfId="27936"/>
    <cellStyle name="Comma 56 3 2" xfId="27937"/>
    <cellStyle name="Comma 56 4" xfId="27938"/>
    <cellStyle name="Comma 57" xfId="27939"/>
    <cellStyle name="Comma 57 2" xfId="27940"/>
    <cellStyle name="Comma 57 2 2" xfId="27941"/>
    <cellStyle name="Comma 57 2 3" xfId="27942"/>
    <cellStyle name="Comma 57 3" xfId="27943"/>
    <cellStyle name="Comma 57 3 2" xfId="27944"/>
    <cellStyle name="Comma 57 4" xfId="27945"/>
    <cellStyle name="Comma 58" xfId="27946"/>
    <cellStyle name="Comma 58 2" xfId="27947"/>
    <cellStyle name="Comma 58 2 2" xfId="27948"/>
    <cellStyle name="Comma 58 2 3" xfId="27949"/>
    <cellStyle name="Comma 58 3" xfId="27950"/>
    <cellStyle name="Comma 58 3 2" xfId="27951"/>
    <cellStyle name="Comma 58 4" xfId="27952"/>
    <cellStyle name="Comma 59" xfId="27953"/>
    <cellStyle name="Comma 59 2" xfId="27954"/>
    <cellStyle name="Comma 59 2 2" xfId="27955"/>
    <cellStyle name="Comma 59 2 3" xfId="27956"/>
    <cellStyle name="Comma 59 3" xfId="27957"/>
    <cellStyle name="Comma 59 3 2" xfId="27958"/>
    <cellStyle name="Comma 59 4" xfId="27959"/>
    <cellStyle name="Comma 6" xfId="15"/>
    <cellStyle name="Comma 6 10" xfId="27960"/>
    <cellStyle name="Comma 6 2" xfId="99"/>
    <cellStyle name="Comma 6 2 2" xfId="27961"/>
    <cellStyle name="Comma 6 2 2 2" xfId="27962"/>
    <cellStyle name="Comma 6 2 3" xfId="27963"/>
    <cellStyle name="Comma 6 2 4" xfId="27964"/>
    <cellStyle name="Comma 6 2 5" xfId="27965"/>
    <cellStyle name="Comma 6 3" xfId="1682"/>
    <cellStyle name="Comma 6 3 2" xfId="27966"/>
    <cellStyle name="Comma 6 3 3" xfId="27967"/>
    <cellStyle name="Comma 6 4" xfId="1683"/>
    <cellStyle name="Comma 6 4 2" xfId="27968"/>
    <cellStyle name="Comma 6 4 2 2" xfId="27969"/>
    <cellStyle name="Comma 6 4 3" xfId="27970"/>
    <cellStyle name="Comma 6 4 4" xfId="27971"/>
    <cellStyle name="Comma 6 4 5" xfId="27972"/>
    <cellStyle name="Comma 6 5" xfId="27973"/>
    <cellStyle name="Comma 6 5 2" xfId="27974"/>
    <cellStyle name="Comma 6 5 3" xfId="27975"/>
    <cellStyle name="Comma 6 6" xfId="27976"/>
    <cellStyle name="Comma 6 6 2" xfId="27977"/>
    <cellStyle name="Comma 6 6 3" xfId="27978"/>
    <cellStyle name="Comma 6 7" xfId="27979"/>
    <cellStyle name="Comma 6 7 2" xfId="27980"/>
    <cellStyle name="Comma 6 7 2 2" xfId="27981"/>
    <cellStyle name="Comma 6 7 2 3" xfId="27982"/>
    <cellStyle name="Comma 6 7 3" xfId="27983"/>
    <cellStyle name="Comma 6 7 4" xfId="27984"/>
    <cellStyle name="Comma 6 8" xfId="27985"/>
    <cellStyle name="Comma 6 8 2" xfId="27986"/>
    <cellStyle name="Comma 6 8 3" xfId="27987"/>
    <cellStyle name="Comma 6 9" xfId="27988"/>
    <cellStyle name="Comma 60" xfId="27989"/>
    <cellStyle name="Comma 60 2" xfId="27990"/>
    <cellStyle name="Comma 60 2 2" xfId="27991"/>
    <cellStyle name="Comma 60 2 3" xfId="27992"/>
    <cellStyle name="Comma 60 3" xfId="27993"/>
    <cellStyle name="Comma 60 3 2" xfId="27994"/>
    <cellStyle name="Comma 60 4" xfId="27995"/>
    <cellStyle name="Comma 61" xfId="27996"/>
    <cellStyle name="Comma 61 2" xfId="27997"/>
    <cellStyle name="Comma 61 2 2" xfId="27998"/>
    <cellStyle name="Comma 61 2 3" xfId="27999"/>
    <cellStyle name="Comma 61 3" xfId="28000"/>
    <cellStyle name="Comma 61 3 2" xfId="28001"/>
    <cellStyle name="Comma 61 4" xfId="28002"/>
    <cellStyle name="Comma 62" xfId="28003"/>
    <cellStyle name="Comma 62 2" xfId="28004"/>
    <cellStyle name="Comma 62 2 2" xfId="28005"/>
    <cellStyle name="Comma 62 2 3" xfId="28006"/>
    <cellStyle name="Comma 62 3" xfId="28007"/>
    <cellStyle name="Comma 62 4" xfId="28008"/>
    <cellStyle name="Comma 63" xfId="28009"/>
    <cellStyle name="Comma 63 2" xfId="28010"/>
    <cellStyle name="Comma 63 2 2" xfId="28011"/>
    <cellStyle name="Comma 63 2 3" xfId="28012"/>
    <cellStyle name="Comma 63 3" xfId="28013"/>
    <cellStyle name="Comma 63 4" xfId="28014"/>
    <cellStyle name="Comma 64" xfId="28015"/>
    <cellStyle name="Comma 64 2" xfId="28016"/>
    <cellStyle name="Comma 64 2 2" xfId="28017"/>
    <cellStyle name="Comma 64 2 3" xfId="28018"/>
    <cellStyle name="Comma 64 3" xfId="28019"/>
    <cellStyle name="Comma 64 4" xfId="28020"/>
    <cellStyle name="Comma 65" xfId="28021"/>
    <cellStyle name="Comma 65 2" xfId="28022"/>
    <cellStyle name="Comma 65 2 2" xfId="28023"/>
    <cellStyle name="Comma 65 2 3" xfId="28024"/>
    <cellStyle name="Comma 65 3" xfId="28025"/>
    <cellStyle name="Comma 65 4" xfId="28026"/>
    <cellStyle name="Comma 66" xfId="28027"/>
    <cellStyle name="Comma 66 2" xfId="28028"/>
    <cellStyle name="Comma 66 2 2" xfId="28029"/>
    <cellStyle name="Comma 66 2 3" xfId="28030"/>
    <cellStyle name="Comma 66 3" xfId="28031"/>
    <cellStyle name="Comma 66 3 2" xfId="28032"/>
    <cellStyle name="Comma 66 3 3" xfId="28033"/>
    <cellStyle name="Comma 66 4" xfId="28034"/>
    <cellStyle name="Comma 66 5" xfId="28035"/>
    <cellStyle name="Comma 67" xfId="28036"/>
    <cellStyle name="Comma 67 2" xfId="28037"/>
    <cellStyle name="Comma 67 2 2" xfId="28038"/>
    <cellStyle name="Comma 67 3" xfId="28039"/>
    <cellStyle name="Comma 68" xfId="28040"/>
    <cellStyle name="Comma 68 2" xfId="28041"/>
    <cellStyle name="Comma 68 2 2" xfId="28042"/>
    <cellStyle name="Comma 68 3" xfId="28043"/>
    <cellStyle name="Comma 69" xfId="28044"/>
    <cellStyle name="Comma 69 2" xfId="28045"/>
    <cellStyle name="Comma 69 2 2" xfId="28046"/>
    <cellStyle name="Comma 69 2 2 2" xfId="28047"/>
    <cellStyle name="Comma 69 2 3" xfId="28048"/>
    <cellStyle name="Comma 69 3" xfId="28049"/>
    <cellStyle name="Comma 69 4" xfId="28050"/>
    <cellStyle name="Comma 7" xfId="71"/>
    <cellStyle name="Comma 7 10" xfId="28051"/>
    <cellStyle name="Comma 7 10 2" xfId="28052"/>
    <cellStyle name="Comma 7 10 3" xfId="28053"/>
    <cellStyle name="Comma 7 11" xfId="28054"/>
    <cellStyle name="Comma 7 11 2" xfId="28055"/>
    <cellStyle name="Comma 7 12" xfId="28056"/>
    <cellStyle name="Comma 7 13" xfId="28057"/>
    <cellStyle name="Comma 7 2" xfId="1684"/>
    <cellStyle name="Comma 7 2 10" xfId="28058"/>
    <cellStyle name="Comma 7 2 11" xfId="28059"/>
    <cellStyle name="Comma 7 2 2" xfId="28060"/>
    <cellStyle name="Comma 7 2 2 2" xfId="28061"/>
    <cellStyle name="Comma 7 2 2 2 2" xfId="28062"/>
    <cellStyle name="Comma 7 2 2 2 3" xfId="28063"/>
    <cellStyle name="Comma 7 2 2 3" xfId="28064"/>
    <cellStyle name="Comma 7 2 2 3 2" xfId="28065"/>
    <cellStyle name="Comma 7 2 2 3 2 2" xfId="28066"/>
    <cellStyle name="Comma 7 2 2 3 2 2 2" xfId="28067"/>
    <cellStyle name="Comma 7 2 2 3 2 2 3" xfId="28068"/>
    <cellStyle name="Comma 7 2 2 3 2 3" xfId="28069"/>
    <cellStyle name="Comma 7 2 2 3 2 3 2" xfId="28070"/>
    <cellStyle name="Comma 7 2 2 3 2 4" xfId="28071"/>
    <cellStyle name="Comma 7 2 2 3 2 5" xfId="28072"/>
    <cellStyle name="Comma 7 2 2 3 3" xfId="28073"/>
    <cellStyle name="Comma 7 2 2 3 3 2" xfId="28074"/>
    <cellStyle name="Comma 7 2 2 3 3 2 2" xfId="28075"/>
    <cellStyle name="Comma 7 2 2 3 3 3" xfId="28076"/>
    <cellStyle name="Comma 7 2 2 3 3 4" xfId="28077"/>
    <cellStyle name="Comma 7 2 2 3 4" xfId="28078"/>
    <cellStyle name="Comma 7 2 2 3 4 2" xfId="28079"/>
    <cellStyle name="Comma 7 2 2 3 4 2 2" xfId="28080"/>
    <cellStyle name="Comma 7 2 2 3 4 3" xfId="28081"/>
    <cellStyle name="Comma 7 2 2 3 4 4" xfId="28082"/>
    <cellStyle name="Comma 7 2 2 3 5" xfId="28083"/>
    <cellStyle name="Comma 7 2 2 3 5 2" xfId="28084"/>
    <cellStyle name="Comma 7 2 2 3 6" xfId="28085"/>
    <cellStyle name="Comma 7 2 2 3 7" xfId="28086"/>
    <cellStyle name="Comma 7 2 2 3 8" xfId="28087"/>
    <cellStyle name="Comma 7 2 2 4" xfId="28088"/>
    <cellStyle name="Comma 7 2 2 4 2" xfId="28089"/>
    <cellStyle name="Comma 7 2 2 4 2 2" xfId="28090"/>
    <cellStyle name="Comma 7 2 2 4 2 2 2" xfId="28091"/>
    <cellStyle name="Comma 7 2 2 4 2 2 3" xfId="28092"/>
    <cellStyle name="Comma 7 2 2 4 2 3" xfId="28093"/>
    <cellStyle name="Comma 7 2 2 4 2 3 2" xfId="28094"/>
    <cellStyle name="Comma 7 2 2 4 2 4" xfId="28095"/>
    <cellStyle name="Comma 7 2 2 4 2 5" xfId="28096"/>
    <cellStyle name="Comma 7 2 2 4 3" xfId="28097"/>
    <cellStyle name="Comma 7 2 2 4 3 2" xfId="28098"/>
    <cellStyle name="Comma 7 2 2 4 3 2 2" xfId="28099"/>
    <cellStyle name="Comma 7 2 2 4 3 3" xfId="28100"/>
    <cellStyle name="Comma 7 2 2 4 3 4" xfId="28101"/>
    <cellStyle name="Comma 7 2 2 4 4" xfId="28102"/>
    <cellStyle name="Comma 7 2 2 4 4 2" xfId="28103"/>
    <cellStyle name="Comma 7 2 2 4 4 2 2" xfId="28104"/>
    <cellStyle name="Comma 7 2 2 4 4 3" xfId="28105"/>
    <cellStyle name="Comma 7 2 2 4 4 4" xfId="28106"/>
    <cellStyle name="Comma 7 2 2 4 5" xfId="28107"/>
    <cellStyle name="Comma 7 2 2 4 5 2" xfId="28108"/>
    <cellStyle name="Comma 7 2 2 4 6" xfId="28109"/>
    <cellStyle name="Comma 7 2 2 4 7" xfId="28110"/>
    <cellStyle name="Comma 7 2 2 4 8" xfId="28111"/>
    <cellStyle name="Comma 7 2 2 5" xfId="28112"/>
    <cellStyle name="Comma 7 2 2 5 2" xfId="28113"/>
    <cellStyle name="Comma 7 2 2 5 2 2" xfId="28114"/>
    <cellStyle name="Comma 7 2 2 5 2 2 2" xfId="28115"/>
    <cellStyle name="Comma 7 2 2 5 2 2 3" xfId="28116"/>
    <cellStyle name="Comma 7 2 2 5 2 3" xfId="28117"/>
    <cellStyle name="Comma 7 2 2 5 2 3 2" xfId="28118"/>
    <cellStyle name="Comma 7 2 2 5 2 4" xfId="28119"/>
    <cellStyle name="Comma 7 2 2 5 2 5" xfId="28120"/>
    <cellStyle name="Comma 7 2 2 5 3" xfId="28121"/>
    <cellStyle name="Comma 7 2 2 5 3 2" xfId="28122"/>
    <cellStyle name="Comma 7 2 2 5 3 2 2" xfId="28123"/>
    <cellStyle name="Comma 7 2 2 5 3 3" xfId="28124"/>
    <cellStyle name="Comma 7 2 2 5 3 4" xfId="28125"/>
    <cellStyle name="Comma 7 2 2 5 4" xfId="28126"/>
    <cellStyle name="Comma 7 2 2 5 4 2" xfId="28127"/>
    <cellStyle name="Comma 7 2 2 5 4 2 2" xfId="28128"/>
    <cellStyle name="Comma 7 2 2 5 4 3" xfId="28129"/>
    <cellStyle name="Comma 7 2 2 5 4 4" xfId="28130"/>
    <cellStyle name="Comma 7 2 2 5 5" xfId="28131"/>
    <cellStyle name="Comma 7 2 2 5 5 2" xfId="28132"/>
    <cellStyle name="Comma 7 2 2 5 6" xfId="28133"/>
    <cellStyle name="Comma 7 2 2 5 7" xfId="28134"/>
    <cellStyle name="Comma 7 2 2 5 8" xfId="28135"/>
    <cellStyle name="Comma 7 2 2 6" xfId="28136"/>
    <cellStyle name="Comma 7 2 3" xfId="28137"/>
    <cellStyle name="Comma 7 2 3 2" xfId="28138"/>
    <cellStyle name="Comma 7 2 3 3" xfId="28139"/>
    <cellStyle name="Comma 7 2 4" xfId="28140"/>
    <cellStyle name="Comma 7 2 4 2" xfId="28141"/>
    <cellStyle name="Comma 7 2 4 3" xfId="28142"/>
    <cellStyle name="Comma 7 2 5" xfId="28143"/>
    <cellStyle name="Comma 7 2 5 2" xfId="28144"/>
    <cellStyle name="Comma 7 2 5 3" xfId="28145"/>
    <cellStyle name="Comma 7 2 6" xfId="28146"/>
    <cellStyle name="Comma 7 2 6 2" xfId="28147"/>
    <cellStyle name="Comma 7 2 6 3" xfId="28148"/>
    <cellStyle name="Comma 7 2 7" xfId="28149"/>
    <cellStyle name="Comma 7 2 7 2" xfId="28150"/>
    <cellStyle name="Comma 7 2 7 3" xfId="28151"/>
    <cellStyle name="Comma 7 2 8" xfId="28152"/>
    <cellStyle name="Comma 7 2 8 2" xfId="28153"/>
    <cellStyle name="Comma 7 2 8 3" xfId="28154"/>
    <cellStyle name="Comma 7 2 9" xfId="28155"/>
    <cellStyle name="Comma 7 2 9 2" xfId="28156"/>
    <cellStyle name="Comma 7 2 9 3" xfId="28157"/>
    <cellStyle name="Comma 7 3" xfId="1685"/>
    <cellStyle name="Comma 7 3 2" xfId="28158"/>
    <cellStyle name="Comma 7 3 2 2" xfId="28159"/>
    <cellStyle name="Comma 7 3 2 3" xfId="28160"/>
    <cellStyle name="Comma 7 3 3" xfId="28161"/>
    <cellStyle name="Comma 7 3 3 2" xfId="28162"/>
    <cellStyle name="Comma 7 3 4" xfId="28163"/>
    <cellStyle name="Comma 7 3 4 2" xfId="28164"/>
    <cellStyle name="Comma 7 3 4 2 2" xfId="28165"/>
    <cellStyle name="Comma 7 3 4 2 2 2" xfId="28166"/>
    <cellStyle name="Comma 7 3 4 2 2 3" xfId="28167"/>
    <cellStyle name="Comma 7 3 4 2 3" xfId="28168"/>
    <cellStyle name="Comma 7 3 4 2 3 2" xfId="28169"/>
    <cellStyle name="Comma 7 3 4 2 4" xfId="28170"/>
    <cellStyle name="Comma 7 3 4 2 5" xfId="28171"/>
    <cellStyle name="Comma 7 3 4 3" xfId="28172"/>
    <cellStyle name="Comma 7 3 4 3 2" xfId="28173"/>
    <cellStyle name="Comma 7 3 4 3 2 2" xfId="28174"/>
    <cellStyle name="Comma 7 3 4 3 3" xfId="28175"/>
    <cellStyle name="Comma 7 3 4 3 4" xfId="28176"/>
    <cellStyle name="Comma 7 3 4 4" xfId="28177"/>
    <cellStyle name="Comma 7 3 4 4 2" xfId="28178"/>
    <cellStyle name="Comma 7 3 4 4 2 2" xfId="28179"/>
    <cellStyle name="Comma 7 3 4 4 3" xfId="28180"/>
    <cellStyle name="Comma 7 3 4 4 4" xfId="28181"/>
    <cellStyle name="Comma 7 3 4 5" xfId="28182"/>
    <cellStyle name="Comma 7 3 4 5 2" xfId="28183"/>
    <cellStyle name="Comma 7 3 4 6" xfId="28184"/>
    <cellStyle name="Comma 7 3 4 7" xfId="28185"/>
    <cellStyle name="Comma 7 3 4 8" xfId="28186"/>
    <cellStyle name="Comma 7 3 5" xfId="28187"/>
    <cellStyle name="Comma 7 3 5 2" xfId="28188"/>
    <cellStyle name="Comma 7 3 5 2 2" xfId="28189"/>
    <cellStyle name="Comma 7 3 5 2 2 2" xfId="28190"/>
    <cellStyle name="Comma 7 3 5 2 2 3" xfId="28191"/>
    <cellStyle name="Comma 7 3 5 2 3" xfId="28192"/>
    <cellStyle name="Comma 7 3 5 2 3 2" xfId="28193"/>
    <cellStyle name="Comma 7 3 5 2 4" xfId="28194"/>
    <cellStyle name="Comma 7 3 5 2 5" xfId="28195"/>
    <cellStyle name="Comma 7 3 5 3" xfId="28196"/>
    <cellStyle name="Comma 7 3 5 3 2" xfId="28197"/>
    <cellStyle name="Comma 7 3 5 3 2 2" xfId="28198"/>
    <cellStyle name="Comma 7 3 5 3 3" xfId="28199"/>
    <cellStyle name="Comma 7 3 5 3 4" xfId="28200"/>
    <cellStyle name="Comma 7 3 5 4" xfId="28201"/>
    <cellStyle name="Comma 7 3 5 4 2" xfId="28202"/>
    <cellStyle name="Comma 7 3 5 4 2 2" xfId="28203"/>
    <cellStyle name="Comma 7 3 5 4 3" xfId="28204"/>
    <cellStyle name="Comma 7 3 5 4 4" xfId="28205"/>
    <cellStyle name="Comma 7 3 5 5" xfId="28206"/>
    <cellStyle name="Comma 7 3 5 5 2" xfId="28207"/>
    <cellStyle name="Comma 7 3 5 6" xfId="28208"/>
    <cellStyle name="Comma 7 3 5 7" xfId="28209"/>
    <cellStyle name="Comma 7 3 5 8" xfId="28210"/>
    <cellStyle name="Comma 7 3 6" xfId="28211"/>
    <cellStyle name="Comma 7 3 6 2" xfId="28212"/>
    <cellStyle name="Comma 7 3 6 2 2" xfId="28213"/>
    <cellStyle name="Comma 7 3 6 2 2 2" xfId="28214"/>
    <cellStyle name="Comma 7 3 6 2 2 3" xfId="28215"/>
    <cellStyle name="Comma 7 3 6 2 3" xfId="28216"/>
    <cellStyle name="Comma 7 3 6 2 3 2" xfId="28217"/>
    <cellStyle name="Comma 7 3 6 2 4" xfId="28218"/>
    <cellStyle name="Comma 7 3 6 2 5" xfId="28219"/>
    <cellStyle name="Comma 7 3 6 3" xfId="28220"/>
    <cellStyle name="Comma 7 3 6 3 2" xfId="28221"/>
    <cellStyle name="Comma 7 3 6 3 2 2" xfId="28222"/>
    <cellStyle name="Comma 7 3 6 3 3" xfId="28223"/>
    <cellStyle name="Comma 7 3 6 3 4" xfId="28224"/>
    <cellStyle name="Comma 7 3 6 4" xfId="28225"/>
    <cellStyle name="Comma 7 3 6 4 2" xfId="28226"/>
    <cellStyle name="Comma 7 3 6 4 2 2" xfId="28227"/>
    <cellStyle name="Comma 7 3 6 4 3" xfId="28228"/>
    <cellStyle name="Comma 7 3 6 4 4" xfId="28229"/>
    <cellStyle name="Comma 7 3 6 5" xfId="28230"/>
    <cellStyle name="Comma 7 3 6 5 2" xfId="28231"/>
    <cellStyle name="Comma 7 3 6 6" xfId="28232"/>
    <cellStyle name="Comma 7 3 6 7" xfId="28233"/>
    <cellStyle name="Comma 7 3 6 8" xfId="28234"/>
    <cellStyle name="Comma 7 3 7" xfId="28235"/>
    <cellStyle name="Comma 7 4" xfId="28236"/>
    <cellStyle name="Comma 7 4 2" xfId="28237"/>
    <cellStyle name="Comma 7 4 2 2" xfId="28238"/>
    <cellStyle name="Comma 7 4 3" xfId="28239"/>
    <cellStyle name="Comma 7 4 4" xfId="28240"/>
    <cellStyle name="Comma 7 4 5" xfId="28241"/>
    <cellStyle name="Comma 7 5" xfId="28242"/>
    <cellStyle name="Comma 7 5 2" xfId="28243"/>
    <cellStyle name="Comma 7 5 3" xfId="28244"/>
    <cellStyle name="Comma 7 6" xfId="28245"/>
    <cellStyle name="Comma 7 6 2" xfId="28246"/>
    <cellStyle name="Comma 7 6 3" xfId="28247"/>
    <cellStyle name="Comma 7 7" xfId="28248"/>
    <cellStyle name="Comma 7 7 2" xfId="28249"/>
    <cellStyle name="Comma 7 7 3" xfId="28250"/>
    <cellStyle name="Comma 7 8" xfId="28251"/>
    <cellStyle name="Comma 7 8 2" xfId="28252"/>
    <cellStyle name="Comma 7 8 2 2" xfId="28253"/>
    <cellStyle name="Comma 7 8 2 3" xfId="28254"/>
    <cellStyle name="Comma 7 8 3" xfId="28255"/>
    <cellStyle name="Comma 7 8 4" xfId="28256"/>
    <cellStyle name="Comma 7 9" xfId="28257"/>
    <cellStyle name="Comma 7 9 2" xfId="28258"/>
    <cellStyle name="Comma 7 9 3" xfId="28259"/>
    <cellStyle name="Comma 70" xfId="28260"/>
    <cellStyle name="Comma 70 2" xfId="28261"/>
    <cellStyle name="Comma 70 2 2" xfId="28262"/>
    <cellStyle name="Comma 70 2 2 2" xfId="28263"/>
    <cellStyle name="Comma 70 2 3" xfId="28264"/>
    <cellStyle name="Comma 70 3" xfId="28265"/>
    <cellStyle name="Comma 70 4" xfId="28266"/>
    <cellStyle name="Comma 71" xfId="28267"/>
    <cellStyle name="Comma 71 2" xfId="28268"/>
    <cellStyle name="Comma 71 2 2" xfId="28269"/>
    <cellStyle name="Comma 71 3" xfId="28270"/>
    <cellStyle name="Comma 72" xfId="28271"/>
    <cellStyle name="Comma 72 2" xfId="28272"/>
    <cellStyle name="Comma 72 2 2" xfId="28273"/>
    <cellStyle name="Comma 72 3" xfId="28274"/>
    <cellStyle name="Comma 73" xfId="28275"/>
    <cellStyle name="Comma 73 2" xfId="28276"/>
    <cellStyle name="Comma 73 2 2" xfId="28277"/>
    <cellStyle name="Comma 73 3" xfId="28278"/>
    <cellStyle name="Comma 74" xfId="28279"/>
    <cellStyle name="Comma 74 2" xfId="28280"/>
    <cellStyle name="Comma 74 2 2" xfId="28281"/>
    <cellStyle name="Comma 74 3" xfId="28282"/>
    <cellStyle name="Comma 75" xfId="28283"/>
    <cellStyle name="Comma 75 2" xfId="28284"/>
    <cellStyle name="Comma 75 3" xfId="28285"/>
    <cellStyle name="Comma 76" xfId="28286"/>
    <cellStyle name="Comma 76 2" xfId="28287"/>
    <cellStyle name="Comma 76 3" xfId="28288"/>
    <cellStyle name="Comma 77" xfId="28289"/>
    <cellStyle name="Comma 77 2" xfId="28290"/>
    <cellStyle name="Comma 77 3" xfId="28291"/>
    <cellStyle name="Comma 78" xfId="28292"/>
    <cellStyle name="Comma 78 2" xfId="28293"/>
    <cellStyle name="Comma 78 3" xfId="28294"/>
    <cellStyle name="Comma 79" xfId="28295"/>
    <cellStyle name="Comma 79 2" xfId="28296"/>
    <cellStyle name="Comma 79 3" xfId="28297"/>
    <cellStyle name="Comma 8" xfId="72"/>
    <cellStyle name="Comma 8 10" xfId="28298"/>
    <cellStyle name="Comma 8 10 2" xfId="28299"/>
    <cellStyle name="Comma 8 11" xfId="28300"/>
    <cellStyle name="Comma 8 12" xfId="28301"/>
    <cellStyle name="Comma 8 2" xfId="104"/>
    <cellStyle name="Comma 8 2 10" xfId="28302"/>
    <cellStyle name="Comma 8 2 11" xfId="28303"/>
    <cellStyle name="Comma 8 2 12" xfId="28304"/>
    <cellStyle name="Comma 8 2 2" xfId="28305"/>
    <cellStyle name="Comma 8 2 2 2" xfId="28306"/>
    <cellStyle name="Comma 8 2 2 3" xfId="28307"/>
    <cellStyle name="Comma 8 2 3" xfId="28308"/>
    <cellStyle name="Comma 8 2 3 2" xfId="28309"/>
    <cellStyle name="Comma 8 2 3 3" xfId="28310"/>
    <cellStyle name="Comma 8 2 4" xfId="28311"/>
    <cellStyle name="Comma 8 2 4 2" xfId="28312"/>
    <cellStyle name="Comma 8 2 4 3" xfId="28313"/>
    <cellStyle name="Comma 8 2 5" xfId="28314"/>
    <cellStyle name="Comma 8 2 5 2" xfId="28315"/>
    <cellStyle name="Comma 8 2 5 3" xfId="28316"/>
    <cellStyle name="Comma 8 2 6" xfId="28317"/>
    <cellStyle name="Comma 8 2 6 2" xfId="28318"/>
    <cellStyle name="Comma 8 2 6 3" xfId="28319"/>
    <cellStyle name="Comma 8 2 7" xfId="28320"/>
    <cellStyle name="Comma 8 2 7 2" xfId="28321"/>
    <cellStyle name="Comma 8 2 7 3" xfId="28322"/>
    <cellStyle name="Comma 8 2 8" xfId="28323"/>
    <cellStyle name="Comma 8 2 8 2" xfId="28324"/>
    <cellStyle name="Comma 8 2 8 3" xfId="28325"/>
    <cellStyle name="Comma 8 2 9" xfId="28326"/>
    <cellStyle name="Comma 8 2 9 2" xfId="28327"/>
    <cellStyle name="Comma 8 3" xfId="28328"/>
    <cellStyle name="Comma 8 3 2" xfId="28329"/>
    <cellStyle name="Comma 8 3 3" xfId="28330"/>
    <cellStyle name="Comma 8 4" xfId="28331"/>
    <cellStyle name="Comma 8 4 2" xfId="28332"/>
    <cellStyle name="Comma 8 4 3" xfId="28333"/>
    <cellStyle name="Comma 8 5" xfId="28334"/>
    <cellStyle name="Comma 8 5 2" xfId="28335"/>
    <cellStyle name="Comma 8 5 3" xfId="28336"/>
    <cellStyle name="Comma 8 6" xfId="28337"/>
    <cellStyle name="Comma 8 6 2" xfId="28338"/>
    <cellStyle name="Comma 8 6 3" xfId="28339"/>
    <cellStyle name="Comma 8 7" xfId="28340"/>
    <cellStyle name="Comma 8 7 2" xfId="28341"/>
    <cellStyle name="Comma 8 7 3" xfId="28342"/>
    <cellStyle name="Comma 8 8" xfId="28343"/>
    <cellStyle name="Comma 8 8 2" xfId="28344"/>
    <cellStyle name="Comma 8 8 2 2" xfId="28345"/>
    <cellStyle name="Comma 8 8 2 3" xfId="28346"/>
    <cellStyle name="Comma 8 8 3" xfId="28347"/>
    <cellStyle name="Comma 8 8 4" xfId="28348"/>
    <cellStyle name="Comma 8 9" xfId="28349"/>
    <cellStyle name="Comma 8 9 2" xfId="28350"/>
    <cellStyle name="Comma 8 9 3" xfId="28351"/>
    <cellStyle name="Comma 80" xfId="28352"/>
    <cellStyle name="Comma 80 2" xfId="28353"/>
    <cellStyle name="Comma 80 2 2" xfId="28354"/>
    <cellStyle name="Comma 80 2 2 2" xfId="28355"/>
    <cellStyle name="Comma 80 2 3" xfId="28356"/>
    <cellStyle name="Comma 80 2 3 2" xfId="28357"/>
    <cellStyle name="Comma 80 3" xfId="28358"/>
    <cellStyle name="Comma 80 3 2" xfId="28359"/>
    <cellStyle name="Comma 80 3 2 2" xfId="28360"/>
    <cellStyle name="Comma 80 3 3" xfId="28361"/>
    <cellStyle name="Comma 80 3 4" xfId="28362"/>
    <cellStyle name="Comma 80 4" xfId="28363"/>
    <cellStyle name="Comma 80 4 2" xfId="28364"/>
    <cellStyle name="Comma 80 5" xfId="28365"/>
    <cellStyle name="Comma 80 5 2" xfId="28366"/>
    <cellStyle name="Comma 80 6" xfId="28367"/>
    <cellStyle name="Comma 81" xfId="28368"/>
    <cellStyle name="Comma 81 2" xfId="28369"/>
    <cellStyle name="Comma 81 2 2" xfId="28370"/>
    <cellStyle name="Comma 81 2 2 2" xfId="28371"/>
    <cellStyle name="Comma 81 2 3" xfId="28372"/>
    <cellStyle name="Comma 81 2 3 2" xfId="28373"/>
    <cellStyle name="Comma 81 3" xfId="28374"/>
    <cellStyle name="Comma 81 3 2" xfId="28375"/>
    <cellStyle name="Comma 81 3 2 2" xfId="28376"/>
    <cellStyle name="Comma 81 3 3" xfId="28377"/>
    <cellStyle name="Comma 81 3 4" xfId="28378"/>
    <cellStyle name="Comma 81 4" xfId="28379"/>
    <cellStyle name="Comma 81 4 2" xfId="28380"/>
    <cellStyle name="Comma 81 5" xfId="28381"/>
    <cellStyle name="Comma 81 5 2" xfId="28382"/>
    <cellStyle name="Comma 81 6" xfId="28383"/>
    <cellStyle name="Comma 82" xfId="28384"/>
    <cellStyle name="Comma 82 2" xfId="28385"/>
    <cellStyle name="Comma 82 2 2" xfId="28386"/>
    <cellStyle name="Comma 82 2 2 2" xfId="28387"/>
    <cellStyle name="Comma 82 2 3" xfId="28388"/>
    <cellStyle name="Comma 82 2 3 2" xfId="28389"/>
    <cellStyle name="Comma 82 3" xfId="28390"/>
    <cellStyle name="Comma 82 3 2" xfId="28391"/>
    <cellStyle name="Comma 82 3 2 2" xfId="28392"/>
    <cellStyle name="Comma 82 3 3" xfId="28393"/>
    <cellStyle name="Comma 82 3 4" xfId="28394"/>
    <cellStyle name="Comma 82 4" xfId="28395"/>
    <cellStyle name="Comma 82 4 2" xfId="28396"/>
    <cellStyle name="Comma 82 5" xfId="28397"/>
    <cellStyle name="Comma 82 5 2" xfId="28398"/>
    <cellStyle name="Comma 82 6" xfId="28399"/>
    <cellStyle name="Comma 83" xfId="28400"/>
    <cellStyle name="Comma 83 2" xfId="28401"/>
    <cellStyle name="Comma 83 2 2" xfId="28402"/>
    <cellStyle name="Comma 83 2 2 2" xfId="28403"/>
    <cellStyle name="Comma 83 2 3" xfId="28404"/>
    <cellStyle name="Comma 83 2 3 2" xfId="28405"/>
    <cellStyle name="Comma 83 3" xfId="28406"/>
    <cellStyle name="Comma 83 3 2" xfId="28407"/>
    <cellStyle name="Comma 83 3 2 2" xfId="28408"/>
    <cellStyle name="Comma 83 3 3" xfId="28409"/>
    <cellStyle name="Comma 83 3 4" xfId="28410"/>
    <cellStyle name="Comma 83 4" xfId="28411"/>
    <cellStyle name="Comma 83 4 2" xfId="28412"/>
    <cellStyle name="Comma 83 5" xfId="28413"/>
    <cellStyle name="Comma 83 5 2" xfId="28414"/>
    <cellStyle name="Comma 83 6" xfId="28415"/>
    <cellStyle name="Comma 84" xfId="28416"/>
    <cellStyle name="Comma 84 2" xfId="28417"/>
    <cellStyle name="Comma 84 2 2" xfId="28418"/>
    <cellStyle name="Comma 84 2 2 2" xfId="28419"/>
    <cellStyle name="Comma 84 2 3" xfId="28420"/>
    <cellStyle name="Comma 84 2 3 2" xfId="28421"/>
    <cellStyle name="Comma 84 3" xfId="28422"/>
    <cellStyle name="Comma 84 3 2" xfId="28423"/>
    <cellStyle name="Comma 84 3 2 2" xfId="28424"/>
    <cellStyle name="Comma 84 3 3" xfId="28425"/>
    <cellStyle name="Comma 84 3 4" xfId="28426"/>
    <cellStyle name="Comma 84 4" xfId="28427"/>
    <cellStyle name="Comma 84 4 2" xfId="28428"/>
    <cellStyle name="Comma 84 5" xfId="28429"/>
    <cellStyle name="Comma 84 5 2" xfId="28430"/>
    <cellStyle name="Comma 84 6" xfId="28431"/>
    <cellStyle name="Comma 85" xfId="28432"/>
    <cellStyle name="Comma 85 2" xfId="28433"/>
    <cellStyle name="Comma 85 2 2" xfId="28434"/>
    <cellStyle name="Comma 85 3" xfId="28435"/>
    <cellStyle name="Comma 85 4" xfId="28436"/>
    <cellStyle name="Comma 86" xfId="28437"/>
    <cellStyle name="Comma 86 2" xfId="28438"/>
    <cellStyle name="Comma 86 2 2" xfId="28439"/>
    <cellStyle name="Comma 86 3" xfId="28440"/>
    <cellStyle name="Comma 86 4" xfId="28441"/>
    <cellStyle name="Comma 87" xfId="28442"/>
    <cellStyle name="Comma 87 2" xfId="28443"/>
    <cellStyle name="Comma 87 2 2" xfId="28444"/>
    <cellStyle name="Comma 87 2 2 2" xfId="28445"/>
    <cellStyle name="Comma 87 2 2 2 2" xfId="28446"/>
    <cellStyle name="Comma 87 2 2 3" xfId="28447"/>
    <cellStyle name="Comma 87 2 3" xfId="28448"/>
    <cellStyle name="Comma 87 2 3 2" xfId="28449"/>
    <cellStyle name="Comma 87 2 4" xfId="28450"/>
    <cellStyle name="Comma 87 2 5" xfId="28451"/>
    <cellStyle name="Comma 87 3" xfId="28452"/>
    <cellStyle name="Comma 87 3 2" xfId="28453"/>
    <cellStyle name="Comma 87 3 3" xfId="28454"/>
    <cellStyle name="Comma 87 3 3 2" xfId="28455"/>
    <cellStyle name="Comma 87 3 4" xfId="28456"/>
    <cellStyle name="Comma 87 3 5" xfId="28457"/>
    <cellStyle name="Comma 87 4" xfId="28458"/>
    <cellStyle name="Comma 87 4 2" xfId="28459"/>
    <cellStyle name="Comma 87 4 2 2" xfId="28460"/>
    <cellStyle name="Comma 87 4 3" xfId="28461"/>
    <cellStyle name="Comma 87 4 4" xfId="28462"/>
    <cellStyle name="Comma 87 5" xfId="28463"/>
    <cellStyle name="Comma 87 6" xfId="28464"/>
    <cellStyle name="Comma 87 6 2" xfId="28465"/>
    <cellStyle name="Comma 87 7" xfId="28466"/>
    <cellStyle name="Comma 87 8" xfId="28467"/>
    <cellStyle name="Comma 87 9" xfId="28468"/>
    <cellStyle name="Comma 88" xfId="28469"/>
    <cellStyle name="Comma 88 2" xfId="28470"/>
    <cellStyle name="Comma 88 3" xfId="28471"/>
    <cellStyle name="Comma 88 4" xfId="28472"/>
    <cellStyle name="Comma 89" xfId="28473"/>
    <cellStyle name="Comma 89 2" xfId="28474"/>
    <cellStyle name="Comma 89 3" xfId="28475"/>
    <cellStyle name="Comma 89 4" xfId="28476"/>
    <cellStyle name="Comma 9" xfId="96"/>
    <cellStyle name="Comma 9 2" xfId="1686"/>
    <cellStyle name="Comma 9 2 2" xfId="1687"/>
    <cellStyle name="Comma 9 2 2 2" xfId="28477"/>
    <cellStyle name="Comma 9 2 3" xfId="28478"/>
    <cellStyle name="Comma 9 2 4" xfId="28479"/>
    <cellStyle name="Comma 9 2 5" xfId="28480"/>
    <cellStyle name="Comma 9 3" xfId="1688"/>
    <cellStyle name="Comma 9 3 2" xfId="28481"/>
    <cellStyle name="Comma 9 3 3" xfId="28482"/>
    <cellStyle name="Comma 9 4" xfId="1689"/>
    <cellStyle name="Comma 9 4 2" xfId="28483"/>
    <cellStyle name="Comma 9 5" xfId="28484"/>
    <cellStyle name="Comma 9 6" xfId="28485"/>
    <cellStyle name="Comma 9 7" xfId="28486"/>
    <cellStyle name="Comma 90" xfId="28487"/>
    <cellStyle name="Comma 90 2" xfId="28488"/>
    <cellStyle name="Comma 90 2 2" xfId="28489"/>
    <cellStyle name="Comma 90 2 2 2" xfId="28490"/>
    <cellStyle name="Comma 90 2 2 2 2" xfId="28491"/>
    <cellStyle name="Comma 90 2 2 3" xfId="28492"/>
    <cellStyle name="Comma 90 2 3" xfId="28493"/>
    <cellStyle name="Comma 90 2 3 2" xfId="28494"/>
    <cellStyle name="Comma 90 2 4" xfId="28495"/>
    <cellStyle name="Comma 90 2 5" xfId="28496"/>
    <cellStyle name="Comma 90 3" xfId="28497"/>
    <cellStyle name="Comma 90 3 2" xfId="28498"/>
    <cellStyle name="Comma 90 3 3" xfId="28499"/>
    <cellStyle name="Comma 90 3 3 2" xfId="28500"/>
    <cellStyle name="Comma 90 3 4" xfId="28501"/>
    <cellStyle name="Comma 90 3 5" xfId="28502"/>
    <cellStyle name="Comma 90 4" xfId="28503"/>
    <cellStyle name="Comma 90 4 2" xfId="28504"/>
    <cellStyle name="Comma 90 4 2 2" xfId="28505"/>
    <cellStyle name="Comma 90 4 3" xfId="28506"/>
    <cellStyle name="Comma 90 4 4" xfId="28507"/>
    <cellStyle name="Comma 90 5" xfId="28508"/>
    <cellStyle name="Comma 90 6" xfId="28509"/>
    <cellStyle name="Comma 90 6 2" xfId="28510"/>
    <cellStyle name="Comma 90 7" xfId="28511"/>
    <cellStyle name="Comma 90 8" xfId="28512"/>
    <cellStyle name="Comma 90 9" xfId="28513"/>
    <cellStyle name="Comma 91" xfId="28514"/>
    <cellStyle name="Comma 91 2" xfId="28515"/>
    <cellStyle name="Comma 91 2 2" xfId="28516"/>
    <cellStyle name="Comma 91 2 2 2" xfId="28517"/>
    <cellStyle name="Comma 91 2 2 2 2" xfId="28518"/>
    <cellStyle name="Comma 91 2 2 3" xfId="28519"/>
    <cellStyle name="Comma 91 2 3" xfId="28520"/>
    <cellStyle name="Comma 91 2 3 2" xfId="28521"/>
    <cellStyle name="Comma 91 2 4" xfId="28522"/>
    <cellStyle name="Comma 91 2 5" xfId="28523"/>
    <cellStyle name="Comma 91 3" xfId="28524"/>
    <cellStyle name="Comma 91 3 2" xfId="28525"/>
    <cellStyle name="Comma 91 3 3" xfId="28526"/>
    <cellStyle name="Comma 91 3 3 2" xfId="28527"/>
    <cellStyle name="Comma 91 3 4" xfId="28528"/>
    <cellStyle name="Comma 91 3 5" xfId="28529"/>
    <cellStyle name="Comma 91 4" xfId="28530"/>
    <cellStyle name="Comma 91 4 2" xfId="28531"/>
    <cellStyle name="Comma 91 4 2 2" xfId="28532"/>
    <cellStyle name="Comma 91 4 3" xfId="28533"/>
    <cellStyle name="Comma 91 4 4" xfId="28534"/>
    <cellStyle name="Comma 91 5" xfId="28535"/>
    <cellStyle name="Comma 91 6" xfId="28536"/>
    <cellStyle name="Comma 91 6 2" xfId="28537"/>
    <cellStyle name="Comma 91 7" xfId="28538"/>
    <cellStyle name="Comma 91 8" xfId="28539"/>
    <cellStyle name="Comma 91 9" xfId="28540"/>
    <cellStyle name="Comma 92" xfId="28541"/>
    <cellStyle name="Comma 92 2" xfId="28542"/>
    <cellStyle name="Comma 92 2 2" xfId="28543"/>
    <cellStyle name="Comma 92 2 2 2" xfId="28544"/>
    <cellStyle name="Comma 92 2 2 2 2" xfId="28545"/>
    <cellStyle name="Comma 92 2 2 3" xfId="28546"/>
    <cellStyle name="Comma 92 2 3" xfId="28547"/>
    <cellStyle name="Comma 92 2 3 2" xfId="28548"/>
    <cellStyle name="Comma 92 2 4" xfId="28549"/>
    <cellStyle name="Comma 92 2 5" xfId="28550"/>
    <cellStyle name="Comma 92 3" xfId="28551"/>
    <cellStyle name="Comma 92 3 2" xfId="28552"/>
    <cellStyle name="Comma 92 3 3" xfId="28553"/>
    <cellStyle name="Comma 92 3 3 2" xfId="28554"/>
    <cellStyle name="Comma 92 3 4" xfId="28555"/>
    <cellStyle name="Comma 92 3 5" xfId="28556"/>
    <cellStyle name="Comma 92 4" xfId="28557"/>
    <cellStyle name="Comma 92 4 2" xfId="28558"/>
    <cellStyle name="Comma 92 4 2 2" xfId="28559"/>
    <cellStyle name="Comma 92 4 3" xfId="28560"/>
    <cellStyle name="Comma 92 4 4" xfId="28561"/>
    <cellStyle name="Comma 92 5" xfId="28562"/>
    <cellStyle name="Comma 92 6" xfId="28563"/>
    <cellStyle name="Comma 92 6 2" xfId="28564"/>
    <cellStyle name="Comma 92 7" xfId="28565"/>
    <cellStyle name="Comma 92 8" xfId="28566"/>
    <cellStyle name="Comma 92 9" xfId="28567"/>
    <cellStyle name="Comma 93" xfId="28568"/>
    <cellStyle name="Comma 93 2" xfId="28569"/>
    <cellStyle name="Comma 93 2 2" xfId="28570"/>
    <cellStyle name="Comma 93 2 2 2" xfId="28571"/>
    <cellStyle name="Comma 93 2 2 2 2" xfId="28572"/>
    <cellStyle name="Comma 93 2 2 3" xfId="28573"/>
    <cellStyle name="Comma 93 2 3" xfId="28574"/>
    <cellStyle name="Comma 93 2 3 2" xfId="28575"/>
    <cellStyle name="Comma 93 2 4" xfId="28576"/>
    <cellStyle name="Comma 93 2 5" xfId="28577"/>
    <cellStyle name="Comma 93 3" xfId="28578"/>
    <cellStyle name="Comma 93 3 2" xfId="28579"/>
    <cellStyle name="Comma 93 3 3" xfId="28580"/>
    <cellStyle name="Comma 93 3 3 2" xfId="28581"/>
    <cellStyle name="Comma 93 3 4" xfId="28582"/>
    <cellStyle name="Comma 93 3 5" xfId="28583"/>
    <cellStyle name="Comma 93 4" xfId="28584"/>
    <cellStyle name="Comma 93 4 2" xfId="28585"/>
    <cellStyle name="Comma 93 4 2 2" xfId="28586"/>
    <cellStyle name="Comma 93 4 3" xfId="28587"/>
    <cellStyle name="Comma 93 4 4" xfId="28588"/>
    <cellStyle name="Comma 93 5" xfId="28589"/>
    <cellStyle name="Comma 93 6" xfId="28590"/>
    <cellStyle name="Comma 93 6 2" xfId="28591"/>
    <cellStyle name="Comma 93 7" xfId="28592"/>
    <cellStyle name="Comma 93 8" xfId="28593"/>
    <cellStyle name="Comma 93 9" xfId="28594"/>
    <cellStyle name="Comma 94" xfId="28595"/>
    <cellStyle name="Comma 94 2" xfId="28596"/>
    <cellStyle name="Comma 94 2 2" xfId="28597"/>
    <cellStyle name="Comma 94 2 2 2" xfId="28598"/>
    <cellStyle name="Comma 94 2 2 2 2" xfId="28599"/>
    <cellStyle name="Comma 94 2 2 3" xfId="28600"/>
    <cellStyle name="Comma 94 2 3" xfId="28601"/>
    <cellStyle name="Comma 94 2 3 2" xfId="28602"/>
    <cellStyle name="Comma 94 2 4" xfId="28603"/>
    <cellStyle name="Comma 94 2 5" xfId="28604"/>
    <cellStyle name="Comma 94 3" xfId="28605"/>
    <cellStyle name="Comma 94 3 2" xfId="28606"/>
    <cellStyle name="Comma 94 3 3" xfId="28607"/>
    <cellStyle name="Comma 94 3 3 2" xfId="28608"/>
    <cellStyle name="Comma 94 3 4" xfId="28609"/>
    <cellStyle name="Comma 94 3 5" xfId="28610"/>
    <cellStyle name="Comma 94 4" xfId="28611"/>
    <cellStyle name="Comma 94 4 2" xfId="28612"/>
    <cellStyle name="Comma 94 4 2 2" xfId="28613"/>
    <cellStyle name="Comma 94 4 3" xfId="28614"/>
    <cellStyle name="Comma 94 4 4" xfId="28615"/>
    <cellStyle name="Comma 94 5" xfId="28616"/>
    <cellStyle name="Comma 94 6" xfId="28617"/>
    <cellStyle name="Comma 94 6 2" xfId="28618"/>
    <cellStyle name="Comma 94 7" xfId="28619"/>
    <cellStyle name="Comma 94 8" xfId="28620"/>
    <cellStyle name="Comma 94 9" xfId="28621"/>
    <cellStyle name="Comma 95" xfId="28622"/>
    <cellStyle name="Comma 95 2" xfId="28623"/>
    <cellStyle name="Comma 95 2 2" xfId="28624"/>
    <cellStyle name="Comma 95 2 2 2" xfId="28625"/>
    <cellStyle name="Comma 95 2 2 2 2" xfId="28626"/>
    <cellStyle name="Comma 95 2 2 3" xfId="28627"/>
    <cellStyle name="Comma 95 2 3" xfId="28628"/>
    <cellStyle name="Comma 95 2 3 2" xfId="28629"/>
    <cellStyle name="Comma 95 2 4" xfId="28630"/>
    <cellStyle name="Comma 95 2 5" xfId="28631"/>
    <cellStyle name="Comma 95 3" xfId="28632"/>
    <cellStyle name="Comma 95 3 2" xfId="28633"/>
    <cellStyle name="Comma 95 3 3" xfId="28634"/>
    <cellStyle name="Comma 95 3 3 2" xfId="28635"/>
    <cellStyle name="Comma 95 3 4" xfId="28636"/>
    <cellStyle name="Comma 95 3 5" xfId="28637"/>
    <cellStyle name="Comma 95 4" xfId="28638"/>
    <cellStyle name="Comma 95 4 2" xfId="28639"/>
    <cellStyle name="Comma 95 4 2 2" xfId="28640"/>
    <cellStyle name="Comma 95 4 3" xfId="28641"/>
    <cellStyle name="Comma 95 4 4" xfId="28642"/>
    <cellStyle name="Comma 95 5" xfId="28643"/>
    <cellStyle name="Comma 95 6" xfId="28644"/>
    <cellStyle name="Comma 95 6 2" xfId="28645"/>
    <cellStyle name="Comma 95 7" xfId="28646"/>
    <cellStyle name="Comma 95 8" xfId="28647"/>
    <cellStyle name="Comma 95 9" xfId="28648"/>
    <cellStyle name="Comma 96" xfId="28649"/>
    <cellStyle name="Comma 96 2" xfId="28650"/>
    <cellStyle name="Comma 96 2 2" xfId="28651"/>
    <cellStyle name="Comma 96 2 2 2" xfId="28652"/>
    <cellStyle name="Comma 96 2 2 2 2" xfId="28653"/>
    <cellStyle name="Comma 96 2 2 3" xfId="28654"/>
    <cellStyle name="Comma 96 2 3" xfId="28655"/>
    <cellStyle name="Comma 96 2 3 2" xfId="28656"/>
    <cellStyle name="Comma 96 2 4" xfId="28657"/>
    <cellStyle name="Comma 96 2 5" xfId="28658"/>
    <cellStyle name="Comma 96 3" xfId="28659"/>
    <cellStyle name="Comma 96 3 2" xfId="28660"/>
    <cellStyle name="Comma 96 3 3" xfId="28661"/>
    <cellStyle name="Comma 96 3 3 2" xfId="28662"/>
    <cellStyle name="Comma 96 3 4" xfId="28663"/>
    <cellStyle name="Comma 96 3 5" xfId="28664"/>
    <cellStyle name="Comma 96 4" xfId="28665"/>
    <cellStyle name="Comma 96 4 2" xfId="28666"/>
    <cellStyle name="Comma 96 4 2 2" xfId="28667"/>
    <cellStyle name="Comma 96 4 3" xfId="28668"/>
    <cellStyle name="Comma 96 4 4" xfId="28669"/>
    <cellStyle name="Comma 96 5" xfId="28670"/>
    <cellStyle name="Comma 96 6" xfId="28671"/>
    <cellStyle name="Comma 96 6 2" xfId="28672"/>
    <cellStyle name="Comma 96 7" xfId="28673"/>
    <cellStyle name="Comma 96 8" xfId="28674"/>
    <cellStyle name="Comma 96 9" xfId="28675"/>
    <cellStyle name="Comma 97" xfId="28676"/>
    <cellStyle name="Comma 97 2" xfId="28677"/>
    <cellStyle name="Comma 97 3" xfId="28678"/>
    <cellStyle name="Comma 98" xfId="28679"/>
    <cellStyle name="Comma 98 2" xfId="28680"/>
    <cellStyle name="Comma 98 3" xfId="28681"/>
    <cellStyle name="Comma 99" xfId="28682"/>
    <cellStyle name="Comma 99 2" xfId="28683"/>
    <cellStyle name="Comma 99 3" xfId="28684"/>
    <cellStyle name="Comma0" xfId="73"/>
    <cellStyle name="Comma0 - Modelo1" xfId="1690"/>
    <cellStyle name="Comma0 - Style1" xfId="1691"/>
    <cellStyle name="Comma0 2" xfId="1692"/>
    <cellStyle name="Comma0 2 2" xfId="1693"/>
    <cellStyle name="Comma0 3" xfId="1694"/>
    <cellStyle name="Comma0 4" xfId="1695"/>
    <cellStyle name="Comma0 5" xfId="1696"/>
    <cellStyle name="Comma0 6" xfId="1697"/>
    <cellStyle name="Comma0_3 SAIC Infrastructure Services Pricing Tables Security Operations 09April2008" xfId="1698"/>
    <cellStyle name="Comma1 - Modelo2" xfId="1699"/>
    <cellStyle name="Comma1 - Style2" xfId="1700"/>
    <cellStyle name="CommaSimple" xfId="112"/>
    <cellStyle name="Comment" xfId="1701"/>
    <cellStyle name="Copied" xfId="1702"/>
    <cellStyle name="Currency [0 Decimal]" xfId="28685"/>
    <cellStyle name="Currency [0 Decimal] 2" xfId="28686"/>
    <cellStyle name="Currency [0 Decimal] 2 2" xfId="28687"/>
    <cellStyle name="Currency [0 Decimal] 2 2 2" xfId="28688"/>
    <cellStyle name="Currency [0 Decimal] 2 3" xfId="28689"/>
    <cellStyle name="Currency [0 Decimal] 3" xfId="28690"/>
    <cellStyle name="Currency [0 Decimal] 4" xfId="28691"/>
    <cellStyle name="Currency [0] 2" xfId="28692"/>
    <cellStyle name="Currency [0] 2 2" xfId="28693"/>
    <cellStyle name="Currency [0] 2 2 2" xfId="28694"/>
    <cellStyle name="Currency [0] 2 2 3" xfId="28695"/>
    <cellStyle name="Currency [0] 2 3" xfId="28696"/>
    <cellStyle name="Currency [0] 2 4" xfId="28697"/>
    <cellStyle name="Currency [0] 3" xfId="28698"/>
    <cellStyle name="Currency [0] 3 2" xfId="28699"/>
    <cellStyle name="Currency [0] 3 2 2" xfId="28700"/>
    <cellStyle name="Currency [0] 3 2 3" xfId="28701"/>
    <cellStyle name="Currency [0] 3 3" xfId="28702"/>
    <cellStyle name="Currency [0] 3 4" xfId="28703"/>
    <cellStyle name="Currency [0] 4" xfId="28704"/>
    <cellStyle name="Currency [0] 4 2" xfId="28705"/>
    <cellStyle name="Currency [0] 4 2 2" xfId="28706"/>
    <cellStyle name="Currency [0] 4 2 3" xfId="28707"/>
    <cellStyle name="Currency [0] 4 3" xfId="28708"/>
    <cellStyle name="Currency [0] 4 4" xfId="28709"/>
    <cellStyle name="Currency [0] 5" xfId="28710"/>
    <cellStyle name="Currency [0] 5 2" xfId="28711"/>
    <cellStyle name="Currency [0] 5 2 2" xfId="28712"/>
    <cellStyle name="Currency [0] 5 3" xfId="28713"/>
    <cellStyle name="Currency [00]" xfId="1703"/>
    <cellStyle name="Currency [2 Decimal]" xfId="28714"/>
    <cellStyle name="Currency [2 Decimal] 2" xfId="28715"/>
    <cellStyle name="Currency [2 Decimal] 2 2" xfId="28716"/>
    <cellStyle name="Currency [2 Decimal] 2 2 2" xfId="28717"/>
    <cellStyle name="Currency [2 Decimal] 2 3" xfId="28718"/>
    <cellStyle name="Currency [2 Decimal] 3" xfId="28719"/>
    <cellStyle name="Currency [2 Decimal] 4" xfId="28720"/>
    <cellStyle name="Currency [3 Decimal]" xfId="28721"/>
    <cellStyle name="Currency [3 Decimal] 2" xfId="28722"/>
    <cellStyle name="Currency [3 Decimal] 2 2" xfId="28723"/>
    <cellStyle name="Currency [3 Decimal] 2 2 2" xfId="28724"/>
    <cellStyle name="Currency [3 Decimal] 2 3" xfId="28725"/>
    <cellStyle name="Currency [3 Decimal] 3" xfId="28726"/>
    <cellStyle name="Currency [3 Decimal] 4" xfId="28727"/>
    <cellStyle name="Currency [5 Decimal]" xfId="28728"/>
    <cellStyle name="Currency [5 Decimal] 2" xfId="28729"/>
    <cellStyle name="Currency [5 Decimal] 2 2" xfId="28730"/>
    <cellStyle name="Currency [5 Decimal] 2 2 2" xfId="28731"/>
    <cellStyle name="Currency [5 Decimal] 2 3" xfId="28732"/>
    <cellStyle name="Currency [5 Decimal] 3" xfId="28733"/>
    <cellStyle name="Currency [5 Decimal] 4" xfId="28734"/>
    <cellStyle name="Currency 10" xfId="1704"/>
    <cellStyle name="Currency 10 2" xfId="1705"/>
    <cellStyle name="Currency 10 2 2" xfId="1706"/>
    <cellStyle name="Currency 10 2 2 2" xfId="1707"/>
    <cellStyle name="Currency 10 2 2 2 2" xfId="1708"/>
    <cellStyle name="Currency 10 2 2 3" xfId="1709"/>
    <cellStyle name="Currency 10 2 3" xfId="1710"/>
    <cellStyle name="Currency 10 2 3 2" xfId="1711"/>
    <cellStyle name="Currency 10 2 4" xfId="1712"/>
    <cellStyle name="Currency 10 3" xfId="1713"/>
    <cellStyle name="Currency 10 3 2" xfId="1714"/>
    <cellStyle name="Currency 10 3 2 2" xfId="1715"/>
    <cellStyle name="Currency 10 3 3" xfId="1716"/>
    <cellStyle name="Currency 10 4" xfId="1717"/>
    <cellStyle name="Currency 10 4 2" xfId="1718"/>
    <cellStyle name="Currency 10 5" xfId="1719"/>
    <cellStyle name="Currency 100" xfId="28735"/>
    <cellStyle name="Currency 100 2" xfId="28736"/>
    <cellStyle name="Currency 101" xfId="28737"/>
    <cellStyle name="Currency 101 2" xfId="28738"/>
    <cellStyle name="Currency 102" xfId="28739"/>
    <cellStyle name="Currency 102 2" xfId="28740"/>
    <cellStyle name="Currency 103" xfId="28741"/>
    <cellStyle name="Currency 103 2" xfId="28742"/>
    <cellStyle name="Currency 104" xfId="28743"/>
    <cellStyle name="Currency 104 2" xfId="28744"/>
    <cellStyle name="Currency 105" xfId="28745"/>
    <cellStyle name="Currency 105 2" xfId="28746"/>
    <cellStyle name="Currency 106" xfId="28747"/>
    <cellStyle name="Currency 106 2" xfId="28748"/>
    <cellStyle name="Currency 107" xfId="28749"/>
    <cellStyle name="Currency 107 2" xfId="28750"/>
    <cellStyle name="Currency 108" xfId="28751"/>
    <cellStyle name="Currency 108 2" xfId="28752"/>
    <cellStyle name="Currency 109" xfId="28753"/>
    <cellStyle name="Currency 109 2" xfId="28754"/>
    <cellStyle name="Currency 11" xfId="1720"/>
    <cellStyle name="Currency 11 2" xfId="1721"/>
    <cellStyle name="Currency 11 2 2" xfId="1722"/>
    <cellStyle name="Currency 11 2 2 2" xfId="1723"/>
    <cellStyle name="Currency 11 2 2 2 2" xfId="1724"/>
    <cellStyle name="Currency 11 2 2 3" xfId="1725"/>
    <cellStyle name="Currency 11 2 3" xfId="1726"/>
    <cellStyle name="Currency 11 2 3 2" xfId="1727"/>
    <cellStyle name="Currency 11 2 4" xfId="1728"/>
    <cellStyle name="Currency 11 3" xfId="1729"/>
    <cellStyle name="Currency 11 3 2" xfId="1730"/>
    <cellStyle name="Currency 11 3 2 2" xfId="1731"/>
    <cellStyle name="Currency 11 3 3" xfId="1732"/>
    <cellStyle name="Currency 11 4" xfId="1733"/>
    <cellStyle name="Currency 11 4 2" xfId="1734"/>
    <cellStyle name="Currency 11 5" xfId="1735"/>
    <cellStyle name="Currency 110" xfId="28755"/>
    <cellStyle name="Currency 110 2" xfId="28756"/>
    <cellStyle name="Currency 111" xfId="28757"/>
    <cellStyle name="Currency 111 2" xfId="28758"/>
    <cellStyle name="Currency 112" xfId="28759"/>
    <cellStyle name="Currency 112 2" xfId="28760"/>
    <cellStyle name="Currency 113" xfId="28761"/>
    <cellStyle name="Currency 113 2" xfId="28762"/>
    <cellStyle name="Currency 114" xfId="28763"/>
    <cellStyle name="Currency 114 2" xfId="28764"/>
    <cellStyle name="Currency 115" xfId="28765"/>
    <cellStyle name="Currency 115 2" xfId="28766"/>
    <cellStyle name="Currency 116" xfId="28767"/>
    <cellStyle name="Currency 116 2" xfId="28768"/>
    <cellStyle name="Currency 117" xfId="28769"/>
    <cellStyle name="Currency 117 2" xfId="28770"/>
    <cellStyle name="Currency 118" xfId="28771"/>
    <cellStyle name="Currency 118 2" xfId="28772"/>
    <cellStyle name="Currency 119" xfId="28773"/>
    <cellStyle name="Currency 119 2" xfId="28774"/>
    <cellStyle name="Currency 12" xfId="1736"/>
    <cellStyle name="Currency 12 2" xfId="1737"/>
    <cellStyle name="Currency 12 2 2" xfId="1738"/>
    <cellStyle name="Currency 12 2 2 2" xfId="1739"/>
    <cellStyle name="Currency 12 2 2 2 2" xfId="1740"/>
    <cellStyle name="Currency 12 2 2 3" xfId="1741"/>
    <cellStyle name="Currency 12 2 3" xfId="1742"/>
    <cellStyle name="Currency 12 2 3 2" xfId="1743"/>
    <cellStyle name="Currency 12 2 4" xfId="1744"/>
    <cellStyle name="Currency 12 3" xfId="1745"/>
    <cellStyle name="Currency 12 3 2" xfId="1746"/>
    <cellStyle name="Currency 12 3 2 2" xfId="1747"/>
    <cellStyle name="Currency 12 3 3" xfId="1748"/>
    <cellStyle name="Currency 12 4" xfId="1749"/>
    <cellStyle name="Currency 12 4 2" xfId="1750"/>
    <cellStyle name="Currency 12 5" xfId="1751"/>
    <cellStyle name="Currency 120" xfId="28775"/>
    <cellStyle name="Currency 120 2" xfId="28776"/>
    <cellStyle name="Currency 121" xfId="28777"/>
    <cellStyle name="Currency 121 2" xfId="28778"/>
    <cellStyle name="Currency 122" xfId="28779"/>
    <cellStyle name="Currency 122 2" xfId="28780"/>
    <cellStyle name="Currency 123" xfId="28781"/>
    <cellStyle name="Currency 123 2" xfId="28782"/>
    <cellStyle name="Currency 124" xfId="28783"/>
    <cellStyle name="Currency 124 2" xfId="28784"/>
    <cellStyle name="Currency 125" xfId="28785"/>
    <cellStyle name="Currency 125 2" xfId="28786"/>
    <cellStyle name="Currency 126" xfId="28787"/>
    <cellStyle name="Currency 126 2" xfId="28788"/>
    <cellStyle name="Currency 127" xfId="28789"/>
    <cellStyle name="Currency 127 2" xfId="28790"/>
    <cellStyle name="Currency 128" xfId="28791"/>
    <cellStyle name="Currency 128 2" xfId="28792"/>
    <cellStyle name="Currency 129" xfId="28793"/>
    <cellStyle name="Currency 129 2" xfId="28794"/>
    <cellStyle name="Currency 13" xfId="1752"/>
    <cellStyle name="Currency 13 2" xfId="28795"/>
    <cellStyle name="Currency 13 2 2" xfId="28796"/>
    <cellStyle name="Currency 13 2 3" xfId="28797"/>
    <cellStyle name="Currency 13 3" xfId="28798"/>
    <cellStyle name="Currency 13 3 2" xfId="28799"/>
    <cellStyle name="Currency 13 4" xfId="28800"/>
    <cellStyle name="Currency 130" xfId="28801"/>
    <cellStyle name="Currency 130 2" xfId="28802"/>
    <cellStyle name="Currency 131" xfId="28803"/>
    <cellStyle name="Currency 131 2" xfId="28804"/>
    <cellStyle name="Currency 132" xfId="28805"/>
    <cellStyle name="Currency 132 2" xfId="28806"/>
    <cellStyle name="Currency 133" xfId="28807"/>
    <cellStyle name="Currency 133 2" xfId="28808"/>
    <cellStyle name="Currency 134" xfId="28809"/>
    <cellStyle name="Currency 134 2" xfId="28810"/>
    <cellStyle name="Currency 135" xfId="28811"/>
    <cellStyle name="Currency 135 2" xfId="28812"/>
    <cellStyle name="Currency 136" xfId="28813"/>
    <cellStyle name="Currency 136 2" xfId="28814"/>
    <cellStyle name="Currency 137" xfId="28815"/>
    <cellStyle name="Currency 137 2" xfId="28816"/>
    <cellStyle name="Currency 138" xfId="28817"/>
    <cellStyle name="Currency 138 2" xfId="28818"/>
    <cellStyle name="Currency 139" xfId="28819"/>
    <cellStyle name="Currency 139 2" xfId="28820"/>
    <cellStyle name="Currency 14" xfId="1753"/>
    <cellStyle name="Currency 14 2" xfId="28821"/>
    <cellStyle name="Currency 14 2 2" xfId="28822"/>
    <cellStyle name="Currency 14 2 3" xfId="28823"/>
    <cellStyle name="Currency 14 3" xfId="28824"/>
    <cellStyle name="Currency 14 3 2" xfId="28825"/>
    <cellStyle name="Currency 14 3 3" xfId="28826"/>
    <cellStyle name="Currency 14 4" xfId="28827"/>
    <cellStyle name="Currency 14 4 2" xfId="28828"/>
    <cellStyle name="Currency 14 5" xfId="28829"/>
    <cellStyle name="Currency 140" xfId="28830"/>
    <cellStyle name="Currency 140 2" xfId="28831"/>
    <cellStyle name="Currency 141" xfId="28832"/>
    <cellStyle name="Currency 141 2" xfId="28833"/>
    <cellStyle name="Currency 142" xfId="28834"/>
    <cellStyle name="Currency 142 2" xfId="28835"/>
    <cellStyle name="Currency 143" xfId="28836"/>
    <cellStyle name="Currency 143 2" xfId="28837"/>
    <cellStyle name="Currency 144" xfId="28838"/>
    <cellStyle name="Currency 144 2" xfId="28839"/>
    <cellStyle name="Currency 145" xfId="28840"/>
    <cellStyle name="Currency 145 2" xfId="28841"/>
    <cellStyle name="Currency 146" xfId="28842"/>
    <cellStyle name="Currency 146 2" xfId="28843"/>
    <cellStyle name="Currency 147" xfId="28844"/>
    <cellStyle name="Currency 147 2" xfId="28845"/>
    <cellStyle name="Currency 148" xfId="28846"/>
    <cellStyle name="Currency 148 2" xfId="28847"/>
    <cellStyle name="Currency 149" xfId="28848"/>
    <cellStyle name="Currency 149 2" xfId="28849"/>
    <cellStyle name="Currency 15" xfId="1754"/>
    <cellStyle name="Currency 15 2" xfId="28850"/>
    <cellStyle name="Currency 15 2 2" xfId="28851"/>
    <cellStyle name="Currency 15 2 3" xfId="28852"/>
    <cellStyle name="Currency 15 3" xfId="28853"/>
    <cellStyle name="Currency 15 3 2" xfId="28854"/>
    <cellStyle name="Currency 15 3 3" xfId="28855"/>
    <cellStyle name="Currency 15 4" xfId="28856"/>
    <cellStyle name="Currency 15 4 2" xfId="28857"/>
    <cellStyle name="Currency 15 5" xfId="28858"/>
    <cellStyle name="Currency 150" xfId="28859"/>
    <cellStyle name="Currency 150 2" xfId="28860"/>
    <cellStyle name="Currency 151" xfId="28861"/>
    <cellStyle name="Currency 151 2" xfId="28862"/>
    <cellStyle name="Currency 152" xfId="28863"/>
    <cellStyle name="Currency 152 2" xfId="28864"/>
    <cellStyle name="Currency 153" xfId="28865"/>
    <cellStyle name="Currency 153 2" xfId="28866"/>
    <cellStyle name="Currency 154" xfId="28867"/>
    <cellStyle name="Currency 154 2" xfId="28868"/>
    <cellStyle name="Currency 155" xfId="28869"/>
    <cellStyle name="Currency 155 2" xfId="28870"/>
    <cellStyle name="Currency 156" xfId="28871"/>
    <cellStyle name="Currency 156 2" xfId="28872"/>
    <cellStyle name="Currency 157" xfId="28873"/>
    <cellStyle name="Currency 157 2" xfId="28874"/>
    <cellStyle name="Currency 158" xfId="28875"/>
    <cellStyle name="Currency 158 2" xfId="28876"/>
    <cellStyle name="Currency 159" xfId="28877"/>
    <cellStyle name="Currency 159 2" xfId="28878"/>
    <cellStyle name="Currency 16" xfId="1755"/>
    <cellStyle name="Currency 16 2" xfId="28879"/>
    <cellStyle name="Currency 16 2 2" xfId="28880"/>
    <cellStyle name="Currency 16 2 3" xfId="28881"/>
    <cellStyle name="Currency 16 3" xfId="28882"/>
    <cellStyle name="Currency 16 4" xfId="28883"/>
    <cellStyle name="Currency 160" xfId="28884"/>
    <cellStyle name="Currency 160 2" xfId="28885"/>
    <cellStyle name="Currency 161" xfId="28886"/>
    <cellStyle name="Currency 161 2" xfId="28887"/>
    <cellStyle name="Currency 162" xfId="28888"/>
    <cellStyle name="Currency 162 2" xfId="28889"/>
    <cellStyle name="Currency 163" xfId="28890"/>
    <cellStyle name="Currency 163 2" xfId="28891"/>
    <cellStyle name="Currency 164" xfId="28892"/>
    <cellStyle name="Currency 164 2" xfId="28893"/>
    <cellStyle name="Currency 165" xfId="28894"/>
    <cellStyle name="Currency 165 2" xfId="28895"/>
    <cellStyle name="Currency 166" xfId="28896"/>
    <cellStyle name="Currency 166 2" xfId="28897"/>
    <cellStyle name="Currency 167" xfId="28898"/>
    <cellStyle name="Currency 167 2" xfId="28899"/>
    <cellStyle name="Currency 168" xfId="28900"/>
    <cellStyle name="Currency 168 2" xfId="28901"/>
    <cellStyle name="Currency 169" xfId="28902"/>
    <cellStyle name="Currency 169 2" xfId="28903"/>
    <cellStyle name="Currency 17" xfId="1756"/>
    <cellStyle name="Currency 17 2" xfId="28904"/>
    <cellStyle name="Currency 17 2 2" xfId="28905"/>
    <cellStyle name="Currency 17 2 3" xfId="28906"/>
    <cellStyle name="Currency 17 3" xfId="28907"/>
    <cellStyle name="Currency 17 4" xfId="28908"/>
    <cellStyle name="Currency 170" xfId="28909"/>
    <cellStyle name="Currency 170 2" xfId="28910"/>
    <cellStyle name="Currency 171" xfId="28911"/>
    <cellStyle name="Currency 171 2" xfId="28912"/>
    <cellStyle name="Currency 172" xfId="28913"/>
    <cellStyle name="Currency 172 2" xfId="28914"/>
    <cellStyle name="Currency 173" xfId="28915"/>
    <cellStyle name="Currency 173 2" xfId="28916"/>
    <cellStyle name="Currency 174" xfId="28917"/>
    <cellStyle name="Currency 174 2" xfId="28918"/>
    <cellStyle name="Currency 175" xfId="28919"/>
    <cellStyle name="Currency 175 2" xfId="28920"/>
    <cellStyle name="Currency 176" xfId="28921"/>
    <cellStyle name="Currency 176 2" xfId="28922"/>
    <cellStyle name="Currency 177" xfId="28923"/>
    <cellStyle name="Currency 177 2" xfId="28924"/>
    <cellStyle name="Currency 178" xfId="28925"/>
    <cellStyle name="Currency 178 2" xfId="28926"/>
    <cellStyle name="Currency 179" xfId="28927"/>
    <cellStyle name="Currency 179 2" xfId="28928"/>
    <cellStyle name="Currency 18" xfId="1757"/>
    <cellStyle name="Currency 18 2" xfId="28929"/>
    <cellStyle name="Currency 18 2 2" xfId="28930"/>
    <cellStyle name="Currency 18 2 3" xfId="28931"/>
    <cellStyle name="Currency 18 3" xfId="28932"/>
    <cellStyle name="Currency 18 4" xfId="28933"/>
    <cellStyle name="Currency 180" xfId="28934"/>
    <cellStyle name="Currency 180 2" xfId="28935"/>
    <cellStyle name="Currency 181" xfId="28936"/>
    <cellStyle name="Currency 181 2" xfId="28937"/>
    <cellStyle name="Currency 182" xfId="28938"/>
    <cellStyle name="Currency 182 2" xfId="28939"/>
    <cellStyle name="Currency 183" xfId="28940"/>
    <cellStyle name="Currency 184" xfId="28941"/>
    <cellStyle name="Currency 185" xfId="28942"/>
    <cellStyle name="Currency 186" xfId="28943"/>
    <cellStyle name="Currency 187" xfId="28944"/>
    <cellStyle name="Currency 188" xfId="28945"/>
    <cellStyle name="Currency 189" xfId="28946"/>
    <cellStyle name="Currency 19" xfId="1758"/>
    <cellStyle name="Currency 19 2" xfId="28947"/>
    <cellStyle name="Currency 19 2 2" xfId="28948"/>
    <cellStyle name="Currency 19 2 3" xfId="28949"/>
    <cellStyle name="Currency 19 3" xfId="28950"/>
    <cellStyle name="Currency 19 4" xfId="28951"/>
    <cellStyle name="Currency 190" xfId="28952"/>
    <cellStyle name="Currency 191" xfId="28953"/>
    <cellStyle name="Currency 192" xfId="28954"/>
    <cellStyle name="Currency 193" xfId="28955"/>
    <cellStyle name="Currency 194" xfId="28956"/>
    <cellStyle name="Currency 195" xfId="28957"/>
    <cellStyle name="Currency 196" xfId="28958"/>
    <cellStyle name="Currency 197" xfId="28959"/>
    <cellStyle name="Currency 198" xfId="28960"/>
    <cellStyle name="Currency 199" xfId="28961"/>
    <cellStyle name="Currency 2" xfId="16"/>
    <cellStyle name="Currency 2 2" xfId="17"/>
    <cellStyle name="Currency 2 2 10" xfId="28962"/>
    <cellStyle name="Currency 2 2 11" xfId="28963"/>
    <cellStyle name="Currency 2 2 2" xfId="1759"/>
    <cellStyle name="Currency 2 2 2 2" xfId="28964"/>
    <cellStyle name="Currency 2 2 2 3" xfId="28965"/>
    <cellStyle name="Currency 2 2 3" xfId="1760"/>
    <cellStyle name="Currency 2 2 3 2" xfId="28966"/>
    <cellStyle name="Currency 2 2 3 3" xfId="28967"/>
    <cellStyle name="Currency 2 2 4" xfId="1761"/>
    <cellStyle name="Currency 2 2 4 2" xfId="28968"/>
    <cellStyle name="Currency 2 2 4 3" xfId="28969"/>
    <cellStyle name="Currency 2 2 5" xfId="28970"/>
    <cellStyle name="Currency 2 2 5 2" xfId="28971"/>
    <cellStyle name="Currency 2 2 5 3" xfId="28972"/>
    <cellStyle name="Currency 2 2 6" xfId="28973"/>
    <cellStyle name="Currency 2 2 6 2" xfId="28974"/>
    <cellStyle name="Currency 2 2 6 3" xfId="28975"/>
    <cellStyle name="Currency 2 2 7" xfId="28976"/>
    <cellStyle name="Currency 2 2 7 2" xfId="28977"/>
    <cellStyle name="Currency 2 2 7 3" xfId="28978"/>
    <cellStyle name="Currency 2 2 8" xfId="28979"/>
    <cellStyle name="Currency 2 2 8 2" xfId="28980"/>
    <cellStyle name="Currency 2 2 8 3" xfId="28981"/>
    <cellStyle name="Currency 2 2 9" xfId="28982"/>
    <cellStyle name="Currency 2 3" xfId="18"/>
    <cellStyle name="Currency 2 3 2" xfId="28983"/>
    <cellStyle name="Currency 2 3 2 2" xfId="28984"/>
    <cellStyle name="Currency 2 3 3" xfId="28985"/>
    <cellStyle name="Currency 2 3 4" xfId="28986"/>
    <cellStyle name="Currency 2 4" xfId="1762"/>
    <cellStyle name="Currency 2 4 2" xfId="1763"/>
    <cellStyle name="Currency 2 4 3" xfId="28987"/>
    <cellStyle name="Currency 2 5" xfId="1764"/>
    <cellStyle name="Currency 2 5 2" xfId="1765"/>
    <cellStyle name="Currency 2 5 2 2" xfId="1766"/>
    <cellStyle name="Currency 2 5 2 2 2" xfId="1767"/>
    <cellStyle name="Currency 2 5 2 3" xfId="1768"/>
    <cellStyle name="Currency 2 5 3" xfId="1769"/>
    <cellStyle name="Currency 2 5 3 2" xfId="1770"/>
    <cellStyle name="Currency 2 5 4" xfId="1771"/>
    <cellStyle name="Currency 2 6" xfId="1772"/>
    <cellStyle name="Currency 2 6 2" xfId="1773"/>
    <cellStyle name="Currency 2 6 2 2" xfId="1774"/>
    <cellStyle name="Currency 2 6 3" xfId="1775"/>
    <cellStyle name="Currency 2 7" xfId="1776"/>
    <cellStyle name="Currency 2 7 2" xfId="1777"/>
    <cellStyle name="Currency 2 7 3" xfId="28988"/>
    <cellStyle name="Currency 2 8" xfId="1778"/>
    <cellStyle name="Currency 2 9" xfId="28989"/>
    <cellStyle name="Currency 20" xfId="1779"/>
    <cellStyle name="Currency 20 2" xfId="28990"/>
    <cellStyle name="Currency 20 2 2" xfId="28991"/>
    <cellStyle name="Currency 20 2 3" xfId="28992"/>
    <cellStyle name="Currency 20 3" xfId="28993"/>
    <cellStyle name="Currency 20 4" xfId="28994"/>
    <cellStyle name="Currency 200" xfId="28995"/>
    <cellStyle name="Currency 201" xfId="28996"/>
    <cellStyle name="Currency 202" xfId="28997"/>
    <cellStyle name="Currency 203" xfId="28998"/>
    <cellStyle name="Currency 204" xfId="28999"/>
    <cellStyle name="Currency 205" xfId="29000"/>
    <cellStyle name="Currency 206" xfId="29001"/>
    <cellStyle name="Currency 207" xfId="29002"/>
    <cellStyle name="Currency 208" xfId="29003"/>
    <cellStyle name="Currency 209" xfId="29004"/>
    <cellStyle name="Currency 21" xfId="1780"/>
    <cellStyle name="Currency 21 2" xfId="29005"/>
    <cellStyle name="Currency 21 3" xfId="29006"/>
    <cellStyle name="Currency 210" xfId="29007"/>
    <cellStyle name="Currency 211" xfId="29008"/>
    <cellStyle name="Currency 212" xfId="29009"/>
    <cellStyle name="Currency 213" xfId="50296"/>
    <cellStyle name="Currency 22" xfId="29010"/>
    <cellStyle name="Currency 22 2" xfId="29011"/>
    <cellStyle name="Currency 22 3" xfId="29012"/>
    <cellStyle name="Currency 23" xfId="29013"/>
    <cellStyle name="Currency 23 2" xfId="29014"/>
    <cellStyle name="Currency 23 3" xfId="29015"/>
    <cellStyle name="Currency 24" xfId="29016"/>
    <cellStyle name="Currency 24 2" xfId="29017"/>
    <cellStyle name="Currency 24 3" xfId="29018"/>
    <cellStyle name="Currency 25" xfId="29019"/>
    <cellStyle name="Currency 25 2" xfId="29020"/>
    <cellStyle name="Currency 25 2 2" xfId="29021"/>
    <cellStyle name="Currency 25 2 3" xfId="29022"/>
    <cellStyle name="Currency 25 3" xfId="29023"/>
    <cellStyle name="Currency 25 4" xfId="29024"/>
    <cellStyle name="Currency 26" xfId="29025"/>
    <cellStyle name="Currency 26 2" xfId="29026"/>
    <cellStyle name="Currency 26 3" xfId="29027"/>
    <cellStyle name="Currency 27" xfId="29028"/>
    <cellStyle name="Currency 27 2" xfId="29029"/>
    <cellStyle name="Currency 27 3" xfId="29030"/>
    <cellStyle name="Currency 28" xfId="29031"/>
    <cellStyle name="Currency 28 2" xfId="29032"/>
    <cellStyle name="Currency 28 3" xfId="29033"/>
    <cellStyle name="Currency 29" xfId="29034"/>
    <cellStyle name="Currency 29 2" xfId="29035"/>
    <cellStyle name="Currency 29 2 2" xfId="29036"/>
    <cellStyle name="Currency 29 2 3" xfId="29037"/>
    <cellStyle name="Currency 29 3" xfId="29038"/>
    <cellStyle name="Currency 29 4" xfId="29039"/>
    <cellStyle name="Currency 3" xfId="19"/>
    <cellStyle name="Currency 3 2" xfId="74"/>
    <cellStyle name="Currency 3 2 2" xfId="1781"/>
    <cellStyle name="Currency 3 2 2 2" xfId="29040"/>
    <cellStyle name="Currency 3 2 3" xfId="1782"/>
    <cellStyle name="Currency 3 2 4" xfId="1783"/>
    <cellStyle name="Currency 3 3" xfId="1784"/>
    <cellStyle name="Currency 3 3 2" xfId="29041"/>
    <cellStyle name="Currency 3 3 3" xfId="29042"/>
    <cellStyle name="Currency 3 4" xfId="1785"/>
    <cellStyle name="Currency 3 4 2" xfId="29043"/>
    <cellStyle name="Currency 3 4 3" xfId="29044"/>
    <cellStyle name="Currency 3 5" xfId="1786"/>
    <cellStyle name="Currency 3 5 2" xfId="29045"/>
    <cellStyle name="Currency 3 5 3" xfId="29046"/>
    <cellStyle name="Currency 3 6" xfId="1787"/>
    <cellStyle name="Currency 3 7" xfId="29047"/>
    <cellStyle name="Currency 30" xfId="29048"/>
    <cellStyle name="Currency 30 2" xfId="29049"/>
    <cellStyle name="Currency 30 2 2" xfId="29050"/>
    <cellStyle name="Currency 30 2 3" xfId="29051"/>
    <cellStyle name="Currency 30 3" xfId="29052"/>
    <cellStyle name="Currency 30 4" xfId="29053"/>
    <cellStyle name="Currency 31" xfId="29054"/>
    <cellStyle name="Currency 31 2" xfId="29055"/>
    <cellStyle name="Currency 31 2 2" xfId="29056"/>
    <cellStyle name="Currency 31 2 3" xfId="29057"/>
    <cellStyle name="Currency 31 3" xfId="29058"/>
    <cellStyle name="Currency 31 4" xfId="29059"/>
    <cellStyle name="Currency 32" xfId="29060"/>
    <cellStyle name="Currency 32 2" xfId="29061"/>
    <cellStyle name="Currency 32 3" xfId="29062"/>
    <cellStyle name="Currency 33" xfId="29063"/>
    <cellStyle name="Currency 33 2" xfId="29064"/>
    <cellStyle name="Currency 33 3" xfId="29065"/>
    <cellStyle name="Currency 34" xfId="29066"/>
    <cellStyle name="Currency 34 2" xfId="29067"/>
    <cellStyle name="Currency 34 3" xfId="29068"/>
    <cellStyle name="Currency 35" xfId="29069"/>
    <cellStyle name="Currency 35 2" xfId="29070"/>
    <cellStyle name="Currency 35 3" xfId="29071"/>
    <cellStyle name="Currency 36" xfId="29072"/>
    <cellStyle name="Currency 36 2" xfId="29073"/>
    <cellStyle name="Currency 36 3" xfId="29074"/>
    <cellStyle name="Currency 37" xfId="29075"/>
    <cellStyle name="Currency 37 2" xfId="29076"/>
    <cellStyle name="Currency 37 3" xfId="29077"/>
    <cellStyle name="Currency 38" xfId="29078"/>
    <cellStyle name="Currency 38 2" xfId="29079"/>
    <cellStyle name="Currency 38 2 2" xfId="29080"/>
    <cellStyle name="Currency 38 2 3" xfId="29081"/>
    <cellStyle name="Currency 38 3" xfId="29082"/>
    <cellStyle name="Currency 38 4" xfId="29083"/>
    <cellStyle name="Currency 39" xfId="29084"/>
    <cellStyle name="Currency 39 2" xfId="29085"/>
    <cellStyle name="Currency 39 2 2" xfId="29086"/>
    <cellStyle name="Currency 39 2 3" xfId="29087"/>
    <cellStyle name="Currency 39 3" xfId="29088"/>
    <cellStyle name="Currency 39 4" xfId="29089"/>
    <cellStyle name="Currency 4" xfId="20"/>
    <cellStyle name="Currency 4 2" xfId="1788"/>
    <cellStyle name="Currency 4 2 2" xfId="1789"/>
    <cellStyle name="Currency 4 2 2 2" xfId="1790"/>
    <cellStyle name="Currency 4 2 2 2 2" xfId="1791"/>
    <cellStyle name="Currency 4 2 2 2 2 2" xfId="1792"/>
    <cellStyle name="Currency 4 2 2 2 3" xfId="1793"/>
    <cellStyle name="Currency 4 2 2 3" xfId="1794"/>
    <cellStyle name="Currency 4 2 2 3 2" xfId="1795"/>
    <cellStyle name="Currency 4 2 2 4" xfId="1796"/>
    <cellStyle name="Currency 4 2 3" xfId="1797"/>
    <cellStyle name="Currency 4 2 3 2" xfId="1798"/>
    <cellStyle name="Currency 4 2 3 2 2" xfId="1799"/>
    <cellStyle name="Currency 4 2 3 3" xfId="1800"/>
    <cellStyle name="Currency 4 2 4" xfId="1801"/>
    <cellStyle name="Currency 4 2 4 2" xfId="1802"/>
    <cellStyle name="Currency 4 2 5" xfId="1803"/>
    <cellStyle name="Currency 4 3" xfId="1804"/>
    <cellStyle name="Currency 4 4" xfId="5711"/>
    <cellStyle name="Currency 4 5" xfId="29090"/>
    <cellStyle name="Currency 40" xfId="29091"/>
    <cellStyle name="Currency 40 2" xfId="29092"/>
    <cellStyle name="Currency 40 2 2" xfId="29093"/>
    <cellStyle name="Currency 40 2 3" xfId="29094"/>
    <cellStyle name="Currency 40 3" xfId="29095"/>
    <cellStyle name="Currency 40 4" xfId="29096"/>
    <cellStyle name="Currency 41" xfId="29097"/>
    <cellStyle name="Currency 41 2" xfId="29098"/>
    <cellStyle name="Currency 41 2 2" xfId="29099"/>
    <cellStyle name="Currency 41 2 3" xfId="29100"/>
    <cellStyle name="Currency 41 3" xfId="29101"/>
    <cellStyle name="Currency 41 4" xfId="29102"/>
    <cellStyle name="Currency 42" xfId="29103"/>
    <cellStyle name="Currency 42 2" xfId="29104"/>
    <cellStyle name="Currency 42 3" xfId="29105"/>
    <cellStyle name="Currency 43" xfId="29106"/>
    <cellStyle name="Currency 43 2" xfId="29107"/>
    <cellStyle name="Currency 43 3" xfId="29108"/>
    <cellStyle name="Currency 44" xfId="29109"/>
    <cellStyle name="Currency 44 2" xfId="29110"/>
    <cellStyle name="Currency 44 3" xfId="29111"/>
    <cellStyle name="Currency 45" xfId="29112"/>
    <cellStyle name="Currency 45 2" xfId="29113"/>
    <cellStyle name="Currency 45 3" xfId="29114"/>
    <cellStyle name="Currency 46" xfId="29115"/>
    <cellStyle name="Currency 46 2" xfId="29116"/>
    <cellStyle name="Currency 46 3" xfId="29117"/>
    <cellStyle name="Currency 47" xfId="29118"/>
    <cellStyle name="Currency 47 2" xfId="29119"/>
    <cellStyle name="Currency 47 3" xfId="29120"/>
    <cellStyle name="Currency 48" xfId="29121"/>
    <cellStyle name="Currency 48 2" xfId="29122"/>
    <cellStyle name="Currency 48 3" xfId="29123"/>
    <cellStyle name="Currency 49" xfId="29124"/>
    <cellStyle name="Currency 49 2" xfId="29125"/>
    <cellStyle name="Currency 49 3" xfId="29126"/>
    <cellStyle name="Currency 5" xfId="21"/>
    <cellStyle name="Currency 5 2" xfId="100"/>
    <cellStyle name="Currency 5 2 2" xfId="29127"/>
    <cellStyle name="Currency 5 2 3" xfId="29128"/>
    <cellStyle name="Currency 5 3" xfId="29129"/>
    <cellStyle name="Currency 5 3 2" xfId="29130"/>
    <cellStyle name="Currency 5 3 3" xfId="29131"/>
    <cellStyle name="Currency 5 4" xfId="29132"/>
    <cellStyle name="Currency 5 5" xfId="29133"/>
    <cellStyle name="Currency 5 6" xfId="29134"/>
    <cellStyle name="Currency 50" xfId="29135"/>
    <cellStyle name="Currency 50 2" xfId="29136"/>
    <cellStyle name="Currency 50 3" xfId="29137"/>
    <cellStyle name="Currency 51" xfId="29138"/>
    <cellStyle name="Currency 51 2" xfId="29139"/>
    <cellStyle name="Currency 51 3" xfId="29140"/>
    <cellStyle name="Currency 52" xfId="29141"/>
    <cellStyle name="Currency 52 2" xfId="29142"/>
    <cellStyle name="Currency 52 3" xfId="29143"/>
    <cellStyle name="Currency 53" xfId="29144"/>
    <cellStyle name="Currency 53 2" xfId="29145"/>
    <cellStyle name="Currency 53 3" xfId="29146"/>
    <cellStyle name="Currency 54" xfId="29147"/>
    <cellStyle name="Currency 54 2" xfId="29148"/>
    <cellStyle name="Currency 54 3" xfId="29149"/>
    <cellStyle name="Currency 55" xfId="29150"/>
    <cellStyle name="Currency 55 2" xfId="29151"/>
    <cellStyle name="Currency 55 3" xfId="29152"/>
    <cellStyle name="Currency 56" xfId="29153"/>
    <cellStyle name="Currency 56 2" xfId="29154"/>
    <cellStyle name="Currency 56 3" xfId="29155"/>
    <cellStyle name="Currency 57" xfId="29156"/>
    <cellStyle name="Currency 57 2" xfId="29157"/>
    <cellStyle name="Currency 57 3" xfId="29158"/>
    <cellStyle name="Currency 58" xfId="29159"/>
    <cellStyle name="Currency 58 2" xfId="29160"/>
    <cellStyle name="Currency 58 3" xfId="29161"/>
    <cellStyle name="Currency 59" xfId="29162"/>
    <cellStyle name="Currency 59 2" xfId="29163"/>
    <cellStyle name="Currency 59 3" xfId="29164"/>
    <cellStyle name="Currency 6" xfId="41"/>
    <cellStyle name="Currency 6 2" xfId="29165"/>
    <cellStyle name="Currency 6 2 2" xfId="29166"/>
    <cellStyle name="Currency 6 2 3" xfId="29167"/>
    <cellStyle name="Currency 6 3" xfId="29168"/>
    <cellStyle name="Currency 6 3 2" xfId="29169"/>
    <cellStyle name="Currency 6 4" xfId="29170"/>
    <cellStyle name="Currency 60" xfId="29171"/>
    <cellStyle name="Currency 60 2" xfId="29172"/>
    <cellStyle name="Currency 60 3" xfId="29173"/>
    <cellStyle name="Currency 61" xfId="29174"/>
    <cellStyle name="Currency 61 2" xfId="29175"/>
    <cellStyle name="Currency 61 3" xfId="29176"/>
    <cellStyle name="Currency 62" xfId="29177"/>
    <cellStyle name="Currency 62 2" xfId="29178"/>
    <cellStyle name="Currency 62 3" xfId="29179"/>
    <cellStyle name="Currency 63" xfId="29180"/>
    <cellStyle name="Currency 63 2" xfId="29181"/>
    <cellStyle name="Currency 63 3" xfId="29182"/>
    <cellStyle name="Currency 64" xfId="29183"/>
    <cellStyle name="Currency 64 2" xfId="29184"/>
    <cellStyle name="Currency 64 3" xfId="29185"/>
    <cellStyle name="Currency 65" xfId="29186"/>
    <cellStyle name="Currency 65 2" xfId="29187"/>
    <cellStyle name="Currency 65 3" xfId="29188"/>
    <cellStyle name="Currency 66" xfId="29189"/>
    <cellStyle name="Currency 66 2" xfId="29190"/>
    <cellStyle name="Currency 66 2 2" xfId="29191"/>
    <cellStyle name="Currency 66 3" xfId="29192"/>
    <cellStyle name="Currency 67" xfId="29193"/>
    <cellStyle name="Currency 67 2" xfId="29194"/>
    <cellStyle name="Currency 67 2 2" xfId="29195"/>
    <cellStyle name="Currency 67 3" xfId="29196"/>
    <cellStyle name="Currency 68" xfId="29197"/>
    <cellStyle name="Currency 68 2" xfId="29198"/>
    <cellStyle name="Currency 68 2 2" xfId="29199"/>
    <cellStyle name="Currency 68 3" xfId="29200"/>
    <cellStyle name="Currency 69" xfId="29201"/>
    <cellStyle name="Currency 69 2" xfId="29202"/>
    <cellStyle name="Currency 69 2 2" xfId="29203"/>
    <cellStyle name="Currency 69 3" xfId="29204"/>
    <cellStyle name="Currency 7" xfId="105"/>
    <cellStyle name="Currency 7 2" xfId="29205"/>
    <cellStyle name="Currency 7 2 2" xfId="29206"/>
    <cellStyle name="Currency 7 2 3" xfId="29207"/>
    <cellStyle name="Currency 7 3" xfId="29208"/>
    <cellStyle name="Currency 7 3 2" xfId="29209"/>
    <cellStyle name="Currency 7 4" xfId="29210"/>
    <cellStyle name="Currency 70" xfId="29211"/>
    <cellStyle name="Currency 70 2" xfId="29212"/>
    <cellStyle name="Currency 70 2 2" xfId="29213"/>
    <cellStyle name="Currency 70 3" xfId="29214"/>
    <cellStyle name="Currency 71" xfId="29215"/>
    <cellStyle name="Currency 71 2" xfId="29216"/>
    <cellStyle name="Currency 71 2 2" xfId="29217"/>
    <cellStyle name="Currency 71 3" xfId="29218"/>
    <cellStyle name="Currency 72" xfId="29219"/>
    <cellStyle name="Currency 72 2" xfId="29220"/>
    <cellStyle name="Currency 72 2 2" xfId="29221"/>
    <cellStyle name="Currency 72 3" xfId="29222"/>
    <cellStyle name="Currency 73" xfId="29223"/>
    <cellStyle name="Currency 73 2" xfId="29224"/>
    <cellStyle name="Currency 73 2 2" xfId="29225"/>
    <cellStyle name="Currency 73 3" xfId="29226"/>
    <cellStyle name="Currency 74" xfId="29227"/>
    <cellStyle name="Currency 74 2" xfId="29228"/>
    <cellStyle name="Currency 74 3" xfId="29229"/>
    <cellStyle name="Currency 75" xfId="29230"/>
    <cellStyle name="Currency 75 2" xfId="29231"/>
    <cellStyle name="Currency 75 3" xfId="29232"/>
    <cellStyle name="Currency 76" xfId="29233"/>
    <cellStyle name="Currency 76 2" xfId="29234"/>
    <cellStyle name="Currency 76 3" xfId="29235"/>
    <cellStyle name="Currency 77" xfId="29236"/>
    <cellStyle name="Currency 77 2" xfId="29237"/>
    <cellStyle name="Currency 77 2 2" xfId="29238"/>
    <cellStyle name="Currency 77 2 2 2" xfId="29239"/>
    <cellStyle name="Currency 77 2 3" xfId="29240"/>
    <cellStyle name="Currency 77 2 3 2" xfId="29241"/>
    <cellStyle name="Currency 77 3" xfId="29242"/>
    <cellStyle name="Currency 77 3 2" xfId="29243"/>
    <cellStyle name="Currency 77 3 2 2" xfId="29244"/>
    <cellStyle name="Currency 77 3 3" xfId="29245"/>
    <cellStyle name="Currency 77 3 4" xfId="29246"/>
    <cellStyle name="Currency 77 4" xfId="29247"/>
    <cellStyle name="Currency 77 4 2" xfId="29248"/>
    <cellStyle name="Currency 77 5" xfId="29249"/>
    <cellStyle name="Currency 77 5 2" xfId="29250"/>
    <cellStyle name="Currency 77 6" xfId="29251"/>
    <cellStyle name="Currency 78" xfId="29252"/>
    <cellStyle name="Currency 78 2" xfId="29253"/>
    <cellStyle name="Currency 78 2 2" xfId="29254"/>
    <cellStyle name="Currency 78 2 2 2" xfId="29255"/>
    <cellStyle name="Currency 78 2 3" xfId="29256"/>
    <cellStyle name="Currency 78 2 3 2" xfId="29257"/>
    <cellStyle name="Currency 78 3" xfId="29258"/>
    <cellStyle name="Currency 78 3 2" xfId="29259"/>
    <cellStyle name="Currency 78 3 2 2" xfId="29260"/>
    <cellStyle name="Currency 78 3 3" xfId="29261"/>
    <cellStyle name="Currency 78 3 4" xfId="29262"/>
    <cellStyle name="Currency 78 4" xfId="29263"/>
    <cellStyle name="Currency 78 4 2" xfId="29264"/>
    <cellStyle name="Currency 78 5" xfId="29265"/>
    <cellStyle name="Currency 78 5 2" xfId="29266"/>
    <cellStyle name="Currency 78 6" xfId="29267"/>
    <cellStyle name="Currency 79" xfId="29268"/>
    <cellStyle name="Currency 79 2" xfId="29269"/>
    <cellStyle name="Currency 79 3" xfId="29270"/>
    <cellStyle name="Currency 8" xfId="106"/>
    <cellStyle name="Currency 8 2" xfId="29271"/>
    <cellStyle name="Currency 8 2 2" xfId="29272"/>
    <cellStyle name="Currency 8 2 3" xfId="29273"/>
    <cellStyle name="Currency 8 3" xfId="29274"/>
    <cellStyle name="Currency 8 3 2" xfId="29275"/>
    <cellStyle name="Currency 8 4" xfId="29276"/>
    <cellStyle name="Currency 80" xfId="29277"/>
    <cellStyle name="Currency 80 2" xfId="29278"/>
    <cellStyle name="Currency 80 3" xfId="29279"/>
    <cellStyle name="Currency 81" xfId="29280"/>
    <cellStyle name="Currency 81 2" xfId="29281"/>
    <cellStyle name="Currency 81 3" xfId="29282"/>
    <cellStyle name="Currency 82" xfId="29283"/>
    <cellStyle name="Currency 82 2" xfId="29284"/>
    <cellStyle name="Currency 82 3" xfId="29285"/>
    <cellStyle name="Currency 83" xfId="29286"/>
    <cellStyle name="Currency 83 2" xfId="29287"/>
    <cellStyle name="Currency 83 3" xfId="29288"/>
    <cellStyle name="Currency 84" xfId="29289"/>
    <cellStyle name="Currency 84 2" xfId="29290"/>
    <cellStyle name="Currency 84 3" xfId="29291"/>
    <cellStyle name="Currency 85" xfId="29292"/>
    <cellStyle name="Currency 85 2" xfId="29293"/>
    <cellStyle name="Currency 85 3" xfId="29294"/>
    <cellStyle name="Currency 86" xfId="29295"/>
    <cellStyle name="Currency 86 2" xfId="29296"/>
    <cellStyle name="Currency 86 3" xfId="29297"/>
    <cellStyle name="Currency 87" xfId="29298"/>
    <cellStyle name="Currency 87 2" xfId="29299"/>
    <cellStyle name="Currency 87 3" xfId="29300"/>
    <cellStyle name="Currency 88" xfId="29301"/>
    <cellStyle name="Currency 88 2" xfId="29302"/>
    <cellStyle name="Currency 88 3" xfId="29303"/>
    <cellStyle name="Currency 89" xfId="29304"/>
    <cellStyle name="Currency 89 2" xfId="29305"/>
    <cellStyle name="Currency 89 3" xfId="29306"/>
    <cellStyle name="Currency 9" xfId="134"/>
    <cellStyle name="Currency 9 2" xfId="1805"/>
    <cellStyle name="Currency 9 2 2" xfId="1806"/>
    <cellStyle name="Currency 9 2 2 2" xfId="1807"/>
    <cellStyle name="Currency 9 2 2 2 2" xfId="1808"/>
    <cellStyle name="Currency 9 2 2 3" xfId="1809"/>
    <cellStyle name="Currency 9 2 3" xfId="1810"/>
    <cellStyle name="Currency 9 2 3 2" xfId="1811"/>
    <cellStyle name="Currency 9 2 4" xfId="1812"/>
    <cellStyle name="Currency 9 3" xfId="1813"/>
    <cellStyle name="Currency 9 3 2" xfId="1814"/>
    <cellStyle name="Currency 9 3 2 2" xfId="1815"/>
    <cellStyle name="Currency 9 3 3" xfId="1816"/>
    <cellStyle name="Currency 9 4" xfId="1817"/>
    <cellStyle name="Currency 9 4 2" xfId="1818"/>
    <cellStyle name="Currency 9 5" xfId="1819"/>
    <cellStyle name="Currency 90" xfId="29307"/>
    <cellStyle name="Currency 90 2" xfId="29308"/>
    <cellStyle name="Currency 90 3" xfId="29309"/>
    <cellStyle name="Currency 91" xfId="29310"/>
    <cellStyle name="Currency 91 2" xfId="29311"/>
    <cellStyle name="Currency 92" xfId="29312"/>
    <cellStyle name="Currency 92 2" xfId="29313"/>
    <cellStyle name="Currency 93" xfId="29314"/>
    <cellStyle name="Currency 93 2" xfId="29315"/>
    <cellStyle name="Currency 94" xfId="29316"/>
    <cellStyle name="Currency 94 2" xfId="29317"/>
    <cellStyle name="Currency 95" xfId="29318"/>
    <cellStyle name="Currency 95 2" xfId="29319"/>
    <cellStyle name="Currency 96" xfId="29320"/>
    <cellStyle name="Currency 96 2" xfId="29321"/>
    <cellStyle name="Currency 97" xfId="29322"/>
    <cellStyle name="Currency 97 2" xfId="29323"/>
    <cellStyle name="Currency 98" xfId="29324"/>
    <cellStyle name="Currency 98 2" xfId="29325"/>
    <cellStyle name="Currency 99" xfId="29326"/>
    <cellStyle name="Currency 99 2" xfId="29327"/>
    <cellStyle name="Currency Simple" xfId="113"/>
    <cellStyle name="Currency0" xfId="75"/>
    <cellStyle name="Currency0 2" xfId="1820"/>
    <cellStyle name="Currency0 2 2" xfId="1821"/>
    <cellStyle name="Currency0 3" xfId="1822"/>
    <cellStyle name="Currency0 4" xfId="1823"/>
    <cellStyle name="Currency0 5" xfId="1824"/>
    <cellStyle name="Currency0 6" xfId="1825"/>
    <cellStyle name="Currency0 7" xfId="1826"/>
    <cellStyle name="CurrencyA" xfId="1827"/>
    <cellStyle name="CurrencyA 2" xfId="1828"/>
    <cellStyle name="CurrencyA 2 2" xfId="1829"/>
    <cellStyle name="CurrencyA 2 2 2" xfId="1830"/>
    <cellStyle name="CurrencyA 2 2 2 2" xfId="1831"/>
    <cellStyle name="CurrencyA 2 2 2 2 2" xfId="1832"/>
    <cellStyle name="CurrencyA 2 2 2 2 3" xfId="1833"/>
    <cellStyle name="CurrencyA 2 2 2 3" xfId="1834"/>
    <cellStyle name="CurrencyA 2 2 2 3 2" xfId="1835"/>
    <cellStyle name="CurrencyA 2 2 2 3 3" xfId="1836"/>
    <cellStyle name="CurrencyA 2 2 2 4" xfId="1837"/>
    <cellStyle name="CurrencyA 2 2 2 4 2" xfId="1838"/>
    <cellStyle name="CurrencyA 2 2 2 4 3" xfId="1839"/>
    <cellStyle name="CurrencyA 2 2 2 5" xfId="1840"/>
    <cellStyle name="CurrencyA 2 2 2 5 2" xfId="1841"/>
    <cellStyle name="CurrencyA 2 2 2 5 3" xfId="1842"/>
    <cellStyle name="CurrencyA 2 2 2 6" xfId="1843"/>
    <cellStyle name="CurrencyA 2 2 2 6 2" xfId="1844"/>
    <cellStyle name="CurrencyA 2 2 2 6 3" xfId="1845"/>
    <cellStyle name="CurrencyA 2 2 2 7" xfId="1846"/>
    <cellStyle name="CurrencyA 2 2 2 8" xfId="1847"/>
    <cellStyle name="CurrencyA 2 2 3" xfId="1848"/>
    <cellStyle name="CurrencyA 2 2 3 2" xfId="1849"/>
    <cellStyle name="CurrencyA 2 2 3 3" xfId="1850"/>
    <cellStyle name="CurrencyA 2 2 4" xfId="1851"/>
    <cellStyle name="CurrencyA 2 2 4 2" xfId="1852"/>
    <cellStyle name="CurrencyA 2 2 4 3" xfId="1853"/>
    <cellStyle name="CurrencyA 2 2 5" xfId="1854"/>
    <cellStyle name="CurrencyA 2 2 5 2" xfId="1855"/>
    <cellStyle name="CurrencyA 2 2 5 3" xfId="1856"/>
    <cellStyle name="CurrencyA 2 2 6" xfId="1857"/>
    <cellStyle name="CurrencyA 2 2 6 2" xfId="1858"/>
    <cellStyle name="CurrencyA 2 2 6 3" xfId="1859"/>
    <cellStyle name="CurrencyA 2 2 7" xfId="1860"/>
    <cellStyle name="CurrencyA 2 2 7 2" xfId="1861"/>
    <cellStyle name="CurrencyA 2 2 7 3" xfId="1862"/>
    <cellStyle name="CurrencyA 2 2 8" xfId="1863"/>
    <cellStyle name="CurrencyA 2 2 9" xfId="1864"/>
    <cellStyle name="CurrencyA 2 3" xfId="1865"/>
    <cellStyle name="CurrencyA 2 3 2" xfId="1866"/>
    <cellStyle name="CurrencyA 2 3 2 2" xfId="1867"/>
    <cellStyle name="CurrencyA 2 3 2 3" xfId="1868"/>
    <cellStyle name="CurrencyA 2 3 3" xfId="1869"/>
    <cellStyle name="CurrencyA 2 3 3 2" xfId="1870"/>
    <cellStyle name="CurrencyA 2 3 3 3" xfId="1871"/>
    <cellStyle name="CurrencyA 2 3 4" xfId="1872"/>
    <cellStyle name="CurrencyA 2 3 4 2" xfId="1873"/>
    <cellStyle name="CurrencyA 2 3 4 3" xfId="1874"/>
    <cellStyle name="CurrencyA 2 3 5" xfId="1875"/>
    <cellStyle name="CurrencyA 2 3 5 2" xfId="1876"/>
    <cellStyle name="CurrencyA 2 3 5 3" xfId="1877"/>
    <cellStyle name="CurrencyA 2 3 6" xfId="1878"/>
    <cellStyle name="CurrencyA 2 3 6 2" xfId="1879"/>
    <cellStyle name="CurrencyA 2 3 6 3" xfId="1880"/>
    <cellStyle name="CurrencyA 2 3 7" xfId="1881"/>
    <cellStyle name="CurrencyA 2 3 8" xfId="1882"/>
    <cellStyle name="CurrencyA 2 4" xfId="1883"/>
    <cellStyle name="CurrencyA 2 4 2" xfId="1884"/>
    <cellStyle name="CurrencyA 2 4 3" xfId="1885"/>
    <cellStyle name="CurrencyA 2 5" xfId="1886"/>
    <cellStyle name="CurrencyA 2 5 2" xfId="1887"/>
    <cellStyle name="CurrencyA 2 5 3" xfId="1888"/>
    <cellStyle name="CurrencyA 2 6" xfId="1889"/>
    <cellStyle name="CurrencyA 2 6 2" xfId="1890"/>
    <cellStyle name="CurrencyA 2 6 3" xfId="1891"/>
    <cellStyle name="CurrencyA 2 7" xfId="1892"/>
    <cellStyle name="CurrencyA 2 8" xfId="1893"/>
    <cellStyle name="CurrencyA 3" xfId="1894"/>
    <cellStyle name="CurrencyA 3 2" xfId="1895"/>
    <cellStyle name="CurrencyA 3 2 2" xfId="1896"/>
    <cellStyle name="CurrencyA 3 2 2 2" xfId="1897"/>
    <cellStyle name="CurrencyA 3 2 2 3" xfId="1898"/>
    <cellStyle name="CurrencyA 3 2 3" xfId="1899"/>
    <cellStyle name="CurrencyA 3 2 3 2" xfId="1900"/>
    <cellStyle name="CurrencyA 3 2 3 3" xfId="1901"/>
    <cellStyle name="CurrencyA 3 2 4" xfId="1902"/>
    <cellStyle name="CurrencyA 3 2 4 2" xfId="1903"/>
    <cellStyle name="CurrencyA 3 2 4 3" xfId="1904"/>
    <cellStyle name="CurrencyA 3 2 5" xfId="1905"/>
    <cellStyle name="CurrencyA 3 2 5 2" xfId="1906"/>
    <cellStyle name="CurrencyA 3 2 5 3" xfId="1907"/>
    <cellStyle name="CurrencyA 3 2 6" xfId="1908"/>
    <cellStyle name="CurrencyA 3 2 6 2" xfId="1909"/>
    <cellStyle name="CurrencyA 3 2 6 3" xfId="1910"/>
    <cellStyle name="CurrencyA 3 2 7" xfId="1911"/>
    <cellStyle name="CurrencyA 3 2 8" xfId="1912"/>
    <cellStyle name="CurrencyA 3 3" xfId="1913"/>
    <cellStyle name="CurrencyA 3 3 2" xfId="1914"/>
    <cellStyle name="CurrencyA 3 3 3" xfId="1915"/>
    <cellStyle name="CurrencyA 3 4" xfId="1916"/>
    <cellStyle name="CurrencyA 3 4 2" xfId="1917"/>
    <cellStyle name="CurrencyA 3 4 3" xfId="1918"/>
    <cellStyle name="CurrencyA 3 5" xfId="1919"/>
    <cellStyle name="CurrencyA 3 5 2" xfId="1920"/>
    <cellStyle name="CurrencyA 3 5 3" xfId="1921"/>
    <cellStyle name="CurrencyA 3 6" xfId="1922"/>
    <cellStyle name="CurrencyA 3 6 2" xfId="1923"/>
    <cellStyle name="CurrencyA 3 6 3" xfId="1924"/>
    <cellStyle name="CurrencyA 3 7" xfId="1925"/>
    <cellStyle name="CurrencyA 3 7 2" xfId="1926"/>
    <cellStyle name="CurrencyA 3 7 3" xfId="1927"/>
    <cellStyle name="CurrencyA 3 8" xfId="1928"/>
    <cellStyle name="CurrencyA 3 9" xfId="1929"/>
    <cellStyle name="CurrencyA 4" xfId="1930"/>
    <cellStyle name="CurrencyA 4 2" xfId="1931"/>
    <cellStyle name="CurrencyA 4 2 2" xfId="1932"/>
    <cellStyle name="CurrencyA 4 2 3" xfId="1933"/>
    <cellStyle name="CurrencyA 4 3" xfId="1934"/>
    <cellStyle name="CurrencyA 4 3 2" xfId="1935"/>
    <cellStyle name="CurrencyA 4 3 3" xfId="1936"/>
    <cellStyle name="CurrencyA 4 4" xfId="1937"/>
    <cellStyle name="CurrencyA 4 4 2" xfId="1938"/>
    <cellStyle name="CurrencyA 4 4 3" xfId="1939"/>
    <cellStyle name="CurrencyA 4 5" xfId="1940"/>
    <cellStyle name="CurrencyA 4 5 2" xfId="1941"/>
    <cellStyle name="CurrencyA 4 5 3" xfId="1942"/>
    <cellStyle name="CurrencyA 4 6" xfId="1943"/>
    <cellStyle name="CurrencyA 4 6 2" xfId="1944"/>
    <cellStyle name="CurrencyA 4 6 3" xfId="1945"/>
    <cellStyle name="CurrencyA 4 7" xfId="1946"/>
    <cellStyle name="CurrencyA 4 8" xfId="1947"/>
    <cellStyle name="CurrencyA 5" xfId="1948"/>
    <cellStyle name="CurrencyA 5 2" xfId="1949"/>
    <cellStyle name="CurrencyA 5 3" xfId="1950"/>
    <cellStyle name="CurrencyA 6" xfId="1951"/>
    <cellStyle name="CurrencyA 6 2" xfId="1952"/>
    <cellStyle name="CurrencyA 6 3" xfId="1953"/>
    <cellStyle name="CurrencyA 7" xfId="1954"/>
    <cellStyle name="CurrencyA 7 2" xfId="1955"/>
    <cellStyle name="CurrencyA 7 3" xfId="1956"/>
    <cellStyle name="CurrencyA 8" xfId="1957"/>
    <cellStyle name="CurrencyA 9" xfId="1958"/>
    <cellStyle name="CurrencyC" xfId="1959"/>
    <cellStyle name="CurrencyC 2" xfId="1960"/>
    <cellStyle name="CurrencyC 2 2" xfId="1961"/>
    <cellStyle name="CurrencyC 2 2 2" xfId="1962"/>
    <cellStyle name="CurrencyC 2 2 2 2" xfId="1963"/>
    <cellStyle name="CurrencyC 2 2 2 2 2" xfId="1964"/>
    <cellStyle name="CurrencyC 2 2 2 2 3" xfId="1965"/>
    <cellStyle name="CurrencyC 2 2 2 3" xfId="1966"/>
    <cellStyle name="CurrencyC 2 2 2 3 2" xfId="1967"/>
    <cellStyle name="CurrencyC 2 2 2 3 3" xfId="1968"/>
    <cellStyle name="CurrencyC 2 2 2 4" xfId="1969"/>
    <cellStyle name="CurrencyC 2 2 2 4 2" xfId="1970"/>
    <cellStyle name="CurrencyC 2 2 2 4 3" xfId="1971"/>
    <cellStyle name="CurrencyC 2 2 2 5" xfId="1972"/>
    <cellStyle name="CurrencyC 2 2 2 5 2" xfId="1973"/>
    <cellStyle name="CurrencyC 2 2 2 5 3" xfId="1974"/>
    <cellStyle name="CurrencyC 2 2 2 6" xfId="1975"/>
    <cellStyle name="CurrencyC 2 2 2 6 2" xfId="1976"/>
    <cellStyle name="CurrencyC 2 2 2 6 3" xfId="1977"/>
    <cellStyle name="CurrencyC 2 2 2 7" xfId="1978"/>
    <cellStyle name="CurrencyC 2 2 2 8" xfId="1979"/>
    <cellStyle name="CurrencyC 2 2 3" xfId="1980"/>
    <cellStyle name="CurrencyC 2 2 3 2" xfId="1981"/>
    <cellStyle name="CurrencyC 2 2 3 3" xfId="1982"/>
    <cellStyle name="CurrencyC 2 2 4" xfId="1983"/>
    <cellStyle name="CurrencyC 2 2 4 2" xfId="1984"/>
    <cellStyle name="CurrencyC 2 2 4 3" xfId="1985"/>
    <cellStyle name="CurrencyC 2 2 5" xfId="1986"/>
    <cellStyle name="CurrencyC 2 2 5 2" xfId="1987"/>
    <cellStyle name="CurrencyC 2 2 5 3" xfId="1988"/>
    <cellStyle name="CurrencyC 2 2 6" xfId="1989"/>
    <cellStyle name="CurrencyC 2 2 6 2" xfId="1990"/>
    <cellStyle name="CurrencyC 2 2 6 3" xfId="1991"/>
    <cellStyle name="CurrencyC 2 2 7" xfId="1992"/>
    <cellStyle name="CurrencyC 2 2 7 2" xfId="1993"/>
    <cellStyle name="CurrencyC 2 2 7 3" xfId="1994"/>
    <cellStyle name="CurrencyC 2 2 8" xfId="1995"/>
    <cellStyle name="CurrencyC 2 2 9" xfId="1996"/>
    <cellStyle name="CurrencyC 2 3" xfId="1997"/>
    <cellStyle name="CurrencyC 2 3 2" xfId="1998"/>
    <cellStyle name="CurrencyC 2 3 2 2" xfId="1999"/>
    <cellStyle name="CurrencyC 2 3 2 3" xfId="2000"/>
    <cellStyle name="CurrencyC 2 3 3" xfId="2001"/>
    <cellStyle name="CurrencyC 2 3 3 2" xfId="2002"/>
    <cellStyle name="CurrencyC 2 3 3 3" xfId="2003"/>
    <cellStyle name="CurrencyC 2 3 4" xfId="2004"/>
    <cellStyle name="CurrencyC 2 3 4 2" xfId="2005"/>
    <cellStyle name="CurrencyC 2 3 4 3" xfId="2006"/>
    <cellStyle name="CurrencyC 2 3 5" xfId="2007"/>
    <cellStyle name="CurrencyC 2 3 5 2" xfId="2008"/>
    <cellStyle name="CurrencyC 2 3 5 3" xfId="2009"/>
    <cellStyle name="CurrencyC 2 3 6" xfId="2010"/>
    <cellStyle name="CurrencyC 2 3 6 2" xfId="2011"/>
    <cellStyle name="CurrencyC 2 3 6 3" xfId="2012"/>
    <cellStyle name="CurrencyC 2 3 7" xfId="2013"/>
    <cellStyle name="CurrencyC 2 3 8" xfId="2014"/>
    <cellStyle name="CurrencyC 2 4" xfId="2015"/>
    <cellStyle name="CurrencyC 2 4 2" xfId="2016"/>
    <cellStyle name="CurrencyC 2 4 3" xfId="2017"/>
    <cellStyle name="CurrencyC 2 5" xfId="2018"/>
    <cellStyle name="CurrencyC 2 5 2" xfId="2019"/>
    <cellStyle name="CurrencyC 2 5 3" xfId="2020"/>
    <cellStyle name="CurrencyC 2 6" xfId="2021"/>
    <cellStyle name="CurrencyC 2 6 2" xfId="2022"/>
    <cellStyle name="CurrencyC 2 6 3" xfId="2023"/>
    <cellStyle name="CurrencyC 2 7" xfId="2024"/>
    <cellStyle name="CurrencyC 2 8" xfId="2025"/>
    <cellStyle name="CurrencyC 3" xfId="2026"/>
    <cellStyle name="CurrencyC 3 2" xfId="2027"/>
    <cellStyle name="CurrencyC 3 2 2" xfId="2028"/>
    <cellStyle name="CurrencyC 3 2 2 2" xfId="2029"/>
    <cellStyle name="CurrencyC 3 2 2 3" xfId="2030"/>
    <cellStyle name="CurrencyC 3 2 3" xfId="2031"/>
    <cellStyle name="CurrencyC 3 2 3 2" xfId="2032"/>
    <cellStyle name="CurrencyC 3 2 3 3" xfId="2033"/>
    <cellStyle name="CurrencyC 3 2 4" xfId="2034"/>
    <cellStyle name="CurrencyC 3 2 4 2" xfId="2035"/>
    <cellStyle name="CurrencyC 3 2 4 3" xfId="2036"/>
    <cellStyle name="CurrencyC 3 2 5" xfId="2037"/>
    <cellStyle name="CurrencyC 3 2 5 2" xfId="2038"/>
    <cellStyle name="CurrencyC 3 2 5 3" xfId="2039"/>
    <cellStyle name="CurrencyC 3 2 6" xfId="2040"/>
    <cellStyle name="CurrencyC 3 2 6 2" xfId="2041"/>
    <cellStyle name="CurrencyC 3 2 6 3" xfId="2042"/>
    <cellStyle name="CurrencyC 3 2 7" xfId="2043"/>
    <cellStyle name="CurrencyC 3 2 8" xfId="2044"/>
    <cellStyle name="CurrencyC 3 3" xfId="2045"/>
    <cellStyle name="CurrencyC 3 3 2" xfId="2046"/>
    <cellStyle name="CurrencyC 3 3 3" xfId="2047"/>
    <cellStyle name="CurrencyC 3 4" xfId="2048"/>
    <cellStyle name="CurrencyC 3 4 2" xfId="2049"/>
    <cellStyle name="CurrencyC 3 4 3" xfId="2050"/>
    <cellStyle name="CurrencyC 3 5" xfId="2051"/>
    <cellStyle name="CurrencyC 3 5 2" xfId="2052"/>
    <cellStyle name="CurrencyC 3 5 3" xfId="2053"/>
    <cellStyle name="CurrencyC 3 6" xfId="2054"/>
    <cellStyle name="CurrencyC 3 6 2" xfId="2055"/>
    <cellStyle name="CurrencyC 3 6 3" xfId="2056"/>
    <cellStyle name="CurrencyC 3 7" xfId="2057"/>
    <cellStyle name="CurrencyC 3 7 2" xfId="2058"/>
    <cellStyle name="CurrencyC 3 7 3" xfId="2059"/>
    <cellStyle name="CurrencyC 3 8" xfId="2060"/>
    <cellStyle name="CurrencyC 3 9" xfId="2061"/>
    <cellStyle name="CurrencyC 4" xfId="2062"/>
    <cellStyle name="CurrencyC 4 2" xfId="2063"/>
    <cellStyle name="CurrencyC 4 2 2" xfId="2064"/>
    <cellStyle name="CurrencyC 4 2 3" xfId="2065"/>
    <cellStyle name="CurrencyC 4 3" xfId="2066"/>
    <cellStyle name="CurrencyC 4 3 2" xfId="2067"/>
    <cellStyle name="CurrencyC 4 3 3" xfId="2068"/>
    <cellStyle name="CurrencyC 4 4" xfId="2069"/>
    <cellStyle name="CurrencyC 4 4 2" xfId="2070"/>
    <cellStyle name="CurrencyC 4 4 3" xfId="2071"/>
    <cellStyle name="CurrencyC 4 5" xfId="2072"/>
    <cellStyle name="CurrencyC 4 5 2" xfId="2073"/>
    <cellStyle name="CurrencyC 4 5 3" xfId="2074"/>
    <cellStyle name="CurrencyC 4 6" xfId="2075"/>
    <cellStyle name="CurrencyC 4 6 2" xfId="2076"/>
    <cellStyle name="CurrencyC 4 6 3" xfId="2077"/>
    <cellStyle name="CurrencyC 4 7" xfId="2078"/>
    <cellStyle name="CurrencyC 4 8" xfId="2079"/>
    <cellStyle name="CurrencyC 5" xfId="2080"/>
    <cellStyle name="CurrencyC 5 2" xfId="2081"/>
    <cellStyle name="CurrencyC 5 3" xfId="2082"/>
    <cellStyle name="CurrencyC 6" xfId="2083"/>
    <cellStyle name="CurrencyC 6 2" xfId="2084"/>
    <cellStyle name="CurrencyC 6 3" xfId="2085"/>
    <cellStyle name="CurrencyC 7" xfId="2086"/>
    <cellStyle name="CurrencyC 7 2" xfId="2087"/>
    <cellStyle name="CurrencyC 7 3" xfId="2088"/>
    <cellStyle name="CurrencyC 8" xfId="2089"/>
    <cellStyle name="CurrencyC 9" xfId="2090"/>
    <cellStyle name="CurrencyExt" xfId="2091"/>
    <cellStyle name="CurrencyExt 2" xfId="2092"/>
    <cellStyle name="CurrencyExt 2 2" xfId="2093"/>
    <cellStyle name="CurrencyExt 2 2 2" xfId="2094"/>
    <cellStyle name="CurrencyExt 2 2 2 2" xfId="2095"/>
    <cellStyle name="CurrencyExt 2 2 2 2 2" xfId="2096"/>
    <cellStyle name="CurrencyExt 2 2 2 2 3" xfId="2097"/>
    <cellStyle name="CurrencyExt 2 2 2 3" xfId="2098"/>
    <cellStyle name="CurrencyExt 2 2 2 3 2" xfId="2099"/>
    <cellStyle name="CurrencyExt 2 2 2 3 3" xfId="2100"/>
    <cellStyle name="CurrencyExt 2 2 2 4" xfId="2101"/>
    <cellStyle name="CurrencyExt 2 2 2 4 2" xfId="2102"/>
    <cellStyle name="CurrencyExt 2 2 2 4 3" xfId="2103"/>
    <cellStyle name="CurrencyExt 2 2 2 5" xfId="2104"/>
    <cellStyle name="CurrencyExt 2 2 2 5 2" xfId="2105"/>
    <cellStyle name="CurrencyExt 2 2 2 5 3" xfId="2106"/>
    <cellStyle name="CurrencyExt 2 2 2 6" xfId="2107"/>
    <cellStyle name="CurrencyExt 2 2 2 6 2" xfId="2108"/>
    <cellStyle name="CurrencyExt 2 2 2 6 3" xfId="2109"/>
    <cellStyle name="CurrencyExt 2 2 2 7" xfId="2110"/>
    <cellStyle name="CurrencyExt 2 2 2 8" xfId="2111"/>
    <cellStyle name="CurrencyExt 2 2 3" xfId="2112"/>
    <cellStyle name="CurrencyExt 2 2 3 2" xfId="2113"/>
    <cellStyle name="CurrencyExt 2 2 3 3" xfId="2114"/>
    <cellStyle name="CurrencyExt 2 2 4" xfId="2115"/>
    <cellStyle name="CurrencyExt 2 2 4 2" xfId="2116"/>
    <cellStyle name="CurrencyExt 2 2 4 3" xfId="2117"/>
    <cellStyle name="CurrencyExt 2 2 5" xfId="2118"/>
    <cellStyle name="CurrencyExt 2 2 5 2" xfId="2119"/>
    <cellStyle name="CurrencyExt 2 2 5 3" xfId="2120"/>
    <cellStyle name="CurrencyExt 2 2 6" xfId="2121"/>
    <cellStyle name="CurrencyExt 2 2 6 2" xfId="2122"/>
    <cellStyle name="CurrencyExt 2 2 6 3" xfId="2123"/>
    <cellStyle name="CurrencyExt 2 2 7" xfId="2124"/>
    <cellStyle name="CurrencyExt 2 2 7 2" xfId="2125"/>
    <cellStyle name="CurrencyExt 2 2 7 3" xfId="2126"/>
    <cellStyle name="CurrencyExt 2 2 8" xfId="2127"/>
    <cellStyle name="CurrencyExt 2 2 9" xfId="2128"/>
    <cellStyle name="CurrencyExt 2 3" xfId="2129"/>
    <cellStyle name="CurrencyExt 2 3 2" xfId="2130"/>
    <cellStyle name="CurrencyExt 2 3 2 2" xfId="2131"/>
    <cellStyle name="CurrencyExt 2 3 2 3" xfId="2132"/>
    <cellStyle name="CurrencyExt 2 3 3" xfId="2133"/>
    <cellStyle name="CurrencyExt 2 3 3 2" xfId="2134"/>
    <cellStyle name="CurrencyExt 2 3 3 3" xfId="2135"/>
    <cellStyle name="CurrencyExt 2 3 4" xfId="2136"/>
    <cellStyle name="CurrencyExt 2 3 4 2" xfId="2137"/>
    <cellStyle name="CurrencyExt 2 3 4 3" xfId="2138"/>
    <cellStyle name="CurrencyExt 2 3 5" xfId="2139"/>
    <cellStyle name="CurrencyExt 2 3 5 2" xfId="2140"/>
    <cellStyle name="CurrencyExt 2 3 5 3" xfId="2141"/>
    <cellStyle name="CurrencyExt 2 3 6" xfId="2142"/>
    <cellStyle name="CurrencyExt 2 3 6 2" xfId="2143"/>
    <cellStyle name="CurrencyExt 2 3 6 3" xfId="2144"/>
    <cellStyle name="CurrencyExt 2 3 7" xfId="2145"/>
    <cellStyle name="CurrencyExt 2 3 8" xfId="2146"/>
    <cellStyle name="CurrencyExt 2 4" xfId="2147"/>
    <cellStyle name="CurrencyExt 2 4 2" xfId="2148"/>
    <cellStyle name="CurrencyExt 2 4 3" xfId="2149"/>
    <cellStyle name="CurrencyExt 2 5" xfId="2150"/>
    <cellStyle name="CurrencyExt 2 5 2" xfId="2151"/>
    <cellStyle name="CurrencyExt 2 5 3" xfId="2152"/>
    <cellStyle name="CurrencyExt 2 6" xfId="2153"/>
    <cellStyle name="CurrencyExt 2 6 2" xfId="2154"/>
    <cellStyle name="CurrencyExt 2 6 3" xfId="2155"/>
    <cellStyle name="CurrencyExt 2 7" xfId="2156"/>
    <cellStyle name="CurrencyExt 2 8" xfId="2157"/>
    <cellStyle name="CurrencyExt 3" xfId="2158"/>
    <cellStyle name="CurrencyExt 3 2" xfId="2159"/>
    <cellStyle name="CurrencyExt 3 2 2" xfId="2160"/>
    <cellStyle name="CurrencyExt 3 2 2 2" xfId="2161"/>
    <cellStyle name="CurrencyExt 3 2 2 3" xfId="2162"/>
    <cellStyle name="CurrencyExt 3 2 3" xfId="2163"/>
    <cellStyle name="CurrencyExt 3 2 3 2" xfId="2164"/>
    <cellStyle name="CurrencyExt 3 2 3 3" xfId="2165"/>
    <cellStyle name="CurrencyExt 3 2 4" xfId="2166"/>
    <cellStyle name="CurrencyExt 3 2 4 2" xfId="2167"/>
    <cellStyle name="CurrencyExt 3 2 4 3" xfId="2168"/>
    <cellStyle name="CurrencyExt 3 2 5" xfId="2169"/>
    <cellStyle name="CurrencyExt 3 2 5 2" xfId="2170"/>
    <cellStyle name="CurrencyExt 3 2 5 3" xfId="2171"/>
    <cellStyle name="CurrencyExt 3 2 6" xfId="2172"/>
    <cellStyle name="CurrencyExt 3 2 6 2" xfId="2173"/>
    <cellStyle name="CurrencyExt 3 2 6 3" xfId="2174"/>
    <cellStyle name="CurrencyExt 3 2 7" xfId="2175"/>
    <cellStyle name="CurrencyExt 3 2 8" xfId="2176"/>
    <cellStyle name="CurrencyExt 3 3" xfId="2177"/>
    <cellStyle name="CurrencyExt 3 3 2" xfId="2178"/>
    <cellStyle name="CurrencyExt 3 3 3" xfId="2179"/>
    <cellStyle name="CurrencyExt 3 4" xfId="2180"/>
    <cellStyle name="CurrencyExt 3 4 2" xfId="2181"/>
    <cellStyle name="CurrencyExt 3 4 3" xfId="2182"/>
    <cellStyle name="CurrencyExt 3 5" xfId="2183"/>
    <cellStyle name="CurrencyExt 3 5 2" xfId="2184"/>
    <cellStyle name="CurrencyExt 3 5 3" xfId="2185"/>
    <cellStyle name="CurrencyExt 3 6" xfId="2186"/>
    <cellStyle name="CurrencyExt 3 6 2" xfId="2187"/>
    <cellStyle name="CurrencyExt 3 6 3" xfId="2188"/>
    <cellStyle name="CurrencyExt 3 7" xfId="2189"/>
    <cellStyle name="CurrencyExt 3 7 2" xfId="2190"/>
    <cellStyle name="CurrencyExt 3 7 3" xfId="2191"/>
    <cellStyle name="CurrencyExt 3 8" xfId="2192"/>
    <cellStyle name="CurrencyExt 3 9" xfId="2193"/>
    <cellStyle name="CurrencyExt 4" xfId="2194"/>
    <cellStyle name="CurrencyExt 4 2" xfId="2195"/>
    <cellStyle name="CurrencyExt 4 2 2" xfId="2196"/>
    <cellStyle name="CurrencyExt 4 2 3" xfId="2197"/>
    <cellStyle name="CurrencyExt 4 3" xfId="2198"/>
    <cellStyle name="CurrencyExt 4 3 2" xfId="2199"/>
    <cellStyle name="CurrencyExt 4 3 3" xfId="2200"/>
    <cellStyle name="CurrencyExt 4 4" xfId="2201"/>
    <cellStyle name="CurrencyExt 4 4 2" xfId="2202"/>
    <cellStyle name="CurrencyExt 4 4 3" xfId="2203"/>
    <cellStyle name="CurrencyExt 4 5" xfId="2204"/>
    <cellStyle name="CurrencyExt 4 5 2" xfId="2205"/>
    <cellStyle name="CurrencyExt 4 5 3" xfId="2206"/>
    <cellStyle name="CurrencyExt 4 6" xfId="2207"/>
    <cellStyle name="CurrencyExt 4 6 2" xfId="2208"/>
    <cellStyle name="CurrencyExt 4 6 3" xfId="2209"/>
    <cellStyle name="CurrencyExt 4 7" xfId="2210"/>
    <cellStyle name="CurrencyExt 4 8" xfId="2211"/>
    <cellStyle name="CurrencyExt 5" xfId="2212"/>
    <cellStyle name="CurrencyExt 5 2" xfId="2213"/>
    <cellStyle name="CurrencyExt 5 3" xfId="2214"/>
    <cellStyle name="CurrencyExt 6" xfId="2215"/>
    <cellStyle name="CurrencyExt 6 2" xfId="2216"/>
    <cellStyle name="CurrencyExt 6 3" xfId="2217"/>
    <cellStyle name="CurrencyExt 7" xfId="2218"/>
    <cellStyle name="CurrencyExt 7 2" xfId="2219"/>
    <cellStyle name="CurrencyExt 7 3" xfId="2220"/>
    <cellStyle name="CurrencyExt 8" xfId="2221"/>
    <cellStyle name="CurrencyExt 9" xfId="2222"/>
    <cellStyle name="CurrencyRep" xfId="2223"/>
    <cellStyle name="CurrencyRep 2" xfId="2224"/>
    <cellStyle name="CurrencyRep 2 2" xfId="2225"/>
    <cellStyle name="CurrencyRep 2 2 2" xfId="2226"/>
    <cellStyle name="CurrencyRep 2 2 2 2" xfId="2227"/>
    <cellStyle name="CurrencyRep 2 2 2 2 2" xfId="2228"/>
    <cellStyle name="CurrencyRep 2 2 2 2 3" xfId="2229"/>
    <cellStyle name="CurrencyRep 2 2 2 3" xfId="2230"/>
    <cellStyle name="CurrencyRep 2 2 2 3 2" xfId="2231"/>
    <cellStyle name="CurrencyRep 2 2 2 3 3" xfId="2232"/>
    <cellStyle name="CurrencyRep 2 2 2 4" xfId="2233"/>
    <cellStyle name="CurrencyRep 2 2 2 4 2" xfId="2234"/>
    <cellStyle name="CurrencyRep 2 2 2 4 3" xfId="2235"/>
    <cellStyle name="CurrencyRep 2 2 2 5" xfId="2236"/>
    <cellStyle name="CurrencyRep 2 2 2 5 2" xfId="2237"/>
    <cellStyle name="CurrencyRep 2 2 2 5 3" xfId="2238"/>
    <cellStyle name="CurrencyRep 2 2 2 6" xfId="2239"/>
    <cellStyle name="CurrencyRep 2 2 2 6 2" xfId="2240"/>
    <cellStyle name="CurrencyRep 2 2 2 6 3" xfId="2241"/>
    <cellStyle name="CurrencyRep 2 2 2 7" xfId="2242"/>
    <cellStyle name="CurrencyRep 2 2 2 8" xfId="2243"/>
    <cellStyle name="CurrencyRep 2 2 3" xfId="2244"/>
    <cellStyle name="CurrencyRep 2 2 3 2" xfId="2245"/>
    <cellStyle name="CurrencyRep 2 2 3 3" xfId="2246"/>
    <cellStyle name="CurrencyRep 2 2 4" xfId="2247"/>
    <cellStyle name="CurrencyRep 2 2 4 2" xfId="2248"/>
    <cellStyle name="CurrencyRep 2 2 4 3" xfId="2249"/>
    <cellStyle name="CurrencyRep 2 2 5" xfId="2250"/>
    <cellStyle name="CurrencyRep 2 2 5 2" xfId="2251"/>
    <cellStyle name="CurrencyRep 2 2 5 3" xfId="2252"/>
    <cellStyle name="CurrencyRep 2 2 6" xfId="2253"/>
    <cellStyle name="CurrencyRep 2 2 6 2" xfId="2254"/>
    <cellStyle name="CurrencyRep 2 2 6 3" xfId="2255"/>
    <cellStyle name="CurrencyRep 2 2 7" xfId="2256"/>
    <cellStyle name="CurrencyRep 2 2 7 2" xfId="2257"/>
    <cellStyle name="CurrencyRep 2 2 7 3" xfId="2258"/>
    <cellStyle name="CurrencyRep 2 2 8" xfId="2259"/>
    <cellStyle name="CurrencyRep 2 2 9" xfId="2260"/>
    <cellStyle name="CurrencyRep 2 3" xfId="2261"/>
    <cellStyle name="CurrencyRep 2 3 2" xfId="2262"/>
    <cellStyle name="CurrencyRep 2 3 2 2" xfId="2263"/>
    <cellStyle name="CurrencyRep 2 3 2 3" xfId="2264"/>
    <cellStyle name="CurrencyRep 2 3 3" xfId="2265"/>
    <cellStyle name="CurrencyRep 2 3 3 2" xfId="2266"/>
    <cellStyle name="CurrencyRep 2 3 3 3" xfId="2267"/>
    <cellStyle name="CurrencyRep 2 3 4" xfId="2268"/>
    <cellStyle name="CurrencyRep 2 3 4 2" xfId="2269"/>
    <cellStyle name="CurrencyRep 2 3 4 3" xfId="2270"/>
    <cellStyle name="CurrencyRep 2 3 5" xfId="2271"/>
    <cellStyle name="CurrencyRep 2 3 5 2" xfId="2272"/>
    <cellStyle name="CurrencyRep 2 3 5 3" xfId="2273"/>
    <cellStyle name="CurrencyRep 2 3 6" xfId="2274"/>
    <cellStyle name="CurrencyRep 2 3 6 2" xfId="2275"/>
    <cellStyle name="CurrencyRep 2 3 6 3" xfId="2276"/>
    <cellStyle name="CurrencyRep 2 3 7" xfId="2277"/>
    <cellStyle name="CurrencyRep 2 3 8" xfId="2278"/>
    <cellStyle name="CurrencyRep 2 4" xfId="2279"/>
    <cellStyle name="CurrencyRep 2 4 2" xfId="2280"/>
    <cellStyle name="CurrencyRep 2 4 3" xfId="2281"/>
    <cellStyle name="CurrencyRep 2 5" xfId="2282"/>
    <cellStyle name="CurrencyRep 2 5 2" xfId="2283"/>
    <cellStyle name="CurrencyRep 2 5 3" xfId="2284"/>
    <cellStyle name="CurrencyRep 2 6" xfId="2285"/>
    <cellStyle name="CurrencyRep 2 6 2" xfId="2286"/>
    <cellStyle name="CurrencyRep 2 6 3" xfId="2287"/>
    <cellStyle name="CurrencyRep 2 7" xfId="2288"/>
    <cellStyle name="CurrencyRep 2 8" xfId="2289"/>
    <cellStyle name="CurrencyRep 3" xfId="2290"/>
    <cellStyle name="CurrencyRep 3 2" xfId="2291"/>
    <cellStyle name="CurrencyRep 3 2 2" xfId="2292"/>
    <cellStyle name="CurrencyRep 3 2 2 2" xfId="2293"/>
    <cellStyle name="CurrencyRep 3 2 2 3" xfId="2294"/>
    <cellStyle name="CurrencyRep 3 2 3" xfId="2295"/>
    <cellStyle name="CurrencyRep 3 2 3 2" xfId="2296"/>
    <cellStyle name="CurrencyRep 3 2 3 3" xfId="2297"/>
    <cellStyle name="CurrencyRep 3 2 4" xfId="2298"/>
    <cellStyle name="CurrencyRep 3 2 4 2" xfId="2299"/>
    <cellStyle name="CurrencyRep 3 2 4 3" xfId="2300"/>
    <cellStyle name="CurrencyRep 3 2 5" xfId="2301"/>
    <cellStyle name="CurrencyRep 3 2 5 2" xfId="2302"/>
    <cellStyle name="CurrencyRep 3 2 5 3" xfId="2303"/>
    <cellStyle name="CurrencyRep 3 2 6" xfId="2304"/>
    <cellStyle name="CurrencyRep 3 2 6 2" xfId="2305"/>
    <cellStyle name="CurrencyRep 3 2 6 3" xfId="2306"/>
    <cellStyle name="CurrencyRep 3 2 7" xfId="2307"/>
    <cellStyle name="CurrencyRep 3 2 8" xfId="2308"/>
    <cellStyle name="CurrencyRep 3 3" xfId="2309"/>
    <cellStyle name="CurrencyRep 3 3 2" xfId="2310"/>
    <cellStyle name="CurrencyRep 3 3 3" xfId="2311"/>
    <cellStyle name="CurrencyRep 3 4" xfId="2312"/>
    <cellStyle name="CurrencyRep 3 4 2" xfId="2313"/>
    <cellStyle name="CurrencyRep 3 4 3" xfId="2314"/>
    <cellStyle name="CurrencyRep 3 5" xfId="2315"/>
    <cellStyle name="CurrencyRep 3 5 2" xfId="2316"/>
    <cellStyle name="CurrencyRep 3 5 3" xfId="2317"/>
    <cellStyle name="CurrencyRep 3 6" xfId="2318"/>
    <cellStyle name="CurrencyRep 3 6 2" xfId="2319"/>
    <cellStyle name="CurrencyRep 3 6 3" xfId="2320"/>
    <cellStyle name="CurrencyRep 3 7" xfId="2321"/>
    <cellStyle name="CurrencyRep 3 7 2" xfId="2322"/>
    <cellStyle name="CurrencyRep 3 7 3" xfId="2323"/>
    <cellStyle name="CurrencyRep 3 8" xfId="2324"/>
    <cellStyle name="CurrencyRep 3 9" xfId="2325"/>
    <cellStyle name="CurrencyRep 4" xfId="2326"/>
    <cellStyle name="CurrencyRep 4 2" xfId="2327"/>
    <cellStyle name="CurrencyRep 4 2 2" xfId="2328"/>
    <cellStyle name="CurrencyRep 4 2 3" xfId="2329"/>
    <cellStyle name="CurrencyRep 4 3" xfId="2330"/>
    <cellStyle name="CurrencyRep 4 3 2" xfId="2331"/>
    <cellStyle name="CurrencyRep 4 3 3" xfId="2332"/>
    <cellStyle name="CurrencyRep 4 4" xfId="2333"/>
    <cellStyle name="CurrencyRep 4 4 2" xfId="2334"/>
    <cellStyle name="CurrencyRep 4 4 3" xfId="2335"/>
    <cellStyle name="CurrencyRep 4 5" xfId="2336"/>
    <cellStyle name="CurrencyRep 4 5 2" xfId="2337"/>
    <cellStyle name="CurrencyRep 4 5 3" xfId="2338"/>
    <cellStyle name="CurrencyRep 4 6" xfId="2339"/>
    <cellStyle name="CurrencyRep 4 6 2" xfId="2340"/>
    <cellStyle name="CurrencyRep 4 6 3" xfId="2341"/>
    <cellStyle name="CurrencyRep 4 7" xfId="2342"/>
    <cellStyle name="CurrencyRep 4 8" xfId="2343"/>
    <cellStyle name="CurrencyRep 5" xfId="2344"/>
    <cellStyle name="CurrencyRep 5 2" xfId="2345"/>
    <cellStyle name="CurrencyRep 5 3" xfId="2346"/>
    <cellStyle name="CurrencyRep 6" xfId="2347"/>
    <cellStyle name="CurrencyRep 6 2" xfId="2348"/>
    <cellStyle name="CurrencyRep 6 3" xfId="2349"/>
    <cellStyle name="CurrencyRep 7" xfId="2350"/>
    <cellStyle name="CurrencyRep 7 2" xfId="2351"/>
    <cellStyle name="CurrencyRep 7 3" xfId="2352"/>
    <cellStyle name="CurrencyRep 8" xfId="2353"/>
    <cellStyle name="CurrencyRep 9" xfId="2354"/>
    <cellStyle name="CurrencyTot" xfId="2355"/>
    <cellStyle name="CurrencyTot 2" xfId="2356"/>
    <cellStyle name="CurrencyTot 2 2" xfId="2357"/>
    <cellStyle name="CurrencyTot 2 2 2" xfId="2358"/>
    <cellStyle name="CurrencyTot 2 2 2 2" xfId="2359"/>
    <cellStyle name="CurrencyTot 2 2 2 2 2" xfId="2360"/>
    <cellStyle name="CurrencyTot 2 2 2 2 3" xfId="2361"/>
    <cellStyle name="CurrencyTot 2 2 2 3" xfId="2362"/>
    <cellStyle name="CurrencyTot 2 2 2 3 2" xfId="2363"/>
    <cellStyle name="CurrencyTot 2 2 2 3 3" xfId="2364"/>
    <cellStyle name="CurrencyTot 2 2 2 4" xfId="2365"/>
    <cellStyle name="CurrencyTot 2 2 2 4 2" xfId="2366"/>
    <cellStyle name="CurrencyTot 2 2 2 4 3" xfId="2367"/>
    <cellStyle name="CurrencyTot 2 2 2 5" xfId="2368"/>
    <cellStyle name="CurrencyTot 2 2 2 5 2" xfId="2369"/>
    <cellStyle name="CurrencyTot 2 2 2 5 3" xfId="2370"/>
    <cellStyle name="CurrencyTot 2 2 2 6" xfId="2371"/>
    <cellStyle name="CurrencyTot 2 2 2 6 2" xfId="2372"/>
    <cellStyle name="CurrencyTot 2 2 2 6 3" xfId="2373"/>
    <cellStyle name="CurrencyTot 2 2 2 7" xfId="2374"/>
    <cellStyle name="CurrencyTot 2 2 2 8" xfId="2375"/>
    <cellStyle name="CurrencyTot 2 2 3" xfId="2376"/>
    <cellStyle name="CurrencyTot 2 2 3 2" xfId="2377"/>
    <cellStyle name="CurrencyTot 2 2 3 3" xfId="2378"/>
    <cellStyle name="CurrencyTot 2 2 4" xfId="2379"/>
    <cellStyle name="CurrencyTot 2 2 4 2" xfId="2380"/>
    <cellStyle name="CurrencyTot 2 2 4 3" xfId="2381"/>
    <cellStyle name="CurrencyTot 2 2 5" xfId="2382"/>
    <cellStyle name="CurrencyTot 2 2 5 2" xfId="2383"/>
    <cellStyle name="CurrencyTot 2 2 5 3" xfId="2384"/>
    <cellStyle name="CurrencyTot 2 2 6" xfId="2385"/>
    <cellStyle name="CurrencyTot 2 2 6 2" xfId="2386"/>
    <cellStyle name="CurrencyTot 2 2 6 3" xfId="2387"/>
    <cellStyle name="CurrencyTot 2 2 7" xfId="2388"/>
    <cellStyle name="CurrencyTot 2 2 7 2" xfId="2389"/>
    <cellStyle name="CurrencyTot 2 2 7 3" xfId="2390"/>
    <cellStyle name="CurrencyTot 2 2 8" xfId="2391"/>
    <cellStyle name="CurrencyTot 2 2 9" xfId="2392"/>
    <cellStyle name="CurrencyTot 2 3" xfId="2393"/>
    <cellStyle name="CurrencyTot 2 3 2" xfId="2394"/>
    <cellStyle name="CurrencyTot 2 3 2 2" xfId="2395"/>
    <cellStyle name="CurrencyTot 2 3 2 3" xfId="2396"/>
    <cellStyle name="CurrencyTot 2 3 3" xfId="2397"/>
    <cellStyle name="CurrencyTot 2 3 3 2" xfId="2398"/>
    <cellStyle name="CurrencyTot 2 3 3 3" xfId="2399"/>
    <cellStyle name="CurrencyTot 2 3 4" xfId="2400"/>
    <cellStyle name="CurrencyTot 2 3 4 2" xfId="2401"/>
    <cellStyle name="CurrencyTot 2 3 4 3" xfId="2402"/>
    <cellStyle name="CurrencyTot 2 3 5" xfId="2403"/>
    <cellStyle name="CurrencyTot 2 3 5 2" xfId="2404"/>
    <cellStyle name="CurrencyTot 2 3 5 3" xfId="2405"/>
    <cellStyle name="CurrencyTot 2 3 6" xfId="2406"/>
    <cellStyle name="CurrencyTot 2 3 6 2" xfId="2407"/>
    <cellStyle name="CurrencyTot 2 3 6 3" xfId="2408"/>
    <cellStyle name="CurrencyTot 2 3 7" xfId="2409"/>
    <cellStyle name="CurrencyTot 2 3 8" xfId="2410"/>
    <cellStyle name="CurrencyTot 2 4" xfId="2411"/>
    <cellStyle name="CurrencyTot 2 4 2" xfId="2412"/>
    <cellStyle name="CurrencyTot 2 4 3" xfId="2413"/>
    <cellStyle name="CurrencyTot 2 5" xfId="2414"/>
    <cellStyle name="CurrencyTot 2 5 2" xfId="2415"/>
    <cellStyle name="CurrencyTot 2 5 3" xfId="2416"/>
    <cellStyle name="CurrencyTot 2 6" xfId="2417"/>
    <cellStyle name="CurrencyTot 2 6 2" xfId="2418"/>
    <cellStyle name="CurrencyTot 2 6 3" xfId="2419"/>
    <cellStyle name="CurrencyTot 2 7" xfId="2420"/>
    <cellStyle name="CurrencyTot 2 8" xfId="2421"/>
    <cellStyle name="CurrencyTot 3" xfId="2422"/>
    <cellStyle name="CurrencyTot 3 2" xfId="2423"/>
    <cellStyle name="CurrencyTot 3 2 2" xfId="2424"/>
    <cellStyle name="CurrencyTot 3 2 2 2" xfId="2425"/>
    <cellStyle name="CurrencyTot 3 2 2 3" xfId="2426"/>
    <cellStyle name="CurrencyTot 3 2 3" xfId="2427"/>
    <cellStyle name="CurrencyTot 3 2 3 2" xfId="2428"/>
    <cellStyle name="CurrencyTot 3 2 3 3" xfId="2429"/>
    <cellStyle name="CurrencyTot 3 2 4" xfId="2430"/>
    <cellStyle name="CurrencyTot 3 2 4 2" xfId="2431"/>
    <cellStyle name="CurrencyTot 3 2 4 3" xfId="2432"/>
    <cellStyle name="CurrencyTot 3 2 5" xfId="2433"/>
    <cellStyle name="CurrencyTot 3 2 5 2" xfId="2434"/>
    <cellStyle name="CurrencyTot 3 2 5 3" xfId="2435"/>
    <cellStyle name="CurrencyTot 3 2 6" xfId="2436"/>
    <cellStyle name="CurrencyTot 3 2 6 2" xfId="2437"/>
    <cellStyle name="CurrencyTot 3 2 6 3" xfId="2438"/>
    <cellStyle name="CurrencyTot 3 2 7" xfId="2439"/>
    <cellStyle name="CurrencyTot 3 2 8" xfId="2440"/>
    <cellStyle name="CurrencyTot 3 3" xfId="2441"/>
    <cellStyle name="CurrencyTot 3 3 2" xfId="2442"/>
    <cellStyle name="CurrencyTot 3 3 3" xfId="2443"/>
    <cellStyle name="CurrencyTot 3 4" xfId="2444"/>
    <cellStyle name="CurrencyTot 3 4 2" xfId="2445"/>
    <cellStyle name="CurrencyTot 3 4 3" xfId="2446"/>
    <cellStyle name="CurrencyTot 3 5" xfId="2447"/>
    <cellStyle name="CurrencyTot 3 5 2" xfId="2448"/>
    <cellStyle name="CurrencyTot 3 5 3" xfId="2449"/>
    <cellStyle name="CurrencyTot 3 6" xfId="2450"/>
    <cellStyle name="CurrencyTot 3 6 2" xfId="2451"/>
    <cellStyle name="CurrencyTot 3 6 3" xfId="2452"/>
    <cellStyle name="CurrencyTot 3 7" xfId="2453"/>
    <cellStyle name="CurrencyTot 3 7 2" xfId="2454"/>
    <cellStyle name="CurrencyTot 3 7 3" xfId="2455"/>
    <cellStyle name="CurrencyTot 3 8" xfId="2456"/>
    <cellStyle name="CurrencyTot 3 9" xfId="2457"/>
    <cellStyle name="CurrencyTot 4" xfId="2458"/>
    <cellStyle name="CurrencyTot 4 2" xfId="2459"/>
    <cellStyle name="CurrencyTot 4 2 2" xfId="2460"/>
    <cellStyle name="CurrencyTot 4 2 3" xfId="2461"/>
    <cellStyle name="CurrencyTot 4 3" xfId="2462"/>
    <cellStyle name="CurrencyTot 4 3 2" xfId="2463"/>
    <cellStyle name="CurrencyTot 4 3 3" xfId="2464"/>
    <cellStyle name="CurrencyTot 4 4" xfId="2465"/>
    <cellStyle name="CurrencyTot 4 4 2" xfId="2466"/>
    <cellStyle name="CurrencyTot 4 4 3" xfId="2467"/>
    <cellStyle name="CurrencyTot 4 5" xfId="2468"/>
    <cellStyle name="CurrencyTot 4 5 2" xfId="2469"/>
    <cellStyle name="CurrencyTot 4 5 3" xfId="2470"/>
    <cellStyle name="CurrencyTot 4 6" xfId="2471"/>
    <cellStyle name="CurrencyTot 4 6 2" xfId="2472"/>
    <cellStyle name="CurrencyTot 4 6 3" xfId="2473"/>
    <cellStyle name="CurrencyTot 4 7" xfId="2474"/>
    <cellStyle name="CurrencyTot 4 8" xfId="2475"/>
    <cellStyle name="CurrencyTot 5" xfId="2476"/>
    <cellStyle name="CurrencyTot 5 2" xfId="2477"/>
    <cellStyle name="CurrencyTot 5 3" xfId="2478"/>
    <cellStyle name="CurrencyTot 6" xfId="2479"/>
    <cellStyle name="CurrencyTot 6 2" xfId="2480"/>
    <cellStyle name="CurrencyTot 6 3" xfId="2481"/>
    <cellStyle name="CurrencyTot 7" xfId="2482"/>
    <cellStyle name="CurrencyTot 7 2" xfId="2483"/>
    <cellStyle name="CurrencyTot 7 3" xfId="2484"/>
    <cellStyle name="CurrencyTot 8" xfId="2485"/>
    <cellStyle name="CurrencyTot 9" xfId="2486"/>
    <cellStyle name="Data" xfId="2487"/>
    <cellStyle name="Date" xfId="76"/>
    <cellStyle name="Date 2" xfId="2488"/>
    <cellStyle name="Date 2 2" xfId="2489"/>
    <cellStyle name="Date 2 3" xfId="29328"/>
    <cellStyle name="Date 3" xfId="2490"/>
    <cellStyle name="Date 3 2" xfId="29329"/>
    <cellStyle name="Date 4" xfId="2491"/>
    <cellStyle name="Date 5" xfId="2492"/>
    <cellStyle name="Date 6" xfId="2493"/>
    <cellStyle name="Date mmm-yy" xfId="29330"/>
    <cellStyle name="Date mmm-yy 2" xfId="29331"/>
    <cellStyle name="Date mmm-yy 2 2" xfId="29332"/>
    <cellStyle name="Date mmm-yy 2 2 2" xfId="29333"/>
    <cellStyle name="Date mmm-yy 2 3" xfId="29334"/>
    <cellStyle name="Date mmm-yy 3" xfId="29335"/>
    <cellStyle name="Date mmm-yy 4" xfId="29336"/>
    <cellStyle name="Date mmm-yy_Dakota Panel" xfId="29337"/>
    <cellStyle name="Date Short" xfId="2494"/>
    <cellStyle name="Del" xfId="2495"/>
    <cellStyle name="Desc" xfId="2496"/>
    <cellStyle name="Dezimal [0]_Compiling Utility Macros" xfId="2497"/>
    <cellStyle name="Dezimal_Compiling Utility Macros" xfId="2498"/>
    <cellStyle name="Enter Currency (0)" xfId="2499"/>
    <cellStyle name="Enter Currency (2)" xfId="2500"/>
    <cellStyle name="Enter Units (0)" xfId="2501"/>
    <cellStyle name="Enter Units (1)" xfId="2502"/>
    <cellStyle name="Enter Units (2)" xfId="2503"/>
    <cellStyle name="Entered" xfId="2504"/>
    <cellStyle name="Euro" xfId="118"/>
    <cellStyle name="Euro 10" xfId="2505"/>
    <cellStyle name="Euro 10 2" xfId="2506"/>
    <cellStyle name="Euro 2" xfId="119"/>
    <cellStyle name="Euro 2 2" xfId="2507"/>
    <cellStyle name="Euro 2 2 2" xfId="2508"/>
    <cellStyle name="Euro 2 2 2 2" xfId="29338"/>
    <cellStyle name="Euro 2 2 3" xfId="29339"/>
    <cellStyle name="Euro 2 3" xfId="2509"/>
    <cellStyle name="Euro 2 3 2" xfId="29340"/>
    <cellStyle name="Euro 2 4" xfId="2510"/>
    <cellStyle name="Euro 2 5" xfId="29341"/>
    <cellStyle name="Euro 3" xfId="2511"/>
    <cellStyle name="Euro 3 2" xfId="2512"/>
    <cellStyle name="Euro 3 2 2" xfId="29342"/>
    <cellStyle name="Euro 3 2 3" xfId="29343"/>
    <cellStyle name="Euro 3 2 4" xfId="29344"/>
    <cellStyle name="Euro 3 3" xfId="2513"/>
    <cellStyle name="Euro 3 4" xfId="2514"/>
    <cellStyle name="Euro 3 5" xfId="2515"/>
    <cellStyle name="Euro 4" xfId="2516"/>
    <cellStyle name="Euro 4 2" xfId="2517"/>
    <cellStyle name="Euro 4 2 2" xfId="2518"/>
    <cellStyle name="Euro 4 3" xfId="2519"/>
    <cellStyle name="Euro 4 4" xfId="2520"/>
    <cellStyle name="Euro 4 5" xfId="2521"/>
    <cellStyle name="Euro 5" xfId="2522"/>
    <cellStyle name="Euro 5 2" xfId="2523"/>
    <cellStyle name="Euro 6" xfId="2524"/>
    <cellStyle name="Euro 6 2" xfId="2525"/>
    <cellStyle name="Euro 7" xfId="2526"/>
    <cellStyle name="Euro 7 2" xfId="2527"/>
    <cellStyle name="Euro 8" xfId="2528"/>
    <cellStyle name="Euro 8 2" xfId="2529"/>
    <cellStyle name="Euro 9" xfId="2530"/>
    <cellStyle name="Euro 9 2" xfId="2531"/>
    <cellStyle name="Excel Built-in Normal" xfId="2532"/>
    <cellStyle name="Explanatory Text 10" xfId="29345"/>
    <cellStyle name="Explanatory Text 10 2" xfId="29346"/>
    <cellStyle name="Explanatory Text 10 3" xfId="29347"/>
    <cellStyle name="Explanatory Text 11" xfId="29348"/>
    <cellStyle name="Explanatory Text 11 2" xfId="29349"/>
    <cellStyle name="Explanatory Text 11 3" xfId="29350"/>
    <cellStyle name="Explanatory Text 12" xfId="29351"/>
    <cellStyle name="Explanatory Text 12 2" xfId="29352"/>
    <cellStyle name="Explanatory Text 12 3" xfId="29353"/>
    <cellStyle name="Explanatory Text 13" xfId="29354"/>
    <cellStyle name="Explanatory Text 13 2" xfId="29355"/>
    <cellStyle name="Explanatory Text 13 3" xfId="29356"/>
    <cellStyle name="Explanatory Text 14" xfId="29357"/>
    <cellStyle name="Explanatory Text 14 2" xfId="29358"/>
    <cellStyle name="Explanatory Text 14 3" xfId="29359"/>
    <cellStyle name="Explanatory Text 15" xfId="29360"/>
    <cellStyle name="Explanatory Text 15 2" xfId="29361"/>
    <cellStyle name="Explanatory Text 15 3" xfId="29362"/>
    <cellStyle name="Explanatory Text 16" xfId="29363"/>
    <cellStyle name="Explanatory Text 16 2" xfId="29364"/>
    <cellStyle name="Explanatory Text 16 3" xfId="29365"/>
    <cellStyle name="Explanatory Text 17" xfId="29366"/>
    <cellStyle name="Explanatory Text 18" xfId="29367"/>
    <cellStyle name="Explanatory Text 2" xfId="77"/>
    <cellStyle name="Explanatory Text 2 10" xfId="29368"/>
    <cellStyle name="Explanatory Text 2 10 2" xfId="29369"/>
    <cellStyle name="Explanatory Text 2 10 3" xfId="29370"/>
    <cellStyle name="Explanatory Text 2 11" xfId="29371"/>
    <cellStyle name="Explanatory Text 2 11 2" xfId="29372"/>
    <cellStyle name="Explanatory Text 2 11 3" xfId="29373"/>
    <cellStyle name="Explanatory Text 2 12" xfId="29374"/>
    <cellStyle name="Explanatory Text 2 12 2" xfId="29375"/>
    <cellStyle name="Explanatory Text 2 12 3" xfId="29376"/>
    <cellStyle name="Explanatory Text 2 13" xfId="29377"/>
    <cellStyle name="Explanatory Text 2 14" xfId="29378"/>
    <cellStyle name="Explanatory Text 2 2" xfId="2533"/>
    <cellStyle name="Explanatory Text 2 2 10" xfId="29379"/>
    <cellStyle name="Explanatory Text 2 2 10 2" xfId="29380"/>
    <cellStyle name="Explanatory Text 2 2 10 3" xfId="29381"/>
    <cellStyle name="Explanatory Text 2 2 11" xfId="29382"/>
    <cellStyle name="Explanatory Text 2 2 12" xfId="29383"/>
    <cellStyle name="Explanatory Text 2 2 13" xfId="29384"/>
    <cellStyle name="Explanatory Text 2 2 2" xfId="29385"/>
    <cellStyle name="Explanatory Text 2 2 2 10" xfId="29386"/>
    <cellStyle name="Explanatory Text 2 2 2 10 2" xfId="29387"/>
    <cellStyle name="Explanatory Text 2 2 2 10 3" xfId="29388"/>
    <cellStyle name="Explanatory Text 2 2 2 11" xfId="29389"/>
    <cellStyle name="Explanatory Text 2 2 2 12" xfId="29390"/>
    <cellStyle name="Explanatory Text 2 2 2 2" xfId="29391"/>
    <cellStyle name="Explanatory Text 2 2 2 2 2" xfId="29392"/>
    <cellStyle name="Explanatory Text 2 2 2 2 3" xfId="29393"/>
    <cellStyle name="Explanatory Text 2 2 2 3" xfId="29394"/>
    <cellStyle name="Explanatory Text 2 2 2 3 2" xfId="29395"/>
    <cellStyle name="Explanatory Text 2 2 2 3 3" xfId="29396"/>
    <cellStyle name="Explanatory Text 2 2 2 4" xfId="29397"/>
    <cellStyle name="Explanatory Text 2 2 2 4 2" xfId="29398"/>
    <cellStyle name="Explanatory Text 2 2 2 4 3" xfId="29399"/>
    <cellStyle name="Explanatory Text 2 2 2 5" xfId="29400"/>
    <cellStyle name="Explanatory Text 2 2 2 5 2" xfId="29401"/>
    <cellStyle name="Explanatory Text 2 2 2 5 3" xfId="29402"/>
    <cellStyle name="Explanatory Text 2 2 2 6" xfId="29403"/>
    <cellStyle name="Explanatory Text 2 2 2 6 2" xfId="29404"/>
    <cellStyle name="Explanatory Text 2 2 2 6 3" xfId="29405"/>
    <cellStyle name="Explanatory Text 2 2 2 7" xfId="29406"/>
    <cellStyle name="Explanatory Text 2 2 2 7 2" xfId="29407"/>
    <cellStyle name="Explanatory Text 2 2 2 7 3" xfId="29408"/>
    <cellStyle name="Explanatory Text 2 2 2 8" xfId="29409"/>
    <cellStyle name="Explanatory Text 2 2 2 8 2" xfId="29410"/>
    <cellStyle name="Explanatory Text 2 2 2 8 3" xfId="29411"/>
    <cellStyle name="Explanatory Text 2 2 2 9" xfId="29412"/>
    <cellStyle name="Explanatory Text 2 2 2 9 2" xfId="29413"/>
    <cellStyle name="Explanatory Text 2 2 2 9 3" xfId="29414"/>
    <cellStyle name="Explanatory Text 2 2 3" xfId="29415"/>
    <cellStyle name="Explanatory Text 2 2 3 2" xfId="29416"/>
    <cellStyle name="Explanatory Text 2 2 3 3" xfId="29417"/>
    <cellStyle name="Explanatory Text 2 2 4" xfId="29418"/>
    <cellStyle name="Explanatory Text 2 2 4 2" xfId="29419"/>
    <cellStyle name="Explanatory Text 2 2 4 3" xfId="29420"/>
    <cellStyle name="Explanatory Text 2 2 5" xfId="29421"/>
    <cellStyle name="Explanatory Text 2 2 5 2" xfId="29422"/>
    <cellStyle name="Explanatory Text 2 2 5 3" xfId="29423"/>
    <cellStyle name="Explanatory Text 2 2 6" xfId="29424"/>
    <cellStyle name="Explanatory Text 2 2 6 2" xfId="29425"/>
    <cellStyle name="Explanatory Text 2 2 6 3" xfId="29426"/>
    <cellStyle name="Explanatory Text 2 2 7" xfId="29427"/>
    <cellStyle name="Explanatory Text 2 2 7 2" xfId="29428"/>
    <cellStyle name="Explanatory Text 2 2 7 3" xfId="29429"/>
    <cellStyle name="Explanatory Text 2 2 8" xfId="29430"/>
    <cellStyle name="Explanatory Text 2 2 8 2" xfId="29431"/>
    <cellStyle name="Explanatory Text 2 2 8 3" xfId="29432"/>
    <cellStyle name="Explanatory Text 2 2 9" xfId="29433"/>
    <cellStyle name="Explanatory Text 2 2 9 2" xfId="29434"/>
    <cellStyle name="Explanatory Text 2 2 9 3" xfId="29435"/>
    <cellStyle name="Explanatory Text 2 3" xfId="29436"/>
    <cellStyle name="Explanatory Text 2 3 2" xfId="29437"/>
    <cellStyle name="Explanatory Text 2 3 3" xfId="29438"/>
    <cellStyle name="Explanatory Text 2 4" xfId="29439"/>
    <cellStyle name="Explanatory Text 2 4 2" xfId="29440"/>
    <cellStyle name="Explanatory Text 2 4 3" xfId="29441"/>
    <cellStyle name="Explanatory Text 2 5" xfId="29442"/>
    <cellStyle name="Explanatory Text 2 5 2" xfId="29443"/>
    <cellStyle name="Explanatory Text 2 5 3" xfId="29444"/>
    <cellStyle name="Explanatory Text 2 6" xfId="29445"/>
    <cellStyle name="Explanatory Text 2 6 2" xfId="29446"/>
    <cellStyle name="Explanatory Text 2 6 3" xfId="29447"/>
    <cellStyle name="Explanatory Text 2 7" xfId="29448"/>
    <cellStyle name="Explanatory Text 2 7 2" xfId="29449"/>
    <cellStyle name="Explanatory Text 2 7 3" xfId="29450"/>
    <cellStyle name="Explanatory Text 2 8" xfId="29451"/>
    <cellStyle name="Explanatory Text 2 8 2" xfId="29452"/>
    <cellStyle name="Explanatory Text 2 8 3" xfId="29453"/>
    <cellStyle name="Explanatory Text 2 9" xfId="29454"/>
    <cellStyle name="Explanatory Text 2 9 2" xfId="29455"/>
    <cellStyle name="Explanatory Text 2 9 3" xfId="29456"/>
    <cellStyle name="Explanatory Text 3" xfId="2534"/>
    <cellStyle name="Explanatory Text 3 2" xfId="29457"/>
    <cellStyle name="Explanatory Text 3 2 2" xfId="29458"/>
    <cellStyle name="Explanatory Text 3 2 3" xfId="29459"/>
    <cellStyle name="Explanatory Text 3 3" xfId="29460"/>
    <cellStyle name="Explanatory Text 3 4" xfId="29461"/>
    <cellStyle name="Explanatory Text 3 5" xfId="29462"/>
    <cellStyle name="Explanatory Text 4" xfId="2535"/>
    <cellStyle name="Explanatory Text 4 2" xfId="29463"/>
    <cellStyle name="Explanatory Text 4 2 2" xfId="29464"/>
    <cellStyle name="Explanatory Text 4 2 3" xfId="29465"/>
    <cellStyle name="Explanatory Text 4 3" xfId="29466"/>
    <cellStyle name="Explanatory Text 4 4" xfId="29467"/>
    <cellStyle name="Explanatory Text 5" xfId="29468"/>
    <cellStyle name="Explanatory Text 5 2" xfId="29469"/>
    <cellStyle name="Explanatory Text 5 2 2" xfId="29470"/>
    <cellStyle name="Explanatory Text 5 2 3" xfId="29471"/>
    <cellStyle name="Explanatory Text 5 3" xfId="29472"/>
    <cellStyle name="Explanatory Text 5 4" xfId="29473"/>
    <cellStyle name="Explanatory Text 6" xfId="29474"/>
    <cellStyle name="Explanatory Text 6 2" xfId="29475"/>
    <cellStyle name="Explanatory Text 6 3" xfId="29476"/>
    <cellStyle name="Explanatory Text 7" xfId="29477"/>
    <cellStyle name="Explanatory Text 7 2" xfId="29478"/>
    <cellStyle name="Explanatory Text 7 3" xfId="29479"/>
    <cellStyle name="Explanatory Text 8" xfId="29480"/>
    <cellStyle name="Explanatory Text 8 2" xfId="29481"/>
    <cellStyle name="Explanatory Text 8 3" xfId="29482"/>
    <cellStyle name="Explanatory Text 9" xfId="29483"/>
    <cellStyle name="Explanatory Text 9 2" xfId="29484"/>
    <cellStyle name="Explanatory Text 9 3" xfId="29485"/>
    <cellStyle name="F2" xfId="2536"/>
    <cellStyle name="F3" xfId="2537"/>
    <cellStyle name="F4" xfId="2538"/>
    <cellStyle name="F5" xfId="2539"/>
    <cellStyle name="F6" xfId="2540"/>
    <cellStyle name="F7" xfId="2541"/>
    <cellStyle name="F8" xfId="2542"/>
    <cellStyle name="Fixed" xfId="78"/>
    <cellStyle name="Fixed 2" xfId="2543"/>
    <cellStyle name="Fixed 2 2" xfId="2544"/>
    <cellStyle name="Fixed 3" xfId="2545"/>
    <cellStyle name="Fixed 4" xfId="2546"/>
    <cellStyle name="Fixed 5" xfId="2547"/>
    <cellStyle name="Fixed 6" xfId="2548"/>
    <cellStyle name="Forumulas" xfId="2549"/>
    <cellStyle name="Good 10" xfId="29486"/>
    <cellStyle name="Good 10 2" xfId="29487"/>
    <cellStyle name="Good 10 2 2" xfId="29488"/>
    <cellStyle name="Good 10 2 3" xfId="29489"/>
    <cellStyle name="Good 10 3" xfId="29490"/>
    <cellStyle name="Good 10 4" xfId="29491"/>
    <cellStyle name="Good 11" xfId="29492"/>
    <cellStyle name="Good 11 2" xfId="29493"/>
    <cellStyle name="Good 11 2 2" xfId="29494"/>
    <cellStyle name="Good 11 2 3" xfId="29495"/>
    <cellStyle name="Good 11 3" xfId="29496"/>
    <cellStyle name="Good 11 4" xfId="29497"/>
    <cellStyle name="Good 12" xfId="29498"/>
    <cellStyle name="Good 12 2" xfId="29499"/>
    <cellStyle name="Good 12 3" xfId="29500"/>
    <cellStyle name="Good 13" xfId="29501"/>
    <cellStyle name="Good 13 2" xfId="29502"/>
    <cellStyle name="Good 13 3" xfId="29503"/>
    <cellStyle name="Good 14" xfId="29504"/>
    <cellStyle name="Good 14 2" xfId="29505"/>
    <cellStyle name="Good 14 3" xfId="29506"/>
    <cellStyle name="Good 15" xfId="29507"/>
    <cellStyle name="Good 15 2" xfId="29508"/>
    <cellStyle name="Good 15 2 2" xfId="29509"/>
    <cellStyle name="Good 15 2 3" xfId="29510"/>
    <cellStyle name="Good 15 3" xfId="29511"/>
    <cellStyle name="Good 15 4" xfId="29512"/>
    <cellStyle name="Good 16" xfId="29513"/>
    <cellStyle name="Good 16 2" xfId="29514"/>
    <cellStyle name="Good 16 3" xfId="29515"/>
    <cellStyle name="Good 17" xfId="29516"/>
    <cellStyle name="Good 18" xfId="29517"/>
    <cellStyle name="Good 2" xfId="79"/>
    <cellStyle name="Good 2 10" xfId="29518"/>
    <cellStyle name="Good 2 10 2" xfId="29519"/>
    <cellStyle name="Good 2 10 3" xfId="29520"/>
    <cellStyle name="Good 2 11" xfId="29521"/>
    <cellStyle name="Good 2 11 2" xfId="29522"/>
    <cellStyle name="Good 2 11 3" xfId="29523"/>
    <cellStyle name="Good 2 12" xfId="29524"/>
    <cellStyle name="Good 2 12 2" xfId="29525"/>
    <cellStyle name="Good 2 12 3" xfId="29526"/>
    <cellStyle name="Good 2 13" xfId="29527"/>
    <cellStyle name="Good 2 13 2" xfId="29528"/>
    <cellStyle name="Good 2 14" xfId="29529"/>
    <cellStyle name="Good 2 15" xfId="29530"/>
    <cellStyle name="Good 2 16" xfId="29531"/>
    <cellStyle name="Good 2 2" xfId="2550"/>
    <cellStyle name="Good 2 2 10" xfId="29532"/>
    <cellStyle name="Good 2 2 10 2" xfId="29533"/>
    <cellStyle name="Good 2 2 10 3" xfId="29534"/>
    <cellStyle name="Good 2 2 11" xfId="29535"/>
    <cellStyle name="Good 2 2 12" xfId="29536"/>
    <cellStyle name="Good 2 2 2" xfId="29537"/>
    <cellStyle name="Good 2 2 2 10" xfId="29538"/>
    <cellStyle name="Good 2 2 2 10 2" xfId="29539"/>
    <cellStyle name="Good 2 2 2 10 3" xfId="29540"/>
    <cellStyle name="Good 2 2 2 11" xfId="29541"/>
    <cellStyle name="Good 2 2 2 12" xfId="29542"/>
    <cellStyle name="Good 2 2 2 13" xfId="29543"/>
    <cellStyle name="Good 2 2 2 2" xfId="29544"/>
    <cellStyle name="Good 2 2 2 2 2" xfId="29545"/>
    <cellStyle name="Good 2 2 2 2 3" xfId="29546"/>
    <cellStyle name="Good 2 2 2 3" xfId="29547"/>
    <cellStyle name="Good 2 2 2 3 2" xfId="29548"/>
    <cellStyle name="Good 2 2 2 3 3" xfId="29549"/>
    <cellStyle name="Good 2 2 2 4" xfId="29550"/>
    <cellStyle name="Good 2 2 2 4 2" xfId="29551"/>
    <cellStyle name="Good 2 2 2 4 3" xfId="29552"/>
    <cellStyle name="Good 2 2 2 5" xfId="29553"/>
    <cellStyle name="Good 2 2 2 5 2" xfId="29554"/>
    <cellStyle name="Good 2 2 2 5 3" xfId="29555"/>
    <cellStyle name="Good 2 2 2 6" xfId="29556"/>
    <cellStyle name="Good 2 2 2 6 2" xfId="29557"/>
    <cellStyle name="Good 2 2 2 6 3" xfId="29558"/>
    <cellStyle name="Good 2 2 2 7" xfId="29559"/>
    <cellStyle name="Good 2 2 2 7 2" xfId="29560"/>
    <cellStyle name="Good 2 2 2 7 3" xfId="29561"/>
    <cellStyle name="Good 2 2 2 8" xfId="29562"/>
    <cellStyle name="Good 2 2 2 8 2" xfId="29563"/>
    <cellStyle name="Good 2 2 2 8 3" xfId="29564"/>
    <cellStyle name="Good 2 2 2 9" xfId="29565"/>
    <cellStyle name="Good 2 2 2 9 2" xfId="29566"/>
    <cellStyle name="Good 2 2 2 9 3" xfId="29567"/>
    <cellStyle name="Good 2 2 3" xfId="29568"/>
    <cellStyle name="Good 2 2 3 2" xfId="29569"/>
    <cellStyle name="Good 2 2 3 3" xfId="29570"/>
    <cellStyle name="Good 2 2 4" xfId="29571"/>
    <cellStyle name="Good 2 2 4 2" xfId="29572"/>
    <cellStyle name="Good 2 2 4 3" xfId="29573"/>
    <cellStyle name="Good 2 2 5" xfId="29574"/>
    <cellStyle name="Good 2 2 5 2" xfId="29575"/>
    <cellStyle name="Good 2 2 5 3" xfId="29576"/>
    <cellStyle name="Good 2 2 6" xfId="29577"/>
    <cellStyle name="Good 2 2 6 2" xfId="29578"/>
    <cellStyle name="Good 2 2 6 3" xfId="29579"/>
    <cellStyle name="Good 2 2 7" xfId="29580"/>
    <cellStyle name="Good 2 2 7 2" xfId="29581"/>
    <cellStyle name="Good 2 2 7 3" xfId="29582"/>
    <cellStyle name="Good 2 2 8" xfId="29583"/>
    <cellStyle name="Good 2 2 8 2" xfId="29584"/>
    <cellStyle name="Good 2 2 8 3" xfId="29585"/>
    <cellStyle name="Good 2 2 9" xfId="29586"/>
    <cellStyle name="Good 2 2 9 2" xfId="29587"/>
    <cellStyle name="Good 2 2 9 3" xfId="29588"/>
    <cellStyle name="Good 2 3" xfId="29589"/>
    <cellStyle name="Good 2 3 2" xfId="29590"/>
    <cellStyle name="Good 2 3 3" xfId="29591"/>
    <cellStyle name="Good 2 3 4" xfId="29592"/>
    <cellStyle name="Good 2 4" xfId="29593"/>
    <cellStyle name="Good 2 4 2" xfId="29594"/>
    <cellStyle name="Good 2 4 3" xfId="29595"/>
    <cellStyle name="Good 2 5" xfId="29596"/>
    <cellStyle name="Good 2 5 2" xfId="29597"/>
    <cellStyle name="Good 2 5 3" xfId="29598"/>
    <cellStyle name="Good 2 6" xfId="29599"/>
    <cellStyle name="Good 2 6 2" xfId="29600"/>
    <cellStyle name="Good 2 6 3" xfId="29601"/>
    <cellStyle name="Good 2 7" xfId="29602"/>
    <cellStyle name="Good 2 7 2" xfId="29603"/>
    <cellStyle name="Good 2 7 2 2" xfId="29604"/>
    <cellStyle name="Good 2 7 2 3" xfId="29605"/>
    <cellStyle name="Good 2 7 3" xfId="29606"/>
    <cellStyle name="Good 2 7 4" xfId="29607"/>
    <cellStyle name="Good 2 8" xfId="29608"/>
    <cellStyle name="Good 2 8 2" xfId="29609"/>
    <cellStyle name="Good 2 8 3" xfId="29610"/>
    <cellStyle name="Good 2 9" xfId="29611"/>
    <cellStyle name="Good 2 9 2" xfId="29612"/>
    <cellStyle name="Good 2 9 3" xfId="29613"/>
    <cellStyle name="Good 2_1-10 BHU IS" xfId="29614"/>
    <cellStyle name="Good 3" xfId="2551"/>
    <cellStyle name="Good 3 2" xfId="29615"/>
    <cellStyle name="Good 3 2 2" xfId="29616"/>
    <cellStyle name="Good 3 2 2 2" xfId="29617"/>
    <cellStyle name="Good 3 2 2 3" xfId="29618"/>
    <cellStyle name="Good 3 2 3" xfId="29619"/>
    <cellStyle name="Good 3 2 4" xfId="29620"/>
    <cellStyle name="Good 3 2 5" xfId="29621"/>
    <cellStyle name="Good 3 3" xfId="29622"/>
    <cellStyle name="Good 3 3 2" xfId="29623"/>
    <cellStyle name="Good 3 4" xfId="29624"/>
    <cellStyle name="Good 4" xfId="2552"/>
    <cellStyle name="Good 4 2" xfId="29625"/>
    <cellStyle name="Good 4 2 2" xfId="29626"/>
    <cellStyle name="Good 4 2 3" xfId="29627"/>
    <cellStyle name="Good 4 3" xfId="29628"/>
    <cellStyle name="Good 4 4" xfId="29629"/>
    <cellStyle name="Good 5" xfId="29630"/>
    <cellStyle name="Good 5 2" xfId="29631"/>
    <cellStyle name="Good 5 2 2" xfId="29632"/>
    <cellStyle name="Good 5 2 3" xfId="29633"/>
    <cellStyle name="Good 5 3" xfId="29634"/>
    <cellStyle name="Good 5 4" xfId="29635"/>
    <cellStyle name="Good 6" xfId="29636"/>
    <cellStyle name="Good 6 2" xfId="29637"/>
    <cellStyle name="Good 6 2 2" xfId="29638"/>
    <cellStyle name="Good 6 2 3" xfId="29639"/>
    <cellStyle name="Good 6 3" xfId="29640"/>
    <cellStyle name="Good 6 4" xfId="29641"/>
    <cellStyle name="Good 7" xfId="29642"/>
    <cellStyle name="Good 7 2" xfId="29643"/>
    <cellStyle name="Good 7 2 2" xfId="29644"/>
    <cellStyle name="Good 7 2 3" xfId="29645"/>
    <cellStyle name="Good 7 3" xfId="29646"/>
    <cellStyle name="Good 7 4" xfId="29647"/>
    <cellStyle name="Good 8" xfId="29648"/>
    <cellStyle name="Good 8 2" xfId="29649"/>
    <cellStyle name="Good 8 2 2" xfId="29650"/>
    <cellStyle name="Good 8 2 3" xfId="29651"/>
    <cellStyle name="Good 8 3" xfId="29652"/>
    <cellStyle name="Good 8 4" xfId="29653"/>
    <cellStyle name="Good 9" xfId="29654"/>
    <cellStyle name="Good 9 2" xfId="29655"/>
    <cellStyle name="Good 9 2 2" xfId="29656"/>
    <cellStyle name="Good 9 2 3" xfId="29657"/>
    <cellStyle name="Good 9 3" xfId="29658"/>
    <cellStyle name="Good 9 4" xfId="29659"/>
    <cellStyle name="Green cell" xfId="2553"/>
    <cellStyle name="Grey" xfId="2554"/>
    <cellStyle name="Grey 2" xfId="2555"/>
    <cellStyle name="Grey 2 2" xfId="29660"/>
    <cellStyle name="Grey 2 3" xfId="29661"/>
    <cellStyle name="Grey 3" xfId="2556"/>
    <cellStyle name="Grey 4" xfId="29662"/>
    <cellStyle name="Header" xfId="2557"/>
    <cellStyle name="Header1" xfId="2558"/>
    <cellStyle name="Header1 2" xfId="29663"/>
    <cellStyle name="Header1 2 2" xfId="29664"/>
    <cellStyle name="Header1 3" xfId="29665"/>
    <cellStyle name="Header2" xfId="2559"/>
    <cellStyle name="Header2 10" xfId="2560"/>
    <cellStyle name="Header2 2" xfId="2561"/>
    <cellStyle name="Header2 2 2" xfId="2562"/>
    <cellStyle name="Header2 2 2 2" xfId="2563"/>
    <cellStyle name="Header2 2 2 2 2" xfId="2564"/>
    <cellStyle name="Header2 2 2 2 2 2" xfId="2565"/>
    <cellStyle name="Header2 2 2 2 2 3" xfId="2566"/>
    <cellStyle name="Header2 2 2 2 3" xfId="2567"/>
    <cellStyle name="Header2 2 2 2 3 2" xfId="2568"/>
    <cellStyle name="Header2 2 2 2 3 3" xfId="2569"/>
    <cellStyle name="Header2 2 2 2 4" xfId="2570"/>
    <cellStyle name="Header2 2 2 2 4 2" xfId="2571"/>
    <cellStyle name="Header2 2 2 2 4 3" xfId="2572"/>
    <cellStyle name="Header2 2 2 2 5" xfId="2573"/>
    <cellStyle name="Header2 2 2 2 5 2" xfId="2574"/>
    <cellStyle name="Header2 2 2 2 5 3" xfId="2575"/>
    <cellStyle name="Header2 2 2 2 6" xfId="2576"/>
    <cellStyle name="Header2 2 2 2 6 2" xfId="2577"/>
    <cellStyle name="Header2 2 2 2 6 3" xfId="2578"/>
    <cellStyle name="Header2 2 2 2 7" xfId="2579"/>
    <cellStyle name="Header2 2 2 2 8" xfId="2580"/>
    <cellStyle name="Header2 2 2 3" xfId="2581"/>
    <cellStyle name="Header2 2 2 3 2" xfId="2582"/>
    <cellStyle name="Header2 2 2 3 3" xfId="2583"/>
    <cellStyle name="Header2 2 2 4" xfId="2584"/>
    <cellStyle name="Header2 2 2 4 2" xfId="2585"/>
    <cellStyle name="Header2 2 2 4 3" xfId="2586"/>
    <cellStyle name="Header2 2 2 5" xfId="2587"/>
    <cellStyle name="Header2 2 2 5 2" xfId="2588"/>
    <cellStyle name="Header2 2 2 5 3" xfId="2589"/>
    <cellStyle name="Header2 2 2 6" xfId="2590"/>
    <cellStyle name="Header2 2 2 6 2" xfId="2591"/>
    <cellStyle name="Header2 2 2 6 3" xfId="2592"/>
    <cellStyle name="Header2 2 2 7" xfId="2593"/>
    <cellStyle name="Header2 2 2 7 2" xfId="2594"/>
    <cellStyle name="Header2 2 2 7 3" xfId="2595"/>
    <cellStyle name="Header2 2 2 8" xfId="2596"/>
    <cellStyle name="Header2 2 2 9" xfId="2597"/>
    <cellStyle name="Header2 2 3" xfId="2598"/>
    <cellStyle name="Header2 2 3 2" xfId="2599"/>
    <cellStyle name="Header2 2 3 2 2" xfId="2600"/>
    <cellStyle name="Header2 2 3 2 3" xfId="2601"/>
    <cellStyle name="Header2 2 3 3" xfId="2602"/>
    <cellStyle name="Header2 2 3 3 2" xfId="2603"/>
    <cellStyle name="Header2 2 3 3 3" xfId="2604"/>
    <cellStyle name="Header2 2 3 4" xfId="2605"/>
    <cellStyle name="Header2 2 3 4 2" xfId="2606"/>
    <cellStyle name="Header2 2 3 4 3" xfId="2607"/>
    <cellStyle name="Header2 2 3 5" xfId="2608"/>
    <cellStyle name="Header2 2 3 5 2" xfId="2609"/>
    <cellStyle name="Header2 2 3 5 3" xfId="2610"/>
    <cellStyle name="Header2 2 3 6" xfId="2611"/>
    <cellStyle name="Header2 2 3 6 2" xfId="2612"/>
    <cellStyle name="Header2 2 3 6 3" xfId="2613"/>
    <cellStyle name="Header2 2 3 7" xfId="2614"/>
    <cellStyle name="Header2 2 3 8" xfId="2615"/>
    <cellStyle name="Header2 2 4" xfId="2616"/>
    <cellStyle name="Header2 2 4 2" xfId="2617"/>
    <cellStyle name="Header2 2 4 2 2" xfId="2618"/>
    <cellStyle name="Header2 2 4 2 3" xfId="2619"/>
    <cellStyle name="Header2 2 4 3" xfId="2620"/>
    <cellStyle name="Header2 2 4 3 2" xfId="2621"/>
    <cellStyle name="Header2 2 4 3 3" xfId="2622"/>
    <cellStyle name="Header2 2 4 4" xfId="2623"/>
    <cellStyle name="Header2 2 4 4 2" xfId="2624"/>
    <cellStyle name="Header2 2 4 4 3" xfId="2625"/>
    <cellStyle name="Header2 2 4 5" xfId="2626"/>
    <cellStyle name="Header2 2 4 5 2" xfId="2627"/>
    <cellStyle name="Header2 2 4 5 3" xfId="2628"/>
    <cellStyle name="Header2 2 4 6" xfId="2629"/>
    <cellStyle name="Header2 2 4 6 2" xfId="2630"/>
    <cellStyle name="Header2 2 4 6 3" xfId="2631"/>
    <cellStyle name="Header2 2 4 7" xfId="2632"/>
    <cellStyle name="Header2 2 4 8" xfId="2633"/>
    <cellStyle name="Header2 2 5" xfId="2634"/>
    <cellStyle name="Header2 2 5 2" xfId="2635"/>
    <cellStyle name="Header2 2 5 3" xfId="2636"/>
    <cellStyle name="Header2 2 6" xfId="2637"/>
    <cellStyle name="Header2 2 6 2" xfId="2638"/>
    <cellStyle name="Header2 2 6 3" xfId="2639"/>
    <cellStyle name="Header2 2 7" xfId="2640"/>
    <cellStyle name="Header2 2 7 2" xfId="2641"/>
    <cellStyle name="Header2 2 7 3" xfId="2642"/>
    <cellStyle name="Header2 2 8" xfId="2643"/>
    <cellStyle name="Header2 2 9" xfId="2644"/>
    <cellStyle name="Header2 3" xfId="2645"/>
    <cellStyle name="Header2 3 2" xfId="2646"/>
    <cellStyle name="Header2 3 2 2" xfId="2647"/>
    <cellStyle name="Header2 3 2 2 2" xfId="2648"/>
    <cellStyle name="Header2 3 2 2 3" xfId="2649"/>
    <cellStyle name="Header2 3 2 3" xfId="2650"/>
    <cellStyle name="Header2 3 2 3 2" xfId="2651"/>
    <cellStyle name="Header2 3 2 3 3" xfId="2652"/>
    <cellStyle name="Header2 3 2 4" xfId="2653"/>
    <cellStyle name="Header2 3 2 4 2" xfId="2654"/>
    <cellStyle name="Header2 3 2 4 3" xfId="2655"/>
    <cellStyle name="Header2 3 2 5" xfId="2656"/>
    <cellStyle name="Header2 3 2 5 2" xfId="2657"/>
    <cellStyle name="Header2 3 2 5 3" xfId="2658"/>
    <cellStyle name="Header2 3 2 6" xfId="2659"/>
    <cellStyle name="Header2 3 2 6 2" xfId="2660"/>
    <cellStyle name="Header2 3 2 6 3" xfId="2661"/>
    <cellStyle name="Header2 3 2 7" xfId="2662"/>
    <cellStyle name="Header2 3 2 8" xfId="2663"/>
    <cellStyle name="Header2 3 3" xfId="2664"/>
    <cellStyle name="Header2 3 3 2" xfId="2665"/>
    <cellStyle name="Header2 3 3 3" xfId="2666"/>
    <cellStyle name="Header2 3 4" xfId="2667"/>
    <cellStyle name="Header2 3 4 2" xfId="2668"/>
    <cellStyle name="Header2 3 4 3" xfId="2669"/>
    <cellStyle name="Header2 3 5" xfId="2670"/>
    <cellStyle name="Header2 3 5 2" xfId="2671"/>
    <cellStyle name="Header2 3 5 3" xfId="2672"/>
    <cellStyle name="Header2 3 6" xfId="2673"/>
    <cellStyle name="Header2 3 6 2" xfId="2674"/>
    <cellStyle name="Header2 3 6 3" xfId="2675"/>
    <cellStyle name="Header2 3 7" xfId="2676"/>
    <cellStyle name="Header2 3 7 2" xfId="2677"/>
    <cellStyle name="Header2 3 7 3" xfId="2678"/>
    <cellStyle name="Header2 3 8" xfId="2679"/>
    <cellStyle name="Header2 3 9" xfId="2680"/>
    <cellStyle name="Header2 4" xfId="2681"/>
    <cellStyle name="Header2 4 2" xfId="2682"/>
    <cellStyle name="Header2 4 2 2" xfId="2683"/>
    <cellStyle name="Header2 4 2 3" xfId="2684"/>
    <cellStyle name="Header2 4 3" xfId="2685"/>
    <cellStyle name="Header2 4 3 2" xfId="2686"/>
    <cellStyle name="Header2 4 3 3" xfId="2687"/>
    <cellStyle name="Header2 4 4" xfId="2688"/>
    <cellStyle name="Header2 4 4 2" xfId="2689"/>
    <cellStyle name="Header2 4 4 3" xfId="2690"/>
    <cellStyle name="Header2 4 5" xfId="2691"/>
    <cellStyle name="Header2 4 5 2" xfId="2692"/>
    <cellStyle name="Header2 4 5 3" xfId="2693"/>
    <cellStyle name="Header2 4 6" xfId="2694"/>
    <cellStyle name="Header2 4 6 2" xfId="2695"/>
    <cellStyle name="Header2 4 6 3" xfId="2696"/>
    <cellStyle name="Header2 4 7" xfId="2697"/>
    <cellStyle name="Header2 4 8" xfId="2698"/>
    <cellStyle name="Header2 5" xfId="2699"/>
    <cellStyle name="Header2 5 2" xfId="2700"/>
    <cellStyle name="Header2 5 2 2" xfId="2701"/>
    <cellStyle name="Header2 5 2 3" xfId="2702"/>
    <cellStyle name="Header2 5 3" xfId="2703"/>
    <cellStyle name="Header2 5 3 2" xfId="2704"/>
    <cellStyle name="Header2 5 3 3" xfId="2705"/>
    <cellStyle name="Header2 5 4" xfId="2706"/>
    <cellStyle name="Header2 5 4 2" xfId="2707"/>
    <cellStyle name="Header2 5 4 3" xfId="2708"/>
    <cellStyle name="Header2 5 5" xfId="2709"/>
    <cellStyle name="Header2 5 5 2" xfId="2710"/>
    <cellStyle name="Header2 5 5 3" xfId="2711"/>
    <cellStyle name="Header2 5 6" xfId="2712"/>
    <cellStyle name="Header2 5 6 2" xfId="2713"/>
    <cellStyle name="Header2 5 6 3" xfId="2714"/>
    <cellStyle name="Header2 5 7" xfId="2715"/>
    <cellStyle name="Header2 5 8" xfId="2716"/>
    <cellStyle name="Header2 6" xfId="2717"/>
    <cellStyle name="Header2 6 2" xfId="2718"/>
    <cellStyle name="Header2 6 3" xfId="2719"/>
    <cellStyle name="Header2 7" xfId="2720"/>
    <cellStyle name="Header2 7 2" xfId="2721"/>
    <cellStyle name="Header2 7 3" xfId="2722"/>
    <cellStyle name="Header2 8" xfId="2723"/>
    <cellStyle name="Header2 8 2" xfId="2724"/>
    <cellStyle name="Header2 8 3" xfId="2725"/>
    <cellStyle name="Header2 9" xfId="2726"/>
    <cellStyle name="Headers" xfId="2727"/>
    <cellStyle name="Heading" xfId="2728"/>
    <cellStyle name="Heading 1 10" xfId="29666"/>
    <cellStyle name="Heading 1 10 2" xfId="29667"/>
    <cellStyle name="Heading 1 10 2 2" xfId="29668"/>
    <cellStyle name="Heading 1 10 2 3" xfId="29669"/>
    <cellStyle name="Heading 1 10 3" xfId="29670"/>
    <cellStyle name="Heading 1 10 4" xfId="29671"/>
    <cellStyle name="Heading 1 11" xfId="29672"/>
    <cellStyle name="Heading 1 11 2" xfId="29673"/>
    <cellStyle name="Heading 1 11 2 2" xfId="29674"/>
    <cellStyle name="Heading 1 11 2 3" xfId="29675"/>
    <cellStyle name="Heading 1 11 3" xfId="29676"/>
    <cellStyle name="Heading 1 11 4" xfId="29677"/>
    <cellStyle name="Heading 1 12" xfId="29678"/>
    <cellStyle name="Heading 1 12 2" xfId="29679"/>
    <cellStyle name="Heading 1 12 3" xfId="29680"/>
    <cellStyle name="Heading 1 13" xfId="29681"/>
    <cellStyle name="Heading 1 13 2" xfId="29682"/>
    <cellStyle name="Heading 1 13 3" xfId="29683"/>
    <cellStyle name="Heading 1 14" xfId="29684"/>
    <cellStyle name="Heading 1 14 2" xfId="29685"/>
    <cellStyle name="Heading 1 14 3" xfId="29686"/>
    <cellStyle name="Heading 1 15" xfId="29687"/>
    <cellStyle name="Heading 1 15 2" xfId="29688"/>
    <cellStyle name="Heading 1 15 2 2" xfId="29689"/>
    <cellStyle name="Heading 1 15 2 3" xfId="29690"/>
    <cellStyle name="Heading 1 15 3" xfId="29691"/>
    <cellStyle name="Heading 1 15 4" xfId="29692"/>
    <cellStyle name="Heading 1 16" xfId="29693"/>
    <cellStyle name="Heading 1 16 2" xfId="29694"/>
    <cellStyle name="Heading 1 16 3" xfId="29695"/>
    <cellStyle name="Heading 1 17" xfId="29696"/>
    <cellStyle name="Heading 1 18" xfId="29697"/>
    <cellStyle name="Heading 1 2" xfId="80"/>
    <cellStyle name="Heading 1 2 10" xfId="29698"/>
    <cellStyle name="Heading 1 2 10 2" xfId="29699"/>
    <cellStyle name="Heading 1 2 10 3" xfId="29700"/>
    <cellStyle name="Heading 1 2 11" xfId="29701"/>
    <cellStyle name="Heading 1 2 11 2" xfId="29702"/>
    <cellStyle name="Heading 1 2 11 3" xfId="29703"/>
    <cellStyle name="Heading 1 2 12" xfId="29704"/>
    <cellStyle name="Heading 1 2 12 2" xfId="29705"/>
    <cellStyle name="Heading 1 2 12 3" xfId="29706"/>
    <cellStyle name="Heading 1 2 13" xfId="29707"/>
    <cellStyle name="Heading 1 2 13 2" xfId="29708"/>
    <cellStyle name="Heading 1 2 14" xfId="29709"/>
    <cellStyle name="Heading 1 2 15" xfId="29710"/>
    <cellStyle name="Heading 1 2 2" xfId="2729"/>
    <cellStyle name="Heading 1 2 2 10" xfId="29711"/>
    <cellStyle name="Heading 1 2 2 10 2" xfId="29712"/>
    <cellStyle name="Heading 1 2 2 10 3" xfId="29713"/>
    <cellStyle name="Heading 1 2 2 11" xfId="29714"/>
    <cellStyle name="Heading 1 2 2 12" xfId="29715"/>
    <cellStyle name="Heading 1 2 2 13" xfId="29716"/>
    <cellStyle name="Heading 1 2 2 2" xfId="29717"/>
    <cellStyle name="Heading 1 2 2 2 10" xfId="29718"/>
    <cellStyle name="Heading 1 2 2 2 10 2" xfId="29719"/>
    <cellStyle name="Heading 1 2 2 2 10 3" xfId="29720"/>
    <cellStyle name="Heading 1 2 2 2 11" xfId="29721"/>
    <cellStyle name="Heading 1 2 2 2 12" xfId="29722"/>
    <cellStyle name="Heading 1 2 2 2 2" xfId="29723"/>
    <cellStyle name="Heading 1 2 2 2 2 2" xfId="29724"/>
    <cellStyle name="Heading 1 2 2 2 2 3" xfId="29725"/>
    <cellStyle name="Heading 1 2 2 2 3" xfId="29726"/>
    <cellStyle name="Heading 1 2 2 2 3 2" xfId="29727"/>
    <cellStyle name="Heading 1 2 2 2 3 3" xfId="29728"/>
    <cellStyle name="Heading 1 2 2 2 4" xfId="29729"/>
    <cellStyle name="Heading 1 2 2 2 4 2" xfId="29730"/>
    <cellStyle name="Heading 1 2 2 2 4 3" xfId="29731"/>
    <cellStyle name="Heading 1 2 2 2 5" xfId="29732"/>
    <cellStyle name="Heading 1 2 2 2 5 2" xfId="29733"/>
    <cellStyle name="Heading 1 2 2 2 5 3" xfId="29734"/>
    <cellStyle name="Heading 1 2 2 2 6" xfId="29735"/>
    <cellStyle name="Heading 1 2 2 2 6 2" xfId="29736"/>
    <cellStyle name="Heading 1 2 2 2 6 3" xfId="29737"/>
    <cellStyle name="Heading 1 2 2 2 7" xfId="29738"/>
    <cellStyle name="Heading 1 2 2 2 7 2" xfId="29739"/>
    <cellStyle name="Heading 1 2 2 2 7 3" xfId="29740"/>
    <cellStyle name="Heading 1 2 2 2 8" xfId="29741"/>
    <cellStyle name="Heading 1 2 2 2 8 2" xfId="29742"/>
    <cellStyle name="Heading 1 2 2 2 8 3" xfId="29743"/>
    <cellStyle name="Heading 1 2 2 2 9" xfId="29744"/>
    <cellStyle name="Heading 1 2 2 2 9 2" xfId="29745"/>
    <cellStyle name="Heading 1 2 2 2 9 3" xfId="29746"/>
    <cellStyle name="Heading 1 2 2 3" xfId="29747"/>
    <cellStyle name="Heading 1 2 2 3 2" xfId="29748"/>
    <cellStyle name="Heading 1 2 2 3 3" xfId="29749"/>
    <cellStyle name="Heading 1 2 2 4" xfId="29750"/>
    <cellStyle name="Heading 1 2 2 4 2" xfId="29751"/>
    <cellStyle name="Heading 1 2 2 4 3" xfId="29752"/>
    <cellStyle name="Heading 1 2 2 5" xfId="29753"/>
    <cellStyle name="Heading 1 2 2 5 2" xfId="29754"/>
    <cellStyle name="Heading 1 2 2 5 3" xfId="29755"/>
    <cellStyle name="Heading 1 2 2 6" xfId="29756"/>
    <cellStyle name="Heading 1 2 2 6 2" xfId="29757"/>
    <cellStyle name="Heading 1 2 2 6 3" xfId="29758"/>
    <cellStyle name="Heading 1 2 2 7" xfId="29759"/>
    <cellStyle name="Heading 1 2 2 7 2" xfId="29760"/>
    <cellStyle name="Heading 1 2 2 7 3" xfId="29761"/>
    <cellStyle name="Heading 1 2 2 8" xfId="29762"/>
    <cellStyle name="Heading 1 2 2 8 2" xfId="29763"/>
    <cellStyle name="Heading 1 2 2 8 3" xfId="29764"/>
    <cellStyle name="Heading 1 2 2 9" xfId="29765"/>
    <cellStyle name="Heading 1 2 2 9 2" xfId="29766"/>
    <cellStyle name="Heading 1 2 2 9 3" xfId="29767"/>
    <cellStyle name="Heading 1 2 2_BHP 4Q 2010 Ops Review Senior Managment " xfId="29768"/>
    <cellStyle name="Heading 1 2 3" xfId="2730"/>
    <cellStyle name="Heading 1 2 3 2" xfId="29769"/>
    <cellStyle name="Heading 1 2 3 3" xfId="29770"/>
    <cellStyle name="Heading 1 2 4" xfId="29771"/>
    <cellStyle name="Heading 1 2 4 2" xfId="29772"/>
    <cellStyle name="Heading 1 2 4 3" xfId="29773"/>
    <cellStyle name="Heading 1 2 5" xfId="29774"/>
    <cellStyle name="Heading 1 2 5 2" xfId="29775"/>
    <cellStyle name="Heading 1 2 5 3" xfId="29776"/>
    <cellStyle name="Heading 1 2 6" xfId="29777"/>
    <cellStyle name="Heading 1 2 6 2" xfId="29778"/>
    <cellStyle name="Heading 1 2 6 3" xfId="29779"/>
    <cellStyle name="Heading 1 2 7" xfId="29780"/>
    <cellStyle name="Heading 1 2 7 2" xfId="29781"/>
    <cellStyle name="Heading 1 2 7 2 2" xfId="29782"/>
    <cellStyle name="Heading 1 2 7 2 3" xfId="29783"/>
    <cellStyle name="Heading 1 2 7 3" xfId="29784"/>
    <cellStyle name="Heading 1 2 7 4" xfId="29785"/>
    <cellStyle name="Heading 1 2 8" xfId="29786"/>
    <cellStyle name="Heading 1 2 8 2" xfId="29787"/>
    <cellStyle name="Heading 1 2 8 3" xfId="29788"/>
    <cellStyle name="Heading 1 2 9" xfId="29789"/>
    <cellStyle name="Heading 1 2 9 2" xfId="29790"/>
    <cellStyle name="Heading 1 2 9 3" xfId="29791"/>
    <cellStyle name="Heading 1 2_1-10 BHU IS" xfId="29792"/>
    <cellStyle name="Heading 1 3" xfId="2731"/>
    <cellStyle name="Heading 1 3 2" xfId="2732"/>
    <cellStyle name="Heading 1 3 2 2" xfId="29793"/>
    <cellStyle name="Heading 1 3 2 2 2" xfId="29794"/>
    <cellStyle name="Heading 1 3 2 3" xfId="29795"/>
    <cellStyle name="Heading 1 3 3" xfId="2733"/>
    <cellStyle name="Heading 1 3 3 2" xfId="29796"/>
    <cellStyle name="Heading 1 3 3 2 2" xfId="29797"/>
    <cellStyle name="Heading 1 3 3 3" xfId="29798"/>
    <cellStyle name="Heading 1 3 4" xfId="29799"/>
    <cellStyle name="Heading 1 3 4 2" xfId="29800"/>
    <cellStyle name="Heading 1 3 5" xfId="29801"/>
    <cellStyle name="Heading 1 3_1-10 BHU IS" xfId="29802"/>
    <cellStyle name="Heading 1 4" xfId="2734"/>
    <cellStyle name="Heading 1 4 2" xfId="29803"/>
    <cellStyle name="Heading 1 4 2 2" xfId="29804"/>
    <cellStyle name="Heading 1 4 2 3" xfId="29805"/>
    <cellStyle name="Heading 1 4 3" xfId="29806"/>
    <cellStyle name="Heading 1 4 4" xfId="29807"/>
    <cellStyle name="Heading 1 4_1-10 BHU IS" xfId="29808"/>
    <cellStyle name="Heading 1 5" xfId="2735"/>
    <cellStyle name="Heading 1 5 2" xfId="29809"/>
    <cellStyle name="Heading 1 5 2 2" xfId="29810"/>
    <cellStyle name="Heading 1 5 2 3" xfId="29811"/>
    <cellStyle name="Heading 1 5 3" xfId="29812"/>
    <cellStyle name="Heading 1 5 4" xfId="29813"/>
    <cellStyle name="Heading 1 5_1-10 BHU IS" xfId="29814"/>
    <cellStyle name="Heading 1 6" xfId="2736"/>
    <cellStyle name="Heading 1 6 2" xfId="29815"/>
    <cellStyle name="Heading 1 6 2 2" xfId="29816"/>
    <cellStyle name="Heading 1 6 2 3" xfId="29817"/>
    <cellStyle name="Heading 1 6 3" xfId="29818"/>
    <cellStyle name="Heading 1 6 4" xfId="29819"/>
    <cellStyle name="Heading 1 7" xfId="2737"/>
    <cellStyle name="Heading 1 7 2" xfId="29820"/>
    <cellStyle name="Heading 1 7 2 2" xfId="29821"/>
    <cellStyle name="Heading 1 7 2 3" xfId="29822"/>
    <cellStyle name="Heading 1 7 3" xfId="29823"/>
    <cellStyle name="Heading 1 7 4" xfId="29824"/>
    <cellStyle name="Heading 1 8" xfId="29825"/>
    <cellStyle name="Heading 1 8 2" xfId="29826"/>
    <cellStyle name="Heading 1 8 2 2" xfId="29827"/>
    <cellStyle name="Heading 1 8 2 3" xfId="29828"/>
    <cellStyle name="Heading 1 8 3" xfId="29829"/>
    <cellStyle name="Heading 1 8 4" xfId="29830"/>
    <cellStyle name="Heading 1 9" xfId="29831"/>
    <cellStyle name="Heading 1 9 2" xfId="29832"/>
    <cellStyle name="Heading 1 9 2 2" xfId="29833"/>
    <cellStyle name="Heading 1 9 2 3" xfId="29834"/>
    <cellStyle name="Heading 1 9 3" xfId="29835"/>
    <cellStyle name="Heading 1 9 4" xfId="29836"/>
    <cellStyle name="Heading 10" xfId="29837"/>
    <cellStyle name="Heading 11" xfId="29838"/>
    <cellStyle name="Heading 12" xfId="29839"/>
    <cellStyle name="Heading 2 10" xfId="29840"/>
    <cellStyle name="Heading 2 10 2" xfId="29841"/>
    <cellStyle name="Heading 2 10 2 2" xfId="29842"/>
    <cellStyle name="Heading 2 10 2 3" xfId="29843"/>
    <cellStyle name="Heading 2 10 3" xfId="29844"/>
    <cellStyle name="Heading 2 10 4" xfId="29845"/>
    <cellStyle name="Heading 2 11" xfId="29846"/>
    <cellStyle name="Heading 2 11 2" xfId="29847"/>
    <cellStyle name="Heading 2 11 2 2" xfId="29848"/>
    <cellStyle name="Heading 2 11 2 3" xfId="29849"/>
    <cellStyle name="Heading 2 11 3" xfId="29850"/>
    <cellStyle name="Heading 2 11 4" xfId="29851"/>
    <cellStyle name="Heading 2 12" xfId="29852"/>
    <cellStyle name="Heading 2 12 2" xfId="29853"/>
    <cellStyle name="Heading 2 12 3" xfId="29854"/>
    <cellStyle name="Heading 2 13" xfId="29855"/>
    <cellStyle name="Heading 2 13 2" xfId="29856"/>
    <cellStyle name="Heading 2 13 3" xfId="29857"/>
    <cellStyle name="Heading 2 14" xfId="29858"/>
    <cellStyle name="Heading 2 14 2" xfId="29859"/>
    <cellStyle name="Heading 2 14 3" xfId="29860"/>
    <cellStyle name="Heading 2 15" xfId="29861"/>
    <cellStyle name="Heading 2 15 2" xfId="29862"/>
    <cellStyle name="Heading 2 15 2 2" xfId="29863"/>
    <cellStyle name="Heading 2 15 2 3" xfId="29864"/>
    <cellStyle name="Heading 2 15 3" xfId="29865"/>
    <cellStyle name="Heading 2 15 4" xfId="29866"/>
    <cellStyle name="Heading 2 16" xfId="29867"/>
    <cellStyle name="Heading 2 16 2" xfId="29868"/>
    <cellStyle name="Heading 2 16 3" xfId="29869"/>
    <cellStyle name="Heading 2 17" xfId="29870"/>
    <cellStyle name="Heading 2 18" xfId="29871"/>
    <cellStyle name="Heading 2 2" xfId="81"/>
    <cellStyle name="Heading 2 2 10" xfId="29872"/>
    <cellStyle name="Heading 2 2 10 2" xfId="29873"/>
    <cellStyle name="Heading 2 2 10 3" xfId="29874"/>
    <cellStyle name="Heading 2 2 11" xfId="29875"/>
    <cellStyle name="Heading 2 2 11 2" xfId="29876"/>
    <cellStyle name="Heading 2 2 11 3" xfId="29877"/>
    <cellStyle name="Heading 2 2 12" xfId="29878"/>
    <cellStyle name="Heading 2 2 12 2" xfId="29879"/>
    <cellStyle name="Heading 2 2 12 3" xfId="29880"/>
    <cellStyle name="Heading 2 2 13" xfId="29881"/>
    <cellStyle name="Heading 2 2 13 2" xfId="29882"/>
    <cellStyle name="Heading 2 2 14" xfId="29883"/>
    <cellStyle name="Heading 2 2 15" xfId="29884"/>
    <cellStyle name="Heading 2 2 2" xfId="2738"/>
    <cellStyle name="Heading 2 2 2 10" xfId="29885"/>
    <cellStyle name="Heading 2 2 2 10 2" xfId="29886"/>
    <cellStyle name="Heading 2 2 2 10 3" xfId="29887"/>
    <cellStyle name="Heading 2 2 2 11" xfId="29888"/>
    <cellStyle name="Heading 2 2 2 12" xfId="29889"/>
    <cellStyle name="Heading 2 2 2 13" xfId="29890"/>
    <cellStyle name="Heading 2 2 2 2" xfId="29891"/>
    <cellStyle name="Heading 2 2 2 2 10" xfId="29892"/>
    <cellStyle name="Heading 2 2 2 2 10 2" xfId="29893"/>
    <cellStyle name="Heading 2 2 2 2 10 3" xfId="29894"/>
    <cellStyle name="Heading 2 2 2 2 11" xfId="29895"/>
    <cellStyle name="Heading 2 2 2 2 12" xfId="29896"/>
    <cellStyle name="Heading 2 2 2 2 2" xfId="29897"/>
    <cellStyle name="Heading 2 2 2 2 2 2" xfId="29898"/>
    <cellStyle name="Heading 2 2 2 2 2 3" xfId="29899"/>
    <cellStyle name="Heading 2 2 2 2 3" xfId="29900"/>
    <cellStyle name="Heading 2 2 2 2 3 2" xfId="29901"/>
    <cellStyle name="Heading 2 2 2 2 3 3" xfId="29902"/>
    <cellStyle name="Heading 2 2 2 2 4" xfId="29903"/>
    <cellStyle name="Heading 2 2 2 2 4 2" xfId="29904"/>
    <cellStyle name="Heading 2 2 2 2 4 3" xfId="29905"/>
    <cellStyle name="Heading 2 2 2 2 5" xfId="29906"/>
    <cellStyle name="Heading 2 2 2 2 5 2" xfId="29907"/>
    <cellStyle name="Heading 2 2 2 2 5 3" xfId="29908"/>
    <cellStyle name="Heading 2 2 2 2 6" xfId="29909"/>
    <cellStyle name="Heading 2 2 2 2 6 2" xfId="29910"/>
    <cellStyle name="Heading 2 2 2 2 6 3" xfId="29911"/>
    <cellStyle name="Heading 2 2 2 2 7" xfId="29912"/>
    <cellStyle name="Heading 2 2 2 2 7 2" xfId="29913"/>
    <cellStyle name="Heading 2 2 2 2 7 3" xfId="29914"/>
    <cellStyle name="Heading 2 2 2 2 8" xfId="29915"/>
    <cellStyle name="Heading 2 2 2 2 8 2" xfId="29916"/>
    <cellStyle name="Heading 2 2 2 2 8 3" xfId="29917"/>
    <cellStyle name="Heading 2 2 2 2 9" xfId="29918"/>
    <cellStyle name="Heading 2 2 2 2 9 2" xfId="29919"/>
    <cellStyle name="Heading 2 2 2 2 9 3" xfId="29920"/>
    <cellStyle name="Heading 2 2 2 3" xfId="29921"/>
    <cellStyle name="Heading 2 2 2 3 2" xfId="29922"/>
    <cellStyle name="Heading 2 2 2 3 3" xfId="29923"/>
    <cellStyle name="Heading 2 2 2 4" xfId="29924"/>
    <cellStyle name="Heading 2 2 2 4 2" xfId="29925"/>
    <cellStyle name="Heading 2 2 2 4 3" xfId="29926"/>
    <cellStyle name="Heading 2 2 2 5" xfId="29927"/>
    <cellStyle name="Heading 2 2 2 5 2" xfId="29928"/>
    <cellStyle name="Heading 2 2 2 5 3" xfId="29929"/>
    <cellStyle name="Heading 2 2 2 6" xfId="29930"/>
    <cellStyle name="Heading 2 2 2 6 2" xfId="29931"/>
    <cellStyle name="Heading 2 2 2 6 3" xfId="29932"/>
    <cellStyle name="Heading 2 2 2 7" xfId="29933"/>
    <cellStyle name="Heading 2 2 2 7 2" xfId="29934"/>
    <cellStyle name="Heading 2 2 2 7 3" xfId="29935"/>
    <cellStyle name="Heading 2 2 2 8" xfId="29936"/>
    <cellStyle name="Heading 2 2 2 8 2" xfId="29937"/>
    <cellStyle name="Heading 2 2 2 8 3" xfId="29938"/>
    <cellStyle name="Heading 2 2 2 9" xfId="29939"/>
    <cellStyle name="Heading 2 2 2 9 2" xfId="29940"/>
    <cellStyle name="Heading 2 2 2 9 3" xfId="29941"/>
    <cellStyle name="Heading 2 2 2_BHP 4Q 2010 Ops Review Senior Managment " xfId="29942"/>
    <cellStyle name="Heading 2 2 3" xfId="2739"/>
    <cellStyle name="Heading 2 2 3 2" xfId="29943"/>
    <cellStyle name="Heading 2 2 3 3" xfId="29944"/>
    <cellStyle name="Heading 2 2 4" xfId="29945"/>
    <cellStyle name="Heading 2 2 4 2" xfId="29946"/>
    <cellStyle name="Heading 2 2 4 3" xfId="29947"/>
    <cellStyle name="Heading 2 2 5" xfId="29948"/>
    <cellStyle name="Heading 2 2 5 2" xfId="29949"/>
    <cellStyle name="Heading 2 2 5 3" xfId="29950"/>
    <cellStyle name="Heading 2 2 6" xfId="29951"/>
    <cellStyle name="Heading 2 2 6 2" xfId="29952"/>
    <cellStyle name="Heading 2 2 6 3" xfId="29953"/>
    <cellStyle name="Heading 2 2 7" xfId="29954"/>
    <cellStyle name="Heading 2 2 7 2" xfId="29955"/>
    <cellStyle name="Heading 2 2 7 2 2" xfId="29956"/>
    <cellStyle name="Heading 2 2 7 2 3" xfId="29957"/>
    <cellStyle name="Heading 2 2 7 3" xfId="29958"/>
    <cellStyle name="Heading 2 2 7 4" xfId="29959"/>
    <cellStyle name="Heading 2 2 8" xfId="29960"/>
    <cellStyle name="Heading 2 2 8 2" xfId="29961"/>
    <cellStyle name="Heading 2 2 8 3" xfId="29962"/>
    <cellStyle name="Heading 2 2 9" xfId="29963"/>
    <cellStyle name="Heading 2 2 9 2" xfId="29964"/>
    <cellStyle name="Heading 2 2 9 3" xfId="29965"/>
    <cellStyle name="Heading 2 2_1-10 BHU IS" xfId="29966"/>
    <cellStyle name="Heading 2 3" xfId="2740"/>
    <cellStyle name="Heading 2 3 2" xfId="2741"/>
    <cellStyle name="Heading 2 3 2 2" xfId="29967"/>
    <cellStyle name="Heading 2 3 2 2 2" xfId="29968"/>
    <cellStyle name="Heading 2 3 2 3" xfId="29969"/>
    <cellStyle name="Heading 2 3 3" xfId="2742"/>
    <cellStyle name="Heading 2 3 3 2" xfId="29970"/>
    <cellStyle name="Heading 2 3 3 2 2" xfId="29971"/>
    <cellStyle name="Heading 2 3 3 3" xfId="29972"/>
    <cellStyle name="Heading 2 3 4" xfId="29973"/>
    <cellStyle name="Heading 2 3 4 2" xfId="29974"/>
    <cellStyle name="Heading 2 3 5" xfId="29975"/>
    <cellStyle name="Heading 2 3_1-10 BHU IS" xfId="29976"/>
    <cellStyle name="Heading 2 4" xfId="2743"/>
    <cellStyle name="Heading 2 4 2" xfId="2744"/>
    <cellStyle name="Heading 2 4 2 2" xfId="29977"/>
    <cellStyle name="Heading 2 4 2 3" xfId="29978"/>
    <cellStyle name="Heading 2 4 3" xfId="29979"/>
    <cellStyle name="Heading 2 4 4" xfId="29980"/>
    <cellStyle name="Heading 2 4_1-10 BHU IS" xfId="29981"/>
    <cellStyle name="Heading 2 5" xfId="2745"/>
    <cellStyle name="Heading 2 5 2" xfId="2746"/>
    <cellStyle name="Heading 2 5 2 2" xfId="29982"/>
    <cellStyle name="Heading 2 5 2 3" xfId="29983"/>
    <cellStyle name="Heading 2 5 3" xfId="29984"/>
    <cellStyle name="Heading 2 5 4" xfId="29985"/>
    <cellStyle name="Heading 2 5_1-10 BHU IS" xfId="29986"/>
    <cellStyle name="Heading 2 6" xfId="2747"/>
    <cellStyle name="Heading 2 6 2" xfId="29987"/>
    <cellStyle name="Heading 2 6 2 2" xfId="29988"/>
    <cellStyle name="Heading 2 6 2 3" xfId="29989"/>
    <cellStyle name="Heading 2 6 3" xfId="29990"/>
    <cellStyle name="Heading 2 6 4" xfId="29991"/>
    <cellStyle name="Heading 2 7" xfId="2748"/>
    <cellStyle name="Heading 2 7 2" xfId="29992"/>
    <cellStyle name="Heading 2 7 2 2" xfId="29993"/>
    <cellStyle name="Heading 2 7 2 3" xfId="29994"/>
    <cellStyle name="Heading 2 7 3" xfId="29995"/>
    <cellStyle name="Heading 2 7 4" xfId="29996"/>
    <cellStyle name="Heading 2 8" xfId="29997"/>
    <cellStyle name="Heading 2 8 2" xfId="29998"/>
    <cellStyle name="Heading 2 8 2 2" xfId="29999"/>
    <cellStyle name="Heading 2 8 2 3" xfId="30000"/>
    <cellStyle name="Heading 2 8 3" xfId="30001"/>
    <cellStyle name="Heading 2 8 4" xfId="30002"/>
    <cellStyle name="Heading 2 9" xfId="30003"/>
    <cellStyle name="Heading 2 9 2" xfId="30004"/>
    <cellStyle name="Heading 2 9 2 2" xfId="30005"/>
    <cellStyle name="Heading 2 9 2 3" xfId="30006"/>
    <cellStyle name="Heading 2 9 3" xfId="30007"/>
    <cellStyle name="Heading 2 9 4" xfId="30008"/>
    <cellStyle name="Heading 3 10" xfId="30009"/>
    <cellStyle name="Heading 3 10 2" xfId="30010"/>
    <cellStyle name="Heading 3 10 2 2" xfId="30011"/>
    <cellStyle name="Heading 3 10 2 3" xfId="30012"/>
    <cellStyle name="Heading 3 10 3" xfId="30013"/>
    <cellStyle name="Heading 3 10 4" xfId="30014"/>
    <cellStyle name="Heading 3 11" xfId="30015"/>
    <cellStyle name="Heading 3 11 2" xfId="30016"/>
    <cellStyle name="Heading 3 11 2 2" xfId="30017"/>
    <cellStyle name="Heading 3 11 2 3" xfId="30018"/>
    <cellStyle name="Heading 3 11 3" xfId="30019"/>
    <cellStyle name="Heading 3 11 4" xfId="30020"/>
    <cellStyle name="Heading 3 12" xfId="30021"/>
    <cellStyle name="Heading 3 12 2" xfId="30022"/>
    <cellStyle name="Heading 3 12 3" xfId="30023"/>
    <cellStyle name="Heading 3 13" xfId="30024"/>
    <cellStyle name="Heading 3 13 2" xfId="30025"/>
    <cellStyle name="Heading 3 13 3" xfId="30026"/>
    <cellStyle name="Heading 3 14" xfId="30027"/>
    <cellStyle name="Heading 3 14 2" xfId="30028"/>
    <cellStyle name="Heading 3 14 3" xfId="30029"/>
    <cellStyle name="Heading 3 15" xfId="30030"/>
    <cellStyle name="Heading 3 15 2" xfId="30031"/>
    <cellStyle name="Heading 3 15 2 2" xfId="30032"/>
    <cellStyle name="Heading 3 15 2 3" xfId="30033"/>
    <cellStyle name="Heading 3 15 3" xfId="30034"/>
    <cellStyle name="Heading 3 15 4" xfId="30035"/>
    <cellStyle name="Heading 3 16" xfId="30036"/>
    <cellStyle name="Heading 3 16 2" xfId="30037"/>
    <cellStyle name="Heading 3 16 3" xfId="30038"/>
    <cellStyle name="Heading 3 17" xfId="30039"/>
    <cellStyle name="Heading 3 18" xfId="30040"/>
    <cellStyle name="Heading 3 2" xfId="82"/>
    <cellStyle name="Heading 3 2 10" xfId="30041"/>
    <cellStyle name="Heading 3 2 10 2" xfId="30042"/>
    <cellStyle name="Heading 3 2 10 3" xfId="30043"/>
    <cellStyle name="Heading 3 2 11" xfId="30044"/>
    <cellStyle name="Heading 3 2 11 2" xfId="30045"/>
    <cellStyle name="Heading 3 2 11 3" xfId="30046"/>
    <cellStyle name="Heading 3 2 12" xfId="30047"/>
    <cellStyle name="Heading 3 2 12 2" xfId="30048"/>
    <cellStyle name="Heading 3 2 12 3" xfId="30049"/>
    <cellStyle name="Heading 3 2 13" xfId="30050"/>
    <cellStyle name="Heading 3 2 13 2" xfId="30051"/>
    <cellStyle name="Heading 3 2 14" xfId="30052"/>
    <cellStyle name="Heading 3 2 15" xfId="30053"/>
    <cellStyle name="Heading 3 2 2" xfId="2749"/>
    <cellStyle name="Heading 3 2 2 10" xfId="30054"/>
    <cellStyle name="Heading 3 2 2 10 2" xfId="30055"/>
    <cellStyle name="Heading 3 2 2 10 3" xfId="30056"/>
    <cellStyle name="Heading 3 2 2 11" xfId="30057"/>
    <cellStyle name="Heading 3 2 2 12" xfId="30058"/>
    <cellStyle name="Heading 3 2 2 13" xfId="30059"/>
    <cellStyle name="Heading 3 2 2 2" xfId="30060"/>
    <cellStyle name="Heading 3 2 2 2 10" xfId="30061"/>
    <cellStyle name="Heading 3 2 2 2 10 2" xfId="30062"/>
    <cellStyle name="Heading 3 2 2 2 10 3" xfId="30063"/>
    <cellStyle name="Heading 3 2 2 2 11" xfId="30064"/>
    <cellStyle name="Heading 3 2 2 2 12" xfId="30065"/>
    <cellStyle name="Heading 3 2 2 2 2" xfId="30066"/>
    <cellStyle name="Heading 3 2 2 2 2 2" xfId="30067"/>
    <cellStyle name="Heading 3 2 2 2 2 3" xfId="30068"/>
    <cellStyle name="Heading 3 2 2 2 3" xfId="30069"/>
    <cellStyle name="Heading 3 2 2 2 3 2" xfId="30070"/>
    <cellStyle name="Heading 3 2 2 2 3 3" xfId="30071"/>
    <cellStyle name="Heading 3 2 2 2 4" xfId="30072"/>
    <cellStyle name="Heading 3 2 2 2 4 2" xfId="30073"/>
    <cellStyle name="Heading 3 2 2 2 4 3" xfId="30074"/>
    <cellStyle name="Heading 3 2 2 2 5" xfId="30075"/>
    <cellStyle name="Heading 3 2 2 2 5 2" xfId="30076"/>
    <cellStyle name="Heading 3 2 2 2 5 3" xfId="30077"/>
    <cellStyle name="Heading 3 2 2 2 6" xfId="30078"/>
    <cellStyle name="Heading 3 2 2 2 6 2" xfId="30079"/>
    <cellStyle name="Heading 3 2 2 2 6 3" xfId="30080"/>
    <cellStyle name="Heading 3 2 2 2 7" xfId="30081"/>
    <cellStyle name="Heading 3 2 2 2 7 2" xfId="30082"/>
    <cellStyle name="Heading 3 2 2 2 7 3" xfId="30083"/>
    <cellStyle name="Heading 3 2 2 2 8" xfId="30084"/>
    <cellStyle name="Heading 3 2 2 2 8 2" xfId="30085"/>
    <cellStyle name="Heading 3 2 2 2 8 3" xfId="30086"/>
    <cellStyle name="Heading 3 2 2 2 9" xfId="30087"/>
    <cellStyle name="Heading 3 2 2 2 9 2" xfId="30088"/>
    <cellStyle name="Heading 3 2 2 2 9 3" xfId="30089"/>
    <cellStyle name="Heading 3 2 2 3" xfId="30090"/>
    <cellStyle name="Heading 3 2 2 3 2" xfId="30091"/>
    <cellStyle name="Heading 3 2 2 3 3" xfId="30092"/>
    <cellStyle name="Heading 3 2 2 4" xfId="30093"/>
    <cellStyle name="Heading 3 2 2 4 2" xfId="30094"/>
    <cellStyle name="Heading 3 2 2 4 3" xfId="30095"/>
    <cellStyle name="Heading 3 2 2 5" xfId="30096"/>
    <cellStyle name="Heading 3 2 2 5 2" xfId="30097"/>
    <cellStyle name="Heading 3 2 2 5 3" xfId="30098"/>
    <cellStyle name="Heading 3 2 2 6" xfId="30099"/>
    <cellStyle name="Heading 3 2 2 6 2" xfId="30100"/>
    <cellStyle name="Heading 3 2 2 6 3" xfId="30101"/>
    <cellStyle name="Heading 3 2 2 7" xfId="30102"/>
    <cellStyle name="Heading 3 2 2 7 2" xfId="30103"/>
    <cellStyle name="Heading 3 2 2 7 3" xfId="30104"/>
    <cellStyle name="Heading 3 2 2 8" xfId="30105"/>
    <cellStyle name="Heading 3 2 2 8 2" xfId="30106"/>
    <cellStyle name="Heading 3 2 2 8 3" xfId="30107"/>
    <cellStyle name="Heading 3 2 2 9" xfId="30108"/>
    <cellStyle name="Heading 3 2 2 9 2" xfId="30109"/>
    <cellStyle name="Heading 3 2 2 9 3" xfId="30110"/>
    <cellStyle name="Heading 3 2 2_BHP 4Q 2010 Ops Review Senior Managment " xfId="30111"/>
    <cellStyle name="Heading 3 2 3" xfId="30112"/>
    <cellStyle name="Heading 3 2 3 2" xfId="30113"/>
    <cellStyle name="Heading 3 2 3 3" xfId="30114"/>
    <cellStyle name="Heading 3 2 4" xfId="30115"/>
    <cellStyle name="Heading 3 2 4 2" xfId="30116"/>
    <cellStyle name="Heading 3 2 4 3" xfId="30117"/>
    <cellStyle name="Heading 3 2 5" xfId="30118"/>
    <cellStyle name="Heading 3 2 5 2" xfId="30119"/>
    <cellStyle name="Heading 3 2 5 3" xfId="30120"/>
    <cellStyle name="Heading 3 2 6" xfId="30121"/>
    <cellStyle name="Heading 3 2 6 2" xfId="30122"/>
    <cellStyle name="Heading 3 2 6 3" xfId="30123"/>
    <cellStyle name="Heading 3 2 7" xfId="30124"/>
    <cellStyle name="Heading 3 2 7 2" xfId="30125"/>
    <cellStyle name="Heading 3 2 7 2 2" xfId="30126"/>
    <cellStyle name="Heading 3 2 7 2 3" xfId="30127"/>
    <cellStyle name="Heading 3 2 7 3" xfId="30128"/>
    <cellStyle name="Heading 3 2 7 4" xfId="30129"/>
    <cellStyle name="Heading 3 2 8" xfId="30130"/>
    <cellStyle name="Heading 3 2 8 2" xfId="30131"/>
    <cellStyle name="Heading 3 2 8 3" xfId="30132"/>
    <cellStyle name="Heading 3 2 9" xfId="30133"/>
    <cellStyle name="Heading 3 2 9 2" xfId="30134"/>
    <cellStyle name="Heading 3 2 9 3" xfId="30135"/>
    <cellStyle name="Heading 3 2_1-10 BHU IS" xfId="30136"/>
    <cellStyle name="Heading 3 3" xfId="2750"/>
    <cellStyle name="Heading 3 3 2" xfId="30137"/>
    <cellStyle name="Heading 3 3 2 2" xfId="30138"/>
    <cellStyle name="Heading 3 3 2 2 2" xfId="30139"/>
    <cellStyle name="Heading 3 3 2 3" xfId="30140"/>
    <cellStyle name="Heading 3 3 3" xfId="30141"/>
    <cellStyle name="Heading 3 3 3 2" xfId="30142"/>
    <cellStyle name="Heading 3 3 3 2 2" xfId="30143"/>
    <cellStyle name="Heading 3 3 3 3" xfId="30144"/>
    <cellStyle name="Heading 3 3 4" xfId="30145"/>
    <cellStyle name="Heading 3 3 4 2" xfId="30146"/>
    <cellStyle name="Heading 3 3 5" xfId="30147"/>
    <cellStyle name="Heading 3 3_1-10 BHU IS" xfId="30148"/>
    <cellStyle name="Heading 3 4" xfId="2751"/>
    <cellStyle name="Heading 3 4 2" xfId="30149"/>
    <cellStyle name="Heading 3 4 2 2" xfId="30150"/>
    <cellStyle name="Heading 3 4 2 3" xfId="30151"/>
    <cellStyle name="Heading 3 4 3" xfId="30152"/>
    <cellStyle name="Heading 3 4 4" xfId="30153"/>
    <cellStyle name="Heading 3 4_1-10 BHU IS" xfId="30154"/>
    <cellStyle name="Heading 3 5" xfId="30155"/>
    <cellStyle name="Heading 3 5 2" xfId="30156"/>
    <cellStyle name="Heading 3 5 2 2" xfId="30157"/>
    <cellStyle name="Heading 3 5 2 3" xfId="30158"/>
    <cellStyle name="Heading 3 5 3" xfId="30159"/>
    <cellStyle name="Heading 3 5 4" xfId="30160"/>
    <cellStyle name="Heading 3 5_1-10 BHU IS" xfId="30161"/>
    <cellStyle name="Heading 3 6" xfId="30162"/>
    <cellStyle name="Heading 3 6 2" xfId="30163"/>
    <cellStyle name="Heading 3 6 2 2" xfId="30164"/>
    <cellStyle name="Heading 3 6 2 3" xfId="30165"/>
    <cellStyle name="Heading 3 6 3" xfId="30166"/>
    <cellStyle name="Heading 3 6 4" xfId="30167"/>
    <cellStyle name="Heading 3 7" xfId="30168"/>
    <cellStyle name="Heading 3 7 2" xfId="30169"/>
    <cellStyle name="Heading 3 7 2 2" xfId="30170"/>
    <cellStyle name="Heading 3 7 2 3" xfId="30171"/>
    <cellStyle name="Heading 3 7 3" xfId="30172"/>
    <cellStyle name="Heading 3 7 4" xfId="30173"/>
    <cellStyle name="Heading 3 8" xfId="30174"/>
    <cellStyle name="Heading 3 8 2" xfId="30175"/>
    <cellStyle name="Heading 3 8 2 2" xfId="30176"/>
    <cellStyle name="Heading 3 8 2 3" xfId="30177"/>
    <cellStyle name="Heading 3 8 3" xfId="30178"/>
    <cellStyle name="Heading 3 8 4" xfId="30179"/>
    <cellStyle name="Heading 3 9" xfId="30180"/>
    <cellStyle name="Heading 3 9 2" xfId="30181"/>
    <cellStyle name="Heading 3 9 2 2" xfId="30182"/>
    <cellStyle name="Heading 3 9 2 3" xfId="30183"/>
    <cellStyle name="Heading 3 9 3" xfId="30184"/>
    <cellStyle name="Heading 3 9 4" xfId="30185"/>
    <cellStyle name="Heading 4 10" xfId="30186"/>
    <cellStyle name="Heading 4 10 2" xfId="30187"/>
    <cellStyle name="Heading 4 10 2 2" xfId="30188"/>
    <cellStyle name="Heading 4 10 2 3" xfId="30189"/>
    <cellStyle name="Heading 4 10 3" xfId="30190"/>
    <cellStyle name="Heading 4 10 4" xfId="30191"/>
    <cellStyle name="Heading 4 11" xfId="30192"/>
    <cellStyle name="Heading 4 11 2" xfId="30193"/>
    <cellStyle name="Heading 4 11 2 2" xfId="30194"/>
    <cellStyle name="Heading 4 11 2 3" xfId="30195"/>
    <cellStyle name="Heading 4 11 3" xfId="30196"/>
    <cellStyle name="Heading 4 11 4" xfId="30197"/>
    <cellStyle name="Heading 4 12" xfId="30198"/>
    <cellStyle name="Heading 4 12 2" xfId="30199"/>
    <cellStyle name="Heading 4 12 3" xfId="30200"/>
    <cellStyle name="Heading 4 13" xfId="30201"/>
    <cellStyle name="Heading 4 13 2" xfId="30202"/>
    <cellStyle name="Heading 4 13 2 2" xfId="30203"/>
    <cellStyle name="Heading 4 13 3" xfId="30204"/>
    <cellStyle name="Heading 4 14" xfId="30205"/>
    <cellStyle name="Heading 4 14 2" xfId="30206"/>
    <cellStyle name="Heading 4 14 2 2" xfId="30207"/>
    <cellStyle name="Heading 4 14 3" xfId="30208"/>
    <cellStyle name="Heading 4 15" xfId="30209"/>
    <cellStyle name="Heading 4 15 2" xfId="30210"/>
    <cellStyle name="Heading 4 15 2 2" xfId="30211"/>
    <cellStyle name="Heading 4 15 2 3" xfId="30212"/>
    <cellStyle name="Heading 4 15 3" xfId="30213"/>
    <cellStyle name="Heading 4 15 4" xfId="30214"/>
    <cellStyle name="Heading 4 16" xfId="30215"/>
    <cellStyle name="Heading 4 16 2" xfId="30216"/>
    <cellStyle name="Heading 4 16 3" xfId="30217"/>
    <cellStyle name="Heading 4 17" xfId="30218"/>
    <cellStyle name="Heading 4 18" xfId="30219"/>
    <cellStyle name="Heading 4 2" xfId="83"/>
    <cellStyle name="Heading 4 2 10" xfId="30220"/>
    <cellStyle name="Heading 4 2 10 2" xfId="30221"/>
    <cellStyle name="Heading 4 2 10 3" xfId="30222"/>
    <cellStyle name="Heading 4 2 11" xfId="30223"/>
    <cellStyle name="Heading 4 2 11 2" xfId="30224"/>
    <cellStyle name="Heading 4 2 11 3" xfId="30225"/>
    <cellStyle name="Heading 4 2 12" xfId="30226"/>
    <cellStyle name="Heading 4 2 12 2" xfId="30227"/>
    <cellStyle name="Heading 4 2 12 3" xfId="30228"/>
    <cellStyle name="Heading 4 2 13" xfId="30229"/>
    <cellStyle name="Heading 4 2 13 2" xfId="30230"/>
    <cellStyle name="Heading 4 2 14" xfId="30231"/>
    <cellStyle name="Heading 4 2 14 2" xfId="30232"/>
    <cellStyle name="Heading 4 2 15" xfId="30233"/>
    <cellStyle name="Heading 4 2 16" xfId="30234"/>
    <cellStyle name="Heading 4 2 2" xfId="2752"/>
    <cellStyle name="Heading 4 2 2 10" xfId="30235"/>
    <cellStyle name="Heading 4 2 2 10 2" xfId="30236"/>
    <cellStyle name="Heading 4 2 2 10 3" xfId="30237"/>
    <cellStyle name="Heading 4 2 2 11" xfId="30238"/>
    <cellStyle name="Heading 4 2 2 11 2" xfId="30239"/>
    <cellStyle name="Heading 4 2 2 12" xfId="30240"/>
    <cellStyle name="Heading 4 2 2 13" xfId="30241"/>
    <cellStyle name="Heading 4 2 2 2" xfId="30242"/>
    <cellStyle name="Heading 4 2 2 2 10" xfId="30243"/>
    <cellStyle name="Heading 4 2 2 2 10 2" xfId="30244"/>
    <cellStyle name="Heading 4 2 2 2 10 3" xfId="30245"/>
    <cellStyle name="Heading 4 2 2 2 11" xfId="30246"/>
    <cellStyle name="Heading 4 2 2 2 12" xfId="30247"/>
    <cellStyle name="Heading 4 2 2 2 2" xfId="30248"/>
    <cellStyle name="Heading 4 2 2 2 2 2" xfId="30249"/>
    <cellStyle name="Heading 4 2 2 2 2 3" xfId="30250"/>
    <cellStyle name="Heading 4 2 2 2 3" xfId="30251"/>
    <cellStyle name="Heading 4 2 2 2 3 2" xfId="30252"/>
    <cellStyle name="Heading 4 2 2 2 3 3" xfId="30253"/>
    <cellStyle name="Heading 4 2 2 2 4" xfId="30254"/>
    <cellStyle name="Heading 4 2 2 2 4 2" xfId="30255"/>
    <cellStyle name="Heading 4 2 2 2 4 3" xfId="30256"/>
    <cellStyle name="Heading 4 2 2 2 5" xfId="30257"/>
    <cellStyle name="Heading 4 2 2 2 5 2" xfId="30258"/>
    <cellStyle name="Heading 4 2 2 2 5 3" xfId="30259"/>
    <cellStyle name="Heading 4 2 2 2 6" xfId="30260"/>
    <cellStyle name="Heading 4 2 2 2 6 2" xfId="30261"/>
    <cellStyle name="Heading 4 2 2 2 6 3" xfId="30262"/>
    <cellStyle name="Heading 4 2 2 2 7" xfId="30263"/>
    <cellStyle name="Heading 4 2 2 2 7 2" xfId="30264"/>
    <cellStyle name="Heading 4 2 2 2 7 3" xfId="30265"/>
    <cellStyle name="Heading 4 2 2 2 8" xfId="30266"/>
    <cellStyle name="Heading 4 2 2 2 8 2" xfId="30267"/>
    <cellStyle name="Heading 4 2 2 2 8 3" xfId="30268"/>
    <cellStyle name="Heading 4 2 2 2 9" xfId="30269"/>
    <cellStyle name="Heading 4 2 2 2 9 2" xfId="30270"/>
    <cellStyle name="Heading 4 2 2 2 9 3" xfId="30271"/>
    <cellStyle name="Heading 4 2 2 3" xfId="30272"/>
    <cellStyle name="Heading 4 2 2 3 2" xfId="30273"/>
    <cellStyle name="Heading 4 2 2 3 3" xfId="30274"/>
    <cellStyle name="Heading 4 2 2 4" xfId="30275"/>
    <cellStyle name="Heading 4 2 2 4 2" xfId="30276"/>
    <cellStyle name="Heading 4 2 2 4 3" xfId="30277"/>
    <cellStyle name="Heading 4 2 2 5" xfId="30278"/>
    <cellStyle name="Heading 4 2 2 5 2" xfId="30279"/>
    <cellStyle name="Heading 4 2 2 5 3" xfId="30280"/>
    <cellStyle name="Heading 4 2 2 6" xfId="30281"/>
    <cellStyle name="Heading 4 2 2 6 2" xfId="30282"/>
    <cellStyle name="Heading 4 2 2 6 3" xfId="30283"/>
    <cellStyle name="Heading 4 2 2 7" xfId="30284"/>
    <cellStyle name="Heading 4 2 2 7 2" xfId="30285"/>
    <cellStyle name="Heading 4 2 2 7 3" xfId="30286"/>
    <cellStyle name="Heading 4 2 2 8" xfId="30287"/>
    <cellStyle name="Heading 4 2 2 8 2" xfId="30288"/>
    <cellStyle name="Heading 4 2 2 8 3" xfId="30289"/>
    <cellStyle name="Heading 4 2 2 9" xfId="30290"/>
    <cellStyle name="Heading 4 2 2 9 2" xfId="30291"/>
    <cellStyle name="Heading 4 2 2 9 3" xfId="30292"/>
    <cellStyle name="Heading 4 2 3" xfId="30293"/>
    <cellStyle name="Heading 4 2 3 2" xfId="30294"/>
    <cellStyle name="Heading 4 2 3 2 2" xfId="30295"/>
    <cellStyle name="Heading 4 2 3 3" xfId="30296"/>
    <cellStyle name="Heading 4 2 4" xfId="30297"/>
    <cellStyle name="Heading 4 2 4 2" xfId="30298"/>
    <cellStyle name="Heading 4 2 4 2 2" xfId="30299"/>
    <cellStyle name="Heading 4 2 4 3" xfId="30300"/>
    <cellStyle name="Heading 4 2 5" xfId="30301"/>
    <cellStyle name="Heading 4 2 5 2" xfId="30302"/>
    <cellStyle name="Heading 4 2 5 2 2" xfId="30303"/>
    <cellStyle name="Heading 4 2 5 3" xfId="30304"/>
    <cellStyle name="Heading 4 2 6" xfId="30305"/>
    <cellStyle name="Heading 4 2 6 2" xfId="30306"/>
    <cellStyle name="Heading 4 2 6 2 2" xfId="30307"/>
    <cellStyle name="Heading 4 2 6 3" xfId="30308"/>
    <cellStyle name="Heading 4 2 7" xfId="30309"/>
    <cellStyle name="Heading 4 2 7 2" xfId="30310"/>
    <cellStyle name="Heading 4 2 7 2 2" xfId="30311"/>
    <cellStyle name="Heading 4 2 7 3" xfId="30312"/>
    <cellStyle name="Heading 4 2 8" xfId="30313"/>
    <cellStyle name="Heading 4 2 8 2" xfId="30314"/>
    <cellStyle name="Heading 4 2 8 3" xfId="30315"/>
    <cellStyle name="Heading 4 2 9" xfId="30316"/>
    <cellStyle name="Heading 4 2 9 2" xfId="30317"/>
    <cellStyle name="Heading 4 2 9 3" xfId="30318"/>
    <cellStyle name="Heading 4 2_1-10 BHU IS" xfId="30319"/>
    <cellStyle name="Heading 4 3" xfId="2753"/>
    <cellStyle name="Heading 4 3 2" xfId="30320"/>
    <cellStyle name="Heading 4 3 2 2" xfId="30321"/>
    <cellStyle name="Heading 4 3 2 2 2" xfId="30322"/>
    <cellStyle name="Heading 4 3 2 2 3" xfId="30323"/>
    <cellStyle name="Heading 4 3 2 3" xfId="30324"/>
    <cellStyle name="Heading 4 3 2 4" xfId="30325"/>
    <cellStyle name="Heading 4 3 3" xfId="30326"/>
    <cellStyle name="Heading 4 3 3 2" xfId="30327"/>
    <cellStyle name="Heading 4 3 3 2 2" xfId="30328"/>
    <cellStyle name="Heading 4 3 3 2 3" xfId="30329"/>
    <cellStyle name="Heading 4 3 3 3" xfId="30330"/>
    <cellStyle name="Heading 4 3 3 4" xfId="30331"/>
    <cellStyle name="Heading 4 3 3 5" xfId="30332"/>
    <cellStyle name="Heading 4 3 4" xfId="30333"/>
    <cellStyle name="Heading 4 3 4 2" xfId="30334"/>
    <cellStyle name="Heading 4 3 5" xfId="30335"/>
    <cellStyle name="Heading 4 4" xfId="2754"/>
    <cellStyle name="Heading 4 4 2" xfId="30336"/>
    <cellStyle name="Heading 4 4 2 2" xfId="30337"/>
    <cellStyle name="Heading 4 4 2 2 2" xfId="30338"/>
    <cellStyle name="Heading 4 4 2 3" xfId="30339"/>
    <cellStyle name="Heading 4 4 3" xfId="30340"/>
    <cellStyle name="Heading 4 4 3 2" xfId="30341"/>
    <cellStyle name="Heading 4 4 4" xfId="30342"/>
    <cellStyle name="Heading 4 5" xfId="30343"/>
    <cellStyle name="Heading 4 5 2" xfId="30344"/>
    <cellStyle name="Heading 4 5 2 2" xfId="30345"/>
    <cellStyle name="Heading 4 5 2 2 2" xfId="30346"/>
    <cellStyle name="Heading 4 5 2 3" xfId="30347"/>
    <cellStyle name="Heading 4 5 3" xfId="30348"/>
    <cellStyle name="Heading 4 5 3 2" xfId="30349"/>
    <cellStyle name="Heading 4 5 4" xfId="30350"/>
    <cellStyle name="Heading 4 6" xfId="30351"/>
    <cellStyle name="Heading 4 6 2" xfId="30352"/>
    <cellStyle name="Heading 4 6 2 2" xfId="30353"/>
    <cellStyle name="Heading 4 6 2 3" xfId="30354"/>
    <cellStyle name="Heading 4 6 3" xfId="30355"/>
    <cellStyle name="Heading 4 6 3 2" xfId="30356"/>
    <cellStyle name="Heading 4 6 4" xfId="30357"/>
    <cellStyle name="Heading 4 7" xfId="30358"/>
    <cellStyle name="Heading 4 7 2" xfId="30359"/>
    <cellStyle name="Heading 4 7 2 2" xfId="30360"/>
    <cellStyle name="Heading 4 7 2 3" xfId="30361"/>
    <cellStyle name="Heading 4 7 3" xfId="30362"/>
    <cellStyle name="Heading 4 7 3 2" xfId="30363"/>
    <cellStyle name="Heading 4 7 4" xfId="30364"/>
    <cellStyle name="Heading 4 8" xfId="30365"/>
    <cellStyle name="Heading 4 8 2" xfId="30366"/>
    <cellStyle name="Heading 4 8 2 2" xfId="30367"/>
    <cellStyle name="Heading 4 8 2 3" xfId="30368"/>
    <cellStyle name="Heading 4 8 3" xfId="30369"/>
    <cellStyle name="Heading 4 8 3 2" xfId="30370"/>
    <cellStyle name="Heading 4 8 4" xfId="30371"/>
    <cellStyle name="Heading 4 9" xfId="30372"/>
    <cellStyle name="Heading 4 9 2" xfId="30373"/>
    <cellStyle name="Heading 4 9 2 2" xfId="30374"/>
    <cellStyle name="Heading 4 9 2 3" xfId="30375"/>
    <cellStyle name="Heading 4 9 3" xfId="30376"/>
    <cellStyle name="Heading 4 9 3 2" xfId="30377"/>
    <cellStyle name="Heading 4 9 4" xfId="30378"/>
    <cellStyle name="Heading 5" xfId="2755"/>
    <cellStyle name="Heading 6" xfId="30379"/>
    <cellStyle name="Heading 7" xfId="30380"/>
    <cellStyle name="Heading 8" xfId="30381"/>
    <cellStyle name="Heading 9" xfId="30382"/>
    <cellStyle name="Heading1" xfId="2756"/>
    <cellStyle name="Heading1 2" xfId="2757"/>
    <cellStyle name="Heading2" xfId="2758"/>
    <cellStyle name="HEADINGS" xfId="2759"/>
    <cellStyle name="HEADINGSTOP" xfId="2760"/>
    <cellStyle name="Headline1" xfId="2761"/>
    <cellStyle name="Headline3" xfId="2762"/>
    <cellStyle name="Helv 9 ctr wrap" xfId="2763"/>
    <cellStyle name="Helv 9 lft wrap" xfId="2764"/>
    <cellStyle name="Hidden" xfId="2765"/>
    <cellStyle name="Hidden 2" xfId="30383"/>
    <cellStyle name="Hidden 2 2" xfId="30384"/>
    <cellStyle name="Hidden 2 2 2" xfId="30385"/>
    <cellStyle name="Hidden 2 3" xfId="30386"/>
    <cellStyle name="Hidden 3" xfId="30387"/>
    <cellStyle name="Hidden 3 2" xfId="30388"/>
    <cellStyle name="Hidden 3 2 2" xfId="30389"/>
    <cellStyle name="Hidden 3 3" xfId="30390"/>
    <cellStyle name="Hidden 4" xfId="30391"/>
    <cellStyle name="Hidden 4 2" xfId="30392"/>
    <cellStyle name="Hidden 5" xfId="30393"/>
    <cellStyle name="Hide_Me" xfId="30394"/>
    <cellStyle name="Input [yellow]" xfId="2766"/>
    <cellStyle name="Input [yellow] 2" xfId="2767"/>
    <cellStyle name="Input [yellow] 2 2" xfId="30395"/>
    <cellStyle name="Input [yellow] 2 3" xfId="30396"/>
    <cellStyle name="Input [yellow] 3" xfId="2768"/>
    <cellStyle name="Input [yellow] 3 2" xfId="30397"/>
    <cellStyle name="Input [yellow] 4" xfId="30398"/>
    <cellStyle name="Input [yellow] 5" xfId="30399"/>
    <cellStyle name="Input 10" xfId="2769"/>
    <cellStyle name="Input 10 2" xfId="2770"/>
    <cellStyle name="Input 10 2 2" xfId="2771"/>
    <cellStyle name="Input 10 2 2 2" xfId="2772"/>
    <cellStyle name="Input 10 2 2 2 2" xfId="2773"/>
    <cellStyle name="Input 10 2 2 2 3" xfId="2774"/>
    <cellStyle name="Input 10 2 2 3" xfId="2775"/>
    <cellStyle name="Input 10 2 2 3 2" xfId="2776"/>
    <cellStyle name="Input 10 2 2 3 3" xfId="2777"/>
    <cellStyle name="Input 10 2 2 4" xfId="2778"/>
    <cellStyle name="Input 10 2 2 4 2" xfId="2779"/>
    <cellStyle name="Input 10 2 2 4 3" xfId="2780"/>
    <cellStyle name="Input 10 2 2 5" xfId="2781"/>
    <cellStyle name="Input 10 2 2 5 2" xfId="2782"/>
    <cellStyle name="Input 10 2 2 5 3" xfId="2783"/>
    <cellStyle name="Input 10 2 2 6" xfId="2784"/>
    <cellStyle name="Input 10 2 2 6 2" xfId="2785"/>
    <cellStyle name="Input 10 2 2 6 3" xfId="2786"/>
    <cellStyle name="Input 10 2 2 7" xfId="2787"/>
    <cellStyle name="Input 10 2 2 8" xfId="2788"/>
    <cellStyle name="Input 10 2 3" xfId="2789"/>
    <cellStyle name="Input 10 2 3 2" xfId="2790"/>
    <cellStyle name="Input 10 2 3 3" xfId="2791"/>
    <cellStyle name="Input 10 2 4" xfId="2792"/>
    <cellStyle name="Input 10 2 4 2" xfId="2793"/>
    <cellStyle name="Input 10 2 4 3" xfId="2794"/>
    <cellStyle name="Input 10 2 5" xfId="2795"/>
    <cellStyle name="Input 10 2 5 2" xfId="2796"/>
    <cellStyle name="Input 10 2 5 3" xfId="2797"/>
    <cellStyle name="Input 10 2 6" xfId="2798"/>
    <cellStyle name="Input 10 2 6 2" xfId="2799"/>
    <cellStyle name="Input 10 2 6 3" xfId="2800"/>
    <cellStyle name="Input 10 2 7" xfId="2801"/>
    <cellStyle name="Input 10 2 7 2" xfId="2802"/>
    <cellStyle name="Input 10 2 7 3" xfId="2803"/>
    <cellStyle name="Input 10 2 8" xfId="2804"/>
    <cellStyle name="Input 10 2 9" xfId="2805"/>
    <cellStyle name="Input 10 3" xfId="2806"/>
    <cellStyle name="Input 10 3 2" xfId="2807"/>
    <cellStyle name="Input 10 3 2 2" xfId="2808"/>
    <cellStyle name="Input 10 3 2 3" xfId="2809"/>
    <cellStyle name="Input 10 3 3" xfId="2810"/>
    <cellStyle name="Input 10 3 3 2" xfId="2811"/>
    <cellStyle name="Input 10 3 3 3" xfId="2812"/>
    <cellStyle name="Input 10 3 4" xfId="2813"/>
    <cellStyle name="Input 10 3 4 2" xfId="2814"/>
    <cellStyle name="Input 10 3 4 3" xfId="2815"/>
    <cellStyle name="Input 10 3 5" xfId="2816"/>
    <cellStyle name="Input 10 3 5 2" xfId="2817"/>
    <cellStyle name="Input 10 3 5 3" xfId="2818"/>
    <cellStyle name="Input 10 3 6" xfId="2819"/>
    <cellStyle name="Input 10 3 6 2" xfId="2820"/>
    <cellStyle name="Input 10 3 6 3" xfId="2821"/>
    <cellStyle name="Input 10 3 7" xfId="2822"/>
    <cellStyle name="Input 10 3 8" xfId="2823"/>
    <cellStyle name="Input 10 4" xfId="2824"/>
    <cellStyle name="Input 10 4 2" xfId="2825"/>
    <cellStyle name="Input 10 4 3" xfId="2826"/>
    <cellStyle name="Input 10 5" xfId="2827"/>
    <cellStyle name="Input 10 5 2" xfId="2828"/>
    <cellStyle name="Input 10 5 3" xfId="2829"/>
    <cellStyle name="Input 10 6" xfId="2830"/>
    <cellStyle name="Input 10 6 2" xfId="2831"/>
    <cellStyle name="Input 10 6 3" xfId="2832"/>
    <cellStyle name="Input 10 7" xfId="2833"/>
    <cellStyle name="Input 10 8" xfId="2834"/>
    <cellStyle name="Input 10_Dakota Panel" xfId="30400"/>
    <cellStyle name="Input 100" xfId="30401"/>
    <cellStyle name="Input 100 2" xfId="30402"/>
    <cellStyle name="Input 100 2 2" xfId="30403"/>
    <cellStyle name="Input 100 3" xfId="30404"/>
    <cellStyle name="Input 100_Dakota Panel" xfId="30405"/>
    <cellStyle name="Input 101" xfId="30406"/>
    <cellStyle name="Input 101 2" xfId="30407"/>
    <cellStyle name="Input 101 2 2" xfId="30408"/>
    <cellStyle name="Input 101 3" xfId="30409"/>
    <cellStyle name="Input 101_Dakota Panel" xfId="30410"/>
    <cellStyle name="Input 102" xfId="30411"/>
    <cellStyle name="Input 102 2" xfId="30412"/>
    <cellStyle name="Input 102 2 2" xfId="30413"/>
    <cellStyle name="Input 102 3" xfId="30414"/>
    <cellStyle name="Input 102_Dakota Panel" xfId="30415"/>
    <cellStyle name="Input 103" xfId="30416"/>
    <cellStyle name="Input 103 2" xfId="30417"/>
    <cellStyle name="Input 103 2 2" xfId="30418"/>
    <cellStyle name="Input 103 3" xfId="30419"/>
    <cellStyle name="Input 103_Dakota Panel" xfId="30420"/>
    <cellStyle name="Input 104" xfId="30421"/>
    <cellStyle name="Input 104 2" xfId="30422"/>
    <cellStyle name="Input 104 2 2" xfId="30423"/>
    <cellStyle name="Input 104 3" xfId="30424"/>
    <cellStyle name="Input 104_Dakota Panel" xfId="30425"/>
    <cellStyle name="Input 105" xfId="30426"/>
    <cellStyle name="Input 105 2" xfId="30427"/>
    <cellStyle name="Input 105 2 2" xfId="30428"/>
    <cellStyle name="Input 105 3" xfId="30429"/>
    <cellStyle name="Input 105_Dakota Panel" xfId="30430"/>
    <cellStyle name="Input 106" xfId="30431"/>
    <cellStyle name="Input 106 2" xfId="30432"/>
    <cellStyle name="Input 106 2 2" xfId="30433"/>
    <cellStyle name="Input 106 3" xfId="30434"/>
    <cellStyle name="Input 106_Dakota Panel" xfId="30435"/>
    <cellStyle name="Input 107" xfId="30436"/>
    <cellStyle name="Input 107 2" xfId="30437"/>
    <cellStyle name="Input 107 2 2" xfId="30438"/>
    <cellStyle name="Input 107 3" xfId="30439"/>
    <cellStyle name="Input 107_Dakota Panel" xfId="30440"/>
    <cellStyle name="Input 108" xfId="30441"/>
    <cellStyle name="Input 108 2" xfId="30442"/>
    <cellStyle name="Input 108 2 2" xfId="30443"/>
    <cellStyle name="Input 108 3" xfId="30444"/>
    <cellStyle name="Input 108_Dakota Panel" xfId="30445"/>
    <cellStyle name="Input 109" xfId="30446"/>
    <cellStyle name="Input 109 2" xfId="30447"/>
    <cellStyle name="Input 109 2 2" xfId="30448"/>
    <cellStyle name="Input 109 3" xfId="30449"/>
    <cellStyle name="Input 109_Dakota Panel" xfId="30450"/>
    <cellStyle name="Input 11" xfId="2835"/>
    <cellStyle name="Input 11 2" xfId="30451"/>
    <cellStyle name="Input 11 2 2" xfId="30452"/>
    <cellStyle name="Input 11 2 2 2" xfId="30453"/>
    <cellStyle name="Input 11 2 2 3" xfId="30454"/>
    <cellStyle name="Input 11 2 3" xfId="30455"/>
    <cellStyle name="Input 11 2 4" xfId="30456"/>
    <cellStyle name="Input 11 3" xfId="30457"/>
    <cellStyle name="Input 11 3 2" xfId="30458"/>
    <cellStyle name="Input 11 3 3" xfId="30459"/>
    <cellStyle name="Input 11 4" xfId="30460"/>
    <cellStyle name="Input 11 4 2" xfId="30461"/>
    <cellStyle name="Input 11 5" xfId="30462"/>
    <cellStyle name="Input 11 5 2" xfId="30463"/>
    <cellStyle name="Input 11 6" xfId="30464"/>
    <cellStyle name="Input 11 7" xfId="30465"/>
    <cellStyle name="Input 11 8" xfId="30466"/>
    <cellStyle name="Input 11_Dakota Panel" xfId="30467"/>
    <cellStyle name="Input 110" xfId="30468"/>
    <cellStyle name="Input 110 2" xfId="30469"/>
    <cellStyle name="Input 110 2 2" xfId="30470"/>
    <cellStyle name="Input 110 3" xfId="30471"/>
    <cellStyle name="Input 110_Dakota Panel" xfId="30472"/>
    <cellStyle name="Input 111" xfId="30473"/>
    <cellStyle name="Input 111 2" xfId="30474"/>
    <cellStyle name="Input 111 2 2" xfId="30475"/>
    <cellStyle name="Input 111 3" xfId="30476"/>
    <cellStyle name="Input 111_Dakota Panel" xfId="30477"/>
    <cellStyle name="Input 112" xfId="30478"/>
    <cellStyle name="Input 112 2" xfId="30479"/>
    <cellStyle name="Input 112 2 2" xfId="30480"/>
    <cellStyle name="Input 112 3" xfId="30481"/>
    <cellStyle name="Input 112_Dakota Panel" xfId="30482"/>
    <cellStyle name="Input 113" xfId="30483"/>
    <cellStyle name="Input 113 2" xfId="30484"/>
    <cellStyle name="Input 113 2 2" xfId="30485"/>
    <cellStyle name="Input 113 3" xfId="30486"/>
    <cellStyle name="Input 113_Dakota Panel" xfId="30487"/>
    <cellStyle name="Input 114" xfId="30488"/>
    <cellStyle name="Input 114 2" xfId="30489"/>
    <cellStyle name="Input 114 2 2" xfId="30490"/>
    <cellStyle name="Input 114 3" xfId="30491"/>
    <cellStyle name="Input 114_Dakota Panel" xfId="30492"/>
    <cellStyle name="Input 115" xfId="30493"/>
    <cellStyle name="Input 115 2" xfId="30494"/>
    <cellStyle name="Input 115 2 2" xfId="30495"/>
    <cellStyle name="Input 115 3" xfId="30496"/>
    <cellStyle name="Input 115_Dakota Panel" xfId="30497"/>
    <cellStyle name="Input 116" xfId="30498"/>
    <cellStyle name="Input 116 2" xfId="30499"/>
    <cellStyle name="Input 116 2 2" xfId="30500"/>
    <cellStyle name="Input 116 3" xfId="30501"/>
    <cellStyle name="Input 116_Dakota Panel" xfId="30502"/>
    <cellStyle name="Input 117" xfId="30503"/>
    <cellStyle name="Input 117 2" xfId="30504"/>
    <cellStyle name="Input 117 2 2" xfId="30505"/>
    <cellStyle name="Input 117 3" xfId="30506"/>
    <cellStyle name="Input 117_Dakota Panel" xfId="30507"/>
    <cellStyle name="Input 118" xfId="30508"/>
    <cellStyle name="Input 118 2" xfId="30509"/>
    <cellStyle name="Input 118 2 2" xfId="30510"/>
    <cellStyle name="Input 118 3" xfId="30511"/>
    <cellStyle name="Input 118_Dakota Panel" xfId="30512"/>
    <cellStyle name="Input 119" xfId="30513"/>
    <cellStyle name="Input 119 2" xfId="30514"/>
    <cellStyle name="Input 119 2 2" xfId="30515"/>
    <cellStyle name="Input 119 3" xfId="30516"/>
    <cellStyle name="Input 119_Dakota Panel" xfId="30517"/>
    <cellStyle name="Input 12" xfId="2836"/>
    <cellStyle name="Input 12 2" xfId="30518"/>
    <cellStyle name="Input 12 2 2" xfId="30519"/>
    <cellStyle name="Input 12 2 2 2" xfId="30520"/>
    <cellStyle name="Input 12 2 2 3" xfId="30521"/>
    <cellStyle name="Input 12 2 3" xfId="30522"/>
    <cellStyle name="Input 12 2 4" xfId="30523"/>
    <cellStyle name="Input 12 2 5" xfId="30524"/>
    <cellStyle name="Input 12 3" xfId="30525"/>
    <cellStyle name="Input 12 3 2" xfId="30526"/>
    <cellStyle name="Input 12 3 3" xfId="30527"/>
    <cellStyle name="Input 12 4" xfId="30528"/>
    <cellStyle name="Input 12 5" xfId="30529"/>
    <cellStyle name="Input 12 6" xfId="30530"/>
    <cellStyle name="Input 12_Dakota Panel" xfId="30531"/>
    <cellStyle name="Input 120" xfId="30532"/>
    <cellStyle name="Input 120 2" xfId="30533"/>
    <cellStyle name="Input 120 2 2" xfId="30534"/>
    <cellStyle name="Input 120 3" xfId="30535"/>
    <cellStyle name="Input 120_Dakota Panel" xfId="30536"/>
    <cellStyle name="Input 121" xfId="30537"/>
    <cellStyle name="Input 121 2" xfId="30538"/>
    <cellStyle name="Input 121 2 2" xfId="30539"/>
    <cellStyle name="Input 121 3" xfId="30540"/>
    <cellStyle name="Input 121_Dakota Panel" xfId="30541"/>
    <cellStyle name="Input 122" xfId="30542"/>
    <cellStyle name="Input 122 2" xfId="30543"/>
    <cellStyle name="Input 122 2 2" xfId="30544"/>
    <cellStyle name="Input 122 3" xfId="30545"/>
    <cellStyle name="Input 122_Dakota Panel" xfId="30546"/>
    <cellStyle name="Input 123" xfId="30547"/>
    <cellStyle name="Input 123 2" xfId="30548"/>
    <cellStyle name="Input 123 2 2" xfId="30549"/>
    <cellStyle name="Input 123 3" xfId="30550"/>
    <cellStyle name="Input 123_Dakota Panel" xfId="30551"/>
    <cellStyle name="Input 124" xfId="30552"/>
    <cellStyle name="Input 124 2" xfId="30553"/>
    <cellStyle name="Input 124 2 2" xfId="30554"/>
    <cellStyle name="Input 124 3" xfId="30555"/>
    <cellStyle name="Input 124_Dakota Panel" xfId="30556"/>
    <cellStyle name="Input 125" xfId="30557"/>
    <cellStyle name="Input 125 2" xfId="30558"/>
    <cellStyle name="Input 125 2 2" xfId="30559"/>
    <cellStyle name="Input 125 3" xfId="30560"/>
    <cellStyle name="Input 125_Dakota Panel" xfId="30561"/>
    <cellStyle name="Input 126" xfId="30562"/>
    <cellStyle name="Input 126 2" xfId="30563"/>
    <cellStyle name="Input 126 2 2" xfId="30564"/>
    <cellStyle name="Input 126 3" xfId="30565"/>
    <cellStyle name="Input 126_Dakota Panel" xfId="30566"/>
    <cellStyle name="Input 127" xfId="30567"/>
    <cellStyle name="Input 127 2" xfId="30568"/>
    <cellStyle name="Input 127 2 2" xfId="30569"/>
    <cellStyle name="Input 127 3" xfId="30570"/>
    <cellStyle name="Input 127_Dakota Panel" xfId="30571"/>
    <cellStyle name="Input 128" xfId="30572"/>
    <cellStyle name="Input 128 2" xfId="30573"/>
    <cellStyle name="Input 128 2 2" xfId="30574"/>
    <cellStyle name="Input 128 3" xfId="30575"/>
    <cellStyle name="Input 128_Dakota Panel" xfId="30576"/>
    <cellStyle name="Input 129" xfId="30577"/>
    <cellStyle name="Input 129 2" xfId="30578"/>
    <cellStyle name="Input 129 2 2" xfId="30579"/>
    <cellStyle name="Input 129 3" xfId="30580"/>
    <cellStyle name="Input 129_Dakota Panel" xfId="30581"/>
    <cellStyle name="Input 13" xfId="2837"/>
    <cellStyle name="Input 13 2" xfId="30582"/>
    <cellStyle name="Input 13 2 2" xfId="30583"/>
    <cellStyle name="Input 13 2 2 2" xfId="30584"/>
    <cellStyle name="Input 13 2 2 3" xfId="30585"/>
    <cellStyle name="Input 13 2 3" xfId="30586"/>
    <cellStyle name="Input 13 2 4" xfId="30587"/>
    <cellStyle name="Input 13 2 5" xfId="30588"/>
    <cellStyle name="Input 13 3" xfId="30589"/>
    <cellStyle name="Input 13 3 2" xfId="30590"/>
    <cellStyle name="Input 13 3 3" xfId="30591"/>
    <cellStyle name="Input 13 4" xfId="30592"/>
    <cellStyle name="Input 13 5" xfId="30593"/>
    <cellStyle name="Input 13 6" xfId="30594"/>
    <cellStyle name="Input 13_Dakota Panel" xfId="30595"/>
    <cellStyle name="Input 130" xfId="30596"/>
    <cellStyle name="Input 130 2" xfId="30597"/>
    <cellStyle name="Input 130 2 2" xfId="30598"/>
    <cellStyle name="Input 130 3" xfId="30599"/>
    <cellStyle name="Input 130_Dakota Panel" xfId="30600"/>
    <cellStyle name="Input 131" xfId="30601"/>
    <cellStyle name="Input 131 2" xfId="30602"/>
    <cellStyle name="Input 131 2 2" xfId="30603"/>
    <cellStyle name="Input 131 3" xfId="30604"/>
    <cellStyle name="Input 131_Dakota Panel" xfId="30605"/>
    <cellStyle name="Input 132" xfId="30606"/>
    <cellStyle name="Input 132 2" xfId="30607"/>
    <cellStyle name="Input 132 2 2" xfId="30608"/>
    <cellStyle name="Input 132 3" xfId="30609"/>
    <cellStyle name="Input 132_Dakota Panel" xfId="30610"/>
    <cellStyle name="Input 133" xfId="30611"/>
    <cellStyle name="Input 133 2" xfId="30612"/>
    <cellStyle name="Input 133 2 2" xfId="30613"/>
    <cellStyle name="Input 133 3" xfId="30614"/>
    <cellStyle name="Input 133_Dakota Panel" xfId="30615"/>
    <cellStyle name="Input 134" xfId="30616"/>
    <cellStyle name="Input 134 2" xfId="30617"/>
    <cellStyle name="Input 134 2 2" xfId="30618"/>
    <cellStyle name="Input 134 3" xfId="30619"/>
    <cellStyle name="Input 134_Dakota Panel" xfId="30620"/>
    <cellStyle name="Input 135" xfId="30621"/>
    <cellStyle name="Input 135 2" xfId="30622"/>
    <cellStyle name="Input 135 2 2" xfId="30623"/>
    <cellStyle name="Input 135 3" xfId="30624"/>
    <cellStyle name="Input 135_Dakota Panel" xfId="30625"/>
    <cellStyle name="Input 136" xfId="30626"/>
    <cellStyle name="Input 136 2" xfId="30627"/>
    <cellStyle name="Input 136 2 2" xfId="30628"/>
    <cellStyle name="Input 136 3" xfId="30629"/>
    <cellStyle name="Input 136_Dakota Panel" xfId="30630"/>
    <cellStyle name="Input 137" xfId="30631"/>
    <cellStyle name="Input 137 2" xfId="30632"/>
    <cellStyle name="Input 137 2 2" xfId="30633"/>
    <cellStyle name="Input 137 3" xfId="30634"/>
    <cellStyle name="Input 137_Dakota Panel" xfId="30635"/>
    <cellStyle name="Input 138" xfId="30636"/>
    <cellStyle name="Input 138 2" xfId="30637"/>
    <cellStyle name="Input 138 2 2" xfId="30638"/>
    <cellStyle name="Input 138 3" xfId="30639"/>
    <cellStyle name="Input 138_Dakota Panel" xfId="30640"/>
    <cellStyle name="Input 139" xfId="30641"/>
    <cellStyle name="Input 139 2" xfId="30642"/>
    <cellStyle name="Input 139 2 2" xfId="30643"/>
    <cellStyle name="Input 139 3" xfId="30644"/>
    <cellStyle name="Input 139_Dakota Panel" xfId="30645"/>
    <cellStyle name="Input 14" xfId="2838"/>
    <cellStyle name="Input 14 2" xfId="30646"/>
    <cellStyle name="Input 14 2 2" xfId="30647"/>
    <cellStyle name="Input 14 2 2 2" xfId="30648"/>
    <cellStyle name="Input 14 2 2 3" xfId="30649"/>
    <cellStyle name="Input 14 2 3" xfId="30650"/>
    <cellStyle name="Input 14 2 4" xfId="30651"/>
    <cellStyle name="Input 14 2 5" xfId="30652"/>
    <cellStyle name="Input 14 3" xfId="30653"/>
    <cellStyle name="Input 14 3 2" xfId="30654"/>
    <cellStyle name="Input 14 3 3" xfId="30655"/>
    <cellStyle name="Input 14 4" xfId="30656"/>
    <cellStyle name="Input 14 5" xfId="30657"/>
    <cellStyle name="Input 14 6" xfId="30658"/>
    <cellStyle name="Input 14_Dakota Panel" xfId="30659"/>
    <cellStyle name="Input 140" xfId="30660"/>
    <cellStyle name="Input 140 2" xfId="30661"/>
    <cellStyle name="Input 140 2 2" xfId="30662"/>
    <cellStyle name="Input 140 3" xfId="30663"/>
    <cellStyle name="Input 140_Dakota Panel" xfId="30664"/>
    <cellStyle name="Input 141" xfId="30665"/>
    <cellStyle name="Input 141 2" xfId="30666"/>
    <cellStyle name="Input 141 2 2" xfId="30667"/>
    <cellStyle name="Input 141 3" xfId="30668"/>
    <cellStyle name="Input 141_Dakota Panel" xfId="30669"/>
    <cellStyle name="Input 142" xfId="30670"/>
    <cellStyle name="Input 142 2" xfId="30671"/>
    <cellStyle name="Input 142 2 2" xfId="30672"/>
    <cellStyle name="Input 142 3" xfId="30673"/>
    <cellStyle name="Input 142_Dakota Panel" xfId="30674"/>
    <cellStyle name="Input 143" xfId="30675"/>
    <cellStyle name="Input 143 2" xfId="30676"/>
    <cellStyle name="Input 143 2 2" xfId="30677"/>
    <cellStyle name="Input 143 3" xfId="30678"/>
    <cellStyle name="Input 143_Dakota Panel" xfId="30679"/>
    <cellStyle name="Input 144" xfId="30680"/>
    <cellStyle name="Input 144 2" xfId="30681"/>
    <cellStyle name="Input 144 2 2" xfId="30682"/>
    <cellStyle name="Input 144 3" xfId="30683"/>
    <cellStyle name="Input 144_Dakota Panel" xfId="30684"/>
    <cellStyle name="Input 145" xfId="30685"/>
    <cellStyle name="Input 145 2" xfId="30686"/>
    <cellStyle name="Input 145 2 2" xfId="30687"/>
    <cellStyle name="Input 145 3" xfId="30688"/>
    <cellStyle name="Input 145_Dakota Panel" xfId="30689"/>
    <cellStyle name="Input 146" xfId="30690"/>
    <cellStyle name="Input 146 2" xfId="30691"/>
    <cellStyle name="Input 146 2 2" xfId="30692"/>
    <cellStyle name="Input 146 3" xfId="30693"/>
    <cellStyle name="Input 146_Dakota Panel" xfId="30694"/>
    <cellStyle name="Input 147" xfId="30695"/>
    <cellStyle name="Input 147 2" xfId="30696"/>
    <cellStyle name="Input 147 2 2" xfId="30697"/>
    <cellStyle name="Input 147 3" xfId="30698"/>
    <cellStyle name="Input 147_Dakota Panel" xfId="30699"/>
    <cellStyle name="Input 148" xfId="30700"/>
    <cellStyle name="Input 148 2" xfId="30701"/>
    <cellStyle name="Input 148 2 2" xfId="30702"/>
    <cellStyle name="Input 148 3" xfId="30703"/>
    <cellStyle name="Input 148_Dakota Panel" xfId="30704"/>
    <cellStyle name="Input 149" xfId="30705"/>
    <cellStyle name="Input 149 2" xfId="30706"/>
    <cellStyle name="Input 149 2 2" xfId="30707"/>
    <cellStyle name="Input 149 3" xfId="30708"/>
    <cellStyle name="Input 149_Dakota Panel" xfId="30709"/>
    <cellStyle name="Input 15" xfId="30710"/>
    <cellStyle name="Input 15 2" xfId="30711"/>
    <cellStyle name="Input 15 2 2" xfId="30712"/>
    <cellStyle name="Input 15 2 2 2" xfId="30713"/>
    <cellStyle name="Input 15 2 2 3" xfId="30714"/>
    <cellStyle name="Input 15 2 3" xfId="30715"/>
    <cellStyle name="Input 15 2 4" xfId="30716"/>
    <cellStyle name="Input 15 2 5" xfId="30717"/>
    <cellStyle name="Input 15 3" xfId="30718"/>
    <cellStyle name="Input 15 3 2" xfId="30719"/>
    <cellStyle name="Input 15 3 3" xfId="30720"/>
    <cellStyle name="Input 15 4" xfId="30721"/>
    <cellStyle name="Input 15 5" xfId="30722"/>
    <cellStyle name="Input 15 6" xfId="30723"/>
    <cellStyle name="Input 15_Dakota Panel" xfId="30724"/>
    <cellStyle name="Input 150" xfId="30725"/>
    <cellStyle name="Input 150 2" xfId="30726"/>
    <cellStyle name="Input 150 2 2" xfId="30727"/>
    <cellStyle name="Input 150 3" xfId="30728"/>
    <cellStyle name="Input 150_Dakota Panel" xfId="30729"/>
    <cellStyle name="Input 151" xfId="30730"/>
    <cellStyle name="Input 151 2" xfId="30731"/>
    <cellStyle name="Input 151 2 2" xfId="30732"/>
    <cellStyle name="Input 151 3" xfId="30733"/>
    <cellStyle name="Input 151_Dakota Panel" xfId="30734"/>
    <cellStyle name="Input 152" xfId="30735"/>
    <cellStyle name="Input 152 2" xfId="30736"/>
    <cellStyle name="Input 152 2 2" xfId="30737"/>
    <cellStyle name="Input 152 3" xfId="30738"/>
    <cellStyle name="Input 152_Dakota Panel" xfId="30739"/>
    <cellStyle name="Input 153" xfId="30740"/>
    <cellStyle name="Input 153 2" xfId="30741"/>
    <cellStyle name="Input 153 2 2" xfId="30742"/>
    <cellStyle name="Input 153 3" xfId="30743"/>
    <cellStyle name="Input 153_Dakota Panel" xfId="30744"/>
    <cellStyle name="Input 154" xfId="30745"/>
    <cellStyle name="Input 154 2" xfId="30746"/>
    <cellStyle name="Input 154 2 2" xfId="30747"/>
    <cellStyle name="Input 154 3" xfId="30748"/>
    <cellStyle name="Input 154_Dakota Panel" xfId="30749"/>
    <cellStyle name="Input 155" xfId="30750"/>
    <cellStyle name="Input 155 2" xfId="30751"/>
    <cellStyle name="Input 155 2 2" xfId="30752"/>
    <cellStyle name="Input 155 3" xfId="30753"/>
    <cellStyle name="Input 155_Dakota Panel" xfId="30754"/>
    <cellStyle name="Input 156" xfId="30755"/>
    <cellStyle name="Input 156 2" xfId="30756"/>
    <cellStyle name="Input 156 2 2" xfId="30757"/>
    <cellStyle name="Input 156 3" xfId="30758"/>
    <cellStyle name="Input 156_Dakota Panel" xfId="30759"/>
    <cellStyle name="Input 157" xfId="30760"/>
    <cellStyle name="Input 157 2" xfId="30761"/>
    <cellStyle name="Input 157 2 2" xfId="30762"/>
    <cellStyle name="Input 157 3" xfId="30763"/>
    <cellStyle name="Input 157_Dakota Panel" xfId="30764"/>
    <cellStyle name="Input 158" xfId="30765"/>
    <cellStyle name="Input 158 2" xfId="30766"/>
    <cellStyle name="Input 158 2 2" xfId="30767"/>
    <cellStyle name="Input 158 3" xfId="30768"/>
    <cellStyle name="Input 158_Dakota Panel" xfId="30769"/>
    <cellStyle name="Input 159" xfId="30770"/>
    <cellStyle name="Input 159 2" xfId="30771"/>
    <cellStyle name="Input 159 2 2" xfId="30772"/>
    <cellStyle name="Input 159 3" xfId="30773"/>
    <cellStyle name="Input 159_Dakota Panel" xfId="30774"/>
    <cellStyle name="Input 16" xfId="30775"/>
    <cellStyle name="Input 16 2" xfId="30776"/>
    <cellStyle name="Input 16 2 2" xfId="30777"/>
    <cellStyle name="Input 16 2 2 2" xfId="30778"/>
    <cellStyle name="Input 16 2 3" xfId="30779"/>
    <cellStyle name="Input 16 3" xfId="30780"/>
    <cellStyle name="Input 16 3 2" xfId="30781"/>
    <cellStyle name="Input 16 3 3" xfId="30782"/>
    <cellStyle name="Input 16 4" xfId="30783"/>
    <cellStyle name="Input 16 5" xfId="30784"/>
    <cellStyle name="Input 16 6" xfId="30785"/>
    <cellStyle name="Input 16_Dakota Panel" xfId="30786"/>
    <cellStyle name="Input 160" xfId="30787"/>
    <cellStyle name="Input 160 2" xfId="30788"/>
    <cellStyle name="Input 160 2 2" xfId="30789"/>
    <cellStyle name="Input 160 3" xfId="30790"/>
    <cellStyle name="Input 160_Dakota Panel" xfId="30791"/>
    <cellStyle name="Input 161" xfId="30792"/>
    <cellStyle name="Input 161 2" xfId="30793"/>
    <cellStyle name="Input 161 2 2" xfId="30794"/>
    <cellStyle name="Input 161 3" xfId="30795"/>
    <cellStyle name="Input 161_Dakota Panel" xfId="30796"/>
    <cellStyle name="Input 162" xfId="30797"/>
    <cellStyle name="Input 162 2" xfId="30798"/>
    <cellStyle name="Input 162 2 2" xfId="30799"/>
    <cellStyle name="Input 162 3" xfId="30800"/>
    <cellStyle name="Input 162_Dakota Panel" xfId="30801"/>
    <cellStyle name="Input 163" xfId="30802"/>
    <cellStyle name="Input 163 2" xfId="30803"/>
    <cellStyle name="Input 163 2 2" xfId="30804"/>
    <cellStyle name="Input 163 3" xfId="30805"/>
    <cellStyle name="Input 163_Dakota Panel" xfId="30806"/>
    <cellStyle name="Input 164" xfId="30807"/>
    <cellStyle name="Input 164 2" xfId="30808"/>
    <cellStyle name="Input 164 2 2" xfId="30809"/>
    <cellStyle name="Input 164 3" xfId="30810"/>
    <cellStyle name="Input 164_Dakota Panel" xfId="30811"/>
    <cellStyle name="Input 165" xfId="30812"/>
    <cellStyle name="Input 165 2" xfId="30813"/>
    <cellStyle name="Input 165 2 2" xfId="30814"/>
    <cellStyle name="Input 165 3" xfId="30815"/>
    <cellStyle name="Input 165_Dakota Panel" xfId="30816"/>
    <cellStyle name="Input 166" xfId="30817"/>
    <cellStyle name="Input 166 2" xfId="30818"/>
    <cellStyle name="Input 166 2 2" xfId="30819"/>
    <cellStyle name="Input 166 3" xfId="30820"/>
    <cellStyle name="Input 166_Dakota Panel" xfId="30821"/>
    <cellStyle name="Input 167" xfId="30822"/>
    <cellStyle name="Input 167 2" xfId="30823"/>
    <cellStyle name="Input 167 2 2" xfId="30824"/>
    <cellStyle name="Input 167 3" xfId="30825"/>
    <cellStyle name="Input 167_Dakota Panel" xfId="30826"/>
    <cellStyle name="Input 168" xfId="30827"/>
    <cellStyle name="Input 168 2" xfId="30828"/>
    <cellStyle name="Input 168 2 2" xfId="30829"/>
    <cellStyle name="Input 168 3" xfId="30830"/>
    <cellStyle name="Input 168_Dakota Panel" xfId="30831"/>
    <cellStyle name="Input 169" xfId="30832"/>
    <cellStyle name="Input 169 2" xfId="30833"/>
    <cellStyle name="Input 169 2 2" xfId="30834"/>
    <cellStyle name="Input 169 3" xfId="30835"/>
    <cellStyle name="Input 169_Dakota Panel" xfId="30836"/>
    <cellStyle name="Input 17" xfId="30837"/>
    <cellStyle name="Input 17 2" xfId="30838"/>
    <cellStyle name="Input 17 2 2" xfId="30839"/>
    <cellStyle name="Input 17 2 2 2" xfId="30840"/>
    <cellStyle name="Input 17 2 3" xfId="30841"/>
    <cellStyle name="Input 17 3" xfId="30842"/>
    <cellStyle name="Input 17 3 2" xfId="30843"/>
    <cellStyle name="Input 17 3 3" xfId="30844"/>
    <cellStyle name="Input 17 4" xfId="30845"/>
    <cellStyle name="Input 17 5" xfId="30846"/>
    <cellStyle name="Input 17 6" xfId="30847"/>
    <cellStyle name="Input 17_Dakota Panel" xfId="30848"/>
    <cellStyle name="Input 170" xfId="30849"/>
    <cellStyle name="Input 170 2" xfId="30850"/>
    <cellStyle name="Input 170 2 2" xfId="30851"/>
    <cellStyle name="Input 170 3" xfId="30852"/>
    <cellStyle name="Input 170_Dakota Panel" xfId="30853"/>
    <cellStyle name="Input 171" xfId="30854"/>
    <cellStyle name="Input 171 2" xfId="30855"/>
    <cellStyle name="Input 171 2 2" xfId="30856"/>
    <cellStyle name="Input 171 3" xfId="30857"/>
    <cellStyle name="Input 171_Dakota Panel" xfId="30858"/>
    <cellStyle name="Input 172" xfId="30859"/>
    <cellStyle name="Input 172 2" xfId="30860"/>
    <cellStyle name="Input 172 2 2" xfId="30861"/>
    <cellStyle name="Input 172 3" xfId="30862"/>
    <cellStyle name="Input 172_Dakota Panel" xfId="30863"/>
    <cellStyle name="Input 173" xfId="30864"/>
    <cellStyle name="Input 173 2" xfId="30865"/>
    <cellStyle name="Input 173 2 2" xfId="30866"/>
    <cellStyle name="Input 173 3" xfId="30867"/>
    <cellStyle name="Input 173_Dakota Panel" xfId="30868"/>
    <cellStyle name="Input 174" xfId="30869"/>
    <cellStyle name="Input 174 2" xfId="30870"/>
    <cellStyle name="Input 174 2 2" xfId="30871"/>
    <cellStyle name="Input 174 3" xfId="30872"/>
    <cellStyle name="Input 174_Dakota Panel" xfId="30873"/>
    <cellStyle name="Input 175" xfId="30874"/>
    <cellStyle name="Input 175 2" xfId="30875"/>
    <cellStyle name="Input 175 2 2" xfId="30876"/>
    <cellStyle name="Input 175 3" xfId="30877"/>
    <cellStyle name="Input 175_Dakota Panel" xfId="30878"/>
    <cellStyle name="Input 176" xfId="30879"/>
    <cellStyle name="Input 176 2" xfId="30880"/>
    <cellStyle name="Input 176 2 2" xfId="30881"/>
    <cellStyle name="Input 176 3" xfId="30882"/>
    <cellStyle name="Input 176_Dakota Panel" xfId="30883"/>
    <cellStyle name="Input 177" xfId="30884"/>
    <cellStyle name="Input 177 2" xfId="30885"/>
    <cellStyle name="Input 177 2 2" xfId="30886"/>
    <cellStyle name="Input 177 3" xfId="30887"/>
    <cellStyle name="Input 177_Dakota Panel" xfId="30888"/>
    <cellStyle name="Input 178" xfId="30889"/>
    <cellStyle name="Input 178 2" xfId="30890"/>
    <cellStyle name="Input 178 2 2" xfId="30891"/>
    <cellStyle name="Input 178 3" xfId="30892"/>
    <cellStyle name="Input 178_Dakota Panel" xfId="30893"/>
    <cellStyle name="Input 179" xfId="30894"/>
    <cellStyle name="Input 179 2" xfId="30895"/>
    <cellStyle name="Input 179 2 2" xfId="30896"/>
    <cellStyle name="Input 179 3" xfId="30897"/>
    <cellStyle name="Input 179_Dakota Panel" xfId="30898"/>
    <cellStyle name="Input 18" xfId="30899"/>
    <cellStyle name="Input 18 2" xfId="30900"/>
    <cellStyle name="Input 18 2 2" xfId="30901"/>
    <cellStyle name="Input 18 2 2 2" xfId="30902"/>
    <cellStyle name="Input 18 2 3" xfId="30903"/>
    <cellStyle name="Input 18 3" xfId="30904"/>
    <cellStyle name="Input 18 3 2" xfId="30905"/>
    <cellStyle name="Input 18 3 3" xfId="30906"/>
    <cellStyle name="Input 18 4" xfId="30907"/>
    <cellStyle name="Input 18 5" xfId="30908"/>
    <cellStyle name="Input 18 6" xfId="30909"/>
    <cellStyle name="Input 18_Dakota Panel" xfId="30910"/>
    <cellStyle name="Input 180" xfId="30911"/>
    <cellStyle name="Input 180 2" xfId="30912"/>
    <cellStyle name="Input 180 2 2" xfId="30913"/>
    <cellStyle name="Input 180 3" xfId="30914"/>
    <cellStyle name="Input 180_Dakota Panel" xfId="30915"/>
    <cellStyle name="Input 181" xfId="30916"/>
    <cellStyle name="Input 181 2" xfId="30917"/>
    <cellStyle name="Input 181 2 2" xfId="30918"/>
    <cellStyle name="Input 181 3" xfId="30919"/>
    <cellStyle name="Input 181_Dakota Panel" xfId="30920"/>
    <cellStyle name="Input 182" xfId="30921"/>
    <cellStyle name="Input 182 2" xfId="30922"/>
    <cellStyle name="Input 182 2 2" xfId="30923"/>
    <cellStyle name="Input 182 3" xfId="30924"/>
    <cellStyle name="Input 183" xfId="30925"/>
    <cellStyle name="Input 183 2" xfId="30926"/>
    <cellStyle name="Input 183 2 2" xfId="30927"/>
    <cellStyle name="Input 183 3" xfId="30928"/>
    <cellStyle name="Input 184" xfId="30929"/>
    <cellStyle name="Input 184 2" xfId="30930"/>
    <cellStyle name="Input 184 2 2" xfId="30931"/>
    <cellStyle name="Input 184 3" xfId="30932"/>
    <cellStyle name="Input 185" xfId="30933"/>
    <cellStyle name="Input 185 2" xfId="30934"/>
    <cellStyle name="Input 185 2 2" xfId="30935"/>
    <cellStyle name="Input 185 3" xfId="30936"/>
    <cellStyle name="Input 186" xfId="30937"/>
    <cellStyle name="Input 186 2" xfId="30938"/>
    <cellStyle name="Input 186 2 2" xfId="30939"/>
    <cellStyle name="Input 186 3" xfId="30940"/>
    <cellStyle name="Input 187" xfId="30941"/>
    <cellStyle name="Input 187 2" xfId="30942"/>
    <cellStyle name="Input 187 2 2" xfId="30943"/>
    <cellStyle name="Input 187 3" xfId="30944"/>
    <cellStyle name="Input 188" xfId="30945"/>
    <cellStyle name="Input 188 2" xfId="30946"/>
    <cellStyle name="Input 188 2 2" xfId="30947"/>
    <cellStyle name="Input 188 3" xfId="30948"/>
    <cellStyle name="Input 189" xfId="30949"/>
    <cellStyle name="Input 189 2" xfId="30950"/>
    <cellStyle name="Input 189 2 2" xfId="30951"/>
    <cellStyle name="Input 189 3" xfId="30952"/>
    <cellStyle name="Input 19" xfId="30953"/>
    <cellStyle name="Input 19 2" xfId="30954"/>
    <cellStyle name="Input 19 2 2" xfId="30955"/>
    <cellStyle name="Input 19 2 2 2" xfId="30956"/>
    <cellStyle name="Input 19 2 3" xfId="30957"/>
    <cellStyle name="Input 19 3" xfId="30958"/>
    <cellStyle name="Input 19 3 2" xfId="30959"/>
    <cellStyle name="Input 19 3 3" xfId="30960"/>
    <cellStyle name="Input 19 4" xfId="30961"/>
    <cellStyle name="Input 19 5" xfId="30962"/>
    <cellStyle name="Input 19 6" xfId="30963"/>
    <cellStyle name="Input 19_Dakota Panel" xfId="30964"/>
    <cellStyle name="Input 190" xfId="30965"/>
    <cellStyle name="Input 190 2" xfId="30966"/>
    <cellStyle name="Input 190 2 2" xfId="30967"/>
    <cellStyle name="Input 190 3" xfId="30968"/>
    <cellStyle name="Input 191" xfId="30969"/>
    <cellStyle name="Input 192" xfId="30970"/>
    <cellStyle name="Input 193" xfId="30971"/>
    <cellStyle name="Input 194" xfId="30972"/>
    <cellStyle name="Input 195" xfId="30973"/>
    <cellStyle name="Input 196" xfId="30974"/>
    <cellStyle name="Input 197" xfId="30975"/>
    <cellStyle name="Input 198" xfId="30976"/>
    <cellStyle name="Input 199" xfId="30977"/>
    <cellStyle name="Input 2" xfId="84"/>
    <cellStyle name="Input 2 10" xfId="2839"/>
    <cellStyle name="Input 2 10 2" xfId="30978"/>
    <cellStyle name="Input 2 10 3" xfId="30979"/>
    <cellStyle name="Input 2 11" xfId="30980"/>
    <cellStyle name="Input 2 11 2" xfId="30981"/>
    <cellStyle name="Input 2 11 3" xfId="30982"/>
    <cellStyle name="Input 2 12" xfId="30983"/>
    <cellStyle name="Input 2 12 2" xfId="30984"/>
    <cellStyle name="Input 2 12 3" xfId="30985"/>
    <cellStyle name="Input 2 13" xfId="30986"/>
    <cellStyle name="Input 2 13 2" xfId="30987"/>
    <cellStyle name="Input 2 14" xfId="30988"/>
    <cellStyle name="Input 2 14 2" xfId="30989"/>
    <cellStyle name="Input 2 15" xfId="30990"/>
    <cellStyle name="Input 2 16" xfId="30991"/>
    <cellStyle name="Input 2 17" xfId="30992"/>
    <cellStyle name="Input 2 2" xfId="2840"/>
    <cellStyle name="Input 2 2 10" xfId="30993"/>
    <cellStyle name="Input 2 2 10 2" xfId="30994"/>
    <cellStyle name="Input 2 2 10 3" xfId="30995"/>
    <cellStyle name="Input 2 2 11" xfId="30996"/>
    <cellStyle name="Input 2 2 11 2" xfId="30997"/>
    <cellStyle name="Input 2 2 12" xfId="30998"/>
    <cellStyle name="Input 2 2 13" xfId="30999"/>
    <cellStyle name="Input 2 2 2" xfId="31000"/>
    <cellStyle name="Input 2 2 2 10" xfId="31001"/>
    <cellStyle name="Input 2 2 2 10 2" xfId="31002"/>
    <cellStyle name="Input 2 2 2 10 3" xfId="31003"/>
    <cellStyle name="Input 2 2 2 11" xfId="31004"/>
    <cellStyle name="Input 2 2 2 11 2" xfId="31005"/>
    <cellStyle name="Input 2 2 2 12" xfId="31006"/>
    <cellStyle name="Input 2 2 2 13" xfId="31007"/>
    <cellStyle name="Input 2 2 2 2" xfId="31008"/>
    <cellStyle name="Input 2 2 2 2 2" xfId="31009"/>
    <cellStyle name="Input 2 2 2 2 3" xfId="31010"/>
    <cellStyle name="Input 2 2 2 3" xfId="31011"/>
    <cellStyle name="Input 2 2 2 3 2" xfId="31012"/>
    <cellStyle name="Input 2 2 2 3 3" xfId="31013"/>
    <cellStyle name="Input 2 2 2 4" xfId="31014"/>
    <cellStyle name="Input 2 2 2 4 2" xfId="31015"/>
    <cellStyle name="Input 2 2 2 4 3" xfId="31016"/>
    <cellStyle name="Input 2 2 2 5" xfId="31017"/>
    <cellStyle name="Input 2 2 2 5 2" xfId="31018"/>
    <cellStyle name="Input 2 2 2 5 3" xfId="31019"/>
    <cellStyle name="Input 2 2 2 6" xfId="31020"/>
    <cellStyle name="Input 2 2 2 6 2" xfId="31021"/>
    <cellStyle name="Input 2 2 2 6 3" xfId="31022"/>
    <cellStyle name="Input 2 2 2 7" xfId="31023"/>
    <cellStyle name="Input 2 2 2 7 2" xfId="31024"/>
    <cellStyle name="Input 2 2 2 7 3" xfId="31025"/>
    <cellStyle name="Input 2 2 2 8" xfId="31026"/>
    <cellStyle name="Input 2 2 2 8 2" xfId="31027"/>
    <cellStyle name="Input 2 2 2 8 3" xfId="31028"/>
    <cellStyle name="Input 2 2 2 9" xfId="31029"/>
    <cellStyle name="Input 2 2 2 9 2" xfId="31030"/>
    <cellStyle name="Input 2 2 2 9 3" xfId="31031"/>
    <cellStyle name="Input 2 2 2_BHP 4Q 2010 Ops Review Senior Managment " xfId="31032"/>
    <cellStyle name="Input 2 2 3" xfId="31033"/>
    <cellStyle name="Input 2 2 3 2" xfId="31034"/>
    <cellStyle name="Input 2 2 3 2 2" xfId="31035"/>
    <cellStyle name="Input 2 2 3 3" xfId="31036"/>
    <cellStyle name="Input 2 2 4" xfId="31037"/>
    <cellStyle name="Input 2 2 4 2" xfId="31038"/>
    <cellStyle name="Input 2 2 4 3" xfId="31039"/>
    <cellStyle name="Input 2 2 5" xfId="31040"/>
    <cellStyle name="Input 2 2 5 2" xfId="31041"/>
    <cellStyle name="Input 2 2 5 3" xfId="31042"/>
    <cellStyle name="Input 2 2 6" xfId="31043"/>
    <cellStyle name="Input 2 2 6 2" xfId="31044"/>
    <cellStyle name="Input 2 2 6 3" xfId="31045"/>
    <cellStyle name="Input 2 2 7" xfId="31046"/>
    <cellStyle name="Input 2 2 7 2" xfId="31047"/>
    <cellStyle name="Input 2 2 7 3" xfId="31048"/>
    <cellStyle name="Input 2 2 8" xfId="31049"/>
    <cellStyle name="Input 2 2 8 2" xfId="31050"/>
    <cellStyle name="Input 2 2 8 3" xfId="31051"/>
    <cellStyle name="Input 2 2 9" xfId="31052"/>
    <cellStyle name="Input 2 2 9 2" xfId="31053"/>
    <cellStyle name="Input 2 2 9 3" xfId="31054"/>
    <cellStyle name="Input 2 2_BHP 4Q 2010 Ops Review Senior Managment " xfId="31055"/>
    <cellStyle name="Input 2 3" xfId="2841"/>
    <cellStyle name="Input 2 3 2" xfId="2842"/>
    <cellStyle name="Input 2 3 2 2" xfId="2843"/>
    <cellStyle name="Input 2 3 2 2 2" xfId="2844"/>
    <cellStyle name="Input 2 3 2 2 2 2" xfId="2845"/>
    <cellStyle name="Input 2 3 2 2 2 3" xfId="2846"/>
    <cellStyle name="Input 2 3 2 2 3" xfId="2847"/>
    <cellStyle name="Input 2 3 2 2 3 2" xfId="2848"/>
    <cellStyle name="Input 2 3 2 2 3 3" xfId="2849"/>
    <cellStyle name="Input 2 3 2 2 4" xfId="2850"/>
    <cellStyle name="Input 2 3 2 2 4 2" xfId="2851"/>
    <cellStyle name="Input 2 3 2 2 4 3" xfId="2852"/>
    <cellStyle name="Input 2 3 2 2 5" xfId="2853"/>
    <cellStyle name="Input 2 3 2 2 5 2" xfId="2854"/>
    <cellStyle name="Input 2 3 2 2 5 3" xfId="2855"/>
    <cellStyle name="Input 2 3 2 2 6" xfId="2856"/>
    <cellStyle name="Input 2 3 2 2 6 2" xfId="2857"/>
    <cellStyle name="Input 2 3 2 2 6 3" xfId="2858"/>
    <cellStyle name="Input 2 3 2 2 7" xfId="2859"/>
    <cellStyle name="Input 2 3 2 2 8" xfId="2860"/>
    <cellStyle name="Input 2 3 2 3" xfId="2861"/>
    <cellStyle name="Input 2 3 2 3 2" xfId="2862"/>
    <cellStyle name="Input 2 3 2 3 3" xfId="2863"/>
    <cellStyle name="Input 2 3 2 4" xfId="2864"/>
    <cellStyle name="Input 2 3 2 4 2" xfId="2865"/>
    <cellStyle name="Input 2 3 2 4 3" xfId="2866"/>
    <cellStyle name="Input 2 3 2 5" xfId="2867"/>
    <cellStyle name="Input 2 3 2 5 2" xfId="2868"/>
    <cellStyle name="Input 2 3 2 5 3" xfId="2869"/>
    <cellStyle name="Input 2 3 2 6" xfId="2870"/>
    <cellStyle name="Input 2 3 2 6 2" xfId="2871"/>
    <cellStyle name="Input 2 3 2 6 3" xfId="2872"/>
    <cellStyle name="Input 2 3 2 7" xfId="2873"/>
    <cellStyle name="Input 2 3 2 7 2" xfId="2874"/>
    <cellStyle name="Input 2 3 2 7 3" xfId="2875"/>
    <cellStyle name="Input 2 3 2 8" xfId="2876"/>
    <cellStyle name="Input 2 3 2 9" xfId="2877"/>
    <cellStyle name="Input 2 3 3" xfId="2878"/>
    <cellStyle name="Input 2 3 3 2" xfId="2879"/>
    <cellStyle name="Input 2 3 3 2 2" xfId="2880"/>
    <cellStyle name="Input 2 3 3 2 3" xfId="2881"/>
    <cellStyle name="Input 2 3 3 3" xfId="2882"/>
    <cellStyle name="Input 2 3 3 3 2" xfId="2883"/>
    <cellStyle name="Input 2 3 3 3 3" xfId="2884"/>
    <cellStyle name="Input 2 3 3 4" xfId="2885"/>
    <cellStyle name="Input 2 3 3 4 2" xfId="2886"/>
    <cellStyle name="Input 2 3 3 4 3" xfId="2887"/>
    <cellStyle name="Input 2 3 3 5" xfId="2888"/>
    <cellStyle name="Input 2 3 3 5 2" xfId="2889"/>
    <cellStyle name="Input 2 3 3 5 3" xfId="2890"/>
    <cellStyle name="Input 2 3 3 6" xfId="2891"/>
    <cellStyle name="Input 2 3 3 6 2" xfId="2892"/>
    <cellStyle name="Input 2 3 3 6 3" xfId="2893"/>
    <cellStyle name="Input 2 3 3 7" xfId="2894"/>
    <cellStyle name="Input 2 3 3 8" xfId="2895"/>
    <cellStyle name="Input 2 3 4" xfId="2896"/>
    <cellStyle name="Input 2 3 4 2" xfId="2897"/>
    <cellStyle name="Input 2 3 4 3" xfId="2898"/>
    <cellStyle name="Input 2 3 5" xfId="2899"/>
    <cellStyle name="Input 2 3 5 2" xfId="2900"/>
    <cellStyle name="Input 2 3 5 3" xfId="2901"/>
    <cellStyle name="Input 2 3 6" xfId="2902"/>
    <cellStyle name="Input 2 3 6 2" xfId="2903"/>
    <cellStyle name="Input 2 3 6 3" xfId="2904"/>
    <cellStyle name="Input 2 3 7" xfId="2905"/>
    <cellStyle name="Input 2 3 8" xfId="2906"/>
    <cellStyle name="Input 2 4" xfId="2907"/>
    <cellStyle name="Input 2 4 2" xfId="2908"/>
    <cellStyle name="Input 2 4 2 2" xfId="2909"/>
    <cellStyle name="Input 2 4 2 2 2" xfId="2910"/>
    <cellStyle name="Input 2 4 2 2 3" xfId="2911"/>
    <cellStyle name="Input 2 4 2 3" xfId="2912"/>
    <cellStyle name="Input 2 4 2 3 2" xfId="2913"/>
    <cellStyle name="Input 2 4 2 3 3" xfId="2914"/>
    <cellStyle name="Input 2 4 2 4" xfId="2915"/>
    <cellStyle name="Input 2 4 2 4 2" xfId="2916"/>
    <cellStyle name="Input 2 4 2 4 3" xfId="2917"/>
    <cellStyle name="Input 2 4 2 5" xfId="2918"/>
    <cellStyle name="Input 2 4 2 5 2" xfId="2919"/>
    <cellStyle name="Input 2 4 2 5 3" xfId="2920"/>
    <cellStyle name="Input 2 4 2 6" xfId="2921"/>
    <cellStyle name="Input 2 4 2 6 2" xfId="2922"/>
    <cellStyle name="Input 2 4 2 6 3" xfId="2923"/>
    <cellStyle name="Input 2 4 2 7" xfId="2924"/>
    <cellStyle name="Input 2 4 2 8" xfId="2925"/>
    <cellStyle name="Input 2 4 3" xfId="2926"/>
    <cellStyle name="Input 2 4 3 2" xfId="2927"/>
    <cellStyle name="Input 2 4 3 3" xfId="2928"/>
    <cellStyle name="Input 2 4 4" xfId="2929"/>
    <cellStyle name="Input 2 4 4 2" xfId="2930"/>
    <cellStyle name="Input 2 4 4 3" xfId="2931"/>
    <cellStyle name="Input 2 4 5" xfId="2932"/>
    <cellStyle name="Input 2 4 5 2" xfId="2933"/>
    <cellStyle name="Input 2 4 5 3" xfId="2934"/>
    <cellStyle name="Input 2 4 6" xfId="2935"/>
    <cellStyle name="Input 2 4 6 2" xfId="2936"/>
    <cellStyle name="Input 2 4 6 3" xfId="2937"/>
    <cellStyle name="Input 2 4 7" xfId="2938"/>
    <cellStyle name="Input 2 4 7 2" xfId="2939"/>
    <cellStyle name="Input 2 4 7 3" xfId="2940"/>
    <cellStyle name="Input 2 4 8" xfId="2941"/>
    <cellStyle name="Input 2 4 9" xfId="2942"/>
    <cellStyle name="Input 2 5" xfId="2943"/>
    <cellStyle name="Input 2 5 2" xfId="2944"/>
    <cellStyle name="Input 2 5 2 2" xfId="2945"/>
    <cellStyle name="Input 2 5 2 3" xfId="2946"/>
    <cellStyle name="Input 2 5 3" xfId="2947"/>
    <cellStyle name="Input 2 5 3 2" xfId="2948"/>
    <cellStyle name="Input 2 5 3 3" xfId="2949"/>
    <cellStyle name="Input 2 5 4" xfId="2950"/>
    <cellStyle name="Input 2 5 4 2" xfId="2951"/>
    <cellStyle name="Input 2 5 4 3" xfId="2952"/>
    <cellStyle name="Input 2 5 5" xfId="2953"/>
    <cellStyle name="Input 2 5 5 2" xfId="2954"/>
    <cellStyle name="Input 2 5 5 3" xfId="2955"/>
    <cellStyle name="Input 2 5 6" xfId="2956"/>
    <cellStyle name="Input 2 5 6 2" xfId="2957"/>
    <cellStyle name="Input 2 5 6 3" xfId="2958"/>
    <cellStyle name="Input 2 5 7" xfId="2959"/>
    <cellStyle name="Input 2 5 8" xfId="2960"/>
    <cellStyle name="Input 2 6" xfId="2961"/>
    <cellStyle name="Input 2 6 2" xfId="2962"/>
    <cellStyle name="Input 2 6 2 2" xfId="31056"/>
    <cellStyle name="Input 2 6 3" xfId="2963"/>
    <cellStyle name="Input 2 6 3 2" xfId="31057"/>
    <cellStyle name="Input 2 6 4" xfId="31058"/>
    <cellStyle name="Input 2 6 4 2" xfId="31059"/>
    <cellStyle name="Input 2 6 5" xfId="31060"/>
    <cellStyle name="Input 2 7" xfId="2964"/>
    <cellStyle name="Input 2 7 2" xfId="2965"/>
    <cellStyle name="Input 2 7 2 2" xfId="31061"/>
    <cellStyle name="Input 2 7 3" xfId="2966"/>
    <cellStyle name="Input 2 8" xfId="2967"/>
    <cellStyle name="Input 2 8 2" xfId="2968"/>
    <cellStyle name="Input 2 8 2 2" xfId="31062"/>
    <cellStyle name="Input 2 8 3" xfId="2969"/>
    <cellStyle name="Input 2 9" xfId="2970"/>
    <cellStyle name="Input 2 9 2" xfId="31063"/>
    <cellStyle name="Input 2 9 3" xfId="31064"/>
    <cellStyle name="Input 2_1-10 BHU IS" xfId="31065"/>
    <cellStyle name="Input 20" xfId="31066"/>
    <cellStyle name="Input 20 2" xfId="31067"/>
    <cellStyle name="Input 20 2 2" xfId="31068"/>
    <cellStyle name="Input 20 2 2 2" xfId="31069"/>
    <cellStyle name="Input 20 2 3" xfId="31070"/>
    <cellStyle name="Input 20 3" xfId="31071"/>
    <cellStyle name="Input 20 3 2" xfId="31072"/>
    <cellStyle name="Input 20 3 3" xfId="31073"/>
    <cellStyle name="Input 20 4" xfId="31074"/>
    <cellStyle name="Input 20 5" xfId="31075"/>
    <cellStyle name="Input 20 6" xfId="31076"/>
    <cellStyle name="Input 20_Dakota Panel" xfId="31077"/>
    <cellStyle name="Input 200" xfId="31078"/>
    <cellStyle name="Input 201" xfId="31079"/>
    <cellStyle name="Input 202" xfId="31080"/>
    <cellStyle name="Input 203" xfId="31081"/>
    <cellStyle name="Input 204" xfId="31082"/>
    <cellStyle name="Input 205" xfId="31083"/>
    <cellStyle name="Input 206" xfId="31084"/>
    <cellStyle name="Input 207" xfId="31085"/>
    <cellStyle name="Input 208" xfId="31086"/>
    <cellStyle name="Input 209" xfId="31087"/>
    <cellStyle name="Input 21" xfId="31088"/>
    <cellStyle name="Input 21 2" xfId="31089"/>
    <cellStyle name="Input 21 2 2" xfId="31090"/>
    <cellStyle name="Input 21 2 2 2" xfId="31091"/>
    <cellStyle name="Input 21 2 3" xfId="31092"/>
    <cellStyle name="Input 21 3" xfId="31093"/>
    <cellStyle name="Input 21 3 2" xfId="31094"/>
    <cellStyle name="Input 21 3 3" xfId="31095"/>
    <cellStyle name="Input 21 4" xfId="31096"/>
    <cellStyle name="Input 21 5" xfId="31097"/>
    <cellStyle name="Input 21 6" xfId="31098"/>
    <cellStyle name="Input 21_Dakota Panel" xfId="31099"/>
    <cellStyle name="Input 210" xfId="31100"/>
    <cellStyle name="Input 211" xfId="31101"/>
    <cellStyle name="Input 212" xfId="31102"/>
    <cellStyle name="Input 213" xfId="31103"/>
    <cellStyle name="Input 214" xfId="31104"/>
    <cellStyle name="Input 215" xfId="31105"/>
    <cellStyle name="Input 216" xfId="31106"/>
    <cellStyle name="Input 217" xfId="31107"/>
    <cellStyle name="Input 218" xfId="31108"/>
    <cellStyle name="Input 219" xfId="31109"/>
    <cellStyle name="Input 22" xfId="31110"/>
    <cellStyle name="Input 22 2" xfId="31111"/>
    <cellStyle name="Input 22 2 2" xfId="31112"/>
    <cellStyle name="Input 22 2 2 2" xfId="31113"/>
    <cellStyle name="Input 22 2 3" xfId="31114"/>
    <cellStyle name="Input 22 3" xfId="31115"/>
    <cellStyle name="Input 22 3 2" xfId="31116"/>
    <cellStyle name="Input 22 3 3" xfId="31117"/>
    <cellStyle name="Input 22 4" xfId="31118"/>
    <cellStyle name="Input 22 5" xfId="31119"/>
    <cellStyle name="Input 22 6" xfId="31120"/>
    <cellStyle name="Input 22_Dakota Panel" xfId="31121"/>
    <cellStyle name="Input 220" xfId="31122"/>
    <cellStyle name="Input 221" xfId="31123"/>
    <cellStyle name="Input 222" xfId="31124"/>
    <cellStyle name="Input 223" xfId="31125"/>
    <cellStyle name="Input 224" xfId="31126"/>
    <cellStyle name="Input 225" xfId="31127"/>
    <cellStyle name="Input 226" xfId="31128"/>
    <cellStyle name="Input 227" xfId="31129"/>
    <cellStyle name="Input 228" xfId="31130"/>
    <cellStyle name="Input 229" xfId="31131"/>
    <cellStyle name="Input 23" xfId="31132"/>
    <cellStyle name="Input 23 2" xfId="31133"/>
    <cellStyle name="Input 23 2 2" xfId="31134"/>
    <cellStyle name="Input 23 2 2 2" xfId="31135"/>
    <cellStyle name="Input 23 2 3" xfId="31136"/>
    <cellStyle name="Input 23 3" xfId="31137"/>
    <cellStyle name="Input 23 3 2" xfId="31138"/>
    <cellStyle name="Input 23 3 3" xfId="31139"/>
    <cellStyle name="Input 23 4" xfId="31140"/>
    <cellStyle name="Input 23 5" xfId="31141"/>
    <cellStyle name="Input 23 6" xfId="31142"/>
    <cellStyle name="Input 23_Dakota Panel" xfId="31143"/>
    <cellStyle name="Input 230" xfId="31144"/>
    <cellStyle name="Input 231" xfId="31145"/>
    <cellStyle name="Input 232" xfId="31146"/>
    <cellStyle name="Input 233" xfId="31147"/>
    <cellStyle name="Input 234" xfId="31148"/>
    <cellStyle name="Input 235" xfId="31149"/>
    <cellStyle name="Input 236" xfId="31150"/>
    <cellStyle name="Input 237" xfId="31151"/>
    <cellStyle name="Input 238" xfId="31152"/>
    <cellStyle name="Input 239" xfId="31153"/>
    <cellStyle name="Input 24" xfId="31154"/>
    <cellStyle name="Input 24 2" xfId="31155"/>
    <cellStyle name="Input 24 2 2" xfId="31156"/>
    <cellStyle name="Input 24 2 2 2" xfId="31157"/>
    <cellStyle name="Input 24 2 3" xfId="31158"/>
    <cellStyle name="Input 24 3" xfId="31159"/>
    <cellStyle name="Input 24 3 2" xfId="31160"/>
    <cellStyle name="Input 24 3 3" xfId="31161"/>
    <cellStyle name="Input 24 4" xfId="31162"/>
    <cellStyle name="Input 24 5" xfId="31163"/>
    <cellStyle name="Input 24 6" xfId="31164"/>
    <cellStyle name="Input 24_Dakota Panel" xfId="31165"/>
    <cellStyle name="Input 240" xfId="31166"/>
    <cellStyle name="Input 241" xfId="31167"/>
    <cellStyle name="Input 242" xfId="31168"/>
    <cellStyle name="Input 243" xfId="31169"/>
    <cellStyle name="Input 244" xfId="31170"/>
    <cellStyle name="Input 245" xfId="31171"/>
    <cellStyle name="Input 246" xfId="31172"/>
    <cellStyle name="Input 247" xfId="31173"/>
    <cellStyle name="Input 248" xfId="31174"/>
    <cellStyle name="Input 249" xfId="31175"/>
    <cellStyle name="Input 25" xfId="31176"/>
    <cellStyle name="Input 25 2" xfId="31177"/>
    <cellStyle name="Input 25 2 2" xfId="31178"/>
    <cellStyle name="Input 25 2 2 2" xfId="31179"/>
    <cellStyle name="Input 25 2 3" xfId="31180"/>
    <cellStyle name="Input 25 3" xfId="31181"/>
    <cellStyle name="Input 25 3 2" xfId="31182"/>
    <cellStyle name="Input 25 3 3" xfId="31183"/>
    <cellStyle name="Input 25 4" xfId="31184"/>
    <cellStyle name="Input 25 5" xfId="31185"/>
    <cellStyle name="Input 25 6" xfId="31186"/>
    <cellStyle name="Input 25_Dakota Panel" xfId="31187"/>
    <cellStyle name="Input 250" xfId="31188"/>
    <cellStyle name="Input 251" xfId="31189"/>
    <cellStyle name="Input 252" xfId="31190"/>
    <cellStyle name="Input 253" xfId="31191"/>
    <cellStyle name="Input 254" xfId="31192"/>
    <cellStyle name="Input 255" xfId="31193"/>
    <cellStyle name="Input 256" xfId="31194"/>
    <cellStyle name="Input 257" xfId="31195"/>
    <cellStyle name="Input 258" xfId="31196"/>
    <cellStyle name="Input 259" xfId="31197"/>
    <cellStyle name="Input 26" xfId="31198"/>
    <cellStyle name="Input 26 2" xfId="31199"/>
    <cellStyle name="Input 26 2 2" xfId="31200"/>
    <cellStyle name="Input 26 2 2 2" xfId="31201"/>
    <cellStyle name="Input 26 2 3" xfId="31202"/>
    <cellStyle name="Input 26 3" xfId="31203"/>
    <cellStyle name="Input 26 3 2" xfId="31204"/>
    <cellStyle name="Input 26 3 3" xfId="31205"/>
    <cellStyle name="Input 26 4" xfId="31206"/>
    <cellStyle name="Input 26 5" xfId="31207"/>
    <cellStyle name="Input 26 6" xfId="31208"/>
    <cellStyle name="Input 26_Dakota Panel" xfId="31209"/>
    <cellStyle name="Input 260" xfId="31210"/>
    <cellStyle name="Input 261" xfId="31211"/>
    <cellStyle name="Input 262" xfId="31212"/>
    <cellStyle name="Input 263" xfId="31213"/>
    <cellStyle name="Input 264" xfId="31214"/>
    <cellStyle name="Input 265" xfId="31215"/>
    <cellStyle name="Input 266" xfId="31216"/>
    <cellStyle name="Input 267" xfId="31217"/>
    <cellStyle name="Input 268" xfId="31218"/>
    <cellStyle name="Input 269" xfId="31219"/>
    <cellStyle name="Input 27" xfId="31220"/>
    <cellStyle name="Input 27 2" xfId="31221"/>
    <cellStyle name="Input 27 2 2" xfId="31222"/>
    <cellStyle name="Input 27 2 2 2" xfId="31223"/>
    <cellStyle name="Input 27 2 3" xfId="31224"/>
    <cellStyle name="Input 27 3" xfId="31225"/>
    <cellStyle name="Input 27 3 2" xfId="31226"/>
    <cellStyle name="Input 27 3 3" xfId="31227"/>
    <cellStyle name="Input 27 4" xfId="31228"/>
    <cellStyle name="Input 27 5" xfId="31229"/>
    <cellStyle name="Input 27 6" xfId="31230"/>
    <cellStyle name="Input 27_Dakota Panel" xfId="31231"/>
    <cellStyle name="Input 270" xfId="31232"/>
    <cellStyle name="Input 271" xfId="31233"/>
    <cellStyle name="Input 272" xfId="31234"/>
    <cellStyle name="Input 273" xfId="31235"/>
    <cellStyle name="Input 274" xfId="31236"/>
    <cellStyle name="Input 275" xfId="31237"/>
    <cellStyle name="Input 276" xfId="31238"/>
    <cellStyle name="Input 277" xfId="31239"/>
    <cellStyle name="Input 278" xfId="31240"/>
    <cellStyle name="Input 279" xfId="31241"/>
    <cellStyle name="Input 28" xfId="31242"/>
    <cellStyle name="Input 28 2" xfId="31243"/>
    <cellStyle name="Input 28 2 2" xfId="31244"/>
    <cellStyle name="Input 28 2 2 2" xfId="31245"/>
    <cellStyle name="Input 28 2 3" xfId="31246"/>
    <cellStyle name="Input 28 3" xfId="31247"/>
    <cellStyle name="Input 28 3 2" xfId="31248"/>
    <cellStyle name="Input 28 4" xfId="31249"/>
    <cellStyle name="Input 28 5" xfId="31250"/>
    <cellStyle name="Input 28_Dakota Panel" xfId="31251"/>
    <cellStyle name="Input 280" xfId="31252"/>
    <cellStyle name="Input 281" xfId="31253"/>
    <cellStyle name="Input 282" xfId="31254"/>
    <cellStyle name="Input 283" xfId="31255"/>
    <cellStyle name="Input 284" xfId="31256"/>
    <cellStyle name="Input 285" xfId="31257"/>
    <cellStyle name="Input 286" xfId="31258"/>
    <cellStyle name="Input 287" xfId="31259"/>
    <cellStyle name="Input 288" xfId="31260"/>
    <cellStyle name="Input 29" xfId="31261"/>
    <cellStyle name="Input 29 2" xfId="31262"/>
    <cellStyle name="Input 29 2 2" xfId="31263"/>
    <cellStyle name="Input 29 2 2 2" xfId="31264"/>
    <cellStyle name="Input 29 2 3" xfId="31265"/>
    <cellStyle name="Input 29 3" xfId="31266"/>
    <cellStyle name="Input 29 3 2" xfId="31267"/>
    <cellStyle name="Input 29 4" xfId="31268"/>
    <cellStyle name="Input 29 5" xfId="31269"/>
    <cellStyle name="Input 29_Dakota Panel" xfId="31270"/>
    <cellStyle name="Input 3" xfId="2971"/>
    <cellStyle name="Input 3 10" xfId="2972"/>
    <cellStyle name="Input 3 2" xfId="2973"/>
    <cellStyle name="Input 3 2 2" xfId="31271"/>
    <cellStyle name="Input 3 2 2 2" xfId="31272"/>
    <cellStyle name="Input 3 2 2 3" xfId="31273"/>
    <cellStyle name="Input 3 2 3" xfId="31274"/>
    <cellStyle name="Input 3 2 3 2" xfId="31275"/>
    <cellStyle name="Input 3 2 4" xfId="31276"/>
    <cellStyle name="Input 3 2 4 2" xfId="31277"/>
    <cellStyle name="Input 3 2 5" xfId="31278"/>
    <cellStyle name="Input 3 2 6" xfId="31279"/>
    <cellStyle name="Input 3 3" xfId="2974"/>
    <cellStyle name="Input 3 3 2" xfId="2975"/>
    <cellStyle name="Input 3 3 2 2" xfId="2976"/>
    <cellStyle name="Input 3 3 2 2 2" xfId="2977"/>
    <cellStyle name="Input 3 3 2 2 2 2" xfId="2978"/>
    <cellStyle name="Input 3 3 2 2 2 3" xfId="2979"/>
    <cellStyle name="Input 3 3 2 2 3" xfId="2980"/>
    <cellStyle name="Input 3 3 2 2 3 2" xfId="2981"/>
    <cellStyle name="Input 3 3 2 2 3 3" xfId="2982"/>
    <cellStyle name="Input 3 3 2 2 4" xfId="2983"/>
    <cellStyle name="Input 3 3 2 2 4 2" xfId="2984"/>
    <cellStyle name="Input 3 3 2 2 4 3" xfId="2985"/>
    <cellStyle name="Input 3 3 2 2 5" xfId="2986"/>
    <cellStyle name="Input 3 3 2 2 5 2" xfId="2987"/>
    <cellStyle name="Input 3 3 2 2 5 3" xfId="2988"/>
    <cellStyle name="Input 3 3 2 2 6" xfId="2989"/>
    <cellStyle name="Input 3 3 2 2 6 2" xfId="2990"/>
    <cellStyle name="Input 3 3 2 2 6 3" xfId="2991"/>
    <cellStyle name="Input 3 3 2 2 7" xfId="2992"/>
    <cellStyle name="Input 3 3 2 2 8" xfId="2993"/>
    <cellStyle name="Input 3 3 2 3" xfId="2994"/>
    <cellStyle name="Input 3 3 2 3 2" xfId="2995"/>
    <cellStyle name="Input 3 3 2 3 3" xfId="2996"/>
    <cellStyle name="Input 3 3 2 4" xfId="2997"/>
    <cellStyle name="Input 3 3 2 4 2" xfId="2998"/>
    <cellStyle name="Input 3 3 2 4 3" xfId="2999"/>
    <cellStyle name="Input 3 3 2 5" xfId="3000"/>
    <cellStyle name="Input 3 3 2 5 2" xfId="3001"/>
    <cellStyle name="Input 3 3 2 5 3" xfId="3002"/>
    <cellStyle name="Input 3 3 2 6" xfId="3003"/>
    <cellStyle name="Input 3 3 2 6 2" xfId="3004"/>
    <cellStyle name="Input 3 3 2 6 3" xfId="3005"/>
    <cellStyle name="Input 3 3 2 7" xfId="3006"/>
    <cellStyle name="Input 3 3 2 7 2" xfId="3007"/>
    <cellStyle name="Input 3 3 2 7 3" xfId="3008"/>
    <cellStyle name="Input 3 3 2 8" xfId="3009"/>
    <cellStyle name="Input 3 3 2 9" xfId="3010"/>
    <cellStyle name="Input 3 3 3" xfId="3011"/>
    <cellStyle name="Input 3 3 3 2" xfId="3012"/>
    <cellStyle name="Input 3 3 3 2 2" xfId="3013"/>
    <cellStyle name="Input 3 3 3 2 3" xfId="3014"/>
    <cellStyle name="Input 3 3 3 3" xfId="3015"/>
    <cellStyle name="Input 3 3 3 3 2" xfId="3016"/>
    <cellStyle name="Input 3 3 3 3 3" xfId="3017"/>
    <cellStyle name="Input 3 3 3 4" xfId="3018"/>
    <cellStyle name="Input 3 3 3 4 2" xfId="3019"/>
    <cellStyle name="Input 3 3 3 4 3" xfId="3020"/>
    <cellStyle name="Input 3 3 3 5" xfId="3021"/>
    <cellStyle name="Input 3 3 3 5 2" xfId="3022"/>
    <cellStyle name="Input 3 3 3 5 3" xfId="3023"/>
    <cellStyle name="Input 3 3 3 6" xfId="3024"/>
    <cellStyle name="Input 3 3 3 6 2" xfId="3025"/>
    <cellStyle name="Input 3 3 3 6 3" xfId="3026"/>
    <cellStyle name="Input 3 3 3 7" xfId="3027"/>
    <cellStyle name="Input 3 3 3 8" xfId="3028"/>
    <cellStyle name="Input 3 3 4" xfId="3029"/>
    <cellStyle name="Input 3 3 4 2" xfId="3030"/>
    <cellStyle name="Input 3 3 4 3" xfId="3031"/>
    <cellStyle name="Input 3 3 5" xfId="3032"/>
    <cellStyle name="Input 3 3 5 2" xfId="3033"/>
    <cellStyle name="Input 3 3 5 3" xfId="3034"/>
    <cellStyle name="Input 3 3 6" xfId="3035"/>
    <cellStyle name="Input 3 3 6 2" xfId="3036"/>
    <cellStyle name="Input 3 3 6 3" xfId="3037"/>
    <cellStyle name="Input 3 3 7" xfId="3038"/>
    <cellStyle name="Input 3 3 8" xfId="3039"/>
    <cellStyle name="Input 3 4" xfId="3040"/>
    <cellStyle name="Input 3 4 2" xfId="3041"/>
    <cellStyle name="Input 3 4 2 2" xfId="3042"/>
    <cellStyle name="Input 3 4 2 2 2" xfId="3043"/>
    <cellStyle name="Input 3 4 2 2 3" xfId="3044"/>
    <cellStyle name="Input 3 4 2 3" xfId="3045"/>
    <cellStyle name="Input 3 4 2 3 2" xfId="3046"/>
    <cellStyle name="Input 3 4 2 3 3" xfId="3047"/>
    <cellStyle name="Input 3 4 2 4" xfId="3048"/>
    <cellStyle name="Input 3 4 2 4 2" xfId="3049"/>
    <cellStyle name="Input 3 4 2 4 3" xfId="3050"/>
    <cellStyle name="Input 3 4 2 5" xfId="3051"/>
    <cellStyle name="Input 3 4 2 5 2" xfId="3052"/>
    <cellStyle name="Input 3 4 2 5 3" xfId="3053"/>
    <cellStyle name="Input 3 4 2 6" xfId="3054"/>
    <cellStyle name="Input 3 4 2 6 2" xfId="3055"/>
    <cellStyle name="Input 3 4 2 6 3" xfId="3056"/>
    <cellStyle name="Input 3 4 2 7" xfId="3057"/>
    <cellStyle name="Input 3 4 2 8" xfId="3058"/>
    <cellStyle name="Input 3 4 3" xfId="3059"/>
    <cellStyle name="Input 3 4 3 2" xfId="3060"/>
    <cellStyle name="Input 3 4 3 3" xfId="3061"/>
    <cellStyle name="Input 3 4 4" xfId="3062"/>
    <cellStyle name="Input 3 4 4 2" xfId="3063"/>
    <cellStyle name="Input 3 4 4 3" xfId="3064"/>
    <cellStyle name="Input 3 4 5" xfId="3065"/>
    <cellStyle name="Input 3 4 5 2" xfId="3066"/>
    <cellStyle name="Input 3 4 5 3" xfId="3067"/>
    <cellStyle name="Input 3 4 6" xfId="3068"/>
    <cellStyle name="Input 3 4 6 2" xfId="3069"/>
    <cellStyle name="Input 3 4 6 3" xfId="3070"/>
    <cellStyle name="Input 3 4 7" xfId="3071"/>
    <cellStyle name="Input 3 4 7 2" xfId="3072"/>
    <cellStyle name="Input 3 4 7 3" xfId="3073"/>
    <cellStyle name="Input 3 4 8" xfId="3074"/>
    <cellStyle name="Input 3 4 9" xfId="3075"/>
    <cellStyle name="Input 3 5" xfId="3076"/>
    <cellStyle name="Input 3 5 2" xfId="3077"/>
    <cellStyle name="Input 3 5 2 2" xfId="3078"/>
    <cellStyle name="Input 3 5 2 3" xfId="3079"/>
    <cellStyle name="Input 3 5 3" xfId="3080"/>
    <cellStyle name="Input 3 5 3 2" xfId="3081"/>
    <cellStyle name="Input 3 5 3 3" xfId="3082"/>
    <cellStyle name="Input 3 5 4" xfId="3083"/>
    <cellStyle name="Input 3 5 4 2" xfId="3084"/>
    <cellStyle name="Input 3 5 4 3" xfId="3085"/>
    <cellStyle name="Input 3 5 5" xfId="3086"/>
    <cellStyle name="Input 3 5 5 2" xfId="3087"/>
    <cellStyle name="Input 3 5 5 3" xfId="3088"/>
    <cellStyle name="Input 3 5 6" xfId="3089"/>
    <cellStyle name="Input 3 5 6 2" xfId="3090"/>
    <cellStyle name="Input 3 5 6 3" xfId="3091"/>
    <cellStyle name="Input 3 5 7" xfId="3092"/>
    <cellStyle name="Input 3 5 8" xfId="3093"/>
    <cellStyle name="Input 3 6" xfId="3094"/>
    <cellStyle name="Input 3 6 2" xfId="3095"/>
    <cellStyle name="Input 3 6 3" xfId="3096"/>
    <cellStyle name="Input 3 7" xfId="3097"/>
    <cellStyle name="Input 3 7 2" xfId="3098"/>
    <cellStyle name="Input 3 7 3" xfId="3099"/>
    <cellStyle name="Input 3 8" xfId="3100"/>
    <cellStyle name="Input 3 8 2" xfId="3101"/>
    <cellStyle name="Input 3 8 3" xfId="3102"/>
    <cellStyle name="Input 3 9" xfId="3103"/>
    <cellStyle name="Input 3_1-10 BHU IS" xfId="31280"/>
    <cellStyle name="Input 30" xfId="31281"/>
    <cellStyle name="Input 30 2" xfId="31282"/>
    <cellStyle name="Input 30 2 2" xfId="31283"/>
    <cellStyle name="Input 30 2 2 2" xfId="31284"/>
    <cellStyle name="Input 30 2 3" xfId="31285"/>
    <cellStyle name="Input 30 3" xfId="31286"/>
    <cellStyle name="Input 30 3 2" xfId="31287"/>
    <cellStyle name="Input 30 4" xfId="31288"/>
    <cellStyle name="Input 30 5" xfId="31289"/>
    <cellStyle name="Input 30_Dakota Panel" xfId="31290"/>
    <cellStyle name="Input 31" xfId="31291"/>
    <cellStyle name="Input 31 2" xfId="31292"/>
    <cellStyle name="Input 31 2 2" xfId="31293"/>
    <cellStyle name="Input 31 2 2 2" xfId="31294"/>
    <cellStyle name="Input 31 2 3" xfId="31295"/>
    <cellStyle name="Input 31 3" xfId="31296"/>
    <cellStyle name="Input 31 3 2" xfId="31297"/>
    <cellStyle name="Input 31 4" xfId="31298"/>
    <cellStyle name="Input 31 5" xfId="31299"/>
    <cellStyle name="Input 31_Dakota Panel" xfId="31300"/>
    <cellStyle name="Input 32" xfId="31301"/>
    <cellStyle name="Input 32 2" xfId="31302"/>
    <cellStyle name="Input 32 2 2" xfId="31303"/>
    <cellStyle name="Input 32 2 2 2" xfId="31304"/>
    <cellStyle name="Input 32 2 3" xfId="31305"/>
    <cellStyle name="Input 32 3" xfId="31306"/>
    <cellStyle name="Input 32 3 2" xfId="31307"/>
    <cellStyle name="Input 32 4" xfId="31308"/>
    <cellStyle name="Input 32 5" xfId="31309"/>
    <cellStyle name="Input 32_Dakota Panel" xfId="31310"/>
    <cellStyle name="Input 33" xfId="31311"/>
    <cellStyle name="Input 33 2" xfId="31312"/>
    <cellStyle name="Input 33 2 2" xfId="31313"/>
    <cellStyle name="Input 33 2 2 2" xfId="31314"/>
    <cellStyle name="Input 33 2 3" xfId="31315"/>
    <cellStyle name="Input 33 3" xfId="31316"/>
    <cellStyle name="Input 33 3 2" xfId="31317"/>
    <cellStyle name="Input 33 4" xfId="31318"/>
    <cellStyle name="Input 33 5" xfId="31319"/>
    <cellStyle name="Input 33_Dakota Panel" xfId="31320"/>
    <cellStyle name="Input 34" xfId="31321"/>
    <cellStyle name="Input 34 2" xfId="31322"/>
    <cellStyle name="Input 34 2 2" xfId="31323"/>
    <cellStyle name="Input 34 2 2 2" xfId="31324"/>
    <cellStyle name="Input 34 2 3" xfId="31325"/>
    <cellStyle name="Input 34 3" xfId="31326"/>
    <cellStyle name="Input 34 3 2" xfId="31327"/>
    <cellStyle name="Input 34 4" xfId="31328"/>
    <cellStyle name="Input 34 5" xfId="31329"/>
    <cellStyle name="Input 34_Dakota Panel" xfId="31330"/>
    <cellStyle name="Input 35" xfId="31331"/>
    <cellStyle name="Input 35 2" xfId="31332"/>
    <cellStyle name="Input 35 2 2" xfId="31333"/>
    <cellStyle name="Input 35 2 2 2" xfId="31334"/>
    <cellStyle name="Input 35 2 3" xfId="31335"/>
    <cellStyle name="Input 35 3" xfId="31336"/>
    <cellStyle name="Input 35 3 2" xfId="31337"/>
    <cellStyle name="Input 35 4" xfId="31338"/>
    <cellStyle name="Input 35 5" xfId="31339"/>
    <cellStyle name="Input 35_Dakota Panel" xfId="31340"/>
    <cellStyle name="Input 36" xfId="31341"/>
    <cellStyle name="Input 36 2" xfId="31342"/>
    <cellStyle name="Input 36 2 2" xfId="31343"/>
    <cellStyle name="Input 36 2 2 2" xfId="31344"/>
    <cellStyle name="Input 36 2 3" xfId="31345"/>
    <cellStyle name="Input 36 3" xfId="31346"/>
    <cellStyle name="Input 36 3 2" xfId="31347"/>
    <cellStyle name="Input 36 4" xfId="31348"/>
    <cellStyle name="Input 36 5" xfId="31349"/>
    <cellStyle name="Input 36_Dakota Panel" xfId="31350"/>
    <cellStyle name="Input 37" xfId="31351"/>
    <cellStyle name="Input 37 2" xfId="31352"/>
    <cellStyle name="Input 37 2 2" xfId="31353"/>
    <cellStyle name="Input 37 2 2 2" xfId="31354"/>
    <cellStyle name="Input 37 2 3" xfId="31355"/>
    <cellStyle name="Input 37 3" xfId="31356"/>
    <cellStyle name="Input 37 3 2" xfId="31357"/>
    <cellStyle name="Input 37 4" xfId="31358"/>
    <cellStyle name="Input 37 5" xfId="31359"/>
    <cellStyle name="Input 37_Dakota Panel" xfId="31360"/>
    <cellStyle name="Input 38" xfId="31361"/>
    <cellStyle name="Input 38 2" xfId="31362"/>
    <cellStyle name="Input 38 2 2" xfId="31363"/>
    <cellStyle name="Input 38 2 2 2" xfId="31364"/>
    <cellStyle name="Input 38 2 3" xfId="31365"/>
    <cellStyle name="Input 38 3" xfId="31366"/>
    <cellStyle name="Input 38 3 2" xfId="31367"/>
    <cellStyle name="Input 38 4" xfId="31368"/>
    <cellStyle name="Input 38_Dakota Panel" xfId="31369"/>
    <cellStyle name="Input 39" xfId="31370"/>
    <cellStyle name="Input 39 2" xfId="31371"/>
    <cellStyle name="Input 39 2 2" xfId="31372"/>
    <cellStyle name="Input 39 2 2 2" xfId="31373"/>
    <cellStyle name="Input 39 2 3" xfId="31374"/>
    <cellStyle name="Input 39 3" xfId="31375"/>
    <cellStyle name="Input 39 3 2" xfId="31376"/>
    <cellStyle name="Input 39 4" xfId="31377"/>
    <cellStyle name="Input 39_Dakota Panel" xfId="31378"/>
    <cellStyle name="Input 4" xfId="3104"/>
    <cellStyle name="Input 4 2" xfId="3105"/>
    <cellStyle name="Input 4 2 2" xfId="3106"/>
    <cellStyle name="Input 4 2 2 2" xfId="3107"/>
    <cellStyle name="Input 4 2 2 2 2" xfId="3108"/>
    <cellStyle name="Input 4 2 2 2 2 2" xfId="3109"/>
    <cellStyle name="Input 4 2 2 2 2 3" xfId="3110"/>
    <cellStyle name="Input 4 2 2 2 3" xfId="3111"/>
    <cellStyle name="Input 4 2 2 2 3 2" xfId="3112"/>
    <cellStyle name="Input 4 2 2 2 3 3" xfId="3113"/>
    <cellStyle name="Input 4 2 2 2 4" xfId="3114"/>
    <cellStyle name="Input 4 2 2 2 4 2" xfId="3115"/>
    <cellStyle name="Input 4 2 2 2 4 3" xfId="3116"/>
    <cellStyle name="Input 4 2 2 2 5" xfId="3117"/>
    <cellStyle name="Input 4 2 2 2 5 2" xfId="3118"/>
    <cellStyle name="Input 4 2 2 2 5 3" xfId="3119"/>
    <cellStyle name="Input 4 2 2 2 6" xfId="3120"/>
    <cellStyle name="Input 4 2 2 2 6 2" xfId="3121"/>
    <cellStyle name="Input 4 2 2 2 6 3" xfId="3122"/>
    <cellStyle name="Input 4 2 2 2 7" xfId="3123"/>
    <cellStyle name="Input 4 2 2 2 8" xfId="3124"/>
    <cellStyle name="Input 4 2 2 3" xfId="3125"/>
    <cellStyle name="Input 4 2 2 3 2" xfId="3126"/>
    <cellStyle name="Input 4 2 2 3 3" xfId="3127"/>
    <cellStyle name="Input 4 2 2 4" xfId="3128"/>
    <cellStyle name="Input 4 2 2 4 2" xfId="3129"/>
    <cellStyle name="Input 4 2 2 4 3" xfId="3130"/>
    <cellStyle name="Input 4 2 2 5" xfId="3131"/>
    <cellStyle name="Input 4 2 2 5 2" xfId="3132"/>
    <cellStyle name="Input 4 2 2 5 3" xfId="3133"/>
    <cellStyle name="Input 4 2 2 6" xfId="3134"/>
    <cellStyle name="Input 4 2 2 6 2" xfId="3135"/>
    <cellStyle name="Input 4 2 2 6 3" xfId="3136"/>
    <cellStyle name="Input 4 2 2 7" xfId="3137"/>
    <cellStyle name="Input 4 2 2 7 2" xfId="3138"/>
    <cellStyle name="Input 4 2 2 7 3" xfId="3139"/>
    <cellStyle name="Input 4 2 2 8" xfId="3140"/>
    <cellStyle name="Input 4 2 2 9" xfId="3141"/>
    <cellStyle name="Input 4 2 3" xfId="3142"/>
    <cellStyle name="Input 4 2 3 2" xfId="3143"/>
    <cellStyle name="Input 4 2 3 2 2" xfId="3144"/>
    <cellStyle name="Input 4 2 3 2 3" xfId="3145"/>
    <cellStyle name="Input 4 2 3 3" xfId="3146"/>
    <cellStyle name="Input 4 2 3 3 2" xfId="3147"/>
    <cellStyle name="Input 4 2 3 3 3" xfId="3148"/>
    <cellStyle name="Input 4 2 3 4" xfId="3149"/>
    <cellStyle name="Input 4 2 3 4 2" xfId="3150"/>
    <cellStyle name="Input 4 2 3 4 3" xfId="3151"/>
    <cellStyle name="Input 4 2 3 5" xfId="3152"/>
    <cellStyle name="Input 4 2 3 5 2" xfId="3153"/>
    <cellStyle name="Input 4 2 3 5 3" xfId="3154"/>
    <cellStyle name="Input 4 2 3 6" xfId="3155"/>
    <cellStyle name="Input 4 2 3 6 2" xfId="3156"/>
    <cellStyle name="Input 4 2 3 6 3" xfId="3157"/>
    <cellStyle name="Input 4 2 3 7" xfId="3158"/>
    <cellStyle name="Input 4 2 3 8" xfId="3159"/>
    <cellStyle name="Input 4 2 4" xfId="3160"/>
    <cellStyle name="Input 4 2 4 2" xfId="3161"/>
    <cellStyle name="Input 4 2 4 3" xfId="3162"/>
    <cellStyle name="Input 4 2 5" xfId="3163"/>
    <cellStyle name="Input 4 2 5 2" xfId="3164"/>
    <cellStyle name="Input 4 2 5 3" xfId="3165"/>
    <cellStyle name="Input 4 2 6" xfId="3166"/>
    <cellStyle name="Input 4 2 6 2" xfId="3167"/>
    <cellStyle name="Input 4 2 6 3" xfId="3168"/>
    <cellStyle name="Input 4 2 7" xfId="3169"/>
    <cellStyle name="Input 4 2 8" xfId="3170"/>
    <cellStyle name="Input 4 3" xfId="3171"/>
    <cellStyle name="Input 4 3 2" xfId="31379"/>
    <cellStyle name="Input 4 3 3" xfId="31380"/>
    <cellStyle name="Input 4 4" xfId="3172"/>
    <cellStyle name="Input 4 4 2" xfId="3173"/>
    <cellStyle name="Input 4 4 2 2" xfId="3174"/>
    <cellStyle name="Input 4 4 2 2 2" xfId="3175"/>
    <cellStyle name="Input 4 4 2 2 2 2" xfId="3176"/>
    <cellStyle name="Input 4 4 2 2 2 3" xfId="3177"/>
    <cellStyle name="Input 4 4 2 2 3" xfId="3178"/>
    <cellStyle name="Input 4 4 2 2 3 2" xfId="3179"/>
    <cellStyle name="Input 4 4 2 2 3 3" xfId="3180"/>
    <cellStyle name="Input 4 4 2 2 4" xfId="3181"/>
    <cellStyle name="Input 4 4 2 2 4 2" xfId="3182"/>
    <cellStyle name="Input 4 4 2 2 4 3" xfId="3183"/>
    <cellStyle name="Input 4 4 2 2 5" xfId="3184"/>
    <cellStyle name="Input 4 4 2 2 5 2" xfId="3185"/>
    <cellStyle name="Input 4 4 2 2 5 3" xfId="3186"/>
    <cellStyle name="Input 4 4 2 2 6" xfId="3187"/>
    <cellStyle name="Input 4 4 2 2 6 2" xfId="3188"/>
    <cellStyle name="Input 4 4 2 2 6 3" xfId="3189"/>
    <cellStyle name="Input 4 4 2 2 7" xfId="3190"/>
    <cellStyle name="Input 4 4 2 2 8" xfId="3191"/>
    <cellStyle name="Input 4 4 2 3" xfId="3192"/>
    <cellStyle name="Input 4 4 2 3 2" xfId="3193"/>
    <cellStyle name="Input 4 4 2 3 3" xfId="3194"/>
    <cellStyle name="Input 4 4 2 4" xfId="3195"/>
    <cellStyle name="Input 4 4 2 4 2" xfId="3196"/>
    <cellStyle name="Input 4 4 2 4 3" xfId="3197"/>
    <cellStyle name="Input 4 4 2 5" xfId="3198"/>
    <cellStyle name="Input 4 4 2 5 2" xfId="3199"/>
    <cellStyle name="Input 4 4 2 5 3" xfId="3200"/>
    <cellStyle name="Input 4 4 2 6" xfId="3201"/>
    <cellStyle name="Input 4 4 2 6 2" xfId="3202"/>
    <cellStyle name="Input 4 4 2 6 3" xfId="3203"/>
    <cellStyle name="Input 4 4 2 7" xfId="3204"/>
    <cellStyle name="Input 4 4 2 7 2" xfId="3205"/>
    <cellStyle name="Input 4 4 2 7 3" xfId="3206"/>
    <cellStyle name="Input 4 4 2 8" xfId="3207"/>
    <cellStyle name="Input 4 4 2 9" xfId="3208"/>
    <cellStyle name="Input 4 4 3" xfId="3209"/>
    <cellStyle name="Input 4 4 3 2" xfId="3210"/>
    <cellStyle name="Input 4 4 3 2 2" xfId="3211"/>
    <cellStyle name="Input 4 4 3 2 3" xfId="3212"/>
    <cellStyle name="Input 4 4 3 3" xfId="3213"/>
    <cellStyle name="Input 4 4 3 3 2" xfId="3214"/>
    <cellStyle name="Input 4 4 3 3 3" xfId="3215"/>
    <cellStyle name="Input 4 4 3 4" xfId="3216"/>
    <cellStyle name="Input 4 4 3 4 2" xfId="3217"/>
    <cellStyle name="Input 4 4 3 4 3" xfId="3218"/>
    <cellStyle name="Input 4 4 3 5" xfId="3219"/>
    <cellStyle name="Input 4 4 3 5 2" xfId="3220"/>
    <cellStyle name="Input 4 4 3 5 3" xfId="3221"/>
    <cellStyle name="Input 4 4 3 6" xfId="3222"/>
    <cellStyle name="Input 4 4 3 6 2" xfId="3223"/>
    <cellStyle name="Input 4 4 3 6 3" xfId="3224"/>
    <cellStyle name="Input 4 4 3 7" xfId="3225"/>
    <cellStyle name="Input 4 4 3 8" xfId="3226"/>
    <cellStyle name="Input 4 4 4" xfId="3227"/>
    <cellStyle name="Input 4 4 4 2" xfId="3228"/>
    <cellStyle name="Input 4 4 4 3" xfId="3229"/>
    <cellStyle name="Input 4 4 5" xfId="3230"/>
    <cellStyle name="Input 4 4 5 2" xfId="3231"/>
    <cellStyle name="Input 4 4 5 3" xfId="3232"/>
    <cellStyle name="Input 4 4 6" xfId="3233"/>
    <cellStyle name="Input 4 4 6 2" xfId="3234"/>
    <cellStyle name="Input 4 4 6 3" xfId="3235"/>
    <cellStyle name="Input 4 4 7" xfId="3236"/>
    <cellStyle name="Input 4 4 8" xfId="3237"/>
    <cellStyle name="Input 4 5" xfId="31381"/>
    <cellStyle name="Input 4 5 2" xfId="31382"/>
    <cellStyle name="Input 4 6" xfId="31383"/>
    <cellStyle name="Input 4 7" xfId="31384"/>
    <cellStyle name="Input 4 8" xfId="31385"/>
    <cellStyle name="Input 4_1-10 BHU IS" xfId="31386"/>
    <cellStyle name="Input 40" xfId="31387"/>
    <cellStyle name="Input 40 2" xfId="31388"/>
    <cellStyle name="Input 40 2 2" xfId="31389"/>
    <cellStyle name="Input 40 2 2 2" xfId="31390"/>
    <cellStyle name="Input 40 2 3" xfId="31391"/>
    <cellStyle name="Input 40 3" xfId="31392"/>
    <cellStyle name="Input 40 3 2" xfId="31393"/>
    <cellStyle name="Input 40 4" xfId="31394"/>
    <cellStyle name="Input 40_Dakota Panel" xfId="31395"/>
    <cellStyle name="Input 41" xfId="31396"/>
    <cellStyle name="Input 41 2" xfId="31397"/>
    <cellStyle name="Input 41 2 2" xfId="31398"/>
    <cellStyle name="Input 41 2 2 2" xfId="31399"/>
    <cellStyle name="Input 41 2 3" xfId="31400"/>
    <cellStyle name="Input 41 3" xfId="31401"/>
    <cellStyle name="Input 41 3 2" xfId="31402"/>
    <cellStyle name="Input 41 4" xfId="31403"/>
    <cellStyle name="Input 41_Dakota Panel" xfId="31404"/>
    <cellStyle name="Input 42" xfId="31405"/>
    <cellStyle name="Input 42 2" xfId="31406"/>
    <cellStyle name="Input 42 2 2" xfId="31407"/>
    <cellStyle name="Input 42 2 2 2" xfId="31408"/>
    <cellStyle name="Input 42 2 3" xfId="31409"/>
    <cellStyle name="Input 42 3" xfId="31410"/>
    <cellStyle name="Input 42 3 2" xfId="31411"/>
    <cellStyle name="Input 42 4" xfId="31412"/>
    <cellStyle name="Input 42_Dakota Panel" xfId="31413"/>
    <cellStyle name="Input 43" xfId="31414"/>
    <cellStyle name="Input 43 2" xfId="31415"/>
    <cellStyle name="Input 43 2 2" xfId="31416"/>
    <cellStyle name="Input 43 2 2 2" xfId="31417"/>
    <cellStyle name="Input 43 2 3" xfId="31418"/>
    <cellStyle name="Input 43 3" xfId="31419"/>
    <cellStyle name="Input 43 3 2" xfId="31420"/>
    <cellStyle name="Input 43 4" xfId="31421"/>
    <cellStyle name="Input 43_Dakota Panel" xfId="31422"/>
    <cellStyle name="Input 44" xfId="31423"/>
    <cellStyle name="Input 44 2" xfId="31424"/>
    <cellStyle name="Input 44 2 2" xfId="31425"/>
    <cellStyle name="Input 44 2 2 2" xfId="31426"/>
    <cellStyle name="Input 44 2 3" xfId="31427"/>
    <cellStyle name="Input 44 3" xfId="31428"/>
    <cellStyle name="Input 44 3 2" xfId="31429"/>
    <cellStyle name="Input 44 4" xfId="31430"/>
    <cellStyle name="Input 44_Dakota Panel" xfId="31431"/>
    <cellStyle name="Input 45" xfId="31432"/>
    <cellStyle name="Input 45 2" xfId="31433"/>
    <cellStyle name="Input 45 2 2" xfId="31434"/>
    <cellStyle name="Input 45 2 2 2" xfId="31435"/>
    <cellStyle name="Input 45 2 3" xfId="31436"/>
    <cellStyle name="Input 45 3" xfId="31437"/>
    <cellStyle name="Input 45 3 2" xfId="31438"/>
    <cellStyle name="Input 45 4" xfId="31439"/>
    <cellStyle name="Input 45_Dakota Panel" xfId="31440"/>
    <cellStyle name="Input 46" xfId="31441"/>
    <cellStyle name="Input 46 2" xfId="31442"/>
    <cellStyle name="Input 46 2 2" xfId="31443"/>
    <cellStyle name="Input 46 2 2 2" xfId="31444"/>
    <cellStyle name="Input 46 2 3" xfId="31445"/>
    <cellStyle name="Input 46 3" xfId="31446"/>
    <cellStyle name="Input 46 3 2" xfId="31447"/>
    <cellStyle name="Input 46 4" xfId="31448"/>
    <cellStyle name="Input 46_Dakota Panel" xfId="31449"/>
    <cellStyle name="Input 47" xfId="31450"/>
    <cellStyle name="Input 47 2" xfId="31451"/>
    <cellStyle name="Input 47 2 2" xfId="31452"/>
    <cellStyle name="Input 47 2 2 2" xfId="31453"/>
    <cellStyle name="Input 47 2 3" xfId="31454"/>
    <cellStyle name="Input 47 3" xfId="31455"/>
    <cellStyle name="Input 47 3 2" xfId="31456"/>
    <cellStyle name="Input 47 4" xfId="31457"/>
    <cellStyle name="Input 47_Dakota Panel" xfId="31458"/>
    <cellStyle name="Input 48" xfId="31459"/>
    <cellStyle name="Input 48 2" xfId="31460"/>
    <cellStyle name="Input 48 2 2" xfId="31461"/>
    <cellStyle name="Input 48 3" xfId="31462"/>
    <cellStyle name="Input 48_Dakota Panel" xfId="31463"/>
    <cellStyle name="Input 49" xfId="31464"/>
    <cellStyle name="Input 49 2" xfId="31465"/>
    <cellStyle name="Input 49 2 2" xfId="31466"/>
    <cellStyle name="Input 49 3" xfId="31467"/>
    <cellStyle name="Input 49_Dakota Panel" xfId="31468"/>
    <cellStyle name="Input 5" xfId="3238"/>
    <cellStyle name="Input 5 2" xfId="3239"/>
    <cellStyle name="Input 5 2 2" xfId="31469"/>
    <cellStyle name="Input 5 2 2 2" xfId="31470"/>
    <cellStyle name="Input 5 2 2 3" xfId="31471"/>
    <cellStyle name="Input 5 2 3" xfId="31472"/>
    <cellStyle name="Input 5 2 3 2" xfId="31473"/>
    <cellStyle name="Input 5 2 4" xfId="31474"/>
    <cellStyle name="Input 5 2 4 2" xfId="31475"/>
    <cellStyle name="Input 5 2 5" xfId="31476"/>
    <cellStyle name="Input 5 2 6" xfId="31477"/>
    <cellStyle name="Input 5 3" xfId="3240"/>
    <cellStyle name="Input 5 3 2" xfId="3241"/>
    <cellStyle name="Input 5 3 2 2" xfId="3242"/>
    <cellStyle name="Input 5 3 2 2 2" xfId="3243"/>
    <cellStyle name="Input 5 3 2 2 2 2" xfId="3244"/>
    <cellStyle name="Input 5 3 2 2 2 3" xfId="3245"/>
    <cellStyle name="Input 5 3 2 2 3" xfId="3246"/>
    <cellStyle name="Input 5 3 2 2 3 2" xfId="3247"/>
    <cellStyle name="Input 5 3 2 2 3 3" xfId="3248"/>
    <cellStyle name="Input 5 3 2 2 4" xfId="3249"/>
    <cellStyle name="Input 5 3 2 2 4 2" xfId="3250"/>
    <cellStyle name="Input 5 3 2 2 4 3" xfId="3251"/>
    <cellStyle name="Input 5 3 2 2 5" xfId="3252"/>
    <cellStyle name="Input 5 3 2 2 5 2" xfId="3253"/>
    <cellStyle name="Input 5 3 2 2 5 3" xfId="3254"/>
    <cellStyle name="Input 5 3 2 2 6" xfId="3255"/>
    <cellStyle name="Input 5 3 2 2 6 2" xfId="3256"/>
    <cellStyle name="Input 5 3 2 2 6 3" xfId="3257"/>
    <cellStyle name="Input 5 3 2 2 7" xfId="3258"/>
    <cellStyle name="Input 5 3 2 2 8" xfId="3259"/>
    <cellStyle name="Input 5 3 2 3" xfId="3260"/>
    <cellStyle name="Input 5 3 2 3 2" xfId="3261"/>
    <cellStyle name="Input 5 3 2 3 3" xfId="3262"/>
    <cellStyle name="Input 5 3 2 4" xfId="3263"/>
    <cellStyle name="Input 5 3 2 4 2" xfId="3264"/>
    <cellStyle name="Input 5 3 2 4 3" xfId="3265"/>
    <cellStyle name="Input 5 3 2 5" xfId="3266"/>
    <cellStyle name="Input 5 3 2 5 2" xfId="3267"/>
    <cellStyle name="Input 5 3 2 5 3" xfId="3268"/>
    <cellStyle name="Input 5 3 2 6" xfId="3269"/>
    <cellStyle name="Input 5 3 2 6 2" xfId="3270"/>
    <cellStyle name="Input 5 3 2 6 3" xfId="3271"/>
    <cellStyle name="Input 5 3 2 7" xfId="3272"/>
    <cellStyle name="Input 5 3 2 7 2" xfId="3273"/>
    <cellStyle name="Input 5 3 2 7 3" xfId="3274"/>
    <cellStyle name="Input 5 3 2 8" xfId="3275"/>
    <cellStyle name="Input 5 3 2 9" xfId="3276"/>
    <cellStyle name="Input 5 3 3" xfId="3277"/>
    <cellStyle name="Input 5 3 3 2" xfId="3278"/>
    <cellStyle name="Input 5 3 3 2 2" xfId="3279"/>
    <cellStyle name="Input 5 3 3 2 3" xfId="3280"/>
    <cellStyle name="Input 5 3 3 3" xfId="3281"/>
    <cellStyle name="Input 5 3 3 3 2" xfId="3282"/>
    <cellStyle name="Input 5 3 3 3 3" xfId="3283"/>
    <cellStyle name="Input 5 3 3 4" xfId="3284"/>
    <cellStyle name="Input 5 3 3 4 2" xfId="3285"/>
    <cellStyle name="Input 5 3 3 4 3" xfId="3286"/>
    <cellStyle name="Input 5 3 3 5" xfId="3287"/>
    <cellStyle name="Input 5 3 3 5 2" xfId="3288"/>
    <cellStyle name="Input 5 3 3 5 3" xfId="3289"/>
    <cellStyle name="Input 5 3 3 6" xfId="3290"/>
    <cellStyle name="Input 5 3 3 6 2" xfId="3291"/>
    <cellStyle name="Input 5 3 3 6 3" xfId="3292"/>
    <cellStyle name="Input 5 3 3 7" xfId="3293"/>
    <cellStyle name="Input 5 3 3 8" xfId="3294"/>
    <cellStyle name="Input 5 3 4" xfId="3295"/>
    <cellStyle name="Input 5 3 4 2" xfId="3296"/>
    <cellStyle name="Input 5 3 4 3" xfId="3297"/>
    <cellStyle name="Input 5 3 5" xfId="3298"/>
    <cellStyle name="Input 5 3 5 2" xfId="3299"/>
    <cellStyle name="Input 5 3 5 3" xfId="3300"/>
    <cellStyle name="Input 5 3 6" xfId="3301"/>
    <cellStyle name="Input 5 3 6 2" xfId="3302"/>
    <cellStyle name="Input 5 3 6 3" xfId="3303"/>
    <cellStyle name="Input 5 3 7" xfId="3304"/>
    <cellStyle name="Input 5 3 8" xfId="3305"/>
    <cellStyle name="Input 5 4" xfId="31478"/>
    <cellStyle name="Input 5 4 2" xfId="31479"/>
    <cellStyle name="Input 5 5" xfId="31480"/>
    <cellStyle name="Input 5 5 2" xfId="31481"/>
    <cellStyle name="Input 5 6" xfId="31482"/>
    <cellStyle name="Input 5 7" xfId="31483"/>
    <cellStyle name="Input 5 8" xfId="31484"/>
    <cellStyle name="Input 5_1-10 BHU IS" xfId="31485"/>
    <cellStyle name="Input 50" xfId="31486"/>
    <cellStyle name="Input 50 2" xfId="31487"/>
    <cellStyle name="Input 50 2 2" xfId="31488"/>
    <cellStyle name="Input 50 3" xfId="31489"/>
    <cellStyle name="Input 50_Dakota Panel" xfId="31490"/>
    <cellStyle name="Input 51" xfId="31491"/>
    <cellStyle name="Input 51 2" xfId="31492"/>
    <cellStyle name="Input 51 2 2" xfId="31493"/>
    <cellStyle name="Input 51 3" xfId="31494"/>
    <cellStyle name="Input 51_Dakota Panel" xfId="31495"/>
    <cellStyle name="Input 52" xfId="31496"/>
    <cellStyle name="Input 52 2" xfId="31497"/>
    <cellStyle name="Input 52 2 2" xfId="31498"/>
    <cellStyle name="Input 52 3" xfId="31499"/>
    <cellStyle name="Input 52_Dakota Panel" xfId="31500"/>
    <cellStyle name="Input 53" xfId="31501"/>
    <cellStyle name="Input 53 2" xfId="31502"/>
    <cellStyle name="Input 53 2 2" xfId="31503"/>
    <cellStyle name="Input 53 3" xfId="31504"/>
    <cellStyle name="Input 53_Dakota Panel" xfId="31505"/>
    <cellStyle name="Input 54" xfId="31506"/>
    <cellStyle name="Input 54 2" xfId="31507"/>
    <cellStyle name="Input 54 2 2" xfId="31508"/>
    <cellStyle name="Input 54 3" xfId="31509"/>
    <cellStyle name="Input 54_Dakota Panel" xfId="31510"/>
    <cellStyle name="Input 55" xfId="31511"/>
    <cellStyle name="Input 55 2" xfId="31512"/>
    <cellStyle name="Input 55 2 2" xfId="31513"/>
    <cellStyle name="Input 55 3" xfId="31514"/>
    <cellStyle name="Input 55_Dakota Panel" xfId="31515"/>
    <cellStyle name="Input 56" xfId="31516"/>
    <cellStyle name="Input 56 2" xfId="31517"/>
    <cellStyle name="Input 56 2 2" xfId="31518"/>
    <cellStyle name="Input 56 3" xfId="31519"/>
    <cellStyle name="Input 56_Dakota Panel" xfId="31520"/>
    <cellStyle name="Input 57" xfId="31521"/>
    <cellStyle name="Input 57 2" xfId="31522"/>
    <cellStyle name="Input 57 2 2" xfId="31523"/>
    <cellStyle name="Input 57 3" xfId="31524"/>
    <cellStyle name="Input 57_Dakota Panel" xfId="31525"/>
    <cellStyle name="Input 58" xfId="31526"/>
    <cellStyle name="Input 58 2" xfId="31527"/>
    <cellStyle name="Input 58 2 2" xfId="31528"/>
    <cellStyle name="Input 58 3" xfId="31529"/>
    <cellStyle name="Input 58_Dakota Panel" xfId="31530"/>
    <cellStyle name="Input 59" xfId="31531"/>
    <cellStyle name="Input 59 2" xfId="31532"/>
    <cellStyle name="Input 59 2 2" xfId="31533"/>
    <cellStyle name="Input 59 3" xfId="31534"/>
    <cellStyle name="Input 59_Dakota Panel" xfId="31535"/>
    <cellStyle name="Input 6" xfId="3306"/>
    <cellStyle name="Input 6 2" xfId="3307"/>
    <cellStyle name="Input 6 2 2" xfId="3308"/>
    <cellStyle name="Input 6 2 2 2" xfId="3309"/>
    <cellStyle name="Input 6 2 2 2 2" xfId="3310"/>
    <cellStyle name="Input 6 2 2 2 2 2" xfId="3311"/>
    <cellStyle name="Input 6 2 2 2 2 3" xfId="3312"/>
    <cellStyle name="Input 6 2 2 2 3" xfId="3313"/>
    <cellStyle name="Input 6 2 2 2 3 2" xfId="3314"/>
    <cellStyle name="Input 6 2 2 2 3 3" xfId="3315"/>
    <cellStyle name="Input 6 2 2 2 4" xfId="3316"/>
    <cellStyle name="Input 6 2 2 2 4 2" xfId="3317"/>
    <cellStyle name="Input 6 2 2 2 4 3" xfId="3318"/>
    <cellStyle name="Input 6 2 2 2 5" xfId="3319"/>
    <cellStyle name="Input 6 2 2 2 5 2" xfId="3320"/>
    <cellStyle name="Input 6 2 2 2 5 3" xfId="3321"/>
    <cellStyle name="Input 6 2 2 2 6" xfId="3322"/>
    <cellStyle name="Input 6 2 2 2 6 2" xfId="3323"/>
    <cellStyle name="Input 6 2 2 2 6 3" xfId="3324"/>
    <cellStyle name="Input 6 2 2 2 7" xfId="3325"/>
    <cellStyle name="Input 6 2 2 2 8" xfId="3326"/>
    <cellStyle name="Input 6 2 2 3" xfId="3327"/>
    <cellStyle name="Input 6 2 2 3 2" xfId="3328"/>
    <cellStyle name="Input 6 2 2 3 3" xfId="3329"/>
    <cellStyle name="Input 6 2 2 4" xfId="3330"/>
    <cellStyle name="Input 6 2 2 4 2" xfId="3331"/>
    <cellStyle name="Input 6 2 2 4 3" xfId="3332"/>
    <cellStyle name="Input 6 2 2 5" xfId="3333"/>
    <cellStyle name="Input 6 2 2 5 2" xfId="3334"/>
    <cellStyle name="Input 6 2 2 5 3" xfId="3335"/>
    <cellStyle name="Input 6 2 2 6" xfId="3336"/>
    <cellStyle name="Input 6 2 2 6 2" xfId="3337"/>
    <cellStyle name="Input 6 2 2 6 3" xfId="3338"/>
    <cellStyle name="Input 6 2 2 7" xfId="3339"/>
    <cellStyle name="Input 6 2 2 7 2" xfId="3340"/>
    <cellStyle name="Input 6 2 2 7 3" xfId="3341"/>
    <cellStyle name="Input 6 2 2 8" xfId="3342"/>
    <cellStyle name="Input 6 2 2 9" xfId="3343"/>
    <cellStyle name="Input 6 2 3" xfId="3344"/>
    <cellStyle name="Input 6 2 3 2" xfId="3345"/>
    <cellStyle name="Input 6 2 3 2 2" xfId="3346"/>
    <cellStyle name="Input 6 2 3 2 3" xfId="3347"/>
    <cellStyle name="Input 6 2 3 3" xfId="3348"/>
    <cellStyle name="Input 6 2 3 3 2" xfId="3349"/>
    <cellStyle name="Input 6 2 3 3 3" xfId="3350"/>
    <cellStyle name="Input 6 2 3 4" xfId="3351"/>
    <cellStyle name="Input 6 2 3 4 2" xfId="3352"/>
    <cellStyle name="Input 6 2 3 4 3" xfId="3353"/>
    <cellStyle name="Input 6 2 3 5" xfId="3354"/>
    <cellStyle name="Input 6 2 3 5 2" xfId="3355"/>
    <cellStyle name="Input 6 2 3 5 3" xfId="3356"/>
    <cellStyle name="Input 6 2 3 6" xfId="3357"/>
    <cellStyle name="Input 6 2 3 6 2" xfId="3358"/>
    <cellStyle name="Input 6 2 3 6 3" xfId="3359"/>
    <cellStyle name="Input 6 2 3 7" xfId="3360"/>
    <cellStyle name="Input 6 2 3 8" xfId="3361"/>
    <cellStyle name="Input 6 2 4" xfId="3362"/>
    <cellStyle name="Input 6 2 4 2" xfId="3363"/>
    <cellStyle name="Input 6 2 4 3" xfId="3364"/>
    <cellStyle name="Input 6 2 5" xfId="3365"/>
    <cellStyle name="Input 6 2 5 2" xfId="3366"/>
    <cellStyle name="Input 6 2 5 3" xfId="3367"/>
    <cellStyle name="Input 6 2 6" xfId="3368"/>
    <cellStyle name="Input 6 2 6 2" xfId="3369"/>
    <cellStyle name="Input 6 2 6 3" xfId="3370"/>
    <cellStyle name="Input 6 2 7" xfId="3371"/>
    <cellStyle name="Input 6 2 8" xfId="3372"/>
    <cellStyle name="Input 6 3" xfId="31536"/>
    <cellStyle name="Input 6 3 2" xfId="31537"/>
    <cellStyle name="Input 6 3 3" xfId="31538"/>
    <cellStyle name="Input 6 4" xfId="31539"/>
    <cellStyle name="Input 6 4 2" xfId="31540"/>
    <cellStyle name="Input 6 5" xfId="31541"/>
    <cellStyle name="Input 6 5 2" xfId="31542"/>
    <cellStyle name="Input 6 6" xfId="31543"/>
    <cellStyle name="Input 6 7" xfId="31544"/>
    <cellStyle name="Input 6 8" xfId="31545"/>
    <cellStyle name="Input 6_Dakota Panel" xfId="31546"/>
    <cellStyle name="Input 60" xfId="31547"/>
    <cellStyle name="Input 60 2" xfId="31548"/>
    <cellStyle name="Input 60 2 2" xfId="31549"/>
    <cellStyle name="Input 60 3" xfId="31550"/>
    <cellStyle name="Input 60_Dakota Panel" xfId="31551"/>
    <cellStyle name="Input 61" xfId="31552"/>
    <cellStyle name="Input 61 2" xfId="31553"/>
    <cellStyle name="Input 61 2 2" xfId="31554"/>
    <cellStyle name="Input 61 3" xfId="31555"/>
    <cellStyle name="Input 61_Dakota Panel" xfId="31556"/>
    <cellStyle name="Input 62" xfId="31557"/>
    <cellStyle name="Input 62 2" xfId="31558"/>
    <cellStyle name="Input 62 2 2" xfId="31559"/>
    <cellStyle name="Input 62 3" xfId="31560"/>
    <cellStyle name="Input 62_Dakota Panel" xfId="31561"/>
    <cellStyle name="Input 63" xfId="31562"/>
    <cellStyle name="Input 63 2" xfId="31563"/>
    <cellStyle name="Input 63 2 2" xfId="31564"/>
    <cellStyle name="Input 63 3" xfId="31565"/>
    <cellStyle name="Input 63_Dakota Panel" xfId="31566"/>
    <cellStyle name="Input 64" xfId="31567"/>
    <cellStyle name="Input 64 2" xfId="31568"/>
    <cellStyle name="Input 64 2 2" xfId="31569"/>
    <cellStyle name="Input 64 3" xfId="31570"/>
    <cellStyle name="Input 64_Dakota Panel" xfId="31571"/>
    <cellStyle name="Input 65" xfId="31572"/>
    <cellStyle name="Input 65 2" xfId="31573"/>
    <cellStyle name="Input 65 2 2" xfId="31574"/>
    <cellStyle name="Input 65 3" xfId="31575"/>
    <cellStyle name="Input 65_Dakota Panel" xfId="31576"/>
    <cellStyle name="Input 66" xfId="31577"/>
    <cellStyle name="Input 66 2" xfId="31578"/>
    <cellStyle name="Input 66 2 2" xfId="31579"/>
    <cellStyle name="Input 66 3" xfId="31580"/>
    <cellStyle name="Input 66_Dakota Panel" xfId="31581"/>
    <cellStyle name="Input 67" xfId="31582"/>
    <cellStyle name="Input 67 2" xfId="31583"/>
    <cellStyle name="Input 67 2 2" xfId="31584"/>
    <cellStyle name="Input 67 3" xfId="31585"/>
    <cellStyle name="Input 67_Dakota Panel" xfId="31586"/>
    <cellStyle name="Input 68" xfId="31587"/>
    <cellStyle name="Input 68 2" xfId="31588"/>
    <cellStyle name="Input 68 2 2" xfId="31589"/>
    <cellStyle name="Input 68 3" xfId="31590"/>
    <cellStyle name="Input 68_Dakota Panel" xfId="31591"/>
    <cellStyle name="Input 69" xfId="31592"/>
    <cellStyle name="Input 69 2" xfId="31593"/>
    <cellStyle name="Input 69 2 2" xfId="31594"/>
    <cellStyle name="Input 69 3" xfId="31595"/>
    <cellStyle name="Input 69_Dakota Panel" xfId="31596"/>
    <cellStyle name="Input 7" xfId="3373"/>
    <cellStyle name="Input 7 2" xfId="3374"/>
    <cellStyle name="Input 7 2 2" xfId="3375"/>
    <cellStyle name="Input 7 2 2 2" xfId="3376"/>
    <cellStyle name="Input 7 2 2 2 2" xfId="3377"/>
    <cellStyle name="Input 7 2 2 2 2 2" xfId="3378"/>
    <cellStyle name="Input 7 2 2 2 2 3" xfId="3379"/>
    <cellStyle name="Input 7 2 2 2 3" xfId="3380"/>
    <cellStyle name="Input 7 2 2 2 3 2" xfId="3381"/>
    <cellStyle name="Input 7 2 2 2 3 3" xfId="3382"/>
    <cellStyle name="Input 7 2 2 2 4" xfId="3383"/>
    <cellStyle name="Input 7 2 2 2 4 2" xfId="3384"/>
    <cellStyle name="Input 7 2 2 2 4 3" xfId="3385"/>
    <cellStyle name="Input 7 2 2 2 5" xfId="3386"/>
    <cellStyle name="Input 7 2 2 2 5 2" xfId="3387"/>
    <cellStyle name="Input 7 2 2 2 5 3" xfId="3388"/>
    <cellStyle name="Input 7 2 2 2 6" xfId="3389"/>
    <cellStyle name="Input 7 2 2 2 6 2" xfId="3390"/>
    <cellStyle name="Input 7 2 2 2 6 3" xfId="3391"/>
    <cellStyle name="Input 7 2 2 2 7" xfId="3392"/>
    <cellStyle name="Input 7 2 2 2 8" xfId="3393"/>
    <cellStyle name="Input 7 2 2 3" xfId="3394"/>
    <cellStyle name="Input 7 2 2 3 2" xfId="3395"/>
    <cellStyle name="Input 7 2 2 3 3" xfId="3396"/>
    <cellStyle name="Input 7 2 2 4" xfId="3397"/>
    <cellStyle name="Input 7 2 2 4 2" xfId="3398"/>
    <cellStyle name="Input 7 2 2 4 3" xfId="3399"/>
    <cellStyle name="Input 7 2 2 5" xfId="3400"/>
    <cellStyle name="Input 7 2 2 5 2" xfId="3401"/>
    <cellStyle name="Input 7 2 2 5 3" xfId="3402"/>
    <cellStyle name="Input 7 2 2 6" xfId="3403"/>
    <cellStyle name="Input 7 2 2 6 2" xfId="3404"/>
    <cellStyle name="Input 7 2 2 6 3" xfId="3405"/>
    <cellStyle name="Input 7 2 2 7" xfId="3406"/>
    <cellStyle name="Input 7 2 2 7 2" xfId="3407"/>
    <cellStyle name="Input 7 2 2 7 3" xfId="3408"/>
    <cellStyle name="Input 7 2 2 8" xfId="3409"/>
    <cellStyle name="Input 7 2 2 9" xfId="3410"/>
    <cellStyle name="Input 7 2 3" xfId="3411"/>
    <cellStyle name="Input 7 2 3 2" xfId="3412"/>
    <cellStyle name="Input 7 2 3 2 2" xfId="3413"/>
    <cellStyle name="Input 7 2 3 2 3" xfId="3414"/>
    <cellStyle name="Input 7 2 3 3" xfId="3415"/>
    <cellStyle name="Input 7 2 3 3 2" xfId="3416"/>
    <cellStyle name="Input 7 2 3 3 3" xfId="3417"/>
    <cellStyle name="Input 7 2 3 4" xfId="3418"/>
    <cellStyle name="Input 7 2 3 4 2" xfId="3419"/>
    <cellStyle name="Input 7 2 3 4 3" xfId="3420"/>
    <cellStyle name="Input 7 2 3 5" xfId="3421"/>
    <cellStyle name="Input 7 2 3 5 2" xfId="3422"/>
    <cellStyle name="Input 7 2 3 5 3" xfId="3423"/>
    <cellStyle name="Input 7 2 3 6" xfId="3424"/>
    <cellStyle name="Input 7 2 3 6 2" xfId="3425"/>
    <cellStyle name="Input 7 2 3 6 3" xfId="3426"/>
    <cellStyle name="Input 7 2 3 7" xfId="3427"/>
    <cellStyle name="Input 7 2 3 8" xfId="3428"/>
    <cellStyle name="Input 7 2 4" xfId="3429"/>
    <cellStyle name="Input 7 2 4 2" xfId="3430"/>
    <cellStyle name="Input 7 2 4 3" xfId="3431"/>
    <cellStyle name="Input 7 2 5" xfId="3432"/>
    <cellStyle name="Input 7 2 5 2" xfId="3433"/>
    <cellStyle name="Input 7 2 5 3" xfId="3434"/>
    <cellStyle name="Input 7 2 6" xfId="3435"/>
    <cellStyle name="Input 7 2 6 2" xfId="3436"/>
    <cellStyle name="Input 7 2 6 3" xfId="3437"/>
    <cellStyle name="Input 7 2 7" xfId="3438"/>
    <cellStyle name="Input 7 2 8" xfId="3439"/>
    <cellStyle name="Input 7 3" xfId="31597"/>
    <cellStyle name="Input 7 3 2" xfId="31598"/>
    <cellStyle name="Input 7 3 3" xfId="31599"/>
    <cellStyle name="Input 7 4" xfId="31600"/>
    <cellStyle name="Input 7 4 2" xfId="31601"/>
    <cellStyle name="Input 7 5" xfId="31602"/>
    <cellStyle name="Input 7 5 2" xfId="31603"/>
    <cellStyle name="Input 7 6" xfId="31604"/>
    <cellStyle name="Input 7 7" xfId="31605"/>
    <cellStyle name="Input 7 8" xfId="31606"/>
    <cellStyle name="Input 7_Dakota Panel" xfId="31607"/>
    <cellStyle name="Input 70" xfId="31608"/>
    <cellStyle name="Input 70 2" xfId="31609"/>
    <cellStyle name="Input 70 2 2" xfId="31610"/>
    <cellStyle name="Input 70 3" xfId="31611"/>
    <cellStyle name="Input 70_Dakota Panel" xfId="31612"/>
    <cellStyle name="Input 71" xfId="31613"/>
    <cellStyle name="Input 71 2" xfId="31614"/>
    <cellStyle name="Input 71 2 2" xfId="31615"/>
    <cellStyle name="Input 71 3" xfId="31616"/>
    <cellStyle name="Input 71_Dakota Panel" xfId="31617"/>
    <cellStyle name="Input 72" xfId="31618"/>
    <cellStyle name="Input 72 2" xfId="31619"/>
    <cellStyle name="Input 72 2 2" xfId="31620"/>
    <cellStyle name="Input 72 3" xfId="31621"/>
    <cellStyle name="Input 72_Dakota Panel" xfId="31622"/>
    <cellStyle name="Input 73" xfId="31623"/>
    <cellStyle name="Input 73 2" xfId="31624"/>
    <cellStyle name="Input 73 2 2" xfId="31625"/>
    <cellStyle name="Input 73 3" xfId="31626"/>
    <cellStyle name="Input 73_Dakota Panel" xfId="31627"/>
    <cellStyle name="Input 74" xfId="31628"/>
    <cellStyle name="Input 74 2" xfId="31629"/>
    <cellStyle name="Input 74 2 2" xfId="31630"/>
    <cellStyle name="Input 74 3" xfId="31631"/>
    <cellStyle name="Input 74_Dakota Panel" xfId="31632"/>
    <cellStyle name="Input 75" xfId="31633"/>
    <cellStyle name="Input 75 2" xfId="31634"/>
    <cellStyle name="Input 75 2 2" xfId="31635"/>
    <cellStyle name="Input 75 3" xfId="31636"/>
    <cellStyle name="Input 75_Dakota Panel" xfId="31637"/>
    <cellStyle name="Input 76" xfId="31638"/>
    <cellStyle name="Input 76 2" xfId="31639"/>
    <cellStyle name="Input 76 2 2" xfId="31640"/>
    <cellStyle name="Input 76 3" xfId="31641"/>
    <cellStyle name="Input 76_Dakota Panel" xfId="31642"/>
    <cellStyle name="Input 77" xfId="31643"/>
    <cellStyle name="Input 77 2" xfId="31644"/>
    <cellStyle name="Input 77 2 2" xfId="31645"/>
    <cellStyle name="Input 77 3" xfId="31646"/>
    <cellStyle name="Input 77_Dakota Panel" xfId="31647"/>
    <cellStyle name="Input 78" xfId="31648"/>
    <cellStyle name="Input 78 2" xfId="31649"/>
    <cellStyle name="Input 78 2 2" xfId="31650"/>
    <cellStyle name="Input 78 3" xfId="31651"/>
    <cellStyle name="Input 78_Dakota Panel" xfId="31652"/>
    <cellStyle name="Input 79" xfId="31653"/>
    <cellStyle name="Input 79 2" xfId="31654"/>
    <cellStyle name="Input 79 2 2" xfId="31655"/>
    <cellStyle name="Input 79 3" xfId="31656"/>
    <cellStyle name="Input 79_Dakota Panel" xfId="31657"/>
    <cellStyle name="Input 8" xfId="3440"/>
    <cellStyle name="Input 8 2" xfId="3441"/>
    <cellStyle name="Input 8 2 2" xfId="3442"/>
    <cellStyle name="Input 8 2 2 2" xfId="3443"/>
    <cellStyle name="Input 8 2 2 2 2" xfId="3444"/>
    <cellStyle name="Input 8 2 2 2 2 2" xfId="3445"/>
    <cellStyle name="Input 8 2 2 2 2 3" xfId="3446"/>
    <cellStyle name="Input 8 2 2 2 3" xfId="3447"/>
    <cellStyle name="Input 8 2 2 2 3 2" xfId="3448"/>
    <cellStyle name="Input 8 2 2 2 3 3" xfId="3449"/>
    <cellStyle name="Input 8 2 2 2 4" xfId="3450"/>
    <cellStyle name="Input 8 2 2 2 4 2" xfId="3451"/>
    <cellStyle name="Input 8 2 2 2 4 3" xfId="3452"/>
    <cellStyle name="Input 8 2 2 2 5" xfId="3453"/>
    <cellStyle name="Input 8 2 2 2 5 2" xfId="3454"/>
    <cellStyle name="Input 8 2 2 2 5 3" xfId="3455"/>
    <cellStyle name="Input 8 2 2 2 6" xfId="3456"/>
    <cellStyle name="Input 8 2 2 2 6 2" xfId="3457"/>
    <cellStyle name="Input 8 2 2 2 6 3" xfId="3458"/>
    <cellStyle name="Input 8 2 2 2 7" xfId="3459"/>
    <cellStyle name="Input 8 2 2 2 8" xfId="3460"/>
    <cellStyle name="Input 8 2 2 3" xfId="3461"/>
    <cellStyle name="Input 8 2 2 3 2" xfId="3462"/>
    <cellStyle name="Input 8 2 2 3 3" xfId="3463"/>
    <cellStyle name="Input 8 2 2 4" xfId="3464"/>
    <cellStyle name="Input 8 2 2 4 2" xfId="3465"/>
    <cellStyle name="Input 8 2 2 4 3" xfId="3466"/>
    <cellStyle name="Input 8 2 2 5" xfId="3467"/>
    <cellStyle name="Input 8 2 2 5 2" xfId="3468"/>
    <cellStyle name="Input 8 2 2 5 3" xfId="3469"/>
    <cellStyle name="Input 8 2 2 6" xfId="3470"/>
    <cellStyle name="Input 8 2 2 6 2" xfId="3471"/>
    <cellStyle name="Input 8 2 2 6 3" xfId="3472"/>
    <cellStyle name="Input 8 2 2 7" xfId="3473"/>
    <cellStyle name="Input 8 2 2 7 2" xfId="3474"/>
    <cellStyle name="Input 8 2 2 7 3" xfId="3475"/>
    <cellStyle name="Input 8 2 2 8" xfId="3476"/>
    <cellStyle name="Input 8 2 2 9" xfId="3477"/>
    <cellStyle name="Input 8 2 3" xfId="3478"/>
    <cellStyle name="Input 8 2 3 2" xfId="3479"/>
    <cellStyle name="Input 8 2 3 2 2" xfId="3480"/>
    <cellStyle name="Input 8 2 3 2 3" xfId="3481"/>
    <cellStyle name="Input 8 2 3 3" xfId="3482"/>
    <cellStyle name="Input 8 2 3 3 2" xfId="3483"/>
    <cellStyle name="Input 8 2 3 3 3" xfId="3484"/>
    <cellStyle name="Input 8 2 3 4" xfId="3485"/>
    <cellStyle name="Input 8 2 3 4 2" xfId="3486"/>
    <cellStyle name="Input 8 2 3 4 3" xfId="3487"/>
    <cellStyle name="Input 8 2 3 5" xfId="3488"/>
    <cellStyle name="Input 8 2 3 5 2" xfId="3489"/>
    <cellStyle name="Input 8 2 3 5 3" xfId="3490"/>
    <cellStyle name="Input 8 2 3 6" xfId="3491"/>
    <cellStyle name="Input 8 2 3 6 2" xfId="3492"/>
    <cellStyle name="Input 8 2 3 6 3" xfId="3493"/>
    <cellStyle name="Input 8 2 3 7" xfId="3494"/>
    <cellStyle name="Input 8 2 3 8" xfId="3495"/>
    <cellStyle name="Input 8 2 4" xfId="3496"/>
    <cellStyle name="Input 8 2 4 2" xfId="3497"/>
    <cellStyle name="Input 8 2 4 3" xfId="3498"/>
    <cellStyle name="Input 8 2 5" xfId="3499"/>
    <cellStyle name="Input 8 2 5 2" xfId="3500"/>
    <cellStyle name="Input 8 2 5 3" xfId="3501"/>
    <cellStyle name="Input 8 2 6" xfId="3502"/>
    <cellStyle name="Input 8 2 6 2" xfId="3503"/>
    <cellStyle name="Input 8 2 6 3" xfId="3504"/>
    <cellStyle name="Input 8 2 7" xfId="3505"/>
    <cellStyle name="Input 8 2 8" xfId="3506"/>
    <cellStyle name="Input 8 3" xfId="31658"/>
    <cellStyle name="Input 8 3 2" xfId="31659"/>
    <cellStyle name="Input 8 3 3" xfId="31660"/>
    <cellStyle name="Input 8 4" xfId="31661"/>
    <cellStyle name="Input 8 4 2" xfId="31662"/>
    <cellStyle name="Input 8 5" xfId="31663"/>
    <cellStyle name="Input 8 5 2" xfId="31664"/>
    <cellStyle name="Input 8 6" xfId="31665"/>
    <cellStyle name="Input 8 7" xfId="31666"/>
    <cellStyle name="Input 8 8" xfId="31667"/>
    <cellStyle name="Input 8_Dakota Panel" xfId="31668"/>
    <cellStyle name="Input 80" xfId="31669"/>
    <cellStyle name="Input 80 2" xfId="31670"/>
    <cellStyle name="Input 80 2 2" xfId="31671"/>
    <cellStyle name="Input 80 3" xfId="31672"/>
    <cellStyle name="Input 80_Dakota Panel" xfId="31673"/>
    <cellStyle name="Input 81" xfId="31674"/>
    <cellStyle name="Input 81 2" xfId="31675"/>
    <cellStyle name="Input 81 2 2" xfId="31676"/>
    <cellStyle name="Input 81 3" xfId="31677"/>
    <cellStyle name="Input 81_Dakota Panel" xfId="31678"/>
    <cellStyle name="Input 82" xfId="31679"/>
    <cellStyle name="Input 82 2" xfId="31680"/>
    <cellStyle name="Input 82 2 2" xfId="31681"/>
    <cellStyle name="Input 82 3" xfId="31682"/>
    <cellStyle name="Input 82_Dakota Panel" xfId="31683"/>
    <cellStyle name="Input 83" xfId="31684"/>
    <cellStyle name="Input 83 2" xfId="31685"/>
    <cellStyle name="Input 83 2 2" xfId="31686"/>
    <cellStyle name="Input 83 3" xfId="31687"/>
    <cellStyle name="Input 83_Dakota Panel" xfId="31688"/>
    <cellStyle name="Input 84" xfId="31689"/>
    <cellStyle name="Input 84 2" xfId="31690"/>
    <cellStyle name="Input 84 2 2" xfId="31691"/>
    <cellStyle name="Input 84 3" xfId="31692"/>
    <cellStyle name="Input 84_Dakota Panel" xfId="31693"/>
    <cellStyle name="Input 85" xfId="31694"/>
    <cellStyle name="Input 85 2" xfId="31695"/>
    <cellStyle name="Input 85 2 2" xfId="31696"/>
    <cellStyle name="Input 85 3" xfId="31697"/>
    <cellStyle name="Input 85_Dakota Panel" xfId="31698"/>
    <cellStyle name="Input 86" xfId="31699"/>
    <cellStyle name="Input 86 2" xfId="31700"/>
    <cellStyle name="Input 86 2 2" xfId="31701"/>
    <cellStyle name="Input 86 3" xfId="31702"/>
    <cellStyle name="Input 86_Dakota Panel" xfId="31703"/>
    <cellStyle name="Input 87" xfId="31704"/>
    <cellStyle name="Input 87 2" xfId="31705"/>
    <cellStyle name="Input 87 2 2" xfId="31706"/>
    <cellStyle name="Input 87 3" xfId="31707"/>
    <cellStyle name="Input 87_Dakota Panel" xfId="31708"/>
    <cellStyle name="Input 88" xfId="31709"/>
    <cellStyle name="Input 88 2" xfId="31710"/>
    <cellStyle name="Input 88 2 2" xfId="31711"/>
    <cellStyle name="Input 88 3" xfId="31712"/>
    <cellStyle name="Input 88_Dakota Panel" xfId="31713"/>
    <cellStyle name="Input 89" xfId="31714"/>
    <cellStyle name="Input 89 2" xfId="31715"/>
    <cellStyle name="Input 89 2 2" xfId="31716"/>
    <cellStyle name="Input 89 3" xfId="31717"/>
    <cellStyle name="Input 89_Dakota Panel" xfId="31718"/>
    <cellStyle name="Input 9" xfId="3507"/>
    <cellStyle name="Input 9 2" xfId="3508"/>
    <cellStyle name="Input 9 2 2" xfId="3509"/>
    <cellStyle name="Input 9 2 2 2" xfId="3510"/>
    <cellStyle name="Input 9 2 2 2 2" xfId="3511"/>
    <cellStyle name="Input 9 2 2 2 3" xfId="3512"/>
    <cellStyle name="Input 9 2 2 3" xfId="3513"/>
    <cellStyle name="Input 9 2 2 3 2" xfId="3514"/>
    <cellStyle name="Input 9 2 2 3 3" xfId="3515"/>
    <cellStyle name="Input 9 2 2 4" xfId="3516"/>
    <cellStyle name="Input 9 2 2 4 2" xfId="3517"/>
    <cellStyle name="Input 9 2 2 4 3" xfId="3518"/>
    <cellStyle name="Input 9 2 2 5" xfId="3519"/>
    <cellStyle name="Input 9 2 2 5 2" xfId="3520"/>
    <cellStyle name="Input 9 2 2 5 3" xfId="3521"/>
    <cellStyle name="Input 9 2 2 6" xfId="3522"/>
    <cellStyle name="Input 9 2 2 6 2" xfId="3523"/>
    <cellStyle name="Input 9 2 2 6 3" xfId="3524"/>
    <cellStyle name="Input 9 2 2 7" xfId="3525"/>
    <cellStyle name="Input 9 2 2 8" xfId="3526"/>
    <cellStyle name="Input 9 2 3" xfId="3527"/>
    <cellStyle name="Input 9 2 3 2" xfId="3528"/>
    <cellStyle name="Input 9 2 3 3" xfId="3529"/>
    <cellStyle name="Input 9 2 4" xfId="3530"/>
    <cellStyle name="Input 9 2 4 2" xfId="3531"/>
    <cellStyle name="Input 9 2 4 3" xfId="3532"/>
    <cellStyle name="Input 9 2 5" xfId="3533"/>
    <cellStyle name="Input 9 2 5 2" xfId="3534"/>
    <cellStyle name="Input 9 2 5 3" xfId="3535"/>
    <cellStyle name="Input 9 2 6" xfId="3536"/>
    <cellStyle name="Input 9 2 6 2" xfId="3537"/>
    <cellStyle name="Input 9 2 6 3" xfId="3538"/>
    <cellStyle name="Input 9 2 7" xfId="3539"/>
    <cellStyle name="Input 9 2 7 2" xfId="3540"/>
    <cellStyle name="Input 9 2 7 3" xfId="3541"/>
    <cellStyle name="Input 9 2 8" xfId="3542"/>
    <cellStyle name="Input 9 2 9" xfId="3543"/>
    <cellStyle name="Input 9 3" xfId="3544"/>
    <cellStyle name="Input 9 3 2" xfId="3545"/>
    <cellStyle name="Input 9 3 2 2" xfId="3546"/>
    <cellStyle name="Input 9 3 2 3" xfId="3547"/>
    <cellStyle name="Input 9 3 3" xfId="3548"/>
    <cellStyle name="Input 9 3 3 2" xfId="3549"/>
    <cellStyle name="Input 9 3 3 3" xfId="3550"/>
    <cellStyle name="Input 9 3 4" xfId="3551"/>
    <cellStyle name="Input 9 3 4 2" xfId="3552"/>
    <cellStyle name="Input 9 3 4 3" xfId="3553"/>
    <cellStyle name="Input 9 3 5" xfId="3554"/>
    <cellStyle name="Input 9 3 5 2" xfId="3555"/>
    <cellStyle name="Input 9 3 5 3" xfId="3556"/>
    <cellStyle name="Input 9 3 6" xfId="3557"/>
    <cellStyle name="Input 9 3 6 2" xfId="3558"/>
    <cellStyle name="Input 9 3 6 3" xfId="3559"/>
    <cellStyle name="Input 9 3 7" xfId="3560"/>
    <cellStyle name="Input 9 3 8" xfId="3561"/>
    <cellStyle name="Input 9 4" xfId="3562"/>
    <cellStyle name="Input 9 4 2" xfId="3563"/>
    <cellStyle name="Input 9 4 3" xfId="3564"/>
    <cellStyle name="Input 9 5" xfId="3565"/>
    <cellStyle name="Input 9 5 2" xfId="3566"/>
    <cellStyle name="Input 9 5 3" xfId="3567"/>
    <cellStyle name="Input 9 6" xfId="3568"/>
    <cellStyle name="Input 9 6 2" xfId="3569"/>
    <cellStyle name="Input 9 6 3" xfId="3570"/>
    <cellStyle name="Input 9 7" xfId="3571"/>
    <cellStyle name="Input 9 8" xfId="3572"/>
    <cellStyle name="Input 9_Dakota Panel" xfId="31719"/>
    <cellStyle name="Input 90" xfId="31720"/>
    <cellStyle name="Input 90 2" xfId="31721"/>
    <cellStyle name="Input 90 2 2" xfId="31722"/>
    <cellStyle name="Input 90 3" xfId="31723"/>
    <cellStyle name="Input 90_Dakota Panel" xfId="31724"/>
    <cellStyle name="Input 91" xfId="31725"/>
    <cellStyle name="Input 91 2" xfId="31726"/>
    <cellStyle name="Input 91 2 2" xfId="31727"/>
    <cellStyle name="Input 91 3" xfId="31728"/>
    <cellStyle name="Input 91_Dakota Panel" xfId="31729"/>
    <cellStyle name="Input 92" xfId="31730"/>
    <cellStyle name="Input 92 2" xfId="31731"/>
    <cellStyle name="Input 92 2 2" xfId="31732"/>
    <cellStyle name="Input 92 3" xfId="31733"/>
    <cellStyle name="Input 92_Dakota Panel" xfId="31734"/>
    <cellStyle name="Input 93" xfId="31735"/>
    <cellStyle name="Input 93 2" xfId="31736"/>
    <cellStyle name="Input 93 2 2" xfId="31737"/>
    <cellStyle name="Input 93 3" xfId="31738"/>
    <cellStyle name="Input 93_Dakota Panel" xfId="31739"/>
    <cellStyle name="Input 94" xfId="31740"/>
    <cellStyle name="Input 94 2" xfId="31741"/>
    <cellStyle name="Input 94 2 2" xfId="31742"/>
    <cellStyle name="Input 94 3" xfId="31743"/>
    <cellStyle name="Input 94_Dakota Panel" xfId="31744"/>
    <cellStyle name="Input 95" xfId="31745"/>
    <cellStyle name="Input 95 2" xfId="31746"/>
    <cellStyle name="Input 95 2 2" xfId="31747"/>
    <cellStyle name="Input 95 3" xfId="31748"/>
    <cellStyle name="Input 95_Dakota Panel" xfId="31749"/>
    <cellStyle name="Input 96" xfId="31750"/>
    <cellStyle name="Input 96 2" xfId="31751"/>
    <cellStyle name="Input 96 2 2" xfId="31752"/>
    <cellStyle name="Input 96 3" xfId="31753"/>
    <cellStyle name="Input 96_Dakota Panel" xfId="31754"/>
    <cellStyle name="Input 97" xfId="31755"/>
    <cellStyle name="Input 97 2" xfId="31756"/>
    <cellStyle name="Input 97 2 2" xfId="31757"/>
    <cellStyle name="Input 97 3" xfId="31758"/>
    <cellStyle name="Input 97_Dakota Panel" xfId="31759"/>
    <cellStyle name="Input 98" xfId="31760"/>
    <cellStyle name="Input 98 2" xfId="31761"/>
    <cellStyle name="Input 98 2 2" xfId="31762"/>
    <cellStyle name="Input 98 3" xfId="31763"/>
    <cellStyle name="Input 98_Dakota Panel" xfId="31764"/>
    <cellStyle name="Input 99" xfId="31765"/>
    <cellStyle name="Input 99 2" xfId="31766"/>
    <cellStyle name="Input 99 2 2" xfId="31767"/>
    <cellStyle name="Input 99 3" xfId="31768"/>
    <cellStyle name="Input 99_Dakota Panel" xfId="31769"/>
    <cellStyle name="InputCell" xfId="3573"/>
    <cellStyle name="InputCell 2" xfId="3574"/>
    <cellStyle name="Jim" xfId="3575"/>
    <cellStyle name="Label" xfId="3576"/>
    <cellStyle name="Label 2" xfId="3577"/>
    <cellStyle name="Lines" xfId="31770"/>
    <cellStyle name="Lines 2" xfId="31771"/>
    <cellStyle name="Lines 2 2" xfId="31772"/>
    <cellStyle name="Lines 2 3" xfId="31773"/>
    <cellStyle name="Lines 2 4" xfId="31774"/>
    <cellStyle name="Lines 3" xfId="31775"/>
    <cellStyle name="Lines 3 2" xfId="31776"/>
    <cellStyle name="Lines 4" xfId="31777"/>
    <cellStyle name="Lines 5" xfId="31778"/>
    <cellStyle name="Link Currency (0)" xfId="3578"/>
    <cellStyle name="Link Currency (2)" xfId="3579"/>
    <cellStyle name="Link Units (0)" xfId="3580"/>
    <cellStyle name="Link Units (1)" xfId="3581"/>
    <cellStyle name="Link Units (2)" xfId="3582"/>
    <cellStyle name="Linked Cell 10" xfId="31779"/>
    <cellStyle name="Linked Cell 10 2" xfId="31780"/>
    <cellStyle name="Linked Cell 10 2 2" xfId="31781"/>
    <cellStyle name="Linked Cell 10 2 3" xfId="31782"/>
    <cellStyle name="Linked Cell 10 3" xfId="31783"/>
    <cellStyle name="Linked Cell 10 3 2" xfId="31784"/>
    <cellStyle name="Linked Cell 10 4" xfId="31785"/>
    <cellStyle name="Linked Cell 11" xfId="31786"/>
    <cellStyle name="Linked Cell 11 2" xfId="31787"/>
    <cellStyle name="Linked Cell 11 2 2" xfId="31788"/>
    <cellStyle name="Linked Cell 11 2 3" xfId="31789"/>
    <cellStyle name="Linked Cell 11 3" xfId="31790"/>
    <cellStyle name="Linked Cell 11 3 2" xfId="31791"/>
    <cellStyle name="Linked Cell 11 4" xfId="31792"/>
    <cellStyle name="Linked Cell 12" xfId="31793"/>
    <cellStyle name="Linked Cell 12 2" xfId="31794"/>
    <cellStyle name="Linked Cell 12 2 2" xfId="31795"/>
    <cellStyle name="Linked Cell 12 3" xfId="31796"/>
    <cellStyle name="Linked Cell 13" xfId="31797"/>
    <cellStyle name="Linked Cell 13 2" xfId="31798"/>
    <cellStyle name="Linked Cell 13 2 2" xfId="31799"/>
    <cellStyle name="Linked Cell 13 3" xfId="31800"/>
    <cellStyle name="Linked Cell 14" xfId="31801"/>
    <cellStyle name="Linked Cell 14 2" xfId="31802"/>
    <cellStyle name="Linked Cell 14 2 2" xfId="31803"/>
    <cellStyle name="Linked Cell 14 3" xfId="31804"/>
    <cellStyle name="Linked Cell 15" xfId="31805"/>
    <cellStyle name="Linked Cell 15 2" xfId="31806"/>
    <cellStyle name="Linked Cell 15 2 2" xfId="31807"/>
    <cellStyle name="Linked Cell 15 3" xfId="31808"/>
    <cellStyle name="Linked Cell 16" xfId="31809"/>
    <cellStyle name="Linked Cell 16 2" xfId="31810"/>
    <cellStyle name="Linked Cell 16 3" xfId="31811"/>
    <cellStyle name="Linked Cell 17" xfId="31812"/>
    <cellStyle name="Linked Cell 18" xfId="31813"/>
    <cellStyle name="Linked Cell 2" xfId="85"/>
    <cellStyle name="Linked Cell 2 10" xfId="31814"/>
    <cellStyle name="Linked Cell 2 10 2" xfId="31815"/>
    <cellStyle name="Linked Cell 2 10 3" xfId="31816"/>
    <cellStyle name="Linked Cell 2 11" xfId="31817"/>
    <cellStyle name="Linked Cell 2 11 2" xfId="31818"/>
    <cellStyle name="Linked Cell 2 11 3" xfId="31819"/>
    <cellStyle name="Linked Cell 2 12" xfId="31820"/>
    <cellStyle name="Linked Cell 2 12 2" xfId="31821"/>
    <cellStyle name="Linked Cell 2 12 3" xfId="31822"/>
    <cellStyle name="Linked Cell 2 13" xfId="31823"/>
    <cellStyle name="Linked Cell 2 13 2" xfId="31824"/>
    <cellStyle name="Linked Cell 2 14" xfId="31825"/>
    <cellStyle name="Linked Cell 2 14 2" xfId="31826"/>
    <cellStyle name="Linked Cell 2 15" xfId="31827"/>
    <cellStyle name="Linked Cell 2 16" xfId="31828"/>
    <cellStyle name="Linked Cell 2 2" xfId="3583"/>
    <cellStyle name="Linked Cell 2 2 10" xfId="31829"/>
    <cellStyle name="Linked Cell 2 2 10 2" xfId="31830"/>
    <cellStyle name="Linked Cell 2 2 10 3" xfId="31831"/>
    <cellStyle name="Linked Cell 2 2 11" xfId="31832"/>
    <cellStyle name="Linked Cell 2 2 11 2" xfId="31833"/>
    <cellStyle name="Linked Cell 2 2 12" xfId="31834"/>
    <cellStyle name="Linked Cell 2 2 13" xfId="31835"/>
    <cellStyle name="Linked Cell 2 2 2" xfId="31836"/>
    <cellStyle name="Linked Cell 2 2 2 10" xfId="31837"/>
    <cellStyle name="Linked Cell 2 2 2 10 2" xfId="31838"/>
    <cellStyle name="Linked Cell 2 2 2 10 3" xfId="31839"/>
    <cellStyle name="Linked Cell 2 2 2 11" xfId="31840"/>
    <cellStyle name="Linked Cell 2 2 2 12" xfId="31841"/>
    <cellStyle name="Linked Cell 2 2 2 2" xfId="31842"/>
    <cellStyle name="Linked Cell 2 2 2 2 2" xfId="31843"/>
    <cellStyle name="Linked Cell 2 2 2 2 3" xfId="31844"/>
    <cellStyle name="Linked Cell 2 2 2 3" xfId="31845"/>
    <cellStyle name="Linked Cell 2 2 2 3 2" xfId="31846"/>
    <cellStyle name="Linked Cell 2 2 2 3 3" xfId="31847"/>
    <cellStyle name="Linked Cell 2 2 2 4" xfId="31848"/>
    <cellStyle name="Linked Cell 2 2 2 4 2" xfId="31849"/>
    <cellStyle name="Linked Cell 2 2 2 4 3" xfId="31850"/>
    <cellStyle name="Linked Cell 2 2 2 5" xfId="31851"/>
    <cellStyle name="Linked Cell 2 2 2 5 2" xfId="31852"/>
    <cellStyle name="Linked Cell 2 2 2 5 3" xfId="31853"/>
    <cellStyle name="Linked Cell 2 2 2 6" xfId="31854"/>
    <cellStyle name="Linked Cell 2 2 2 6 2" xfId="31855"/>
    <cellStyle name="Linked Cell 2 2 2 6 3" xfId="31856"/>
    <cellStyle name="Linked Cell 2 2 2 7" xfId="31857"/>
    <cellStyle name="Linked Cell 2 2 2 7 2" xfId="31858"/>
    <cellStyle name="Linked Cell 2 2 2 7 3" xfId="31859"/>
    <cellStyle name="Linked Cell 2 2 2 8" xfId="31860"/>
    <cellStyle name="Linked Cell 2 2 2 8 2" xfId="31861"/>
    <cellStyle name="Linked Cell 2 2 2 8 3" xfId="31862"/>
    <cellStyle name="Linked Cell 2 2 2 9" xfId="31863"/>
    <cellStyle name="Linked Cell 2 2 2 9 2" xfId="31864"/>
    <cellStyle name="Linked Cell 2 2 2 9 3" xfId="31865"/>
    <cellStyle name="Linked Cell 2 2 3" xfId="31866"/>
    <cellStyle name="Linked Cell 2 2 3 2" xfId="31867"/>
    <cellStyle name="Linked Cell 2 2 3 3" xfId="31868"/>
    <cellStyle name="Linked Cell 2 2 4" xfId="31869"/>
    <cellStyle name="Linked Cell 2 2 4 2" xfId="31870"/>
    <cellStyle name="Linked Cell 2 2 4 3" xfId="31871"/>
    <cellStyle name="Linked Cell 2 2 5" xfId="31872"/>
    <cellStyle name="Linked Cell 2 2 5 2" xfId="31873"/>
    <cellStyle name="Linked Cell 2 2 5 3" xfId="31874"/>
    <cellStyle name="Linked Cell 2 2 6" xfId="31875"/>
    <cellStyle name="Linked Cell 2 2 6 2" xfId="31876"/>
    <cellStyle name="Linked Cell 2 2 6 3" xfId="31877"/>
    <cellStyle name="Linked Cell 2 2 7" xfId="31878"/>
    <cellStyle name="Linked Cell 2 2 7 2" xfId="31879"/>
    <cellStyle name="Linked Cell 2 2 7 3" xfId="31880"/>
    <cellStyle name="Linked Cell 2 2 8" xfId="31881"/>
    <cellStyle name="Linked Cell 2 2 8 2" xfId="31882"/>
    <cellStyle name="Linked Cell 2 2 8 3" xfId="31883"/>
    <cellStyle name="Linked Cell 2 2 9" xfId="31884"/>
    <cellStyle name="Linked Cell 2 2 9 2" xfId="31885"/>
    <cellStyle name="Linked Cell 2 2 9 3" xfId="31886"/>
    <cellStyle name="Linked Cell 2 2_BHP 4Q 2010 Ops Review Senior Managment " xfId="31887"/>
    <cellStyle name="Linked Cell 2 3" xfId="31888"/>
    <cellStyle name="Linked Cell 2 3 2" xfId="31889"/>
    <cellStyle name="Linked Cell 2 3 2 2" xfId="31890"/>
    <cellStyle name="Linked Cell 2 3 3" xfId="31891"/>
    <cellStyle name="Linked Cell 2 4" xfId="31892"/>
    <cellStyle name="Linked Cell 2 4 2" xfId="31893"/>
    <cellStyle name="Linked Cell 2 4 2 2" xfId="31894"/>
    <cellStyle name="Linked Cell 2 4 3" xfId="31895"/>
    <cellStyle name="Linked Cell 2 5" xfId="31896"/>
    <cellStyle name="Linked Cell 2 5 2" xfId="31897"/>
    <cellStyle name="Linked Cell 2 5 2 2" xfId="31898"/>
    <cellStyle name="Linked Cell 2 5 3" xfId="31899"/>
    <cellStyle name="Linked Cell 2 6" xfId="31900"/>
    <cellStyle name="Linked Cell 2 6 2" xfId="31901"/>
    <cellStyle name="Linked Cell 2 6 2 2" xfId="31902"/>
    <cellStyle name="Linked Cell 2 6 3" xfId="31903"/>
    <cellStyle name="Linked Cell 2 7" xfId="31904"/>
    <cellStyle name="Linked Cell 2 7 2" xfId="31905"/>
    <cellStyle name="Linked Cell 2 7 2 2" xfId="31906"/>
    <cellStyle name="Linked Cell 2 7 3" xfId="31907"/>
    <cellStyle name="Linked Cell 2 8" xfId="31908"/>
    <cellStyle name="Linked Cell 2 8 2" xfId="31909"/>
    <cellStyle name="Linked Cell 2 8 3" xfId="31910"/>
    <cellStyle name="Linked Cell 2 9" xfId="31911"/>
    <cellStyle name="Linked Cell 2 9 2" xfId="31912"/>
    <cellStyle name="Linked Cell 2 9 3" xfId="31913"/>
    <cellStyle name="Linked Cell 2_1-10 BHU IS" xfId="31914"/>
    <cellStyle name="Linked Cell 3" xfId="3584"/>
    <cellStyle name="Linked Cell 3 2" xfId="31915"/>
    <cellStyle name="Linked Cell 3 2 2" xfId="31916"/>
    <cellStyle name="Linked Cell 3 2 2 2" xfId="31917"/>
    <cellStyle name="Linked Cell 3 2 2 3" xfId="31918"/>
    <cellStyle name="Linked Cell 3 2 3" xfId="31919"/>
    <cellStyle name="Linked Cell 3 2 4" xfId="31920"/>
    <cellStyle name="Linked Cell 3 3" xfId="31921"/>
    <cellStyle name="Linked Cell 3 3 2" xfId="31922"/>
    <cellStyle name="Linked Cell 3 3 2 2" xfId="31923"/>
    <cellStyle name="Linked Cell 3 3 2 3" xfId="31924"/>
    <cellStyle name="Linked Cell 3 3 3" xfId="31925"/>
    <cellStyle name="Linked Cell 3 3 4" xfId="31926"/>
    <cellStyle name="Linked Cell 3 3 5" xfId="31927"/>
    <cellStyle name="Linked Cell 3 4" xfId="31928"/>
    <cellStyle name="Linked Cell 3 4 2" xfId="31929"/>
    <cellStyle name="Linked Cell 3 5" xfId="31930"/>
    <cellStyle name="Linked Cell 3_1-10 BHU IS" xfId="31931"/>
    <cellStyle name="Linked Cell 4" xfId="3585"/>
    <cellStyle name="Linked Cell 4 2" xfId="31932"/>
    <cellStyle name="Linked Cell 4 2 2" xfId="31933"/>
    <cellStyle name="Linked Cell 4 2 2 2" xfId="31934"/>
    <cellStyle name="Linked Cell 4 2 3" xfId="31935"/>
    <cellStyle name="Linked Cell 4 3" xfId="31936"/>
    <cellStyle name="Linked Cell 4 3 2" xfId="31937"/>
    <cellStyle name="Linked Cell 4 4" xfId="31938"/>
    <cellStyle name="Linked Cell 4_1-10 BHU IS" xfId="31939"/>
    <cellStyle name="Linked Cell 5" xfId="31940"/>
    <cellStyle name="Linked Cell 5 2" xfId="31941"/>
    <cellStyle name="Linked Cell 5 2 2" xfId="31942"/>
    <cellStyle name="Linked Cell 5 2 2 2" xfId="31943"/>
    <cellStyle name="Linked Cell 5 2 3" xfId="31944"/>
    <cellStyle name="Linked Cell 5 3" xfId="31945"/>
    <cellStyle name="Linked Cell 5 3 2" xfId="31946"/>
    <cellStyle name="Linked Cell 5 4" xfId="31947"/>
    <cellStyle name="Linked Cell 5_1-10 BHU IS" xfId="31948"/>
    <cellStyle name="Linked Cell 6" xfId="31949"/>
    <cellStyle name="Linked Cell 6 2" xfId="31950"/>
    <cellStyle name="Linked Cell 6 2 2" xfId="31951"/>
    <cellStyle name="Linked Cell 6 2 3" xfId="31952"/>
    <cellStyle name="Linked Cell 6 3" xfId="31953"/>
    <cellStyle name="Linked Cell 6 3 2" xfId="31954"/>
    <cellStyle name="Linked Cell 6 4" xfId="31955"/>
    <cellStyle name="Linked Cell 7" xfId="31956"/>
    <cellStyle name="Linked Cell 7 2" xfId="31957"/>
    <cellStyle name="Linked Cell 7 2 2" xfId="31958"/>
    <cellStyle name="Linked Cell 7 2 3" xfId="31959"/>
    <cellStyle name="Linked Cell 7 3" xfId="31960"/>
    <cellStyle name="Linked Cell 7 3 2" xfId="31961"/>
    <cellStyle name="Linked Cell 7 4" xfId="31962"/>
    <cellStyle name="Linked Cell 8" xfId="31963"/>
    <cellStyle name="Linked Cell 8 2" xfId="31964"/>
    <cellStyle name="Linked Cell 8 2 2" xfId="31965"/>
    <cellStyle name="Linked Cell 8 2 3" xfId="31966"/>
    <cellStyle name="Linked Cell 8 3" xfId="31967"/>
    <cellStyle name="Linked Cell 8 3 2" xfId="31968"/>
    <cellStyle name="Linked Cell 8 4" xfId="31969"/>
    <cellStyle name="Linked Cell 9" xfId="31970"/>
    <cellStyle name="Linked Cell 9 2" xfId="31971"/>
    <cellStyle name="Linked Cell 9 2 2" xfId="31972"/>
    <cellStyle name="Linked Cell 9 2 3" xfId="31973"/>
    <cellStyle name="Linked Cell 9 3" xfId="31974"/>
    <cellStyle name="Linked Cell 9 3 2" xfId="31975"/>
    <cellStyle name="Linked Cell 9 4" xfId="31976"/>
    <cellStyle name="Locked" xfId="3586"/>
    <cellStyle name="Logical" xfId="3587"/>
    <cellStyle name="Logical 2" xfId="3588"/>
    <cellStyle name="Logical 2 2" xfId="3589"/>
    <cellStyle name="Logical 2 2 2" xfId="3590"/>
    <cellStyle name="Logical 2 2 2 2" xfId="3591"/>
    <cellStyle name="Logical 2 2 2 3" xfId="3592"/>
    <cellStyle name="Logical 2 2 3" xfId="3593"/>
    <cellStyle name="Logical 2 2 3 2" xfId="3594"/>
    <cellStyle name="Logical 2 2 3 3" xfId="3595"/>
    <cellStyle name="Logical 2 2 4" xfId="3596"/>
    <cellStyle name="Logical 2 2 4 2" xfId="3597"/>
    <cellStyle name="Logical 2 2 4 3" xfId="3598"/>
    <cellStyle name="Logical 2 2 5" xfId="3599"/>
    <cellStyle name="Logical 2 2 5 2" xfId="3600"/>
    <cellStyle name="Logical 2 2 5 3" xfId="3601"/>
    <cellStyle name="Logical 2 2 6" xfId="3602"/>
    <cellStyle name="Logical 2 2 6 2" xfId="3603"/>
    <cellStyle name="Logical 2 2 6 3" xfId="3604"/>
    <cellStyle name="Logical 2 2 7" xfId="3605"/>
    <cellStyle name="Logical 2 2 8" xfId="3606"/>
    <cellStyle name="Logical 2 3" xfId="3607"/>
    <cellStyle name="Logical 2 3 2" xfId="3608"/>
    <cellStyle name="Logical 2 3 3" xfId="3609"/>
    <cellStyle name="Logical 2 4" xfId="3610"/>
    <cellStyle name="Logical 2 4 2" xfId="3611"/>
    <cellStyle name="Logical 2 4 3" xfId="3612"/>
    <cellStyle name="Logical 2 5" xfId="3613"/>
    <cellStyle name="Logical 2 5 2" xfId="3614"/>
    <cellStyle name="Logical 2 5 3" xfId="3615"/>
    <cellStyle name="Logical 2 6" xfId="3616"/>
    <cellStyle name="Logical 2 6 2" xfId="3617"/>
    <cellStyle name="Logical 2 6 3" xfId="3618"/>
    <cellStyle name="Logical 2 7" xfId="3619"/>
    <cellStyle name="Logical 2 7 2" xfId="3620"/>
    <cellStyle name="Logical 2 7 3" xfId="3621"/>
    <cellStyle name="Logical 2 8" xfId="3622"/>
    <cellStyle name="Logical 2 9" xfId="3623"/>
    <cellStyle name="Logical 3" xfId="3624"/>
    <cellStyle name="Logical 3 2" xfId="3625"/>
    <cellStyle name="Logical 3 2 2" xfId="3626"/>
    <cellStyle name="Logical 3 2 3" xfId="3627"/>
    <cellStyle name="Logical 3 3" xfId="3628"/>
    <cellStyle name="Logical 3 3 2" xfId="3629"/>
    <cellStyle name="Logical 3 3 3" xfId="3630"/>
    <cellStyle name="Logical 3 4" xfId="3631"/>
    <cellStyle name="Logical 3 4 2" xfId="3632"/>
    <cellStyle name="Logical 3 4 3" xfId="3633"/>
    <cellStyle name="Logical 3 5" xfId="3634"/>
    <cellStyle name="Logical 3 5 2" xfId="3635"/>
    <cellStyle name="Logical 3 5 3" xfId="3636"/>
    <cellStyle name="Logical 3 6" xfId="3637"/>
    <cellStyle name="Logical 3 6 2" xfId="3638"/>
    <cellStyle name="Logical 3 6 3" xfId="3639"/>
    <cellStyle name="Logical 3 7" xfId="3640"/>
    <cellStyle name="Logical 3 8" xfId="3641"/>
    <cellStyle name="Logical 4" xfId="3642"/>
    <cellStyle name="Logical 4 2" xfId="3643"/>
    <cellStyle name="Logical 4 3" xfId="3644"/>
    <cellStyle name="Logical 5" xfId="3645"/>
    <cellStyle name="Logical 5 2" xfId="3646"/>
    <cellStyle name="Logical 5 3" xfId="3647"/>
    <cellStyle name="Logical 6" xfId="3648"/>
    <cellStyle name="Logical 6 2" xfId="3649"/>
    <cellStyle name="Logical 6 3" xfId="3650"/>
    <cellStyle name="Logical 7" xfId="3651"/>
    <cellStyle name="Logical 8" xfId="3652"/>
    <cellStyle name="Map Labels" xfId="120"/>
    <cellStyle name="Map Labels 2" xfId="3653"/>
    <cellStyle name="Map Labels 2 2" xfId="3654"/>
    <cellStyle name="Map Labels 3" xfId="3655"/>
    <cellStyle name="Map Labels 4" xfId="3656"/>
    <cellStyle name="Map Labels 5" xfId="3657"/>
    <cellStyle name="Map Labels 6" xfId="3658"/>
    <cellStyle name="Map Legend" xfId="121"/>
    <cellStyle name="Map Legend 2" xfId="3659"/>
    <cellStyle name="Map Legend 2 2" xfId="3660"/>
    <cellStyle name="Map Legend 3" xfId="3661"/>
    <cellStyle name="Map Legend 4" xfId="3662"/>
    <cellStyle name="Map Legend 5" xfId="3663"/>
    <cellStyle name="Map Legend 6" xfId="3664"/>
    <cellStyle name="Map Title" xfId="122"/>
    <cellStyle name="Map Title 2" xfId="3665"/>
    <cellStyle name="Map Title 2 2" xfId="3666"/>
    <cellStyle name="Map Title 3" xfId="3667"/>
    <cellStyle name="Map Title 4" xfId="3668"/>
    <cellStyle name="Map Title 5" xfId="3669"/>
    <cellStyle name="Map Title 6" xfId="3670"/>
    <cellStyle name="Millares [0]_ARE" xfId="3671"/>
    <cellStyle name="Millares_ARE" xfId="3672"/>
    <cellStyle name="Milliers [0]_PERSONAL" xfId="3673"/>
    <cellStyle name="Milliers_PERSONAL" xfId="3674"/>
    <cellStyle name="mmm-yy" xfId="31977"/>
    <cellStyle name="mmm-yy 2" xfId="31978"/>
    <cellStyle name="mmm-yy 2 2" xfId="31979"/>
    <cellStyle name="mmm-yy 3" xfId="31980"/>
    <cellStyle name="Moneda [0]_ARE" xfId="3675"/>
    <cellStyle name="Moneda_ARE" xfId="3676"/>
    <cellStyle name="Monétaire [0]_PERSONAL" xfId="3677"/>
    <cellStyle name="Monétaire_PERSONAL" xfId="3678"/>
    <cellStyle name="Month" xfId="3679"/>
    <cellStyle name="N,NNN (blank 0)" xfId="3680"/>
    <cellStyle name="Neutral 10" xfId="31981"/>
    <cellStyle name="Neutral 10 2" xfId="31982"/>
    <cellStyle name="Neutral 10 2 2" xfId="31983"/>
    <cellStyle name="Neutral 10 2 3" xfId="31984"/>
    <cellStyle name="Neutral 10 3" xfId="31985"/>
    <cellStyle name="Neutral 10 3 2" xfId="31986"/>
    <cellStyle name="Neutral 10 4" xfId="31987"/>
    <cellStyle name="Neutral 11" xfId="31988"/>
    <cellStyle name="Neutral 11 2" xfId="31989"/>
    <cellStyle name="Neutral 11 2 2" xfId="31990"/>
    <cellStyle name="Neutral 11 2 3" xfId="31991"/>
    <cellStyle name="Neutral 11 3" xfId="31992"/>
    <cellStyle name="Neutral 11 3 2" xfId="31993"/>
    <cellStyle name="Neutral 11 4" xfId="31994"/>
    <cellStyle name="Neutral 12" xfId="31995"/>
    <cellStyle name="Neutral 12 2" xfId="31996"/>
    <cellStyle name="Neutral 12 2 2" xfId="31997"/>
    <cellStyle name="Neutral 12 3" xfId="31998"/>
    <cellStyle name="Neutral 13" xfId="31999"/>
    <cellStyle name="Neutral 13 2" xfId="32000"/>
    <cellStyle name="Neutral 13 2 2" xfId="32001"/>
    <cellStyle name="Neutral 13 3" xfId="32002"/>
    <cellStyle name="Neutral 14" xfId="32003"/>
    <cellStyle name="Neutral 14 2" xfId="32004"/>
    <cellStyle name="Neutral 14 2 2" xfId="32005"/>
    <cellStyle name="Neutral 14 3" xfId="32006"/>
    <cellStyle name="Neutral 15" xfId="32007"/>
    <cellStyle name="Neutral 15 2" xfId="32008"/>
    <cellStyle name="Neutral 15 2 2" xfId="32009"/>
    <cellStyle name="Neutral 15 3" xfId="32010"/>
    <cellStyle name="Neutral 16" xfId="32011"/>
    <cellStyle name="Neutral 16 2" xfId="32012"/>
    <cellStyle name="Neutral 16 3" xfId="32013"/>
    <cellStyle name="Neutral 17" xfId="32014"/>
    <cellStyle name="Neutral 18" xfId="32015"/>
    <cellStyle name="Neutral 2" xfId="86"/>
    <cellStyle name="Neutral 2 10" xfId="32016"/>
    <cellStyle name="Neutral 2 10 2" xfId="32017"/>
    <cellStyle name="Neutral 2 10 3" xfId="32018"/>
    <cellStyle name="Neutral 2 11" xfId="32019"/>
    <cellStyle name="Neutral 2 11 2" xfId="32020"/>
    <cellStyle name="Neutral 2 11 3" xfId="32021"/>
    <cellStyle name="Neutral 2 12" xfId="32022"/>
    <cellStyle name="Neutral 2 12 2" xfId="32023"/>
    <cellStyle name="Neutral 2 12 3" xfId="32024"/>
    <cellStyle name="Neutral 2 13" xfId="32025"/>
    <cellStyle name="Neutral 2 13 2" xfId="32026"/>
    <cellStyle name="Neutral 2 14" xfId="32027"/>
    <cellStyle name="Neutral 2 14 2" xfId="32028"/>
    <cellStyle name="Neutral 2 15" xfId="32029"/>
    <cellStyle name="Neutral 2 16" xfId="32030"/>
    <cellStyle name="Neutral 2 17" xfId="32031"/>
    <cellStyle name="Neutral 2 2" xfId="3681"/>
    <cellStyle name="Neutral 2 2 10" xfId="32032"/>
    <cellStyle name="Neutral 2 2 10 2" xfId="32033"/>
    <cellStyle name="Neutral 2 2 10 3" xfId="32034"/>
    <cellStyle name="Neutral 2 2 11" xfId="32035"/>
    <cellStyle name="Neutral 2 2 11 2" xfId="32036"/>
    <cellStyle name="Neutral 2 2 12" xfId="32037"/>
    <cellStyle name="Neutral 2 2 13" xfId="32038"/>
    <cellStyle name="Neutral 2 2 2" xfId="32039"/>
    <cellStyle name="Neutral 2 2 2 10" xfId="32040"/>
    <cellStyle name="Neutral 2 2 2 10 2" xfId="32041"/>
    <cellStyle name="Neutral 2 2 2 10 3" xfId="32042"/>
    <cellStyle name="Neutral 2 2 2 11" xfId="32043"/>
    <cellStyle name="Neutral 2 2 2 12" xfId="32044"/>
    <cellStyle name="Neutral 2 2 2 13" xfId="32045"/>
    <cellStyle name="Neutral 2 2 2 2" xfId="32046"/>
    <cellStyle name="Neutral 2 2 2 2 2" xfId="32047"/>
    <cellStyle name="Neutral 2 2 2 2 3" xfId="32048"/>
    <cellStyle name="Neutral 2 2 2 3" xfId="32049"/>
    <cellStyle name="Neutral 2 2 2 3 2" xfId="32050"/>
    <cellStyle name="Neutral 2 2 2 3 3" xfId="32051"/>
    <cellStyle name="Neutral 2 2 2 4" xfId="32052"/>
    <cellStyle name="Neutral 2 2 2 4 2" xfId="32053"/>
    <cellStyle name="Neutral 2 2 2 4 3" xfId="32054"/>
    <cellStyle name="Neutral 2 2 2 5" xfId="32055"/>
    <cellStyle name="Neutral 2 2 2 5 2" xfId="32056"/>
    <cellStyle name="Neutral 2 2 2 5 3" xfId="32057"/>
    <cellStyle name="Neutral 2 2 2 6" xfId="32058"/>
    <cellStyle name="Neutral 2 2 2 6 2" xfId="32059"/>
    <cellStyle name="Neutral 2 2 2 6 3" xfId="32060"/>
    <cellStyle name="Neutral 2 2 2 7" xfId="32061"/>
    <cellStyle name="Neutral 2 2 2 7 2" xfId="32062"/>
    <cellStyle name="Neutral 2 2 2 7 3" xfId="32063"/>
    <cellStyle name="Neutral 2 2 2 8" xfId="32064"/>
    <cellStyle name="Neutral 2 2 2 8 2" xfId="32065"/>
    <cellStyle name="Neutral 2 2 2 8 3" xfId="32066"/>
    <cellStyle name="Neutral 2 2 2 9" xfId="32067"/>
    <cellStyle name="Neutral 2 2 2 9 2" xfId="32068"/>
    <cellStyle name="Neutral 2 2 2 9 3" xfId="32069"/>
    <cellStyle name="Neutral 2 2 3" xfId="32070"/>
    <cellStyle name="Neutral 2 2 3 2" xfId="32071"/>
    <cellStyle name="Neutral 2 2 3 3" xfId="32072"/>
    <cellStyle name="Neutral 2 2 4" xfId="32073"/>
    <cellStyle name="Neutral 2 2 4 2" xfId="32074"/>
    <cellStyle name="Neutral 2 2 4 3" xfId="32075"/>
    <cellStyle name="Neutral 2 2 5" xfId="32076"/>
    <cellStyle name="Neutral 2 2 5 2" xfId="32077"/>
    <cellStyle name="Neutral 2 2 5 3" xfId="32078"/>
    <cellStyle name="Neutral 2 2 6" xfId="32079"/>
    <cellStyle name="Neutral 2 2 6 2" xfId="32080"/>
    <cellStyle name="Neutral 2 2 6 3" xfId="32081"/>
    <cellStyle name="Neutral 2 2 7" xfId="32082"/>
    <cellStyle name="Neutral 2 2 7 2" xfId="32083"/>
    <cellStyle name="Neutral 2 2 7 3" xfId="32084"/>
    <cellStyle name="Neutral 2 2 8" xfId="32085"/>
    <cellStyle name="Neutral 2 2 8 2" xfId="32086"/>
    <cellStyle name="Neutral 2 2 8 3" xfId="32087"/>
    <cellStyle name="Neutral 2 2 9" xfId="32088"/>
    <cellStyle name="Neutral 2 2 9 2" xfId="32089"/>
    <cellStyle name="Neutral 2 2 9 3" xfId="32090"/>
    <cellStyle name="Neutral 2 3" xfId="32091"/>
    <cellStyle name="Neutral 2 3 2" xfId="32092"/>
    <cellStyle name="Neutral 2 3 2 2" xfId="32093"/>
    <cellStyle name="Neutral 2 3 3" xfId="32094"/>
    <cellStyle name="Neutral 2 3 4" xfId="32095"/>
    <cellStyle name="Neutral 2 4" xfId="32096"/>
    <cellStyle name="Neutral 2 4 2" xfId="32097"/>
    <cellStyle name="Neutral 2 4 2 2" xfId="32098"/>
    <cellStyle name="Neutral 2 4 3" xfId="32099"/>
    <cellStyle name="Neutral 2 5" xfId="32100"/>
    <cellStyle name="Neutral 2 5 2" xfId="32101"/>
    <cellStyle name="Neutral 2 5 2 2" xfId="32102"/>
    <cellStyle name="Neutral 2 5 3" xfId="32103"/>
    <cellStyle name="Neutral 2 6" xfId="32104"/>
    <cellStyle name="Neutral 2 6 2" xfId="32105"/>
    <cellStyle name="Neutral 2 6 2 2" xfId="32106"/>
    <cellStyle name="Neutral 2 6 3" xfId="32107"/>
    <cellStyle name="Neutral 2 7" xfId="32108"/>
    <cellStyle name="Neutral 2 7 2" xfId="32109"/>
    <cellStyle name="Neutral 2 7 2 2" xfId="32110"/>
    <cellStyle name="Neutral 2 7 3" xfId="32111"/>
    <cellStyle name="Neutral 2 8" xfId="32112"/>
    <cellStyle name="Neutral 2 8 2" xfId="32113"/>
    <cellStyle name="Neutral 2 8 3" xfId="32114"/>
    <cellStyle name="Neutral 2 9" xfId="32115"/>
    <cellStyle name="Neutral 2 9 2" xfId="32116"/>
    <cellStyle name="Neutral 2 9 3" xfId="32117"/>
    <cellStyle name="Neutral 2_1-10 BHU IS" xfId="32118"/>
    <cellStyle name="Neutral 3" xfId="3682"/>
    <cellStyle name="Neutral 3 2" xfId="32119"/>
    <cellStyle name="Neutral 3 2 2" xfId="32120"/>
    <cellStyle name="Neutral 3 2 2 2" xfId="32121"/>
    <cellStyle name="Neutral 3 2 2 3" xfId="32122"/>
    <cellStyle name="Neutral 3 2 3" xfId="32123"/>
    <cellStyle name="Neutral 3 2 3 2" xfId="32124"/>
    <cellStyle name="Neutral 3 2 4" xfId="32125"/>
    <cellStyle name="Neutral 3 2 5" xfId="32126"/>
    <cellStyle name="Neutral 3 2 6" xfId="32127"/>
    <cellStyle name="Neutral 3 3" xfId="32128"/>
    <cellStyle name="Neutral 3 3 2" xfId="32129"/>
    <cellStyle name="Neutral 3 3 3" xfId="32130"/>
    <cellStyle name="Neutral 3 4" xfId="32131"/>
    <cellStyle name="Neutral 3 5" xfId="32132"/>
    <cellStyle name="Neutral 4" xfId="3683"/>
    <cellStyle name="Neutral 4 2" xfId="32133"/>
    <cellStyle name="Neutral 4 2 2" xfId="32134"/>
    <cellStyle name="Neutral 4 2 2 2" xfId="32135"/>
    <cellStyle name="Neutral 4 2 3" xfId="32136"/>
    <cellStyle name="Neutral 4 3" xfId="32137"/>
    <cellStyle name="Neutral 4 3 2" xfId="32138"/>
    <cellStyle name="Neutral 4 4" xfId="32139"/>
    <cellStyle name="Neutral 5" xfId="32140"/>
    <cellStyle name="Neutral 5 2" xfId="32141"/>
    <cellStyle name="Neutral 5 2 2" xfId="32142"/>
    <cellStyle name="Neutral 5 2 2 2" xfId="32143"/>
    <cellStyle name="Neutral 5 2 3" xfId="32144"/>
    <cellStyle name="Neutral 5 3" xfId="32145"/>
    <cellStyle name="Neutral 5 3 2" xfId="32146"/>
    <cellStyle name="Neutral 5 4" xfId="32147"/>
    <cellStyle name="Neutral 6" xfId="32148"/>
    <cellStyle name="Neutral 6 2" xfId="32149"/>
    <cellStyle name="Neutral 6 2 2" xfId="32150"/>
    <cellStyle name="Neutral 6 2 3" xfId="32151"/>
    <cellStyle name="Neutral 6 3" xfId="32152"/>
    <cellStyle name="Neutral 6 3 2" xfId="32153"/>
    <cellStyle name="Neutral 6 4" xfId="32154"/>
    <cellStyle name="Neutral 7" xfId="32155"/>
    <cellStyle name="Neutral 7 2" xfId="32156"/>
    <cellStyle name="Neutral 7 2 2" xfId="32157"/>
    <cellStyle name="Neutral 7 2 3" xfId="32158"/>
    <cellStyle name="Neutral 7 3" xfId="32159"/>
    <cellStyle name="Neutral 7 3 2" xfId="32160"/>
    <cellStyle name="Neutral 7 4" xfId="32161"/>
    <cellStyle name="Neutral 8" xfId="32162"/>
    <cellStyle name="Neutral 8 2" xfId="32163"/>
    <cellStyle name="Neutral 8 2 2" xfId="32164"/>
    <cellStyle name="Neutral 8 2 3" xfId="32165"/>
    <cellStyle name="Neutral 8 3" xfId="32166"/>
    <cellStyle name="Neutral 8 3 2" xfId="32167"/>
    <cellStyle name="Neutral 8 4" xfId="32168"/>
    <cellStyle name="Neutral 9" xfId="32169"/>
    <cellStyle name="Neutral 9 2" xfId="32170"/>
    <cellStyle name="Neutral 9 2 2" xfId="32171"/>
    <cellStyle name="Neutral 9 2 3" xfId="32172"/>
    <cellStyle name="Neutral 9 3" xfId="32173"/>
    <cellStyle name="Neutral 9 3 2" xfId="32174"/>
    <cellStyle name="Neutral 9 4" xfId="32175"/>
    <cellStyle name="New" xfId="32176"/>
    <cellStyle name="New 2" xfId="32177"/>
    <cellStyle name="New 2 2" xfId="32178"/>
    <cellStyle name="New 3" xfId="32179"/>
    <cellStyle name="no dec" xfId="3684"/>
    <cellStyle name="no dec 2" xfId="32180"/>
    <cellStyle name="no dec 2 2" xfId="32181"/>
    <cellStyle name="no dec 2 2 2" xfId="32182"/>
    <cellStyle name="no dec 2 2 3" xfId="32183"/>
    <cellStyle name="no dec 2 3" xfId="32184"/>
    <cellStyle name="no dec 2 4" xfId="32185"/>
    <cellStyle name="no dec 2 5" xfId="32186"/>
    <cellStyle name="no dec 3" xfId="32187"/>
    <cellStyle name="no dec 4" xfId="32188"/>
    <cellStyle name="No-Action" xfId="3685"/>
    <cellStyle name="No-definido" xfId="3686"/>
    <cellStyle name="NoEntry" xfId="3687"/>
    <cellStyle name="NoEntry 2" xfId="3688"/>
    <cellStyle name="Normal" xfId="0" builtinId="0"/>
    <cellStyle name="Normal - Style1" xfId="3689"/>
    <cellStyle name="Normal - Style1 2" xfId="32189"/>
    <cellStyle name="Normal - Style1 2 2" xfId="32190"/>
    <cellStyle name="Normal - Style1 3" xfId="32191"/>
    <cellStyle name="Normal - Style1 4" xfId="32192"/>
    <cellStyle name="Normal 10" xfId="3690"/>
    <cellStyle name="Normal 10 10" xfId="32193"/>
    <cellStyle name="Normal 10 10 2" xfId="32194"/>
    <cellStyle name="Normal 10 11" xfId="32195"/>
    <cellStyle name="Normal 10 11 2" xfId="32196"/>
    <cellStyle name="Normal 10 12" xfId="32197"/>
    <cellStyle name="Normal 10 2" xfId="3691"/>
    <cellStyle name="Normal 10 2 2" xfId="3692"/>
    <cellStyle name="Normal 10 2 2 2" xfId="32198"/>
    <cellStyle name="Normal 10 2 2 3" xfId="32199"/>
    <cellStyle name="Normal 10 2 3" xfId="3693"/>
    <cellStyle name="Normal 10 2 4" xfId="3694"/>
    <cellStyle name="Normal 10 2 4 2" xfId="3695"/>
    <cellStyle name="Normal 10 2 4 2 2" xfId="3696"/>
    <cellStyle name="Normal 10 2 4 2 2 2" xfId="3697"/>
    <cellStyle name="Normal 10 2 4 2 3" xfId="3698"/>
    <cellStyle name="Normal 10 2 4 3" xfId="3699"/>
    <cellStyle name="Normal 10 2 4 3 2" xfId="3700"/>
    <cellStyle name="Normal 10 2 4 4" xfId="3701"/>
    <cellStyle name="Normal 10 2 5" xfId="3702"/>
    <cellStyle name="Normal 10 2 5 2" xfId="3703"/>
    <cellStyle name="Normal 10 2 5 2 2" xfId="3704"/>
    <cellStyle name="Normal 10 2 5 3" xfId="3705"/>
    <cellStyle name="Normal 10 2 6" xfId="3706"/>
    <cellStyle name="Normal 10 2 6 2" xfId="3707"/>
    <cellStyle name="Normal 10 2 7" xfId="3708"/>
    <cellStyle name="Normal 10 3" xfId="3709"/>
    <cellStyle name="Normal 10 3 2" xfId="3710"/>
    <cellStyle name="Normal 10 3 2 2" xfId="32200"/>
    <cellStyle name="Normal 10 3 2 3" xfId="32201"/>
    <cellStyle name="Normal 10 3 2 3 2" xfId="32202"/>
    <cellStyle name="Normal 10 3 3" xfId="32203"/>
    <cellStyle name="Normal 10 3 3 2" xfId="32204"/>
    <cellStyle name="Normal 10 3 3 2 2" xfId="32205"/>
    <cellStyle name="Normal 10 3 4" xfId="32206"/>
    <cellStyle name="Normal 10 3 4 2" xfId="32207"/>
    <cellStyle name="Normal 10 3 4 2 2" xfId="32208"/>
    <cellStyle name="Normal 10 3 5" xfId="32209"/>
    <cellStyle name="Normal 10 3 5 2" xfId="32210"/>
    <cellStyle name="Normal 10 3 6" xfId="32211"/>
    <cellStyle name="Normal 10 3 6 2" xfId="32212"/>
    <cellStyle name="Normal 10 3 7" xfId="32213"/>
    <cellStyle name="Normal 10 3 7 2" xfId="32214"/>
    <cellStyle name="Normal 10 3 8" xfId="32215"/>
    <cellStyle name="Normal 10 3 8 2" xfId="32216"/>
    <cellStyle name="Normal 10 3 9" xfId="32217"/>
    <cellStyle name="Normal 10 3 9 2" xfId="32218"/>
    <cellStyle name="Normal 10 3_Dakota Panel" xfId="32219"/>
    <cellStyle name="Normal 10 4" xfId="3711"/>
    <cellStyle name="Normal 10 4 2" xfId="3712"/>
    <cellStyle name="Normal 10 4 2 2" xfId="32220"/>
    <cellStyle name="Normal 10 5" xfId="3713"/>
    <cellStyle name="Normal 10 5 2" xfId="32221"/>
    <cellStyle name="Normal 10 5 2 2" xfId="32222"/>
    <cellStyle name="Normal 10 6" xfId="32223"/>
    <cellStyle name="Normal 10 6 2" xfId="32224"/>
    <cellStyle name="Normal 10 6 2 2" xfId="32225"/>
    <cellStyle name="Normal 10 6 3" xfId="32226"/>
    <cellStyle name="Normal 10 6 4" xfId="32227"/>
    <cellStyle name="Normal 10 7" xfId="32228"/>
    <cellStyle name="Normal 10 7 2" xfId="32229"/>
    <cellStyle name="Normal 10 8" xfId="32230"/>
    <cellStyle name="Normal 10 8 2" xfId="32231"/>
    <cellStyle name="Normal 10 9" xfId="32232"/>
    <cellStyle name="Normal 10 9 2" xfId="32233"/>
    <cellStyle name="Normal 10_Dakota Panel" xfId="32234"/>
    <cellStyle name="Normal 100" xfId="3714"/>
    <cellStyle name="Normal 100 10" xfId="32235"/>
    <cellStyle name="Normal 100 10 2" xfId="32236"/>
    <cellStyle name="Normal 100 11" xfId="32237"/>
    <cellStyle name="Normal 100 11 2" xfId="32238"/>
    <cellStyle name="Normal 100 12" xfId="32239"/>
    <cellStyle name="Normal 100 2" xfId="32240"/>
    <cellStyle name="Normal 100 2 2" xfId="32241"/>
    <cellStyle name="Normal 100 2 2 2" xfId="32242"/>
    <cellStyle name="Normal 100 2 3" xfId="32243"/>
    <cellStyle name="Normal 100 2 3 2" xfId="32244"/>
    <cellStyle name="Normal 100 2 4" xfId="32245"/>
    <cellStyle name="Normal 100 2 4 2" xfId="32246"/>
    <cellStyle name="Normal 100 2 5" xfId="32247"/>
    <cellStyle name="Normal 100 2 5 2" xfId="32248"/>
    <cellStyle name="Normal 100 2 6" xfId="32249"/>
    <cellStyle name="Normal 100 2 6 2" xfId="32250"/>
    <cellStyle name="Normal 100 2 7" xfId="32251"/>
    <cellStyle name="Normal 100 2 7 2" xfId="32252"/>
    <cellStyle name="Normal 100 2 8" xfId="32253"/>
    <cellStyle name="Normal 100 2 8 2" xfId="32254"/>
    <cellStyle name="Normal 100 2 9" xfId="32255"/>
    <cellStyle name="Normal 100 2 9 2" xfId="32256"/>
    <cellStyle name="Normal 100 2_Dakota Panel" xfId="32257"/>
    <cellStyle name="Normal 100 3" xfId="32258"/>
    <cellStyle name="Normal 100 3 2" xfId="32259"/>
    <cellStyle name="Normal 100 3 2 2" xfId="32260"/>
    <cellStyle name="Normal 100 3 3" xfId="32261"/>
    <cellStyle name="Normal 100 3 3 2" xfId="32262"/>
    <cellStyle name="Normal 100 3 4" xfId="32263"/>
    <cellStyle name="Normal 100 3 5" xfId="32264"/>
    <cellStyle name="Normal 100 4" xfId="32265"/>
    <cellStyle name="Normal 100 4 2" xfId="32266"/>
    <cellStyle name="Normal 100 5" xfId="32267"/>
    <cellStyle name="Normal 100 5 2" xfId="32268"/>
    <cellStyle name="Normal 100 6" xfId="32269"/>
    <cellStyle name="Normal 100 6 2" xfId="32270"/>
    <cellStyle name="Normal 100 7" xfId="32271"/>
    <cellStyle name="Normal 100 7 2" xfId="32272"/>
    <cellStyle name="Normal 100 8" xfId="32273"/>
    <cellStyle name="Normal 100 8 2" xfId="32274"/>
    <cellStyle name="Normal 100 9" xfId="32275"/>
    <cellStyle name="Normal 100 9 2" xfId="32276"/>
    <cellStyle name="Normal 100_Dakota Panel" xfId="32277"/>
    <cellStyle name="Normal 101" xfId="3715"/>
    <cellStyle name="Normal 101 10" xfId="32278"/>
    <cellStyle name="Normal 101 10 2" xfId="32279"/>
    <cellStyle name="Normal 101 11" xfId="32280"/>
    <cellStyle name="Normal 101 11 2" xfId="32281"/>
    <cellStyle name="Normal 101 12" xfId="32282"/>
    <cellStyle name="Normal 101 2" xfId="32283"/>
    <cellStyle name="Normal 101 2 2" xfId="32284"/>
    <cellStyle name="Normal 101 2 2 2" xfId="32285"/>
    <cellStyle name="Normal 101 2 3" xfId="32286"/>
    <cellStyle name="Normal 101 2 3 2" xfId="32287"/>
    <cellStyle name="Normal 101 2 4" xfId="32288"/>
    <cellStyle name="Normal 101 2 4 2" xfId="32289"/>
    <cellStyle name="Normal 101 2 5" xfId="32290"/>
    <cellStyle name="Normal 101 2 5 2" xfId="32291"/>
    <cellStyle name="Normal 101 2 6" xfId="32292"/>
    <cellStyle name="Normal 101 2 6 2" xfId="32293"/>
    <cellStyle name="Normal 101 2 7" xfId="32294"/>
    <cellStyle name="Normal 101 2 7 2" xfId="32295"/>
    <cellStyle name="Normal 101 2 8" xfId="32296"/>
    <cellStyle name="Normal 101 2 8 2" xfId="32297"/>
    <cellStyle name="Normal 101 2 9" xfId="32298"/>
    <cellStyle name="Normal 101 2 9 2" xfId="32299"/>
    <cellStyle name="Normal 101 2_Dakota Panel" xfId="32300"/>
    <cellStyle name="Normal 101 3" xfId="32301"/>
    <cellStyle name="Normal 101 3 2" xfId="32302"/>
    <cellStyle name="Normal 101 3 2 2" xfId="32303"/>
    <cellStyle name="Normal 101 3 3" xfId="32304"/>
    <cellStyle name="Normal 101 3 3 2" xfId="32305"/>
    <cellStyle name="Normal 101 3 4" xfId="32306"/>
    <cellStyle name="Normal 101 3 5" xfId="32307"/>
    <cellStyle name="Normal 101 4" xfId="32308"/>
    <cellStyle name="Normal 101 4 2" xfId="32309"/>
    <cellStyle name="Normal 101 5" xfId="32310"/>
    <cellStyle name="Normal 101 5 2" xfId="32311"/>
    <cellStyle name="Normal 101 6" xfId="32312"/>
    <cellStyle name="Normal 101 6 2" xfId="32313"/>
    <cellStyle name="Normal 101 7" xfId="32314"/>
    <cellStyle name="Normal 101 7 2" xfId="32315"/>
    <cellStyle name="Normal 101 8" xfId="32316"/>
    <cellStyle name="Normal 101 8 2" xfId="32317"/>
    <cellStyle name="Normal 101 9" xfId="32318"/>
    <cellStyle name="Normal 101 9 2" xfId="32319"/>
    <cellStyle name="Normal 101_Dakota Panel" xfId="32320"/>
    <cellStyle name="Normal 102" xfId="3716"/>
    <cellStyle name="Normal 102 10" xfId="32321"/>
    <cellStyle name="Normal 102 10 2" xfId="32322"/>
    <cellStyle name="Normal 102 11" xfId="32323"/>
    <cellStyle name="Normal 102 11 2" xfId="32324"/>
    <cellStyle name="Normal 102 12" xfId="32325"/>
    <cellStyle name="Normal 102 2" xfId="32326"/>
    <cellStyle name="Normal 102 2 2" xfId="32327"/>
    <cellStyle name="Normal 102 2 2 2" xfId="32328"/>
    <cellStyle name="Normal 102 2 3" xfId="32329"/>
    <cellStyle name="Normal 102 2 3 2" xfId="32330"/>
    <cellStyle name="Normal 102 2 4" xfId="32331"/>
    <cellStyle name="Normal 102 2 4 2" xfId="32332"/>
    <cellStyle name="Normal 102 2 5" xfId="32333"/>
    <cellStyle name="Normal 102 2 5 2" xfId="32334"/>
    <cellStyle name="Normal 102 2 6" xfId="32335"/>
    <cellStyle name="Normal 102 2 6 2" xfId="32336"/>
    <cellStyle name="Normal 102 2 7" xfId="32337"/>
    <cellStyle name="Normal 102 2 7 2" xfId="32338"/>
    <cellStyle name="Normal 102 2 8" xfId="32339"/>
    <cellStyle name="Normal 102 2 8 2" xfId="32340"/>
    <cellStyle name="Normal 102 2 9" xfId="32341"/>
    <cellStyle name="Normal 102 2 9 2" xfId="32342"/>
    <cellStyle name="Normal 102 2_Dakota Panel" xfId="32343"/>
    <cellStyle name="Normal 102 3" xfId="32344"/>
    <cellStyle name="Normal 102 3 2" xfId="32345"/>
    <cellStyle name="Normal 102 3 2 2" xfId="32346"/>
    <cellStyle name="Normal 102 3 3" xfId="32347"/>
    <cellStyle name="Normal 102 3 3 2" xfId="32348"/>
    <cellStyle name="Normal 102 3 4" xfId="32349"/>
    <cellStyle name="Normal 102 3 5" xfId="32350"/>
    <cellStyle name="Normal 102 4" xfId="32351"/>
    <cellStyle name="Normal 102 4 2" xfId="32352"/>
    <cellStyle name="Normal 102 5" xfId="32353"/>
    <cellStyle name="Normal 102 5 2" xfId="32354"/>
    <cellStyle name="Normal 102 6" xfId="32355"/>
    <cellStyle name="Normal 102 6 2" xfId="32356"/>
    <cellStyle name="Normal 102 7" xfId="32357"/>
    <cellStyle name="Normal 102 7 2" xfId="32358"/>
    <cellStyle name="Normal 102 8" xfId="32359"/>
    <cellStyle name="Normal 102 8 2" xfId="32360"/>
    <cellStyle name="Normal 102 9" xfId="32361"/>
    <cellStyle name="Normal 102 9 2" xfId="32362"/>
    <cellStyle name="Normal 102_Dakota Panel" xfId="32363"/>
    <cellStyle name="Normal 103" xfId="3717"/>
    <cellStyle name="Normal 103 10" xfId="32364"/>
    <cellStyle name="Normal 103 10 2" xfId="32365"/>
    <cellStyle name="Normal 103 11" xfId="32366"/>
    <cellStyle name="Normal 103 11 2" xfId="32367"/>
    <cellStyle name="Normal 103 12" xfId="32368"/>
    <cellStyle name="Normal 103 2" xfId="3718"/>
    <cellStyle name="Normal 103 2 2" xfId="3719"/>
    <cellStyle name="Normal 103 2 2 2" xfId="3720"/>
    <cellStyle name="Normal 103 2 2 2 2" xfId="3721"/>
    <cellStyle name="Normal 103 2 2 2 2 2" xfId="3722"/>
    <cellStyle name="Normal 103 2 2 2 3" xfId="3723"/>
    <cellStyle name="Normal 103 2 2 3" xfId="3724"/>
    <cellStyle name="Normal 103 2 2 3 2" xfId="3725"/>
    <cellStyle name="Normal 103 2 2 4" xfId="3726"/>
    <cellStyle name="Normal 103 2 3" xfId="3727"/>
    <cellStyle name="Normal 103 2 3 2" xfId="3728"/>
    <cellStyle name="Normal 103 2 3 2 2" xfId="3729"/>
    <cellStyle name="Normal 103 2 3 3" xfId="3730"/>
    <cellStyle name="Normal 103 2 4" xfId="3731"/>
    <cellStyle name="Normal 103 2 4 2" xfId="3732"/>
    <cellStyle name="Normal 103 2 5" xfId="3733"/>
    <cellStyle name="Normal 103 2 5 2" xfId="32369"/>
    <cellStyle name="Normal 103 2 6" xfId="32370"/>
    <cellStyle name="Normal 103 2 6 2" xfId="32371"/>
    <cellStyle name="Normal 103 2 7" xfId="32372"/>
    <cellStyle name="Normal 103 2 7 2" xfId="32373"/>
    <cellStyle name="Normal 103 2 8" xfId="32374"/>
    <cellStyle name="Normal 103 2 8 2" xfId="32375"/>
    <cellStyle name="Normal 103 2 9" xfId="32376"/>
    <cellStyle name="Normal 103 2 9 2" xfId="32377"/>
    <cellStyle name="Normal 103 2_Dakota Panel" xfId="32378"/>
    <cellStyle name="Normal 103 3" xfId="3734"/>
    <cellStyle name="Normal 103 3 2" xfId="3735"/>
    <cellStyle name="Normal 103 3 2 2" xfId="32379"/>
    <cellStyle name="Normal 103 3 3" xfId="32380"/>
    <cellStyle name="Normal 103 3 3 2" xfId="32381"/>
    <cellStyle name="Normal 103 3 4" xfId="32382"/>
    <cellStyle name="Normal 103 3 5" xfId="32383"/>
    <cellStyle name="Normal 103 4" xfId="3736"/>
    <cellStyle name="Normal 103 4 2" xfId="32384"/>
    <cellStyle name="Normal 103 5" xfId="32385"/>
    <cellStyle name="Normal 103 5 2" xfId="32386"/>
    <cellStyle name="Normal 103 6" xfId="32387"/>
    <cellStyle name="Normal 103 6 2" xfId="32388"/>
    <cellStyle name="Normal 103 7" xfId="32389"/>
    <cellStyle name="Normal 103 7 2" xfId="32390"/>
    <cellStyle name="Normal 103 8" xfId="32391"/>
    <cellStyle name="Normal 103 8 2" xfId="32392"/>
    <cellStyle name="Normal 103 9" xfId="32393"/>
    <cellStyle name="Normal 103 9 2" xfId="32394"/>
    <cellStyle name="Normal 103_Dakota Panel" xfId="32395"/>
    <cellStyle name="Normal 104" xfId="3737"/>
    <cellStyle name="Normal 104 10" xfId="32396"/>
    <cellStyle name="Normal 104 10 2" xfId="32397"/>
    <cellStyle name="Normal 104 11" xfId="32398"/>
    <cellStyle name="Normal 104 11 2" xfId="32399"/>
    <cellStyle name="Normal 104 12" xfId="32400"/>
    <cellStyle name="Normal 104 2" xfId="32401"/>
    <cellStyle name="Normal 104 2 2" xfId="32402"/>
    <cellStyle name="Normal 104 2 2 2" xfId="32403"/>
    <cellStyle name="Normal 104 2 3" xfId="32404"/>
    <cellStyle name="Normal 104 2 3 2" xfId="32405"/>
    <cellStyle name="Normal 104 2 4" xfId="32406"/>
    <cellStyle name="Normal 104 2 4 2" xfId="32407"/>
    <cellStyle name="Normal 104 2 5" xfId="32408"/>
    <cellStyle name="Normal 104 2 5 2" xfId="32409"/>
    <cellStyle name="Normal 104 2 6" xfId="32410"/>
    <cellStyle name="Normal 104 2 6 2" xfId="32411"/>
    <cellStyle name="Normal 104 2 7" xfId="32412"/>
    <cellStyle name="Normal 104 2 7 2" xfId="32413"/>
    <cellStyle name="Normal 104 2 8" xfId="32414"/>
    <cellStyle name="Normal 104 2 8 2" xfId="32415"/>
    <cellStyle name="Normal 104 2 9" xfId="32416"/>
    <cellStyle name="Normal 104 2 9 2" xfId="32417"/>
    <cellStyle name="Normal 104 2_Dakota Panel" xfId="32418"/>
    <cellStyle name="Normal 104 3" xfId="32419"/>
    <cellStyle name="Normal 104 3 2" xfId="32420"/>
    <cellStyle name="Normal 104 3 2 2" xfId="32421"/>
    <cellStyle name="Normal 104 3 3" xfId="32422"/>
    <cellStyle name="Normal 104 3 3 2" xfId="32423"/>
    <cellStyle name="Normal 104 3 4" xfId="32424"/>
    <cellStyle name="Normal 104 3 5" xfId="32425"/>
    <cellStyle name="Normal 104 4" xfId="32426"/>
    <cellStyle name="Normal 104 4 2" xfId="32427"/>
    <cellStyle name="Normal 104 5" xfId="32428"/>
    <cellStyle name="Normal 104 5 2" xfId="32429"/>
    <cellStyle name="Normal 104 6" xfId="32430"/>
    <cellStyle name="Normal 104 6 2" xfId="32431"/>
    <cellStyle name="Normal 104 7" xfId="32432"/>
    <cellStyle name="Normal 104 7 2" xfId="32433"/>
    <cellStyle name="Normal 104 8" xfId="32434"/>
    <cellStyle name="Normal 104 8 2" xfId="32435"/>
    <cellStyle name="Normal 104 9" xfId="32436"/>
    <cellStyle name="Normal 104 9 2" xfId="32437"/>
    <cellStyle name="Normal 104_Dakota Panel" xfId="32438"/>
    <cellStyle name="Normal 105" xfId="3738"/>
    <cellStyle name="Normal 105 10" xfId="32439"/>
    <cellStyle name="Normal 105 10 2" xfId="32440"/>
    <cellStyle name="Normal 105 11" xfId="32441"/>
    <cellStyle name="Normal 105 11 2" xfId="32442"/>
    <cellStyle name="Normal 105 12" xfId="32443"/>
    <cellStyle name="Normal 105 2" xfId="3739"/>
    <cellStyle name="Normal 105 2 2" xfId="32444"/>
    <cellStyle name="Normal 105 2 2 2" xfId="32445"/>
    <cellStyle name="Normal 105 2 3" xfId="32446"/>
    <cellStyle name="Normal 105 2 3 2" xfId="32447"/>
    <cellStyle name="Normal 105 2 4" xfId="32448"/>
    <cellStyle name="Normal 105 2 4 2" xfId="32449"/>
    <cellStyle name="Normal 105 2 5" xfId="32450"/>
    <cellStyle name="Normal 105 2 5 2" xfId="32451"/>
    <cellStyle name="Normal 105 2 6" xfId="32452"/>
    <cellStyle name="Normal 105 2 6 2" xfId="32453"/>
    <cellStyle name="Normal 105 2 7" xfId="32454"/>
    <cellStyle name="Normal 105 2 7 2" xfId="32455"/>
    <cellStyle name="Normal 105 2 8" xfId="32456"/>
    <cellStyle name="Normal 105 2 8 2" xfId="32457"/>
    <cellStyle name="Normal 105 2 9" xfId="32458"/>
    <cellStyle name="Normal 105 2 9 2" xfId="32459"/>
    <cellStyle name="Normal 105 2_Dakota Panel" xfId="32460"/>
    <cellStyle name="Normal 105 3" xfId="32461"/>
    <cellStyle name="Normal 105 3 2" xfId="32462"/>
    <cellStyle name="Normal 105 3 2 2" xfId="32463"/>
    <cellStyle name="Normal 105 3 3" xfId="32464"/>
    <cellStyle name="Normal 105 3 3 2" xfId="32465"/>
    <cellStyle name="Normal 105 3 4" xfId="32466"/>
    <cellStyle name="Normal 105 3 5" xfId="32467"/>
    <cellStyle name="Normal 105 4" xfId="32468"/>
    <cellStyle name="Normal 105 4 2" xfId="32469"/>
    <cellStyle name="Normal 105 5" xfId="32470"/>
    <cellStyle name="Normal 105 5 2" xfId="32471"/>
    <cellStyle name="Normal 105 6" xfId="32472"/>
    <cellStyle name="Normal 105 6 2" xfId="32473"/>
    <cellStyle name="Normal 105 7" xfId="32474"/>
    <cellStyle name="Normal 105 7 2" xfId="32475"/>
    <cellStyle name="Normal 105 8" xfId="32476"/>
    <cellStyle name="Normal 105 8 2" xfId="32477"/>
    <cellStyle name="Normal 105 9" xfId="32478"/>
    <cellStyle name="Normal 105 9 2" xfId="32479"/>
    <cellStyle name="Normal 105_Dakota Panel" xfId="32480"/>
    <cellStyle name="Normal 106" xfId="3740"/>
    <cellStyle name="Normal 106 10" xfId="32481"/>
    <cellStyle name="Normal 106 10 2" xfId="32482"/>
    <cellStyle name="Normal 106 11" xfId="32483"/>
    <cellStyle name="Normal 106 11 2" xfId="32484"/>
    <cellStyle name="Normal 106 12" xfId="32485"/>
    <cellStyle name="Normal 106 2" xfId="3741"/>
    <cellStyle name="Normal 106 2 2" xfId="32486"/>
    <cellStyle name="Normal 106 2 2 2" xfId="32487"/>
    <cellStyle name="Normal 106 2 3" xfId="32488"/>
    <cellStyle name="Normal 106 2 3 2" xfId="32489"/>
    <cellStyle name="Normal 106 2 4" xfId="32490"/>
    <cellStyle name="Normal 106 2 4 2" xfId="32491"/>
    <cellStyle name="Normal 106 2 5" xfId="32492"/>
    <cellStyle name="Normal 106 2 5 2" xfId="32493"/>
    <cellStyle name="Normal 106 2 6" xfId="32494"/>
    <cellStyle name="Normal 106 2 6 2" xfId="32495"/>
    <cellStyle name="Normal 106 2 7" xfId="32496"/>
    <cellStyle name="Normal 106 2 7 2" xfId="32497"/>
    <cellStyle name="Normal 106 2 8" xfId="32498"/>
    <cellStyle name="Normal 106 2 8 2" xfId="32499"/>
    <cellStyle name="Normal 106 2 9" xfId="32500"/>
    <cellStyle name="Normal 106 2 9 2" xfId="32501"/>
    <cellStyle name="Normal 106 2_Dakota Panel" xfId="32502"/>
    <cellStyle name="Normal 106 3" xfId="32503"/>
    <cellStyle name="Normal 106 3 2" xfId="32504"/>
    <cellStyle name="Normal 106 3 2 2" xfId="32505"/>
    <cellStyle name="Normal 106 3 3" xfId="32506"/>
    <cellStyle name="Normal 106 3 3 2" xfId="32507"/>
    <cellStyle name="Normal 106 3 4" xfId="32508"/>
    <cellStyle name="Normal 106 3 5" xfId="32509"/>
    <cellStyle name="Normal 106 4" xfId="32510"/>
    <cellStyle name="Normal 106 4 2" xfId="32511"/>
    <cellStyle name="Normal 106 5" xfId="32512"/>
    <cellStyle name="Normal 106 5 2" xfId="32513"/>
    <cellStyle name="Normal 106 6" xfId="32514"/>
    <cellStyle name="Normal 106 6 2" xfId="32515"/>
    <cellStyle name="Normal 106 7" xfId="32516"/>
    <cellStyle name="Normal 106 7 2" xfId="32517"/>
    <cellStyle name="Normal 106 8" xfId="32518"/>
    <cellStyle name="Normal 106 8 2" xfId="32519"/>
    <cellStyle name="Normal 106 9" xfId="32520"/>
    <cellStyle name="Normal 106 9 2" xfId="32521"/>
    <cellStyle name="Normal 106_Dakota Panel" xfId="32522"/>
    <cellStyle name="Normal 107" xfId="3742"/>
    <cellStyle name="Normal 107 10" xfId="32523"/>
    <cellStyle name="Normal 107 10 2" xfId="32524"/>
    <cellStyle name="Normal 107 11" xfId="32525"/>
    <cellStyle name="Normal 107 11 2" xfId="32526"/>
    <cellStyle name="Normal 107 12" xfId="32527"/>
    <cellStyle name="Normal 107 2" xfId="3743"/>
    <cellStyle name="Normal 107 2 2" xfId="3744"/>
    <cellStyle name="Normal 107 2 2 2" xfId="3745"/>
    <cellStyle name="Normal 107 2 3" xfId="3746"/>
    <cellStyle name="Normal 107 2 3 2" xfId="32528"/>
    <cellStyle name="Normal 107 2 4" xfId="32529"/>
    <cellStyle name="Normal 107 2 4 2" xfId="32530"/>
    <cellStyle name="Normal 107 2 5" xfId="32531"/>
    <cellStyle name="Normal 107 2 5 2" xfId="32532"/>
    <cellStyle name="Normal 107 2 6" xfId="32533"/>
    <cellStyle name="Normal 107 2 6 2" xfId="32534"/>
    <cellStyle name="Normal 107 2 7" xfId="32535"/>
    <cellStyle name="Normal 107 2 7 2" xfId="32536"/>
    <cellStyle name="Normal 107 2 8" xfId="32537"/>
    <cellStyle name="Normal 107 2 8 2" xfId="32538"/>
    <cellStyle name="Normal 107 2 9" xfId="32539"/>
    <cellStyle name="Normal 107 2 9 2" xfId="32540"/>
    <cellStyle name="Normal 107 2_Dakota Panel" xfId="32541"/>
    <cellStyle name="Normal 107 3" xfId="3747"/>
    <cellStyle name="Normal 107 3 2" xfId="3748"/>
    <cellStyle name="Normal 107 3 2 2" xfId="32542"/>
    <cellStyle name="Normal 107 3 3" xfId="32543"/>
    <cellStyle name="Normal 107 3 3 2" xfId="32544"/>
    <cellStyle name="Normal 107 3 4" xfId="32545"/>
    <cellStyle name="Normal 107 3 5" xfId="32546"/>
    <cellStyle name="Normal 107 4" xfId="3749"/>
    <cellStyle name="Normal 107 4 2" xfId="32547"/>
    <cellStyle name="Normal 107 5" xfId="32548"/>
    <cellStyle name="Normal 107 5 2" xfId="32549"/>
    <cellStyle name="Normal 107 6" xfId="32550"/>
    <cellStyle name="Normal 107 6 2" xfId="32551"/>
    <cellStyle name="Normal 107 7" xfId="32552"/>
    <cellStyle name="Normal 107 7 2" xfId="32553"/>
    <cellStyle name="Normal 107 8" xfId="32554"/>
    <cellStyle name="Normal 107 8 2" xfId="32555"/>
    <cellStyle name="Normal 107 9" xfId="32556"/>
    <cellStyle name="Normal 107 9 2" xfId="32557"/>
    <cellStyle name="Normal 107_Dakota Panel" xfId="32558"/>
    <cellStyle name="Normal 108" xfId="3750"/>
    <cellStyle name="Normal 108 10" xfId="32559"/>
    <cellStyle name="Normal 108 10 2" xfId="32560"/>
    <cellStyle name="Normal 108 11" xfId="32561"/>
    <cellStyle name="Normal 108 11 2" xfId="32562"/>
    <cellStyle name="Normal 108 12" xfId="32563"/>
    <cellStyle name="Normal 108 2" xfId="3751"/>
    <cellStyle name="Normal 108 2 2" xfId="3752"/>
    <cellStyle name="Normal 108 2 2 2" xfId="32564"/>
    <cellStyle name="Normal 108 2 3" xfId="32565"/>
    <cellStyle name="Normal 108 2 3 2" xfId="32566"/>
    <cellStyle name="Normal 108 2 4" xfId="32567"/>
    <cellStyle name="Normal 108 2 4 2" xfId="32568"/>
    <cellStyle name="Normal 108 2 5" xfId="32569"/>
    <cellStyle name="Normal 108 2 5 2" xfId="32570"/>
    <cellStyle name="Normal 108 2 6" xfId="32571"/>
    <cellStyle name="Normal 108 2 6 2" xfId="32572"/>
    <cellStyle name="Normal 108 2 7" xfId="32573"/>
    <cellStyle name="Normal 108 2 7 2" xfId="32574"/>
    <cellStyle name="Normal 108 2 8" xfId="32575"/>
    <cellStyle name="Normal 108 2 8 2" xfId="32576"/>
    <cellStyle name="Normal 108 2 9" xfId="32577"/>
    <cellStyle name="Normal 108 2 9 2" xfId="32578"/>
    <cellStyle name="Normal 108 2_Dakota Panel" xfId="32579"/>
    <cellStyle name="Normal 108 3" xfId="3753"/>
    <cellStyle name="Normal 108 3 2" xfId="3754"/>
    <cellStyle name="Normal 108 3 2 2" xfId="3755"/>
    <cellStyle name="Normal 108 3 2 2 2" xfId="3756"/>
    <cellStyle name="Normal 108 3 2 2 3" xfId="3757"/>
    <cellStyle name="Normal 108 3 2 3" xfId="3758"/>
    <cellStyle name="Normal 108 3 3" xfId="3759"/>
    <cellStyle name="Normal 108 3 3 2" xfId="32580"/>
    <cellStyle name="Normal 108 3 4" xfId="32581"/>
    <cellStyle name="Normal 108 3 5" xfId="32582"/>
    <cellStyle name="Normal 108 4" xfId="3760"/>
    <cellStyle name="Normal 108 4 2" xfId="32583"/>
    <cellStyle name="Normal 108 5" xfId="32584"/>
    <cellStyle name="Normal 108 5 2" xfId="32585"/>
    <cellStyle name="Normal 108 6" xfId="32586"/>
    <cellStyle name="Normal 108 6 2" xfId="32587"/>
    <cellStyle name="Normal 108 7" xfId="32588"/>
    <cellStyle name="Normal 108 7 2" xfId="32589"/>
    <cellStyle name="Normal 108 8" xfId="32590"/>
    <cellStyle name="Normal 108 8 2" xfId="32591"/>
    <cellStyle name="Normal 108 9" xfId="32592"/>
    <cellStyle name="Normal 108 9 2" xfId="32593"/>
    <cellStyle name="Normal 108_Dakota Panel" xfId="32594"/>
    <cellStyle name="Normal 109" xfId="3761"/>
    <cellStyle name="Normal 109 10" xfId="32595"/>
    <cellStyle name="Normal 109 10 2" xfId="32596"/>
    <cellStyle name="Normal 109 11" xfId="32597"/>
    <cellStyle name="Normal 109 11 2" xfId="32598"/>
    <cellStyle name="Normal 109 12" xfId="32599"/>
    <cellStyle name="Normal 109 2" xfId="3762"/>
    <cellStyle name="Normal 109 2 2" xfId="3763"/>
    <cellStyle name="Normal 109 2 2 2" xfId="32600"/>
    <cellStyle name="Normal 109 2 3" xfId="32601"/>
    <cellStyle name="Normal 109 2 3 2" xfId="32602"/>
    <cellStyle name="Normal 109 2 4" xfId="32603"/>
    <cellStyle name="Normal 109 2 4 2" xfId="32604"/>
    <cellStyle name="Normal 109 2 5" xfId="32605"/>
    <cellStyle name="Normal 109 2 5 2" xfId="32606"/>
    <cellStyle name="Normal 109 2 6" xfId="32607"/>
    <cellStyle name="Normal 109 2 6 2" xfId="32608"/>
    <cellStyle name="Normal 109 2 7" xfId="32609"/>
    <cellStyle name="Normal 109 2 7 2" xfId="32610"/>
    <cellStyle name="Normal 109 2 8" xfId="32611"/>
    <cellStyle name="Normal 109 2 8 2" xfId="32612"/>
    <cellStyle name="Normal 109 2 9" xfId="32613"/>
    <cellStyle name="Normal 109 2 9 2" xfId="32614"/>
    <cellStyle name="Normal 109 2_Dakota Panel" xfId="32615"/>
    <cellStyle name="Normal 109 3" xfId="3764"/>
    <cellStyle name="Normal 109 3 2" xfId="32616"/>
    <cellStyle name="Normal 109 3 2 2" xfId="32617"/>
    <cellStyle name="Normal 109 3 3" xfId="32618"/>
    <cellStyle name="Normal 109 3 3 2" xfId="32619"/>
    <cellStyle name="Normal 109 3 4" xfId="32620"/>
    <cellStyle name="Normal 109 3 5" xfId="32621"/>
    <cellStyle name="Normal 109 4" xfId="32622"/>
    <cellStyle name="Normal 109 4 2" xfId="32623"/>
    <cellStyle name="Normal 109 5" xfId="32624"/>
    <cellStyle name="Normal 109 5 2" xfId="32625"/>
    <cellStyle name="Normal 109 6" xfId="32626"/>
    <cellStyle name="Normal 109 6 2" xfId="32627"/>
    <cellStyle name="Normal 109 7" xfId="32628"/>
    <cellStyle name="Normal 109 7 2" xfId="32629"/>
    <cellStyle name="Normal 109 8" xfId="32630"/>
    <cellStyle name="Normal 109 8 2" xfId="32631"/>
    <cellStyle name="Normal 109 9" xfId="32632"/>
    <cellStyle name="Normal 109 9 2" xfId="32633"/>
    <cellStyle name="Normal 109_Dakota Panel" xfId="32634"/>
    <cellStyle name="Normal 11" xfId="3765"/>
    <cellStyle name="Normal 11 10" xfId="32635"/>
    <cellStyle name="Normal 11 10 2" xfId="32636"/>
    <cellStyle name="Normal 11 11" xfId="32637"/>
    <cellStyle name="Normal 11 11 2" xfId="32638"/>
    <cellStyle name="Normal 11 12" xfId="32639"/>
    <cellStyle name="Normal 11 2" xfId="3766"/>
    <cellStyle name="Normal 11 2 2" xfId="3767"/>
    <cellStyle name="Normal 11 2 2 2" xfId="32640"/>
    <cellStyle name="Normal 11 2 2 2 2" xfId="32641"/>
    <cellStyle name="Normal 11 2 2 3" xfId="32642"/>
    <cellStyle name="Normal 11 2 2 3 2" xfId="32643"/>
    <cellStyle name="Normal 11 2 2 3 2 2" xfId="32644"/>
    <cellStyle name="Normal 11 2 2 3 2 2 2" xfId="32645"/>
    <cellStyle name="Normal 11 2 2 3 2 2 3" xfId="32646"/>
    <cellStyle name="Normal 11 2 2 3 2 3" xfId="32647"/>
    <cellStyle name="Normal 11 2 2 3 2 3 2" xfId="32648"/>
    <cellStyle name="Normal 11 2 2 3 2 4" xfId="32649"/>
    <cellStyle name="Normal 11 2 2 3 2 5" xfId="32650"/>
    <cellStyle name="Normal 11 2 2 3 3" xfId="32651"/>
    <cellStyle name="Normal 11 2 2 3 3 2" xfId="32652"/>
    <cellStyle name="Normal 11 2 2 3 3 2 2" xfId="32653"/>
    <cellStyle name="Normal 11 2 2 3 3 3" xfId="32654"/>
    <cellStyle name="Normal 11 2 2 3 3 4" xfId="32655"/>
    <cellStyle name="Normal 11 2 2 3 4" xfId="32656"/>
    <cellStyle name="Normal 11 2 2 3 4 2" xfId="32657"/>
    <cellStyle name="Normal 11 2 2 3 4 2 2" xfId="32658"/>
    <cellStyle name="Normal 11 2 2 3 4 3" xfId="32659"/>
    <cellStyle name="Normal 11 2 2 3 4 4" xfId="32660"/>
    <cellStyle name="Normal 11 2 2 3 5" xfId="32661"/>
    <cellStyle name="Normal 11 2 2 3 5 2" xfId="32662"/>
    <cellStyle name="Normal 11 2 2 3 6" xfId="32663"/>
    <cellStyle name="Normal 11 2 2 3 7" xfId="32664"/>
    <cellStyle name="Normal 11 2 2 3 8" xfId="32665"/>
    <cellStyle name="Normal 11 2 2 4" xfId="32666"/>
    <cellStyle name="Normal 11 2 2 4 2" xfId="32667"/>
    <cellStyle name="Normal 11 2 2 4 2 2" xfId="32668"/>
    <cellStyle name="Normal 11 2 2 4 2 2 2" xfId="32669"/>
    <cellStyle name="Normal 11 2 2 4 2 2 3" xfId="32670"/>
    <cellStyle name="Normal 11 2 2 4 2 3" xfId="32671"/>
    <cellStyle name="Normal 11 2 2 4 2 3 2" xfId="32672"/>
    <cellStyle name="Normal 11 2 2 4 2 4" xfId="32673"/>
    <cellStyle name="Normal 11 2 2 4 2 5" xfId="32674"/>
    <cellStyle name="Normal 11 2 2 4 3" xfId="32675"/>
    <cellStyle name="Normal 11 2 2 4 3 2" xfId="32676"/>
    <cellStyle name="Normal 11 2 2 4 3 2 2" xfId="32677"/>
    <cellStyle name="Normal 11 2 2 4 3 3" xfId="32678"/>
    <cellStyle name="Normal 11 2 2 4 3 4" xfId="32679"/>
    <cellStyle name="Normal 11 2 2 4 4" xfId="32680"/>
    <cellStyle name="Normal 11 2 2 4 4 2" xfId="32681"/>
    <cellStyle name="Normal 11 2 2 4 4 2 2" xfId="32682"/>
    <cellStyle name="Normal 11 2 2 4 4 3" xfId="32683"/>
    <cellStyle name="Normal 11 2 2 4 4 4" xfId="32684"/>
    <cellStyle name="Normal 11 2 2 4 5" xfId="32685"/>
    <cellStyle name="Normal 11 2 2 4 5 2" xfId="32686"/>
    <cellStyle name="Normal 11 2 2 4 6" xfId="32687"/>
    <cellStyle name="Normal 11 2 2 4 7" xfId="32688"/>
    <cellStyle name="Normal 11 2 2 4 8" xfId="32689"/>
    <cellStyle name="Normal 11 2 2 5" xfId="32690"/>
    <cellStyle name="Normal 11 2 2 5 2" xfId="32691"/>
    <cellStyle name="Normal 11 2 2 5 2 2" xfId="32692"/>
    <cellStyle name="Normal 11 2 2 5 2 2 2" xfId="32693"/>
    <cellStyle name="Normal 11 2 2 5 2 2 3" xfId="32694"/>
    <cellStyle name="Normal 11 2 2 5 2 3" xfId="32695"/>
    <cellStyle name="Normal 11 2 2 5 2 3 2" xfId="32696"/>
    <cellStyle name="Normal 11 2 2 5 2 4" xfId="32697"/>
    <cellStyle name="Normal 11 2 2 5 2 5" xfId="32698"/>
    <cellStyle name="Normal 11 2 2 5 3" xfId="32699"/>
    <cellStyle name="Normal 11 2 2 5 3 2" xfId="32700"/>
    <cellStyle name="Normal 11 2 2 5 3 2 2" xfId="32701"/>
    <cellStyle name="Normal 11 2 2 5 3 3" xfId="32702"/>
    <cellStyle name="Normal 11 2 2 5 3 4" xfId="32703"/>
    <cellStyle name="Normal 11 2 2 5 4" xfId="32704"/>
    <cellStyle name="Normal 11 2 2 5 4 2" xfId="32705"/>
    <cellStyle name="Normal 11 2 2 5 4 2 2" xfId="32706"/>
    <cellStyle name="Normal 11 2 2 5 4 3" xfId="32707"/>
    <cellStyle name="Normal 11 2 2 5 4 4" xfId="32708"/>
    <cellStyle name="Normal 11 2 2 5 5" xfId="32709"/>
    <cellStyle name="Normal 11 2 2 5 5 2" xfId="32710"/>
    <cellStyle name="Normal 11 2 2 5 6" xfId="32711"/>
    <cellStyle name="Normal 11 2 2 5 7" xfId="32712"/>
    <cellStyle name="Normal 11 2 2 5 8" xfId="32713"/>
    <cellStyle name="Normal 11 2 2 6" xfId="32714"/>
    <cellStyle name="Normal 11 2 2 7" xfId="32715"/>
    <cellStyle name="Normal 11 2 3" xfId="32716"/>
    <cellStyle name="Normal 11 2 4" xfId="32717"/>
    <cellStyle name="Normal 11 2 5" xfId="32718"/>
    <cellStyle name="Normal 11 3" xfId="3768"/>
    <cellStyle name="Normal 11 3 2" xfId="3769"/>
    <cellStyle name="Normal 11 3 2 2" xfId="3770"/>
    <cellStyle name="Normal 11 3 2 2 2" xfId="32719"/>
    <cellStyle name="Normal 11 3 3" xfId="3771"/>
    <cellStyle name="Normal 11 3 3 2" xfId="3772"/>
    <cellStyle name="Normal 11 3 4" xfId="3773"/>
    <cellStyle name="Normal 11 3 4 2" xfId="32720"/>
    <cellStyle name="Normal 11 3 5" xfId="32721"/>
    <cellStyle name="Normal 11 3 5 2" xfId="32722"/>
    <cellStyle name="Normal 11 3 6" xfId="32723"/>
    <cellStyle name="Normal 11 3 6 2" xfId="32724"/>
    <cellStyle name="Normal 11 3 7" xfId="32725"/>
    <cellStyle name="Normal 11 3 7 2" xfId="32726"/>
    <cellStyle name="Normal 11 3 8" xfId="32727"/>
    <cellStyle name="Normal 11 3 8 2" xfId="32728"/>
    <cellStyle name="Normal 11 3 9" xfId="32729"/>
    <cellStyle name="Normal 11 3 9 2" xfId="32730"/>
    <cellStyle name="Normal 11 3_Dakota Panel" xfId="32731"/>
    <cellStyle name="Normal 11 4" xfId="3774"/>
    <cellStyle name="Normal 11 4 2" xfId="3775"/>
    <cellStyle name="Normal 11 4 2 2" xfId="3776"/>
    <cellStyle name="Normal 11 4 2 2 2" xfId="3777"/>
    <cellStyle name="Normal 11 4 2 2 2 2" xfId="32732"/>
    <cellStyle name="Normal 11 4 2 2 2 3" xfId="32733"/>
    <cellStyle name="Normal 11 4 2 2 3" xfId="32734"/>
    <cellStyle name="Normal 11 4 2 2 3 2" xfId="32735"/>
    <cellStyle name="Normal 11 4 2 2 4" xfId="32736"/>
    <cellStyle name="Normal 11 4 2 2 5" xfId="32737"/>
    <cellStyle name="Normal 11 4 2 3" xfId="3778"/>
    <cellStyle name="Normal 11 4 2 3 2" xfId="32738"/>
    <cellStyle name="Normal 11 4 2 3 2 2" xfId="32739"/>
    <cellStyle name="Normal 11 4 2 3 3" xfId="32740"/>
    <cellStyle name="Normal 11 4 2 3 4" xfId="32741"/>
    <cellStyle name="Normal 11 4 2 4" xfId="32742"/>
    <cellStyle name="Normal 11 4 2 4 2" xfId="32743"/>
    <cellStyle name="Normal 11 4 2 4 2 2" xfId="32744"/>
    <cellStyle name="Normal 11 4 2 4 3" xfId="32745"/>
    <cellStyle name="Normal 11 4 2 4 4" xfId="32746"/>
    <cellStyle name="Normal 11 4 2 5" xfId="32747"/>
    <cellStyle name="Normal 11 4 2 5 2" xfId="32748"/>
    <cellStyle name="Normal 11 4 2 6" xfId="32749"/>
    <cellStyle name="Normal 11 4 2 7" xfId="32750"/>
    <cellStyle name="Normal 11 4 2 8" xfId="32751"/>
    <cellStyle name="Normal 11 4 3" xfId="3779"/>
    <cellStyle name="Normal 11 4 3 2" xfId="3780"/>
    <cellStyle name="Normal 11 4 3 2 2" xfId="32752"/>
    <cellStyle name="Normal 11 4 3 2 2 2" xfId="32753"/>
    <cellStyle name="Normal 11 4 3 2 2 3" xfId="32754"/>
    <cellStyle name="Normal 11 4 3 2 3" xfId="32755"/>
    <cellStyle name="Normal 11 4 3 2 3 2" xfId="32756"/>
    <cellStyle name="Normal 11 4 3 2 4" xfId="32757"/>
    <cellStyle name="Normal 11 4 3 2 5" xfId="32758"/>
    <cellStyle name="Normal 11 4 3 3" xfId="32759"/>
    <cellStyle name="Normal 11 4 3 3 2" xfId="32760"/>
    <cellStyle name="Normal 11 4 3 3 2 2" xfId="32761"/>
    <cellStyle name="Normal 11 4 3 3 3" xfId="32762"/>
    <cellStyle name="Normal 11 4 3 3 4" xfId="32763"/>
    <cellStyle name="Normal 11 4 3 4" xfId="32764"/>
    <cellStyle name="Normal 11 4 3 4 2" xfId="32765"/>
    <cellStyle name="Normal 11 4 3 4 2 2" xfId="32766"/>
    <cellStyle name="Normal 11 4 3 4 3" xfId="32767"/>
    <cellStyle name="Normal 11 4 3 4 4" xfId="32768"/>
    <cellStyle name="Normal 11 4 3 5" xfId="32769"/>
    <cellStyle name="Normal 11 4 3 5 2" xfId="32770"/>
    <cellStyle name="Normal 11 4 3 6" xfId="32771"/>
    <cellStyle name="Normal 11 4 3 7" xfId="32772"/>
    <cellStyle name="Normal 11 4 3 8" xfId="32773"/>
    <cellStyle name="Normal 11 4 4" xfId="3781"/>
    <cellStyle name="Normal 11 4 4 2" xfId="32774"/>
    <cellStyle name="Normal 11 4 4 2 2" xfId="32775"/>
    <cellStyle name="Normal 11 4 4 2 2 2" xfId="32776"/>
    <cellStyle name="Normal 11 4 4 2 2 3" xfId="32777"/>
    <cellStyle name="Normal 11 4 4 2 3" xfId="32778"/>
    <cellStyle name="Normal 11 4 4 2 3 2" xfId="32779"/>
    <cellStyle name="Normal 11 4 4 2 4" xfId="32780"/>
    <cellStyle name="Normal 11 4 4 2 5" xfId="32781"/>
    <cellStyle name="Normal 11 4 4 3" xfId="32782"/>
    <cellStyle name="Normal 11 4 4 3 2" xfId="32783"/>
    <cellStyle name="Normal 11 4 4 3 2 2" xfId="32784"/>
    <cellStyle name="Normal 11 4 4 3 3" xfId="32785"/>
    <cellStyle name="Normal 11 4 4 3 4" xfId="32786"/>
    <cellStyle name="Normal 11 4 4 4" xfId="32787"/>
    <cellStyle name="Normal 11 4 4 4 2" xfId="32788"/>
    <cellStyle name="Normal 11 4 4 4 2 2" xfId="32789"/>
    <cellStyle name="Normal 11 4 4 4 3" xfId="32790"/>
    <cellStyle name="Normal 11 4 4 4 4" xfId="32791"/>
    <cellStyle name="Normal 11 4 4 5" xfId="32792"/>
    <cellStyle name="Normal 11 4 4 5 2" xfId="32793"/>
    <cellStyle name="Normal 11 4 4 6" xfId="32794"/>
    <cellStyle name="Normal 11 4 4 7" xfId="32795"/>
    <cellStyle name="Normal 11 4 4 8" xfId="32796"/>
    <cellStyle name="Normal 11 4 5" xfId="32797"/>
    <cellStyle name="Normal 11 4 6" xfId="32798"/>
    <cellStyle name="Normal 11 4 6 2" xfId="32799"/>
    <cellStyle name="Normal 11 5" xfId="3782"/>
    <cellStyle name="Normal 11 5 2" xfId="3783"/>
    <cellStyle name="Normal 11 5 2 2" xfId="3784"/>
    <cellStyle name="Normal 11 5 3" xfId="3785"/>
    <cellStyle name="Normal 11 6" xfId="3786"/>
    <cellStyle name="Normal 11 6 2" xfId="3787"/>
    <cellStyle name="Normal 11 6 2 2" xfId="32800"/>
    <cellStyle name="Normal 11 7" xfId="3788"/>
    <cellStyle name="Normal 11 7 2" xfId="32801"/>
    <cellStyle name="Normal 11 7 2 2" xfId="32802"/>
    <cellStyle name="Normal 11 7 3" xfId="32803"/>
    <cellStyle name="Normal 11 7 4" xfId="32804"/>
    <cellStyle name="Normal 11 8" xfId="32805"/>
    <cellStyle name="Normal 11 8 2" xfId="32806"/>
    <cellStyle name="Normal 11 9" xfId="32807"/>
    <cellStyle name="Normal 11 9 2" xfId="32808"/>
    <cellStyle name="Normal 11_Dakota Panel" xfId="32809"/>
    <cellStyle name="Normal 110" xfId="3789"/>
    <cellStyle name="Normal 110 10" xfId="32810"/>
    <cellStyle name="Normal 110 10 2" xfId="32811"/>
    <cellStyle name="Normal 110 11" xfId="32812"/>
    <cellStyle name="Normal 110 11 2" xfId="32813"/>
    <cellStyle name="Normal 110 12" xfId="32814"/>
    <cellStyle name="Normal 110 2" xfId="3790"/>
    <cellStyle name="Normal 110 2 2" xfId="3791"/>
    <cellStyle name="Normal 110 2 2 2" xfId="32815"/>
    <cellStyle name="Normal 110 2 3" xfId="32816"/>
    <cellStyle name="Normal 110 2 3 2" xfId="32817"/>
    <cellStyle name="Normal 110 2 4" xfId="32818"/>
    <cellStyle name="Normal 110 2 4 2" xfId="32819"/>
    <cellStyle name="Normal 110 2 5" xfId="32820"/>
    <cellStyle name="Normal 110 2 5 2" xfId="32821"/>
    <cellStyle name="Normal 110 2 6" xfId="32822"/>
    <cellStyle name="Normal 110 2 6 2" xfId="32823"/>
    <cellStyle name="Normal 110 2 7" xfId="32824"/>
    <cellStyle name="Normal 110 2 7 2" xfId="32825"/>
    <cellStyle name="Normal 110 2 8" xfId="32826"/>
    <cellStyle name="Normal 110 2 8 2" xfId="32827"/>
    <cellStyle name="Normal 110 2 9" xfId="32828"/>
    <cellStyle name="Normal 110 2 9 2" xfId="32829"/>
    <cellStyle name="Normal 110 2_Dakota Panel" xfId="32830"/>
    <cellStyle name="Normal 110 3" xfId="3792"/>
    <cellStyle name="Normal 110 3 2" xfId="32831"/>
    <cellStyle name="Normal 110 3 2 2" xfId="32832"/>
    <cellStyle name="Normal 110 3 3" xfId="32833"/>
    <cellStyle name="Normal 110 3 3 2" xfId="32834"/>
    <cellStyle name="Normal 110 3 4" xfId="32835"/>
    <cellStyle name="Normal 110 3 5" xfId="32836"/>
    <cellStyle name="Normal 110 4" xfId="32837"/>
    <cellStyle name="Normal 110 4 2" xfId="32838"/>
    <cellStyle name="Normal 110 5" xfId="32839"/>
    <cellStyle name="Normal 110 5 2" xfId="32840"/>
    <cellStyle name="Normal 110 6" xfId="32841"/>
    <cellStyle name="Normal 110 6 2" xfId="32842"/>
    <cellStyle name="Normal 110 7" xfId="32843"/>
    <cellStyle name="Normal 110 7 2" xfId="32844"/>
    <cellStyle name="Normal 110 8" xfId="32845"/>
    <cellStyle name="Normal 110 8 2" xfId="32846"/>
    <cellStyle name="Normal 110 9" xfId="32847"/>
    <cellStyle name="Normal 110 9 2" xfId="32848"/>
    <cellStyle name="Normal 110_Dakota Panel" xfId="32849"/>
    <cellStyle name="Normal 111" xfId="3793"/>
    <cellStyle name="Normal 111 10" xfId="32850"/>
    <cellStyle name="Normal 111 10 2" xfId="32851"/>
    <cellStyle name="Normal 111 11" xfId="32852"/>
    <cellStyle name="Normal 111 11 2" xfId="32853"/>
    <cellStyle name="Normal 111 12" xfId="32854"/>
    <cellStyle name="Normal 111 2" xfId="3794"/>
    <cellStyle name="Normal 111 2 2" xfId="3795"/>
    <cellStyle name="Normal 111 2 2 2" xfId="3796"/>
    <cellStyle name="Normal 111 2 2 2 2" xfId="3797"/>
    <cellStyle name="Normal 111 2 2 2 2 2" xfId="3798"/>
    <cellStyle name="Normal 111 2 2 2 2 3" xfId="3799"/>
    <cellStyle name="Normal 111 2 2 2 3" xfId="3800"/>
    <cellStyle name="Normal 111 2 2 3" xfId="3801"/>
    <cellStyle name="Normal 111 2 3" xfId="3802"/>
    <cellStyle name="Normal 111 2 3 2" xfId="3803"/>
    <cellStyle name="Normal 111 2 3 2 2" xfId="3804"/>
    <cellStyle name="Normal 111 2 3 2 3" xfId="3805"/>
    <cellStyle name="Normal 111 2 3 3" xfId="3806"/>
    <cellStyle name="Normal 111 2 4" xfId="3807"/>
    <cellStyle name="Normal 111 2 4 2" xfId="32855"/>
    <cellStyle name="Normal 111 2 5" xfId="32856"/>
    <cellStyle name="Normal 111 2 5 2" xfId="32857"/>
    <cellStyle name="Normal 111 2 6" xfId="32858"/>
    <cellStyle name="Normal 111 2 6 2" xfId="32859"/>
    <cellStyle name="Normal 111 2 7" xfId="32860"/>
    <cellStyle name="Normal 111 2 7 2" xfId="32861"/>
    <cellStyle name="Normal 111 2 8" xfId="32862"/>
    <cellStyle name="Normal 111 2 8 2" xfId="32863"/>
    <cellStyle name="Normal 111 2 9" xfId="32864"/>
    <cellStyle name="Normal 111 2 9 2" xfId="32865"/>
    <cellStyle name="Normal 111 2_Dakota Panel" xfId="32866"/>
    <cellStyle name="Normal 111 3" xfId="3808"/>
    <cellStyle name="Normal 111 3 2" xfId="3809"/>
    <cellStyle name="Normal 111 3 2 2" xfId="3810"/>
    <cellStyle name="Normal 111 3 3" xfId="3811"/>
    <cellStyle name="Normal 111 3 3 2" xfId="32867"/>
    <cellStyle name="Normal 111 3 4" xfId="32868"/>
    <cellStyle name="Normal 111 3 5" xfId="32869"/>
    <cellStyle name="Normal 111 4" xfId="3812"/>
    <cellStyle name="Normal 111 4 2" xfId="3813"/>
    <cellStyle name="Normal 111 5" xfId="3814"/>
    <cellStyle name="Normal 111 5 2" xfId="32870"/>
    <cellStyle name="Normal 111 6" xfId="32871"/>
    <cellStyle name="Normal 111 6 2" xfId="32872"/>
    <cellStyle name="Normal 111 7" xfId="32873"/>
    <cellStyle name="Normal 111 7 2" xfId="32874"/>
    <cellStyle name="Normal 111 8" xfId="32875"/>
    <cellStyle name="Normal 111 8 2" xfId="32876"/>
    <cellStyle name="Normal 111 9" xfId="32877"/>
    <cellStyle name="Normal 111 9 2" xfId="32878"/>
    <cellStyle name="Normal 111_Dakota Panel" xfId="32879"/>
    <cellStyle name="Normal 112" xfId="3815"/>
    <cellStyle name="Normal 112 10" xfId="32880"/>
    <cellStyle name="Normal 112 10 2" xfId="32881"/>
    <cellStyle name="Normal 112 11" xfId="32882"/>
    <cellStyle name="Normal 112 11 2" xfId="32883"/>
    <cellStyle name="Normal 112 12" xfId="32884"/>
    <cellStyle name="Normal 112 2" xfId="3816"/>
    <cellStyle name="Normal 112 2 2" xfId="3817"/>
    <cellStyle name="Normal 112 2 2 2" xfId="3818"/>
    <cellStyle name="Normal 112 2 3" xfId="3819"/>
    <cellStyle name="Normal 112 2 3 2" xfId="32885"/>
    <cellStyle name="Normal 112 2 4" xfId="32886"/>
    <cellStyle name="Normal 112 2 4 2" xfId="32887"/>
    <cellStyle name="Normal 112 2 5" xfId="32888"/>
    <cellStyle name="Normal 112 2 5 2" xfId="32889"/>
    <cellStyle name="Normal 112 2 6" xfId="32890"/>
    <cellStyle name="Normal 112 2 6 2" xfId="32891"/>
    <cellStyle name="Normal 112 2 7" xfId="32892"/>
    <cellStyle name="Normal 112 2 7 2" xfId="32893"/>
    <cellStyle name="Normal 112 2 8" xfId="32894"/>
    <cellStyle name="Normal 112 2 8 2" xfId="32895"/>
    <cellStyle name="Normal 112 2 9" xfId="32896"/>
    <cellStyle name="Normal 112 2 9 2" xfId="32897"/>
    <cellStyle name="Normal 112 2_Dakota Panel" xfId="32898"/>
    <cellStyle name="Normal 112 3" xfId="3820"/>
    <cellStyle name="Normal 112 3 2" xfId="3821"/>
    <cellStyle name="Normal 112 3 2 2" xfId="32899"/>
    <cellStyle name="Normal 112 3 3" xfId="32900"/>
    <cellStyle name="Normal 112 3 3 2" xfId="32901"/>
    <cellStyle name="Normal 112 3 4" xfId="32902"/>
    <cellStyle name="Normal 112 3 5" xfId="32903"/>
    <cellStyle name="Normal 112 4" xfId="3822"/>
    <cellStyle name="Normal 112 4 2" xfId="32904"/>
    <cellStyle name="Normal 112 5" xfId="32905"/>
    <cellStyle name="Normal 112 5 2" xfId="32906"/>
    <cellStyle name="Normal 112 6" xfId="32907"/>
    <cellStyle name="Normal 112 6 2" xfId="32908"/>
    <cellStyle name="Normal 112 7" xfId="32909"/>
    <cellStyle name="Normal 112 7 2" xfId="32910"/>
    <cellStyle name="Normal 112 8" xfId="32911"/>
    <cellStyle name="Normal 112 8 2" xfId="32912"/>
    <cellStyle name="Normal 112 9" xfId="32913"/>
    <cellStyle name="Normal 112 9 2" xfId="32914"/>
    <cellStyle name="Normal 112_Dakota Panel" xfId="32915"/>
    <cellStyle name="Normal 113" xfId="3823"/>
    <cellStyle name="Normal 113 10" xfId="32916"/>
    <cellStyle name="Normal 113 10 2" xfId="32917"/>
    <cellStyle name="Normal 113 11" xfId="32918"/>
    <cellStyle name="Normal 113 11 2" xfId="32919"/>
    <cellStyle name="Normal 113 12" xfId="32920"/>
    <cellStyle name="Normal 113 2" xfId="3824"/>
    <cellStyle name="Normal 113 2 2" xfId="3825"/>
    <cellStyle name="Normal 113 2 2 2" xfId="3826"/>
    <cellStyle name="Normal 113 2 2 2 2" xfId="3827"/>
    <cellStyle name="Normal 113 2 2 2 2 2" xfId="3828"/>
    <cellStyle name="Normal 113 2 2 2 3" xfId="3829"/>
    <cellStyle name="Normal 113 2 2 3" xfId="3830"/>
    <cellStyle name="Normal 113 2 2 3 2" xfId="3831"/>
    <cellStyle name="Normal 113 2 2 4" xfId="3832"/>
    <cellStyle name="Normal 113 2 3" xfId="3833"/>
    <cellStyle name="Normal 113 2 3 2" xfId="3834"/>
    <cellStyle name="Normal 113 2 3 2 2" xfId="3835"/>
    <cellStyle name="Normal 113 2 3 3" xfId="3836"/>
    <cellStyle name="Normal 113 2 4" xfId="3837"/>
    <cellStyle name="Normal 113 2 4 2" xfId="3838"/>
    <cellStyle name="Normal 113 2 5" xfId="3839"/>
    <cellStyle name="Normal 113 2 5 2" xfId="32921"/>
    <cellStyle name="Normal 113 2 6" xfId="32922"/>
    <cellStyle name="Normal 113 2 6 2" xfId="32923"/>
    <cellStyle name="Normal 113 2 7" xfId="32924"/>
    <cellStyle name="Normal 113 2 7 2" xfId="32925"/>
    <cellStyle name="Normal 113 2 8" xfId="32926"/>
    <cellStyle name="Normal 113 2 8 2" xfId="32927"/>
    <cellStyle name="Normal 113 2 9" xfId="32928"/>
    <cellStyle name="Normal 113 2 9 2" xfId="32929"/>
    <cellStyle name="Normal 113 2_Dakota Panel" xfId="32930"/>
    <cellStyle name="Normal 113 3" xfId="3840"/>
    <cellStyle name="Normal 113 3 2" xfId="3841"/>
    <cellStyle name="Normal 113 3 2 2" xfId="3842"/>
    <cellStyle name="Normal 113 3 2 2 2" xfId="3843"/>
    <cellStyle name="Normal 113 3 2 3" xfId="3844"/>
    <cellStyle name="Normal 113 3 3" xfId="3845"/>
    <cellStyle name="Normal 113 3 3 2" xfId="3846"/>
    <cellStyle name="Normal 113 3 4" xfId="3847"/>
    <cellStyle name="Normal 113 3 5" xfId="32931"/>
    <cellStyle name="Normal 113 4" xfId="3848"/>
    <cellStyle name="Normal 113 4 2" xfId="3849"/>
    <cellStyle name="Normal 113 4 2 2" xfId="3850"/>
    <cellStyle name="Normal 113 4 3" xfId="3851"/>
    <cellStyle name="Normal 113 5" xfId="3852"/>
    <cellStyle name="Normal 113 5 2" xfId="3853"/>
    <cellStyle name="Normal 113 6" xfId="3854"/>
    <cellStyle name="Normal 113 6 2" xfId="32932"/>
    <cellStyle name="Normal 113 7" xfId="32933"/>
    <cellStyle name="Normal 113 7 2" xfId="32934"/>
    <cellStyle name="Normal 113 8" xfId="32935"/>
    <cellStyle name="Normal 113 8 2" xfId="32936"/>
    <cellStyle name="Normal 113 9" xfId="32937"/>
    <cellStyle name="Normal 113 9 2" xfId="32938"/>
    <cellStyle name="Normal 113_Dakota Panel" xfId="32939"/>
    <cellStyle name="Normal 114" xfId="3855"/>
    <cellStyle name="Normal 114 10" xfId="32940"/>
    <cellStyle name="Normal 114 10 2" xfId="32941"/>
    <cellStyle name="Normal 114 11" xfId="32942"/>
    <cellStyle name="Normal 114 11 2" xfId="32943"/>
    <cellStyle name="Normal 114 12" xfId="32944"/>
    <cellStyle name="Normal 114 2" xfId="3856"/>
    <cellStyle name="Normal 114 2 2" xfId="3857"/>
    <cellStyle name="Normal 114 2 2 2" xfId="32945"/>
    <cellStyle name="Normal 114 2 3" xfId="32946"/>
    <cellStyle name="Normal 114 2 3 2" xfId="32947"/>
    <cellStyle name="Normal 114 2 4" xfId="32948"/>
    <cellStyle name="Normal 114 2 4 2" xfId="32949"/>
    <cellStyle name="Normal 114 2 5" xfId="32950"/>
    <cellStyle name="Normal 114 2 5 2" xfId="32951"/>
    <cellStyle name="Normal 114 2 6" xfId="32952"/>
    <cellStyle name="Normal 114 2 6 2" xfId="32953"/>
    <cellStyle name="Normal 114 2 7" xfId="32954"/>
    <cellStyle name="Normal 114 2 7 2" xfId="32955"/>
    <cellStyle name="Normal 114 2 8" xfId="32956"/>
    <cellStyle name="Normal 114 2 8 2" xfId="32957"/>
    <cellStyle name="Normal 114 2 9" xfId="32958"/>
    <cellStyle name="Normal 114 2 9 2" xfId="32959"/>
    <cellStyle name="Normal 114 2_Dakota Panel" xfId="32960"/>
    <cellStyle name="Normal 114 3" xfId="32961"/>
    <cellStyle name="Normal 114 3 2" xfId="32962"/>
    <cellStyle name="Normal 114 3 2 2" xfId="32963"/>
    <cellStyle name="Normal 114 3 3" xfId="32964"/>
    <cellStyle name="Normal 114 3 3 2" xfId="32965"/>
    <cellStyle name="Normal 114 3 4" xfId="32966"/>
    <cellStyle name="Normal 114 3 5" xfId="32967"/>
    <cellStyle name="Normal 114 4" xfId="32968"/>
    <cellStyle name="Normal 114 4 2" xfId="32969"/>
    <cellStyle name="Normal 114 5" xfId="32970"/>
    <cellStyle name="Normal 114 5 2" xfId="32971"/>
    <cellStyle name="Normal 114 6" xfId="32972"/>
    <cellStyle name="Normal 114 6 2" xfId="32973"/>
    <cellStyle name="Normal 114 7" xfId="32974"/>
    <cellStyle name="Normal 114 7 2" xfId="32975"/>
    <cellStyle name="Normal 114 8" xfId="32976"/>
    <cellStyle name="Normal 114 8 2" xfId="32977"/>
    <cellStyle name="Normal 114 9" xfId="32978"/>
    <cellStyle name="Normal 114 9 2" xfId="32979"/>
    <cellStyle name="Normal 114_Dakota Panel" xfId="32980"/>
    <cellStyle name="Normal 115" xfId="3858"/>
    <cellStyle name="Normal 115 10" xfId="32981"/>
    <cellStyle name="Normal 115 10 2" xfId="32982"/>
    <cellStyle name="Normal 115 11" xfId="32983"/>
    <cellStyle name="Normal 115 11 2" xfId="32984"/>
    <cellStyle name="Normal 115 12" xfId="32985"/>
    <cellStyle name="Normal 115 2" xfId="3859"/>
    <cellStyle name="Normal 115 2 2" xfId="3860"/>
    <cellStyle name="Normal 115 2 2 2" xfId="32986"/>
    <cellStyle name="Normal 115 2 3" xfId="32987"/>
    <cellStyle name="Normal 115 2 3 2" xfId="32988"/>
    <cellStyle name="Normal 115 2 4" xfId="32989"/>
    <cellStyle name="Normal 115 2 4 2" xfId="32990"/>
    <cellStyle name="Normal 115 2 5" xfId="32991"/>
    <cellStyle name="Normal 115 2 5 2" xfId="32992"/>
    <cellStyle name="Normal 115 2 6" xfId="32993"/>
    <cellStyle name="Normal 115 2 6 2" xfId="32994"/>
    <cellStyle name="Normal 115 2 7" xfId="32995"/>
    <cellStyle name="Normal 115 2 7 2" xfId="32996"/>
    <cellStyle name="Normal 115 2 8" xfId="32997"/>
    <cellStyle name="Normal 115 2 8 2" xfId="32998"/>
    <cellStyle name="Normal 115 2 9" xfId="32999"/>
    <cellStyle name="Normal 115 2 9 2" xfId="33000"/>
    <cellStyle name="Normal 115 2_Dakota Panel" xfId="33001"/>
    <cellStyle name="Normal 115 3" xfId="3861"/>
    <cellStyle name="Normal 115 3 2" xfId="33002"/>
    <cellStyle name="Normal 115 3 2 2" xfId="33003"/>
    <cellStyle name="Normal 115 3 3" xfId="33004"/>
    <cellStyle name="Normal 115 3 3 2" xfId="33005"/>
    <cellStyle name="Normal 115 3 4" xfId="33006"/>
    <cellStyle name="Normal 115 3 5" xfId="33007"/>
    <cellStyle name="Normal 115 4" xfId="33008"/>
    <cellStyle name="Normal 115 4 2" xfId="33009"/>
    <cellStyle name="Normal 115 5" xfId="33010"/>
    <cellStyle name="Normal 115 5 2" xfId="33011"/>
    <cellStyle name="Normal 115 6" xfId="33012"/>
    <cellStyle name="Normal 115 6 2" xfId="33013"/>
    <cellStyle name="Normal 115 7" xfId="33014"/>
    <cellStyle name="Normal 115 7 2" xfId="33015"/>
    <cellStyle name="Normal 115 8" xfId="33016"/>
    <cellStyle name="Normal 115 8 2" xfId="33017"/>
    <cellStyle name="Normal 115 9" xfId="33018"/>
    <cellStyle name="Normal 115 9 2" xfId="33019"/>
    <cellStyle name="Normal 115_Dakota Panel" xfId="33020"/>
    <cellStyle name="Normal 116" xfId="3862"/>
    <cellStyle name="Normal 116 10" xfId="33021"/>
    <cellStyle name="Normal 116 10 2" xfId="33022"/>
    <cellStyle name="Normal 116 11" xfId="33023"/>
    <cellStyle name="Normal 116 11 2" xfId="33024"/>
    <cellStyle name="Normal 116 12" xfId="33025"/>
    <cellStyle name="Normal 116 2" xfId="3863"/>
    <cellStyle name="Normal 116 2 2" xfId="3864"/>
    <cellStyle name="Normal 116 2 2 2" xfId="33026"/>
    <cellStyle name="Normal 116 2 3" xfId="33027"/>
    <cellStyle name="Normal 116 2 3 2" xfId="33028"/>
    <cellStyle name="Normal 116 2 4" xfId="33029"/>
    <cellStyle name="Normal 116 2 4 2" xfId="33030"/>
    <cellStyle name="Normal 116 2 5" xfId="33031"/>
    <cellStyle name="Normal 116 2 5 2" xfId="33032"/>
    <cellStyle name="Normal 116 2 6" xfId="33033"/>
    <cellStyle name="Normal 116 2 6 2" xfId="33034"/>
    <cellStyle name="Normal 116 2 7" xfId="33035"/>
    <cellStyle name="Normal 116 2 7 2" xfId="33036"/>
    <cellStyle name="Normal 116 2 8" xfId="33037"/>
    <cellStyle name="Normal 116 2 8 2" xfId="33038"/>
    <cellStyle name="Normal 116 2 9" xfId="33039"/>
    <cellStyle name="Normal 116 2 9 2" xfId="33040"/>
    <cellStyle name="Normal 116 2_Dakota Panel" xfId="33041"/>
    <cellStyle name="Normal 116 3" xfId="3865"/>
    <cellStyle name="Normal 116 3 2" xfId="33042"/>
    <cellStyle name="Normal 116 3 2 2" xfId="33043"/>
    <cellStyle name="Normal 116 3 3" xfId="33044"/>
    <cellStyle name="Normal 116 3 3 2" xfId="33045"/>
    <cellStyle name="Normal 116 3 4" xfId="33046"/>
    <cellStyle name="Normal 116 3 5" xfId="33047"/>
    <cellStyle name="Normal 116 4" xfId="33048"/>
    <cellStyle name="Normal 116 4 2" xfId="33049"/>
    <cellStyle name="Normal 116 5" xfId="33050"/>
    <cellStyle name="Normal 116 5 2" xfId="33051"/>
    <cellStyle name="Normal 116 6" xfId="33052"/>
    <cellStyle name="Normal 116 6 2" xfId="33053"/>
    <cellStyle name="Normal 116 7" xfId="33054"/>
    <cellStyle name="Normal 116 7 2" xfId="33055"/>
    <cellStyle name="Normal 116 8" xfId="33056"/>
    <cellStyle name="Normal 116 8 2" xfId="33057"/>
    <cellStyle name="Normal 116 9" xfId="33058"/>
    <cellStyle name="Normal 116 9 2" xfId="33059"/>
    <cellStyle name="Normal 116_Dakota Panel" xfId="33060"/>
    <cellStyle name="Normal 117" xfId="3866"/>
    <cellStyle name="Normal 117 10" xfId="33061"/>
    <cellStyle name="Normal 117 10 2" xfId="33062"/>
    <cellStyle name="Normal 117 11" xfId="33063"/>
    <cellStyle name="Normal 117 11 2" xfId="33064"/>
    <cellStyle name="Normal 117 12" xfId="33065"/>
    <cellStyle name="Normal 117 2" xfId="3867"/>
    <cellStyle name="Normal 117 2 2" xfId="33066"/>
    <cellStyle name="Normal 117 2 2 2" xfId="33067"/>
    <cellStyle name="Normal 117 2 3" xfId="33068"/>
    <cellStyle name="Normal 117 2 3 2" xfId="33069"/>
    <cellStyle name="Normal 117 2 4" xfId="33070"/>
    <cellStyle name="Normal 117 2 4 2" xfId="33071"/>
    <cellStyle name="Normal 117 2 5" xfId="33072"/>
    <cellStyle name="Normal 117 2 5 2" xfId="33073"/>
    <cellStyle name="Normal 117 2 6" xfId="33074"/>
    <cellStyle name="Normal 117 2 6 2" xfId="33075"/>
    <cellStyle name="Normal 117 2 7" xfId="33076"/>
    <cellStyle name="Normal 117 2 7 2" xfId="33077"/>
    <cellStyle name="Normal 117 2 8" xfId="33078"/>
    <cellStyle name="Normal 117 2 8 2" xfId="33079"/>
    <cellStyle name="Normal 117 2 9" xfId="33080"/>
    <cellStyle name="Normal 117 2 9 2" xfId="33081"/>
    <cellStyle name="Normal 117 2_Dakota Panel" xfId="33082"/>
    <cellStyle name="Normal 117 3" xfId="33083"/>
    <cellStyle name="Normal 117 3 2" xfId="33084"/>
    <cellStyle name="Normal 117 3 2 2" xfId="33085"/>
    <cellStyle name="Normal 117 3 3" xfId="33086"/>
    <cellStyle name="Normal 117 3 3 2" xfId="33087"/>
    <cellStyle name="Normal 117 3 4" xfId="33088"/>
    <cellStyle name="Normal 117 3 5" xfId="33089"/>
    <cellStyle name="Normal 117 4" xfId="33090"/>
    <cellStyle name="Normal 117 4 2" xfId="33091"/>
    <cellStyle name="Normal 117 5" xfId="33092"/>
    <cellStyle name="Normal 117 5 2" xfId="33093"/>
    <cellStyle name="Normal 117 6" xfId="33094"/>
    <cellStyle name="Normal 117 6 2" xfId="33095"/>
    <cellStyle name="Normal 117 7" xfId="33096"/>
    <cellStyle name="Normal 117 7 2" xfId="33097"/>
    <cellStyle name="Normal 117 8" xfId="33098"/>
    <cellStyle name="Normal 117 8 2" xfId="33099"/>
    <cellStyle name="Normal 117 9" xfId="33100"/>
    <cellStyle name="Normal 117 9 2" xfId="33101"/>
    <cellStyle name="Normal 117_Dakota Panel" xfId="33102"/>
    <cellStyle name="Normal 118" xfId="3868"/>
    <cellStyle name="Normal 118 10" xfId="33103"/>
    <cellStyle name="Normal 118 10 2" xfId="33104"/>
    <cellStyle name="Normal 118 11" xfId="33105"/>
    <cellStyle name="Normal 118 11 2" xfId="33106"/>
    <cellStyle name="Normal 118 12" xfId="33107"/>
    <cellStyle name="Normal 118 2" xfId="3869"/>
    <cellStyle name="Normal 118 2 2" xfId="33108"/>
    <cellStyle name="Normal 118 2 2 2" xfId="33109"/>
    <cellStyle name="Normal 118 2 3" xfId="33110"/>
    <cellStyle name="Normal 118 2 3 2" xfId="33111"/>
    <cellStyle name="Normal 118 2 4" xfId="33112"/>
    <cellStyle name="Normal 118 2 4 2" xfId="33113"/>
    <cellStyle name="Normal 118 2 5" xfId="33114"/>
    <cellStyle name="Normal 118 2 5 2" xfId="33115"/>
    <cellStyle name="Normal 118 2 6" xfId="33116"/>
    <cellStyle name="Normal 118 2 6 2" xfId="33117"/>
    <cellStyle name="Normal 118 2 7" xfId="33118"/>
    <cellStyle name="Normal 118 2 7 2" xfId="33119"/>
    <cellStyle name="Normal 118 2 8" xfId="33120"/>
    <cellStyle name="Normal 118 2 8 2" xfId="33121"/>
    <cellStyle name="Normal 118 2 9" xfId="33122"/>
    <cellStyle name="Normal 118 2 9 2" xfId="33123"/>
    <cellStyle name="Normal 118 2_Dakota Panel" xfId="33124"/>
    <cellStyle name="Normal 118 3" xfId="33125"/>
    <cellStyle name="Normal 118 3 2" xfId="33126"/>
    <cellStyle name="Normal 118 3 2 2" xfId="33127"/>
    <cellStyle name="Normal 118 3 3" xfId="33128"/>
    <cellStyle name="Normal 118 3 3 2" xfId="33129"/>
    <cellStyle name="Normal 118 3 4" xfId="33130"/>
    <cellStyle name="Normal 118 3 5" xfId="33131"/>
    <cellStyle name="Normal 118 4" xfId="33132"/>
    <cellStyle name="Normal 118 4 2" xfId="33133"/>
    <cellStyle name="Normal 118 5" xfId="33134"/>
    <cellStyle name="Normal 118 5 2" xfId="33135"/>
    <cellStyle name="Normal 118 6" xfId="33136"/>
    <cellStyle name="Normal 118 6 2" xfId="33137"/>
    <cellStyle name="Normal 118 7" xfId="33138"/>
    <cellStyle name="Normal 118 7 2" xfId="33139"/>
    <cellStyle name="Normal 118 8" xfId="33140"/>
    <cellStyle name="Normal 118 8 2" xfId="33141"/>
    <cellStyle name="Normal 118 9" xfId="33142"/>
    <cellStyle name="Normal 118 9 2" xfId="33143"/>
    <cellStyle name="Normal 118_Dakota Panel" xfId="33144"/>
    <cellStyle name="Normal 119" xfId="3870"/>
    <cellStyle name="Normal 119 10" xfId="33145"/>
    <cellStyle name="Normal 119 10 2" xfId="33146"/>
    <cellStyle name="Normal 119 11" xfId="33147"/>
    <cellStyle name="Normal 119 11 2" xfId="33148"/>
    <cellStyle name="Normal 119 12" xfId="33149"/>
    <cellStyle name="Normal 119 2" xfId="3871"/>
    <cellStyle name="Normal 119 2 2" xfId="3872"/>
    <cellStyle name="Normal 119 2 2 2" xfId="3873"/>
    <cellStyle name="Normal 119 2 3" xfId="3874"/>
    <cellStyle name="Normal 119 2 3 2" xfId="33150"/>
    <cellStyle name="Normal 119 2 4" xfId="33151"/>
    <cellStyle name="Normal 119 2 4 2" xfId="33152"/>
    <cellStyle name="Normal 119 2 5" xfId="33153"/>
    <cellStyle name="Normal 119 2 5 2" xfId="33154"/>
    <cellStyle name="Normal 119 2 6" xfId="33155"/>
    <cellStyle name="Normal 119 2 6 2" xfId="33156"/>
    <cellStyle name="Normal 119 2 7" xfId="33157"/>
    <cellStyle name="Normal 119 2 7 2" xfId="33158"/>
    <cellStyle name="Normal 119 2 8" xfId="33159"/>
    <cellStyle name="Normal 119 2 8 2" xfId="33160"/>
    <cellStyle name="Normal 119 2 9" xfId="33161"/>
    <cellStyle name="Normal 119 2 9 2" xfId="33162"/>
    <cellStyle name="Normal 119 2_Dakota Panel" xfId="33163"/>
    <cellStyle name="Normal 119 3" xfId="3875"/>
    <cellStyle name="Normal 119 3 2" xfId="3876"/>
    <cellStyle name="Normal 119 3 2 2" xfId="33164"/>
    <cellStyle name="Normal 119 3 3" xfId="33165"/>
    <cellStyle name="Normal 119 3 3 2" xfId="33166"/>
    <cellStyle name="Normal 119 3 4" xfId="33167"/>
    <cellStyle name="Normal 119 3 5" xfId="33168"/>
    <cellStyle name="Normal 119 4" xfId="3877"/>
    <cellStyle name="Normal 119 4 2" xfId="33169"/>
    <cellStyle name="Normal 119 5" xfId="33170"/>
    <cellStyle name="Normal 119 5 2" xfId="33171"/>
    <cellStyle name="Normal 119 6" xfId="33172"/>
    <cellStyle name="Normal 119 6 2" xfId="33173"/>
    <cellStyle name="Normal 119 7" xfId="33174"/>
    <cellStyle name="Normal 119 7 2" xfId="33175"/>
    <cellStyle name="Normal 119 8" xfId="33176"/>
    <cellStyle name="Normal 119 8 2" xfId="33177"/>
    <cellStyle name="Normal 119 9" xfId="33178"/>
    <cellStyle name="Normal 119 9 2" xfId="33179"/>
    <cellStyle name="Normal 119_Dakota Panel" xfId="33180"/>
    <cellStyle name="Normal 12" xfId="3878"/>
    <cellStyle name="Normal 12 10" xfId="33181"/>
    <cellStyle name="Normal 12 10 2" xfId="33182"/>
    <cellStyle name="Normal 12 11" xfId="33183"/>
    <cellStyle name="Normal 12 11 2" xfId="33184"/>
    <cellStyle name="Normal 12 12" xfId="33185"/>
    <cellStyle name="Normal 12 2" xfId="3879"/>
    <cellStyle name="Normal 12 2 2" xfId="3880"/>
    <cellStyle name="Normal 12 2 2 2" xfId="33186"/>
    <cellStyle name="Normal 12 2 2 3" xfId="33187"/>
    <cellStyle name="Normal 12 2 3" xfId="33188"/>
    <cellStyle name="Normal 12 2 4" xfId="33189"/>
    <cellStyle name="Normal 12 2 5" xfId="33190"/>
    <cellStyle name="Normal 12 3" xfId="3881"/>
    <cellStyle name="Normal 12 3 2" xfId="3882"/>
    <cellStyle name="Normal 12 3 2 2" xfId="3883"/>
    <cellStyle name="Normal 12 3 2 2 2" xfId="3884"/>
    <cellStyle name="Normal 12 3 2 3" xfId="3885"/>
    <cellStyle name="Normal 12 3 3" xfId="3886"/>
    <cellStyle name="Normal 12 3 3 2" xfId="3887"/>
    <cellStyle name="Normal 12 3 4" xfId="3888"/>
    <cellStyle name="Normal 12 3 4 2" xfId="33191"/>
    <cellStyle name="Normal 12 3 5" xfId="33192"/>
    <cellStyle name="Normal 12 3 5 2" xfId="33193"/>
    <cellStyle name="Normal 12 3 6" xfId="33194"/>
    <cellStyle name="Normal 12 3 6 2" xfId="33195"/>
    <cellStyle name="Normal 12 3 7" xfId="33196"/>
    <cellStyle name="Normal 12 3 7 2" xfId="33197"/>
    <cellStyle name="Normal 12 3 8" xfId="33198"/>
    <cellStyle name="Normal 12 3 8 2" xfId="33199"/>
    <cellStyle name="Normal 12 3 9" xfId="33200"/>
    <cellStyle name="Normal 12 3 9 2" xfId="33201"/>
    <cellStyle name="Normal 12 3_Dakota Panel" xfId="33202"/>
    <cellStyle name="Normal 12 4" xfId="3889"/>
    <cellStyle name="Normal 12 4 2" xfId="3890"/>
    <cellStyle name="Normal 12 4 2 2" xfId="3891"/>
    <cellStyle name="Normal 12 4 3" xfId="3892"/>
    <cellStyle name="Normal 12 5" xfId="3893"/>
    <cellStyle name="Normal 12 5 2" xfId="3894"/>
    <cellStyle name="Normal 12 5 2 2" xfId="33203"/>
    <cellStyle name="Normal 12 6" xfId="3895"/>
    <cellStyle name="Normal 12 6 2" xfId="33204"/>
    <cellStyle name="Normal 12 6 2 2" xfId="33205"/>
    <cellStyle name="Normal 12 6 3" xfId="33206"/>
    <cellStyle name="Normal 12 6 4" xfId="33207"/>
    <cellStyle name="Normal 12 7" xfId="33208"/>
    <cellStyle name="Normal 12 7 2" xfId="33209"/>
    <cellStyle name="Normal 12 8" xfId="33210"/>
    <cellStyle name="Normal 12 8 2" xfId="33211"/>
    <cellStyle name="Normal 12 9" xfId="33212"/>
    <cellStyle name="Normal 12 9 2" xfId="33213"/>
    <cellStyle name="Normal 12_Dakota Panel" xfId="33214"/>
    <cellStyle name="Normal 120" xfId="3896"/>
    <cellStyle name="Normal 120 10" xfId="33215"/>
    <cellStyle name="Normal 120 10 2" xfId="33216"/>
    <cellStyle name="Normal 120 11" xfId="33217"/>
    <cellStyle name="Normal 120 11 2" xfId="33218"/>
    <cellStyle name="Normal 120 12" xfId="33219"/>
    <cellStyle name="Normal 120 2" xfId="3897"/>
    <cellStyle name="Normal 120 2 2" xfId="3898"/>
    <cellStyle name="Normal 120 2 2 2" xfId="3899"/>
    <cellStyle name="Normal 120 2 3" xfId="3900"/>
    <cellStyle name="Normal 120 2 3 2" xfId="33220"/>
    <cellStyle name="Normal 120 2 4" xfId="33221"/>
    <cellStyle name="Normal 120 2 4 2" xfId="33222"/>
    <cellStyle name="Normal 120 2 5" xfId="33223"/>
    <cellStyle name="Normal 120 2 5 2" xfId="33224"/>
    <cellStyle name="Normal 120 2 6" xfId="33225"/>
    <cellStyle name="Normal 120 2 6 2" xfId="33226"/>
    <cellStyle name="Normal 120 2 7" xfId="33227"/>
    <cellStyle name="Normal 120 2 7 2" xfId="33228"/>
    <cellStyle name="Normal 120 2 8" xfId="33229"/>
    <cellStyle name="Normal 120 2 8 2" xfId="33230"/>
    <cellStyle name="Normal 120 2 9" xfId="33231"/>
    <cellStyle name="Normal 120 2 9 2" xfId="33232"/>
    <cellStyle name="Normal 120 2_Dakota Panel" xfId="33233"/>
    <cellStyle name="Normal 120 3" xfId="3901"/>
    <cellStyle name="Normal 120 3 2" xfId="3902"/>
    <cellStyle name="Normal 120 3 2 2" xfId="33234"/>
    <cellStyle name="Normal 120 3 3" xfId="33235"/>
    <cellStyle name="Normal 120 3 3 2" xfId="33236"/>
    <cellStyle name="Normal 120 3 4" xfId="33237"/>
    <cellStyle name="Normal 120 3 5" xfId="33238"/>
    <cellStyle name="Normal 120 4" xfId="3903"/>
    <cellStyle name="Normal 120 4 2" xfId="33239"/>
    <cellStyle name="Normal 120 5" xfId="33240"/>
    <cellStyle name="Normal 120 5 2" xfId="33241"/>
    <cellStyle name="Normal 120 6" xfId="33242"/>
    <cellStyle name="Normal 120 6 2" xfId="33243"/>
    <cellStyle name="Normal 120 7" xfId="33244"/>
    <cellStyle name="Normal 120 7 2" xfId="33245"/>
    <cellStyle name="Normal 120 8" xfId="33246"/>
    <cellStyle name="Normal 120 8 2" xfId="33247"/>
    <cellStyle name="Normal 120 9" xfId="33248"/>
    <cellStyle name="Normal 120 9 2" xfId="33249"/>
    <cellStyle name="Normal 120_Dakota Panel" xfId="33250"/>
    <cellStyle name="Normal 121" xfId="3904"/>
    <cellStyle name="Normal 121 10" xfId="33251"/>
    <cellStyle name="Normal 121 10 2" xfId="33252"/>
    <cellStyle name="Normal 121 11" xfId="33253"/>
    <cellStyle name="Normal 121 11 2" xfId="33254"/>
    <cellStyle name="Normal 121 12" xfId="33255"/>
    <cellStyle name="Normal 121 2" xfId="3905"/>
    <cellStyle name="Normal 121 2 2" xfId="3906"/>
    <cellStyle name="Normal 121 2 2 2" xfId="3907"/>
    <cellStyle name="Normal 121 2 2 3" xfId="3908"/>
    <cellStyle name="Normal 121 2 3" xfId="3909"/>
    <cellStyle name="Normal 121 2 3 2" xfId="33256"/>
    <cellStyle name="Normal 121 2 4" xfId="33257"/>
    <cellStyle name="Normal 121 2 4 2" xfId="33258"/>
    <cellStyle name="Normal 121 2 5" xfId="33259"/>
    <cellStyle name="Normal 121 2 5 2" xfId="33260"/>
    <cellStyle name="Normal 121 2 6" xfId="33261"/>
    <cellStyle name="Normal 121 2 6 2" xfId="33262"/>
    <cellStyle name="Normal 121 2 7" xfId="33263"/>
    <cellStyle name="Normal 121 2 7 2" xfId="33264"/>
    <cellStyle name="Normal 121 2 8" xfId="33265"/>
    <cellStyle name="Normal 121 2 8 2" xfId="33266"/>
    <cellStyle name="Normal 121 2 9" xfId="33267"/>
    <cellStyle name="Normal 121 2 9 2" xfId="33268"/>
    <cellStyle name="Normal 121 2_Dakota Panel" xfId="33269"/>
    <cellStyle name="Normal 121 3" xfId="3910"/>
    <cellStyle name="Normal 121 3 2" xfId="33270"/>
    <cellStyle name="Normal 121 3 2 2" xfId="33271"/>
    <cellStyle name="Normal 121 3 3" xfId="33272"/>
    <cellStyle name="Normal 121 3 3 2" xfId="33273"/>
    <cellStyle name="Normal 121 3 4" xfId="33274"/>
    <cellStyle name="Normal 121 3 5" xfId="33275"/>
    <cellStyle name="Normal 121 4" xfId="33276"/>
    <cellStyle name="Normal 121 4 2" xfId="33277"/>
    <cellStyle name="Normal 121 5" xfId="33278"/>
    <cellStyle name="Normal 121 5 2" xfId="33279"/>
    <cellStyle name="Normal 121 6" xfId="33280"/>
    <cellStyle name="Normal 121 6 2" xfId="33281"/>
    <cellStyle name="Normal 121 7" xfId="33282"/>
    <cellStyle name="Normal 121 7 2" xfId="33283"/>
    <cellStyle name="Normal 121 8" xfId="33284"/>
    <cellStyle name="Normal 121 8 2" xfId="33285"/>
    <cellStyle name="Normal 121 9" xfId="33286"/>
    <cellStyle name="Normal 121 9 2" xfId="33287"/>
    <cellStyle name="Normal 121_Dakota Panel" xfId="33288"/>
    <cellStyle name="Normal 122" xfId="3911"/>
    <cellStyle name="Normal 122 10" xfId="33289"/>
    <cellStyle name="Normal 122 10 2" xfId="33290"/>
    <cellStyle name="Normal 122 11" xfId="33291"/>
    <cellStyle name="Normal 122 11 2" xfId="33292"/>
    <cellStyle name="Normal 122 12" xfId="33293"/>
    <cellStyle name="Normal 122 2" xfId="3912"/>
    <cellStyle name="Normal 122 2 2" xfId="33294"/>
    <cellStyle name="Normal 122 2 2 2" xfId="33295"/>
    <cellStyle name="Normal 122 2 3" xfId="33296"/>
    <cellStyle name="Normal 122 2 3 2" xfId="33297"/>
    <cellStyle name="Normal 122 2 4" xfId="33298"/>
    <cellStyle name="Normal 122 2 4 2" xfId="33299"/>
    <cellStyle name="Normal 122 2 5" xfId="33300"/>
    <cellStyle name="Normal 122 2 5 2" xfId="33301"/>
    <cellStyle name="Normal 122 2 6" xfId="33302"/>
    <cellStyle name="Normal 122 2 6 2" xfId="33303"/>
    <cellStyle name="Normal 122 2 7" xfId="33304"/>
    <cellStyle name="Normal 122 2 7 2" xfId="33305"/>
    <cellStyle name="Normal 122 2 8" xfId="33306"/>
    <cellStyle name="Normal 122 2 8 2" xfId="33307"/>
    <cellStyle name="Normal 122 2 9" xfId="33308"/>
    <cellStyle name="Normal 122 2 9 2" xfId="33309"/>
    <cellStyle name="Normal 122 2_Dakota Panel" xfId="33310"/>
    <cellStyle name="Normal 122 3" xfId="33311"/>
    <cellStyle name="Normal 122 3 2" xfId="33312"/>
    <cellStyle name="Normal 122 3 2 2" xfId="33313"/>
    <cellStyle name="Normal 122 3 3" xfId="33314"/>
    <cellStyle name="Normal 122 3 3 2" xfId="33315"/>
    <cellStyle name="Normal 122 3 4" xfId="33316"/>
    <cellStyle name="Normal 122 3 5" xfId="33317"/>
    <cellStyle name="Normal 122 4" xfId="33318"/>
    <cellStyle name="Normal 122 4 2" xfId="33319"/>
    <cellStyle name="Normal 122 5" xfId="33320"/>
    <cellStyle name="Normal 122 5 2" xfId="33321"/>
    <cellStyle name="Normal 122 6" xfId="33322"/>
    <cellStyle name="Normal 122 6 2" xfId="33323"/>
    <cellStyle name="Normal 122 7" xfId="33324"/>
    <cellStyle name="Normal 122 7 2" xfId="33325"/>
    <cellStyle name="Normal 122 8" xfId="33326"/>
    <cellStyle name="Normal 122 8 2" xfId="33327"/>
    <cellStyle name="Normal 122 9" xfId="33328"/>
    <cellStyle name="Normal 122 9 2" xfId="33329"/>
    <cellStyle name="Normal 122_Dakota Panel" xfId="33330"/>
    <cellStyle name="Normal 123" xfId="3913"/>
    <cellStyle name="Normal 123 10" xfId="33331"/>
    <cellStyle name="Normal 123 10 2" xfId="33332"/>
    <cellStyle name="Normal 123 11" xfId="33333"/>
    <cellStyle name="Normal 123 11 2" xfId="33334"/>
    <cellStyle name="Normal 123 12" xfId="33335"/>
    <cellStyle name="Normal 123 2" xfId="3914"/>
    <cellStyle name="Normal 123 2 2" xfId="3915"/>
    <cellStyle name="Normal 123 2 2 2" xfId="33336"/>
    <cellStyle name="Normal 123 2 3" xfId="33337"/>
    <cellStyle name="Normal 123 2 3 2" xfId="33338"/>
    <cellStyle name="Normal 123 2 4" xfId="33339"/>
    <cellStyle name="Normal 123 2 4 2" xfId="33340"/>
    <cellStyle name="Normal 123 2 5" xfId="33341"/>
    <cellStyle name="Normal 123 2 5 2" xfId="33342"/>
    <cellStyle name="Normal 123 2 6" xfId="33343"/>
    <cellStyle name="Normal 123 2 6 2" xfId="33344"/>
    <cellStyle name="Normal 123 2 7" xfId="33345"/>
    <cellStyle name="Normal 123 2 7 2" xfId="33346"/>
    <cellStyle name="Normal 123 2 8" xfId="33347"/>
    <cellStyle name="Normal 123 2 8 2" xfId="33348"/>
    <cellStyle name="Normal 123 2 9" xfId="33349"/>
    <cellStyle name="Normal 123 2 9 2" xfId="33350"/>
    <cellStyle name="Normal 123 2_Dakota Panel" xfId="33351"/>
    <cellStyle name="Normal 123 3" xfId="3916"/>
    <cellStyle name="Normal 123 3 2" xfId="33352"/>
    <cellStyle name="Normal 123 3 2 2" xfId="33353"/>
    <cellStyle name="Normal 123 3 3" xfId="33354"/>
    <cellStyle name="Normal 123 3 3 2" xfId="33355"/>
    <cellStyle name="Normal 123 3 4" xfId="33356"/>
    <cellStyle name="Normal 123 3 5" xfId="33357"/>
    <cellStyle name="Normal 123 4" xfId="33358"/>
    <cellStyle name="Normal 123 4 2" xfId="33359"/>
    <cellStyle name="Normal 123 5" xfId="33360"/>
    <cellStyle name="Normal 123 5 2" xfId="33361"/>
    <cellStyle name="Normal 123 6" xfId="33362"/>
    <cellStyle name="Normal 123 6 2" xfId="33363"/>
    <cellStyle name="Normal 123 7" xfId="33364"/>
    <cellStyle name="Normal 123 7 2" xfId="33365"/>
    <cellStyle name="Normal 123 8" xfId="33366"/>
    <cellStyle name="Normal 123 8 2" xfId="33367"/>
    <cellStyle name="Normal 123 9" xfId="33368"/>
    <cellStyle name="Normal 123 9 2" xfId="33369"/>
    <cellStyle name="Normal 123_Dakota Panel" xfId="33370"/>
    <cellStyle name="Normal 124" xfId="3917"/>
    <cellStyle name="Normal 124 10" xfId="33371"/>
    <cellStyle name="Normal 124 10 2" xfId="33372"/>
    <cellStyle name="Normal 124 11" xfId="33373"/>
    <cellStyle name="Normal 124 11 2" xfId="33374"/>
    <cellStyle name="Normal 124 12" xfId="33375"/>
    <cellStyle name="Normal 124 2" xfId="3918"/>
    <cellStyle name="Normal 124 2 2" xfId="3919"/>
    <cellStyle name="Normal 124 2 2 2" xfId="33376"/>
    <cellStyle name="Normal 124 2 3" xfId="33377"/>
    <cellStyle name="Normal 124 2 3 2" xfId="33378"/>
    <cellStyle name="Normal 124 2 4" xfId="33379"/>
    <cellStyle name="Normal 124 2 4 2" xfId="33380"/>
    <cellStyle name="Normal 124 2 5" xfId="33381"/>
    <cellStyle name="Normal 124 2 5 2" xfId="33382"/>
    <cellStyle name="Normal 124 2 6" xfId="33383"/>
    <cellStyle name="Normal 124 2 6 2" xfId="33384"/>
    <cellStyle name="Normal 124 2 7" xfId="33385"/>
    <cellStyle name="Normal 124 2 7 2" xfId="33386"/>
    <cellStyle name="Normal 124 2 8" xfId="33387"/>
    <cellStyle name="Normal 124 2 8 2" xfId="33388"/>
    <cellStyle name="Normal 124 2 9" xfId="33389"/>
    <cellStyle name="Normal 124 2 9 2" xfId="33390"/>
    <cellStyle name="Normal 124 2_Dakota Panel" xfId="33391"/>
    <cellStyle name="Normal 124 3" xfId="3920"/>
    <cellStyle name="Normal 124 3 2" xfId="33392"/>
    <cellStyle name="Normal 124 3 2 2" xfId="33393"/>
    <cellStyle name="Normal 124 3 3" xfId="33394"/>
    <cellStyle name="Normal 124 3 3 2" xfId="33395"/>
    <cellStyle name="Normal 124 3 4" xfId="33396"/>
    <cellStyle name="Normal 124 3 5" xfId="33397"/>
    <cellStyle name="Normal 124 4" xfId="33398"/>
    <cellStyle name="Normal 124 4 2" xfId="33399"/>
    <cellStyle name="Normal 124 5" xfId="33400"/>
    <cellStyle name="Normal 124 5 2" xfId="33401"/>
    <cellStyle name="Normal 124 6" xfId="33402"/>
    <cellStyle name="Normal 124 6 2" xfId="33403"/>
    <cellStyle name="Normal 124 7" xfId="33404"/>
    <cellStyle name="Normal 124 7 2" xfId="33405"/>
    <cellStyle name="Normal 124 8" xfId="33406"/>
    <cellStyle name="Normal 124 8 2" xfId="33407"/>
    <cellStyle name="Normal 124 9" xfId="33408"/>
    <cellStyle name="Normal 124 9 2" xfId="33409"/>
    <cellStyle name="Normal 124_Dakota Panel" xfId="33410"/>
    <cellStyle name="Normal 125" xfId="3921"/>
    <cellStyle name="Normal 125 10" xfId="33411"/>
    <cellStyle name="Normal 125 10 2" xfId="33412"/>
    <cellStyle name="Normal 125 11" xfId="33413"/>
    <cellStyle name="Normal 125 11 2" xfId="33414"/>
    <cellStyle name="Normal 125 12" xfId="33415"/>
    <cellStyle name="Normal 125 2" xfId="3922"/>
    <cellStyle name="Normal 125 2 2" xfId="33416"/>
    <cellStyle name="Normal 125 2 2 2" xfId="33417"/>
    <cellStyle name="Normal 125 2 3" xfId="33418"/>
    <cellStyle name="Normal 125 2 3 2" xfId="33419"/>
    <cellStyle name="Normal 125 2 4" xfId="33420"/>
    <cellStyle name="Normal 125 2 4 2" xfId="33421"/>
    <cellStyle name="Normal 125 2 5" xfId="33422"/>
    <cellStyle name="Normal 125 2 5 2" xfId="33423"/>
    <cellStyle name="Normal 125 2 6" xfId="33424"/>
    <cellStyle name="Normal 125 2 6 2" xfId="33425"/>
    <cellStyle name="Normal 125 2 7" xfId="33426"/>
    <cellStyle name="Normal 125 2 7 2" xfId="33427"/>
    <cellStyle name="Normal 125 2 8" xfId="33428"/>
    <cellStyle name="Normal 125 2 8 2" xfId="33429"/>
    <cellStyle name="Normal 125 2 9" xfId="33430"/>
    <cellStyle name="Normal 125 2 9 2" xfId="33431"/>
    <cellStyle name="Normal 125 2_Dakota Panel" xfId="33432"/>
    <cellStyle name="Normal 125 3" xfId="33433"/>
    <cellStyle name="Normal 125 3 2" xfId="33434"/>
    <cellStyle name="Normal 125 3 2 2" xfId="33435"/>
    <cellStyle name="Normal 125 3 3" xfId="33436"/>
    <cellStyle name="Normal 125 3 3 2" xfId="33437"/>
    <cellStyle name="Normal 125 3 4" xfId="33438"/>
    <cellStyle name="Normal 125 3 5" xfId="33439"/>
    <cellStyle name="Normal 125 4" xfId="33440"/>
    <cellStyle name="Normal 125 4 2" xfId="33441"/>
    <cellStyle name="Normal 125 5" xfId="33442"/>
    <cellStyle name="Normal 125 5 2" xfId="33443"/>
    <cellStyle name="Normal 125 6" xfId="33444"/>
    <cellStyle name="Normal 125 6 2" xfId="33445"/>
    <cellStyle name="Normal 125 7" xfId="33446"/>
    <cellStyle name="Normal 125 7 2" xfId="33447"/>
    <cellStyle name="Normal 125 8" xfId="33448"/>
    <cellStyle name="Normal 125 8 2" xfId="33449"/>
    <cellStyle name="Normal 125 9" xfId="33450"/>
    <cellStyle name="Normal 125 9 2" xfId="33451"/>
    <cellStyle name="Normal 125_Dakota Panel" xfId="33452"/>
    <cellStyle name="Normal 126" xfId="3923"/>
    <cellStyle name="Normal 126 10" xfId="33453"/>
    <cellStyle name="Normal 126 10 2" xfId="33454"/>
    <cellStyle name="Normal 126 11" xfId="33455"/>
    <cellStyle name="Normal 126 11 2" xfId="33456"/>
    <cellStyle name="Normal 126 12" xfId="33457"/>
    <cellStyle name="Normal 126 2" xfId="3924"/>
    <cellStyle name="Normal 126 2 2" xfId="33458"/>
    <cellStyle name="Normal 126 2 2 2" xfId="33459"/>
    <cellStyle name="Normal 126 2 3" xfId="33460"/>
    <cellStyle name="Normal 126 2 3 2" xfId="33461"/>
    <cellStyle name="Normal 126 2 4" xfId="33462"/>
    <cellStyle name="Normal 126 2 4 2" xfId="33463"/>
    <cellStyle name="Normal 126 2 5" xfId="33464"/>
    <cellStyle name="Normal 126 2 5 2" xfId="33465"/>
    <cellStyle name="Normal 126 2 6" xfId="33466"/>
    <cellStyle name="Normal 126 2 6 2" xfId="33467"/>
    <cellStyle name="Normal 126 2 7" xfId="33468"/>
    <cellStyle name="Normal 126 2 7 2" xfId="33469"/>
    <cellStyle name="Normal 126 2 8" xfId="33470"/>
    <cellStyle name="Normal 126 2 8 2" xfId="33471"/>
    <cellStyle name="Normal 126 2 9" xfId="33472"/>
    <cellStyle name="Normal 126 2 9 2" xfId="33473"/>
    <cellStyle name="Normal 126 2_Dakota Panel" xfId="33474"/>
    <cellStyle name="Normal 126 3" xfId="33475"/>
    <cellStyle name="Normal 126 3 2" xfId="33476"/>
    <cellStyle name="Normal 126 3 2 2" xfId="33477"/>
    <cellStyle name="Normal 126 3 3" xfId="33478"/>
    <cellStyle name="Normal 126 3 3 2" xfId="33479"/>
    <cellStyle name="Normal 126 3 4" xfId="33480"/>
    <cellStyle name="Normal 126 3 5" xfId="33481"/>
    <cellStyle name="Normal 126 4" xfId="33482"/>
    <cellStyle name="Normal 126 4 2" xfId="33483"/>
    <cellStyle name="Normal 126 5" xfId="33484"/>
    <cellStyle name="Normal 126 5 2" xfId="33485"/>
    <cellStyle name="Normal 126 6" xfId="33486"/>
    <cellStyle name="Normal 126 6 2" xfId="33487"/>
    <cellStyle name="Normal 126 7" xfId="33488"/>
    <cellStyle name="Normal 126 7 2" xfId="33489"/>
    <cellStyle name="Normal 126 8" xfId="33490"/>
    <cellStyle name="Normal 126 8 2" xfId="33491"/>
    <cellStyle name="Normal 126 9" xfId="33492"/>
    <cellStyle name="Normal 126 9 2" xfId="33493"/>
    <cellStyle name="Normal 126_Dakota Panel" xfId="33494"/>
    <cellStyle name="Normal 127" xfId="3925"/>
    <cellStyle name="Normal 127 10" xfId="33495"/>
    <cellStyle name="Normal 127 10 2" xfId="33496"/>
    <cellStyle name="Normal 127 11" xfId="33497"/>
    <cellStyle name="Normal 127 11 2" xfId="33498"/>
    <cellStyle name="Normal 127 12" xfId="33499"/>
    <cellStyle name="Normal 127 2" xfId="3926"/>
    <cellStyle name="Normal 127 2 2" xfId="33500"/>
    <cellStyle name="Normal 127 2 2 2" xfId="33501"/>
    <cellStyle name="Normal 127 2 3" xfId="33502"/>
    <cellStyle name="Normal 127 2 3 2" xfId="33503"/>
    <cellStyle name="Normal 127 2 4" xfId="33504"/>
    <cellStyle name="Normal 127 2 4 2" xfId="33505"/>
    <cellStyle name="Normal 127 2 5" xfId="33506"/>
    <cellStyle name="Normal 127 2 5 2" xfId="33507"/>
    <cellStyle name="Normal 127 2 6" xfId="33508"/>
    <cellStyle name="Normal 127 2 6 2" xfId="33509"/>
    <cellStyle name="Normal 127 2 7" xfId="33510"/>
    <cellStyle name="Normal 127 2 7 2" xfId="33511"/>
    <cellStyle name="Normal 127 2 8" xfId="33512"/>
    <cellStyle name="Normal 127 2 8 2" xfId="33513"/>
    <cellStyle name="Normal 127 2 9" xfId="33514"/>
    <cellStyle name="Normal 127 2 9 2" xfId="33515"/>
    <cellStyle name="Normal 127 2_Dakota Panel" xfId="33516"/>
    <cellStyle name="Normal 127 3" xfId="33517"/>
    <cellStyle name="Normal 127 3 2" xfId="33518"/>
    <cellStyle name="Normal 127 3 2 2" xfId="33519"/>
    <cellStyle name="Normal 127 3 3" xfId="33520"/>
    <cellStyle name="Normal 127 3 3 2" xfId="33521"/>
    <cellStyle name="Normal 127 3 4" xfId="33522"/>
    <cellStyle name="Normal 127 3 5" xfId="33523"/>
    <cellStyle name="Normal 127 4" xfId="33524"/>
    <cellStyle name="Normal 127 4 2" xfId="33525"/>
    <cellStyle name="Normal 127 5" xfId="33526"/>
    <cellStyle name="Normal 127 5 2" xfId="33527"/>
    <cellStyle name="Normal 127 6" xfId="33528"/>
    <cellStyle name="Normal 127 6 2" xfId="33529"/>
    <cellStyle name="Normal 127 7" xfId="33530"/>
    <cellStyle name="Normal 127 7 2" xfId="33531"/>
    <cellStyle name="Normal 127 8" xfId="33532"/>
    <cellStyle name="Normal 127 8 2" xfId="33533"/>
    <cellStyle name="Normal 127 9" xfId="33534"/>
    <cellStyle name="Normal 127 9 2" xfId="33535"/>
    <cellStyle name="Normal 127_Dakota Panel" xfId="33536"/>
    <cellStyle name="Normal 128" xfId="3927"/>
    <cellStyle name="Normal 128 10" xfId="33537"/>
    <cellStyle name="Normal 128 10 2" xfId="33538"/>
    <cellStyle name="Normal 128 11" xfId="33539"/>
    <cellStyle name="Normal 128 11 2" xfId="33540"/>
    <cellStyle name="Normal 128 12" xfId="33541"/>
    <cellStyle name="Normal 128 2" xfId="3928"/>
    <cellStyle name="Normal 128 2 2" xfId="3929"/>
    <cellStyle name="Normal 128 2 2 2" xfId="33542"/>
    <cellStyle name="Normal 128 2 3" xfId="33543"/>
    <cellStyle name="Normal 128 2 3 2" xfId="33544"/>
    <cellStyle name="Normal 128 2 4" xfId="33545"/>
    <cellStyle name="Normal 128 2 4 2" xfId="33546"/>
    <cellStyle name="Normal 128 2 5" xfId="33547"/>
    <cellStyle name="Normal 128 2 5 2" xfId="33548"/>
    <cellStyle name="Normal 128 2 6" xfId="33549"/>
    <cellStyle name="Normal 128 2 6 2" xfId="33550"/>
    <cellStyle name="Normal 128 2 7" xfId="33551"/>
    <cellStyle name="Normal 128 2 7 2" xfId="33552"/>
    <cellStyle name="Normal 128 2 8" xfId="33553"/>
    <cellStyle name="Normal 128 2 8 2" xfId="33554"/>
    <cellStyle name="Normal 128 2 9" xfId="33555"/>
    <cellStyle name="Normal 128 2 9 2" xfId="33556"/>
    <cellStyle name="Normal 128 2_Dakota Panel" xfId="33557"/>
    <cellStyle name="Normal 128 3" xfId="3930"/>
    <cellStyle name="Normal 128 3 2" xfId="33558"/>
    <cellStyle name="Normal 128 3 2 2" xfId="33559"/>
    <cellStyle name="Normal 128 3 3" xfId="33560"/>
    <cellStyle name="Normal 128 3 3 2" xfId="33561"/>
    <cellStyle name="Normal 128 3 4" xfId="33562"/>
    <cellStyle name="Normal 128 3 5" xfId="33563"/>
    <cellStyle name="Normal 128 4" xfId="33564"/>
    <cellStyle name="Normal 128 4 2" xfId="33565"/>
    <cellStyle name="Normal 128 5" xfId="33566"/>
    <cellStyle name="Normal 128 5 2" xfId="33567"/>
    <cellStyle name="Normal 128 6" xfId="33568"/>
    <cellStyle name="Normal 128 6 2" xfId="33569"/>
    <cellStyle name="Normal 128 7" xfId="33570"/>
    <cellStyle name="Normal 128 7 2" xfId="33571"/>
    <cellStyle name="Normal 128 8" xfId="33572"/>
    <cellStyle name="Normal 128 8 2" xfId="33573"/>
    <cellStyle name="Normal 128 9" xfId="33574"/>
    <cellStyle name="Normal 128 9 2" xfId="33575"/>
    <cellStyle name="Normal 128_Dakota Panel" xfId="33576"/>
    <cellStyle name="Normal 129" xfId="3931"/>
    <cellStyle name="Normal 129 10" xfId="33577"/>
    <cellStyle name="Normal 129 10 2" xfId="33578"/>
    <cellStyle name="Normal 129 11" xfId="33579"/>
    <cellStyle name="Normal 129 11 2" xfId="33580"/>
    <cellStyle name="Normal 129 12" xfId="33581"/>
    <cellStyle name="Normal 129 2" xfId="3932"/>
    <cellStyle name="Normal 129 2 2" xfId="33582"/>
    <cellStyle name="Normal 129 2 2 2" xfId="33583"/>
    <cellStyle name="Normal 129 2 3" xfId="33584"/>
    <cellStyle name="Normal 129 2 3 2" xfId="33585"/>
    <cellStyle name="Normal 129 2 4" xfId="33586"/>
    <cellStyle name="Normal 129 2 4 2" xfId="33587"/>
    <cellStyle name="Normal 129 2 5" xfId="33588"/>
    <cellStyle name="Normal 129 2 5 2" xfId="33589"/>
    <cellStyle name="Normal 129 2 6" xfId="33590"/>
    <cellStyle name="Normal 129 2 6 2" xfId="33591"/>
    <cellStyle name="Normal 129 2 7" xfId="33592"/>
    <cellStyle name="Normal 129 2 7 2" xfId="33593"/>
    <cellStyle name="Normal 129 2 8" xfId="33594"/>
    <cellStyle name="Normal 129 2 8 2" xfId="33595"/>
    <cellStyle name="Normal 129 2 9" xfId="33596"/>
    <cellStyle name="Normal 129 2 9 2" xfId="33597"/>
    <cellStyle name="Normal 129 2_Dakota Panel" xfId="33598"/>
    <cellStyle name="Normal 129 3" xfId="33599"/>
    <cellStyle name="Normal 129 3 2" xfId="33600"/>
    <cellStyle name="Normal 129 3 2 2" xfId="33601"/>
    <cellStyle name="Normal 129 3 3" xfId="33602"/>
    <cellStyle name="Normal 129 3 3 2" xfId="33603"/>
    <cellStyle name="Normal 129 3 4" xfId="33604"/>
    <cellStyle name="Normal 129 3 5" xfId="33605"/>
    <cellStyle name="Normal 129 4" xfId="33606"/>
    <cellStyle name="Normal 129 4 2" xfId="33607"/>
    <cellStyle name="Normal 129 5" xfId="33608"/>
    <cellStyle name="Normal 129 5 2" xfId="33609"/>
    <cellStyle name="Normal 129 6" xfId="33610"/>
    <cellStyle name="Normal 129 6 2" xfId="33611"/>
    <cellStyle name="Normal 129 7" xfId="33612"/>
    <cellStyle name="Normal 129 7 2" xfId="33613"/>
    <cellStyle name="Normal 129 8" xfId="33614"/>
    <cellStyle name="Normal 129 8 2" xfId="33615"/>
    <cellStyle name="Normal 129 9" xfId="33616"/>
    <cellStyle name="Normal 129 9 2" xfId="33617"/>
    <cellStyle name="Normal 129_Dakota Panel" xfId="33618"/>
    <cellStyle name="Normal 13" xfId="3933"/>
    <cellStyle name="Normal 13 10" xfId="33619"/>
    <cellStyle name="Normal 13 10 2" xfId="33620"/>
    <cellStyle name="Normal 13 11" xfId="33621"/>
    <cellStyle name="Normal 13 11 2" xfId="33622"/>
    <cellStyle name="Normal 13 12" xfId="33623"/>
    <cellStyle name="Normal 13 2" xfId="3934"/>
    <cellStyle name="Normal 13 2 2" xfId="33624"/>
    <cellStyle name="Normal 13 2 2 2" xfId="33625"/>
    <cellStyle name="Normal 13 2 3" xfId="33626"/>
    <cellStyle name="Normal 13 3" xfId="3935"/>
    <cellStyle name="Normal 13 3 10" xfId="33627"/>
    <cellStyle name="Normal 13 3 11" xfId="33628"/>
    <cellStyle name="Normal 13 3 12" xfId="33629"/>
    <cellStyle name="Normal 13 3 2" xfId="3936"/>
    <cellStyle name="Normal 13 3 2 2" xfId="3937"/>
    <cellStyle name="Normal 13 3 2 2 2" xfId="3938"/>
    <cellStyle name="Normal 13 3 2 2 2 2" xfId="33630"/>
    <cellStyle name="Normal 13 3 2 2 3" xfId="33631"/>
    <cellStyle name="Normal 13 3 2 2 4" xfId="33632"/>
    <cellStyle name="Normal 13 3 2 3" xfId="3939"/>
    <cellStyle name="Normal 13 3 2 3 2" xfId="33633"/>
    <cellStyle name="Normal 13 3 2 4" xfId="33634"/>
    <cellStyle name="Normal 13 3 2 5" xfId="33635"/>
    <cellStyle name="Normal 13 3 3" xfId="3940"/>
    <cellStyle name="Normal 13 3 3 2" xfId="3941"/>
    <cellStyle name="Normal 13 3 3 2 2" xfId="33636"/>
    <cellStyle name="Normal 13 3 3 3" xfId="33637"/>
    <cellStyle name="Normal 13 3 3 4" xfId="33638"/>
    <cellStyle name="Normal 13 3 4" xfId="3942"/>
    <cellStyle name="Normal 13 3 4 2" xfId="33639"/>
    <cellStyle name="Normal 13 3 4 2 2" xfId="33640"/>
    <cellStyle name="Normal 13 3 4 3" xfId="33641"/>
    <cellStyle name="Normal 13 3 4 4" xfId="33642"/>
    <cellStyle name="Normal 13 3 5" xfId="33643"/>
    <cellStyle name="Normal 13 3 5 2" xfId="33644"/>
    <cellStyle name="Normal 13 3 6" xfId="33645"/>
    <cellStyle name="Normal 13 3 6 2" xfId="33646"/>
    <cellStyle name="Normal 13 3 7" xfId="33647"/>
    <cellStyle name="Normal 13 3 7 2" xfId="33648"/>
    <cellStyle name="Normal 13 3 8" xfId="33649"/>
    <cellStyle name="Normal 13 3 8 2" xfId="33650"/>
    <cellStyle name="Normal 13 3 9" xfId="33651"/>
    <cellStyle name="Normal 13 3 9 2" xfId="33652"/>
    <cellStyle name="Normal 13 3_Dakota Panel" xfId="33653"/>
    <cellStyle name="Normal 13 4" xfId="3943"/>
    <cellStyle name="Normal 13 4 2" xfId="3944"/>
    <cellStyle name="Normal 13 4 2 2" xfId="3945"/>
    <cellStyle name="Normal 13 4 2 2 2" xfId="33654"/>
    <cellStyle name="Normal 13 4 2 2 3" xfId="33655"/>
    <cellStyle name="Normal 13 4 2 3" xfId="33656"/>
    <cellStyle name="Normal 13 4 2 3 2" xfId="33657"/>
    <cellStyle name="Normal 13 4 2 4" xfId="33658"/>
    <cellStyle name="Normal 13 4 2 5" xfId="33659"/>
    <cellStyle name="Normal 13 4 3" xfId="3946"/>
    <cellStyle name="Normal 13 4 3 2" xfId="33660"/>
    <cellStyle name="Normal 13 4 3 2 2" xfId="33661"/>
    <cellStyle name="Normal 13 4 3 3" xfId="33662"/>
    <cellStyle name="Normal 13 4 3 4" xfId="33663"/>
    <cellStyle name="Normal 13 4 4" xfId="33664"/>
    <cellStyle name="Normal 13 4 4 2" xfId="33665"/>
    <cellStyle name="Normal 13 4 4 2 2" xfId="33666"/>
    <cellStyle name="Normal 13 4 4 3" xfId="33667"/>
    <cellStyle name="Normal 13 4 4 4" xfId="33668"/>
    <cellStyle name="Normal 13 4 5" xfId="33669"/>
    <cellStyle name="Normal 13 4 5 2" xfId="33670"/>
    <cellStyle name="Normal 13 4 6" xfId="33671"/>
    <cellStyle name="Normal 13 4 6 2" xfId="33672"/>
    <cellStyle name="Normal 13 4 7" xfId="33673"/>
    <cellStyle name="Normal 13 4 8" xfId="33674"/>
    <cellStyle name="Normal 13 4 9" xfId="33675"/>
    <cellStyle name="Normal 13 5" xfId="3947"/>
    <cellStyle name="Normal 13 5 2" xfId="3948"/>
    <cellStyle name="Normal 13 5 2 2" xfId="33676"/>
    <cellStyle name="Normal 13 5 2 2 2" xfId="33677"/>
    <cellStyle name="Normal 13 5 2 2 3" xfId="33678"/>
    <cellStyle name="Normal 13 5 2 3" xfId="33679"/>
    <cellStyle name="Normal 13 5 2 3 2" xfId="33680"/>
    <cellStyle name="Normal 13 5 2 4" xfId="33681"/>
    <cellStyle name="Normal 13 5 2 5" xfId="33682"/>
    <cellStyle name="Normal 13 5 3" xfId="33683"/>
    <cellStyle name="Normal 13 5 3 2" xfId="33684"/>
    <cellStyle name="Normal 13 5 3 2 2" xfId="33685"/>
    <cellStyle name="Normal 13 5 3 3" xfId="33686"/>
    <cellStyle name="Normal 13 5 3 4" xfId="33687"/>
    <cellStyle name="Normal 13 5 4" xfId="33688"/>
    <cellStyle name="Normal 13 5 4 2" xfId="33689"/>
    <cellStyle name="Normal 13 5 4 2 2" xfId="33690"/>
    <cellStyle name="Normal 13 5 4 3" xfId="33691"/>
    <cellStyle name="Normal 13 5 4 4" xfId="33692"/>
    <cellStyle name="Normal 13 5 5" xfId="33693"/>
    <cellStyle name="Normal 13 5 5 2" xfId="33694"/>
    <cellStyle name="Normal 13 5 6" xfId="33695"/>
    <cellStyle name="Normal 13 5 7" xfId="33696"/>
    <cellStyle name="Normal 13 5 8" xfId="33697"/>
    <cellStyle name="Normal 13 6" xfId="3949"/>
    <cellStyle name="Normal 13 6 2" xfId="33698"/>
    <cellStyle name="Normal 13 6 2 2" xfId="33699"/>
    <cellStyle name="Normal 13 7" xfId="33700"/>
    <cellStyle name="Normal 13 7 2" xfId="33701"/>
    <cellStyle name="Normal 13 7 2 2" xfId="33702"/>
    <cellStyle name="Normal 13 7 3" xfId="33703"/>
    <cellStyle name="Normal 13 7 4" xfId="33704"/>
    <cellStyle name="Normal 13 8" xfId="33705"/>
    <cellStyle name="Normal 13 8 2" xfId="33706"/>
    <cellStyle name="Normal 13 9" xfId="33707"/>
    <cellStyle name="Normal 13 9 2" xfId="33708"/>
    <cellStyle name="Normal 13_Dakota Panel" xfId="33709"/>
    <cellStyle name="Normal 130" xfId="3950"/>
    <cellStyle name="Normal 130 10" xfId="33710"/>
    <cellStyle name="Normal 130 10 2" xfId="33711"/>
    <cellStyle name="Normal 130 11" xfId="33712"/>
    <cellStyle name="Normal 130 11 2" xfId="33713"/>
    <cellStyle name="Normal 130 12" xfId="33714"/>
    <cellStyle name="Normal 130 2" xfId="3951"/>
    <cellStyle name="Normal 130 2 2" xfId="33715"/>
    <cellStyle name="Normal 130 2 2 2" xfId="33716"/>
    <cellStyle name="Normal 130 2 3" xfId="33717"/>
    <cellStyle name="Normal 130 2 3 2" xfId="33718"/>
    <cellStyle name="Normal 130 2 4" xfId="33719"/>
    <cellStyle name="Normal 130 2 4 2" xfId="33720"/>
    <cellStyle name="Normal 130 2 5" xfId="33721"/>
    <cellStyle name="Normal 130 2 5 2" xfId="33722"/>
    <cellStyle name="Normal 130 2 6" xfId="33723"/>
    <cellStyle name="Normal 130 2 6 2" xfId="33724"/>
    <cellStyle name="Normal 130 2 7" xfId="33725"/>
    <cellStyle name="Normal 130 2 7 2" xfId="33726"/>
    <cellStyle name="Normal 130 2 8" xfId="33727"/>
    <cellStyle name="Normal 130 2 8 2" xfId="33728"/>
    <cellStyle name="Normal 130 2 9" xfId="33729"/>
    <cellStyle name="Normal 130 2 9 2" xfId="33730"/>
    <cellStyle name="Normal 130 2_Dakota Panel" xfId="33731"/>
    <cellStyle name="Normal 130 3" xfId="33732"/>
    <cellStyle name="Normal 130 3 2" xfId="33733"/>
    <cellStyle name="Normal 130 3 2 2" xfId="33734"/>
    <cellStyle name="Normal 130 3 3" xfId="33735"/>
    <cellStyle name="Normal 130 3 3 2" xfId="33736"/>
    <cellStyle name="Normal 130 3 4" xfId="33737"/>
    <cellStyle name="Normal 130 3 5" xfId="33738"/>
    <cellStyle name="Normal 130 4" xfId="33739"/>
    <cellStyle name="Normal 130 4 2" xfId="33740"/>
    <cellStyle name="Normal 130 5" xfId="33741"/>
    <cellStyle name="Normal 130 5 2" xfId="33742"/>
    <cellStyle name="Normal 130 6" xfId="33743"/>
    <cellStyle name="Normal 130 6 2" xfId="33744"/>
    <cellStyle name="Normal 130 7" xfId="33745"/>
    <cellStyle name="Normal 130 7 2" xfId="33746"/>
    <cellStyle name="Normal 130 8" xfId="33747"/>
    <cellStyle name="Normal 130 8 2" xfId="33748"/>
    <cellStyle name="Normal 130 9" xfId="33749"/>
    <cellStyle name="Normal 130 9 2" xfId="33750"/>
    <cellStyle name="Normal 130_Dakota Panel" xfId="33751"/>
    <cellStyle name="Normal 131" xfId="3952"/>
    <cellStyle name="Normal 131 10" xfId="33752"/>
    <cellStyle name="Normal 131 10 2" xfId="33753"/>
    <cellStyle name="Normal 131 11" xfId="33754"/>
    <cellStyle name="Normal 131 11 2" xfId="33755"/>
    <cellStyle name="Normal 131 12" xfId="33756"/>
    <cellStyle name="Normal 131 2" xfId="3953"/>
    <cellStyle name="Normal 131 2 2" xfId="33757"/>
    <cellStyle name="Normal 131 2 2 2" xfId="33758"/>
    <cellStyle name="Normal 131 2 3" xfId="33759"/>
    <cellStyle name="Normal 131 2 3 2" xfId="33760"/>
    <cellStyle name="Normal 131 2 4" xfId="33761"/>
    <cellStyle name="Normal 131 2 4 2" xfId="33762"/>
    <cellStyle name="Normal 131 2 5" xfId="33763"/>
    <cellStyle name="Normal 131 2 5 2" xfId="33764"/>
    <cellStyle name="Normal 131 2 6" xfId="33765"/>
    <cellStyle name="Normal 131 2 6 2" xfId="33766"/>
    <cellStyle name="Normal 131 2 7" xfId="33767"/>
    <cellStyle name="Normal 131 2 7 2" xfId="33768"/>
    <cellStyle name="Normal 131 2 8" xfId="33769"/>
    <cellStyle name="Normal 131 2 8 2" xfId="33770"/>
    <cellStyle name="Normal 131 2 9" xfId="33771"/>
    <cellStyle name="Normal 131 2 9 2" xfId="33772"/>
    <cellStyle name="Normal 131 2_Dakota Panel" xfId="33773"/>
    <cellStyle name="Normal 131 3" xfId="33774"/>
    <cellStyle name="Normal 131 3 2" xfId="33775"/>
    <cellStyle name="Normal 131 3 2 2" xfId="33776"/>
    <cellStyle name="Normal 131 3 3" xfId="33777"/>
    <cellStyle name="Normal 131 3 3 2" xfId="33778"/>
    <cellStyle name="Normal 131 3 4" xfId="33779"/>
    <cellStyle name="Normal 131 3 5" xfId="33780"/>
    <cellStyle name="Normal 131 4" xfId="33781"/>
    <cellStyle name="Normal 131 4 2" xfId="33782"/>
    <cellStyle name="Normal 131 5" xfId="33783"/>
    <cellStyle name="Normal 131 5 2" xfId="33784"/>
    <cellStyle name="Normal 131 6" xfId="33785"/>
    <cellStyle name="Normal 131 6 2" xfId="33786"/>
    <cellStyle name="Normal 131 7" xfId="33787"/>
    <cellStyle name="Normal 131 7 2" xfId="33788"/>
    <cellStyle name="Normal 131 8" xfId="33789"/>
    <cellStyle name="Normal 131 8 2" xfId="33790"/>
    <cellStyle name="Normal 131 9" xfId="33791"/>
    <cellStyle name="Normal 131 9 2" xfId="33792"/>
    <cellStyle name="Normal 131_Dakota Panel" xfId="33793"/>
    <cellStyle name="Normal 132" xfId="3954"/>
    <cellStyle name="Normal 132 10" xfId="33794"/>
    <cellStyle name="Normal 132 10 2" xfId="33795"/>
    <cellStyle name="Normal 132 11" xfId="33796"/>
    <cellStyle name="Normal 132 11 2" xfId="33797"/>
    <cellStyle name="Normal 132 12" xfId="33798"/>
    <cellStyle name="Normal 132 2" xfId="3955"/>
    <cellStyle name="Normal 132 2 2" xfId="33799"/>
    <cellStyle name="Normal 132 2 2 2" xfId="33800"/>
    <cellStyle name="Normal 132 2 3" xfId="33801"/>
    <cellStyle name="Normal 132 2 3 2" xfId="33802"/>
    <cellStyle name="Normal 132 2 4" xfId="33803"/>
    <cellStyle name="Normal 132 2 4 2" xfId="33804"/>
    <cellStyle name="Normal 132 2 5" xfId="33805"/>
    <cellStyle name="Normal 132 2 5 2" xfId="33806"/>
    <cellStyle name="Normal 132 2 6" xfId="33807"/>
    <cellStyle name="Normal 132 2 6 2" xfId="33808"/>
    <cellStyle name="Normal 132 2 7" xfId="33809"/>
    <cellStyle name="Normal 132 2 7 2" xfId="33810"/>
    <cellStyle name="Normal 132 2 8" xfId="33811"/>
    <cellStyle name="Normal 132 2 8 2" xfId="33812"/>
    <cellStyle name="Normal 132 2 9" xfId="33813"/>
    <cellStyle name="Normal 132 2 9 2" xfId="33814"/>
    <cellStyle name="Normal 132 2_Dakota Panel" xfId="33815"/>
    <cellStyle name="Normal 132 3" xfId="33816"/>
    <cellStyle name="Normal 132 3 2" xfId="33817"/>
    <cellStyle name="Normal 132 3 2 2" xfId="33818"/>
    <cellStyle name="Normal 132 3 3" xfId="33819"/>
    <cellStyle name="Normal 132 3 3 2" xfId="33820"/>
    <cellStyle name="Normal 132 3 4" xfId="33821"/>
    <cellStyle name="Normal 132 3 5" xfId="33822"/>
    <cellStyle name="Normal 132 4" xfId="33823"/>
    <cellStyle name="Normal 132 4 2" xfId="33824"/>
    <cellStyle name="Normal 132 5" xfId="33825"/>
    <cellStyle name="Normal 132 5 2" xfId="33826"/>
    <cellStyle name="Normal 132 6" xfId="33827"/>
    <cellStyle name="Normal 132 6 2" xfId="33828"/>
    <cellStyle name="Normal 132 7" xfId="33829"/>
    <cellStyle name="Normal 132 7 2" xfId="33830"/>
    <cellStyle name="Normal 132 8" xfId="33831"/>
    <cellStyle name="Normal 132 8 2" xfId="33832"/>
    <cellStyle name="Normal 132 9" xfId="33833"/>
    <cellStyle name="Normal 132 9 2" xfId="33834"/>
    <cellStyle name="Normal 132_Dakota Panel" xfId="33835"/>
    <cellStyle name="Normal 133" xfId="3956"/>
    <cellStyle name="Normal 133 10" xfId="33836"/>
    <cellStyle name="Normal 133 10 2" xfId="33837"/>
    <cellStyle name="Normal 133 11" xfId="33838"/>
    <cellStyle name="Normal 133 11 2" xfId="33839"/>
    <cellStyle name="Normal 133 12" xfId="33840"/>
    <cellStyle name="Normal 133 2" xfId="33841"/>
    <cellStyle name="Normal 133 2 2" xfId="33842"/>
    <cellStyle name="Normal 133 2 2 2" xfId="33843"/>
    <cellStyle name="Normal 133 2 3" xfId="33844"/>
    <cellStyle name="Normal 133 2 3 2" xfId="33845"/>
    <cellStyle name="Normal 133 2 4" xfId="33846"/>
    <cellStyle name="Normal 133 2 4 2" xfId="33847"/>
    <cellStyle name="Normal 133 2 5" xfId="33848"/>
    <cellStyle name="Normal 133 2 5 2" xfId="33849"/>
    <cellStyle name="Normal 133 2 6" xfId="33850"/>
    <cellStyle name="Normal 133 2 6 2" xfId="33851"/>
    <cellStyle name="Normal 133 2 7" xfId="33852"/>
    <cellStyle name="Normal 133 2 7 2" xfId="33853"/>
    <cellStyle name="Normal 133 2 8" xfId="33854"/>
    <cellStyle name="Normal 133 2 8 2" xfId="33855"/>
    <cellStyle name="Normal 133 2 9" xfId="33856"/>
    <cellStyle name="Normal 133 2 9 2" xfId="33857"/>
    <cellStyle name="Normal 133 2_Dakota Panel" xfId="33858"/>
    <cellStyle name="Normal 133 3" xfId="33859"/>
    <cellStyle name="Normal 133 3 2" xfId="33860"/>
    <cellStyle name="Normal 133 3 2 2" xfId="33861"/>
    <cellStyle name="Normal 133 3 3" xfId="33862"/>
    <cellStyle name="Normal 133 3 3 2" xfId="33863"/>
    <cellStyle name="Normal 133 3 4" xfId="33864"/>
    <cellStyle name="Normal 133 3 5" xfId="33865"/>
    <cellStyle name="Normal 133 4" xfId="33866"/>
    <cellStyle name="Normal 133 4 2" xfId="33867"/>
    <cellStyle name="Normal 133 5" xfId="33868"/>
    <cellStyle name="Normal 133 5 2" xfId="33869"/>
    <cellStyle name="Normal 133 6" xfId="33870"/>
    <cellStyle name="Normal 133 6 2" xfId="33871"/>
    <cellStyle name="Normal 133 7" xfId="33872"/>
    <cellStyle name="Normal 133 7 2" xfId="33873"/>
    <cellStyle name="Normal 133 8" xfId="33874"/>
    <cellStyle name="Normal 133 8 2" xfId="33875"/>
    <cellStyle name="Normal 133 9" xfId="33876"/>
    <cellStyle name="Normal 133 9 2" xfId="33877"/>
    <cellStyle name="Normal 133_Dakota Panel" xfId="33878"/>
    <cellStyle name="Normal 134" xfId="3957"/>
    <cellStyle name="Normal 134 10" xfId="33879"/>
    <cellStyle name="Normal 134 10 2" xfId="33880"/>
    <cellStyle name="Normal 134 11" xfId="33881"/>
    <cellStyle name="Normal 134 11 2" xfId="33882"/>
    <cellStyle name="Normal 134 12" xfId="33883"/>
    <cellStyle name="Normal 134 2" xfId="33884"/>
    <cellStyle name="Normal 134 2 2" xfId="33885"/>
    <cellStyle name="Normal 134 2 2 2" xfId="33886"/>
    <cellStyle name="Normal 134 2 3" xfId="33887"/>
    <cellStyle name="Normal 134 2 3 2" xfId="33888"/>
    <cellStyle name="Normal 134 2 4" xfId="33889"/>
    <cellStyle name="Normal 134 2 4 2" xfId="33890"/>
    <cellStyle name="Normal 134 2 5" xfId="33891"/>
    <cellStyle name="Normal 134 2 5 2" xfId="33892"/>
    <cellStyle name="Normal 134 2 6" xfId="33893"/>
    <cellStyle name="Normal 134 2 6 2" xfId="33894"/>
    <cellStyle name="Normal 134 2 7" xfId="33895"/>
    <cellStyle name="Normal 134 2 7 2" xfId="33896"/>
    <cellStyle name="Normal 134 2 8" xfId="33897"/>
    <cellStyle name="Normal 134 2 8 2" xfId="33898"/>
    <cellStyle name="Normal 134 2 9" xfId="33899"/>
    <cellStyle name="Normal 134 2 9 2" xfId="33900"/>
    <cellStyle name="Normal 134 2_Dakota Panel" xfId="33901"/>
    <cellStyle name="Normal 134 3" xfId="33902"/>
    <cellStyle name="Normal 134 3 2" xfId="33903"/>
    <cellStyle name="Normal 134 3 2 2" xfId="33904"/>
    <cellStyle name="Normal 134 3 3" xfId="33905"/>
    <cellStyle name="Normal 134 3 3 2" xfId="33906"/>
    <cellStyle name="Normal 134 3 4" xfId="33907"/>
    <cellStyle name="Normal 134 3 5" xfId="33908"/>
    <cellStyle name="Normal 134 4" xfId="33909"/>
    <cellStyle name="Normal 134 4 2" xfId="33910"/>
    <cellStyle name="Normal 134 5" xfId="33911"/>
    <cellStyle name="Normal 134 5 2" xfId="33912"/>
    <cellStyle name="Normal 134 6" xfId="33913"/>
    <cellStyle name="Normal 134 6 2" xfId="33914"/>
    <cellStyle name="Normal 134 7" xfId="33915"/>
    <cellStyle name="Normal 134 7 2" xfId="33916"/>
    <cellStyle name="Normal 134 8" xfId="33917"/>
    <cellStyle name="Normal 134 8 2" xfId="33918"/>
    <cellStyle name="Normal 134 9" xfId="33919"/>
    <cellStyle name="Normal 134 9 2" xfId="33920"/>
    <cellStyle name="Normal 134_Dakota Panel" xfId="33921"/>
    <cellStyle name="Normal 135" xfId="3958"/>
    <cellStyle name="Normal 135 10" xfId="33922"/>
    <cellStyle name="Normal 135 10 2" xfId="33923"/>
    <cellStyle name="Normal 135 11" xfId="33924"/>
    <cellStyle name="Normal 135 11 2" xfId="33925"/>
    <cellStyle name="Normal 135 12" xfId="33926"/>
    <cellStyle name="Normal 135 2" xfId="33927"/>
    <cellStyle name="Normal 135 2 2" xfId="33928"/>
    <cellStyle name="Normal 135 2 2 2" xfId="33929"/>
    <cellStyle name="Normal 135 2 3" xfId="33930"/>
    <cellStyle name="Normal 135 2 3 2" xfId="33931"/>
    <cellStyle name="Normal 135 2 4" xfId="33932"/>
    <cellStyle name="Normal 135 2 4 2" xfId="33933"/>
    <cellStyle name="Normal 135 2 5" xfId="33934"/>
    <cellStyle name="Normal 135 2 5 2" xfId="33935"/>
    <cellStyle name="Normal 135 2 6" xfId="33936"/>
    <cellStyle name="Normal 135 2 6 2" xfId="33937"/>
    <cellStyle name="Normal 135 2 7" xfId="33938"/>
    <cellStyle name="Normal 135 2 7 2" xfId="33939"/>
    <cellStyle name="Normal 135 2 8" xfId="33940"/>
    <cellStyle name="Normal 135 2 8 2" xfId="33941"/>
    <cellStyle name="Normal 135 2 9" xfId="33942"/>
    <cellStyle name="Normal 135 2 9 2" xfId="33943"/>
    <cellStyle name="Normal 135 2_Dakota Panel" xfId="33944"/>
    <cellStyle name="Normal 135 3" xfId="33945"/>
    <cellStyle name="Normal 135 3 2" xfId="33946"/>
    <cellStyle name="Normal 135 3 2 2" xfId="33947"/>
    <cellStyle name="Normal 135 3 3" xfId="33948"/>
    <cellStyle name="Normal 135 3 3 2" xfId="33949"/>
    <cellStyle name="Normal 135 3 4" xfId="33950"/>
    <cellStyle name="Normal 135 3 5" xfId="33951"/>
    <cellStyle name="Normal 135 4" xfId="33952"/>
    <cellStyle name="Normal 135 4 2" xfId="33953"/>
    <cellStyle name="Normal 135 5" xfId="33954"/>
    <cellStyle name="Normal 135 5 2" xfId="33955"/>
    <cellStyle name="Normal 135 6" xfId="33956"/>
    <cellStyle name="Normal 135 6 2" xfId="33957"/>
    <cellStyle name="Normal 135 7" xfId="33958"/>
    <cellStyle name="Normal 135 7 2" xfId="33959"/>
    <cellStyle name="Normal 135 8" xfId="33960"/>
    <cellStyle name="Normal 135 8 2" xfId="33961"/>
    <cellStyle name="Normal 135 9" xfId="33962"/>
    <cellStyle name="Normal 135 9 2" xfId="33963"/>
    <cellStyle name="Normal 135_Dakota Panel" xfId="33964"/>
    <cellStyle name="Normal 136" xfId="3959"/>
    <cellStyle name="Normal 136 10" xfId="33965"/>
    <cellStyle name="Normal 136 10 2" xfId="33966"/>
    <cellStyle name="Normal 136 11" xfId="33967"/>
    <cellStyle name="Normal 136 11 2" xfId="33968"/>
    <cellStyle name="Normal 136 12" xfId="33969"/>
    <cellStyle name="Normal 136 2" xfId="33970"/>
    <cellStyle name="Normal 136 2 2" xfId="33971"/>
    <cellStyle name="Normal 136 2 2 2" xfId="33972"/>
    <cellStyle name="Normal 136 2 3" xfId="33973"/>
    <cellStyle name="Normal 136 2 3 2" xfId="33974"/>
    <cellStyle name="Normal 136 2 4" xfId="33975"/>
    <cellStyle name="Normal 136 2 4 2" xfId="33976"/>
    <cellStyle name="Normal 136 2 5" xfId="33977"/>
    <cellStyle name="Normal 136 2 5 2" xfId="33978"/>
    <cellStyle name="Normal 136 2 6" xfId="33979"/>
    <cellStyle name="Normal 136 2 6 2" xfId="33980"/>
    <cellStyle name="Normal 136 2 7" xfId="33981"/>
    <cellStyle name="Normal 136 2 7 2" xfId="33982"/>
    <cellStyle name="Normal 136 2 8" xfId="33983"/>
    <cellStyle name="Normal 136 2 8 2" xfId="33984"/>
    <cellStyle name="Normal 136 2 9" xfId="33985"/>
    <cellStyle name="Normal 136 2 9 2" xfId="33986"/>
    <cellStyle name="Normal 136 2_Dakota Panel" xfId="33987"/>
    <cellStyle name="Normal 136 3" xfId="33988"/>
    <cellStyle name="Normal 136 3 2" xfId="33989"/>
    <cellStyle name="Normal 136 3 2 2" xfId="33990"/>
    <cellStyle name="Normal 136 3 3" xfId="33991"/>
    <cellStyle name="Normal 136 3 3 2" xfId="33992"/>
    <cellStyle name="Normal 136 3 4" xfId="33993"/>
    <cellStyle name="Normal 136 3 5" xfId="33994"/>
    <cellStyle name="Normal 136 4" xfId="33995"/>
    <cellStyle name="Normal 136 4 2" xfId="33996"/>
    <cellStyle name="Normal 136 5" xfId="33997"/>
    <cellStyle name="Normal 136 5 2" xfId="33998"/>
    <cellStyle name="Normal 136 6" xfId="33999"/>
    <cellStyle name="Normal 136 6 2" xfId="34000"/>
    <cellStyle name="Normal 136 7" xfId="34001"/>
    <cellStyle name="Normal 136 7 2" xfId="34002"/>
    <cellStyle name="Normal 136 8" xfId="34003"/>
    <cellStyle name="Normal 136 8 2" xfId="34004"/>
    <cellStyle name="Normal 136 9" xfId="34005"/>
    <cellStyle name="Normal 136 9 2" xfId="34006"/>
    <cellStyle name="Normal 136_Dakota Panel" xfId="34007"/>
    <cellStyle name="Normal 137" xfId="3960"/>
    <cellStyle name="Normal 137 10" xfId="34008"/>
    <cellStyle name="Normal 137 10 2" xfId="34009"/>
    <cellStyle name="Normal 137 11" xfId="34010"/>
    <cellStyle name="Normal 137 11 2" xfId="34011"/>
    <cellStyle name="Normal 137 12" xfId="34012"/>
    <cellStyle name="Normal 137 2" xfId="34013"/>
    <cellStyle name="Normal 137 2 2" xfId="34014"/>
    <cellStyle name="Normal 137 2 2 2" xfId="34015"/>
    <cellStyle name="Normal 137 2 3" xfId="34016"/>
    <cellStyle name="Normal 137 2 3 2" xfId="34017"/>
    <cellStyle name="Normal 137 2 4" xfId="34018"/>
    <cellStyle name="Normal 137 2 4 2" xfId="34019"/>
    <cellStyle name="Normal 137 2 5" xfId="34020"/>
    <cellStyle name="Normal 137 2 5 2" xfId="34021"/>
    <cellStyle name="Normal 137 2 6" xfId="34022"/>
    <cellStyle name="Normal 137 2 6 2" xfId="34023"/>
    <cellStyle name="Normal 137 2 7" xfId="34024"/>
    <cellStyle name="Normal 137 2 7 2" xfId="34025"/>
    <cellStyle name="Normal 137 2 8" xfId="34026"/>
    <cellStyle name="Normal 137 2 8 2" xfId="34027"/>
    <cellStyle name="Normal 137 2 9" xfId="34028"/>
    <cellStyle name="Normal 137 2 9 2" xfId="34029"/>
    <cellStyle name="Normal 137 2_Dakota Panel" xfId="34030"/>
    <cellStyle name="Normal 137 3" xfId="34031"/>
    <cellStyle name="Normal 137 3 2" xfId="34032"/>
    <cellStyle name="Normal 137 3 2 2" xfId="34033"/>
    <cellStyle name="Normal 137 3 3" xfId="34034"/>
    <cellStyle name="Normal 137 3 3 2" xfId="34035"/>
    <cellStyle name="Normal 137 3 4" xfId="34036"/>
    <cellStyle name="Normal 137 3 5" xfId="34037"/>
    <cellStyle name="Normal 137 4" xfId="34038"/>
    <cellStyle name="Normal 137 4 2" xfId="34039"/>
    <cellStyle name="Normal 137 5" xfId="34040"/>
    <cellStyle name="Normal 137 5 2" xfId="34041"/>
    <cellStyle name="Normal 137 6" xfId="34042"/>
    <cellStyle name="Normal 137 6 2" xfId="34043"/>
    <cellStyle name="Normal 137 7" xfId="34044"/>
    <cellStyle name="Normal 137 7 2" xfId="34045"/>
    <cellStyle name="Normal 137 8" xfId="34046"/>
    <cellStyle name="Normal 137 8 2" xfId="34047"/>
    <cellStyle name="Normal 137 9" xfId="34048"/>
    <cellStyle name="Normal 137 9 2" xfId="34049"/>
    <cellStyle name="Normal 137_Dakota Panel" xfId="34050"/>
    <cellStyle name="Normal 138" xfId="3961"/>
    <cellStyle name="Normal 138 10" xfId="34051"/>
    <cellStyle name="Normal 138 10 2" xfId="34052"/>
    <cellStyle name="Normal 138 11" xfId="34053"/>
    <cellStyle name="Normal 138 11 2" xfId="34054"/>
    <cellStyle name="Normal 138 12" xfId="34055"/>
    <cellStyle name="Normal 138 2" xfId="34056"/>
    <cellStyle name="Normal 138 2 2" xfId="34057"/>
    <cellStyle name="Normal 138 2 2 2" xfId="34058"/>
    <cellStyle name="Normal 138 2 3" xfId="34059"/>
    <cellStyle name="Normal 138 2 3 2" xfId="34060"/>
    <cellStyle name="Normal 138 2 4" xfId="34061"/>
    <cellStyle name="Normal 138 2 4 2" xfId="34062"/>
    <cellStyle name="Normal 138 2 5" xfId="34063"/>
    <cellStyle name="Normal 138 2 5 2" xfId="34064"/>
    <cellStyle name="Normal 138 2 6" xfId="34065"/>
    <cellStyle name="Normal 138 2 6 2" xfId="34066"/>
    <cellStyle name="Normal 138 2 7" xfId="34067"/>
    <cellStyle name="Normal 138 2 7 2" xfId="34068"/>
    <cellStyle name="Normal 138 2 8" xfId="34069"/>
    <cellStyle name="Normal 138 2 8 2" xfId="34070"/>
    <cellStyle name="Normal 138 2 9" xfId="34071"/>
    <cellStyle name="Normal 138 2 9 2" xfId="34072"/>
    <cellStyle name="Normal 138 2_Dakota Panel" xfId="34073"/>
    <cellStyle name="Normal 138 3" xfId="34074"/>
    <cellStyle name="Normal 138 3 2" xfId="34075"/>
    <cellStyle name="Normal 138 3 2 2" xfId="34076"/>
    <cellStyle name="Normal 138 3 3" xfId="34077"/>
    <cellStyle name="Normal 138 3 3 2" xfId="34078"/>
    <cellStyle name="Normal 138 3 4" xfId="34079"/>
    <cellStyle name="Normal 138 3 5" xfId="34080"/>
    <cellStyle name="Normal 138 4" xfId="34081"/>
    <cellStyle name="Normal 138 4 2" xfId="34082"/>
    <cellStyle name="Normal 138 5" xfId="34083"/>
    <cellStyle name="Normal 138 5 2" xfId="34084"/>
    <cellStyle name="Normal 138 6" xfId="34085"/>
    <cellStyle name="Normal 138 6 2" xfId="34086"/>
    <cellStyle name="Normal 138 7" xfId="34087"/>
    <cellStyle name="Normal 138 7 2" xfId="34088"/>
    <cellStyle name="Normal 138 8" xfId="34089"/>
    <cellStyle name="Normal 138 8 2" xfId="34090"/>
    <cellStyle name="Normal 138 9" xfId="34091"/>
    <cellStyle name="Normal 138 9 2" xfId="34092"/>
    <cellStyle name="Normal 138_Dakota Panel" xfId="34093"/>
    <cellStyle name="Normal 139" xfId="3962"/>
    <cellStyle name="Normal 139 10" xfId="34094"/>
    <cellStyle name="Normal 139 10 2" xfId="34095"/>
    <cellStyle name="Normal 139 11" xfId="34096"/>
    <cellStyle name="Normal 139 11 2" xfId="34097"/>
    <cellStyle name="Normal 139 12" xfId="34098"/>
    <cellStyle name="Normal 139 2" xfId="34099"/>
    <cellStyle name="Normal 139 2 2" xfId="34100"/>
    <cellStyle name="Normal 139 2 2 2" xfId="34101"/>
    <cellStyle name="Normal 139 2 3" xfId="34102"/>
    <cellStyle name="Normal 139 2 3 2" xfId="34103"/>
    <cellStyle name="Normal 139 2 4" xfId="34104"/>
    <cellStyle name="Normal 139 2 4 2" xfId="34105"/>
    <cellStyle name="Normal 139 2 5" xfId="34106"/>
    <cellStyle name="Normal 139 2 5 2" xfId="34107"/>
    <cellStyle name="Normal 139 2 6" xfId="34108"/>
    <cellStyle name="Normal 139 2 6 2" xfId="34109"/>
    <cellStyle name="Normal 139 2 7" xfId="34110"/>
    <cellStyle name="Normal 139 2 7 2" xfId="34111"/>
    <cellStyle name="Normal 139 2 8" xfId="34112"/>
    <cellStyle name="Normal 139 2 8 2" xfId="34113"/>
    <cellStyle name="Normal 139 2 9" xfId="34114"/>
    <cellStyle name="Normal 139 2 9 2" xfId="34115"/>
    <cellStyle name="Normal 139 2_Dakota Panel" xfId="34116"/>
    <cellStyle name="Normal 139 3" xfId="34117"/>
    <cellStyle name="Normal 139 3 2" xfId="34118"/>
    <cellStyle name="Normal 139 3 2 2" xfId="34119"/>
    <cellStyle name="Normal 139 3 3" xfId="34120"/>
    <cellStyle name="Normal 139 3 3 2" xfId="34121"/>
    <cellStyle name="Normal 139 3 4" xfId="34122"/>
    <cellStyle name="Normal 139 3 5" xfId="34123"/>
    <cellStyle name="Normal 139 4" xfId="34124"/>
    <cellStyle name="Normal 139 4 2" xfId="34125"/>
    <cellStyle name="Normal 139 5" xfId="34126"/>
    <cellStyle name="Normal 139 5 2" xfId="34127"/>
    <cellStyle name="Normal 139 6" xfId="34128"/>
    <cellStyle name="Normal 139 6 2" xfId="34129"/>
    <cellStyle name="Normal 139 7" xfId="34130"/>
    <cellStyle name="Normal 139 7 2" xfId="34131"/>
    <cellStyle name="Normal 139 8" xfId="34132"/>
    <cellStyle name="Normal 139 8 2" xfId="34133"/>
    <cellStyle name="Normal 139 9" xfId="34134"/>
    <cellStyle name="Normal 139 9 2" xfId="34135"/>
    <cellStyle name="Normal 139_Dakota Panel" xfId="34136"/>
    <cellStyle name="Normal 14" xfId="3963"/>
    <cellStyle name="Normal 14 10" xfId="34137"/>
    <cellStyle name="Normal 14 10 2" xfId="34138"/>
    <cellStyle name="Normal 14 11" xfId="34139"/>
    <cellStyle name="Normal 14 11 2" xfId="34140"/>
    <cellStyle name="Normal 14 12" xfId="34141"/>
    <cellStyle name="Normal 14 2" xfId="3964"/>
    <cellStyle name="Normal 14 2 2" xfId="34142"/>
    <cellStyle name="Normal 14 2 2 2" xfId="34143"/>
    <cellStyle name="Normal 14 2 2 3" xfId="34144"/>
    <cellStyle name="Normal 14 2 3" xfId="34145"/>
    <cellStyle name="Normal 14 2 4" xfId="34146"/>
    <cellStyle name="Normal 14 2 5" xfId="34147"/>
    <cellStyle name="Normal 14 3" xfId="34148"/>
    <cellStyle name="Normal 14 3 2" xfId="34149"/>
    <cellStyle name="Normal 14 3 2 2" xfId="34150"/>
    <cellStyle name="Normal 14 3 3" xfId="34151"/>
    <cellStyle name="Normal 14 4" xfId="34152"/>
    <cellStyle name="Normal 14 4 2" xfId="34153"/>
    <cellStyle name="Normal 14 4 2 2" xfId="34154"/>
    <cellStyle name="Normal 14 4 2 2 2" xfId="34155"/>
    <cellStyle name="Normal 14 4 3" xfId="34156"/>
    <cellStyle name="Normal 14 4 3 2" xfId="34157"/>
    <cellStyle name="Normal 14 4 4" xfId="34158"/>
    <cellStyle name="Normal 14 4 4 2" xfId="34159"/>
    <cellStyle name="Normal 14 4 5" xfId="34160"/>
    <cellStyle name="Normal 14 4 5 2" xfId="34161"/>
    <cellStyle name="Normal 14 4 6" xfId="34162"/>
    <cellStyle name="Normal 14 4 6 2" xfId="34163"/>
    <cellStyle name="Normal 14 4 7" xfId="34164"/>
    <cellStyle name="Normal 14 4 7 2" xfId="34165"/>
    <cellStyle name="Normal 14 4 8" xfId="34166"/>
    <cellStyle name="Normal 14 4 8 2" xfId="34167"/>
    <cellStyle name="Normal 14 4 9" xfId="34168"/>
    <cellStyle name="Normal 14 4 9 2" xfId="34169"/>
    <cellStyle name="Normal 14 4_Dakota Panel" xfId="34170"/>
    <cellStyle name="Normal 14 5" xfId="34171"/>
    <cellStyle name="Normal 14 5 2" xfId="34172"/>
    <cellStyle name="Normal 14 5 2 2" xfId="34173"/>
    <cellStyle name="Normal 14 6" xfId="34174"/>
    <cellStyle name="Normal 14 6 2" xfId="34175"/>
    <cellStyle name="Normal 14 6 2 2" xfId="34176"/>
    <cellStyle name="Normal 14 7" xfId="34177"/>
    <cellStyle name="Normal 14 7 2" xfId="34178"/>
    <cellStyle name="Normal 14 7 2 2" xfId="34179"/>
    <cellStyle name="Normal 14 7 3" xfId="34180"/>
    <cellStyle name="Normal 14 7 4" xfId="34181"/>
    <cellStyle name="Normal 14 8" xfId="34182"/>
    <cellStyle name="Normal 14 8 2" xfId="34183"/>
    <cellStyle name="Normal 14 9" xfId="34184"/>
    <cellStyle name="Normal 14 9 2" xfId="34185"/>
    <cellStyle name="Normal 14_Dakota Panel" xfId="34186"/>
    <cellStyle name="Normal 140" xfId="3965"/>
    <cellStyle name="Normal 140 10" xfId="34187"/>
    <cellStyle name="Normal 140 10 2" xfId="34188"/>
    <cellStyle name="Normal 140 11" xfId="34189"/>
    <cellStyle name="Normal 140 11 2" xfId="34190"/>
    <cellStyle name="Normal 140 12" xfId="34191"/>
    <cellStyle name="Normal 140 2" xfId="34192"/>
    <cellStyle name="Normal 140 2 2" xfId="34193"/>
    <cellStyle name="Normal 140 2 2 2" xfId="34194"/>
    <cellStyle name="Normal 140 2 3" xfId="34195"/>
    <cellStyle name="Normal 140 2 3 2" xfId="34196"/>
    <cellStyle name="Normal 140 2 4" xfId="34197"/>
    <cellStyle name="Normal 140 2 4 2" xfId="34198"/>
    <cellStyle name="Normal 140 2 5" xfId="34199"/>
    <cellStyle name="Normal 140 2 5 2" xfId="34200"/>
    <cellStyle name="Normal 140 2 6" xfId="34201"/>
    <cellStyle name="Normal 140 2 6 2" xfId="34202"/>
    <cellStyle name="Normal 140 2 7" xfId="34203"/>
    <cellStyle name="Normal 140 2 7 2" xfId="34204"/>
    <cellStyle name="Normal 140 2 8" xfId="34205"/>
    <cellStyle name="Normal 140 2 8 2" xfId="34206"/>
    <cellStyle name="Normal 140 2 9" xfId="34207"/>
    <cellStyle name="Normal 140 2 9 2" xfId="34208"/>
    <cellStyle name="Normal 140 2_Dakota Panel" xfId="34209"/>
    <cellStyle name="Normal 140 3" xfId="34210"/>
    <cellStyle name="Normal 140 3 2" xfId="34211"/>
    <cellStyle name="Normal 140 3 2 2" xfId="34212"/>
    <cellStyle name="Normal 140 3 3" xfId="34213"/>
    <cellStyle name="Normal 140 3 3 2" xfId="34214"/>
    <cellStyle name="Normal 140 3 4" xfId="34215"/>
    <cellStyle name="Normal 140 3 5" xfId="34216"/>
    <cellStyle name="Normal 140 4" xfId="34217"/>
    <cellStyle name="Normal 140 4 2" xfId="34218"/>
    <cellStyle name="Normal 140 5" xfId="34219"/>
    <cellStyle name="Normal 140 5 2" xfId="34220"/>
    <cellStyle name="Normal 140 6" xfId="34221"/>
    <cellStyle name="Normal 140 6 2" xfId="34222"/>
    <cellStyle name="Normal 140 7" xfId="34223"/>
    <cellStyle name="Normal 140 7 2" xfId="34224"/>
    <cellStyle name="Normal 140 8" xfId="34225"/>
    <cellStyle name="Normal 140 8 2" xfId="34226"/>
    <cellStyle name="Normal 140 9" xfId="34227"/>
    <cellStyle name="Normal 140 9 2" xfId="34228"/>
    <cellStyle name="Normal 140_Dakota Panel" xfId="34229"/>
    <cellStyle name="Normal 141" xfId="3966"/>
    <cellStyle name="Normal 141 10" xfId="34230"/>
    <cellStyle name="Normal 141 10 2" xfId="34231"/>
    <cellStyle name="Normal 141 11" xfId="34232"/>
    <cellStyle name="Normal 141 11 2" xfId="34233"/>
    <cellStyle name="Normal 141 12" xfId="34234"/>
    <cellStyle name="Normal 141 2" xfId="3967"/>
    <cellStyle name="Normal 141 2 2" xfId="3968"/>
    <cellStyle name="Normal 141 2 2 2" xfId="3969"/>
    <cellStyle name="Normal 141 2 3" xfId="3970"/>
    <cellStyle name="Normal 141 2 3 2" xfId="34235"/>
    <cellStyle name="Normal 141 2 4" xfId="34236"/>
    <cellStyle name="Normal 141 2 4 2" xfId="34237"/>
    <cellStyle name="Normal 141 2 5" xfId="34238"/>
    <cellStyle name="Normal 141 2 5 2" xfId="34239"/>
    <cellStyle name="Normal 141 2 6" xfId="34240"/>
    <cellStyle name="Normal 141 2 6 2" xfId="34241"/>
    <cellStyle name="Normal 141 2 7" xfId="34242"/>
    <cellStyle name="Normal 141 2 7 2" xfId="34243"/>
    <cellStyle name="Normal 141 2 8" xfId="34244"/>
    <cellStyle name="Normal 141 2 8 2" xfId="34245"/>
    <cellStyle name="Normal 141 2 9" xfId="34246"/>
    <cellStyle name="Normal 141 2 9 2" xfId="34247"/>
    <cellStyle name="Normal 141 2_Dakota Panel" xfId="34248"/>
    <cellStyle name="Normal 141 3" xfId="3971"/>
    <cellStyle name="Normal 141 3 2" xfId="3972"/>
    <cellStyle name="Normal 141 3 2 2" xfId="34249"/>
    <cellStyle name="Normal 141 3 3" xfId="34250"/>
    <cellStyle name="Normal 141 3 3 2" xfId="34251"/>
    <cellStyle name="Normal 141 3 4" xfId="34252"/>
    <cellStyle name="Normal 141 3 5" xfId="34253"/>
    <cellStyle name="Normal 141 4" xfId="3973"/>
    <cellStyle name="Normal 141 4 2" xfId="34254"/>
    <cellStyle name="Normal 141 5" xfId="34255"/>
    <cellStyle name="Normal 141 5 2" xfId="34256"/>
    <cellStyle name="Normal 141 6" xfId="34257"/>
    <cellStyle name="Normal 141 6 2" xfId="34258"/>
    <cellStyle name="Normal 141 7" xfId="34259"/>
    <cellStyle name="Normal 141 7 2" xfId="34260"/>
    <cellStyle name="Normal 141 8" xfId="34261"/>
    <cellStyle name="Normal 141 8 2" xfId="34262"/>
    <cellStyle name="Normal 141 9" xfId="34263"/>
    <cellStyle name="Normal 141 9 2" xfId="34264"/>
    <cellStyle name="Normal 141_Dakota Panel" xfId="34265"/>
    <cellStyle name="Normal 142" xfId="3974"/>
    <cellStyle name="Normal 142 10" xfId="34266"/>
    <cellStyle name="Normal 142 10 2" xfId="34267"/>
    <cellStyle name="Normal 142 11" xfId="34268"/>
    <cellStyle name="Normal 142 11 2" xfId="34269"/>
    <cellStyle name="Normal 142 12" xfId="34270"/>
    <cellStyle name="Normal 142 2" xfId="34271"/>
    <cellStyle name="Normal 142 2 2" xfId="34272"/>
    <cellStyle name="Normal 142 2 2 2" xfId="34273"/>
    <cellStyle name="Normal 142 2 3" xfId="34274"/>
    <cellStyle name="Normal 142 2 3 2" xfId="34275"/>
    <cellStyle name="Normal 142 2 4" xfId="34276"/>
    <cellStyle name="Normal 142 2 4 2" xfId="34277"/>
    <cellStyle name="Normal 142 2 5" xfId="34278"/>
    <cellStyle name="Normal 142 2 5 2" xfId="34279"/>
    <cellStyle name="Normal 142 2 6" xfId="34280"/>
    <cellStyle name="Normal 142 2 6 2" xfId="34281"/>
    <cellStyle name="Normal 142 2 7" xfId="34282"/>
    <cellStyle name="Normal 142 2 7 2" xfId="34283"/>
    <cellStyle name="Normal 142 2 8" xfId="34284"/>
    <cellStyle name="Normal 142 2 8 2" xfId="34285"/>
    <cellStyle name="Normal 142 2 9" xfId="34286"/>
    <cellStyle name="Normal 142 2 9 2" xfId="34287"/>
    <cellStyle name="Normal 142 2_Dakota Panel" xfId="34288"/>
    <cellStyle name="Normal 142 3" xfId="34289"/>
    <cellStyle name="Normal 142 3 2" xfId="34290"/>
    <cellStyle name="Normal 142 3 2 2" xfId="34291"/>
    <cellStyle name="Normal 142 3 3" xfId="34292"/>
    <cellStyle name="Normal 142 3 3 2" xfId="34293"/>
    <cellStyle name="Normal 142 3 4" xfId="34294"/>
    <cellStyle name="Normal 142 3 5" xfId="34295"/>
    <cellStyle name="Normal 142 4" xfId="34296"/>
    <cellStyle name="Normal 142 4 2" xfId="34297"/>
    <cellStyle name="Normal 142 5" xfId="34298"/>
    <cellStyle name="Normal 142 5 2" xfId="34299"/>
    <cellStyle name="Normal 142 6" xfId="34300"/>
    <cellStyle name="Normal 142 6 2" xfId="34301"/>
    <cellStyle name="Normal 142 7" xfId="34302"/>
    <cellStyle name="Normal 142 7 2" xfId="34303"/>
    <cellStyle name="Normal 142 8" xfId="34304"/>
    <cellStyle name="Normal 142 8 2" xfId="34305"/>
    <cellStyle name="Normal 142 9" xfId="34306"/>
    <cellStyle name="Normal 142 9 2" xfId="34307"/>
    <cellStyle name="Normal 142_Dakota Panel" xfId="34308"/>
    <cellStyle name="Normal 143" xfId="3975"/>
    <cellStyle name="Normal 143 10" xfId="34309"/>
    <cellStyle name="Normal 143 10 2" xfId="34310"/>
    <cellStyle name="Normal 143 11" xfId="34311"/>
    <cellStyle name="Normal 143 11 2" xfId="34312"/>
    <cellStyle name="Normal 143 12" xfId="34313"/>
    <cellStyle name="Normal 143 2" xfId="34314"/>
    <cellStyle name="Normal 143 2 2" xfId="34315"/>
    <cellStyle name="Normal 143 2 2 2" xfId="34316"/>
    <cellStyle name="Normal 143 2 3" xfId="34317"/>
    <cellStyle name="Normal 143 2 3 2" xfId="34318"/>
    <cellStyle name="Normal 143 2 4" xfId="34319"/>
    <cellStyle name="Normal 143 2 4 2" xfId="34320"/>
    <cellStyle name="Normal 143 2 5" xfId="34321"/>
    <cellStyle name="Normal 143 2 5 2" xfId="34322"/>
    <cellStyle name="Normal 143 2 6" xfId="34323"/>
    <cellStyle name="Normal 143 2 6 2" xfId="34324"/>
    <cellStyle name="Normal 143 2 7" xfId="34325"/>
    <cellStyle name="Normal 143 2 7 2" xfId="34326"/>
    <cellStyle name="Normal 143 2 8" xfId="34327"/>
    <cellStyle name="Normal 143 2 8 2" xfId="34328"/>
    <cellStyle name="Normal 143 2 9" xfId="34329"/>
    <cellStyle name="Normal 143 2 9 2" xfId="34330"/>
    <cellStyle name="Normal 143 2_Dakota Panel" xfId="34331"/>
    <cellStyle name="Normal 143 3" xfId="34332"/>
    <cellStyle name="Normal 143 3 2" xfId="34333"/>
    <cellStyle name="Normal 143 3 2 2" xfId="34334"/>
    <cellStyle name="Normal 143 3 3" xfId="34335"/>
    <cellStyle name="Normal 143 3 3 2" xfId="34336"/>
    <cellStyle name="Normal 143 3 4" xfId="34337"/>
    <cellStyle name="Normal 143 3 5" xfId="34338"/>
    <cellStyle name="Normal 143 4" xfId="34339"/>
    <cellStyle name="Normal 143 4 2" xfId="34340"/>
    <cellStyle name="Normal 143 5" xfId="34341"/>
    <cellStyle name="Normal 143 5 2" xfId="34342"/>
    <cellStyle name="Normal 143 6" xfId="34343"/>
    <cellStyle name="Normal 143 6 2" xfId="34344"/>
    <cellStyle name="Normal 143 7" xfId="34345"/>
    <cellStyle name="Normal 143 7 2" xfId="34346"/>
    <cellStyle name="Normal 143 8" xfId="34347"/>
    <cellStyle name="Normal 143 8 2" xfId="34348"/>
    <cellStyle name="Normal 143 9" xfId="34349"/>
    <cellStyle name="Normal 143 9 2" xfId="34350"/>
    <cellStyle name="Normal 143_Dakota Panel" xfId="34351"/>
    <cellStyle name="Normal 144" xfId="3976"/>
    <cellStyle name="Normal 144 10" xfId="34352"/>
    <cellStyle name="Normal 144 10 2" xfId="34353"/>
    <cellStyle name="Normal 144 11" xfId="34354"/>
    <cellStyle name="Normal 144 11 2" xfId="34355"/>
    <cellStyle name="Normal 144 12" xfId="34356"/>
    <cellStyle name="Normal 144 2" xfId="3977"/>
    <cellStyle name="Normal 144 2 2" xfId="3978"/>
    <cellStyle name="Normal 144 2 2 2" xfId="34357"/>
    <cellStyle name="Normal 144 2 3" xfId="34358"/>
    <cellStyle name="Normal 144 2 3 2" xfId="34359"/>
    <cellStyle name="Normal 144 2 4" xfId="34360"/>
    <cellStyle name="Normal 144 2 4 2" xfId="34361"/>
    <cellStyle name="Normal 144 2 5" xfId="34362"/>
    <cellStyle name="Normal 144 2 5 2" xfId="34363"/>
    <cellStyle name="Normal 144 2 6" xfId="34364"/>
    <cellStyle name="Normal 144 2 6 2" xfId="34365"/>
    <cellStyle name="Normal 144 2 7" xfId="34366"/>
    <cellStyle name="Normal 144 2 7 2" xfId="34367"/>
    <cellStyle name="Normal 144 2 8" xfId="34368"/>
    <cellStyle name="Normal 144 2 8 2" xfId="34369"/>
    <cellStyle name="Normal 144 2 9" xfId="34370"/>
    <cellStyle name="Normal 144 2 9 2" xfId="34371"/>
    <cellStyle name="Normal 144 2_Dakota Panel" xfId="34372"/>
    <cellStyle name="Normal 144 3" xfId="3979"/>
    <cellStyle name="Normal 144 3 2" xfId="34373"/>
    <cellStyle name="Normal 144 3 2 2" xfId="34374"/>
    <cellStyle name="Normal 144 3 3" xfId="34375"/>
    <cellStyle name="Normal 144 3 3 2" xfId="34376"/>
    <cellStyle name="Normal 144 3 4" xfId="34377"/>
    <cellStyle name="Normal 144 3 5" xfId="34378"/>
    <cellStyle name="Normal 144 4" xfId="34379"/>
    <cellStyle name="Normal 144 4 2" xfId="34380"/>
    <cellStyle name="Normal 144 5" xfId="34381"/>
    <cellStyle name="Normal 144 5 2" xfId="34382"/>
    <cellStyle name="Normal 144 6" xfId="34383"/>
    <cellStyle name="Normal 144 6 2" xfId="34384"/>
    <cellStyle name="Normal 144 7" xfId="34385"/>
    <cellStyle name="Normal 144 7 2" xfId="34386"/>
    <cellStyle name="Normal 144 8" xfId="34387"/>
    <cellStyle name="Normal 144 8 2" xfId="34388"/>
    <cellStyle name="Normal 144 9" xfId="34389"/>
    <cellStyle name="Normal 144 9 2" xfId="34390"/>
    <cellStyle name="Normal 144_Dakota Panel" xfId="34391"/>
    <cellStyle name="Normal 145" xfId="3980"/>
    <cellStyle name="Normal 145 10" xfId="34392"/>
    <cellStyle name="Normal 145 10 2" xfId="34393"/>
    <cellStyle name="Normal 145 11" xfId="34394"/>
    <cellStyle name="Normal 145 11 2" xfId="34395"/>
    <cellStyle name="Normal 145 12" xfId="34396"/>
    <cellStyle name="Normal 145 2" xfId="3981"/>
    <cellStyle name="Normal 145 2 2" xfId="3982"/>
    <cellStyle name="Normal 145 2 2 2" xfId="34397"/>
    <cellStyle name="Normal 145 2 3" xfId="34398"/>
    <cellStyle name="Normal 145 2 3 2" xfId="34399"/>
    <cellStyle name="Normal 145 2 4" xfId="34400"/>
    <cellStyle name="Normal 145 2 4 2" xfId="34401"/>
    <cellStyle name="Normal 145 2 5" xfId="34402"/>
    <cellStyle name="Normal 145 2 5 2" xfId="34403"/>
    <cellStyle name="Normal 145 2 6" xfId="34404"/>
    <cellStyle name="Normal 145 2 6 2" xfId="34405"/>
    <cellStyle name="Normal 145 2 7" xfId="34406"/>
    <cellStyle name="Normal 145 2 7 2" xfId="34407"/>
    <cellStyle name="Normal 145 2 8" xfId="34408"/>
    <cellStyle name="Normal 145 2 8 2" xfId="34409"/>
    <cellStyle name="Normal 145 2 9" xfId="34410"/>
    <cellStyle name="Normal 145 2 9 2" xfId="34411"/>
    <cellStyle name="Normal 145 2_Dakota Panel" xfId="34412"/>
    <cellStyle name="Normal 145 3" xfId="3983"/>
    <cellStyle name="Normal 145 3 2" xfId="34413"/>
    <cellStyle name="Normal 145 3 2 2" xfId="34414"/>
    <cellStyle name="Normal 145 3 3" xfId="34415"/>
    <cellStyle name="Normal 145 3 3 2" xfId="34416"/>
    <cellStyle name="Normal 145 3 4" xfId="34417"/>
    <cellStyle name="Normal 145 3 5" xfId="34418"/>
    <cellStyle name="Normal 145 4" xfId="34419"/>
    <cellStyle name="Normal 145 4 2" xfId="34420"/>
    <cellStyle name="Normal 145 5" xfId="34421"/>
    <cellStyle name="Normal 145 5 2" xfId="34422"/>
    <cellStyle name="Normal 145 6" xfId="34423"/>
    <cellStyle name="Normal 145 6 2" xfId="34424"/>
    <cellStyle name="Normal 145 7" xfId="34425"/>
    <cellStyle name="Normal 145 7 2" xfId="34426"/>
    <cellStyle name="Normal 145 8" xfId="34427"/>
    <cellStyle name="Normal 145 8 2" xfId="34428"/>
    <cellStyle name="Normal 145 9" xfId="34429"/>
    <cellStyle name="Normal 145 9 2" xfId="34430"/>
    <cellStyle name="Normal 145_Dakota Panel" xfId="34431"/>
    <cellStyle name="Normal 146" xfId="3984"/>
    <cellStyle name="Normal 146 10" xfId="34432"/>
    <cellStyle name="Normal 146 10 2" xfId="34433"/>
    <cellStyle name="Normal 146 11" xfId="34434"/>
    <cellStyle name="Normal 146 11 2" xfId="34435"/>
    <cellStyle name="Normal 146 12" xfId="34436"/>
    <cellStyle name="Normal 146 2" xfId="34437"/>
    <cellStyle name="Normal 146 2 2" xfId="34438"/>
    <cellStyle name="Normal 146 2 2 2" xfId="34439"/>
    <cellStyle name="Normal 146 2 3" xfId="34440"/>
    <cellStyle name="Normal 146 2 3 2" xfId="34441"/>
    <cellStyle name="Normal 146 2 4" xfId="34442"/>
    <cellStyle name="Normal 146 2 4 2" xfId="34443"/>
    <cellStyle name="Normal 146 2 5" xfId="34444"/>
    <cellStyle name="Normal 146 2 5 2" xfId="34445"/>
    <cellStyle name="Normal 146 2 6" xfId="34446"/>
    <cellStyle name="Normal 146 2 6 2" xfId="34447"/>
    <cellStyle name="Normal 146 2 7" xfId="34448"/>
    <cellStyle name="Normal 146 2 7 2" xfId="34449"/>
    <cellStyle name="Normal 146 2 8" xfId="34450"/>
    <cellStyle name="Normal 146 2 8 2" xfId="34451"/>
    <cellStyle name="Normal 146 2 9" xfId="34452"/>
    <cellStyle name="Normal 146 2 9 2" xfId="34453"/>
    <cellStyle name="Normal 146 2_Dakota Panel" xfId="34454"/>
    <cellStyle name="Normal 146 3" xfId="34455"/>
    <cellStyle name="Normal 146 3 2" xfId="34456"/>
    <cellStyle name="Normal 146 3 2 2" xfId="34457"/>
    <cellStyle name="Normal 146 3 3" xfId="34458"/>
    <cellStyle name="Normal 146 3 3 2" xfId="34459"/>
    <cellStyle name="Normal 146 3 4" xfId="34460"/>
    <cellStyle name="Normal 146 3 5" xfId="34461"/>
    <cellStyle name="Normal 146 4" xfId="34462"/>
    <cellStyle name="Normal 146 4 2" xfId="34463"/>
    <cellStyle name="Normal 146 5" xfId="34464"/>
    <cellStyle name="Normal 146 5 2" xfId="34465"/>
    <cellStyle name="Normal 146 6" xfId="34466"/>
    <cellStyle name="Normal 146 6 2" xfId="34467"/>
    <cellStyle name="Normal 146 7" xfId="34468"/>
    <cellStyle name="Normal 146 7 2" xfId="34469"/>
    <cellStyle name="Normal 146 8" xfId="34470"/>
    <cellStyle name="Normal 146 8 2" xfId="34471"/>
    <cellStyle name="Normal 146 9" xfId="34472"/>
    <cellStyle name="Normal 146 9 2" xfId="34473"/>
    <cellStyle name="Normal 146_Dakota Panel" xfId="34474"/>
    <cellStyle name="Normal 147" xfId="3985"/>
    <cellStyle name="Normal 147 10" xfId="34475"/>
    <cellStyle name="Normal 147 10 2" xfId="34476"/>
    <cellStyle name="Normal 147 11" xfId="34477"/>
    <cellStyle name="Normal 147 11 2" xfId="34478"/>
    <cellStyle name="Normal 147 12" xfId="34479"/>
    <cellStyle name="Normal 147 2" xfId="3986"/>
    <cellStyle name="Normal 147 2 2" xfId="3987"/>
    <cellStyle name="Normal 147 2 2 2" xfId="34480"/>
    <cellStyle name="Normal 147 2 3" xfId="34481"/>
    <cellStyle name="Normal 147 2 3 2" xfId="34482"/>
    <cellStyle name="Normal 147 2 4" xfId="34483"/>
    <cellStyle name="Normal 147 2 4 2" xfId="34484"/>
    <cellStyle name="Normal 147 2 5" xfId="34485"/>
    <cellStyle name="Normal 147 2 5 2" xfId="34486"/>
    <cellStyle name="Normal 147 2 6" xfId="34487"/>
    <cellStyle name="Normal 147 2 6 2" xfId="34488"/>
    <cellStyle name="Normal 147 2 7" xfId="34489"/>
    <cellStyle name="Normal 147 2 7 2" xfId="34490"/>
    <cellStyle name="Normal 147 2 8" xfId="34491"/>
    <cellStyle name="Normal 147 2 8 2" xfId="34492"/>
    <cellStyle name="Normal 147 2 9" xfId="34493"/>
    <cellStyle name="Normal 147 2 9 2" xfId="34494"/>
    <cellStyle name="Normal 147 2_Dakota Panel" xfId="34495"/>
    <cellStyle name="Normal 147 3" xfId="3988"/>
    <cellStyle name="Normal 147 3 2" xfId="34496"/>
    <cellStyle name="Normal 147 3 2 2" xfId="34497"/>
    <cellStyle name="Normal 147 3 3" xfId="34498"/>
    <cellStyle name="Normal 147 3 3 2" xfId="34499"/>
    <cellStyle name="Normal 147 3 4" xfId="34500"/>
    <cellStyle name="Normal 147 3 5" xfId="34501"/>
    <cellStyle name="Normal 147 4" xfId="34502"/>
    <cellStyle name="Normal 147 4 2" xfId="34503"/>
    <cellStyle name="Normal 147 5" xfId="34504"/>
    <cellStyle name="Normal 147 5 2" xfId="34505"/>
    <cellStyle name="Normal 147 6" xfId="34506"/>
    <cellStyle name="Normal 147 6 2" xfId="34507"/>
    <cellStyle name="Normal 147 7" xfId="34508"/>
    <cellStyle name="Normal 147 7 2" xfId="34509"/>
    <cellStyle name="Normal 147 8" xfId="34510"/>
    <cellStyle name="Normal 147 8 2" xfId="34511"/>
    <cellStyle name="Normal 147 9" xfId="34512"/>
    <cellStyle name="Normal 147 9 2" xfId="34513"/>
    <cellStyle name="Normal 147_Dakota Panel" xfId="34514"/>
    <cellStyle name="Normal 148" xfId="3989"/>
    <cellStyle name="Normal 148 10" xfId="34515"/>
    <cellStyle name="Normal 148 10 2" xfId="34516"/>
    <cellStyle name="Normal 148 11" xfId="34517"/>
    <cellStyle name="Normal 148 11 2" xfId="34518"/>
    <cellStyle name="Normal 148 12" xfId="34519"/>
    <cellStyle name="Normal 148 2" xfId="34520"/>
    <cellStyle name="Normal 148 2 2" xfId="34521"/>
    <cellStyle name="Normal 148 2 2 2" xfId="34522"/>
    <cellStyle name="Normal 148 2 3" xfId="34523"/>
    <cellStyle name="Normal 148 2 3 2" xfId="34524"/>
    <cellStyle name="Normal 148 2 4" xfId="34525"/>
    <cellStyle name="Normal 148 2 4 2" xfId="34526"/>
    <cellStyle name="Normal 148 2 5" xfId="34527"/>
    <cellStyle name="Normal 148 2 5 2" xfId="34528"/>
    <cellStyle name="Normal 148 2 6" xfId="34529"/>
    <cellStyle name="Normal 148 2 6 2" xfId="34530"/>
    <cellStyle name="Normal 148 2 7" xfId="34531"/>
    <cellStyle name="Normal 148 2 7 2" xfId="34532"/>
    <cellStyle name="Normal 148 2 8" xfId="34533"/>
    <cellStyle name="Normal 148 2 8 2" xfId="34534"/>
    <cellStyle name="Normal 148 2 9" xfId="34535"/>
    <cellStyle name="Normal 148 2 9 2" xfId="34536"/>
    <cellStyle name="Normal 148 2_Dakota Panel" xfId="34537"/>
    <cellStyle name="Normal 148 3" xfId="34538"/>
    <cellStyle name="Normal 148 3 2" xfId="34539"/>
    <cellStyle name="Normal 148 3 2 2" xfId="34540"/>
    <cellStyle name="Normal 148 3 3" xfId="34541"/>
    <cellStyle name="Normal 148 3 3 2" xfId="34542"/>
    <cellStyle name="Normal 148 3 4" xfId="34543"/>
    <cellStyle name="Normal 148 3 5" xfId="34544"/>
    <cellStyle name="Normal 148 4" xfId="34545"/>
    <cellStyle name="Normal 148 4 2" xfId="34546"/>
    <cellStyle name="Normal 148 5" xfId="34547"/>
    <cellStyle name="Normal 148 5 2" xfId="34548"/>
    <cellStyle name="Normal 148 6" xfId="34549"/>
    <cellStyle name="Normal 148 6 2" xfId="34550"/>
    <cellStyle name="Normal 148 7" xfId="34551"/>
    <cellStyle name="Normal 148 7 2" xfId="34552"/>
    <cellStyle name="Normal 148 8" xfId="34553"/>
    <cellStyle name="Normal 148 8 2" xfId="34554"/>
    <cellStyle name="Normal 148 9" xfId="34555"/>
    <cellStyle name="Normal 148 9 2" xfId="34556"/>
    <cellStyle name="Normal 148_Dakota Panel" xfId="34557"/>
    <cellStyle name="Normal 149" xfId="3990"/>
    <cellStyle name="Normal 149 10" xfId="34558"/>
    <cellStyle name="Normal 149 10 2" xfId="34559"/>
    <cellStyle name="Normal 149 11" xfId="34560"/>
    <cellStyle name="Normal 149 11 2" xfId="34561"/>
    <cellStyle name="Normal 149 12" xfId="34562"/>
    <cellStyle name="Normal 149 2" xfId="3991"/>
    <cellStyle name="Normal 149 2 2" xfId="34563"/>
    <cellStyle name="Normal 149 2 2 2" xfId="34564"/>
    <cellStyle name="Normal 149 2 3" xfId="34565"/>
    <cellStyle name="Normal 149 2 3 2" xfId="34566"/>
    <cellStyle name="Normal 149 2 4" xfId="34567"/>
    <cellStyle name="Normal 149 2 4 2" xfId="34568"/>
    <cellStyle name="Normal 149 2 5" xfId="34569"/>
    <cellStyle name="Normal 149 2 5 2" xfId="34570"/>
    <cellStyle name="Normal 149 2 6" xfId="34571"/>
    <cellStyle name="Normal 149 2 6 2" xfId="34572"/>
    <cellStyle name="Normal 149 2 7" xfId="34573"/>
    <cellStyle name="Normal 149 2 7 2" xfId="34574"/>
    <cellStyle name="Normal 149 2 8" xfId="34575"/>
    <cellStyle name="Normal 149 2 8 2" xfId="34576"/>
    <cellStyle name="Normal 149 2 9" xfId="34577"/>
    <cellStyle name="Normal 149 2 9 2" xfId="34578"/>
    <cellStyle name="Normal 149 2_Dakota Panel" xfId="34579"/>
    <cellStyle name="Normal 149 3" xfId="34580"/>
    <cellStyle name="Normal 149 3 2" xfId="34581"/>
    <cellStyle name="Normal 149 3 2 2" xfId="34582"/>
    <cellStyle name="Normal 149 3 3" xfId="34583"/>
    <cellStyle name="Normal 149 3 3 2" xfId="34584"/>
    <cellStyle name="Normal 149 3 4" xfId="34585"/>
    <cellStyle name="Normal 149 3 5" xfId="34586"/>
    <cellStyle name="Normal 149 4" xfId="34587"/>
    <cellStyle name="Normal 149 4 2" xfId="34588"/>
    <cellStyle name="Normal 149 5" xfId="34589"/>
    <cellStyle name="Normal 149 5 2" xfId="34590"/>
    <cellStyle name="Normal 149 6" xfId="34591"/>
    <cellStyle name="Normal 149 6 2" xfId="34592"/>
    <cellStyle name="Normal 149 7" xfId="34593"/>
    <cellStyle name="Normal 149 7 2" xfId="34594"/>
    <cellStyle name="Normal 149 8" xfId="34595"/>
    <cellStyle name="Normal 149 8 2" xfId="34596"/>
    <cellStyle name="Normal 149 9" xfId="34597"/>
    <cellStyle name="Normal 149 9 2" xfId="34598"/>
    <cellStyle name="Normal 149_Dakota Panel" xfId="34599"/>
    <cellStyle name="Normal 15" xfId="3992"/>
    <cellStyle name="Normal 15 10" xfId="34600"/>
    <cellStyle name="Normal 15 10 2" xfId="34601"/>
    <cellStyle name="Normal 15 11" xfId="34602"/>
    <cellStyle name="Normal 15 11 2" xfId="34603"/>
    <cellStyle name="Normal 15 12" xfId="34604"/>
    <cellStyle name="Normal 15 2" xfId="3993"/>
    <cellStyle name="Normal 15 2 2" xfId="34605"/>
    <cellStyle name="Normal 15 2 2 2" xfId="34606"/>
    <cellStyle name="Normal 15 2 2 3" xfId="34607"/>
    <cellStyle name="Normal 15 2 3" xfId="34608"/>
    <cellStyle name="Normal 15 2 4" xfId="34609"/>
    <cellStyle name="Normal 15 2 5" xfId="34610"/>
    <cellStyle name="Normal 15 3" xfId="3994"/>
    <cellStyle name="Normal 15 3 2" xfId="3995"/>
    <cellStyle name="Normal 15 3 2 2" xfId="3996"/>
    <cellStyle name="Normal 15 3 2 2 2" xfId="3997"/>
    <cellStyle name="Normal 15 3 2 3" xfId="3998"/>
    <cellStyle name="Normal 15 3 3" xfId="3999"/>
    <cellStyle name="Normal 15 3 3 2" xfId="4000"/>
    <cellStyle name="Normal 15 3 4" xfId="4001"/>
    <cellStyle name="Normal 15 4" xfId="4002"/>
    <cellStyle name="Normal 15 4 2" xfId="4003"/>
    <cellStyle name="Normal 15 4 2 2" xfId="4004"/>
    <cellStyle name="Normal 15 4 2 2 2" xfId="34611"/>
    <cellStyle name="Normal 15 4 3" xfId="4005"/>
    <cellStyle name="Normal 15 4 3 2" xfId="34612"/>
    <cellStyle name="Normal 15 4 4" xfId="34613"/>
    <cellStyle name="Normal 15 4 4 2" xfId="34614"/>
    <cellStyle name="Normal 15 4 5" xfId="34615"/>
    <cellStyle name="Normal 15 4 5 2" xfId="34616"/>
    <cellStyle name="Normal 15 4 6" xfId="34617"/>
    <cellStyle name="Normal 15 4 6 2" xfId="34618"/>
    <cellStyle name="Normal 15 4 7" xfId="34619"/>
    <cellStyle name="Normal 15 4 7 2" xfId="34620"/>
    <cellStyle name="Normal 15 4 8" xfId="34621"/>
    <cellStyle name="Normal 15 4 8 2" xfId="34622"/>
    <cellStyle name="Normal 15 4 9" xfId="34623"/>
    <cellStyle name="Normal 15 4 9 2" xfId="34624"/>
    <cellStyle name="Normal 15 4_Dakota Panel" xfId="34625"/>
    <cellStyle name="Normal 15 5" xfId="4006"/>
    <cellStyle name="Normal 15 5 2" xfId="4007"/>
    <cellStyle name="Normal 15 5 2 2" xfId="34626"/>
    <cellStyle name="Normal 15 6" xfId="4008"/>
    <cellStyle name="Normal 15 6 2" xfId="34627"/>
    <cellStyle name="Normal 15 6 2 2" xfId="34628"/>
    <cellStyle name="Normal 15 7" xfId="34629"/>
    <cellStyle name="Normal 15 7 2" xfId="34630"/>
    <cellStyle name="Normal 15 7 2 2" xfId="34631"/>
    <cellStyle name="Normal 15 7 3" xfId="34632"/>
    <cellStyle name="Normal 15 7 4" xfId="34633"/>
    <cellStyle name="Normal 15 8" xfId="34634"/>
    <cellStyle name="Normal 15 8 2" xfId="34635"/>
    <cellStyle name="Normal 15 9" xfId="34636"/>
    <cellStyle name="Normal 15 9 2" xfId="34637"/>
    <cellStyle name="Normal 15_Dakota Panel" xfId="34638"/>
    <cellStyle name="Normal 150" xfId="4009"/>
    <cellStyle name="Normal 150 10" xfId="34639"/>
    <cellStyle name="Normal 150 10 2" xfId="34640"/>
    <cellStyle name="Normal 150 11" xfId="34641"/>
    <cellStyle name="Normal 150 11 2" xfId="34642"/>
    <cellStyle name="Normal 150 12" xfId="34643"/>
    <cellStyle name="Normal 150 2" xfId="4010"/>
    <cellStyle name="Normal 150 2 2" xfId="34644"/>
    <cellStyle name="Normal 150 2 2 2" xfId="34645"/>
    <cellStyle name="Normal 150 2 3" xfId="34646"/>
    <cellStyle name="Normal 150 2 3 2" xfId="34647"/>
    <cellStyle name="Normal 150 2 4" xfId="34648"/>
    <cellStyle name="Normal 150 2 4 2" xfId="34649"/>
    <cellStyle name="Normal 150 2 5" xfId="34650"/>
    <cellStyle name="Normal 150 2 5 2" xfId="34651"/>
    <cellStyle name="Normal 150 2 6" xfId="34652"/>
    <cellStyle name="Normal 150 2 6 2" xfId="34653"/>
    <cellStyle name="Normal 150 2 7" xfId="34654"/>
    <cellStyle name="Normal 150 2 7 2" xfId="34655"/>
    <cellStyle name="Normal 150 2 8" xfId="34656"/>
    <cellStyle name="Normal 150 2 8 2" xfId="34657"/>
    <cellStyle name="Normal 150 2 9" xfId="34658"/>
    <cellStyle name="Normal 150 2 9 2" xfId="34659"/>
    <cellStyle name="Normal 150 2_Dakota Panel" xfId="34660"/>
    <cellStyle name="Normal 150 3" xfId="34661"/>
    <cellStyle name="Normal 150 3 2" xfId="34662"/>
    <cellStyle name="Normal 150 3 2 2" xfId="34663"/>
    <cellStyle name="Normal 150 3 3" xfId="34664"/>
    <cellStyle name="Normal 150 3 3 2" xfId="34665"/>
    <cellStyle name="Normal 150 3 4" xfId="34666"/>
    <cellStyle name="Normal 150 3 5" xfId="34667"/>
    <cellStyle name="Normal 150 4" xfId="34668"/>
    <cellStyle name="Normal 150 4 2" xfId="34669"/>
    <cellStyle name="Normal 150 5" xfId="34670"/>
    <cellStyle name="Normal 150 5 2" xfId="34671"/>
    <cellStyle name="Normal 150 6" xfId="34672"/>
    <cellStyle name="Normal 150 6 2" xfId="34673"/>
    <cellStyle name="Normal 150 7" xfId="34674"/>
    <cellStyle name="Normal 150 7 2" xfId="34675"/>
    <cellStyle name="Normal 150 8" xfId="34676"/>
    <cellStyle name="Normal 150 8 2" xfId="34677"/>
    <cellStyle name="Normal 150 9" xfId="34678"/>
    <cellStyle name="Normal 150 9 2" xfId="34679"/>
    <cellStyle name="Normal 150_Dakota Panel" xfId="34680"/>
    <cellStyle name="Normal 151" xfId="4011"/>
    <cellStyle name="Normal 151 10" xfId="34681"/>
    <cellStyle name="Normal 151 10 2" xfId="34682"/>
    <cellStyle name="Normal 151 11" xfId="34683"/>
    <cellStyle name="Normal 151 11 2" xfId="34684"/>
    <cellStyle name="Normal 151 12" xfId="34685"/>
    <cellStyle name="Normal 151 2" xfId="4012"/>
    <cellStyle name="Normal 151 2 2" xfId="34686"/>
    <cellStyle name="Normal 151 2 2 2" xfId="34687"/>
    <cellStyle name="Normal 151 2 3" xfId="34688"/>
    <cellStyle name="Normal 151 2 3 2" xfId="34689"/>
    <cellStyle name="Normal 151 2 4" xfId="34690"/>
    <cellStyle name="Normal 151 2 4 2" xfId="34691"/>
    <cellStyle name="Normal 151 2 5" xfId="34692"/>
    <cellStyle name="Normal 151 2 5 2" xfId="34693"/>
    <cellStyle name="Normal 151 2 6" xfId="34694"/>
    <cellStyle name="Normal 151 2 6 2" xfId="34695"/>
    <cellStyle name="Normal 151 2 7" xfId="34696"/>
    <cellStyle name="Normal 151 2 7 2" xfId="34697"/>
    <cellStyle name="Normal 151 2 8" xfId="34698"/>
    <cellStyle name="Normal 151 2 8 2" xfId="34699"/>
    <cellStyle name="Normal 151 2 9" xfId="34700"/>
    <cellStyle name="Normal 151 2 9 2" xfId="34701"/>
    <cellStyle name="Normal 151 2_Dakota Panel" xfId="34702"/>
    <cellStyle name="Normal 151 3" xfId="34703"/>
    <cellStyle name="Normal 151 3 2" xfId="34704"/>
    <cellStyle name="Normal 151 3 2 2" xfId="34705"/>
    <cellStyle name="Normal 151 3 3" xfId="34706"/>
    <cellStyle name="Normal 151 3 3 2" xfId="34707"/>
    <cellStyle name="Normal 151 3 4" xfId="34708"/>
    <cellStyle name="Normal 151 3 5" xfId="34709"/>
    <cellStyle name="Normal 151 4" xfId="34710"/>
    <cellStyle name="Normal 151 4 2" xfId="34711"/>
    <cellStyle name="Normal 151 5" xfId="34712"/>
    <cellStyle name="Normal 151 5 2" xfId="34713"/>
    <cellStyle name="Normal 151 6" xfId="34714"/>
    <cellStyle name="Normal 151 6 2" xfId="34715"/>
    <cellStyle name="Normal 151 7" xfId="34716"/>
    <cellStyle name="Normal 151 7 2" xfId="34717"/>
    <cellStyle name="Normal 151 8" xfId="34718"/>
    <cellStyle name="Normal 151 8 2" xfId="34719"/>
    <cellStyle name="Normal 151 9" xfId="34720"/>
    <cellStyle name="Normal 151 9 2" xfId="34721"/>
    <cellStyle name="Normal 151_Dakota Panel" xfId="34722"/>
    <cellStyle name="Normal 152" xfId="4013"/>
    <cellStyle name="Normal 152 10" xfId="34723"/>
    <cellStyle name="Normal 152 10 2" xfId="34724"/>
    <cellStyle name="Normal 152 11" xfId="34725"/>
    <cellStyle name="Normal 152 11 2" xfId="34726"/>
    <cellStyle name="Normal 152 12" xfId="34727"/>
    <cellStyle name="Normal 152 2" xfId="4014"/>
    <cellStyle name="Normal 152 2 2" xfId="34728"/>
    <cellStyle name="Normal 152 2 2 2" xfId="34729"/>
    <cellStyle name="Normal 152 2 3" xfId="34730"/>
    <cellStyle name="Normal 152 2 3 2" xfId="34731"/>
    <cellStyle name="Normal 152 2 4" xfId="34732"/>
    <cellStyle name="Normal 152 2 4 2" xfId="34733"/>
    <cellStyle name="Normal 152 2 5" xfId="34734"/>
    <cellStyle name="Normal 152 2 5 2" xfId="34735"/>
    <cellStyle name="Normal 152 2 6" xfId="34736"/>
    <cellStyle name="Normal 152 2 6 2" xfId="34737"/>
    <cellStyle name="Normal 152 2 7" xfId="34738"/>
    <cellStyle name="Normal 152 2 7 2" xfId="34739"/>
    <cellStyle name="Normal 152 2 8" xfId="34740"/>
    <cellStyle name="Normal 152 2 8 2" xfId="34741"/>
    <cellStyle name="Normal 152 2 9" xfId="34742"/>
    <cellStyle name="Normal 152 2 9 2" xfId="34743"/>
    <cellStyle name="Normal 152 2_Dakota Panel" xfId="34744"/>
    <cellStyle name="Normal 152 3" xfId="34745"/>
    <cellStyle name="Normal 152 3 2" xfId="34746"/>
    <cellStyle name="Normal 152 3 2 2" xfId="34747"/>
    <cellStyle name="Normal 152 3 3" xfId="34748"/>
    <cellStyle name="Normal 152 3 3 2" xfId="34749"/>
    <cellStyle name="Normal 152 3 4" xfId="34750"/>
    <cellStyle name="Normal 152 3 5" xfId="34751"/>
    <cellStyle name="Normal 152 4" xfId="34752"/>
    <cellStyle name="Normal 152 4 2" xfId="34753"/>
    <cellStyle name="Normal 152 5" xfId="34754"/>
    <cellStyle name="Normal 152 5 2" xfId="34755"/>
    <cellStyle name="Normal 152 6" xfId="34756"/>
    <cellStyle name="Normal 152 6 2" xfId="34757"/>
    <cellStyle name="Normal 152 7" xfId="34758"/>
    <cellStyle name="Normal 152 7 2" xfId="34759"/>
    <cellStyle name="Normal 152 8" xfId="34760"/>
    <cellStyle name="Normal 152 8 2" xfId="34761"/>
    <cellStyle name="Normal 152 9" xfId="34762"/>
    <cellStyle name="Normal 152 9 2" xfId="34763"/>
    <cellStyle name="Normal 152_Dakota Panel" xfId="34764"/>
    <cellStyle name="Normal 153" xfId="4015"/>
    <cellStyle name="Normal 153 10" xfId="34765"/>
    <cellStyle name="Normal 153 10 2" xfId="34766"/>
    <cellStyle name="Normal 153 11" xfId="34767"/>
    <cellStyle name="Normal 153 11 2" xfId="34768"/>
    <cellStyle name="Normal 153 12" xfId="34769"/>
    <cellStyle name="Normal 153 2" xfId="4016"/>
    <cellStyle name="Normal 153 2 2" xfId="34770"/>
    <cellStyle name="Normal 153 2 2 2" xfId="34771"/>
    <cellStyle name="Normal 153 2 3" xfId="34772"/>
    <cellStyle name="Normal 153 2 3 2" xfId="34773"/>
    <cellStyle name="Normal 153 2 4" xfId="34774"/>
    <cellStyle name="Normal 153 2 4 2" xfId="34775"/>
    <cellStyle name="Normal 153 2 5" xfId="34776"/>
    <cellStyle name="Normal 153 2 5 2" xfId="34777"/>
    <cellStyle name="Normal 153 2 6" xfId="34778"/>
    <cellStyle name="Normal 153 2 6 2" xfId="34779"/>
    <cellStyle name="Normal 153 2 7" xfId="34780"/>
    <cellStyle name="Normal 153 2 7 2" xfId="34781"/>
    <cellStyle name="Normal 153 2 8" xfId="34782"/>
    <cellStyle name="Normal 153 2 8 2" xfId="34783"/>
    <cellStyle name="Normal 153 2 9" xfId="34784"/>
    <cellStyle name="Normal 153 2 9 2" xfId="34785"/>
    <cellStyle name="Normal 153 2_Dakota Panel" xfId="34786"/>
    <cellStyle name="Normal 153 3" xfId="34787"/>
    <cellStyle name="Normal 153 3 2" xfId="34788"/>
    <cellStyle name="Normal 153 3 2 2" xfId="34789"/>
    <cellStyle name="Normal 153 3 3" xfId="34790"/>
    <cellStyle name="Normal 153 3 3 2" xfId="34791"/>
    <cellStyle name="Normal 153 3 4" xfId="34792"/>
    <cellStyle name="Normal 153 3 5" xfId="34793"/>
    <cellStyle name="Normal 153 4" xfId="34794"/>
    <cellStyle name="Normal 153 4 2" xfId="34795"/>
    <cellStyle name="Normal 153 5" xfId="34796"/>
    <cellStyle name="Normal 153 5 2" xfId="34797"/>
    <cellStyle name="Normal 153 6" xfId="34798"/>
    <cellStyle name="Normal 153 6 2" xfId="34799"/>
    <cellStyle name="Normal 153 7" xfId="34800"/>
    <cellStyle name="Normal 153 7 2" xfId="34801"/>
    <cellStyle name="Normal 153 8" xfId="34802"/>
    <cellStyle name="Normal 153 8 2" xfId="34803"/>
    <cellStyle name="Normal 153 9" xfId="34804"/>
    <cellStyle name="Normal 153 9 2" xfId="34805"/>
    <cellStyle name="Normal 153_Dakota Panel" xfId="34806"/>
    <cellStyle name="Normal 154" xfId="4017"/>
    <cellStyle name="Normal 154 10" xfId="34807"/>
    <cellStyle name="Normal 154 10 2" xfId="34808"/>
    <cellStyle name="Normal 154 11" xfId="34809"/>
    <cellStyle name="Normal 154 11 2" xfId="34810"/>
    <cellStyle name="Normal 154 12" xfId="34811"/>
    <cellStyle name="Normal 154 2" xfId="34812"/>
    <cellStyle name="Normal 154 2 2" xfId="34813"/>
    <cellStyle name="Normal 154 2 2 2" xfId="34814"/>
    <cellStyle name="Normal 154 2 3" xfId="34815"/>
    <cellStyle name="Normal 154 2 3 2" xfId="34816"/>
    <cellStyle name="Normal 154 2 4" xfId="34817"/>
    <cellStyle name="Normal 154 2 4 2" xfId="34818"/>
    <cellStyle name="Normal 154 2 5" xfId="34819"/>
    <cellStyle name="Normal 154 2 5 2" xfId="34820"/>
    <cellStyle name="Normal 154 2 6" xfId="34821"/>
    <cellStyle name="Normal 154 2 6 2" xfId="34822"/>
    <cellStyle name="Normal 154 2 7" xfId="34823"/>
    <cellStyle name="Normal 154 2 7 2" xfId="34824"/>
    <cellStyle name="Normal 154 2 8" xfId="34825"/>
    <cellStyle name="Normal 154 2 8 2" xfId="34826"/>
    <cellStyle name="Normal 154 2 9" xfId="34827"/>
    <cellStyle name="Normal 154 2 9 2" xfId="34828"/>
    <cellStyle name="Normal 154 2_Dakota Panel" xfId="34829"/>
    <cellStyle name="Normal 154 3" xfId="34830"/>
    <cellStyle name="Normal 154 3 2" xfId="34831"/>
    <cellStyle name="Normal 154 3 2 2" xfId="34832"/>
    <cellStyle name="Normal 154 3 3" xfId="34833"/>
    <cellStyle name="Normal 154 3 3 2" xfId="34834"/>
    <cellStyle name="Normal 154 3 4" xfId="34835"/>
    <cellStyle name="Normal 154 3 5" xfId="34836"/>
    <cellStyle name="Normal 154 4" xfId="34837"/>
    <cellStyle name="Normal 154 4 2" xfId="34838"/>
    <cellStyle name="Normal 154 5" xfId="34839"/>
    <cellStyle name="Normal 154 5 2" xfId="34840"/>
    <cellStyle name="Normal 154 6" xfId="34841"/>
    <cellStyle name="Normal 154 6 2" xfId="34842"/>
    <cellStyle name="Normal 154 7" xfId="34843"/>
    <cellStyle name="Normal 154 7 2" xfId="34844"/>
    <cellStyle name="Normal 154 8" xfId="34845"/>
    <cellStyle name="Normal 154 8 2" xfId="34846"/>
    <cellStyle name="Normal 154 9" xfId="34847"/>
    <cellStyle name="Normal 154 9 2" xfId="34848"/>
    <cellStyle name="Normal 154_Dakota Panel" xfId="34849"/>
    <cellStyle name="Normal 155" xfId="4018"/>
    <cellStyle name="Normal 155 10" xfId="34850"/>
    <cellStyle name="Normal 155 10 2" xfId="34851"/>
    <cellStyle name="Normal 155 11" xfId="34852"/>
    <cellStyle name="Normal 155 11 2" xfId="34853"/>
    <cellStyle name="Normal 155 12" xfId="34854"/>
    <cellStyle name="Normal 155 2" xfId="34855"/>
    <cellStyle name="Normal 155 2 2" xfId="34856"/>
    <cellStyle name="Normal 155 2 2 2" xfId="34857"/>
    <cellStyle name="Normal 155 2 3" xfId="34858"/>
    <cellStyle name="Normal 155 2 3 2" xfId="34859"/>
    <cellStyle name="Normal 155 2 4" xfId="34860"/>
    <cellStyle name="Normal 155 2 4 2" xfId="34861"/>
    <cellStyle name="Normal 155 2 5" xfId="34862"/>
    <cellStyle name="Normal 155 2 5 2" xfId="34863"/>
    <cellStyle name="Normal 155 2 6" xfId="34864"/>
    <cellStyle name="Normal 155 2 6 2" xfId="34865"/>
    <cellStyle name="Normal 155 2 7" xfId="34866"/>
    <cellStyle name="Normal 155 2 7 2" xfId="34867"/>
    <cellStyle name="Normal 155 2 8" xfId="34868"/>
    <cellStyle name="Normal 155 2 8 2" xfId="34869"/>
    <cellStyle name="Normal 155 2 9" xfId="34870"/>
    <cellStyle name="Normal 155 2 9 2" xfId="34871"/>
    <cellStyle name="Normal 155 2_Dakota Panel" xfId="34872"/>
    <cellStyle name="Normal 155 3" xfId="34873"/>
    <cellStyle name="Normal 155 3 2" xfId="34874"/>
    <cellStyle name="Normal 155 3 2 2" xfId="34875"/>
    <cellStyle name="Normal 155 3 3" xfId="34876"/>
    <cellStyle name="Normal 155 3 3 2" xfId="34877"/>
    <cellStyle name="Normal 155 3 4" xfId="34878"/>
    <cellStyle name="Normal 155 3 5" xfId="34879"/>
    <cellStyle name="Normal 155 4" xfId="34880"/>
    <cellStyle name="Normal 155 4 2" xfId="34881"/>
    <cellStyle name="Normal 155 5" xfId="34882"/>
    <cellStyle name="Normal 155 5 2" xfId="34883"/>
    <cellStyle name="Normal 155 6" xfId="34884"/>
    <cellStyle name="Normal 155 6 2" xfId="34885"/>
    <cellStyle name="Normal 155 7" xfId="34886"/>
    <cellStyle name="Normal 155 7 2" xfId="34887"/>
    <cellStyle name="Normal 155 8" xfId="34888"/>
    <cellStyle name="Normal 155 8 2" xfId="34889"/>
    <cellStyle name="Normal 155 9" xfId="34890"/>
    <cellStyle name="Normal 155 9 2" xfId="34891"/>
    <cellStyle name="Normal 155_Dakota Panel" xfId="34892"/>
    <cellStyle name="Normal 156" xfId="4019"/>
    <cellStyle name="Normal 156 10" xfId="34893"/>
    <cellStyle name="Normal 156 10 2" xfId="34894"/>
    <cellStyle name="Normal 156 11" xfId="34895"/>
    <cellStyle name="Normal 156 11 2" xfId="34896"/>
    <cellStyle name="Normal 156 12" xfId="34897"/>
    <cellStyle name="Normal 156 2" xfId="34898"/>
    <cellStyle name="Normal 156 2 2" xfId="34899"/>
    <cellStyle name="Normal 156 2 2 2" xfId="34900"/>
    <cellStyle name="Normal 156 2 3" xfId="34901"/>
    <cellStyle name="Normal 156 2 3 2" xfId="34902"/>
    <cellStyle name="Normal 156 2 4" xfId="34903"/>
    <cellStyle name="Normal 156 2 4 2" xfId="34904"/>
    <cellStyle name="Normal 156 2 5" xfId="34905"/>
    <cellStyle name="Normal 156 2 5 2" xfId="34906"/>
    <cellStyle name="Normal 156 2 6" xfId="34907"/>
    <cellStyle name="Normal 156 2 6 2" xfId="34908"/>
    <cellStyle name="Normal 156 2 7" xfId="34909"/>
    <cellStyle name="Normal 156 2 7 2" xfId="34910"/>
    <cellStyle name="Normal 156 2 8" xfId="34911"/>
    <cellStyle name="Normal 156 2 8 2" xfId="34912"/>
    <cellStyle name="Normal 156 2 9" xfId="34913"/>
    <cellStyle name="Normal 156 2 9 2" xfId="34914"/>
    <cellStyle name="Normal 156 2_Dakota Panel" xfId="34915"/>
    <cellStyle name="Normal 156 3" xfId="34916"/>
    <cellStyle name="Normal 156 3 2" xfId="34917"/>
    <cellStyle name="Normal 156 3 2 2" xfId="34918"/>
    <cellStyle name="Normal 156 3 3" xfId="34919"/>
    <cellStyle name="Normal 156 3 3 2" xfId="34920"/>
    <cellStyle name="Normal 156 3 4" xfId="34921"/>
    <cellStyle name="Normal 156 3 5" xfId="34922"/>
    <cellStyle name="Normal 156 4" xfId="34923"/>
    <cellStyle name="Normal 156 4 2" xfId="34924"/>
    <cellStyle name="Normal 156 5" xfId="34925"/>
    <cellStyle name="Normal 156 5 2" xfId="34926"/>
    <cellStyle name="Normal 156 6" xfId="34927"/>
    <cellStyle name="Normal 156 6 2" xfId="34928"/>
    <cellStyle name="Normal 156 7" xfId="34929"/>
    <cellStyle name="Normal 156 7 2" xfId="34930"/>
    <cellStyle name="Normal 156 8" xfId="34931"/>
    <cellStyle name="Normal 156 8 2" xfId="34932"/>
    <cellStyle name="Normal 156 9" xfId="34933"/>
    <cellStyle name="Normal 156 9 2" xfId="34934"/>
    <cellStyle name="Normal 156_Dakota Panel" xfId="34935"/>
    <cellStyle name="Normal 157" xfId="4020"/>
    <cellStyle name="Normal 157 10" xfId="34936"/>
    <cellStyle name="Normal 157 10 2" xfId="34937"/>
    <cellStyle name="Normal 157 11" xfId="34938"/>
    <cellStyle name="Normal 157 11 2" xfId="34939"/>
    <cellStyle name="Normal 157 12" xfId="34940"/>
    <cellStyle name="Normal 157 2" xfId="34941"/>
    <cellStyle name="Normal 157 2 2" xfId="34942"/>
    <cellStyle name="Normal 157 2 2 2" xfId="34943"/>
    <cellStyle name="Normal 157 2 3" xfId="34944"/>
    <cellStyle name="Normal 157 2 3 2" xfId="34945"/>
    <cellStyle name="Normal 157 2 4" xfId="34946"/>
    <cellStyle name="Normal 157 2 4 2" xfId="34947"/>
    <cellStyle name="Normal 157 2 5" xfId="34948"/>
    <cellStyle name="Normal 157 2 5 2" xfId="34949"/>
    <cellStyle name="Normal 157 2 6" xfId="34950"/>
    <cellStyle name="Normal 157 2 6 2" xfId="34951"/>
    <cellStyle name="Normal 157 2 7" xfId="34952"/>
    <cellStyle name="Normal 157 2 7 2" xfId="34953"/>
    <cellStyle name="Normal 157 2 8" xfId="34954"/>
    <cellStyle name="Normal 157 2 8 2" xfId="34955"/>
    <cellStyle name="Normal 157 2 9" xfId="34956"/>
    <cellStyle name="Normal 157 2 9 2" xfId="34957"/>
    <cellStyle name="Normal 157 2_Dakota Panel" xfId="34958"/>
    <cellStyle name="Normal 157 3" xfId="34959"/>
    <cellStyle name="Normal 157 3 2" xfId="34960"/>
    <cellStyle name="Normal 157 3 2 2" xfId="34961"/>
    <cellStyle name="Normal 157 3 3" xfId="34962"/>
    <cellStyle name="Normal 157 3 3 2" xfId="34963"/>
    <cellStyle name="Normal 157 3 4" xfId="34964"/>
    <cellStyle name="Normal 157 3 5" xfId="34965"/>
    <cellStyle name="Normal 157 4" xfId="34966"/>
    <cellStyle name="Normal 157 4 2" xfId="34967"/>
    <cellStyle name="Normal 157 5" xfId="34968"/>
    <cellStyle name="Normal 157 5 2" xfId="34969"/>
    <cellStyle name="Normal 157 6" xfId="34970"/>
    <cellStyle name="Normal 157 6 2" xfId="34971"/>
    <cellStyle name="Normal 157 7" xfId="34972"/>
    <cellStyle name="Normal 157 7 2" xfId="34973"/>
    <cellStyle name="Normal 157 8" xfId="34974"/>
    <cellStyle name="Normal 157 8 2" xfId="34975"/>
    <cellStyle name="Normal 157 9" xfId="34976"/>
    <cellStyle name="Normal 157 9 2" xfId="34977"/>
    <cellStyle name="Normal 157_Dakota Panel" xfId="34978"/>
    <cellStyle name="Normal 158" xfId="34979"/>
    <cellStyle name="Normal 158 10" xfId="34980"/>
    <cellStyle name="Normal 158 10 2" xfId="34981"/>
    <cellStyle name="Normal 158 11" xfId="34982"/>
    <cellStyle name="Normal 158 11 2" xfId="34983"/>
    <cellStyle name="Normal 158 12" xfId="34984"/>
    <cellStyle name="Normal 158 2" xfId="34985"/>
    <cellStyle name="Normal 158 2 2" xfId="34986"/>
    <cellStyle name="Normal 158 2 2 2" xfId="34987"/>
    <cellStyle name="Normal 158 2 3" xfId="34988"/>
    <cellStyle name="Normal 158 2 3 2" xfId="34989"/>
    <cellStyle name="Normal 158 2 4" xfId="34990"/>
    <cellStyle name="Normal 158 2 4 2" xfId="34991"/>
    <cellStyle name="Normal 158 2 5" xfId="34992"/>
    <cellStyle name="Normal 158 2 5 2" xfId="34993"/>
    <cellStyle name="Normal 158 2 6" xfId="34994"/>
    <cellStyle name="Normal 158 2 6 2" xfId="34995"/>
    <cellStyle name="Normal 158 2 7" xfId="34996"/>
    <cellStyle name="Normal 158 2 7 2" xfId="34997"/>
    <cellStyle name="Normal 158 2 8" xfId="34998"/>
    <cellStyle name="Normal 158 2 8 2" xfId="34999"/>
    <cellStyle name="Normal 158 2 9" xfId="35000"/>
    <cellStyle name="Normal 158 2 9 2" xfId="35001"/>
    <cellStyle name="Normal 158 2_Dakota Panel" xfId="35002"/>
    <cellStyle name="Normal 158 3" xfId="35003"/>
    <cellStyle name="Normal 158 3 2" xfId="35004"/>
    <cellStyle name="Normal 158 3 2 2" xfId="35005"/>
    <cellStyle name="Normal 158 3 3" xfId="35006"/>
    <cellStyle name="Normal 158 3 3 2" xfId="35007"/>
    <cellStyle name="Normal 158 3 4" xfId="35008"/>
    <cellStyle name="Normal 158 3 5" xfId="35009"/>
    <cellStyle name="Normal 158 4" xfId="35010"/>
    <cellStyle name="Normal 158 4 2" xfId="35011"/>
    <cellStyle name="Normal 158 5" xfId="35012"/>
    <cellStyle name="Normal 158 5 2" xfId="35013"/>
    <cellStyle name="Normal 158 6" xfId="35014"/>
    <cellStyle name="Normal 158 6 2" xfId="35015"/>
    <cellStyle name="Normal 158 7" xfId="35016"/>
    <cellStyle name="Normal 158 7 2" xfId="35017"/>
    <cellStyle name="Normal 158 8" xfId="35018"/>
    <cellStyle name="Normal 158 8 2" xfId="35019"/>
    <cellStyle name="Normal 158 9" xfId="35020"/>
    <cellStyle name="Normal 158 9 2" xfId="35021"/>
    <cellStyle name="Normal 158_Dakota Panel" xfId="35022"/>
    <cellStyle name="Normal 159" xfId="35023"/>
    <cellStyle name="Normal 159 10" xfId="35024"/>
    <cellStyle name="Normal 159 10 2" xfId="35025"/>
    <cellStyle name="Normal 159 11" xfId="35026"/>
    <cellStyle name="Normal 159 11 2" xfId="35027"/>
    <cellStyle name="Normal 159 12" xfId="35028"/>
    <cellStyle name="Normal 159 2" xfId="35029"/>
    <cellStyle name="Normal 159 2 2" xfId="35030"/>
    <cellStyle name="Normal 159 2 2 2" xfId="35031"/>
    <cellStyle name="Normal 159 2 3" xfId="35032"/>
    <cellStyle name="Normal 159 2 3 2" xfId="35033"/>
    <cellStyle name="Normal 159 2 4" xfId="35034"/>
    <cellStyle name="Normal 159 2 4 2" xfId="35035"/>
    <cellStyle name="Normal 159 2 5" xfId="35036"/>
    <cellStyle name="Normal 159 2 5 2" xfId="35037"/>
    <cellStyle name="Normal 159 2 6" xfId="35038"/>
    <cellStyle name="Normal 159 2 6 2" xfId="35039"/>
    <cellStyle name="Normal 159 2 7" xfId="35040"/>
    <cellStyle name="Normal 159 2 7 2" xfId="35041"/>
    <cellStyle name="Normal 159 2 8" xfId="35042"/>
    <cellStyle name="Normal 159 2 8 2" xfId="35043"/>
    <cellStyle name="Normal 159 2 9" xfId="35044"/>
    <cellStyle name="Normal 159 2 9 2" xfId="35045"/>
    <cellStyle name="Normal 159 2_Dakota Panel" xfId="35046"/>
    <cellStyle name="Normal 159 3" xfId="35047"/>
    <cellStyle name="Normal 159 3 2" xfId="35048"/>
    <cellStyle name="Normal 159 3 2 2" xfId="35049"/>
    <cellStyle name="Normal 159 3 3" xfId="35050"/>
    <cellStyle name="Normal 159 3 3 2" xfId="35051"/>
    <cellStyle name="Normal 159 3 4" xfId="35052"/>
    <cellStyle name="Normal 159 3 5" xfId="35053"/>
    <cellStyle name="Normal 159 4" xfId="35054"/>
    <cellStyle name="Normal 159 4 2" xfId="35055"/>
    <cellStyle name="Normal 159 5" xfId="35056"/>
    <cellStyle name="Normal 159 5 2" xfId="35057"/>
    <cellStyle name="Normal 159 6" xfId="35058"/>
    <cellStyle name="Normal 159 6 2" xfId="35059"/>
    <cellStyle name="Normal 159 7" xfId="35060"/>
    <cellStyle name="Normal 159 7 2" xfId="35061"/>
    <cellStyle name="Normal 159 8" xfId="35062"/>
    <cellStyle name="Normal 159 8 2" xfId="35063"/>
    <cellStyle name="Normal 159 9" xfId="35064"/>
    <cellStyle name="Normal 159 9 2" xfId="35065"/>
    <cellStyle name="Normal 159_Dakota Panel" xfId="35066"/>
    <cellStyle name="Normal 16" xfId="4021"/>
    <cellStyle name="Normal 16 10" xfId="35067"/>
    <cellStyle name="Normal 16 10 2" xfId="35068"/>
    <cellStyle name="Normal 16 11" xfId="35069"/>
    <cellStyle name="Normal 16 11 2" xfId="35070"/>
    <cellStyle name="Normal 16 12" xfId="35071"/>
    <cellStyle name="Normal 16 2" xfId="4022"/>
    <cellStyle name="Normal 16 2 2" xfId="35072"/>
    <cellStyle name="Normal 16 2 2 2" xfId="35073"/>
    <cellStyle name="Normal 16 2 2 3" xfId="35074"/>
    <cellStyle name="Normal 16 2 3" xfId="35075"/>
    <cellStyle name="Normal 16 2 4" xfId="35076"/>
    <cellStyle name="Normal 16 2 5" xfId="35077"/>
    <cellStyle name="Normal 16 3" xfId="4023"/>
    <cellStyle name="Normal 16 3 2" xfId="4024"/>
    <cellStyle name="Normal 16 3 2 2" xfId="4025"/>
    <cellStyle name="Normal 16 3 2 2 2" xfId="4026"/>
    <cellStyle name="Normal 16 3 2 3" xfId="4027"/>
    <cellStyle name="Normal 16 3 3" xfId="4028"/>
    <cellStyle name="Normal 16 3 3 2" xfId="4029"/>
    <cellStyle name="Normal 16 3 3 2 2" xfId="35078"/>
    <cellStyle name="Normal 16 3 4" xfId="4030"/>
    <cellStyle name="Normal 16 3 4 2" xfId="35079"/>
    <cellStyle name="Normal 16 3 5" xfId="35080"/>
    <cellStyle name="Normal 16 3 5 2" xfId="35081"/>
    <cellStyle name="Normal 16 3 6" xfId="35082"/>
    <cellStyle name="Normal 16 3 6 2" xfId="35083"/>
    <cellStyle name="Normal 16 3 7" xfId="35084"/>
    <cellStyle name="Normal 16 3 7 2" xfId="35085"/>
    <cellStyle name="Normal 16 3 8" xfId="35086"/>
    <cellStyle name="Normal 16 3 8 2" xfId="35087"/>
    <cellStyle name="Normal 16 3 9" xfId="35088"/>
    <cellStyle name="Normal 16 3 9 2" xfId="35089"/>
    <cellStyle name="Normal 16 3_Dakota Panel" xfId="35090"/>
    <cellStyle name="Normal 16 4" xfId="4031"/>
    <cellStyle name="Normal 16 4 2" xfId="4032"/>
    <cellStyle name="Normal 16 4 2 2" xfId="4033"/>
    <cellStyle name="Normal 16 4 3" xfId="4034"/>
    <cellStyle name="Normal 16 4 4" xfId="35091"/>
    <cellStyle name="Normal 16 4 4 2" xfId="35092"/>
    <cellStyle name="Normal 16 5" xfId="4035"/>
    <cellStyle name="Normal 16 5 2" xfId="4036"/>
    <cellStyle name="Normal 16 5 3" xfId="35093"/>
    <cellStyle name="Normal 16 5 3 2" xfId="35094"/>
    <cellStyle name="Normal 16 6" xfId="4037"/>
    <cellStyle name="Normal 16 6 2" xfId="35095"/>
    <cellStyle name="Normal 16 6 2 2" xfId="35096"/>
    <cellStyle name="Normal 16 7" xfId="35097"/>
    <cellStyle name="Normal 16 7 2" xfId="35098"/>
    <cellStyle name="Normal 16 7 2 2" xfId="35099"/>
    <cellStyle name="Normal 16 8" xfId="35100"/>
    <cellStyle name="Normal 16 8 2" xfId="35101"/>
    <cellStyle name="Normal 16 8 2 2" xfId="35102"/>
    <cellStyle name="Normal 16 8 3" xfId="35103"/>
    <cellStyle name="Normal 16 8 4" xfId="35104"/>
    <cellStyle name="Normal 16 9" xfId="35105"/>
    <cellStyle name="Normal 16 9 2" xfId="35106"/>
    <cellStyle name="Normal 16_Dakota Panel" xfId="35107"/>
    <cellStyle name="Normal 160" xfId="35108"/>
    <cellStyle name="Normal 160 10" xfId="35109"/>
    <cellStyle name="Normal 160 10 2" xfId="35110"/>
    <cellStyle name="Normal 160 11" xfId="35111"/>
    <cellStyle name="Normal 160 11 2" xfId="35112"/>
    <cellStyle name="Normal 160 12" xfId="35113"/>
    <cellStyle name="Normal 160 2" xfId="35114"/>
    <cellStyle name="Normal 160 2 2" xfId="35115"/>
    <cellStyle name="Normal 160 2 2 2" xfId="35116"/>
    <cellStyle name="Normal 160 2 3" xfId="35117"/>
    <cellStyle name="Normal 160 2 3 2" xfId="35118"/>
    <cellStyle name="Normal 160 2 4" xfId="35119"/>
    <cellStyle name="Normal 160 2 4 2" xfId="35120"/>
    <cellStyle name="Normal 160 2 5" xfId="35121"/>
    <cellStyle name="Normal 160 2 5 2" xfId="35122"/>
    <cellStyle name="Normal 160 2 6" xfId="35123"/>
    <cellStyle name="Normal 160 2 6 2" xfId="35124"/>
    <cellStyle name="Normal 160 2 7" xfId="35125"/>
    <cellStyle name="Normal 160 2 7 2" xfId="35126"/>
    <cellStyle name="Normal 160 2 8" xfId="35127"/>
    <cellStyle name="Normal 160 2 8 2" xfId="35128"/>
    <cellStyle name="Normal 160 2 9" xfId="35129"/>
    <cellStyle name="Normal 160 2 9 2" xfId="35130"/>
    <cellStyle name="Normal 160 2_Dakota Panel" xfId="35131"/>
    <cellStyle name="Normal 160 3" xfId="35132"/>
    <cellStyle name="Normal 160 3 2" xfId="35133"/>
    <cellStyle name="Normal 160 3 2 2" xfId="35134"/>
    <cellStyle name="Normal 160 3 3" xfId="35135"/>
    <cellStyle name="Normal 160 3 3 2" xfId="35136"/>
    <cellStyle name="Normal 160 3 4" xfId="35137"/>
    <cellStyle name="Normal 160 3 5" xfId="35138"/>
    <cellStyle name="Normal 160 4" xfId="35139"/>
    <cellStyle name="Normal 160 4 2" xfId="35140"/>
    <cellStyle name="Normal 160 5" xfId="35141"/>
    <cellStyle name="Normal 160 5 2" xfId="35142"/>
    <cellStyle name="Normal 160 6" xfId="35143"/>
    <cellStyle name="Normal 160 6 2" xfId="35144"/>
    <cellStyle name="Normal 160 7" xfId="35145"/>
    <cellStyle name="Normal 160 7 2" xfId="35146"/>
    <cellStyle name="Normal 160 8" xfId="35147"/>
    <cellStyle name="Normal 160 8 2" xfId="35148"/>
    <cellStyle name="Normal 160 9" xfId="35149"/>
    <cellStyle name="Normal 160 9 2" xfId="35150"/>
    <cellStyle name="Normal 160_Dakota Panel" xfId="35151"/>
    <cellStyle name="Normal 161" xfId="35152"/>
    <cellStyle name="Normal 161 10" xfId="35153"/>
    <cellStyle name="Normal 161 10 2" xfId="35154"/>
    <cellStyle name="Normal 161 11" xfId="35155"/>
    <cellStyle name="Normal 161 11 2" xfId="35156"/>
    <cellStyle name="Normal 161 12" xfId="35157"/>
    <cellStyle name="Normal 161 2" xfId="35158"/>
    <cellStyle name="Normal 161 2 2" xfId="35159"/>
    <cellStyle name="Normal 161 2 2 2" xfId="35160"/>
    <cellStyle name="Normal 161 2 3" xfId="35161"/>
    <cellStyle name="Normal 161 2 3 2" xfId="35162"/>
    <cellStyle name="Normal 161 2 4" xfId="35163"/>
    <cellStyle name="Normal 161 2 4 2" xfId="35164"/>
    <cellStyle name="Normal 161 2 5" xfId="35165"/>
    <cellStyle name="Normal 161 2 5 2" xfId="35166"/>
    <cellStyle name="Normal 161 2 6" xfId="35167"/>
    <cellStyle name="Normal 161 2 6 2" xfId="35168"/>
    <cellStyle name="Normal 161 2 7" xfId="35169"/>
    <cellStyle name="Normal 161 2 7 2" xfId="35170"/>
    <cellStyle name="Normal 161 2 8" xfId="35171"/>
    <cellStyle name="Normal 161 2 8 2" xfId="35172"/>
    <cellStyle name="Normal 161 2 9" xfId="35173"/>
    <cellStyle name="Normal 161 2 9 2" xfId="35174"/>
    <cellStyle name="Normal 161 2_Dakota Panel" xfId="35175"/>
    <cellStyle name="Normal 161 3" xfId="35176"/>
    <cellStyle name="Normal 161 3 2" xfId="35177"/>
    <cellStyle name="Normal 161 3 2 2" xfId="35178"/>
    <cellStyle name="Normal 161 3 3" xfId="35179"/>
    <cellStyle name="Normal 161 3 3 2" xfId="35180"/>
    <cellStyle name="Normal 161 3 4" xfId="35181"/>
    <cellStyle name="Normal 161 3 5" xfId="35182"/>
    <cellStyle name="Normal 161 4" xfId="35183"/>
    <cellStyle name="Normal 161 4 2" xfId="35184"/>
    <cellStyle name="Normal 161 5" xfId="35185"/>
    <cellStyle name="Normal 161 5 2" xfId="35186"/>
    <cellStyle name="Normal 161 6" xfId="35187"/>
    <cellStyle name="Normal 161 6 2" xfId="35188"/>
    <cellStyle name="Normal 161 7" xfId="35189"/>
    <cellStyle name="Normal 161 7 2" xfId="35190"/>
    <cellStyle name="Normal 161 8" xfId="35191"/>
    <cellStyle name="Normal 161 8 2" xfId="35192"/>
    <cellStyle name="Normal 161 9" xfId="35193"/>
    <cellStyle name="Normal 161 9 2" xfId="35194"/>
    <cellStyle name="Normal 161_Dakota Panel" xfId="35195"/>
    <cellStyle name="Normal 162" xfId="35196"/>
    <cellStyle name="Normal 162 10" xfId="35197"/>
    <cellStyle name="Normal 162 10 2" xfId="35198"/>
    <cellStyle name="Normal 162 11" xfId="35199"/>
    <cellStyle name="Normal 162 11 2" xfId="35200"/>
    <cellStyle name="Normal 162 12" xfId="35201"/>
    <cellStyle name="Normal 162 2" xfId="35202"/>
    <cellStyle name="Normal 162 2 2" xfId="35203"/>
    <cellStyle name="Normal 162 2 2 2" xfId="35204"/>
    <cellStyle name="Normal 162 2 3" xfId="35205"/>
    <cellStyle name="Normal 162 2 3 2" xfId="35206"/>
    <cellStyle name="Normal 162 2 4" xfId="35207"/>
    <cellStyle name="Normal 162 2 4 2" xfId="35208"/>
    <cellStyle name="Normal 162 2 5" xfId="35209"/>
    <cellStyle name="Normal 162 2 5 2" xfId="35210"/>
    <cellStyle name="Normal 162 2 6" xfId="35211"/>
    <cellStyle name="Normal 162 2 6 2" xfId="35212"/>
    <cellStyle name="Normal 162 2 7" xfId="35213"/>
    <cellStyle name="Normal 162 2 7 2" xfId="35214"/>
    <cellStyle name="Normal 162 2 8" xfId="35215"/>
    <cellStyle name="Normal 162 2 8 2" xfId="35216"/>
    <cellStyle name="Normal 162 2 9" xfId="35217"/>
    <cellStyle name="Normal 162 2 9 2" xfId="35218"/>
    <cellStyle name="Normal 162 2_Dakota Panel" xfId="35219"/>
    <cellStyle name="Normal 162 3" xfId="35220"/>
    <cellStyle name="Normal 162 3 2" xfId="35221"/>
    <cellStyle name="Normal 162 3 2 2" xfId="35222"/>
    <cellStyle name="Normal 162 3 3" xfId="35223"/>
    <cellStyle name="Normal 162 3 3 2" xfId="35224"/>
    <cellStyle name="Normal 162 3 4" xfId="35225"/>
    <cellStyle name="Normal 162 3 5" xfId="35226"/>
    <cellStyle name="Normal 162 4" xfId="35227"/>
    <cellStyle name="Normal 162 4 2" xfId="35228"/>
    <cellStyle name="Normal 162 5" xfId="35229"/>
    <cellStyle name="Normal 162 5 2" xfId="35230"/>
    <cellStyle name="Normal 162 6" xfId="35231"/>
    <cellStyle name="Normal 162 6 2" xfId="35232"/>
    <cellStyle name="Normal 162 7" xfId="35233"/>
    <cellStyle name="Normal 162 7 2" xfId="35234"/>
    <cellStyle name="Normal 162 8" xfId="35235"/>
    <cellStyle name="Normal 162 8 2" xfId="35236"/>
    <cellStyle name="Normal 162 9" xfId="35237"/>
    <cellStyle name="Normal 162 9 2" xfId="35238"/>
    <cellStyle name="Normal 162_Dakota Panel" xfId="35239"/>
    <cellStyle name="Normal 163" xfId="35240"/>
    <cellStyle name="Normal 163 10" xfId="35241"/>
    <cellStyle name="Normal 163 10 2" xfId="35242"/>
    <cellStyle name="Normal 163 11" xfId="35243"/>
    <cellStyle name="Normal 163 11 2" xfId="35244"/>
    <cellStyle name="Normal 163 12" xfId="35245"/>
    <cellStyle name="Normal 163 2" xfId="35246"/>
    <cellStyle name="Normal 163 2 2" xfId="35247"/>
    <cellStyle name="Normal 163 2 2 2" xfId="35248"/>
    <cellStyle name="Normal 163 2 3" xfId="35249"/>
    <cellStyle name="Normal 163 2 3 2" xfId="35250"/>
    <cellStyle name="Normal 163 2 4" xfId="35251"/>
    <cellStyle name="Normal 163 2 4 2" xfId="35252"/>
    <cellStyle name="Normal 163 2 5" xfId="35253"/>
    <cellStyle name="Normal 163 2 5 2" xfId="35254"/>
    <cellStyle name="Normal 163 2 6" xfId="35255"/>
    <cellStyle name="Normal 163 2 6 2" xfId="35256"/>
    <cellStyle name="Normal 163 2 7" xfId="35257"/>
    <cellStyle name="Normal 163 2 7 2" xfId="35258"/>
    <cellStyle name="Normal 163 2 8" xfId="35259"/>
    <cellStyle name="Normal 163 2 8 2" xfId="35260"/>
    <cellStyle name="Normal 163 2 9" xfId="35261"/>
    <cellStyle name="Normal 163 2 9 2" xfId="35262"/>
    <cellStyle name="Normal 163 2_Dakota Panel" xfId="35263"/>
    <cellStyle name="Normal 163 3" xfId="35264"/>
    <cellStyle name="Normal 163 3 2" xfId="35265"/>
    <cellStyle name="Normal 163 3 2 2" xfId="35266"/>
    <cellStyle name="Normal 163 3 3" xfId="35267"/>
    <cellStyle name="Normal 163 3 3 2" xfId="35268"/>
    <cellStyle name="Normal 163 3 4" xfId="35269"/>
    <cellStyle name="Normal 163 3 5" xfId="35270"/>
    <cellStyle name="Normal 163 4" xfId="35271"/>
    <cellStyle name="Normal 163 4 2" xfId="35272"/>
    <cellStyle name="Normal 163 5" xfId="35273"/>
    <cellStyle name="Normal 163 5 2" xfId="35274"/>
    <cellStyle name="Normal 163 6" xfId="35275"/>
    <cellStyle name="Normal 163 6 2" xfId="35276"/>
    <cellStyle name="Normal 163 7" xfId="35277"/>
    <cellStyle name="Normal 163 7 2" xfId="35278"/>
    <cellStyle name="Normal 163 8" xfId="35279"/>
    <cellStyle name="Normal 163 8 2" xfId="35280"/>
    <cellStyle name="Normal 163 9" xfId="35281"/>
    <cellStyle name="Normal 163 9 2" xfId="35282"/>
    <cellStyle name="Normal 163_Dakota Panel" xfId="35283"/>
    <cellStyle name="Normal 164" xfId="35284"/>
    <cellStyle name="Normal 164 10" xfId="35285"/>
    <cellStyle name="Normal 164 10 2" xfId="35286"/>
    <cellStyle name="Normal 164 11" xfId="35287"/>
    <cellStyle name="Normal 164 11 2" xfId="35288"/>
    <cellStyle name="Normal 164 12" xfId="35289"/>
    <cellStyle name="Normal 164 2" xfId="35290"/>
    <cellStyle name="Normal 164 2 2" xfId="35291"/>
    <cellStyle name="Normal 164 2 2 2" xfId="35292"/>
    <cellStyle name="Normal 164 2 3" xfId="35293"/>
    <cellStyle name="Normal 164 2 3 2" xfId="35294"/>
    <cellStyle name="Normal 164 2 4" xfId="35295"/>
    <cellStyle name="Normal 164 2 4 2" xfId="35296"/>
    <cellStyle name="Normal 164 2 5" xfId="35297"/>
    <cellStyle name="Normal 164 2 5 2" xfId="35298"/>
    <cellStyle name="Normal 164 2 6" xfId="35299"/>
    <cellStyle name="Normal 164 2 6 2" xfId="35300"/>
    <cellStyle name="Normal 164 2 7" xfId="35301"/>
    <cellStyle name="Normal 164 2 7 2" xfId="35302"/>
    <cellStyle name="Normal 164 2 8" xfId="35303"/>
    <cellStyle name="Normal 164 2 8 2" xfId="35304"/>
    <cellStyle name="Normal 164 2 9" xfId="35305"/>
    <cellStyle name="Normal 164 2 9 2" xfId="35306"/>
    <cellStyle name="Normal 164 2_Dakota Panel" xfId="35307"/>
    <cellStyle name="Normal 164 3" xfId="35308"/>
    <cellStyle name="Normal 164 3 2" xfId="35309"/>
    <cellStyle name="Normal 164 3 2 2" xfId="35310"/>
    <cellStyle name="Normal 164 3 3" xfId="35311"/>
    <cellStyle name="Normal 164 3 3 2" xfId="35312"/>
    <cellStyle name="Normal 164 3 4" xfId="35313"/>
    <cellStyle name="Normal 164 3 5" xfId="35314"/>
    <cellStyle name="Normal 164 4" xfId="35315"/>
    <cellStyle name="Normal 164 4 2" xfId="35316"/>
    <cellStyle name="Normal 164 5" xfId="35317"/>
    <cellStyle name="Normal 164 5 2" xfId="35318"/>
    <cellStyle name="Normal 164 6" xfId="35319"/>
    <cellStyle name="Normal 164 6 2" xfId="35320"/>
    <cellStyle name="Normal 164 7" xfId="35321"/>
    <cellStyle name="Normal 164 7 2" xfId="35322"/>
    <cellStyle name="Normal 164 8" xfId="35323"/>
    <cellStyle name="Normal 164 8 2" xfId="35324"/>
    <cellStyle name="Normal 164 9" xfId="35325"/>
    <cellStyle name="Normal 164 9 2" xfId="35326"/>
    <cellStyle name="Normal 164_Dakota Panel" xfId="35327"/>
    <cellStyle name="Normal 165" xfId="35328"/>
    <cellStyle name="Normal 165 10" xfId="35329"/>
    <cellStyle name="Normal 165 10 2" xfId="35330"/>
    <cellStyle name="Normal 165 11" xfId="35331"/>
    <cellStyle name="Normal 165 11 2" xfId="35332"/>
    <cellStyle name="Normal 165 12" xfId="35333"/>
    <cellStyle name="Normal 165 2" xfId="35334"/>
    <cellStyle name="Normal 165 2 2" xfId="35335"/>
    <cellStyle name="Normal 165 2 2 2" xfId="35336"/>
    <cellStyle name="Normal 165 2 3" xfId="35337"/>
    <cellStyle name="Normal 165 2 3 2" xfId="35338"/>
    <cellStyle name="Normal 165 2 4" xfId="35339"/>
    <cellStyle name="Normal 165 2 4 2" xfId="35340"/>
    <cellStyle name="Normal 165 2 5" xfId="35341"/>
    <cellStyle name="Normal 165 2 5 2" xfId="35342"/>
    <cellStyle name="Normal 165 2 6" xfId="35343"/>
    <cellStyle name="Normal 165 2 6 2" xfId="35344"/>
    <cellStyle name="Normal 165 2 7" xfId="35345"/>
    <cellStyle name="Normal 165 2 7 2" xfId="35346"/>
    <cellStyle name="Normal 165 2 8" xfId="35347"/>
    <cellStyle name="Normal 165 2 8 2" xfId="35348"/>
    <cellStyle name="Normal 165 2 9" xfId="35349"/>
    <cellStyle name="Normal 165 2 9 2" xfId="35350"/>
    <cellStyle name="Normal 165 2_Dakota Panel" xfId="35351"/>
    <cellStyle name="Normal 165 3" xfId="35352"/>
    <cellStyle name="Normal 165 3 2" xfId="35353"/>
    <cellStyle name="Normal 165 3 2 2" xfId="35354"/>
    <cellStyle name="Normal 165 3 3" xfId="35355"/>
    <cellStyle name="Normal 165 3 3 2" xfId="35356"/>
    <cellStyle name="Normal 165 3 4" xfId="35357"/>
    <cellStyle name="Normal 165 3 5" xfId="35358"/>
    <cellStyle name="Normal 165 4" xfId="35359"/>
    <cellStyle name="Normal 165 4 2" xfId="35360"/>
    <cellStyle name="Normal 165 5" xfId="35361"/>
    <cellStyle name="Normal 165 5 2" xfId="35362"/>
    <cellStyle name="Normal 165 6" xfId="35363"/>
    <cellStyle name="Normal 165 6 2" xfId="35364"/>
    <cellStyle name="Normal 165 7" xfId="35365"/>
    <cellStyle name="Normal 165 7 2" xfId="35366"/>
    <cellStyle name="Normal 165 8" xfId="35367"/>
    <cellStyle name="Normal 165 8 2" xfId="35368"/>
    <cellStyle name="Normal 165 9" xfId="35369"/>
    <cellStyle name="Normal 165 9 2" xfId="35370"/>
    <cellStyle name="Normal 165_Dakota Panel" xfId="35371"/>
    <cellStyle name="Normal 166" xfId="35372"/>
    <cellStyle name="Normal 166 10" xfId="35373"/>
    <cellStyle name="Normal 166 10 2" xfId="35374"/>
    <cellStyle name="Normal 166 11" xfId="35375"/>
    <cellStyle name="Normal 166 11 2" xfId="35376"/>
    <cellStyle name="Normal 166 12" xfId="35377"/>
    <cellStyle name="Normal 166 2" xfId="35378"/>
    <cellStyle name="Normal 166 2 2" xfId="35379"/>
    <cellStyle name="Normal 166 2 2 2" xfId="35380"/>
    <cellStyle name="Normal 166 2 3" xfId="35381"/>
    <cellStyle name="Normal 166 2 3 2" xfId="35382"/>
    <cellStyle name="Normal 166 2 4" xfId="35383"/>
    <cellStyle name="Normal 166 2 4 2" xfId="35384"/>
    <cellStyle name="Normal 166 2 5" xfId="35385"/>
    <cellStyle name="Normal 166 2 5 2" xfId="35386"/>
    <cellStyle name="Normal 166 2 6" xfId="35387"/>
    <cellStyle name="Normal 166 2 6 2" xfId="35388"/>
    <cellStyle name="Normal 166 2 7" xfId="35389"/>
    <cellStyle name="Normal 166 2 7 2" xfId="35390"/>
    <cellStyle name="Normal 166 2 8" xfId="35391"/>
    <cellStyle name="Normal 166 2 8 2" xfId="35392"/>
    <cellStyle name="Normal 166 2 9" xfId="35393"/>
    <cellStyle name="Normal 166 2 9 2" xfId="35394"/>
    <cellStyle name="Normal 166 2_Dakota Panel" xfId="35395"/>
    <cellStyle name="Normal 166 3" xfId="35396"/>
    <cellStyle name="Normal 166 3 2" xfId="35397"/>
    <cellStyle name="Normal 166 3 2 2" xfId="35398"/>
    <cellStyle name="Normal 166 3 3" xfId="35399"/>
    <cellStyle name="Normal 166 3 3 2" xfId="35400"/>
    <cellStyle name="Normal 166 3 4" xfId="35401"/>
    <cellStyle name="Normal 166 3 5" xfId="35402"/>
    <cellStyle name="Normal 166 4" xfId="35403"/>
    <cellStyle name="Normal 166 4 2" xfId="35404"/>
    <cellStyle name="Normal 166 5" xfId="35405"/>
    <cellStyle name="Normal 166 5 2" xfId="35406"/>
    <cellStyle name="Normal 166 6" xfId="35407"/>
    <cellStyle name="Normal 166 6 2" xfId="35408"/>
    <cellStyle name="Normal 166 7" xfId="35409"/>
    <cellStyle name="Normal 166 7 2" xfId="35410"/>
    <cellStyle name="Normal 166 8" xfId="35411"/>
    <cellStyle name="Normal 166 8 2" xfId="35412"/>
    <cellStyle name="Normal 166 9" xfId="35413"/>
    <cellStyle name="Normal 166 9 2" xfId="35414"/>
    <cellStyle name="Normal 166_Dakota Panel" xfId="35415"/>
    <cellStyle name="Normal 167" xfId="35416"/>
    <cellStyle name="Normal 167 10" xfId="35417"/>
    <cellStyle name="Normal 167 10 2" xfId="35418"/>
    <cellStyle name="Normal 167 11" xfId="35419"/>
    <cellStyle name="Normal 167 11 2" xfId="35420"/>
    <cellStyle name="Normal 167 12" xfId="35421"/>
    <cellStyle name="Normal 167 2" xfId="35422"/>
    <cellStyle name="Normal 167 2 2" xfId="35423"/>
    <cellStyle name="Normal 167 2 2 2" xfId="35424"/>
    <cellStyle name="Normal 167 2 3" xfId="35425"/>
    <cellStyle name="Normal 167 2 3 2" xfId="35426"/>
    <cellStyle name="Normal 167 2 4" xfId="35427"/>
    <cellStyle name="Normal 167 2 4 2" xfId="35428"/>
    <cellStyle name="Normal 167 2 5" xfId="35429"/>
    <cellStyle name="Normal 167 2 5 2" xfId="35430"/>
    <cellStyle name="Normal 167 2 6" xfId="35431"/>
    <cellStyle name="Normal 167 2 6 2" xfId="35432"/>
    <cellStyle name="Normal 167 2 7" xfId="35433"/>
    <cellStyle name="Normal 167 2 7 2" xfId="35434"/>
    <cellStyle name="Normal 167 2 8" xfId="35435"/>
    <cellStyle name="Normal 167 2 8 2" xfId="35436"/>
    <cellStyle name="Normal 167 2 9" xfId="35437"/>
    <cellStyle name="Normal 167 2 9 2" xfId="35438"/>
    <cellStyle name="Normal 167 2_Dakota Panel" xfId="35439"/>
    <cellStyle name="Normal 167 3" xfId="35440"/>
    <cellStyle name="Normal 167 3 2" xfId="35441"/>
    <cellStyle name="Normal 167 3 2 2" xfId="35442"/>
    <cellStyle name="Normal 167 3 3" xfId="35443"/>
    <cellStyle name="Normal 167 3 3 2" xfId="35444"/>
    <cellStyle name="Normal 167 3 4" xfId="35445"/>
    <cellStyle name="Normal 167 3 5" xfId="35446"/>
    <cellStyle name="Normal 167 4" xfId="35447"/>
    <cellStyle name="Normal 167 4 2" xfId="35448"/>
    <cellStyle name="Normal 167 5" xfId="35449"/>
    <cellStyle name="Normal 167 5 2" xfId="35450"/>
    <cellStyle name="Normal 167 6" xfId="35451"/>
    <cellStyle name="Normal 167 6 2" xfId="35452"/>
    <cellStyle name="Normal 167 7" xfId="35453"/>
    <cellStyle name="Normal 167 7 2" xfId="35454"/>
    <cellStyle name="Normal 167 8" xfId="35455"/>
    <cellStyle name="Normal 167 8 2" xfId="35456"/>
    <cellStyle name="Normal 167 9" xfId="35457"/>
    <cellStyle name="Normal 167 9 2" xfId="35458"/>
    <cellStyle name="Normal 167_Dakota Panel" xfId="35459"/>
    <cellStyle name="Normal 168" xfId="35460"/>
    <cellStyle name="Normal 168 10" xfId="35461"/>
    <cellStyle name="Normal 168 10 2" xfId="35462"/>
    <cellStyle name="Normal 168 11" xfId="35463"/>
    <cellStyle name="Normal 168 11 2" xfId="35464"/>
    <cellStyle name="Normal 168 12" xfId="35465"/>
    <cellStyle name="Normal 168 2" xfId="35466"/>
    <cellStyle name="Normal 168 2 2" xfId="35467"/>
    <cellStyle name="Normal 168 2 2 2" xfId="35468"/>
    <cellStyle name="Normal 168 2 3" xfId="35469"/>
    <cellStyle name="Normal 168 2 3 2" xfId="35470"/>
    <cellStyle name="Normal 168 2 4" xfId="35471"/>
    <cellStyle name="Normal 168 2 4 2" xfId="35472"/>
    <cellStyle name="Normal 168 2 5" xfId="35473"/>
    <cellStyle name="Normal 168 2 5 2" xfId="35474"/>
    <cellStyle name="Normal 168 2 6" xfId="35475"/>
    <cellStyle name="Normal 168 2 6 2" xfId="35476"/>
    <cellStyle name="Normal 168 2 7" xfId="35477"/>
    <cellStyle name="Normal 168 2 7 2" xfId="35478"/>
    <cellStyle name="Normal 168 2 8" xfId="35479"/>
    <cellStyle name="Normal 168 2 8 2" xfId="35480"/>
    <cellStyle name="Normal 168 2 9" xfId="35481"/>
    <cellStyle name="Normal 168 2 9 2" xfId="35482"/>
    <cellStyle name="Normal 168 2_Dakota Panel" xfId="35483"/>
    <cellStyle name="Normal 168 3" xfId="35484"/>
    <cellStyle name="Normal 168 3 2" xfId="35485"/>
    <cellStyle name="Normal 168 3 2 2" xfId="35486"/>
    <cellStyle name="Normal 168 3 3" xfId="35487"/>
    <cellStyle name="Normal 168 3 3 2" xfId="35488"/>
    <cellStyle name="Normal 168 3 4" xfId="35489"/>
    <cellStyle name="Normal 168 3 5" xfId="35490"/>
    <cellStyle name="Normal 168 4" xfId="35491"/>
    <cellStyle name="Normal 168 4 2" xfId="35492"/>
    <cellStyle name="Normal 168 5" xfId="35493"/>
    <cellStyle name="Normal 168 5 2" xfId="35494"/>
    <cellStyle name="Normal 168 6" xfId="35495"/>
    <cellStyle name="Normal 168 6 2" xfId="35496"/>
    <cellStyle name="Normal 168 7" xfId="35497"/>
    <cellStyle name="Normal 168 7 2" xfId="35498"/>
    <cellStyle name="Normal 168 8" xfId="35499"/>
    <cellStyle name="Normal 168 8 2" xfId="35500"/>
    <cellStyle name="Normal 168 9" xfId="35501"/>
    <cellStyle name="Normal 168 9 2" xfId="35502"/>
    <cellStyle name="Normal 168_Dakota Panel" xfId="35503"/>
    <cellStyle name="Normal 169" xfId="35504"/>
    <cellStyle name="Normal 169 10" xfId="35505"/>
    <cellStyle name="Normal 169 10 2" xfId="35506"/>
    <cellStyle name="Normal 169 11" xfId="35507"/>
    <cellStyle name="Normal 169 11 2" xfId="35508"/>
    <cellStyle name="Normal 169 12" xfId="35509"/>
    <cellStyle name="Normal 169 2" xfId="35510"/>
    <cellStyle name="Normal 169 2 2" xfId="35511"/>
    <cellStyle name="Normal 169 2 2 2" xfId="35512"/>
    <cellStyle name="Normal 169 2 3" xfId="35513"/>
    <cellStyle name="Normal 169 2 3 2" xfId="35514"/>
    <cellStyle name="Normal 169 2 4" xfId="35515"/>
    <cellStyle name="Normal 169 2 4 2" xfId="35516"/>
    <cellStyle name="Normal 169 2 5" xfId="35517"/>
    <cellStyle name="Normal 169 2 5 2" xfId="35518"/>
    <cellStyle name="Normal 169 2 6" xfId="35519"/>
    <cellStyle name="Normal 169 2 6 2" xfId="35520"/>
    <cellStyle name="Normal 169 2 7" xfId="35521"/>
    <cellStyle name="Normal 169 2 7 2" xfId="35522"/>
    <cellStyle name="Normal 169 2 8" xfId="35523"/>
    <cellStyle name="Normal 169 2 8 2" xfId="35524"/>
    <cellStyle name="Normal 169 2 9" xfId="35525"/>
    <cellStyle name="Normal 169 2 9 2" xfId="35526"/>
    <cellStyle name="Normal 169 2_Dakota Panel" xfId="35527"/>
    <cellStyle name="Normal 169 3" xfId="35528"/>
    <cellStyle name="Normal 169 3 2" xfId="35529"/>
    <cellStyle name="Normal 169 3 2 2" xfId="35530"/>
    <cellStyle name="Normal 169 3 3" xfId="35531"/>
    <cellStyle name="Normal 169 3 3 2" xfId="35532"/>
    <cellStyle name="Normal 169 3 4" xfId="35533"/>
    <cellStyle name="Normal 169 3 5" xfId="35534"/>
    <cellStyle name="Normal 169 4" xfId="35535"/>
    <cellStyle name="Normal 169 4 2" xfId="35536"/>
    <cellStyle name="Normal 169 5" xfId="35537"/>
    <cellStyle name="Normal 169 5 2" xfId="35538"/>
    <cellStyle name="Normal 169 6" xfId="35539"/>
    <cellStyle name="Normal 169 6 2" xfId="35540"/>
    <cellStyle name="Normal 169 7" xfId="35541"/>
    <cellStyle name="Normal 169 7 2" xfId="35542"/>
    <cellStyle name="Normal 169 8" xfId="35543"/>
    <cellStyle name="Normal 169 8 2" xfId="35544"/>
    <cellStyle name="Normal 169 9" xfId="35545"/>
    <cellStyle name="Normal 169 9 2" xfId="35546"/>
    <cellStyle name="Normal 169_Dakota Panel" xfId="35547"/>
    <cellStyle name="Normal 17" xfId="22"/>
    <cellStyle name="Normal 17 10" xfId="35548"/>
    <cellStyle name="Normal 17 10 2" xfId="35549"/>
    <cellStyle name="Normal 17 11" xfId="35550"/>
    <cellStyle name="Normal 17 11 2" xfId="35551"/>
    <cellStyle name="Normal 17 12" xfId="35552"/>
    <cellStyle name="Normal 17 2" xfId="4038"/>
    <cellStyle name="Normal 17 2 2" xfId="35553"/>
    <cellStyle name="Normal 17 2 2 2" xfId="35554"/>
    <cellStyle name="Normal 17 2 3" xfId="35555"/>
    <cellStyle name="Normal 17 3" xfId="4039"/>
    <cellStyle name="Normal 17 3 2" xfId="4040"/>
    <cellStyle name="Normal 17 3 2 2" xfId="4041"/>
    <cellStyle name="Normal 17 3 2 2 2" xfId="4042"/>
    <cellStyle name="Normal 17 3 2 3" xfId="4043"/>
    <cellStyle name="Normal 17 3 3" xfId="4044"/>
    <cellStyle name="Normal 17 3 3 2" xfId="4045"/>
    <cellStyle name="Normal 17 3 4" xfId="4046"/>
    <cellStyle name="Normal 17 3 4 2" xfId="35556"/>
    <cellStyle name="Normal 17 3 5" xfId="35557"/>
    <cellStyle name="Normal 17 3 5 2" xfId="35558"/>
    <cellStyle name="Normal 17 3 6" xfId="35559"/>
    <cellStyle name="Normal 17 3 6 2" xfId="35560"/>
    <cellStyle name="Normal 17 3 7" xfId="35561"/>
    <cellStyle name="Normal 17 3 7 2" xfId="35562"/>
    <cellStyle name="Normal 17 3 8" xfId="35563"/>
    <cellStyle name="Normal 17 3 8 2" xfId="35564"/>
    <cellStyle name="Normal 17 3 9" xfId="35565"/>
    <cellStyle name="Normal 17 3 9 2" xfId="35566"/>
    <cellStyle name="Normal 17 3_Dakota Panel" xfId="35567"/>
    <cellStyle name="Normal 17 4" xfId="4047"/>
    <cellStyle name="Normal 17 4 2" xfId="4048"/>
    <cellStyle name="Normal 17 4 2 2" xfId="4049"/>
    <cellStyle name="Normal 17 4 3" xfId="4050"/>
    <cellStyle name="Normal 17 5" xfId="4051"/>
    <cellStyle name="Normal 17 5 2" xfId="4052"/>
    <cellStyle name="Normal 17 5 2 2" xfId="35568"/>
    <cellStyle name="Normal 17 5 2 2 2" xfId="35569"/>
    <cellStyle name="Normal 17 5 2 2 3" xfId="35570"/>
    <cellStyle name="Normal 17 5 2 3" xfId="35571"/>
    <cellStyle name="Normal 17 5 2 3 2" xfId="35572"/>
    <cellStyle name="Normal 17 5 2 4" xfId="35573"/>
    <cellStyle name="Normal 17 5 2 5" xfId="35574"/>
    <cellStyle name="Normal 17 5 3" xfId="35575"/>
    <cellStyle name="Normal 17 5 3 2" xfId="35576"/>
    <cellStyle name="Normal 17 5 3 2 2" xfId="35577"/>
    <cellStyle name="Normal 17 5 3 3" xfId="35578"/>
    <cellStyle name="Normal 17 5 3 4" xfId="35579"/>
    <cellStyle name="Normal 17 5 4" xfId="35580"/>
    <cellStyle name="Normal 17 5 4 2" xfId="35581"/>
    <cellStyle name="Normal 17 5 4 2 2" xfId="35582"/>
    <cellStyle name="Normal 17 5 4 3" xfId="35583"/>
    <cellStyle name="Normal 17 5 4 4" xfId="35584"/>
    <cellStyle name="Normal 17 5 5" xfId="35585"/>
    <cellStyle name="Normal 17 5 5 2" xfId="35586"/>
    <cellStyle name="Normal 17 5 6" xfId="35587"/>
    <cellStyle name="Normal 17 5 7" xfId="35588"/>
    <cellStyle name="Normal 17 5 8" xfId="35589"/>
    <cellStyle name="Normal 17 6" xfId="4053"/>
    <cellStyle name="Normal 17 6 2" xfId="35590"/>
    <cellStyle name="Normal 17 6 2 2" xfId="35591"/>
    <cellStyle name="Normal 17 7" xfId="35592"/>
    <cellStyle name="Normal 17 7 2" xfId="35593"/>
    <cellStyle name="Normal 17 7 2 2" xfId="35594"/>
    <cellStyle name="Normal 17 7 3" xfId="35595"/>
    <cellStyle name="Normal 17 7 4" xfId="35596"/>
    <cellStyle name="Normal 17 8" xfId="35597"/>
    <cellStyle name="Normal 17 8 2" xfId="35598"/>
    <cellStyle name="Normal 17 9" xfId="35599"/>
    <cellStyle name="Normal 17 9 2" xfId="35600"/>
    <cellStyle name="Normal 17_Dakota Panel" xfId="35601"/>
    <cellStyle name="Normal 170" xfId="35602"/>
    <cellStyle name="Normal 170 10" xfId="35603"/>
    <cellStyle name="Normal 170 10 2" xfId="35604"/>
    <cellStyle name="Normal 170 11" xfId="35605"/>
    <cellStyle name="Normal 170 11 2" xfId="35606"/>
    <cellStyle name="Normal 170 12" xfId="35607"/>
    <cellStyle name="Normal 170 2" xfId="35608"/>
    <cellStyle name="Normal 170 2 2" xfId="35609"/>
    <cellStyle name="Normal 170 2 2 2" xfId="35610"/>
    <cellStyle name="Normal 170 2 3" xfId="35611"/>
    <cellStyle name="Normal 170 2 3 2" xfId="35612"/>
    <cellStyle name="Normal 170 2 4" xfId="35613"/>
    <cellStyle name="Normal 170 2 4 2" xfId="35614"/>
    <cellStyle name="Normal 170 2 5" xfId="35615"/>
    <cellStyle name="Normal 170 2 5 2" xfId="35616"/>
    <cellStyle name="Normal 170 2 6" xfId="35617"/>
    <cellStyle name="Normal 170 2 6 2" xfId="35618"/>
    <cellStyle name="Normal 170 2 7" xfId="35619"/>
    <cellStyle name="Normal 170 2 7 2" xfId="35620"/>
    <cellStyle name="Normal 170 2 8" xfId="35621"/>
    <cellStyle name="Normal 170 2 8 2" xfId="35622"/>
    <cellStyle name="Normal 170 2 9" xfId="35623"/>
    <cellStyle name="Normal 170 2 9 2" xfId="35624"/>
    <cellStyle name="Normal 170 2_Dakota Panel" xfId="35625"/>
    <cellStyle name="Normal 170 3" xfId="35626"/>
    <cellStyle name="Normal 170 3 2" xfId="35627"/>
    <cellStyle name="Normal 170 3 2 2" xfId="35628"/>
    <cellStyle name="Normal 170 3 3" xfId="35629"/>
    <cellStyle name="Normal 170 3 3 2" xfId="35630"/>
    <cellStyle name="Normal 170 3 4" xfId="35631"/>
    <cellStyle name="Normal 170 3 5" xfId="35632"/>
    <cellStyle name="Normal 170 4" xfId="35633"/>
    <cellStyle name="Normal 170 4 2" xfId="35634"/>
    <cellStyle name="Normal 170 5" xfId="35635"/>
    <cellStyle name="Normal 170 5 2" xfId="35636"/>
    <cellStyle name="Normal 170 6" xfId="35637"/>
    <cellStyle name="Normal 170 6 2" xfId="35638"/>
    <cellStyle name="Normal 170 7" xfId="35639"/>
    <cellStyle name="Normal 170 7 2" xfId="35640"/>
    <cellStyle name="Normal 170 8" xfId="35641"/>
    <cellStyle name="Normal 170 8 2" xfId="35642"/>
    <cellStyle name="Normal 170 9" xfId="35643"/>
    <cellStyle name="Normal 170 9 2" xfId="35644"/>
    <cellStyle name="Normal 170_Dakota Panel" xfId="35645"/>
    <cellStyle name="Normal 171" xfId="35646"/>
    <cellStyle name="Normal 171 10" xfId="35647"/>
    <cellStyle name="Normal 171 10 2" xfId="35648"/>
    <cellStyle name="Normal 171 11" xfId="35649"/>
    <cellStyle name="Normal 171 11 2" xfId="35650"/>
    <cellStyle name="Normal 171 12" xfId="35651"/>
    <cellStyle name="Normal 171 2" xfId="35652"/>
    <cellStyle name="Normal 171 2 2" xfId="35653"/>
    <cellStyle name="Normal 171 2 2 2" xfId="35654"/>
    <cellStyle name="Normal 171 2 3" xfId="35655"/>
    <cellStyle name="Normal 171 2 3 2" xfId="35656"/>
    <cellStyle name="Normal 171 2 4" xfId="35657"/>
    <cellStyle name="Normal 171 2 4 2" xfId="35658"/>
    <cellStyle name="Normal 171 2 5" xfId="35659"/>
    <cellStyle name="Normal 171 2 5 2" xfId="35660"/>
    <cellStyle name="Normal 171 2 6" xfId="35661"/>
    <cellStyle name="Normal 171 2 6 2" xfId="35662"/>
    <cellStyle name="Normal 171 2 7" xfId="35663"/>
    <cellStyle name="Normal 171 2 7 2" xfId="35664"/>
    <cellStyle name="Normal 171 2 8" xfId="35665"/>
    <cellStyle name="Normal 171 2 8 2" xfId="35666"/>
    <cellStyle name="Normal 171 2 9" xfId="35667"/>
    <cellStyle name="Normal 171 2 9 2" xfId="35668"/>
    <cellStyle name="Normal 171 2_Dakota Panel" xfId="35669"/>
    <cellStyle name="Normal 171 3" xfId="35670"/>
    <cellStyle name="Normal 171 3 2" xfId="35671"/>
    <cellStyle name="Normal 171 3 2 2" xfId="35672"/>
    <cellStyle name="Normal 171 3 3" xfId="35673"/>
    <cellStyle name="Normal 171 3 3 2" xfId="35674"/>
    <cellStyle name="Normal 171 3 4" xfId="35675"/>
    <cellStyle name="Normal 171 3 5" xfId="35676"/>
    <cellStyle name="Normal 171 4" xfId="35677"/>
    <cellStyle name="Normal 171 4 2" xfId="35678"/>
    <cellStyle name="Normal 171 5" xfId="35679"/>
    <cellStyle name="Normal 171 5 2" xfId="35680"/>
    <cellStyle name="Normal 171 6" xfId="35681"/>
    <cellStyle name="Normal 171 6 2" xfId="35682"/>
    <cellStyle name="Normal 171 7" xfId="35683"/>
    <cellStyle name="Normal 171 7 2" xfId="35684"/>
    <cellStyle name="Normal 171 8" xfId="35685"/>
    <cellStyle name="Normal 171 8 2" xfId="35686"/>
    <cellStyle name="Normal 171 9" xfId="35687"/>
    <cellStyle name="Normal 171 9 2" xfId="35688"/>
    <cellStyle name="Normal 171_Dakota Panel" xfId="35689"/>
    <cellStyle name="Normal 172" xfId="35690"/>
    <cellStyle name="Normal 172 10" xfId="35691"/>
    <cellStyle name="Normal 172 10 2" xfId="35692"/>
    <cellStyle name="Normal 172 11" xfId="35693"/>
    <cellStyle name="Normal 172 11 2" xfId="35694"/>
    <cellStyle name="Normal 172 12" xfId="35695"/>
    <cellStyle name="Normal 172 2" xfId="35696"/>
    <cellStyle name="Normal 172 2 2" xfId="35697"/>
    <cellStyle name="Normal 172 2 2 2" xfId="35698"/>
    <cellStyle name="Normal 172 2 3" xfId="35699"/>
    <cellStyle name="Normal 172 2 3 2" xfId="35700"/>
    <cellStyle name="Normal 172 2 4" xfId="35701"/>
    <cellStyle name="Normal 172 2 4 2" xfId="35702"/>
    <cellStyle name="Normal 172 2 5" xfId="35703"/>
    <cellStyle name="Normal 172 2 5 2" xfId="35704"/>
    <cellStyle name="Normal 172 2 6" xfId="35705"/>
    <cellStyle name="Normal 172 2 6 2" xfId="35706"/>
    <cellStyle name="Normal 172 2 7" xfId="35707"/>
    <cellStyle name="Normal 172 2 7 2" xfId="35708"/>
    <cellStyle name="Normal 172 2 8" xfId="35709"/>
    <cellStyle name="Normal 172 2 8 2" xfId="35710"/>
    <cellStyle name="Normal 172 2 9" xfId="35711"/>
    <cellStyle name="Normal 172 2 9 2" xfId="35712"/>
    <cellStyle name="Normal 172 2_Dakota Panel" xfId="35713"/>
    <cellStyle name="Normal 172 3" xfId="35714"/>
    <cellStyle name="Normal 172 3 2" xfId="35715"/>
    <cellStyle name="Normal 172 3 2 2" xfId="35716"/>
    <cellStyle name="Normal 172 3 3" xfId="35717"/>
    <cellStyle name="Normal 172 3 3 2" xfId="35718"/>
    <cellStyle name="Normal 172 3 4" xfId="35719"/>
    <cellStyle name="Normal 172 3 5" xfId="35720"/>
    <cellStyle name="Normal 172 4" xfId="35721"/>
    <cellStyle name="Normal 172 4 2" xfId="35722"/>
    <cellStyle name="Normal 172 5" xfId="35723"/>
    <cellStyle name="Normal 172 5 2" xfId="35724"/>
    <cellStyle name="Normal 172 6" xfId="35725"/>
    <cellStyle name="Normal 172 6 2" xfId="35726"/>
    <cellStyle name="Normal 172 7" xfId="35727"/>
    <cellStyle name="Normal 172 7 2" xfId="35728"/>
    <cellStyle name="Normal 172 8" xfId="35729"/>
    <cellStyle name="Normal 172 8 2" xfId="35730"/>
    <cellStyle name="Normal 172 9" xfId="35731"/>
    <cellStyle name="Normal 172 9 2" xfId="35732"/>
    <cellStyle name="Normal 172_Dakota Panel" xfId="35733"/>
    <cellStyle name="Normal 173" xfId="35734"/>
    <cellStyle name="Normal 173 10" xfId="35735"/>
    <cellStyle name="Normal 173 10 2" xfId="35736"/>
    <cellStyle name="Normal 173 11" xfId="35737"/>
    <cellStyle name="Normal 173 11 2" xfId="35738"/>
    <cellStyle name="Normal 173 12" xfId="35739"/>
    <cellStyle name="Normal 173 2" xfId="35740"/>
    <cellStyle name="Normal 173 2 2" xfId="35741"/>
    <cellStyle name="Normal 173 2 2 2" xfId="35742"/>
    <cellStyle name="Normal 173 2 3" xfId="35743"/>
    <cellStyle name="Normal 173 2 3 2" xfId="35744"/>
    <cellStyle name="Normal 173 2 4" xfId="35745"/>
    <cellStyle name="Normal 173 2 4 2" xfId="35746"/>
    <cellStyle name="Normal 173 2 5" xfId="35747"/>
    <cellStyle name="Normal 173 2 5 2" xfId="35748"/>
    <cellStyle name="Normal 173 2 6" xfId="35749"/>
    <cellStyle name="Normal 173 2 6 2" xfId="35750"/>
    <cellStyle name="Normal 173 2 7" xfId="35751"/>
    <cellStyle name="Normal 173 2 7 2" xfId="35752"/>
    <cellStyle name="Normal 173 2 8" xfId="35753"/>
    <cellStyle name="Normal 173 2 8 2" xfId="35754"/>
    <cellStyle name="Normal 173 2 9" xfId="35755"/>
    <cellStyle name="Normal 173 2 9 2" xfId="35756"/>
    <cellStyle name="Normal 173 2_Dakota Panel" xfId="35757"/>
    <cellStyle name="Normal 173 3" xfId="35758"/>
    <cellStyle name="Normal 173 3 2" xfId="35759"/>
    <cellStyle name="Normal 173 3 2 2" xfId="35760"/>
    <cellStyle name="Normal 173 3 3" xfId="35761"/>
    <cellStyle name="Normal 173 3 3 2" xfId="35762"/>
    <cellStyle name="Normal 173 3 4" xfId="35763"/>
    <cellStyle name="Normal 173 3 5" xfId="35764"/>
    <cellStyle name="Normal 173 4" xfId="35765"/>
    <cellStyle name="Normal 173 4 2" xfId="35766"/>
    <cellStyle name="Normal 173 5" xfId="35767"/>
    <cellStyle name="Normal 173 5 2" xfId="35768"/>
    <cellStyle name="Normal 173 6" xfId="35769"/>
    <cellStyle name="Normal 173 6 2" xfId="35770"/>
    <cellStyle name="Normal 173 7" xfId="35771"/>
    <cellStyle name="Normal 173 7 2" xfId="35772"/>
    <cellStyle name="Normal 173 8" xfId="35773"/>
    <cellStyle name="Normal 173 8 2" xfId="35774"/>
    <cellStyle name="Normal 173 9" xfId="35775"/>
    <cellStyle name="Normal 173 9 2" xfId="35776"/>
    <cellStyle name="Normal 173_Dakota Panel" xfId="35777"/>
    <cellStyle name="Normal 174" xfId="35778"/>
    <cellStyle name="Normal 174 10" xfId="35779"/>
    <cellStyle name="Normal 174 10 2" xfId="35780"/>
    <cellStyle name="Normal 174 11" xfId="35781"/>
    <cellStyle name="Normal 174 11 2" xfId="35782"/>
    <cellStyle name="Normal 174 12" xfId="35783"/>
    <cellStyle name="Normal 174 2" xfId="35784"/>
    <cellStyle name="Normal 174 2 2" xfId="35785"/>
    <cellStyle name="Normal 174 2 2 2" xfId="35786"/>
    <cellStyle name="Normal 174 2 3" xfId="35787"/>
    <cellStyle name="Normal 174 2 3 2" xfId="35788"/>
    <cellStyle name="Normal 174 2 4" xfId="35789"/>
    <cellStyle name="Normal 174 2 4 2" xfId="35790"/>
    <cellStyle name="Normal 174 2 5" xfId="35791"/>
    <cellStyle name="Normal 174 2 5 2" xfId="35792"/>
    <cellStyle name="Normal 174 2 6" xfId="35793"/>
    <cellStyle name="Normal 174 2 6 2" xfId="35794"/>
    <cellStyle name="Normal 174 2 7" xfId="35795"/>
    <cellStyle name="Normal 174 2 7 2" xfId="35796"/>
    <cellStyle name="Normal 174 2 8" xfId="35797"/>
    <cellStyle name="Normal 174 2 8 2" xfId="35798"/>
    <cellStyle name="Normal 174 2 9" xfId="35799"/>
    <cellStyle name="Normal 174 2 9 2" xfId="35800"/>
    <cellStyle name="Normal 174 2_Dakota Panel" xfId="35801"/>
    <cellStyle name="Normal 174 3" xfId="35802"/>
    <cellStyle name="Normal 174 3 2" xfId="35803"/>
    <cellStyle name="Normal 174 3 2 2" xfId="35804"/>
    <cellStyle name="Normal 174 3 3" xfId="35805"/>
    <cellStyle name="Normal 174 3 3 2" xfId="35806"/>
    <cellStyle name="Normal 174 3 4" xfId="35807"/>
    <cellStyle name="Normal 174 3 5" xfId="35808"/>
    <cellStyle name="Normal 174 4" xfId="35809"/>
    <cellStyle name="Normal 174 4 2" xfId="35810"/>
    <cellStyle name="Normal 174 5" xfId="35811"/>
    <cellStyle name="Normal 174 5 2" xfId="35812"/>
    <cellStyle name="Normal 174 6" xfId="35813"/>
    <cellStyle name="Normal 174 6 2" xfId="35814"/>
    <cellStyle name="Normal 174 7" xfId="35815"/>
    <cellStyle name="Normal 174 7 2" xfId="35816"/>
    <cellStyle name="Normal 174 8" xfId="35817"/>
    <cellStyle name="Normal 174 8 2" xfId="35818"/>
    <cellStyle name="Normal 174 9" xfId="35819"/>
    <cellStyle name="Normal 174 9 2" xfId="35820"/>
    <cellStyle name="Normal 174_Dakota Panel" xfId="35821"/>
    <cellStyle name="Normal 175" xfId="35822"/>
    <cellStyle name="Normal 175 10" xfId="35823"/>
    <cellStyle name="Normal 175 10 2" xfId="35824"/>
    <cellStyle name="Normal 175 11" xfId="35825"/>
    <cellStyle name="Normal 175 11 2" xfId="35826"/>
    <cellStyle name="Normal 175 12" xfId="35827"/>
    <cellStyle name="Normal 175 2" xfId="35828"/>
    <cellStyle name="Normal 175 2 2" xfId="35829"/>
    <cellStyle name="Normal 175 2 2 2" xfId="35830"/>
    <cellStyle name="Normal 175 2 3" xfId="35831"/>
    <cellStyle name="Normal 175 2 3 2" xfId="35832"/>
    <cellStyle name="Normal 175 2 4" xfId="35833"/>
    <cellStyle name="Normal 175 2 4 2" xfId="35834"/>
    <cellStyle name="Normal 175 2 5" xfId="35835"/>
    <cellStyle name="Normal 175 2 5 2" xfId="35836"/>
    <cellStyle name="Normal 175 2 6" xfId="35837"/>
    <cellStyle name="Normal 175 2 6 2" xfId="35838"/>
    <cellStyle name="Normal 175 2 7" xfId="35839"/>
    <cellStyle name="Normal 175 2 7 2" xfId="35840"/>
    <cellStyle name="Normal 175 2 8" xfId="35841"/>
    <cellStyle name="Normal 175 2 8 2" xfId="35842"/>
    <cellStyle name="Normal 175 2 9" xfId="35843"/>
    <cellStyle name="Normal 175 2 9 2" xfId="35844"/>
    <cellStyle name="Normal 175 2_Dakota Panel" xfId="35845"/>
    <cellStyle name="Normal 175 3" xfId="35846"/>
    <cellStyle name="Normal 175 3 2" xfId="35847"/>
    <cellStyle name="Normal 175 3 2 2" xfId="35848"/>
    <cellStyle name="Normal 175 3 3" xfId="35849"/>
    <cellStyle name="Normal 175 3 3 2" xfId="35850"/>
    <cellStyle name="Normal 175 3 4" xfId="35851"/>
    <cellStyle name="Normal 175 3 5" xfId="35852"/>
    <cellStyle name="Normal 175 4" xfId="35853"/>
    <cellStyle name="Normal 175 4 2" xfId="35854"/>
    <cellStyle name="Normal 175 5" xfId="35855"/>
    <cellStyle name="Normal 175 5 2" xfId="35856"/>
    <cellStyle name="Normal 175 6" xfId="35857"/>
    <cellStyle name="Normal 175 6 2" xfId="35858"/>
    <cellStyle name="Normal 175 7" xfId="35859"/>
    <cellStyle name="Normal 175 7 2" xfId="35860"/>
    <cellStyle name="Normal 175 8" xfId="35861"/>
    <cellStyle name="Normal 175 8 2" xfId="35862"/>
    <cellStyle name="Normal 175 9" xfId="35863"/>
    <cellStyle name="Normal 175 9 2" xfId="35864"/>
    <cellStyle name="Normal 175_Dakota Panel" xfId="35865"/>
    <cellStyle name="Normal 176" xfId="35866"/>
    <cellStyle name="Normal 176 10" xfId="35867"/>
    <cellStyle name="Normal 176 10 2" xfId="35868"/>
    <cellStyle name="Normal 176 11" xfId="35869"/>
    <cellStyle name="Normal 176 11 2" xfId="35870"/>
    <cellStyle name="Normal 176 12" xfId="35871"/>
    <cellStyle name="Normal 176 2" xfId="35872"/>
    <cellStyle name="Normal 176 2 2" xfId="35873"/>
    <cellStyle name="Normal 176 2 2 2" xfId="35874"/>
    <cellStyle name="Normal 176 2 3" xfId="35875"/>
    <cellStyle name="Normal 176 2 3 2" xfId="35876"/>
    <cellStyle name="Normal 176 2 4" xfId="35877"/>
    <cellStyle name="Normal 176 2 4 2" xfId="35878"/>
    <cellStyle name="Normal 176 2 5" xfId="35879"/>
    <cellStyle name="Normal 176 2 5 2" xfId="35880"/>
    <cellStyle name="Normal 176 2 6" xfId="35881"/>
    <cellStyle name="Normal 176 2 6 2" xfId="35882"/>
    <cellStyle name="Normal 176 2 7" xfId="35883"/>
    <cellStyle name="Normal 176 2 7 2" xfId="35884"/>
    <cellStyle name="Normal 176 2 8" xfId="35885"/>
    <cellStyle name="Normal 176 2 8 2" xfId="35886"/>
    <cellStyle name="Normal 176 2 9" xfId="35887"/>
    <cellStyle name="Normal 176 2 9 2" xfId="35888"/>
    <cellStyle name="Normal 176 2_Dakota Panel" xfId="35889"/>
    <cellStyle name="Normal 176 3" xfId="35890"/>
    <cellStyle name="Normal 176 3 2" xfId="35891"/>
    <cellStyle name="Normal 176 3 2 2" xfId="35892"/>
    <cellStyle name="Normal 176 3 3" xfId="35893"/>
    <cellStyle name="Normal 176 3 3 2" xfId="35894"/>
    <cellStyle name="Normal 176 3 4" xfId="35895"/>
    <cellStyle name="Normal 176 3 5" xfId="35896"/>
    <cellStyle name="Normal 176 4" xfId="35897"/>
    <cellStyle name="Normal 176 4 2" xfId="35898"/>
    <cellStyle name="Normal 176 5" xfId="35899"/>
    <cellStyle name="Normal 176 5 2" xfId="35900"/>
    <cellStyle name="Normal 176 6" xfId="35901"/>
    <cellStyle name="Normal 176 6 2" xfId="35902"/>
    <cellStyle name="Normal 176 7" xfId="35903"/>
    <cellStyle name="Normal 176 7 2" xfId="35904"/>
    <cellStyle name="Normal 176 8" xfId="35905"/>
    <cellStyle name="Normal 176 8 2" xfId="35906"/>
    <cellStyle name="Normal 176 9" xfId="35907"/>
    <cellStyle name="Normal 176 9 2" xfId="35908"/>
    <cellStyle name="Normal 176_Dakota Panel" xfId="35909"/>
    <cellStyle name="Normal 177" xfId="35910"/>
    <cellStyle name="Normal 177 10" xfId="35911"/>
    <cellStyle name="Normal 177 10 2" xfId="35912"/>
    <cellStyle name="Normal 177 11" xfId="35913"/>
    <cellStyle name="Normal 177 11 2" xfId="35914"/>
    <cellStyle name="Normal 177 12" xfId="35915"/>
    <cellStyle name="Normal 177 2" xfId="35916"/>
    <cellStyle name="Normal 177 2 2" xfId="35917"/>
    <cellStyle name="Normal 177 2 2 2" xfId="35918"/>
    <cellStyle name="Normal 177 2 3" xfId="35919"/>
    <cellStyle name="Normal 177 2 3 2" xfId="35920"/>
    <cellStyle name="Normal 177 2 4" xfId="35921"/>
    <cellStyle name="Normal 177 2 4 2" xfId="35922"/>
    <cellStyle name="Normal 177 2 5" xfId="35923"/>
    <cellStyle name="Normal 177 2 5 2" xfId="35924"/>
    <cellStyle name="Normal 177 2 6" xfId="35925"/>
    <cellStyle name="Normal 177 2 6 2" xfId="35926"/>
    <cellStyle name="Normal 177 2 7" xfId="35927"/>
    <cellStyle name="Normal 177 2 7 2" xfId="35928"/>
    <cellStyle name="Normal 177 2 8" xfId="35929"/>
    <cellStyle name="Normal 177 2 8 2" xfId="35930"/>
    <cellStyle name="Normal 177 2 9" xfId="35931"/>
    <cellStyle name="Normal 177 2 9 2" xfId="35932"/>
    <cellStyle name="Normal 177 2_Dakota Panel" xfId="35933"/>
    <cellStyle name="Normal 177 3" xfId="35934"/>
    <cellStyle name="Normal 177 3 2" xfId="35935"/>
    <cellStyle name="Normal 177 3 2 2" xfId="35936"/>
    <cellStyle name="Normal 177 3 3" xfId="35937"/>
    <cellStyle name="Normal 177 3 3 2" xfId="35938"/>
    <cellStyle name="Normal 177 3 4" xfId="35939"/>
    <cellStyle name="Normal 177 3 5" xfId="35940"/>
    <cellStyle name="Normal 177 4" xfId="35941"/>
    <cellStyle name="Normal 177 4 2" xfId="35942"/>
    <cellStyle name="Normal 177 5" xfId="35943"/>
    <cellStyle name="Normal 177 5 2" xfId="35944"/>
    <cellStyle name="Normal 177 6" xfId="35945"/>
    <cellStyle name="Normal 177 6 2" xfId="35946"/>
    <cellStyle name="Normal 177 7" xfId="35947"/>
    <cellStyle name="Normal 177 7 2" xfId="35948"/>
    <cellStyle name="Normal 177 8" xfId="35949"/>
    <cellStyle name="Normal 177 8 2" xfId="35950"/>
    <cellStyle name="Normal 177 9" xfId="35951"/>
    <cellStyle name="Normal 177 9 2" xfId="35952"/>
    <cellStyle name="Normal 177_Dakota Panel" xfId="35953"/>
    <cellStyle name="Normal 178" xfId="35954"/>
    <cellStyle name="Normal 178 10" xfId="35955"/>
    <cellStyle name="Normal 178 10 2" xfId="35956"/>
    <cellStyle name="Normal 178 11" xfId="35957"/>
    <cellStyle name="Normal 178 11 2" xfId="35958"/>
    <cellStyle name="Normal 178 12" xfId="35959"/>
    <cellStyle name="Normal 178 2" xfId="35960"/>
    <cellStyle name="Normal 178 2 2" xfId="35961"/>
    <cellStyle name="Normal 178 2 2 2" xfId="35962"/>
    <cellStyle name="Normal 178 2 3" xfId="35963"/>
    <cellStyle name="Normal 178 2 3 2" xfId="35964"/>
    <cellStyle name="Normal 178 2 4" xfId="35965"/>
    <cellStyle name="Normal 178 2 4 2" xfId="35966"/>
    <cellStyle name="Normal 178 2 5" xfId="35967"/>
    <cellStyle name="Normal 178 2 5 2" xfId="35968"/>
    <cellStyle name="Normal 178 2 6" xfId="35969"/>
    <cellStyle name="Normal 178 2 6 2" xfId="35970"/>
    <cellStyle name="Normal 178 2 7" xfId="35971"/>
    <cellStyle name="Normal 178 2 7 2" xfId="35972"/>
    <cellStyle name="Normal 178 2 8" xfId="35973"/>
    <cellStyle name="Normal 178 2 8 2" xfId="35974"/>
    <cellStyle name="Normal 178 2 9" xfId="35975"/>
    <cellStyle name="Normal 178 2 9 2" xfId="35976"/>
    <cellStyle name="Normal 178 2_Dakota Panel" xfId="35977"/>
    <cellStyle name="Normal 178 3" xfId="35978"/>
    <cellStyle name="Normal 178 3 2" xfId="35979"/>
    <cellStyle name="Normal 178 3 2 2" xfId="35980"/>
    <cellStyle name="Normal 178 3 3" xfId="35981"/>
    <cellStyle name="Normal 178 3 3 2" xfId="35982"/>
    <cellStyle name="Normal 178 3 4" xfId="35983"/>
    <cellStyle name="Normal 178 3 5" xfId="35984"/>
    <cellStyle name="Normal 178 4" xfId="35985"/>
    <cellStyle name="Normal 178 4 2" xfId="35986"/>
    <cellStyle name="Normal 178 5" xfId="35987"/>
    <cellStyle name="Normal 178 5 2" xfId="35988"/>
    <cellStyle name="Normal 178 6" xfId="35989"/>
    <cellStyle name="Normal 178 6 2" xfId="35990"/>
    <cellStyle name="Normal 178 7" xfId="35991"/>
    <cellStyle name="Normal 178 7 2" xfId="35992"/>
    <cellStyle name="Normal 178 8" xfId="35993"/>
    <cellStyle name="Normal 178 8 2" xfId="35994"/>
    <cellStyle name="Normal 178 9" xfId="35995"/>
    <cellStyle name="Normal 178 9 2" xfId="35996"/>
    <cellStyle name="Normal 178_Dakota Panel" xfId="35997"/>
    <cellStyle name="Normal 179" xfId="35998"/>
    <cellStyle name="Normal 179 10" xfId="35999"/>
    <cellStyle name="Normal 179 10 2" xfId="36000"/>
    <cellStyle name="Normal 179 11" xfId="36001"/>
    <cellStyle name="Normal 179 11 2" xfId="36002"/>
    <cellStyle name="Normal 179 12" xfId="36003"/>
    <cellStyle name="Normal 179 2" xfId="36004"/>
    <cellStyle name="Normal 179 2 2" xfId="36005"/>
    <cellStyle name="Normal 179 2 2 2" xfId="36006"/>
    <cellStyle name="Normal 179 2 3" xfId="36007"/>
    <cellStyle name="Normal 179 2 3 2" xfId="36008"/>
    <cellStyle name="Normal 179 2 4" xfId="36009"/>
    <cellStyle name="Normal 179 2 4 2" xfId="36010"/>
    <cellStyle name="Normal 179 2 5" xfId="36011"/>
    <cellStyle name="Normal 179 2 5 2" xfId="36012"/>
    <cellStyle name="Normal 179 2 6" xfId="36013"/>
    <cellStyle name="Normal 179 2 6 2" xfId="36014"/>
    <cellStyle name="Normal 179 2 7" xfId="36015"/>
    <cellStyle name="Normal 179 2 7 2" xfId="36016"/>
    <cellStyle name="Normal 179 2 8" xfId="36017"/>
    <cellStyle name="Normal 179 2 8 2" xfId="36018"/>
    <cellStyle name="Normal 179 2 9" xfId="36019"/>
    <cellStyle name="Normal 179 2 9 2" xfId="36020"/>
    <cellStyle name="Normal 179 2_Dakota Panel" xfId="36021"/>
    <cellStyle name="Normal 179 3" xfId="36022"/>
    <cellStyle name="Normal 179 3 2" xfId="36023"/>
    <cellStyle name="Normal 179 3 2 2" xfId="36024"/>
    <cellStyle name="Normal 179 3 3" xfId="36025"/>
    <cellStyle name="Normal 179 3 3 2" xfId="36026"/>
    <cellStyle name="Normal 179 3 4" xfId="36027"/>
    <cellStyle name="Normal 179 3 5" xfId="36028"/>
    <cellStyle name="Normal 179 4" xfId="36029"/>
    <cellStyle name="Normal 179 4 2" xfId="36030"/>
    <cellStyle name="Normal 179 5" xfId="36031"/>
    <cellStyle name="Normal 179 5 2" xfId="36032"/>
    <cellStyle name="Normal 179 6" xfId="36033"/>
    <cellStyle name="Normal 179 6 2" xfId="36034"/>
    <cellStyle name="Normal 179 7" xfId="36035"/>
    <cellStyle name="Normal 179 7 2" xfId="36036"/>
    <cellStyle name="Normal 179 8" xfId="36037"/>
    <cellStyle name="Normal 179 8 2" xfId="36038"/>
    <cellStyle name="Normal 179 9" xfId="36039"/>
    <cellStyle name="Normal 179 9 2" xfId="36040"/>
    <cellStyle name="Normal 179_Dakota Panel" xfId="36041"/>
    <cellStyle name="Normal 18" xfId="23"/>
    <cellStyle name="Normal 18 10" xfId="36042"/>
    <cellStyle name="Normal 18 10 2" xfId="36043"/>
    <cellStyle name="Normal 18 11" xfId="36044"/>
    <cellStyle name="Normal 18 11 2" xfId="36045"/>
    <cellStyle name="Normal 18 12" xfId="36046"/>
    <cellStyle name="Normal 18 2" xfId="24"/>
    <cellStyle name="Normal 18 2 2" xfId="36047"/>
    <cellStyle name="Normal 18 2 2 2" xfId="36048"/>
    <cellStyle name="Normal 18 2 3" xfId="36049"/>
    <cellStyle name="Normal 18 3" xfId="4054"/>
    <cellStyle name="Normal 18 3 2" xfId="4055"/>
    <cellStyle name="Normal 18 3 2 2" xfId="4056"/>
    <cellStyle name="Normal 18 3 2 2 2" xfId="4057"/>
    <cellStyle name="Normal 18 3 2 3" xfId="4058"/>
    <cellStyle name="Normal 18 3 3" xfId="4059"/>
    <cellStyle name="Normal 18 3 3 2" xfId="4060"/>
    <cellStyle name="Normal 18 3 4" xfId="4061"/>
    <cellStyle name="Normal 18 3 4 2" xfId="36050"/>
    <cellStyle name="Normal 18 3 5" xfId="36051"/>
    <cellStyle name="Normal 18 3 5 2" xfId="36052"/>
    <cellStyle name="Normal 18 3 6" xfId="36053"/>
    <cellStyle name="Normal 18 3 6 2" xfId="36054"/>
    <cellStyle name="Normal 18 3 7" xfId="36055"/>
    <cellStyle name="Normal 18 3 7 2" xfId="36056"/>
    <cellStyle name="Normal 18 3 8" xfId="36057"/>
    <cellStyle name="Normal 18 3 8 2" xfId="36058"/>
    <cellStyle name="Normal 18 3 9" xfId="36059"/>
    <cellStyle name="Normal 18 3 9 2" xfId="36060"/>
    <cellStyle name="Normal 18 3_Dakota Panel" xfId="36061"/>
    <cellStyle name="Normal 18 4" xfId="4062"/>
    <cellStyle name="Normal 18 4 2" xfId="4063"/>
    <cellStyle name="Normal 18 4 2 2" xfId="4064"/>
    <cellStyle name="Normal 18 4 3" xfId="4065"/>
    <cellStyle name="Normal 18 5" xfId="4066"/>
    <cellStyle name="Normal 18 5 2" xfId="4067"/>
    <cellStyle name="Normal 18 5 2 2" xfId="36062"/>
    <cellStyle name="Normal 18 6" xfId="4068"/>
    <cellStyle name="Normal 18 6 2" xfId="36063"/>
    <cellStyle name="Normal 18 6 2 2" xfId="36064"/>
    <cellStyle name="Normal 18 6 3" xfId="36065"/>
    <cellStyle name="Normal 18 6 4" xfId="36066"/>
    <cellStyle name="Normal 18 7" xfId="36067"/>
    <cellStyle name="Normal 18 7 2" xfId="36068"/>
    <cellStyle name="Normal 18 8" xfId="36069"/>
    <cellStyle name="Normal 18 8 2" xfId="36070"/>
    <cellStyle name="Normal 18 9" xfId="36071"/>
    <cellStyle name="Normal 18 9 2" xfId="36072"/>
    <cellStyle name="Normal 18_Dakota Panel" xfId="36073"/>
    <cellStyle name="Normal 180" xfId="36074"/>
    <cellStyle name="Normal 180 10" xfId="36075"/>
    <cellStyle name="Normal 180 10 2" xfId="36076"/>
    <cellStyle name="Normal 180 11" xfId="36077"/>
    <cellStyle name="Normal 180 11 2" xfId="36078"/>
    <cellStyle name="Normal 180 12" xfId="36079"/>
    <cellStyle name="Normal 180 2" xfId="36080"/>
    <cellStyle name="Normal 180 2 2" xfId="36081"/>
    <cellStyle name="Normal 180 2 2 2" xfId="36082"/>
    <cellStyle name="Normal 180 2 3" xfId="36083"/>
    <cellStyle name="Normal 180 2 3 2" xfId="36084"/>
    <cellStyle name="Normal 180 2 4" xfId="36085"/>
    <cellStyle name="Normal 180 2 4 2" xfId="36086"/>
    <cellStyle name="Normal 180 2 5" xfId="36087"/>
    <cellStyle name="Normal 180 2 5 2" xfId="36088"/>
    <cellStyle name="Normal 180 2 6" xfId="36089"/>
    <cellStyle name="Normal 180 2 6 2" xfId="36090"/>
    <cellStyle name="Normal 180 2 7" xfId="36091"/>
    <cellStyle name="Normal 180 2 7 2" xfId="36092"/>
    <cellStyle name="Normal 180 2 8" xfId="36093"/>
    <cellStyle name="Normal 180 2 8 2" xfId="36094"/>
    <cellStyle name="Normal 180 2 9" xfId="36095"/>
    <cellStyle name="Normal 180 2 9 2" xfId="36096"/>
    <cellStyle name="Normal 180 2_Dakota Panel" xfId="36097"/>
    <cellStyle name="Normal 180 3" xfId="36098"/>
    <cellStyle name="Normal 180 3 2" xfId="36099"/>
    <cellStyle name="Normal 180 3 2 2" xfId="36100"/>
    <cellStyle name="Normal 180 3 3" xfId="36101"/>
    <cellStyle name="Normal 180 3 3 2" xfId="36102"/>
    <cellStyle name="Normal 180 3 4" xfId="36103"/>
    <cellStyle name="Normal 180 3 5" xfId="36104"/>
    <cellStyle name="Normal 180 4" xfId="36105"/>
    <cellStyle name="Normal 180 4 2" xfId="36106"/>
    <cellStyle name="Normal 180 5" xfId="36107"/>
    <cellStyle name="Normal 180 5 2" xfId="36108"/>
    <cellStyle name="Normal 180 6" xfId="36109"/>
    <cellStyle name="Normal 180 6 2" xfId="36110"/>
    <cellStyle name="Normal 180 7" xfId="36111"/>
    <cellStyle name="Normal 180 7 2" xfId="36112"/>
    <cellStyle name="Normal 180 8" xfId="36113"/>
    <cellStyle name="Normal 180 8 2" xfId="36114"/>
    <cellStyle name="Normal 180 9" xfId="36115"/>
    <cellStyle name="Normal 180 9 2" xfId="36116"/>
    <cellStyle name="Normal 180_Dakota Panel" xfId="36117"/>
    <cellStyle name="Normal 181" xfId="36118"/>
    <cellStyle name="Normal 181 10" xfId="36119"/>
    <cellStyle name="Normal 181 10 2" xfId="36120"/>
    <cellStyle name="Normal 181 11" xfId="36121"/>
    <cellStyle name="Normal 181 11 2" xfId="36122"/>
    <cellStyle name="Normal 181 12" xfId="36123"/>
    <cellStyle name="Normal 181 2" xfId="36124"/>
    <cellStyle name="Normal 181 2 2" xfId="36125"/>
    <cellStyle name="Normal 181 2 2 2" xfId="36126"/>
    <cellStyle name="Normal 181 2 3" xfId="36127"/>
    <cellStyle name="Normal 181 2 3 2" xfId="36128"/>
    <cellStyle name="Normal 181 2 4" xfId="36129"/>
    <cellStyle name="Normal 181 2 4 2" xfId="36130"/>
    <cellStyle name="Normal 181 2 5" xfId="36131"/>
    <cellStyle name="Normal 181 2 5 2" xfId="36132"/>
    <cellStyle name="Normal 181 2 6" xfId="36133"/>
    <cellStyle name="Normal 181 2 6 2" xfId="36134"/>
    <cellStyle name="Normal 181 2 7" xfId="36135"/>
    <cellStyle name="Normal 181 2 7 2" xfId="36136"/>
    <cellStyle name="Normal 181 2 8" xfId="36137"/>
    <cellStyle name="Normal 181 2 8 2" xfId="36138"/>
    <cellStyle name="Normal 181 2 9" xfId="36139"/>
    <cellStyle name="Normal 181 2 9 2" xfId="36140"/>
    <cellStyle name="Normal 181 2_Dakota Panel" xfId="36141"/>
    <cellStyle name="Normal 181 3" xfId="36142"/>
    <cellStyle name="Normal 181 3 2" xfId="36143"/>
    <cellStyle name="Normal 181 3 2 2" xfId="36144"/>
    <cellStyle name="Normal 181 3 3" xfId="36145"/>
    <cellStyle name="Normal 181 3 3 2" xfId="36146"/>
    <cellStyle name="Normal 181 3 4" xfId="36147"/>
    <cellStyle name="Normal 181 3 5" xfId="36148"/>
    <cellStyle name="Normal 181 4" xfId="36149"/>
    <cellStyle name="Normal 181 4 2" xfId="36150"/>
    <cellStyle name="Normal 181 5" xfId="36151"/>
    <cellStyle name="Normal 181 5 2" xfId="36152"/>
    <cellStyle name="Normal 181 6" xfId="36153"/>
    <cellStyle name="Normal 181 6 2" xfId="36154"/>
    <cellStyle name="Normal 181 7" xfId="36155"/>
    <cellStyle name="Normal 181 7 2" xfId="36156"/>
    <cellStyle name="Normal 181 8" xfId="36157"/>
    <cellStyle name="Normal 181 8 2" xfId="36158"/>
    <cellStyle name="Normal 181 9" xfId="36159"/>
    <cellStyle name="Normal 181 9 2" xfId="36160"/>
    <cellStyle name="Normal 181_Dakota Panel" xfId="36161"/>
    <cellStyle name="Normal 182" xfId="36162"/>
    <cellStyle name="Normal 182 10" xfId="36163"/>
    <cellStyle name="Normal 182 10 2" xfId="36164"/>
    <cellStyle name="Normal 182 11" xfId="36165"/>
    <cellStyle name="Normal 182 11 2" xfId="36166"/>
    <cellStyle name="Normal 182 12" xfId="36167"/>
    <cellStyle name="Normal 182 2" xfId="36168"/>
    <cellStyle name="Normal 182 2 2" xfId="36169"/>
    <cellStyle name="Normal 182 2 2 2" xfId="36170"/>
    <cellStyle name="Normal 182 2 3" xfId="36171"/>
    <cellStyle name="Normal 182 2 3 2" xfId="36172"/>
    <cellStyle name="Normal 182 2 4" xfId="36173"/>
    <cellStyle name="Normal 182 2 4 2" xfId="36174"/>
    <cellStyle name="Normal 182 2 5" xfId="36175"/>
    <cellStyle name="Normal 182 2 5 2" xfId="36176"/>
    <cellStyle name="Normal 182 2 6" xfId="36177"/>
    <cellStyle name="Normal 182 2 6 2" xfId="36178"/>
    <cellStyle name="Normal 182 2 7" xfId="36179"/>
    <cellStyle name="Normal 182 2 7 2" xfId="36180"/>
    <cellStyle name="Normal 182 2 8" xfId="36181"/>
    <cellStyle name="Normal 182 2 8 2" xfId="36182"/>
    <cellStyle name="Normal 182 2 9" xfId="36183"/>
    <cellStyle name="Normal 182 2 9 2" xfId="36184"/>
    <cellStyle name="Normal 182 2_Dakota Panel" xfId="36185"/>
    <cellStyle name="Normal 182 3" xfId="36186"/>
    <cellStyle name="Normal 182 3 2" xfId="36187"/>
    <cellStyle name="Normal 182 3 2 2" xfId="36188"/>
    <cellStyle name="Normal 182 3 3" xfId="36189"/>
    <cellStyle name="Normal 182 3 3 2" xfId="36190"/>
    <cellStyle name="Normal 182 3 4" xfId="36191"/>
    <cellStyle name="Normal 182 3 5" xfId="36192"/>
    <cellStyle name="Normal 182 4" xfId="36193"/>
    <cellStyle name="Normal 182 4 2" xfId="36194"/>
    <cellStyle name="Normal 182 5" xfId="36195"/>
    <cellStyle name="Normal 182 5 2" xfId="36196"/>
    <cellStyle name="Normal 182 6" xfId="36197"/>
    <cellStyle name="Normal 182 6 2" xfId="36198"/>
    <cellStyle name="Normal 182 7" xfId="36199"/>
    <cellStyle name="Normal 182 7 2" xfId="36200"/>
    <cellStyle name="Normal 182 8" xfId="36201"/>
    <cellStyle name="Normal 182 8 2" xfId="36202"/>
    <cellStyle name="Normal 182 9" xfId="36203"/>
    <cellStyle name="Normal 182 9 2" xfId="36204"/>
    <cellStyle name="Normal 182_Dakota Panel" xfId="36205"/>
    <cellStyle name="Normal 183" xfId="36206"/>
    <cellStyle name="Normal 183 2" xfId="36207"/>
    <cellStyle name="Normal 183 2 2" xfId="36208"/>
    <cellStyle name="Normal 183 3" xfId="36209"/>
    <cellStyle name="Normal 183 3 2" xfId="36210"/>
    <cellStyle name="Normal 183_Dakota Panel" xfId="36211"/>
    <cellStyle name="Normal 184" xfId="36212"/>
    <cellStyle name="Normal 184 2" xfId="36213"/>
    <cellStyle name="Normal 184 2 2" xfId="36214"/>
    <cellStyle name="Normal 184 3" xfId="36215"/>
    <cellStyle name="Normal 184 3 2" xfId="36216"/>
    <cellStyle name="Normal 184_Dakota Panel" xfId="36217"/>
    <cellStyle name="Normal 185" xfId="36218"/>
    <cellStyle name="Normal 185 2" xfId="36219"/>
    <cellStyle name="Normal 185 2 2" xfId="36220"/>
    <cellStyle name="Normal 185 3" xfId="36221"/>
    <cellStyle name="Normal 185 3 2" xfId="36222"/>
    <cellStyle name="Normal 185_Dakota Panel" xfId="36223"/>
    <cellStyle name="Normal 186" xfId="36224"/>
    <cellStyle name="Normal 186 2" xfId="36225"/>
    <cellStyle name="Normal 186 2 2" xfId="36226"/>
    <cellStyle name="Normal 186 3" xfId="36227"/>
    <cellStyle name="Normal 186 3 2" xfId="36228"/>
    <cellStyle name="Normal 186_Dakota Panel" xfId="36229"/>
    <cellStyle name="Normal 187" xfId="36230"/>
    <cellStyle name="Normal 187 2" xfId="36231"/>
    <cellStyle name="Normal 187 2 2" xfId="36232"/>
    <cellStyle name="Normal 187 3" xfId="36233"/>
    <cellStyle name="Normal 187 3 2" xfId="36234"/>
    <cellStyle name="Normal 187_Dakota Panel" xfId="36235"/>
    <cellStyle name="Normal 188" xfId="36236"/>
    <cellStyle name="Normal 188 2" xfId="36237"/>
    <cellStyle name="Normal 188 2 2" xfId="36238"/>
    <cellStyle name="Normal 188 3" xfId="36239"/>
    <cellStyle name="Normal 188 3 2" xfId="36240"/>
    <cellStyle name="Normal 188_Dakota Panel" xfId="36241"/>
    <cellStyle name="Normal 189" xfId="36242"/>
    <cellStyle name="Normal 189 2" xfId="36243"/>
    <cellStyle name="Normal 189 2 2" xfId="36244"/>
    <cellStyle name="Normal 189 3" xfId="36245"/>
    <cellStyle name="Normal 189 3 2" xfId="36246"/>
    <cellStyle name="Normal 189_Dakota Panel" xfId="36247"/>
    <cellStyle name="Normal 19" xfId="4069"/>
    <cellStyle name="Normal 19 10" xfId="36248"/>
    <cellStyle name="Normal 19 10 2" xfId="36249"/>
    <cellStyle name="Normal 19 11" xfId="36250"/>
    <cellStyle name="Normal 19 11 2" xfId="36251"/>
    <cellStyle name="Normal 19 12" xfId="36252"/>
    <cellStyle name="Normal 19 2" xfId="4070"/>
    <cellStyle name="Normal 19 2 2" xfId="36253"/>
    <cellStyle name="Normal 19 2 2 2" xfId="36254"/>
    <cellStyle name="Normal 19 2 3" xfId="36255"/>
    <cellStyle name="Normal 19 3" xfId="4071"/>
    <cellStyle name="Normal 19 3 2" xfId="4072"/>
    <cellStyle name="Normal 19 3 2 2" xfId="4073"/>
    <cellStyle name="Normal 19 3 2 2 2" xfId="4074"/>
    <cellStyle name="Normal 19 3 2 3" xfId="4075"/>
    <cellStyle name="Normal 19 3 3" xfId="4076"/>
    <cellStyle name="Normal 19 3 3 2" xfId="4077"/>
    <cellStyle name="Normal 19 3 4" xfId="4078"/>
    <cellStyle name="Normal 19 3 4 2" xfId="36256"/>
    <cellStyle name="Normal 19 3 5" xfId="36257"/>
    <cellStyle name="Normal 19 3 5 2" xfId="36258"/>
    <cellStyle name="Normal 19 3 6" xfId="36259"/>
    <cellStyle name="Normal 19 3 6 2" xfId="36260"/>
    <cellStyle name="Normal 19 3 7" xfId="36261"/>
    <cellStyle name="Normal 19 3 7 2" xfId="36262"/>
    <cellStyle name="Normal 19 3 8" xfId="36263"/>
    <cellStyle name="Normal 19 3 8 2" xfId="36264"/>
    <cellStyle name="Normal 19 3 9" xfId="36265"/>
    <cellStyle name="Normal 19 3 9 2" xfId="36266"/>
    <cellStyle name="Normal 19 3_Dakota Panel" xfId="36267"/>
    <cellStyle name="Normal 19 4" xfId="4079"/>
    <cellStyle name="Normal 19 4 2" xfId="4080"/>
    <cellStyle name="Normal 19 4 2 2" xfId="4081"/>
    <cellStyle name="Normal 19 4 3" xfId="4082"/>
    <cellStyle name="Normal 19 5" xfId="4083"/>
    <cellStyle name="Normal 19 5 2" xfId="4084"/>
    <cellStyle name="Normal 19 5 2 2" xfId="36268"/>
    <cellStyle name="Normal 19 6" xfId="4085"/>
    <cellStyle name="Normal 19 6 2" xfId="36269"/>
    <cellStyle name="Normal 19 6 2 2" xfId="36270"/>
    <cellStyle name="Normal 19 6 3" xfId="36271"/>
    <cellStyle name="Normal 19 6 4" xfId="36272"/>
    <cellStyle name="Normal 19 7" xfId="36273"/>
    <cellStyle name="Normal 19 7 2" xfId="36274"/>
    <cellStyle name="Normal 19 8" xfId="36275"/>
    <cellStyle name="Normal 19 8 2" xfId="36276"/>
    <cellStyle name="Normal 19 9" xfId="36277"/>
    <cellStyle name="Normal 19 9 2" xfId="36278"/>
    <cellStyle name="Normal 19_Dakota Panel" xfId="36279"/>
    <cellStyle name="Normal 190" xfId="36280"/>
    <cellStyle name="Normal 190 2" xfId="36281"/>
    <cellStyle name="Normal 190 2 2" xfId="36282"/>
    <cellStyle name="Normal 190 3" xfId="36283"/>
    <cellStyle name="Normal 190 3 2" xfId="36284"/>
    <cellStyle name="Normal 190_Dakota Panel" xfId="36285"/>
    <cellStyle name="Normal 191" xfId="36286"/>
    <cellStyle name="Normal 191 2" xfId="36287"/>
    <cellStyle name="Normal 191 2 2" xfId="36288"/>
    <cellStyle name="Normal 191 3" xfId="36289"/>
    <cellStyle name="Normal 191 3 2" xfId="36290"/>
    <cellStyle name="Normal 191_Dakota Panel" xfId="36291"/>
    <cellStyle name="Normal 192" xfId="36292"/>
    <cellStyle name="Normal 192 2" xfId="36293"/>
    <cellStyle name="Normal 192 2 2" xfId="36294"/>
    <cellStyle name="Normal 192 3" xfId="36295"/>
    <cellStyle name="Normal 192 3 2" xfId="36296"/>
    <cellStyle name="Normal 192_Dakota Panel" xfId="36297"/>
    <cellStyle name="Normal 193" xfId="36298"/>
    <cellStyle name="Normal 193 2" xfId="36299"/>
    <cellStyle name="Normal 193 2 2" xfId="36300"/>
    <cellStyle name="Normal 193 3" xfId="36301"/>
    <cellStyle name="Normal 193 3 2" xfId="36302"/>
    <cellStyle name="Normal 193_Dakota Panel" xfId="36303"/>
    <cellStyle name="Normal 194" xfId="36304"/>
    <cellStyle name="Normal 194 2" xfId="36305"/>
    <cellStyle name="Normal 194 2 2" xfId="36306"/>
    <cellStyle name="Normal 194 2 2 2" xfId="36307"/>
    <cellStyle name="Normal 194 2 3" xfId="36308"/>
    <cellStyle name="Normal 194 3" xfId="36309"/>
    <cellStyle name="Normal 194 3 2" xfId="36310"/>
    <cellStyle name="Normal 194 4" xfId="36311"/>
    <cellStyle name="Normal 195" xfId="36312"/>
    <cellStyle name="Normal 195 2" xfId="36313"/>
    <cellStyle name="Normal 195 2 2" xfId="36314"/>
    <cellStyle name="Normal 195 2 2 2" xfId="36315"/>
    <cellStyle name="Normal 195 2 3" xfId="36316"/>
    <cellStyle name="Normal 195 3" xfId="36317"/>
    <cellStyle name="Normal 195 3 2" xfId="36318"/>
    <cellStyle name="Normal 195 4" xfId="36319"/>
    <cellStyle name="Normal 196" xfId="36320"/>
    <cellStyle name="Normal 196 2" xfId="36321"/>
    <cellStyle name="Normal 196 2 2" xfId="36322"/>
    <cellStyle name="Normal 196 2 2 2" xfId="36323"/>
    <cellStyle name="Normal 196 2 3" xfId="36324"/>
    <cellStyle name="Normal 196 3" xfId="36325"/>
    <cellStyle name="Normal 196 3 2" xfId="36326"/>
    <cellStyle name="Normal 196 4" xfId="36327"/>
    <cellStyle name="Normal 197" xfId="36328"/>
    <cellStyle name="Normal 197 2" xfId="36329"/>
    <cellStyle name="Normal 197 2 2" xfId="36330"/>
    <cellStyle name="Normal 197 2 2 2" xfId="36331"/>
    <cellStyle name="Normal 197 2 3" xfId="36332"/>
    <cellStyle name="Normal 197 3" xfId="36333"/>
    <cellStyle name="Normal 197 3 2" xfId="36334"/>
    <cellStyle name="Normal 197 4" xfId="36335"/>
    <cellStyle name="Normal 198" xfId="36336"/>
    <cellStyle name="Normal 198 2" xfId="36337"/>
    <cellStyle name="Normal 198 2 2" xfId="36338"/>
    <cellStyle name="Normal 198 2 2 2" xfId="36339"/>
    <cellStyle name="Normal 198 2 3" xfId="36340"/>
    <cellStyle name="Normal 198 3" xfId="36341"/>
    <cellStyle name="Normal 198 3 2" xfId="36342"/>
    <cellStyle name="Normal 198 4" xfId="36343"/>
    <cellStyle name="Normal 199" xfId="36344"/>
    <cellStyle name="Normal 199 2" xfId="36345"/>
    <cellStyle name="Normal 199 2 2" xfId="36346"/>
    <cellStyle name="Normal 199 3" xfId="36347"/>
    <cellStyle name="Normal 2" xfId="7"/>
    <cellStyle name="Normal 2 10" xfId="4086"/>
    <cellStyle name="Normal 2 10 2" xfId="4087"/>
    <cellStyle name="Normal 2 10 2 2" xfId="36348"/>
    <cellStyle name="Normal 2 10 3" xfId="36349"/>
    <cellStyle name="Normal 2 11" xfId="4088"/>
    <cellStyle name="Normal 2 11 2" xfId="4089"/>
    <cellStyle name="Normal 2 11 2 2" xfId="36350"/>
    <cellStyle name="Normal 2 11 3" xfId="36351"/>
    <cellStyle name="Normal 2 12" xfId="4090"/>
    <cellStyle name="Normal 2 12 2" xfId="4091"/>
    <cellStyle name="Normal 2 12 2 2" xfId="36352"/>
    <cellStyle name="Normal 2 12 3" xfId="36353"/>
    <cellStyle name="Normal 2 13" xfId="4092"/>
    <cellStyle name="Normal 2 13 2" xfId="4093"/>
    <cellStyle name="Normal 2 13 3" xfId="36354"/>
    <cellStyle name="Normal 2 14" xfId="4094"/>
    <cellStyle name="Normal 2 14 2" xfId="4095"/>
    <cellStyle name="Normal 2 14 3" xfId="36355"/>
    <cellStyle name="Normal 2 15" xfId="4096"/>
    <cellStyle name="Normal 2 15 2" xfId="4097"/>
    <cellStyle name="Normal 2 15 3" xfId="36356"/>
    <cellStyle name="Normal 2 16" xfId="4098"/>
    <cellStyle name="Normal 2 16 2" xfId="4099"/>
    <cellStyle name="Normal 2 16 3" xfId="36357"/>
    <cellStyle name="Normal 2 17" xfId="4100"/>
    <cellStyle name="Normal 2 17 2" xfId="4101"/>
    <cellStyle name="Normal 2 17 3" xfId="36358"/>
    <cellStyle name="Normal 2 18" xfId="4102"/>
    <cellStyle name="Normal 2 18 2" xfId="4103"/>
    <cellStyle name="Normal 2 19" xfId="4104"/>
    <cellStyle name="Normal 2 19 2" xfId="4105"/>
    <cellStyle name="Normal 2 2" xfId="8"/>
    <cellStyle name="Normal 2 2 10" xfId="36359"/>
    <cellStyle name="Normal 2 2 10 2" xfId="36360"/>
    <cellStyle name="Normal 2 2 10 3" xfId="36361"/>
    <cellStyle name="Normal 2 2 11" xfId="36362"/>
    <cellStyle name="Normal 2 2 11 2" xfId="36363"/>
    <cellStyle name="Normal 2 2 11 3" xfId="36364"/>
    <cellStyle name="Normal 2 2 12" xfId="36365"/>
    <cellStyle name="Normal 2 2 12 2" xfId="36366"/>
    <cellStyle name="Normal 2 2 12 2 2" xfId="36367"/>
    <cellStyle name="Normal 2 2 12 2 2 2" xfId="36368"/>
    <cellStyle name="Normal 2 2 12 2 2 3" xfId="36369"/>
    <cellStyle name="Normal 2 2 12 2 3" xfId="36370"/>
    <cellStyle name="Normal 2 2 12 2 3 2" xfId="36371"/>
    <cellStyle name="Normal 2 2 12 2 4" xfId="36372"/>
    <cellStyle name="Normal 2 2 12 2 5" xfId="36373"/>
    <cellStyle name="Normal 2 2 12 3" xfId="36374"/>
    <cellStyle name="Normal 2 2 12 3 2" xfId="36375"/>
    <cellStyle name="Normal 2 2 12 3 2 2" xfId="36376"/>
    <cellStyle name="Normal 2 2 12 3 3" xfId="36377"/>
    <cellStyle name="Normal 2 2 12 3 4" xfId="36378"/>
    <cellStyle name="Normal 2 2 12 4" xfId="36379"/>
    <cellStyle name="Normal 2 2 12 4 2" xfId="36380"/>
    <cellStyle name="Normal 2 2 12 4 2 2" xfId="36381"/>
    <cellStyle name="Normal 2 2 12 4 3" xfId="36382"/>
    <cellStyle name="Normal 2 2 12 4 4" xfId="36383"/>
    <cellStyle name="Normal 2 2 12 5" xfId="36384"/>
    <cellStyle name="Normal 2 2 12 5 2" xfId="36385"/>
    <cellStyle name="Normal 2 2 12 6" xfId="36386"/>
    <cellStyle name="Normal 2 2 12 7" xfId="36387"/>
    <cellStyle name="Normal 2 2 12 8" xfId="36388"/>
    <cellStyle name="Normal 2 2 13" xfId="36389"/>
    <cellStyle name="Normal 2 2 13 2" xfId="36390"/>
    <cellStyle name="Normal 2 2 13 2 2" xfId="36391"/>
    <cellStyle name="Normal 2 2 13 2 2 2" xfId="36392"/>
    <cellStyle name="Normal 2 2 13 2 2 3" xfId="36393"/>
    <cellStyle name="Normal 2 2 13 2 3" xfId="36394"/>
    <cellStyle name="Normal 2 2 13 2 3 2" xfId="36395"/>
    <cellStyle name="Normal 2 2 13 2 4" xfId="36396"/>
    <cellStyle name="Normal 2 2 13 2 5" xfId="36397"/>
    <cellStyle name="Normal 2 2 13 3" xfId="36398"/>
    <cellStyle name="Normal 2 2 13 3 2" xfId="36399"/>
    <cellStyle name="Normal 2 2 13 3 2 2" xfId="36400"/>
    <cellStyle name="Normal 2 2 13 3 3" xfId="36401"/>
    <cellStyle name="Normal 2 2 13 3 4" xfId="36402"/>
    <cellStyle name="Normal 2 2 13 4" xfId="36403"/>
    <cellStyle name="Normal 2 2 13 4 2" xfId="36404"/>
    <cellStyle name="Normal 2 2 13 4 2 2" xfId="36405"/>
    <cellStyle name="Normal 2 2 13 4 3" xfId="36406"/>
    <cellStyle name="Normal 2 2 13 4 4" xfId="36407"/>
    <cellStyle name="Normal 2 2 13 5" xfId="36408"/>
    <cellStyle name="Normal 2 2 13 5 2" xfId="36409"/>
    <cellStyle name="Normal 2 2 13 6" xfId="36410"/>
    <cellStyle name="Normal 2 2 13 7" xfId="36411"/>
    <cellStyle name="Normal 2 2 13 8" xfId="36412"/>
    <cellStyle name="Normal 2 2 14" xfId="36413"/>
    <cellStyle name="Normal 2 2 14 2" xfId="36414"/>
    <cellStyle name="Normal 2 2 14 2 2" xfId="36415"/>
    <cellStyle name="Normal 2 2 14 2 2 2" xfId="36416"/>
    <cellStyle name="Normal 2 2 14 2 2 3" xfId="36417"/>
    <cellStyle name="Normal 2 2 14 2 3" xfId="36418"/>
    <cellStyle name="Normal 2 2 14 2 3 2" xfId="36419"/>
    <cellStyle name="Normal 2 2 14 2 4" xfId="36420"/>
    <cellStyle name="Normal 2 2 14 2 5" xfId="36421"/>
    <cellStyle name="Normal 2 2 14 3" xfId="36422"/>
    <cellStyle name="Normal 2 2 14 3 2" xfId="36423"/>
    <cellStyle name="Normal 2 2 14 3 2 2" xfId="36424"/>
    <cellStyle name="Normal 2 2 14 3 3" xfId="36425"/>
    <cellStyle name="Normal 2 2 14 3 4" xfId="36426"/>
    <cellStyle name="Normal 2 2 14 4" xfId="36427"/>
    <cellStyle name="Normal 2 2 14 4 2" xfId="36428"/>
    <cellStyle name="Normal 2 2 14 4 2 2" xfId="36429"/>
    <cellStyle name="Normal 2 2 14 4 3" xfId="36430"/>
    <cellStyle name="Normal 2 2 14 4 4" xfId="36431"/>
    <cellStyle name="Normal 2 2 14 5" xfId="36432"/>
    <cellStyle name="Normal 2 2 14 5 2" xfId="36433"/>
    <cellStyle name="Normal 2 2 14 6" xfId="36434"/>
    <cellStyle name="Normal 2 2 14 7" xfId="36435"/>
    <cellStyle name="Normal 2 2 14 8" xfId="36436"/>
    <cellStyle name="Normal 2 2 15" xfId="36437"/>
    <cellStyle name="Normal 2 2 2" xfId="123"/>
    <cellStyle name="Normal 2 2 2 10" xfId="36438"/>
    <cellStyle name="Normal 2 2 2 10 2" xfId="36439"/>
    <cellStyle name="Normal 2 2 2 10 3" xfId="36440"/>
    <cellStyle name="Normal 2 2 2 11" xfId="36441"/>
    <cellStyle name="Normal 2 2 2 11 2" xfId="36442"/>
    <cellStyle name="Normal 2 2 2 12" xfId="36443"/>
    <cellStyle name="Normal 2 2 2 12 2" xfId="36444"/>
    <cellStyle name="Normal 2 2 2 12 3" xfId="36445"/>
    <cellStyle name="Normal 2 2 2 13" xfId="36446"/>
    <cellStyle name="Normal 2 2 2 13 2" xfId="36447"/>
    <cellStyle name="Normal 2 2 2 14" xfId="36448"/>
    <cellStyle name="Normal 2 2 2 14 2" xfId="36449"/>
    <cellStyle name="Normal 2 2 2 14 2 2" xfId="36450"/>
    <cellStyle name="Normal 2 2 2 14 2 2 2" xfId="36451"/>
    <cellStyle name="Normal 2 2 2 14 2 2 3" xfId="36452"/>
    <cellStyle name="Normal 2 2 2 14 2 3" xfId="36453"/>
    <cellStyle name="Normal 2 2 2 14 2 3 2" xfId="36454"/>
    <cellStyle name="Normal 2 2 2 14 2 4" xfId="36455"/>
    <cellStyle name="Normal 2 2 2 14 2 5" xfId="36456"/>
    <cellStyle name="Normal 2 2 2 14 3" xfId="36457"/>
    <cellStyle name="Normal 2 2 2 14 3 2" xfId="36458"/>
    <cellStyle name="Normal 2 2 2 14 3 2 2" xfId="36459"/>
    <cellStyle name="Normal 2 2 2 14 3 3" xfId="36460"/>
    <cellStyle name="Normal 2 2 2 14 3 4" xfId="36461"/>
    <cellStyle name="Normal 2 2 2 14 4" xfId="36462"/>
    <cellStyle name="Normal 2 2 2 14 4 2" xfId="36463"/>
    <cellStyle name="Normal 2 2 2 14 4 2 2" xfId="36464"/>
    <cellStyle name="Normal 2 2 2 14 4 3" xfId="36465"/>
    <cellStyle name="Normal 2 2 2 14 4 4" xfId="36466"/>
    <cellStyle name="Normal 2 2 2 14 5" xfId="36467"/>
    <cellStyle name="Normal 2 2 2 14 5 2" xfId="36468"/>
    <cellStyle name="Normal 2 2 2 14 6" xfId="36469"/>
    <cellStyle name="Normal 2 2 2 14 7" xfId="36470"/>
    <cellStyle name="Normal 2 2 2 14 8" xfId="36471"/>
    <cellStyle name="Normal 2 2 2 15" xfId="36472"/>
    <cellStyle name="Normal 2 2 2 15 2" xfId="36473"/>
    <cellStyle name="Normal 2 2 2 15 2 2" xfId="36474"/>
    <cellStyle name="Normal 2 2 2 15 2 2 2" xfId="36475"/>
    <cellStyle name="Normal 2 2 2 15 2 2 3" xfId="36476"/>
    <cellStyle name="Normal 2 2 2 15 2 3" xfId="36477"/>
    <cellStyle name="Normal 2 2 2 15 2 3 2" xfId="36478"/>
    <cellStyle name="Normal 2 2 2 15 2 4" xfId="36479"/>
    <cellStyle name="Normal 2 2 2 15 2 5" xfId="36480"/>
    <cellStyle name="Normal 2 2 2 15 3" xfId="36481"/>
    <cellStyle name="Normal 2 2 2 15 3 2" xfId="36482"/>
    <cellStyle name="Normal 2 2 2 15 3 2 2" xfId="36483"/>
    <cellStyle name="Normal 2 2 2 15 3 3" xfId="36484"/>
    <cellStyle name="Normal 2 2 2 15 3 4" xfId="36485"/>
    <cellStyle name="Normal 2 2 2 15 4" xfId="36486"/>
    <cellStyle name="Normal 2 2 2 15 4 2" xfId="36487"/>
    <cellStyle name="Normal 2 2 2 15 4 2 2" xfId="36488"/>
    <cellStyle name="Normal 2 2 2 15 4 3" xfId="36489"/>
    <cellStyle name="Normal 2 2 2 15 4 4" xfId="36490"/>
    <cellStyle name="Normal 2 2 2 15 5" xfId="36491"/>
    <cellStyle name="Normal 2 2 2 15 5 2" xfId="36492"/>
    <cellStyle name="Normal 2 2 2 15 6" xfId="36493"/>
    <cellStyle name="Normal 2 2 2 15 7" xfId="36494"/>
    <cellStyle name="Normal 2 2 2 15 8" xfId="36495"/>
    <cellStyle name="Normal 2 2 2 16" xfId="36496"/>
    <cellStyle name="Normal 2 2 2 16 2" xfId="36497"/>
    <cellStyle name="Normal 2 2 2 16 2 2" xfId="36498"/>
    <cellStyle name="Normal 2 2 2 16 2 2 2" xfId="36499"/>
    <cellStyle name="Normal 2 2 2 16 2 2 3" xfId="36500"/>
    <cellStyle name="Normal 2 2 2 16 2 3" xfId="36501"/>
    <cellStyle name="Normal 2 2 2 16 2 3 2" xfId="36502"/>
    <cellStyle name="Normal 2 2 2 16 2 4" xfId="36503"/>
    <cellStyle name="Normal 2 2 2 16 2 5" xfId="36504"/>
    <cellStyle name="Normal 2 2 2 16 3" xfId="36505"/>
    <cellStyle name="Normal 2 2 2 16 3 2" xfId="36506"/>
    <cellStyle name="Normal 2 2 2 16 3 2 2" xfId="36507"/>
    <cellStyle name="Normal 2 2 2 16 3 3" xfId="36508"/>
    <cellStyle name="Normal 2 2 2 16 3 4" xfId="36509"/>
    <cellStyle name="Normal 2 2 2 16 4" xfId="36510"/>
    <cellStyle name="Normal 2 2 2 16 4 2" xfId="36511"/>
    <cellStyle name="Normal 2 2 2 16 4 2 2" xfId="36512"/>
    <cellStyle name="Normal 2 2 2 16 4 3" xfId="36513"/>
    <cellStyle name="Normal 2 2 2 16 4 4" xfId="36514"/>
    <cellStyle name="Normal 2 2 2 16 5" xfId="36515"/>
    <cellStyle name="Normal 2 2 2 16 5 2" xfId="36516"/>
    <cellStyle name="Normal 2 2 2 16 6" xfId="36517"/>
    <cellStyle name="Normal 2 2 2 16 7" xfId="36518"/>
    <cellStyle name="Normal 2 2 2 16 8" xfId="36519"/>
    <cellStyle name="Normal 2 2 2 17" xfId="36520"/>
    <cellStyle name="Normal 2 2 2 2" xfId="4106"/>
    <cellStyle name="Normal 2 2 2 2 2" xfId="4107"/>
    <cellStyle name="Normal 2 2 2 2 2 2" xfId="36521"/>
    <cellStyle name="Normal 2 2 2 2 2 2 2" xfId="36522"/>
    <cellStyle name="Normal 2 2 2 2 2 2 2 2" xfId="36523"/>
    <cellStyle name="Normal 2 2 2 2 2 2 2 2 2" xfId="36524"/>
    <cellStyle name="Normal 2 2 2 2 2 2 2 2 2 2" xfId="36525"/>
    <cellStyle name="Normal 2 2 2 2 2 2 2 2 2 3" xfId="36526"/>
    <cellStyle name="Normal 2 2 2 2 2 2 2 2 3" xfId="36527"/>
    <cellStyle name="Normal 2 2 2 2 2 2 2 2 3 2" xfId="36528"/>
    <cellStyle name="Normal 2 2 2 2 2 2 2 2 4" xfId="36529"/>
    <cellStyle name="Normal 2 2 2 2 2 2 2 2 5" xfId="36530"/>
    <cellStyle name="Normal 2 2 2 2 2 2 2 3" xfId="36531"/>
    <cellStyle name="Normal 2 2 2 2 2 2 2 3 2" xfId="36532"/>
    <cellStyle name="Normal 2 2 2 2 2 2 2 3 2 2" xfId="36533"/>
    <cellStyle name="Normal 2 2 2 2 2 2 2 3 3" xfId="36534"/>
    <cellStyle name="Normal 2 2 2 2 2 2 2 3 4" xfId="36535"/>
    <cellStyle name="Normal 2 2 2 2 2 2 2 4" xfId="36536"/>
    <cellStyle name="Normal 2 2 2 2 2 2 2 4 2" xfId="36537"/>
    <cellStyle name="Normal 2 2 2 2 2 2 2 4 2 2" xfId="36538"/>
    <cellStyle name="Normal 2 2 2 2 2 2 2 4 3" xfId="36539"/>
    <cellStyle name="Normal 2 2 2 2 2 2 2 4 4" xfId="36540"/>
    <cellStyle name="Normal 2 2 2 2 2 2 2 5" xfId="36541"/>
    <cellStyle name="Normal 2 2 2 2 2 2 2 5 2" xfId="36542"/>
    <cellStyle name="Normal 2 2 2 2 2 2 2 6" xfId="36543"/>
    <cellStyle name="Normal 2 2 2 2 2 2 2 7" xfId="36544"/>
    <cellStyle name="Normal 2 2 2 2 2 2 2 8" xfId="36545"/>
    <cellStyle name="Normal 2 2 2 2 2 2 3" xfId="36546"/>
    <cellStyle name="Normal 2 2 2 2 2 2 3 2" xfId="36547"/>
    <cellStyle name="Normal 2 2 2 2 2 2 3 2 2" xfId="36548"/>
    <cellStyle name="Normal 2 2 2 2 2 2 3 2 2 2" xfId="36549"/>
    <cellStyle name="Normal 2 2 2 2 2 2 3 2 2 3" xfId="36550"/>
    <cellStyle name="Normal 2 2 2 2 2 2 3 2 3" xfId="36551"/>
    <cellStyle name="Normal 2 2 2 2 2 2 3 2 3 2" xfId="36552"/>
    <cellStyle name="Normal 2 2 2 2 2 2 3 2 4" xfId="36553"/>
    <cellStyle name="Normal 2 2 2 2 2 2 3 2 5" xfId="36554"/>
    <cellStyle name="Normal 2 2 2 2 2 2 3 3" xfId="36555"/>
    <cellStyle name="Normal 2 2 2 2 2 2 3 3 2" xfId="36556"/>
    <cellStyle name="Normal 2 2 2 2 2 2 3 3 2 2" xfId="36557"/>
    <cellStyle name="Normal 2 2 2 2 2 2 3 3 3" xfId="36558"/>
    <cellStyle name="Normal 2 2 2 2 2 2 3 3 4" xfId="36559"/>
    <cellStyle name="Normal 2 2 2 2 2 2 3 4" xfId="36560"/>
    <cellStyle name="Normal 2 2 2 2 2 2 3 4 2" xfId="36561"/>
    <cellStyle name="Normal 2 2 2 2 2 2 3 4 2 2" xfId="36562"/>
    <cellStyle name="Normal 2 2 2 2 2 2 3 4 3" xfId="36563"/>
    <cellStyle name="Normal 2 2 2 2 2 2 3 4 4" xfId="36564"/>
    <cellStyle name="Normal 2 2 2 2 2 2 3 5" xfId="36565"/>
    <cellStyle name="Normal 2 2 2 2 2 2 3 5 2" xfId="36566"/>
    <cellStyle name="Normal 2 2 2 2 2 2 3 6" xfId="36567"/>
    <cellStyle name="Normal 2 2 2 2 2 2 3 7" xfId="36568"/>
    <cellStyle name="Normal 2 2 2 2 2 2 3 8" xfId="36569"/>
    <cellStyle name="Normal 2 2 2 2 2 2 4" xfId="36570"/>
    <cellStyle name="Normal 2 2 2 2 2 2 4 2" xfId="36571"/>
    <cellStyle name="Normal 2 2 2 2 2 2 4 2 2" xfId="36572"/>
    <cellStyle name="Normal 2 2 2 2 2 2 4 2 2 2" xfId="36573"/>
    <cellStyle name="Normal 2 2 2 2 2 2 4 2 2 3" xfId="36574"/>
    <cellStyle name="Normal 2 2 2 2 2 2 4 2 3" xfId="36575"/>
    <cellStyle name="Normal 2 2 2 2 2 2 4 2 3 2" xfId="36576"/>
    <cellStyle name="Normal 2 2 2 2 2 2 4 2 4" xfId="36577"/>
    <cellStyle name="Normal 2 2 2 2 2 2 4 2 5" xfId="36578"/>
    <cellStyle name="Normal 2 2 2 2 2 2 4 3" xfId="36579"/>
    <cellStyle name="Normal 2 2 2 2 2 2 4 3 2" xfId="36580"/>
    <cellStyle name="Normal 2 2 2 2 2 2 4 3 2 2" xfId="36581"/>
    <cellStyle name="Normal 2 2 2 2 2 2 4 3 3" xfId="36582"/>
    <cellStyle name="Normal 2 2 2 2 2 2 4 3 4" xfId="36583"/>
    <cellStyle name="Normal 2 2 2 2 2 2 4 4" xfId="36584"/>
    <cellStyle name="Normal 2 2 2 2 2 2 4 4 2" xfId="36585"/>
    <cellStyle name="Normal 2 2 2 2 2 2 4 4 2 2" xfId="36586"/>
    <cellStyle name="Normal 2 2 2 2 2 2 4 4 3" xfId="36587"/>
    <cellStyle name="Normal 2 2 2 2 2 2 4 4 4" xfId="36588"/>
    <cellStyle name="Normal 2 2 2 2 2 2 4 5" xfId="36589"/>
    <cellStyle name="Normal 2 2 2 2 2 2 4 5 2" xfId="36590"/>
    <cellStyle name="Normal 2 2 2 2 2 2 4 6" xfId="36591"/>
    <cellStyle name="Normal 2 2 2 2 2 2 4 7" xfId="36592"/>
    <cellStyle name="Normal 2 2 2 2 2 2 4 8" xfId="36593"/>
    <cellStyle name="Normal 2 2 2 2 2 2 5" xfId="36594"/>
    <cellStyle name="Normal 2 2 2 2 2 3" xfId="36595"/>
    <cellStyle name="Normal 2 2 2 2 2 3 2" xfId="36596"/>
    <cellStyle name="Normal 2 2 2 2 2 3 2 2" xfId="36597"/>
    <cellStyle name="Normal 2 2 2 2 2 3 2 2 2" xfId="36598"/>
    <cellStyle name="Normal 2 2 2 2 2 3 2 2 3" xfId="36599"/>
    <cellStyle name="Normal 2 2 2 2 2 3 2 3" xfId="36600"/>
    <cellStyle name="Normal 2 2 2 2 2 3 2 3 2" xfId="36601"/>
    <cellStyle name="Normal 2 2 2 2 2 3 2 4" xfId="36602"/>
    <cellStyle name="Normal 2 2 2 2 2 3 2 5" xfId="36603"/>
    <cellStyle name="Normal 2 2 2 2 2 3 3" xfId="36604"/>
    <cellStyle name="Normal 2 2 2 2 2 3 3 2" xfId="36605"/>
    <cellStyle name="Normal 2 2 2 2 2 3 3 2 2" xfId="36606"/>
    <cellStyle name="Normal 2 2 2 2 2 3 3 3" xfId="36607"/>
    <cellStyle name="Normal 2 2 2 2 2 3 3 4" xfId="36608"/>
    <cellStyle name="Normal 2 2 2 2 2 3 4" xfId="36609"/>
    <cellStyle name="Normal 2 2 2 2 2 3 4 2" xfId="36610"/>
    <cellStyle name="Normal 2 2 2 2 2 3 4 2 2" xfId="36611"/>
    <cellStyle name="Normal 2 2 2 2 2 3 4 3" xfId="36612"/>
    <cellStyle name="Normal 2 2 2 2 2 3 4 4" xfId="36613"/>
    <cellStyle name="Normal 2 2 2 2 2 3 5" xfId="36614"/>
    <cellStyle name="Normal 2 2 2 2 2 3 5 2" xfId="36615"/>
    <cellStyle name="Normal 2 2 2 2 2 3 6" xfId="36616"/>
    <cellStyle name="Normal 2 2 2 2 2 3 7" xfId="36617"/>
    <cellStyle name="Normal 2 2 2 2 2 3 8" xfId="36618"/>
    <cellStyle name="Normal 2 2 2 2 2 4" xfId="36619"/>
    <cellStyle name="Normal 2 2 2 2 2 4 2" xfId="36620"/>
    <cellStyle name="Normal 2 2 2 2 2 4 2 2" xfId="36621"/>
    <cellStyle name="Normal 2 2 2 2 2 4 2 2 2" xfId="36622"/>
    <cellStyle name="Normal 2 2 2 2 2 4 2 2 3" xfId="36623"/>
    <cellStyle name="Normal 2 2 2 2 2 4 2 3" xfId="36624"/>
    <cellStyle name="Normal 2 2 2 2 2 4 2 3 2" xfId="36625"/>
    <cellStyle name="Normal 2 2 2 2 2 4 2 4" xfId="36626"/>
    <cellStyle name="Normal 2 2 2 2 2 4 2 5" xfId="36627"/>
    <cellStyle name="Normal 2 2 2 2 2 4 3" xfId="36628"/>
    <cellStyle name="Normal 2 2 2 2 2 4 3 2" xfId="36629"/>
    <cellStyle name="Normal 2 2 2 2 2 4 3 2 2" xfId="36630"/>
    <cellStyle name="Normal 2 2 2 2 2 4 3 3" xfId="36631"/>
    <cellStyle name="Normal 2 2 2 2 2 4 3 4" xfId="36632"/>
    <cellStyle name="Normal 2 2 2 2 2 4 4" xfId="36633"/>
    <cellStyle name="Normal 2 2 2 2 2 4 4 2" xfId="36634"/>
    <cellStyle name="Normal 2 2 2 2 2 4 4 2 2" xfId="36635"/>
    <cellStyle name="Normal 2 2 2 2 2 4 4 3" xfId="36636"/>
    <cellStyle name="Normal 2 2 2 2 2 4 4 4" xfId="36637"/>
    <cellStyle name="Normal 2 2 2 2 2 4 5" xfId="36638"/>
    <cellStyle name="Normal 2 2 2 2 2 4 5 2" xfId="36639"/>
    <cellStyle name="Normal 2 2 2 2 2 4 6" xfId="36640"/>
    <cellStyle name="Normal 2 2 2 2 2 4 7" xfId="36641"/>
    <cellStyle name="Normal 2 2 2 2 2 4 8" xfId="36642"/>
    <cellStyle name="Normal 2 2 2 2 2 5" xfId="36643"/>
    <cellStyle name="Normal 2 2 2 2 2 5 2" xfId="36644"/>
    <cellStyle name="Normal 2 2 2 2 2 5 2 2" xfId="36645"/>
    <cellStyle name="Normal 2 2 2 2 2 5 2 2 2" xfId="36646"/>
    <cellStyle name="Normal 2 2 2 2 2 5 2 2 3" xfId="36647"/>
    <cellStyle name="Normal 2 2 2 2 2 5 2 3" xfId="36648"/>
    <cellStyle name="Normal 2 2 2 2 2 5 2 3 2" xfId="36649"/>
    <cellStyle name="Normal 2 2 2 2 2 5 2 4" xfId="36650"/>
    <cellStyle name="Normal 2 2 2 2 2 5 2 5" xfId="36651"/>
    <cellStyle name="Normal 2 2 2 2 2 5 3" xfId="36652"/>
    <cellStyle name="Normal 2 2 2 2 2 5 3 2" xfId="36653"/>
    <cellStyle name="Normal 2 2 2 2 2 5 3 2 2" xfId="36654"/>
    <cellStyle name="Normal 2 2 2 2 2 5 3 3" xfId="36655"/>
    <cellStyle name="Normal 2 2 2 2 2 5 3 4" xfId="36656"/>
    <cellStyle name="Normal 2 2 2 2 2 5 4" xfId="36657"/>
    <cellStyle name="Normal 2 2 2 2 2 5 4 2" xfId="36658"/>
    <cellStyle name="Normal 2 2 2 2 2 5 4 2 2" xfId="36659"/>
    <cellStyle name="Normal 2 2 2 2 2 5 4 3" xfId="36660"/>
    <cellStyle name="Normal 2 2 2 2 2 5 4 4" xfId="36661"/>
    <cellStyle name="Normal 2 2 2 2 2 5 5" xfId="36662"/>
    <cellStyle name="Normal 2 2 2 2 2 5 5 2" xfId="36663"/>
    <cellStyle name="Normal 2 2 2 2 2 5 6" xfId="36664"/>
    <cellStyle name="Normal 2 2 2 2 2 5 7" xfId="36665"/>
    <cellStyle name="Normal 2 2 2 2 2 5 8" xfId="36666"/>
    <cellStyle name="Normal 2 2 2 2 2 6" xfId="36667"/>
    <cellStyle name="Normal 2 2 2 2 3" xfId="36668"/>
    <cellStyle name="Normal 2 2 2 2 3 2" xfId="36669"/>
    <cellStyle name="Normal 2 2 2 2 3 2 2" xfId="36670"/>
    <cellStyle name="Normal 2 2 2 2 3 2 2 2" xfId="36671"/>
    <cellStyle name="Normal 2 2 2 2 3 2 2 2 2" xfId="36672"/>
    <cellStyle name="Normal 2 2 2 2 3 2 2 2 3" xfId="36673"/>
    <cellStyle name="Normal 2 2 2 2 3 2 2 3" xfId="36674"/>
    <cellStyle name="Normal 2 2 2 2 3 2 2 3 2" xfId="36675"/>
    <cellStyle name="Normal 2 2 2 2 3 2 2 4" xfId="36676"/>
    <cellStyle name="Normal 2 2 2 2 3 2 2 5" xfId="36677"/>
    <cellStyle name="Normal 2 2 2 2 3 2 3" xfId="36678"/>
    <cellStyle name="Normal 2 2 2 2 3 2 3 2" xfId="36679"/>
    <cellStyle name="Normal 2 2 2 2 3 2 3 2 2" xfId="36680"/>
    <cellStyle name="Normal 2 2 2 2 3 2 3 3" xfId="36681"/>
    <cellStyle name="Normal 2 2 2 2 3 2 3 4" xfId="36682"/>
    <cellStyle name="Normal 2 2 2 2 3 2 4" xfId="36683"/>
    <cellStyle name="Normal 2 2 2 2 3 2 4 2" xfId="36684"/>
    <cellStyle name="Normal 2 2 2 2 3 2 4 2 2" xfId="36685"/>
    <cellStyle name="Normal 2 2 2 2 3 2 4 3" xfId="36686"/>
    <cellStyle name="Normal 2 2 2 2 3 2 4 4" xfId="36687"/>
    <cellStyle name="Normal 2 2 2 2 3 2 5" xfId="36688"/>
    <cellStyle name="Normal 2 2 2 2 3 2 5 2" xfId="36689"/>
    <cellStyle name="Normal 2 2 2 2 3 2 6" xfId="36690"/>
    <cellStyle name="Normal 2 2 2 2 3 2 7" xfId="36691"/>
    <cellStyle name="Normal 2 2 2 2 3 2 8" xfId="36692"/>
    <cellStyle name="Normal 2 2 2 2 3 3" xfId="36693"/>
    <cellStyle name="Normal 2 2 2 2 3 3 2" xfId="36694"/>
    <cellStyle name="Normal 2 2 2 2 3 3 2 2" xfId="36695"/>
    <cellStyle name="Normal 2 2 2 2 3 3 2 2 2" xfId="36696"/>
    <cellStyle name="Normal 2 2 2 2 3 3 2 2 3" xfId="36697"/>
    <cellStyle name="Normal 2 2 2 2 3 3 2 3" xfId="36698"/>
    <cellStyle name="Normal 2 2 2 2 3 3 2 3 2" xfId="36699"/>
    <cellStyle name="Normal 2 2 2 2 3 3 2 4" xfId="36700"/>
    <cellStyle name="Normal 2 2 2 2 3 3 2 5" xfId="36701"/>
    <cellStyle name="Normal 2 2 2 2 3 3 3" xfId="36702"/>
    <cellStyle name="Normal 2 2 2 2 3 3 3 2" xfId="36703"/>
    <cellStyle name="Normal 2 2 2 2 3 3 3 2 2" xfId="36704"/>
    <cellStyle name="Normal 2 2 2 2 3 3 3 3" xfId="36705"/>
    <cellStyle name="Normal 2 2 2 2 3 3 3 4" xfId="36706"/>
    <cellStyle name="Normal 2 2 2 2 3 3 4" xfId="36707"/>
    <cellStyle name="Normal 2 2 2 2 3 3 4 2" xfId="36708"/>
    <cellStyle name="Normal 2 2 2 2 3 3 4 2 2" xfId="36709"/>
    <cellStyle name="Normal 2 2 2 2 3 3 4 3" xfId="36710"/>
    <cellStyle name="Normal 2 2 2 2 3 3 4 4" xfId="36711"/>
    <cellStyle name="Normal 2 2 2 2 3 3 5" xfId="36712"/>
    <cellStyle name="Normal 2 2 2 2 3 3 5 2" xfId="36713"/>
    <cellStyle name="Normal 2 2 2 2 3 3 6" xfId="36714"/>
    <cellStyle name="Normal 2 2 2 2 3 3 7" xfId="36715"/>
    <cellStyle name="Normal 2 2 2 2 3 3 8" xfId="36716"/>
    <cellStyle name="Normal 2 2 2 2 3 4" xfId="36717"/>
    <cellStyle name="Normal 2 2 2 2 3 4 2" xfId="36718"/>
    <cellStyle name="Normal 2 2 2 2 3 4 2 2" xfId="36719"/>
    <cellStyle name="Normal 2 2 2 2 3 4 2 2 2" xfId="36720"/>
    <cellStyle name="Normal 2 2 2 2 3 4 2 2 3" xfId="36721"/>
    <cellStyle name="Normal 2 2 2 2 3 4 2 3" xfId="36722"/>
    <cellStyle name="Normal 2 2 2 2 3 4 2 3 2" xfId="36723"/>
    <cellStyle name="Normal 2 2 2 2 3 4 2 4" xfId="36724"/>
    <cellStyle name="Normal 2 2 2 2 3 4 2 5" xfId="36725"/>
    <cellStyle name="Normal 2 2 2 2 3 4 3" xfId="36726"/>
    <cellStyle name="Normal 2 2 2 2 3 4 3 2" xfId="36727"/>
    <cellStyle name="Normal 2 2 2 2 3 4 3 2 2" xfId="36728"/>
    <cellStyle name="Normal 2 2 2 2 3 4 3 3" xfId="36729"/>
    <cellStyle name="Normal 2 2 2 2 3 4 3 4" xfId="36730"/>
    <cellStyle name="Normal 2 2 2 2 3 4 4" xfId="36731"/>
    <cellStyle name="Normal 2 2 2 2 3 4 4 2" xfId="36732"/>
    <cellStyle name="Normal 2 2 2 2 3 4 4 2 2" xfId="36733"/>
    <cellStyle name="Normal 2 2 2 2 3 4 4 3" xfId="36734"/>
    <cellStyle name="Normal 2 2 2 2 3 4 4 4" xfId="36735"/>
    <cellStyle name="Normal 2 2 2 2 3 4 5" xfId="36736"/>
    <cellStyle name="Normal 2 2 2 2 3 4 5 2" xfId="36737"/>
    <cellStyle name="Normal 2 2 2 2 3 4 6" xfId="36738"/>
    <cellStyle name="Normal 2 2 2 2 3 4 7" xfId="36739"/>
    <cellStyle name="Normal 2 2 2 2 3 4 8" xfId="36740"/>
    <cellStyle name="Normal 2 2 2 2 3 5" xfId="36741"/>
    <cellStyle name="Normal 2 2 2 2 4" xfId="36742"/>
    <cellStyle name="Normal 2 2 2 2 4 2" xfId="36743"/>
    <cellStyle name="Normal 2 2 2 2 4 3" xfId="36744"/>
    <cellStyle name="Normal 2 2 2 2 5" xfId="36745"/>
    <cellStyle name="Normal 2 2 2 2 5 2" xfId="36746"/>
    <cellStyle name="Normal 2 2 2 2 5 2 2" xfId="36747"/>
    <cellStyle name="Normal 2 2 2 2 5 2 2 2" xfId="36748"/>
    <cellStyle name="Normal 2 2 2 2 5 2 2 3" xfId="36749"/>
    <cellStyle name="Normal 2 2 2 2 5 2 3" xfId="36750"/>
    <cellStyle name="Normal 2 2 2 2 5 2 3 2" xfId="36751"/>
    <cellStyle name="Normal 2 2 2 2 5 2 4" xfId="36752"/>
    <cellStyle name="Normal 2 2 2 2 5 2 5" xfId="36753"/>
    <cellStyle name="Normal 2 2 2 2 5 3" xfId="36754"/>
    <cellStyle name="Normal 2 2 2 2 5 3 2" xfId="36755"/>
    <cellStyle name="Normal 2 2 2 2 5 3 2 2" xfId="36756"/>
    <cellStyle name="Normal 2 2 2 2 5 3 3" xfId="36757"/>
    <cellStyle name="Normal 2 2 2 2 5 3 4" xfId="36758"/>
    <cellStyle name="Normal 2 2 2 2 5 4" xfId="36759"/>
    <cellStyle name="Normal 2 2 2 2 5 4 2" xfId="36760"/>
    <cellStyle name="Normal 2 2 2 2 5 4 2 2" xfId="36761"/>
    <cellStyle name="Normal 2 2 2 2 5 4 3" xfId="36762"/>
    <cellStyle name="Normal 2 2 2 2 5 4 4" xfId="36763"/>
    <cellStyle name="Normal 2 2 2 2 5 5" xfId="36764"/>
    <cellStyle name="Normal 2 2 2 2 5 5 2" xfId="36765"/>
    <cellStyle name="Normal 2 2 2 2 5 6" xfId="36766"/>
    <cellStyle name="Normal 2 2 2 2 5 7" xfId="36767"/>
    <cellStyle name="Normal 2 2 2 2 5 8" xfId="36768"/>
    <cellStyle name="Normal 2 2 2 2 6" xfId="36769"/>
    <cellStyle name="Normal 2 2 2 2 6 2" xfId="36770"/>
    <cellStyle name="Normal 2 2 2 2 6 2 2" xfId="36771"/>
    <cellStyle name="Normal 2 2 2 2 6 2 2 2" xfId="36772"/>
    <cellStyle name="Normal 2 2 2 2 6 2 2 3" xfId="36773"/>
    <cellStyle name="Normal 2 2 2 2 6 2 3" xfId="36774"/>
    <cellStyle name="Normal 2 2 2 2 6 2 3 2" xfId="36775"/>
    <cellStyle name="Normal 2 2 2 2 6 2 4" xfId="36776"/>
    <cellStyle name="Normal 2 2 2 2 6 2 5" xfId="36777"/>
    <cellStyle name="Normal 2 2 2 2 6 3" xfId="36778"/>
    <cellStyle name="Normal 2 2 2 2 6 3 2" xfId="36779"/>
    <cellStyle name="Normal 2 2 2 2 6 3 2 2" xfId="36780"/>
    <cellStyle name="Normal 2 2 2 2 6 3 3" xfId="36781"/>
    <cellStyle name="Normal 2 2 2 2 6 3 4" xfId="36782"/>
    <cellStyle name="Normal 2 2 2 2 6 4" xfId="36783"/>
    <cellStyle name="Normal 2 2 2 2 6 4 2" xfId="36784"/>
    <cellStyle name="Normal 2 2 2 2 6 4 2 2" xfId="36785"/>
    <cellStyle name="Normal 2 2 2 2 6 4 3" xfId="36786"/>
    <cellStyle name="Normal 2 2 2 2 6 4 4" xfId="36787"/>
    <cellStyle name="Normal 2 2 2 2 6 5" xfId="36788"/>
    <cellStyle name="Normal 2 2 2 2 6 5 2" xfId="36789"/>
    <cellStyle name="Normal 2 2 2 2 6 6" xfId="36790"/>
    <cellStyle name="Normal 2 2 2 2 6 7" xfId="36791"/>
    <cellStyle name="Normal 2 2 2 2 6 8" xfId="36792"/>
    <cellStyle name="Normal 2 2 2 2 7" xfId="36793"/>
    <cellStyle name="Normal 2 2 2 2 7 2" xfId="36794"/>
    <cellStyle name="Normal 2 2 2 2 7 2 2" xfId="36795"/>
    <cellStyle name="Normal 2 2 2 2 7 2 2 2" xfId="36796"/>
    <cellStyle name="Normal 2 2 2 2 7 2 2 3" xfId="36797"/>
    <cellStyle name="Normal 2 2 2 2 7 2 3" xfId="36798"/>
    <cellStyle name="Normal 2 2 2 2 7 2 3 2" xfId="36799"/>
    <cellStyle name="Normal 2 2 2 2 7 2 4" xfId="36800"/>
    <cellStyle name="Normal 2 2 2 2 7 2 5" xfId="36801"/>
    <cellStyle name="Normal 2 2 2 2 7 3" xfId="36802"/>
    <cellStyle name="Normal 2 2 2 2 7 3 2" xfId="36803"/>
    <cellStyle name="Normal 2 2 2 2 7 3 2 2" xfId="36804"/>
    <cellStyle name="Normal 2 2 2 2 7 3 3" xfId="36805"/>
    <cellStyle name="Normal 2 2 2 2 7 3 4" xfId="36806"/>
    <cellStyle name="Normal 2 2 2 2 7 4" xfId="36807"/>
    <cellStyle name="Normal 2 2 2 2 7 4 2" xfId="36808"/>
    <cellStyle name="Normal 2 2 2 2 7 4 2 2" xfId="36809"/>
    <cellStyle name="Normal 2 2 2 2 7 4 3" xfId="36810"/>
    <cellStyle name="Normal 2 2 2 2 7 4 4" xfId="36811"/>
    <cellStyle name="Normal 2 2 2 2 7 5" xfId="36812"/>
    <cellStyle name="Normal 2 2 2 2 7 5 2" xfId="36813"/>
    <cellStyle name="Normal 2 2 2 2 7 6" xfId="36814"/>
    <cellStyle name="Normal 2 2 2 2 7 7" xfId="36815"/>
    <cellStyle name="Normal 2 2 2 2 7 8" xfId="36816"/>
    <cellStyle name="Normal 2 2 2 2 8" xfId="36817"/>
    <cellStyle name="Normal 2 2 2 2 9" xfId="36818"/>
    <cellStyle name="Normal 2 2 2 3" xfId="4108"/>
    <cellStyle name="Normal 2 2 2 3 2" xfId="4109"/>
    <cellStyle name="Normal 2 2 2 3 2 2" xfId="36819"/>
    <cellStyle name="Normal 2 2 2 3 2 2 2" xfId="36820"/>
    <cellStyle name="Normal 2 2 2 3 2 2 2 2" xfId="36821"/>
    <cellStyle name="Normal 2 2 2 3 2 2 2 2 2" xfId="36822"/>
    <cellStyle name="Normal 2 2 2 3 2 2 2 2 3" xfId="36823"/>
    <cellStyle name="Normal 2 2 2 3 2 2 2 3" xfId="36824"/>
    <cellStyle name="Normal 2 2 2 3 2 2 2 3 2" xfId="36825"/>
    <cellStyle name="Normal 2 2 2 3 2 2 2 4" xfId="36826"/>
    <cellStyle name="Normal 2 2 2 3 2 2 2 5" xfId="36827"/>
    <cellStyle name="Normal 2 2 2 3 2 2 3" xfId="36828"/>
    <cellStyle name="Normal 2 2 2 3 2 2 3 2" xfId="36829"/>
    <cellStyle name="Normal 2 2 2 3 2 2 3 2 2" xfId="36830"/>
    <cellStyle name="Normal 2 2 2 3 2 2 3 3" xfId="36831"/>
    <cellStyle name="Normal 2 2 2 3 2 2 3 4" xfId="36832"/>
    <cellStyle name="Normal 2 2 2 3 2 2 4" xfId="36833"/>
    <cellStyle name="Normal 2 2 2 3 2 2 4 2" xfId="36834"/>
    <cellStyle name="Normal 2 2 2 3 2 2 4 2 2" xfId="36835"/>
    <cellStyle name="Normal 2 2 2 3 2 2 4 3" xfId="36836"/>
    <cellStyle name="Normal 2 2 2 3 2 2 4 4" xfId="36837"/>
    <cellStyle name="Normal 2 2 2 3 2 2 5" xfId="36838"/>
    <cellStyle name="Normal 2 2 2 3 2 2 5 2" xfId="36839"/>
    <cellStyle name="Normal 2 2 2 3 2 2 6" xfId="36840"/>
    <cellStyle name="Normal 2 2 2 3 2 2 7" xfId="36841"/>
    <cellStyle name="Normal 2 2 2 3 2 2 8" xfId="36842"/>
    <cellStyle name="Normal 2 2 2 3 2 3" xfId="36843"/>
    <cellStyle name="Normal 2 2 2 3 2 3 2" xfId="36844"/>
    <cellStyle name="Normal 2 2 2 3 2 3 2 2" xfId="36845"/>
    <cellStyle name="Normal 2 2 2 3 2 3 2 2 2" xfId="36846"/>
    <cellStyle name="Normal 2 2 2 3 2 3 2 2 3" xfId="36847"/>
    <cellStyle name="Normal 2 2 2 3 2 3 2 3" xfId="36848"/>
    <cellStyle name="Normal 2 2 2 3 2 3 2 3 2" xfId="36849"/>
    <cellStyle name="Normal 2 2 2 3 2 3 2 4" xfId="36850"/>
    <cellStyle name="Normal 2 2 2 3 2 3 2 5" xfId="36851"/>
    <cellStyle name="Normal 2 2 2 3 2 3 3" xfId="36852"/>
    <cellStyle name="Normal 2 2 2 3 2 3 3 2" xfId="36853"/>
    <cellStyle name="Normal 2 2 2 3 2 3 3 2 2" xfId="36854"/>
    <cellStyle name="Normal 2 2 2 3 2 3 3 3" xfId="36855"/>
    <cellStyle name="Normal 2 2 2 3 2 3 3 4" xfId="36856"/>
    <cellStyle name="Normal 2 2 2 3 2 3 4" xfId="36857"/>
    <cellStyle name="Normal 2 2 2 3 2 3 4 2" xfId="36858"/>
    <cellStyle name="Normal 2 2 2 3 2 3 4 2 2" xfId="36859"/>
    <cellStyle name="Normal 2 2 2 3 2 3 4 3" xfId="36860"/>
    <cellStyle name="Normal 2 2 2 3 2 3 4 4" xfId="36861"/>
    <cellStyle name="Normal 2 2 2 3 2 3 5" xfId="36862"/>
    <cellStyle name="Normal 2 2 2 3 2 3 5 2" xfId="36863"/>
    <cellStyle name="Normal 2 2 2 3 2 3 6" xfId="36864"/>
    <cellStyle name="Normal 2 2 2 3 2 3 7" xfId="36865"/>
    <cellStyle name="Normal 2 2 2 3 2 3 8" xfId="36866"/>
    <cellStyle name="Normal 2 2 2 3 2 4" xfId="36867"/>
    <cellStyle name="Normal 2 2 2 3 2 4 2" xfId="36868"/>
    <cellStyle name="Normal 2 2 2 3 2 4 2 2" xfId="36869"/>
    <cellStyle name="Normal 2 2 2 3 2 4 2 2 2" xfId="36870"/>
    <cellStyle name="Normal 2 2 2 3 2 4 2 2 3" xfId="36871"/>
    <cellStyle name="Normal 2 2 2 3 2 4 2 3" xfId="36872"/>
    <cellStyle name="Normal 2 2 2 3 2 4 2 3 2" xfId="36873"/>
    <cellStyle name="Normal 2 2 2 3 2 4 2 4" xfId="36874"/>
    <cellStyle name="Normal 2 2 2 3 2 4 2 5" xfId="36875"/>
    <cellStyle name="Normal 2 2 2 3 2 4 3" xfId="36876"/>
    <cellStyle name="Normal 2 2 2 3 2 4 3 2" xfId="36877"/>
    <cellStyle name="Normal 2 2 2 3 2 4 3 2 2" xfId="36878"/>
    <cellStyle name="Normal 2 2 2 3 2 4 3 3" xfId="36879"/>
    <cellStyle name="Normal 2 2 2 3 2 4 3 4" xfId="36880"/>
    <cellStyle name="Normal 2 2 2 3 2 4 4" xfId="36881"/>
    <cellStyle name="Normal 2 2 2 3 2 4 4 2" xfId="36882"/>
    <cellStyle name="Normal 2 2 2 3 2 4 4 2 2" xfId="36883"/>
    <cellStyle name="Normal 2 2 2 3 2 4 4 3" xfId="36884"/>
    <cellStyle name="Normal 2 2 2 3 2 4 4 4" xfId="36885"/>
    <cellStyle name="Normal 2 2 2 3 2 4 5" xfId="36886"/>
    <cellStyle name="Normal 2 2 2 3 2 4 5 2" xfId="36887"/>
    <cellStyle name="Normal 2 2 2 3 2 4 6" xfId="36888"/>
    <cellStyle name="Normal 2 2 2 3 2 4 7" xfId="36889"/>
    <cellStyle name="Normal 2 2 2 3 2 4 8" xfId="36890"/>
    <cellStyle name="Normal 2 2 2 3 2 5" xfId="36891"/>
    <cellStyle name="Normal 2 2 2 3 3" xfId="36892"/>
    <cellStyle name="Normal 2 2 2 3 3 2" xfId="36893"/>
    <cellStyle name="Normal 2 2 2 3 3 3" xfId="36894"/>
    <cellStyle name="Normal 2 2 2 3 4" xfId="36895"/>
    <cellStyle name="Normal 2 2 2 3 4 2" xfId="36896"/>
    <cellStyle name="Normal 2 2 2 3 4 2 2" xfId="36897"/>
    <cellStyle name="Normal 2 2 2 3 4 2 2 2" xfId="36898"/>
    <cellStyle name="Normal 2 2 2 3 4 2 2 3" xfId="36899"/>
    <cellStyle name="Normal 2 2 2 3 4 2 3" xfId="36900"/>
    <cellStyle name="Normal 2 2 2 3 4 2 3 2" xfId="36901"/>
    <cellStyle name="Normal 2 2 2 3 4 2 4" xfId="36902"/>
    <cellStyle name="Normal 2 2 2 3 4 2 5" xfId="36903"/>
    <cellStyle name="Normal 2 2 2 3 4 3" xfId="36904"/>
    <cellStyle name="Normal 2 2 2 3 4 3 2" xfId="36905"/>
    <cellStyle name="Normal 2 2 2 3 4 3 2 2" xfId="36906"/>
    <cellStyle name="Normal 2 2 2 3 4 3 3" xfId="36907"/>
    <cellStyle name="Normal 2 2 2 3 4 3 4" xfId="36908"/>
    <cellStyle name="Normal 2 2 2 3 4 4" xfId="36909"/>
    <cellStyle name="Normal 2 2 2 3 4 4 2" xfId="36910"/>
    <cellStyle name="Normal 2 2 2 3 4 4 2 2" xfId="36911"/>
    <cellStyle name="Normal 2 2 2 3 4 4 3" xfId="36912"/>
    <cellStyle name="Normal 2 2 2 3 4 4 4" xfId="36913"/>
    <cellStyle name="Normal 2 2 2 3 4 5" xfId="36914"/>
    <cellStyle name="Normal 2 2 2 3 4 5 2" xfId="36915"/>
    <cellStyle name="Normal 2 2 2 3 4 6" xfId="36916"/>
    <cellStyle name="Normal 2 2 2 3 4 7" xfId="36917"/>
    <cellStyle name="Normal 2 2 2 3 4 8" xfId="36918"/>
    <cellStyle name="Normal 2 2 2 3 5" xfId="36919"/>
    <cellStyle name="Normal 2 2 2 3 5 2" xfId="36920"/>
    <cellStyle name="Normal 2 2 2 3 5 2 2" xfId="36921"/>
    <cellStyle name="Normal 2 2 2 3 5 2 2 2" xfId="36922"/>
    <cellStyle name="Normal 2 2 2 3 5 2 2 3" xfId="36923"/>
    <cellStyle name="Normal 2 2 2 3 5 2 3" xfId="36924"/>
    <cellStyle name="Normal 2 2 2 3 5 2 3 2" xfId="36925"/>
    <cellStyle name="Normal 2 2 2 3 5 2 4" xfId="36926"/>
    <cellStyle name="Normal 2 2 2 3 5 2 5" xfId="36927"/>
    <cellStyle name="Normal 2 2 2 3 5 3" xfId="36928"/>
    <cellStyle name="Normal 2 2 2 3 5 3 2" xfId="36929"/>
    <cellStyle name="Normal 2 2 2 3 5 3 2 2" xfId="36930"/>
    <cellStyle name="Normal 2 2 2 3 5 3 3" xfId="36931"/>
    <cellStyle name="Normal 2 2 2 3 5 3 4" xfId="36932"/>
    <cellStyle name="Normal 2 2 2 3 5 4" xfId="36933"/>
    <cellStyle name="Normal 2 2 2 3 5 4 2" xfId="36934"/>
    <cellStyle name="Normal 2 2 2 3 5 4 2 2" xfId="36935"/>
    <cellStyle name="Normal 2 2 2 3 5 4 3" xfId="36936"/>
    <cellStyle name="Normal 2 2 2 3 5 4 4" xfId="36937"/>
    <cellStyle name="Normal 2 2 2 3 5 5" xfId="36938"/>
    <cellStyle name="Normal 2 2 2 3 5 5 2" xfId="36939"/>
    <cellStyle name="Normal 2 2 2 3 5 6" xfId="36940"/>
    <cellStyle name="Normal 2 2 2 3 5 7" xfId="36941"/>
    <cellStyle name="Normal 2 2 2 3 5 8" xfId="36942"/>
    <cellStyle name="Normal 2 2 2 3 6" xfId="36943"/>
    <cellStyle name="Normal 2 2 2 3 6 2" xfId="36944"/>
    <cellStyle name="Normal 2 2 2 3 6 2 2" xfId="36945"/>
    <cellStyle name="Normal 2 2 2 3 6 2 2 2" xfId="36946"/>
    <cellStyle name="Normal 2 2 2 3 6 2 2 3" xfId="36947"/>
    <cellStyle name="Normal 2 2 2 3 6 2 3" xfId="36948"/>
    <cellStyle name="Normal 2 2 2 3 6 2 3 2" xfId="36949"/>
    <cellStyle name="Normal 2 2 2 3 6 2 4" xfId="36950"/>
    <cellStyle name="Normal 2 2 2 3 6 2 5" xfId="36951"/>
    <cellStyle name="Normal 2 2 2 3 6 3" xfId="36952"/>
    <cellStyle name="Normal 2 2 2 3 6 3 2" xfId="36953"/>
    <cellStyle name="Normal 2 2 2 3 6 3 2 2" xfId="36954"/>
    <cellStyle name="Normal 2 2 2 3 6 3 3" xfId="36955"/>
    <cellStyle name="Normal 2 2 2 3 6 3 4" xfId="36956"/>
    <cellStyle name="Normal 2 2 2 3 6 4" xfId="36957"/>
    <cellStyle name="Normal 2 2 2 3 6 4 2" xfId="36958"/>
    <cellStyle name="Normal 2 2 2 3 6 4 2 2" xfId="36959"/>
    <cellStyle name="Normal 2 2 2 3 6 4 3" xfId="36960"/>
    <cellStyle name="Normal 2 2 2 3 6 4 4" xfId="36961"/>
    <cellStyle name="Normal 2 2 2 3 6 5" xfId="36962"/>
    <cellStyle name="Normal 2 2 2 3 6 5 2" xfId="36963"/>
    <cellStyle name="Normal 2 2 2 3 6 6" xfId="36964"/>
    <cellStyle name="Normal 2 2 2 3 6 7" xfId="36965"/>
    <cellStyle name="Normal 2 2 2 3 6 8" xfId="36966"/>
    <cellStyle name="Normal 2 2 2 3 7" xfId="36967"/>
    <cellStyle name="Normal 2 2 2 4" xfId="4110"/>
    <cellStyle name="Normal 2 2 2 4 2" xfId="36968"/>
    <cellStyle name="Normal 2 2 2 4 2 2" xfId="36969"/>
    <cellStyle name="Normal 2 2 2 4 2 3" xfId="36970"/>
    <cellStyle name="Normal 2 2 2 4 3" xfId="36971"/>
    <cellStyle name="Normal 2 2 2 4 3 2" xfId="36972"/>
    <cellStyle name="Normal 2 2 2 4 3 2 2" xfId="36973"/>
    <cellStyle name="Normal 2 2 2 4 3 2 2 2" xfId="36974"/>
    <cellStyle name="Normal 2 2 2 4 3 2 2 3" xfId="36975"/>
    <cellStyle name="Normal 2 2 2 4 3 2 3" xfId="36976"/>
    <cellStyle name="Normal 2 2 2 4 3 2 3 2" xfId="36977"/>
    <cellStyle name="Normal 2 2 2 4 3 2 4" xfId="36978"/>
    <cellStyle name="Normal 2 2 2 4 3 2 5" xfId="36979"/>
    <cellStyle name="Normal 2 2 2 4 3 3" xfId="36980"/>
    <cellStyle name="Normal 2 2 2 4 3 3 2" xfId="36981"/>
    <cellStyle name="Normal 2 2 2 4 3 3 2 2" xfId="36982"/>
    <cellStyle name="Normal 2 2 2 4 3 3 3" xfId="36983"/>
    <cellStyle name="Normal 2 2 2 4 3 3 4" xfId="36984"/>
    <cellStyle name="Normal 2 2 2 4 3 4" xfId="36985"/>
    <cellStyle name="Normal 2 2 2 4 3 4 2" xfId="36986"/>
    <cellStyle name="Normal 2 2 2 4 3 4 2 2" xfId="36987"/>
    <cellStyle name="Normal 2 2 2 4 3 4 3" xfId="36988"/>
    <cellStyle name="Normal 2 2 2 4 3 4 4" xfId="36989"/>
    <cellStyle name="Normal 2 2 2 4 3 5" xfId="36990"/>
    <cellStyle name="Normal 2 2 2 4 3 5 2" xfId="36991"/>
    <cellStyle name="Normal 2 2 2 4 3 6" xfId="36992"/>
    <cellStyle name="Normal 2 2 2 4 3 7" xfId="36993"/>
    <cellStyle name="Normal 2 2 2 4 3 8" xfId="36994"/>
    <cellStyle name="Normal 2 2 2 4 4" xfId="36995"/>
    <cellStyle name="Normal 2 2 2 4 4 2" xfId="36996"/>
    <cellStyle name="Normal 2 2 2 4 4 2 2" xfId="36997"/>
    <cellStyle name="Normal 2 2 2 4 4 2 2 2" xfId="36998"/>
    <cellStyle name="Normal 2 2 2 4 4 2 2 3" xfId="36999"/>
    <cellStyle name="Normal 2 2 2 4 4 2 3" xfId="37000"/>
    <cellStyle name="Normal 2 2 2 4 4 2 3 2" xfId="37001"/>
    <cellStyle name="Normal 2 2 2 4 4 2 4" xfId="37002"/>
    <cellStyle name="Normal 2 2 2 4 4 2 5" xfId="37003"/>
    <cellStyle name="Normal 2 2 2 4 4 3" xfId="37004"/>
    <cellStyle name="Normal 2 2 2 4 4 3 2" xfId="37005"/>
    <cellStyle name="Normal 2 2 2 4 4 3 2 2" xfId="37006"/>
    <cellStyle name="Normal 2 2 2 4 4 3 3" xfId="37007"/>
    <cellStyle name="Normal 2 2 2 4 4 3 4" xfId="37008"/>
    <cellStyle name="Normal 2 2 2 4 4 4" xfId="37009"/>
    <cellStyle name="Normal 2 2 2 4 4 4 2" xfId="37010"/>
    <cellStyle name="Normal 2 2 2 4 4 4 2 2" xfId="37011"/>
    <cellStyle name="Normal 2 2 2 4 4 4 3" xfId="37012"/>
    <cellStyle name="Normal 2 2 2 4 4 4 4" xfId="37013"/>
    <cellStyle name="Normal 2 2 2 4 4 5" xfId="37014"/>
    <cellStyle name="Normal 2 2 2 4 4 5 2" xfId="37015"/>
    <cellStyle name="Normal 2 2 2 4 4 6" xfId="37016"/>
    <cellStyle name="Normal 2 2 2 4 4 7" xfId="37017"/>
    <cellStyle name="Normal 2 2 2 4 4 8" xfId="37018"/>
    <cellStyle name="Normal 2 2 2 4 5" xfId="37019"/>
    <cellStyle name="Normal 2 2 2 4 5 2" xfId="37020"/>
    <cellStyle name="Normal 2 2 2 4 5 2 2" xfId="37021"/>
    <cellStyle name="Normal 2 2 2 4 5 2 2 2" xfId="37022"/>
    <cellStyle name="Normal 2 2 2 4 5 2 2 3" xfId="37023"/>
    <cellStyle name="Normal 2 2 2 4 5 2 3" xfId="37024"/>
    <cellStyle name="Normal 2 2 2 4 5 2 3 2" xfId="37025"/>
    <cellStyle name="Normal 2 2 2 4 5 2 4" xfId="37026"/>
    <cellStyle name="Normal 2 2 2 4 5 2 5" xfId="37027"/>
    <cellStyle name="Normal 2 2 2 4 5 3" xfId="37028"/>
    <cellStyle name="Normal 2 2 2 4 5 3 2" xfId="37029"/>
    <cellStyle name="Normal 2 2 2 4 5 3 2 2" xfId="37030"/>
    <cellStyle name="Normal 2 2 2 4 5 3 3" xfId="37031"/>
    <cellStyle name="Normal 2 2 2 4 5 3 4" xfId="37032"/>
    <cellStyle name="Normal 2 2 2 4 5 4" xfId="37033"/>
    <cellStyle name="Normal 2 2 2 4 5 4 2" xfId="37034"/>
    <cellStyle name="Normal 2 2 2 4 5 4 2 2" xfId="37035"/>
    <cellStyle name="Normal 2 2 2 4 5 4 3" xfId="37036"/>
    <cellStyle name="Normal 2 2 2 4 5 4 4" xfId="37037"/>
    <cellStyle name="Normal 2 2 2 4 5 5" xfId="37038"/>
    <cellStyle name="Normal 2 2 2 4 5 5 2" xfId="37039"/>
    <cellStyle name="Normal 2 2 2 4 5 6" xfId="37040"/>
    <cellStyle name="Normal 2 2 2 4 5 7" xfId="37041"/>
    <cellStyle name="Normal 2 2 2 4 5 8" xfId="37042"/>
    <cellStyle name="Normal 2 2 2 4 6" xfId="37043"/>
    <cellStyle name="Normal 2 2 2 5" xfId="4111"/>
    <cellStyle name="Normal 2 2 2 5 2" xfId="37044"/>
    <cellStyle name="Normal 2 2 2 5 3" xfId="37045"/>
    <cellStyle name="Normal 2 2 2 6" xfId="37046"/>
    <cellStyle name="Normal 2 2 2 6 2" xfId="37047"/>
    <cellStyle name="Normal 2 2 2 6 3" xfId="37048"/>
    <cellStyle name="Normal 2 2 2 7" xfId="37049"/>
    <cellStyle name="Normal 2 2 2 7 2" xfId="37050"/>
    <cellStyle name="Normal 2 2 2 7 3" xfId="37051"/>
    <cellStyle name="Normal 2 2 2 8" xfId="37052"/>
    <cellStyle name="Normal 2 2 2 8 2" xfId="37053"/>
    <cellStyle name="Normal 2 2 2 8 3" xfId="37054"/>
    <cellStyle name="Normal 2 2 2 9" xfId="37055"/>
    <cellStyle name="Normal 2 2 2 9 2" xfId="37056"/>
    <cellStyle name="Normal 2 2 2 9 3" xfId="37057"/>
    <cellStyle name="Normal 2 2 3" xfId="4112"/>
    <cellStyle name="Normal 2 2 3 2" xfId="4113"/>
    <cellStyle name="Normal 2 2 3 2 2" xfId="37058"/>
    <cellStyle name="Normal 2 2 3 2 2 2" xfId="37059"/>
    <cellStyle name="Normal 2 2 3 2 2 2 2" xfId="37060"/>
    <cellStyle name="Normal 2 2 3 2 2 2 2 2" xfId="37061"/>
    <cellStyle name="Normal 2 2 3 2 2 2 2 2 2" xfId="37062"/>
    <cellStyle name="Normal 2 2 3 2 2 2 2 2 3" xfId="37063"/>
    <cellStyle name="Normal 2 2 3 2 2 2 2 3" xfId="37064"/>
    <cellStyle name="Normal 2 2 3 2 2 2 2 3 2" xfId="37065"/>
    <cellStyle name="Normal 2 2 3 2 2 2 2 4" xfId="37066"/>
    <cellStyle name="Normal 2 2 3 2 2 2 2 5" xfId="37067"/>
    <cellStyle name="Normal 2 2 3 2 2 2 3" xfId="37068"/>
    <cellStyle name="Normal 2 2 3 2 2 2 3 2" xfId="37069"/>
    <cellStyle name="Normal 2 2 3 2 2 2 3 2 2" xfId="37070"/>
    <cellStyle name="Normal 2 2 3 2 2 2 3 3" xfId="37071"/>
    <cellStyle name="Normal 2 2 3 2 2 2 3 4" xfId="37072"/>
    <cellStyle name="Normal 2 2 3 2 2 2 4" xfId="37073"/>
    <cellStyle name="Normal 2 2 3 2 2 2 4 2" xfId="37074"/>
    <cellStyle name="Normal 2 2 3 2 2 2 4 2 2" xfId="37075"/>
    <cellStyle name="Normal 2 2 3 2 2 2 4 3" xfId="37076"/>
    <cellStyle name="Normal 2 2 3 2 2 2 4 4" xfId="37077"/>
    <cellStyle name="Normal 2 2 3 2 2 2 5" xfId="37078"/>
    <cellStyle name="Normal 2 2 3 2 2 2 5 2" xfId="37079"/>
    <cellStyle name="Normal 2 2 3 2 2 2 6" xfId="37080"/>
    <cellStyle name="Normal 2 2 3 2 2 2 7" xfId="37081"/>
    <cellStyle name="Normal 2 2 3 2 2 2 8" xfId="37082"/>
    <cellStyle name="Normal 2 2 3 2 2 3" xfId="37083"/>
    <cellStyle name="Normal 2 2 3 2 2 3 2" xfId="37084"/>
    <cellStyle name="Normal 2 2 3 2 2 3 2 2" xfId="37085"/>
    <cellStyle name="Normal 2 2 3 2 2 3 2 2 2" xfId="37086"/>
    <cellStyle name="Normal 2 2 3 2 2 3 2 2 3" xfId="37087"/>
    <cellStyle name="Normal 2 2 3 2 2 3 2 3" xfId="37088"/>
    <cellStyle name="Normal 2 2 3 2 2 3 2 3 2" xfId="37089"/>
    <cellStyle name="Normal 2 2 3 2 2 3 2 4" xfId="37090"/>
    <cellStyle name="Normal 2 2 3 2 2 3 2 5" xfId="37091"/>
    <cellStyle name="Normal 2 2 3 2 2 3 3" xfId="37092"/>
    <cellStyle name="Normal 2 2 3 2 2 3 3 2" xfId="37093"/>
    <cellStyle name="Normal 2 2 3 2 2 3 3 2 2" xfId="37094"/>
    <cellStyle name="Normal 2 2 3 2 2 3 3 3" xfId="37095"/>
    <cellStyle name="Normal 2 2 3 2 2 3 3 4" xfId="37096"/>
    <cellStyle name="Normal 2 2 3 2 2 3 4" xfId="37097"/>
    <cellStyle name="Normal 2 2 3 2 2 3 4 2" xfId="37098"/>
    <cellStyle name="Normal 2 2 3 2 2 3 4 2 2" xfId="37099"/>
    <cellStyle name="Normal 2 2 3 2 2 3 4 3" xfId="37100"/>
    <cellStyle name="Normal 2 2 3 2 2 3 4 4" xfId="37101"/>
    <cellStyle name="Normal 2 2 3 2 2 3 5" xfId="37102"/>
    <cellStyle name="Normal 2 2 3 2 2 3 5 2" xfId="37103"/>
    <cellStyle name="Normal 2 2 3 2 2 3 6" xfId="37104"/>
    <cellStyle name="Normal 2 2 3 2 2 3 7" xfId="37105"/>
    <cellStyle name="Normal 2 2 3 2 2 3 8" xfId="37106"/>
    <cellStyle name="Normal 2 2 3 2 2 4" xfId="37107"/>
    <cellStyle name="Normal 2 2 3 2 2 4 2" xfId="37108"/>
    <cellStyle name="Normal 2 2 3 2 2 4 2 2" xfId="37109"/>
    <cellStyle name="Normal 2 2 3 2 2 4 2 2 2" xfId="37110"/>
    <cellStyle name="Normal 2 2 3 2 2 4 2 2 3" xfId="37111"/>
    <cellStyle name="Normal 2 2 3 2 2 4 2 3" xfId="37112"/>
    <cellStyle name="Normal 2 2 3 2 2 4 2 3 2" xfId="37113"/>
    <cellStyle name="Normal 2 2 3 2 2 4 2 4" xfId="37114"/>
    <cellStyle name="Normal 2 2 3 2 2 4 2 5" xfId="37115"/>
    <cellStyle name="Normal 2 2 3 2 2 4 3" xfId="37116"/>
    <cellStyle name="Normal 2 2 3 2 2 4 3 2" xfId="37117"/>
    <cellStyle name="Normal 2 2 3 2 2 4 3 2 2" xfId="37118"/>
    <cellStyle name="Normal 2 2 3 2 2 4 3 3" xfId="37119"/>
    <cellStyle name="Normal 2 2 3 2 2 4 3 4" xfId="37120"/>
    <cellStyle name="Normal 2 2 3 2 2 4 4" xfId="37121"/>
    <cellStyle name="Normal 2 2 3 2 2 4 4 2" xfId="37122"/>
    <cellStyle name="Normal 2 2 3 2 2 4 4 2 2" xfId="37123"/>
    <cellStyle name="Normal 2 2 3 2 2 4 4 3" xfId="37124"/>
    <cellStyle name="Normal 2 2 3 2 2 4 4 4" xfId="37125"/>
    <cellStyle name="Normal 2 2 3 2 2 4 5" xfId="37126"/>
    <cellStyle name="Normal 2 2 3 2 2 4 5 2" xfId="37127"/>
    <cellStyle name="Normal 2 2 3 2 2 4 6" xfId="37128"/>
    <cellStyle name="Normal 2 2 3 2 2 4 7" xfId="37129"/>
    <cellStyle name="Normal 2 2 3 2 2 4 8" xfId="37130"/>
    <cellStyle name="Normal 2 2 3 2 2 5" xfId="37131"/>
    <cellStyle name="Normal 2 2 3 2 2 6" xfId="37132"/>
    <cellStyle name="Normal 2 2 3 2 3" xfId="37133"/>
    <cellStyle name="Normal 2 2 3 2 3 2" xfId="37134"/>
    <cellStyle name="Normal 2 2 3 2 4" xfId="37135"/>
    <cellStyle name="Normal 2 2 3 2 4 2" xfId="37136"/>
    <cellStyle name="Normal 2 2 3 2 4 2 2" xfId="37137"/>
    <cellStyle name="Normal 2 2 3 2 4 2 2 2" xfId="37138"/>
    <cellStyle name="Normal 2 2 3 2 4 2 2 3" xfId="37139"/>
    <cellStyle name="Normal 2 2 3 2 4 2 3" xfId="37140"/>
    <cellStyle name="Normal 2 2 3 2 4 2 3 2" xfId="37141"/>
    <cellStyle name="Normal 2 2 3 2 4 2 4" xfId="37142"/>
    <cellStyle name="Normal 2 2 3 2 4 2 5" xfId="37143"/>
    <cellStyle name="Normal 2 2 3 2 4 3" xfId="37144"/>
    <cellStyle name="Normal 2 2 3 2 4 3 2" xfId="37145"/>
    <cellStyle name="Normal 2 2 3 2 4 3 2 2" xfId="37146"/>
    <cellStyle name="Normal 2 2 3 2 4 3 3" xfId="37147"/>
    <cellStyle name="Normal 2 2 3 2 4 3 4" xfId="37148"/>
    <cellStyle name="Normal 2 2 3 2 4 4" xfId="37149"/>
    <cellStyle name="Normal 2 2 3 2 4 4 2" xfId="37150"/>
    <cellStyle name="Normal 2 2 3 2 4 4 2 2" xfId="37151"/>
    <cellStyle name="Normal 2 2 3 2 4 4 3" xfId="37152"/>
    <cellStyle name="Normal 2 2 3 2 4 4 4" xfId="37153"/>
    <cellStyle name="Normal 2 2 3 2 4 5" xfId="37154"/>
    <cellStyle name="Normal 2 2 3 2 4 5 2" xfId="37155"/>
    <cellStyle name="Normal 2 2 3 2 4 6" xfId="37156"/>
    <cellStyle name="Normal 2 2 3 2 4 7" xfId="37157"/>
    <cellStyle name="Normal 2 2 3 2 4 8" xfId="37158"/>
    <cellStyle name="Normal 2 2 3 2 5" xfId="37159"/>
    <cellStyle name="Normal 2 2 3 2 5 2" xfId="37160"/>
    <cellStyle name="Normal 2 2 3 2 5 2 2" xfId="37161"/>
    <cellStyle name="Normal 2 2 3 2 5 2 2 2" xfId="37162"/>
    <cellStyle name="Normal 2 2 3 2 5 2 2 3" xfId="37163"/>
    <cellStyle name="Normal 2 2 3 2 5 2 3" xfId="37164"/>
    <cellStyle name="Normal 2 2 3 2 5 2 3 2" xfId="37165"/>
    <cellStyle name="Normal 2 2 3 2 5 2 4" xfId="37166"/>
    <cellStyle name="Normal 2 2 3 2 5 2 5" xfId="37167"/>
    <cellStyle name="Normal 2 2 3 2 5 3" xfId="37168"/>
    <cellStyle name="Normal 2 2 3 2 5 3 2" xfId="37169"/>
    <cellStyle name="Normal 2 2 3 2 5 3 2 2" xfId="37170"/>
    <cellStyle name="Normal 2 2 3 2 5 3 3" xfId="37171"/>
    <cellStyle name="Normal 2 2 3 2 5 3 4" xfId="37172"/>
    <cellStyle name="Normal 2 2 3 2 5 4" xfId="37173"/>
    <cellStyle name="Normal 2 2 3 2 5 4 2" xfId="37174"/>
    <cellStyle name="Normal 2 2 3 2 5 4 2 2" xfId="37175"/>
    <cellStyle name="Normal 2 2 3 2 5 4 3" xfId="37176"/>
    <cellStyle name="Normal 2 2 3 2 5 4 4" xfId="37177"/>
    <cellStyle name="Normal 2 2 3 2 5 5" xfId="37178"/>
    <cellStyle name="Normal 2 2 3 2 5 5 2" xfId="37179"/>
    <cellStyle name="Normal 2 2 3 2 5 6" xfId="37180"/>
    <cellStyle name="Normal 2 2 3 2 5 7" xfId="37181"/>
    <cellStyle name="Normal 2 2 3 2 5 8" xfId="37182"/>
    <cellStyle name="Normal 2 2 3 2 6" xfId="37183"/>
    <cellStyle name="Normal 2 2 3 2 6 2" xfId="37184"/>
    <cellStyle name="Normal 2 2 3 2 6 2 2" xfId="37185"/>
    <cellStyle name="Normal 2 2 3 2 6 2 2 2" xfId="37186"/>
    <cellStyle name="Normal 2 2 3 2 6 2 2 3" xfId="37187"/>
    <cellStyle name="Normal 2 2 3 2 6 2 3" xfId="37188"/>
    <cellStyle name="Normal 2 2 3 2 6 2 3 2" xfId="37189"/>
    <cellStyle name="Normal 2 2 3 2 6 2 4" xfId="37190"/>
    <cellStyle name="Normal 2 2 3 2 6 2 5" xfId="37191"/>
    <cellStyle name="Normal 2 2 3 2 6 3" xfId="37192"/>
    <cellStyle name="Normal 2 2 3 2 6 3 2" xfId="37193"/>
    <cellStyle name="Normal 2 2 3 2 6 3 2 2" xfId="37194"/>
    <cellStyle name="Normal 2 2 3 2 6 3 3" xfId="37195"/>
    <cellStyle name="Normal 2 2 3 2 6 3 4" xfId="37196"/>
    <cellStyle name="Normal 2 2 3 2 6 4" xfId="37197"/>
    <cellStyle name="Normal 2 2 3 2 6 4 2" xfId="37198"/>
    <cellStyle name="Normal 2 2 3 2 6 4 2 2" xfId="37199"/>
    <cellStyle name="Normal 2 2 3 2 6 4 3" xfId="37200"/>
    <cellStyle name="Normal 2 2 3 2 6 4 4" xfId="37201"/>
    <cellStyle name="Normal 2 2 3 2 6 5" xfId="37202"/>
    <cellStyle name="Normal 2 2 3 2 6 5 2" xfId="37203"/>
    <cellStyle name="Normal 2 2 3 2 6 6" xfId="37204"/>
    <cellStyle name="Normal 2 2 3 2 6 7" xfId="37205"/>
    <cellStyle name="Normal 2 2 3 2 6 8" xfId="37206"/>
    <cellStyle name="Normal 2 2 3 3" xfId="4114"/>
    <cellStyle name="Normal 2 2 3 3 2" xfId="37207"/>
    <cellStyle name="Normal 2 2 3 3 2 2" xfId="37208"/>
    <cellStyle name="Normal 2 2 3 3 2 2 2" xfId="37209"/>
    <cellStyle name="Normal 2 2 3 3 2 2 2 2" xfId="37210"/>
    <cellStyle name="Normal 2 2 3 3 2 2 2 3" xfId="37211"/>
    <cellStyle name="Normal 2 2 3 3 2 2 3" xfId="37212"/>
    <cellStyle name="Normal 2 2 3 3 2 2 3 2" xfId="37213"/>
    <cellStyle name="Normal 2 2 3 3 2 2 4" xfId="37214"/>
    <cellStyle name="Normal 2 2 3 3 2 2 5" xfId="37215"/>
    <cellStyle name="Normal 2 2 3 3 2 3" xfId="37216"/>
    <cellStyle name="Normal 2 2 3 3 2 3 2" xfId="37217"/>
    <cellStyle name="Normal 2 2 3 3 2 3 2 2" xfId="37218"/>
    <cellStyle name="Normal 2 2 3 3 2 3 3" xfId="37219"/>
    <cellStyle name="Normal 2 2 3 3 2 3 4" xfId="37220"/>
    <cellStyle name="Normal 2 2 3 3 2 4" xfId="37221"/>
    <cellStyle name="Normal 2 2 3 3 2 4 2" xfId="37222"/>
    <cellStyle name="Normal 2 2 3 3 2 4 2 2" xfId="37223"/>
    <cellStyle name="Normal 2 2 3 3 2 4 3" xfId="37224"/>
    <cellStyle name="Normal 2 2 3 3 2 4 4" xfId="37225"/>
    <cellStyle name="Normal 2 2 3 3 2 5" xfId="37226"/>
    <cellStyle name="Normal 2 2 3 3 2 5 2" xfId="37227"/>
    <cellStyle name="Normal 2 2 3 3 2 6" xfId="37228"/>
    <cellStyle name="Normal 2 2 3 3 2 7" xfId="37229"/>
    <cellStyle name="Normal 2 2 3 3 2 8" xfId="37230"/>
    <cellStyle name="Normal 2 2 3 3 3" xfId="37231"/>
    <cellStyle name="Normal 2 2 3 3 3 2" xfId="37232"/>
    <cellStyle name="Normal 2 2 3 3 3 2 2" xfId="37233"/>
    <cellStyle name="Normal 2 2 3 3 3 2 2 2" xfId="37234"/>
    <cellStyle name="Normal 2 2 3 3 3 2 2 3" xfId="37235"/>
    <cellStyle name="Normal 2 2 3 3 3 2 3" xfId="37236"/>
    <cellStyle name="Normal 2 2 3 3 3 2 3 2" xfId="37237"/>
    <cellStyle name="Normal 2 2 3 3 3 2 4" xfId="37238"/>
    <cellStyle name="Normal 2 2 3 3 3 2 5" xfId="37239"/>
    <cellStyle name="Normal 2 2 3 3 3 3" xfId="37240"/>
    <cellStyle name="Normal 2 2 3 3 3 3 2" xfId="37241"/>
    <cellStyle name="Normal 2 2 3 3 3 3 2 2" xfId="37242"/>
    <cellStyle name="Normal 2 2 3 3 3 3 3" xfId="37243"/>
    <cellStyle name="Normal 2 2 3 3 3 3 4" xfId="37244"/>
    <cellStyle name="Normal 2 2 3 3 3 4" xfId="37245"/>
    <cellStyle name="Normal 2 2 3 3 3 4 2" xfId="37246"/>
    <cellStyle name="Normal 2 2 3 3 3 4 2 2" xfId="37247"/>
    <cellStyle name="Normal 2 2 3 3 3 4 3" xfId="37248"/>
    <cellStyle name="Normal 2 2 3 3 3 4 4" xfId="37249"/>
    <cellStyle name="Normal 2 2 3 3 3 5" xfId="37250"/>
    <cellStyle name="Normal 2 2 3 3 3 5 2" xfId="37251"/>
    <cellStyle name="Normal 2 2 3 3 3 6" xfId="37252"/>
    <cellStyle name="Normal 2 2 3 3 3 7" xfId="37253"/>
    <cellStyle name="Normal 2 2 3 3 3 8" xfId="37254"/>
    <cellStyle name="Normal 2 2 3 3 4" xfId="37255"/>
    <cellStyle name="Normal 2 2 3 3 4 2" xfId="37256"/>
    <cellStyle name="Normal 2 2 3 3 4 2 2" xfId="37257"/>
    <cellStyle name="Normal 2 2 3 3 4 2 2 2" xfId="37258"/>
    <cellStyle name="Normal 2 2 3 3 4 2 2 3" xfId="37259"/>
    <cellStyle name="Normal 2 2 3 3 4 2 3" xfId="37260"/>
    <cellStyle name="Normal 2 2 3 3 4 2 3 2" xfId="37261"/>
    <cellStyle name="Normal 2 2 3 3 4 2 4" xfId="37262"/>
    <cellStyle name="Normal 2 2 3 3 4 2 5" xfId="37263"/>
    <cellStyle name="Normal 2 2 3 3 4 3" xfId="37264"/>
    <cellStyle name="Normal 2 2 3 3 4 3 2" xfId="37265"/>
    <cellStyle name="Normal 2 2 3 3 4 3 2 2" xfId="37266"/>
    <cellStyle name="Normal 2 2 3 3 4 3 3" xfId="37267"/>
    <cellStyle name="Normal 2 2 3 3 4 3 4" xfId="37268"/>
    <cellStyle name="Normal 2 2 3 3 4 4" xfId="37269"/>
    <cellStyle name="Normal 2 2 3 3 4 4 2" xfId="37270"/>
    <cellStyle name="Normal 2 2 3 3 4 4 2 2" xfId="37271"/>
    <cellStyle name="Normal 2 2 3 3 4 4 3" xfId="37272"/>
    <cellStyle name="Normal 2 2 3 3 4 4 4" xfId="37273"/>
    <cellStyle name="Normal 2 2 3 3 4 5" xfId="37274"/>
    <cellStyle name="Normal 2 2 3 3 4 5 2" xfId="37275"/>
    <cellStyle name="Normal 2 2 3 3 4 6" xfId="37276"/>
    <cellStyle name="Normal 2 2 3 3 4 7" xfId="37277"/>
    <cellStyle name="Normal 2 2 3 3 4 8" xfId="37278"/>
    <cellStyle name="Normal 2 2 3 3 5" xfId="37279"/>
    <cellStyle name="Normal 2 2 3 3 6" xfId="37280"/>
    <cellStyle name="Normal 2 2 3 4" xfId="37281"/>
    <cellStyle name="Normal 2 2 3 4 2" xfId="37282"/>
    <cellStyle name="Normal 2 2 3 4 3" xfId="37283"/>
    <cellStyle name="Normal 2 2 3 5" xfId="37284"/>
    <cellStyle name="Normal 2 2 3 5 2" xfId="37285"/>
    <cellStyle name="Normal 2 2 3 6" xfId="37286"/>
    <cellStyle name="Normal 2 2 3 6 2" xfId="37287"/>
    <cellStyle name="Normal 2 2 3 6 2 2" xfId="37288"/>
    <cellStyle name="Normal 2 2 3 6 2 2 2" xfId="37289"/>
    <cellStyle name="Normal 2 2 3 6 2 2 3" xfId="37290"/>
    <cellStyle name="Normal 2 2 3 6 2 3" xfId="37291"/>
    <cellStyle name="Normal 2 2 3 6 2 3 2" xfId="37292"/>
    <cellStyle name="Normal 2 2 3 6 2 4" xfId="37293"/>
    <cellStyle name="Normal 2 2 3 6 2 5" xfId="37294"/>
    <cellStyle name="Normal 2 2 3 6 3" xfId="37295"/>
    <cellStyle name="Normal 2 2 3 6 3 2" xfId="37296"/>
    <cellStyle name="Normal 2 2 3 6 3 2 2" xfId="37297"/>
    <cellStyle name="Normal 2 2 3 6 3 3" xfId="37298"/>
    <cellStyle name="Normal 2 2 3 6 3 4" xfId="37299"/>
    <cellStyle name="Normal 2 2 3 6 4" xfId="37300"/>
    <cellStyle name="Normal 2 2 3 6 4 2" xfId="37301"/>
    <cellStyle name="Normal 2 2 3 6 4 2 2" xfId="37302"/>
    <cellStyle name="Normal 2 2 3 6 4 3" xfId="37303"/>
    <cellStyle name="Normal 2 2 3 6 4 4" xfId="37304"/>
    <cellStyle name="Normal 2 2 3 6 5" xfId="37305"/>
    <cellStyle name="Normal 2 2 3 6 5 2" xfId="37306"/>
    <cellStyle name="Normal 2 2 3 6 6" xfId="37307"/>
    <cellStyle name="Normal 2 2 3 6 7" xfId="37308"/>
    <cellStyle name="Normal 2 2 3 6 8" xfId="37309"/>
    <cellStyle name="Normal 2 2 3 7" xfId="37310"/>
    <cellStyle name="Normal 2 2 3 7 2" xfId="37311"/>
    <cellStyle name="Normal 2 2 3 7 2 2" xfId="37312"/>
    <cellStyle name="Normal 2 2 3 7 2 2 2" xfId="37313"/>
    <cellStyle name="Normal 2 2 3 7 2 2 3" xfId="37314"/>
    <cellStyle name="Normal 2 2 3 7 2 3" xfId="37315"/>
    <cellStyle name="Normal 2 2 3 7 2 3 2" xfId="37316"/>
    <cellStyle name="Normal 2 2 3 7 2 4" xfId="37317"/>
    <cellStyle name="Normal 2 2 3 7 2 5" xfId="37318"/>
    <cellStyle name="Normal 2 2 3 7 3" xfId="37319"/>
    <cellStyle name="Normal 2 2 3 7 3 2" xfId="37320"/>
    <cellStyle name="Normal 2 2 3 7 3 2 2" xfId="37321"/>
    <cellStyle name="Normal 2 2 3 7 3 3" xfId="37322"/>
    <cellStyle name="Normal 2 2 3 7 3 4" xfId="37323"/>
    <cellStyle name="Normal 2 2 3 7 4" xfId="37324"/>
    <cellStyle name="Normal 2 2 3 7 4 2" xfId="37325"/>
    <cellStyle name="Normal 2 2 3 7 4 2 2" xfId="37326"/>
    <cellStyle name="Normal 2 2 3 7 4 3" xfId="37327"/>
    <cellStyle name="Normal 2 2 3 7 4 4" xfId="37328"/>
    <cellStyle name="Normal 2 2 3 7 5" xfId="37329"/>
    <cellStyle name="Normal 2 2 3 7 5 2" xfId="37330"/>
    <cellStyle name="Normal 2 2 3 7 6" xfId="37331"/>
    <cellStyle name="Normal 2 2 3 7 7" xfId="37332"/>
    <cellStyle name="Normal 2 2 3 7 8" xfId="37333"/>
    <cellStyle name="Normal 2 2 3 8" xfId="37334"/>
    <cellStyle name="Normal 2 2 3 8 2" xfId="37335"/>
    <cellStyle name="Normal 2 2 3 8 2 2" xfId="37336"/>
    <cellStyle name="Normal 2 2 3 8 2 2 2" xfId="37337"/>
    <cellStyle name="Normal 2 2 3 8 2 2 3" xfId="37338"/>
    <cellStyle name="Normal 2 2 3 8 2 3" xfId="37339"/>
    <cellStyle name="Normal 2 2 3 8 2 3 2" xfId="37340"/>
    <cellStyle name="Normal 2 2 3 8 2 4" xfId="37341"/>
    <cellStyle name="Normal 2 2 3 8 2 5" xfId="37342"/>
    <cellStyle name="Normal 2 2 3 8 3" xfId="37343"/>
    <cellStyle name="Normal 2 2 3 8 3 2" xfId="37344"/>
    <cellStyle name="Normal 2 2 3 8 3 2 2" xfId="37345"/>
    <cellStyle name="Normal 2 2 3 8 3 3" xfId="37346"/>
    <cellStyle name="Normal 2 2 3 8 3 4" xfId="37347"/>
    <cellStyle name="Normal 2 2 3 8 4" xfId="37348"/>
    <cellStyle name="Normal 2 2 3 8 4 2" xfId="37349"/>
    <cellStyle name="Normal 2 2 3 8 4 2 2" xfId="37350"/>
    <cellStyle name="Normal 2 2 3 8 4 3" xfId="37351"/>
    <cellStyle name="Normal 2 2 3 8 4 4" xfId="37352"/>
    <cellStyle name="Normal 2 2 3 8 5" xfId="37353"/>
    <cellStyle name="Normal 2 2 3 8 5 2" xfId="37354"/>
    <cellStyle name="Normal 2 2 3 8 6" xfId="37355"/>
    <cellStyle name="Normal 2 2 3 8 7" xfId="37356"/>
    <cellStyle name="Normal 2 2 3 8 8" xfId="37357"/>
    <cellStyle name="Normal 2 2 3 9" xfId="37358"/>
    <cellStyle name="Normal 2 2 3_Dakota Panel" xfId="37359"/>
    <cellStyle name="Normal 2 2 4" xfId="4115"/>
    <cellStyle name="Normal 2 2 4 2" xfId="37360"/>
    <cellStyle name="Normal 2 2 4 2 2" xfId="37361"/>
    <cellStyle name="Normal 2 2 4 2 2 2" xfId="37362"/>
    <cellStyle name="Normal 2 2 4 2 3" xfId="37363"/>
    <cellStyle name="Normal 2 2 4 2 3 2" xfId="37364"/>
    <cellStyle name="Normal 2 2 4 2 3 2 2" xfId="37365"/>
    <cellStyle name="Normal 2 2 4 2 3 2 2 2" xfId="37366"/>
    <cellStyle name="Normal 2 2 4 2 3 2 2 3" xfId="37367"/>
    <cellStyle name="Normal 2 2 4 2 3 2 3" xfId="37368"/>
    <cellStyle name="Normal 2 2 4 2 3 2 3 2" xfId="37369"/>
    <cellStyle name="Normal 2 2 4 2 3 2 4" xfId="37370"/>
    <cellStyle name="Normal 2 2 4 2 3 2 5" xfId="37371"/>
    <cellStyle name="Normal 2 2 4 2 3 3" xfId="37372"/>
    <cellStyle name="Normal 2 2 4 2 3 3 2" xfId="37373"/>
    <cellStyle name="Normal 2 2 4 2 3 3 2 2" xfId="37374"/>
    <cellStyle name="Normal 2 2 4 2 3 3 3" xfId="37375"/>
    <cellStyle name="Normal 2 2 4 2 3 3 4" xfId="37376"/>
    <cellStyle name="Normal 2 2 4 2 3 4" xfId="37377"/>
    <cellStyle name="Normal 2 2 4 2 3 4 2" xfId="37378"/>
    <cellStyle name="Normal 2 2 4 2 3 4 2 2" xfId="37379"/>
    <cellStyle name="Normal 2 2 4 2 3 4 3" xfId="37380"/>
    <cellStyle name="Normal 2 2 4 2 3 4 4" xfId="37381"/>
    <cellStyle name="Normal 2 2 4 2 3 5" xfId="37382"/>
    <cellStyle name="Normal 2 2 4 2 3 5 2" xfId="37383"/>
    <cellStyle name="Normal 2 2 4 2 3 6" xfId="37384"/>
    <cellStyle name="Normal 2 2 4 2 3 7" xfId="37385"/>
    <cellStyle name="Normal 2 2 4 2 3 8" xfId="37386"/>
    <cellStyle name="Normal 2 2 4 2 4" xfId="37387"/>
    <cellStyle name="Normal 2 2 4 2 4 2" xfId="37388"/>
    <cellStyle name="Normal 2 2 4 2 4 2 2" xfId="37389"/>
    <cellStyle name="Normal 2 2 4 2 4 2 2 2" xfId="37390"/>
    <cellStyle name="Normal 2 2 4 2 4 2 2 3" xfId="37391"/>
    <cellStyle name="Normal 2 2 4 2 4 2 3" xfId="37392"/>
    <cellStyle name="Normal 2 2 4 2 4 2 3 2" xfId="37393"/>
    <cellStyle name="Normal 2 2 4 2 4 2 4" xfId="37394"/>
    <cellStyle name="Normal 2 2 4 2 4 2 5" xfId="37395"/>
    <cellStyle name="Normal 2 2 4 2 4 3" xfId="37396"/>
    <cellStyle name="Normal 2 2 4 2 4 3 2" xfId="37397"/>
    <cellStyle name="Normal 2 2 4 2 4 3 2 2" xfId="37398"/>
    <cellStyle name="Normal 2 2 4 2 4 3 3" xfId="37399"/>
    <cellStyle name="Normal 2 2 4 2 4 3 4" xfId="37400"/>
    <cellStyle name="Normal 2 2 4 2 4 4" xfId="37401"/>
    <cellStyle name="Normal 2 2 4 2 4 4 2" xfId="37402"/>
    <cellStyle name="Normal 2 2 4 2 4 4 2 2" xfId="37403"/>
    <cellStyle name="Normal 2 2 4 2 4 4 3" xfId="37404"/>
    <cellStyle name="Normal 2 2 4 2 4 4 4" xfId="37405"/>
    <cellStyle name="Normal 2 2 4 2 4 5" xfId="37406"/>
    <cellStyle name="Normal 2 2 4 2 4 5 2" xfId="37407"/>
    <cellStyle name="Normal 2 2 4 2 4 6" xfId="37408"/>
    <cellStyle name="Normal 2 2 4 2 4 7" xfId="37409"/>
    <cellStyle name="Normal 2 2 4 2 4 8" xfId="37410"/>
    <cellStyle name="Normal 2 2 4 2 5" xfId="37411"/>
    <cellStyle name="Normal 2 2 4 2 5 2" xfId="37412"/>
    <cellStyle name="Normal 2 2 4 2 5 2 2" xfId="37413"/>
    <cellStyle name="Normal 2 2 4 2 5 2 2 2" xfId="37414"/>
    <cellStyle name="Normal 2 2 4 2 5 2 2 3" xfId="37415"/>
    <cellStyle name="Normal 2 2 4 2 5 2 3" xfId="37416"/>
    <cellStyle name="Normal 2 2 4 2 5 2 3 2" xfId="37417"/>
    <cellStyle name="Normal 2 2 4 2 5 2 4" xfId="37418"/>
    <cellStyle name="Normal 2 2 4 2 5 2 5" xfId="37419"/>
    <cellStyle name="Normal 2 2 4 2 5 3" xfId="37420"/>
    <cellStyle name="Normal 2 2 4 2 5 3 2" xfId="37421"/>
    <cellStyle name="Normal 2 2 4 2 5 3 2 2" xfId="37422"/>
    <cellStyle name="Normal 2 2 4 2 5 3 3" xfId="37423"/>
    <cellStyle name="Normal 2 2 4 2 5 3 4" xfId="37424"/>
    <cellStyle name="Normal 2 2 4 2 5 4" xfId="37425"/>
    <cellStyle name="Normal 2 2 4 2 5 4 2" xfId="37426"/>
    <cellStyle name="Normal 2 2 4 2 5 4 2 2" xfId="37427"/>
    <cellStyle name="Normal 2 2 4 2 5 4 3" xfId="37428"/>
    <cellStyle name="Normal 2 2 4 2 5 4 4" xfId="37429"/>
    <cellStyle name="Normal 2 2 4 2 5 5" xfId="37430"/>
    <cellStyle name="Normal 2 2 4 2 5 5 2" xfId="37431"/>
    <cellStyle name="Normal 2 2 4 2 5 6" xfId="37432"/>
    <cellStyle name="Normal 2 2 4 2 5 7" xfId="37433"/>
    <cellStyle name="Normal 2 2 4 2 5 8" xfId="37434"/>
    <cellStyle name="Normal 2 2 4 3" xfId="37435"/>
    <cellStyle name="Normal 2 2 4 3 2" xfId="37436"/>
    <cellStyle name="Normal 2 2 4 3 3" xfId="37437"/>
    <cellStyle name="Normal 2 2 4 4" xfId="37438"/>
    <cellStyle name="Normal 2 2 4 4 2" xfId="37439"/>
    <cellStyle name="Normal 2 2 4 4 2 2" xfId="37440"/>
    <cellStyle name="Normal 2 2 4 4 2 2 2" xfId="37441"/>
    <cellStyle name="Normal 2 2 4 4 2 2 3" xfId="37442"/>
    <cellStyle name="Normal 2 2 4 4 2 3" xfId="37443"/>
    <cellStyle name="Normal 2 2 4 4 2 3 2" xfId="37444"/>
    <cellStyle name="Normal 2 2 4 4 2 4" xfId="37445"/>
    <cellStyle name="Normal 2 2 4 4 2 5" xfId="37446"/>
    <cellStyle name="Normal 2 2 4 4 3" xfId="37447"/>
    <cellStyle name="Normal 2 2 4 4 3 2" xfId="37448"/>
    <cellStyle name="Normal 2 2 4 4 3 2 2" xfId="37449"/>
    <cellStyle name="Normal 2 2 4 4 3 3" xfId="37450"/>
    <cellStyle name="Normal 2 2 4 4 3 4" xfId="37451"/>
    <cellStyle name="Normal 2 2 4 4 4" xfId="37452"/>
    <cellStyle name="Normal 2 2 4 4 4 2" xfId="37453"/>
    <cellStyle name="Normal 2 2 4 4 4 2 2" xfId="37454"/>
    <cellStyle name="Normal 2 2 4 4 4 3" xfId="37455"/>
    <cellStyle name="Normal 2 2 4 4 4 4" xfId="37456"/>
    <cellStyle name="Normal 2 2 4 4 5" xfId="37457"/>
    <cellStyle name="Normal 2 2 4 4 5 2" xfId="37458"/>
    <cellStyle name="Normal 2 2 4 4 6" xfId="37459"/>
    <cellStyle name="Normal 2 2 4 4 7" xfId="37460"/>
    <cellStyle name="Normal 2 2 4 4 8" xfId="37461"/>
    <cellStyle name="Normal 2 2 4 5" xfId="37462"/>
    <cellStyle name="Normal 2 2 4 5 2" xfId="37463"/>
    <cellStyle name="Normal 2 2 4 5 2 2" xfId="37464"/>
    <cellStyle name="Normal 2 2 4 5 2 2 2" xfId="37465"/>
    <cellStyle name="Normal 2 2 4 5 2 2 3" xfId="37466"/>
    <cellStyle name="Normal 2 2 4 5 2 3" xfId="37467"/>
    <cellStyle name="Normal 2 2 4 5 2 3 2" xfId="37468"/>
    <cellStyle name="Normal 2 2 4 5 2 4" xfId="37469"/>
    <cellStyle name="Normal 2 2 4 5 2 5" xfId="37470"/>
    <cellStyle name="Normal 2 2 4 5 3" xfId="37471"/>
    <cellStyle name="Normal 2 2 4 5 3 2" xfId="37472"/>
    <cellStyle name="Normal 2 2 4 5 3 2 2" xfId="37473"/>
    <cellStyle name="Normal 2 2 4 5 3 3" xfId="37474"/>
    <cellStyle name="Normal 2 2 4 5 3 4" xfId="37475"/>
    <cellStyle name="Normal 2 2 4 5 4" xfId="37476"/>
    <cellStyle name="Normal 2 2 4 5 4 2" xfId="37477"/>
    <cellStyle name="Normal 2 2 4 5 4 2 2" xfId="37478"/>
    <cellStyle name="Normal 2 2 4 5 4 3" xfId="37479"/>
    <cellStyle name="Normal 2 2 4 5 4 4" xfId="37480"/>
    <cellStyle name="Normal 2 2 4 5 5" xfId="37481"/>
    <cellStyle name="Normal 2 2 4 5 5 2" xfId="37482"/>
    <cellStyle name="Normal 2 2 4 5 6" xfId="37483"/>
    <cellStyle name="Normal 2 2 4 5 7" xfId="37484"/>
    <cellStyle name="Normal 2 2 4 5 8" xfId="37485"/>
    <cellStyle name="Normal 2 2 4 6" xfId="37486"/>
    <cellStyle name="Normal 2 2 4 6 2" xfId="37487"/>
    <cellStyle name="Normal 2 2 4 6 2 2" xfId="37488"/>
    <cellStyle name="Normal 2 2 4 6 2 2 2" xfId="37489"/>
    <cellStyle name="Normal 2 2 4 6 2 2 3" xfId="37490"/>
    <cellStyle name="Normal 2 2 4 6 2 3" xfId="37491"/>
    <cellStyle name="Normal 2 2 4 6 2 3 2" xfId="37492"/>
    <cellStyle name="Normal 2 2 4 6 2 4" xfId="37493"/>
    <cellStyle name="Normal 2 2 4 6 2 5" xfId="37494"/>
    <cellStyle name="Normal 2 2 4 6 3" xfId="37495"/>
    <cellStyle name="Normal 2 2 4 6 3 2" xfId="37496"/>
    <cellStyle name="Normal 2 2 4 6 3 2 2" xfId="37497"/>
    <cellStyle name="Normal 2 2 4 6 3 3" xfId="37498"/>
    <cellStyle name="Normal 2 2 4 6 3 4" xfId="37499"/>
    <cellStyle name="Normal 2 2 4 6 4" xfId="37500"/>
    <cellStyle name="Normal 2 2 4 6 4 2" xfId="37501"/>
    <cellStyle name="Normal 2 2 4 6 4 2 2" xfId="37502"/>
    <cellStyle name="Normal 2 2 4 6 4 3" xfId="37503"/>
    <cellStyle name="Normal 2 2 4 6 4 4" xfId="37504"/>
    <cellStyle name="Normal 2 2 4 6 5" xfId="37505"/>
    <cellStyle name="Normal 2 2 4 6 5 2" xfId="37506"/>
    <cellStyle name="Normal 2 2 4 6 6" xfId="37507"/>
    <cellStyle name="Normal 2 2 4 6 7" xfId="37508"/>
    <cellStyle name="Normal 2 2 4 6 8" xfId="37509"/>
    <cellStyle name="Normal 2 2 4 7" xfId="37510"/>
    <cellStyle name="Normal 2 2 5" xfId="4116"/>
    <cellStyle name="Normal 2 2 5 2" xfId="4117"/>
    <cellStyle name="Normal 2 2 5 2 2" xfId="4118"/>
    <cellStyle name="Normal 2 2 5 2 2 2" xfId="4119"/>
    <cellStyle name="Normal 2 2 5 2 3" xfId="4120"/>
    <cellStyle name="Normal 2 2 5 3" xfId="4121"/>
    <cellStyle name="Normal 2 2 5 3 2" xfId="4122"/>
    <cellStyle name="Normal 2 2 5 3 3" xfId="37511"/>
    <cellStyle name="Normal 2 2 5 4" xfId="4123"/>
    <cellStyle name="Normal 2 2 5 4 2" xfId="37512"/>
    <cellStyle name="Normal 2 2 5 4 2 2" xfId="37513"/>
    <cellStyle name="Normal 2 2 5 4 2 2 2" xfId="37514"/>
    <cellStyle name="Normal 2 2 5 4 2 2 3" xfId="37515"/>
    <cellStyle name="Normal 2 2 5 4 2 3" xfId="37516"/>
    <cellStyle name="Normal 2 2 5 4 2 3 2" xfId="37517"/>
    <cellStyle name="Normal 2 2 5 4 2 4" xfId="37518"/>
    <cellStyle name="Normal 2 2 5 4 2 5" xfId="37519"/>
    <cellStyle name="Normal 2 2 5 4 3" xfId="37520"/>
    <cellStyle name="Normal 2 2 5 4 3 2" xfId="37521"/>
    <cellStyle name="Normal 2 2 5 4 3 2 2" xfId="37522"/>
    <cellStyle name="Normal 2 2 5 4 3 3" xfId="37523"/>
    <cellStyle name="Normal 2 2 5 4 3 4" xfId="37524"/>
    <cellStyle name="Normal 2 2 5 4 4" xfId="37525"/>
    <cellStyle name="Normal 2 2 5 4 4 2" xfId="37526"/>
    <cellStyle name="Normal 2 2 5 4 4 2 2" xfId="37527"/>
    <cellStyle name="Normal 2 2 5 4 4 3" xfId="37528"/>
    <cellStyle name="Normal 2 2 5 4 4 4" xfId="37529"/>
    <cellStyle name="Normal 2 2 5 4 5" xfId="37530"/>
    <cellStyle name="Normal 2 2 5 4 5 2" xfId="37531"/>
    <cellStyle name="Normal 2 2 5 4 6" xfId="37532"/>
    <cellStyle name="Normal 2 2 5 4 7" xfId="37533"/>
    <cellStyle name="Normal 2 2 5 4 8" xfId="37534"/>
    <cellStyle name="Normal 2 2 5 5" xfId="37535"/>
    <cellStyle name="Normal 2 2 5 5 2" xfId="37536"/>
    <cellStyle name="Normal 2 2 5 5 2 2" xfId="37537"/>
    <cellStyle name="Normal 2 2 5 5 2 2 2" xfId="37538"/>
    <cellStyle name="Normal 2 2 5 5 2 2 3" xfId="37539"/>
    <cellStyle name="Normal 2 2 5 5 2 3" xfId="37540"/>
    <cellStyle name="Normal 2 2 5 5 2 3 2" xfId="37541"/>
    <cellStyle name="Normal 2 2 5 5 2 4" xfId="37542"/>
    <cellStyle name="Normal 2 2 5 5 2 5" xfId="37543"/>
    <cellStyle name="Normal 2 2 5 5 3" xfId="37544"/>
    <cellStyle name="Normal 2 2 5 5 3 2" xfId="37545"/>
    <cellStyle name="Normal 2 2 5 5 3 2 2" xfId="37546"/>
    <cellStyle name="Normal 2 2 5 5 3 3" xfId="37547"/>
    <cellStyle name="Normal 2 2 5 5 3 4" xfId="37548"/>
    <cellStyle name="Normal 2 2 5 5 4" xfId="37549"/>
    <cellStyle name="Normal 2 2 5 5 4 2" xfId="37550"/>
    <cellStyle name="Normal 2 2 5 5 4 2 2" xfId="37551"/>
    <cellStyle name="Normal 2 2 5 5 4 3" xfId="37552"/>
    <cellStyle name="Normal 2 2 5 5 4 4" xfId="37553"/>
    <cellStyle name="Normal 2 2 5 5 5" xfId="37554"/>
    <cellStyle name="Normal 2 2 5 5 5 2" xfId="37555"/>
    <cellStyle name="Normal 2 2 5 5 6" xfId="37556"/>
    <cellStyle name="Normal 2 2 5 5 7" xfId="37557"/>
    <cellStyle name="Normal 2 2 5 5 8" xfId="37558"/>
    <cellStyle name="Normal 2 2 5 6" xfId="37559"/>
    <cellStyle name="Normal 2 2 5 6 2" xfId="37560"/>
    <cellStyle name="Normal 2 2 5 6 2 2" xfId="37561"/>
    <cellStyle name="Normal 2 2 5 6 2 2 2" xfId="37562"/>
    <cellStyle name="Normal 2 2 5 6 2 2 3" xfId="37563"/>
    <cellStyle name="Normal 2 2 5 6 2 3" xfId="37564"/>
    <cellStyle name="Normal 2 2 5 6 2 3 2" xfId="37565"/>
    <cellStyle name="Normal 2 2 5 6 2 4" xfId="37566"/>
    <cellStyle name="Normal 2 2 5 6 2 5" xfId="37567"/>
    <cellStyle name="Normal 2 2 5 6 3" xfId="37568"/>
    <cellStyle name="Normal 2 2 5 6 3 2" xfId="37569"/>
    <cellStyle name="Normal 2 2 5 6 3 2 2" xfId="37570"/>
    <cellStyle name="Normal 2 2 5 6 3 3" xfId="37571"/>
    <cellStyle name="Normal 2 2 5 6 3 4" xfId="37572"/>
    <cellStyle name="Normal 2 2 5 6 4" xfId="37573"/>
    <cellStyle name="Normal 2 2 5 6 4 2" xfId="37574"/>
    <cellStyle name="Normal 2 2 5 6 4 2 2" xfId="37575"/>
    <cellStyle name="Normal 2 2 5 6 4 3" xfId="37576"/>
    <cellStyle name="Normal 2 2 5 6 4 4" xfId="37577"/>
    <cellStyle name="Normal 2 2 5 6 5" xfId="37578"/>
    <cellStyle name="Normal 2 2 5 6 5 2" xfId="37579"/>
    <cellStyle name="Normal 2 2 5 6 6" xfId="37580"/>
    <cellStyle name="Normal 2 2 5 6 7" xfId="37581"/>
    <cellStyle name="Normal 2 2 5 6 8" xfId="37582"/>
    <cellStyle name="Normal 2 2 6" xfId="4124"/>
    <cellStyle name="Normal 2 2 6 2" xfId="4125"/>
    <cellStyle name="Normal 2 2 6 2 2" xfId="4126"/>
    <cellStyle name="Normal 2 2 6 3" xfId="4127"/>
    <cellStyle name="Normal 2 2 7" xfId="4128"/>
    <cellStyle name="Normal 2 2 7 2" xfId="4129"/>
    <cellStyle name="Normal 2 2 7 3" xfId="37583"/>
    <cellStyle name="Normal 2 2 8" xfId="4130"/>
    <cellStyle name="Normal 2 2 8 2" xfId="37584"/>
    <cellStyle name="Normal 2 2 8 3" xfId="37585"/>
    <cellStyle name="Normal 2 2 9" xfId="37586"/>
    <cellStyle name="Normal 2 2 9 2" xfId="37587"/>
    <cellStyle name="Normal 2 2 9 3" xfId="37588"/>
    <cellStyle name="Normal 2 2_BHP 4Q 2010 Ops Review Senior Managment " xfId="37589"/>
    <cellStyle name="Normal 2 20" xfId="4131"/>
    <cellStyle name="Normal 2 20 2" xfId="4132"/>
    <cellStyle name="Normal 2 21" xfId="4133"/>
    <cellStyle name="Normal 2 21 2" xfId="4134"/>
    <cellStyle name="Normal 2 22" xfId="4135"/>
    <cellStyle name="Normal 2 22 2" xfId="4136"/>
    <cellStyle name="Normal 2 22 2 2" xfId="4137"/>
    <cellStyle name="Normal 2 22 3" xfId="4138"/>
    <cellStyle name="Normal 2 22 3 2" xfId="4139"/>
    <cellStyle name="Normal 2 22 4" xfId="4140"/>
    <cellStyle name="Normal 2 23" xfId="4141"/>
    <cellStyle name="Normal 2 23 2" xfId="4142"/>
    <cellStyle name="Normal 2 23 3" xfId="4143"/>
    <cellStyle name="Normal 2 24" xfId="4144"/>
    <cellStyle name="Normal 2 25" xfId="4145"/>
    <cellStyle name="Normal 2 25 2" xfId="4146"/>
    <cellStyle name="Normal 2 25 2 2" xfId="4147"/>
    <cellStyle name="Normal 2 25 3" xfId="4148"/>
    <cellStyle name="Normal 2 26" xfId="4149"/>
    <cellStyle name="Normal 2 27" xfId="4150"/>
    <cellStyle name="Normal 2 27 2" xfId="4151"/>
    <cellStyle name="Normal 2 28" xfId="4152"/>
    <cellStyle name="Normal 2 28 2" xfId="4153"/>
    <cellStyle name="Normal 2 28 2 2" xfId="4154"/>
    <cellStyle name="Normal 2 28 2 2 2" xfId="4155"/>
    <cellStyle name="Normal 2 28 2 2 2 2" xfId="4156"/>
    <cellStyle name="Normal 2 28 2 2 3" xfId="4157"/>
    <cellStyle name="Normal 2 28 2 3" xfId="4158"/>
    <cellStyle name="Normal 2 28 3" xfId="4159"/>
    <cellStyle name="Normal 2 28 3 2" xfId="4160"/>
    <cellStyle name="Normal 2 28 4" xfId="4161"/>
    <cellStyle name="Normal 2 29" xfId="4162"/>
    <cellStyle name="Normal 2 3" xfId="4"/>
    <cellStyle name="Normal 2 3 10" xfId="37590"/>
    <cellStyle name="Normal 2 3 10 2" xfId="37591"/>
    <cellStyle name="Normal 2 3 11" xfId="37592"/>
    <cellStyle name="Normal 2 3 11 2" xfId="37593"/>
    <cellStyle name="Normal 2 3 11 2 2" xfId="37594"/>
    <cellStyle name="Normal 2 3 11 2 2 2" xfId="37595"/>
    <cellStyle name="Normal 2 3 11 2 2 3" xfId="37596"/>
    <cellStyle name="Normal 2 3 11 2 3" xfId="37597"/>
    <cellStyle name="Normal 2 3 11 2 3 2" xfId="37598"/>
    <cellStyle name="Normal 2 3 11 2 4" xfId="37599"/>
    <cellStyle name="Normal 2 3 11 2 5" xfId="37600"/>
    <cellStyle name="Normal 2 3 11 3" xfId="37601"/>
    <cellStyle name="Normal 2 3 11 3 2" xfId="37602"/>
    <cellStyle name="Normal 2 3 11 3 2 2" xfId="37603"/>
    <cellStyle name="Normal 2 3 11 3 3" xfId="37604"/>
    <cellStyle name="Normal 2 3 11 3 4" xfId="37605"/>
    <cellStyle name="Normal 2 3 11 4" xfId="37606"/>
    <cellStyle name="Normal 2 3 11 4 2" xfId="37607"/>
    <cellStyle name="Normal 2 3 11 4 2 2" xfId="37608"/>
    <cellStyle name="Normal 2 3 11 4 3" xfId="37609"/>
    <cellStyle name="Normal 2 3 11 4 4" xfId="37610"/>
    <cellStyle name="Normal 2 3 11 5" xfId="37611"/>
    <cellStyle name="Normal 2 3 11 5 2" xfId="37612"/>
    <cellStyle name="Normal 2 3 11 6" xfId="37613"/>
    <cellStyle name="Normal 2 3 11 7" xfId="37614"/>
    <cellStyle name="Normal 2 3 11 8" xfId="37615"/>
    <cellStyle name="Normal 2 3 12" xfId="37616"/>
    <cellStyle name="Normal 2 3 12 2" xfId="37617"/>
    <cellStyle name="Normal 2 3 12 2 2" xfId="37618"/>
    <cellStyle name="Normal 2 3 12 2 2 2" xfId="37619"/>
    <cellStyle name="Normal 2 3 12 2 2 3" xfId="37620"/>
    <cellStyle name="Normal 2 3 12 2 3" xfId="37621"/>
    <cellStyle name="Normal 2 3 12 2 3 2" xfId="37622"/>
    <cellStyle name="Normal 2 3 12 2 4" xfId="37623"/>
    <cellStyle name="Normal 2 3 12 2 5" xfId="37624"/>
    <cellStyle name="Normal 2 3 12 3" xfId="37625"/>
    <cellStyle name="Normal 2 3 12 3 2" xfId="37626"/>
    <cellStyle name="Normal 2 3 12 3 2 2" xfId="37627"/>
    <cellStyle name="Normal 2 3 12 3 3" xfId="37628"/>
    <cellStyle name="Normal 2 3 12 3 4" xfId="37629"/>
    <cellStyle name="Normal 2 3 12 4" xfId="37630"/>
    <cellStyle name="Normal 2 3 12 4 2" xfId="37631"/>
    <cellStyle name="Normal 2 3 12 4 2 2" xfId="37632"/>
    <cellStyle name="Normal 2 3 12 4 3" xfId="37633"/>
    <cellStyle name="Normal 2 3 12 4 4" xfId="37634"/>
    <cellStyle name="Normal 2 3 12 5" xfId="37635"/>
    <cellStyle name="Normal 2 3 12 5 2" xfId="37636"/>
    <cellStyle name="Normal 2 3 12 6" xfId="37637"/>
    <cellStyle name="Normal 2 3 12 7" xfId="37638"/>
    <cellStyle name="Normal 2 3 12 8" xfId="37639"/>
    <cellStyle name="Normal 2 3 13" xfId="37640"/>
    <cellStyle name="Normal 2 3 13 2" xfId="37641"/>
    <cellStyle name="Normal 2 3 13 2 2" xfId="37642"/>
    <cellStyle name="Normal 2 3 13 2 2 2" xfId="37643"/>
    <cellStyle name="Normal 2 3 13 2 2 3" xfId="37644"/>
    <cellStyle name="Normal 2 3 13 2 3" xfId="37645"/>
    <cellStyle name="Normal 2 3 13 2 3 2" xfId="37646"/>
    <cellStyle name="Normal 2 3 13 2 4" xfId="37647"/>
    <cellStyle name="Normal 2 3 13 2 5" xfId="37648"/>
    <cellStyle name="Normal 2 3 13 3" xfId="37649"/>
    <cellStyle name="Normal 2 3 13 3 2" xfId="37650"/>
    <cellStyle name="Normal 2 3 13 3 2 2" xfId="37651"/>
    <cellStyle name="Normal 2 3 13 3 3" xfId="37652"/>
    <cellStyle name="Normal 2 3 13 3 4" xfId="37653"/>
    <cellStyle name="Normal 2 3 13 4" xfId="37654"/>
    <cellStyle name="Normal 2 3 13 4 2" xfId="37655"/>
    <cellStyle name="Normal 2 3 13 4 2 2" xfId="37656"/>
    <cellStyle name="Normal 2 3 13 4 3" xfId="37657"/>
    <cellStyle name="Normal 2 3 13 4 4" xfId="37658"/>
    <cellStyle name="Normal 2 3 13 5" xfId="37659"/>
    <cellStyle name="Normal 2 3 13 5 2" xfId="37660"/>
    <cellStyle name="Normal 2 3 13 6" xfId="37661"/>
    <cellStyle name="Normal 2 3 13 7" xfId="37662"/>
    <cellStyle name="Normal 2 3 13 8" xfId="37663"/>
    <cellStyle name="Normal 2 3 14" xfId="37664"/>
    <cellStyle name="Normal 2 3 15" xfId="37665"/>
    <cellStyle name="Normal 2 3 2" xfId="130"/>
    <cellStyle name="Normal 2 3 2 2" xfId="37666"/>
    <cellStyle name="Normal 2 3 2 2 2" xfId="37667"/>
    <cellStyle name="Normal 2 3 2 2 2 2" xfId="37668"/>
    <cellStyle name="Normal 2 3 2 2 2 2 2" xfId="37669"/>
    <cellStyle name="Normal 2 3 2 2 2 2 2 2" xfId="37670"/>
    <cellStyle name="Normal 2 3 2 2 2 2 2 2 2" xfId="37671"/>
    <cellStyle name="Normal 2 3 2 2 2 2 2 2 3" xfId="37672"/>
    <cellStyle name="Normal 2 3 2 2 2 2 2 3" xfId="37673"/>
    <cellStyle name="Normal 2 3 2 2 2 2 2 3 2" xfId="37674"/>
    <cellStyle name="Normal 2 3 2 2 2 2 2 4" xfId="37675"/>
    <cellStyle name="Normal 2 3 2 2 2 2 2 5" xfId="37676"/>
    <cellStyle name="Normal 2 3 2 2 2 2 3" xfId="37677"/>
    <cellStyle name="Normal 2 3 2 2 2 2 3 2" xfId="37678"/>
    <cellStyle name="Normal 2 3 2 2 2 2 3 2 2" xfId="37679"/>
    <cellStyle name="Normal 2 3 2 2 2 2 3 3" xfId="37680"/>
    <cellStyle name="Normal 2 3 2 2 2 2 3 4" xfId="37681"/>
    <cellStyle name="Normal 2 3 2 2 2 2 4" xfId="37682"/>
    <cellStyle name="Normal 2 3 2 2 2 2 4 2" xfId="37683"/>
    <cellStyle name="Normal 2 3 2 2 2 2 4 2 2" xfId="37684"/>
    <cellStyle name="Normal 2 3 2 2 2 2 4 3" xfId="37685"/>
    <cellStyle name="Normal 2 3 2 2 2 2 4 4" xfId="37686"/>
    <cellStyle name="Normal 2 3 2 2 2 2 5" xfId="37687"/>
    <cellStyle name="Normal 2 3 2 2 2 2 5 2" xfId="37688"/>
    <cellStyle name="Normal 2 3 2 2 2 2 6" xfId="37689"/>
    <cellStyle name="Normal 2 3 2 2 2 2 7" xfId="37690"/>
    <cellStyle name="Normal 2 3 2 2 2 2 8" xfId="37691"/>
    <cellStyle name="Normal 2 3 2 2 2 3" xfId="37692"/>
    <cellStyle name="Normal 2 3 2 2 2 3 2" xfId="37693"/>
    <cellStyle name="Normal 2 3 2 2 2 3 2 2" xfId="37694"/>
    <cellStyle name="Normal 2 3 2 2 2 3 2 2 2" xfId="37695"/>
    <cellStyle name="Normal 2 3 2 2 2 3 2 2 3" xfId="37696"/>
    <cellStyle name="Normal 2 3 2 2 2 3 2 3" xfId="37697"/>
    <cellStyle name="Normal 2 3 2 2 2 3 2 3 2" xfId="37698"/>
    <cellStyle name="Normal 2 3 2 2 2 3 2 4" xfId="37699"/>
    <cellStyle name="Normal 2 3 2 2 2 3 2 5" xfId="37700"/>
    <cellStyle name="Normal 2 3 2 2 2 3 3" xfId="37701"/>
    <cellStyle name="Normal 2 3 2 2 2 3 3 2" xfId="37702"/>
    <cellStyle name="Normal 2 3 2 2 2 3 3 2 2" xfId="37703"/>
    <cellStyle name="Normal 2 3 2 2 2 3 3 3" xfId="37704"/>
    <cellStyle name="Normal 2 3 2 2 2 3 3 4" xfId="37705"/>
    <cellStyle name="Normal 2 3 2 2 2 3 4" xfId="37706"/>
    <cellStyle name="Normal 2 3 2 2 2 3 4 2" xfId="37707"/>
    <cellStyle name="Normal 2 3 2 2 2 3 4 2 2" xfId="37708"/>
    <cellStyle name="Normal 2 3 2 2 2 3 4 3" xfId="37709"/>
    <cellStyle name="Normal 2 3 2 2 2 3 4 4" xfId="37710"/>
    <cellStyle name="Normal 2 3 2 2 2 3 5" xfId="37711"/>
    <cellStyle name="Normal 2 3 2 2 2 3 5 2" xfId="37712"/>
    <cellStyle name="Normal 2 3 2 2 2 3 6" xfId="37713"/>
    <cellStyle name="Normal 2 3 2 2 2 3 7" xfId="37714"/>
    <cellStyle name="Normal 2 3 2 2 2 3 8" xfId="37715"/>
    <cellStyle name="Normal 2 3 2 2 2 4" xfId="37716"/>
    <cellStyle name="Normal 2 3 2 2 2 4 2" xfId="37717"/>
    <cellStyle name="Normal 2 3 2 2 2 4 2 2" xfId="37718"/>
    <cellStyle name="Normal 2 3 2 2 2 4 2 2 2" xfId="37719"/>
    <cellStyle name="Normal 2 3 2 2 2 4 2 2 3" xfId="37720"/>
    <cellStyle name="Normal 2 3 2 2 2 4 2 3" xfId="37721"/>
    <cellStyle name="Normal 2 3 2 2 2 4 2 3 2" xfId="37722"/>
    <cellStyle name="Normal 2 3 2 2 2 4 2 4" xfId="37723"/>
    <cellStyle name="Normal 2 3 2 2 2 4 2 5" xfId="37724"/>
    <cellStyle name="Normal 2 3 2 2 2 4 3" xfId="37725"/>
    <cellStyle name="Normal 2 3 2 2 2 4 3 2" xfId="37726"/>
    <cellStyle name="Normal 2 3 2 2 2 4 3 2 2" xfId="37727"/>
    <cellStyle name="Normal 2 3 2 2 2 4 3 3" xfId="37728"/>
    <cellStyle name="Normal 2 3 2 2 2 4 3 4" xfId="37729"/>
    <cellStyle name="Normal 2 3 2 2 2 4 4" xfId="37730"/>
    <cellStyle name="Normal 2 3 2 2 2 4 4 2" xfId="37731"/>
    <cellStyle name="Normal 2 3 2 2 2 4 4 2 2" xfId="37732"/>
    <cellStyle name="Normal 2 3 2 2 2 4 4 3" xfId="37733"/>
    <cellStyle name="Normal 2 3 2 2 2 4 4 4" xfId="37734"/>
    <cellStyle name="Normal 2 3 2 2 2 4 5" xfId="37735"/>
    <cellStyle name="Normal 2 3 2 2 2 4 5 2" xfId="37736"/>
    <cellStyle name="Normal 2 3 2 2 2 4 6" xfId="37737"/>
    <cellStyle name="Normal 2 3 2 2 2 4 7" xfId="37738"/>
    <cellStyle name="Normal 2 3 2 2 2 4 8" xfId="37739"/>
    <cellStyle name="Normal 2 3 2 2 2 5" xfId="37740"/>
    <cellStyle name="Normal 2 3 2 2 3" xfId="37741"/>
    <cellStyle name="Normal 2 3 2 2 3 2" xfId="37742"/>
    <cellStyle name="Normal 2 3 2 2 3 2 2" xfId="37743"/>
    <cellStyle name="Normal 2 3 2 2 3 2 2 2" xfId="37744"/>
    <cellStyle name="Normal 2 3 2 2 3 2 2 3" xfId="37745"/>
    <cellStyle name="Normal 2 3 2 2 3 2 3" xfId="37746"/>
    <cellStyle name="Normal 2 3 2 2 3 2 3 2" xfId="37747"/>
    <cellStyle name="Normal 2 3 2 2 3 2 4" xfId="37748"/>
    <cellStyle name="Normal 2 3 2 2 3 2 5" xfId="37749"/>
    <cellStyle name="Normal 2 3 2 2 3 3" xfId="37750"/>
    <cellStyle name="Normal 2 3 2 2 3 3 2" xfId="37751"/>
    <cellStyle name="Normal 2 3 2 2 3 3 2 2" xfId="37752"/>
    <cellStyle name="Normal 2 3 2 2 3 3 3" xfId="37753"/>
    <cellStyle name="Normal 2 3 2 2 3 3 4" xfId="37754"/>
    <cellStyle name="Normal 2 3 2 2 3 4" xfId="37755"/>
    <cellStyle name="Normal 2 3 2 2 3 4 2" xfId="37756"/>
    <cellStyle name="Normal 2 3 2 2 3 4 2 2" xfId="37757"/>
    <cellStyle name="Normal 2 3 2 2 3 4 3" xfId="37758"/>
    <cellStyle name="Normal 2 3 2 2 3 4 4" xfId="37759"/>
    <cellStyle name="Normal 2 3 2 2 3 5" xfId="37760"/>
    <cellStyle name="Normal 2 3 2 2 3 5 2" xfId="37761"/>
    <cellStyle name="Normal 2 3 2 2 3 6" xfId="37762"/>
    <cellStyle name="Normal 2 3 2 2 3 7" xfId="37763"/>
    <cellStyle name="Normal 2 3 2 2 3 8" xfId="37764"/>
    <cellStyle name="Normal 2 3 2 2 4" xfId="37765"/>
    <cellStyle name="Normal 2 3 2 2 4 2" xfId="37766"/>
    <cellStyle name="Normal 2 3 2 2 4 2 2" xfId="37767"/>
    <cellStyle name="Normal 2 3 2 2 4 2 2 2" xfId="37768"/>
    <cellStyle name="Normal 2 3 2 2 4 2 2 3" xfId="37769"/>
    <cellStyle name="Normal 2 3 2 2 4 2 3" xfId="37770"/>
    <cellStyle name="Normal 2 3 2 2 4 2 3 2" xfId="37771"/>
    <cellStyle name="Normal 2 3 2 2 4 2 4" xfId="37772"/>
    <cellStyle name="Normal 2 3 2 2 4 2 5" xfId="37773"/>
    <cellStyle name="Normal 2 3 2 2 4 3" xfId="37774"/>
    <cellStyle name="Normal 2 3 2 2 4 3 2" xfId="37775"/>
    <cellStyle name="Normal 2 3 2 2 4 3 2 2" xfId="37776"/>
    <cellStyle name="Normal 2 3 2 2 4 3 3" xfId="37777"/>
    <cellStyle name="Normal 2 3 2 2 4 3 4" xfId="37778"/>
    <cellStyle name="Normal 2 3 2 2 4 4" xfId="37779"/>
    <cellStyle name="Normal 2 3 2 2 4 4 2" xfId="37780"/>
    <cellStyle name="Normal 2 3 2 2 4 4 2 2" xfId="37781"/>
    <cellStyle name="Normal 2 3 2 2 4 4 3" xfId="37782"/>
    <cellStyle name="Normal 2 3 2 2 4 4 4" xfId="37783"/>
    <cellStyle name="Normal 2 3 2 2 4 5" xfId="37784"/>
    <cellStyle name="Normal 2 3 2 2 4 5 2" xfId="37785"/>
    <cellStyle name="Normal 2 3 2 2 4 6" xfId="37786"/>
    <cellStyle name="Normal 2 3 2 2 4 7" xfId="37787"/>
    <cellStyle name="Normal 2 3 2 2 4 8" xfId="37788"/>
    <cellStyle name="Normal 2 3 2 2 5" xfId="37789"/>
    <cellStyle name="Normal 2 3 2 2 5 2" xfId="37790"/>
    <cellStyle name="Normal 2 3 2 2 5 2 2" xfId="37791"/>
    <cellStyle name="Normal 2 3 2 2 5 2 2 2" xfId="37792"/>
    <cellStyle name="Normal 2 3 2 2 5 2 2 3" xfId="37793"/>
    <cellStyle name="Normal 2 3 2 2 5 2 3" xfId="37794"/>
    <cellStyle name="Normal 2 3 2 2 5 2 3 2" xfId="37795"/>
    <cellStyle name="Normal 2 3 2 2 5 2 4" xfId="37796"/>
    <cellStyle name="Normal 2 3 2 2 5 2 5" xfId="37797"/>
    <cellStyle name="Normal 2 3 2 2 5 3" xfId="37798"/>
    <cellStyle name="Normal 2 3 2 2 5 3 2" xfId="37799"/>
    <cellStyle name="Normal 2 3 2 2 5 3 2 2" xfId="37800"/>
    <cellStyle name="Normal 2 3 2 2 5 3 3" xfId="37801"/>
    <cellStyle name="Normal 2 3 2 2 5 3 4" xfId="37802"/>
    <cellStyle name="Normal 2 3 2 2 5 4" xfId="37803"/>
    <cellStyle name="Normal 2 3 2 2 5 4 2" xfId="37804"/>
    <cellStyle name="Normal 2 3 2 2 5 4 2 2" xfId="37805"/>
    <cellStyle name="Normal 2 3 2 2 5 4 3" xfId="37806"/>
    <cellStyle name="Normal 2 3 2 2 5 4 4" xfId="37807"/>
    <cellStyle name="Normal 2 3 2 2 5 5" xfId="37808"/>
    <cellStyle name="Normal 2 3 2 2 5 5 2" xfId="37809"/>
    <cellStyle name="Normal 2 3 2 2 5 6" xfId="37810"/>
    <cellStyle name="Normal 2 3 2 2 5 7" xfId="37811"/>
    <cellStyle name="Normal 2 3 2 2 5 8" xfId="37812"/>
    <cellStyle name="Normal 2 3 2 2 6" xfId="37813"/>
    <cellStyle name="Normal 2 3 2 3" xfId="37814"/>
    <cellStyle name="Normal 2 3 2 3 2" xfId="37815"/>
    <cellStyle name="Normal 2 3 2 3 2 2" xfId="37816"/>
    <cellStyle name="Normal 2 3 2 3 2 2 2" xfId="37817"/>
    <cellStyle name="Normal 2 3 2 3 2 2 2 2" xfId="37818"/>
    <cellStyle name="Normal 2 3 2 3 2 2 2 3" xfId="37819"/>
    <cellStyle name="Normal 2 3 2 3 2 2 3" xfId="37820"/>
    <cellStyle name="Normal 2 3 2 3 2 2 3 2" xfId="37821"/>
    <cellStyle name="Normal 2 3 2 3 2 2 4" xfId="37822"/>
    <cellStyle name="Normal 2 3 2 3 2 2 5" xfId="37823"/>
    <cellStyle name="Normal 2 3 2 3 2 3" xfId="37824"/>
    <cellStyle name="Normal 2 3 2 3 2 3 2" xfId="37825"/>
    <cellStyle name="Normal 2 3 2 3 2 3 2 2" xfId="37826"/>
    <cellStyle name="Normal 2 3 2 3 2 3 3" xfId="37827"/>
    <cellStyle name="Normal 2 3 2 3 2 3 4" xfId="37828"/>
    <cellStyle name="Normal 2 3 2 3 2 4" xfId="37829"/>
    <cellStyle name="Normal 2 3 2 3 2 4 2" xfId="37830"/>
    <cellStyle name="Normal 2 3 2 3 2 4 2 2" xfId="37831"/>
    <cellStyle name="Normal 2 3 2 3 2 4 3" xfId="37832"/>
    <cellStyle name="Normal 2 3 2 3 2 4 4" xfId="37833"/>
    <cellStyle name="Normal 2 3 2 3 2 5" xfId="37834"/>
    <cellStyle name="Normal 2 3 2 3 2 5 2" xfId="37835"/>
    <cellStyle name="Normal 2 3 2 3 2 6" xfId="37836"/>
    <cellStyle name="Normal 2 3 2 3 2 7" xfId="37837"/>
    <cellStyle name="Normal 2 3 2 3 2 8" xfId="37838"/>
    <cellStyle name="Normal 2 3 2 3 3" xfId="37839"/>
    <cellStyle name="Normal 2 3 2 3 3 2" xfId="37840"/>
    <cellStyle name="Normal 2 3 2 3 3 2 2" xfId="37841"/>
    <cellStyle name="Normal 2 3 2 3 3 2 2 2" xfId="37842"/>
    <cellStyle name="Normal 2 3 2 3 3 2 2 3" xfId="37843"/>
    <cellStyle name="Normal 2 3 2 3 3 2 3" xfId="37844"/>
    <cellStyle name="Normal 2 3 2 3 3 2 3 2" xfId="37845"/>
    <cellStyle name="Normal 2 3 2 3 3 2 4" xfId="37846"/>
    <cellStyle name="Normal 2 3 2 3 3 2 5" xfId="37847"/>
    <cellStyle name="Normal 2 3 2 3 3 3" xfId="37848"/>
    <cellStyle name="Normal 2 3 2 3 3 3 2" xfId="37849"/>
    <cellStyle name="Normal 2 3 2 3 3 3 2 2" xfId="37850"/>
    <cellStyle name="Normal 2 3 2 3 3 3 3" xfId="37851"/>
    <cellStyle name="Normal 2 3 2 3 3 3 4" xfId="37852"/>
    <cellStyle name="Normal 2 3 2 3 3 4" xfId="37853"/>
    <cellStyle name="Normal 2 3 2 3 3 4 2" xfId="37854"/>
    <cellStyle name="Normal 2 3 2 3 3 4 2 2" xfId="37855"/>
    <cellStyle name="Normal 2 3 2 3 3 4 3" xfId="37856"/>
    <cellStyle name="Normal 2 3 2 3 3 4 4" xfId="37857"/>
    <cellStyle name="Normal 2 3 2 3 3 5" xfId="37858"/>
    <cellStyle name="Normal 2 3 2 3 3 5 2" xfId="37859"/>
    <cellStyle name="Normal 2 3 2 3 3 6" xfId="37860"/>
    <cellStyle name="Normal 2 3 2 3 3 7" xfId="37861"/>
    <cellStyle name="Normal 2 3 2 3 3 8" xfId="37862"/>
    <cellStyle name="Normal 2 3 2 3 4" xfId="37863"/>
    <cellStyle name="Normal 2 3 2 3 4 2" xfId="37864"/>
    <cellStyle name="Normal 2 3 2 3 4 2 2" xfId="37865"/>
    <cellStyle name="Normal 2 3 2 3 4 2 2 2" xfId="37866"/>
    <cellStyle name="Normal 2 3 2 3 4 2 2 3" xfId="37867"/>
    <cellStyle name="Normal 2 3 2 3 4 2 3" xfId="37868"/>
    <cellStyle name="Normal 2 3 2 3 4 2 3 2" xfId="37869"/>
    <cellStyle name="Normal 2 3 2 3 4 2 4" xfId="37870"/>
    <cellStyle name="Normal 2 3 2 3 4 2 5" xfId="37871"/>
    <cellStyle name="Normal 2 3 2 3 4 3" xfId="37872"/>
    <cellStyle name="Normal 2 3 2 3 4 3 2" xfId="37873"/>
    <cellStyle name="Normal 2 3 2 3 4 3 2 2" xfId="37874"/>
    <cellStyle name="Normal 2 3 2 3 4 3 3" xfId="37875"/>
    <cellStyle name="Normal 2 3 2 3 4 3 4" xfId="37876"/>
    <cellStyle name="Normal 2 3 2 3 4 4" xfId="37877"/>
    <cellStyle name="Normal 2 3 2 3 4 4 2" xfId="37878"/>
    <cellStyle name="Normal 2 3 2 3 4 4 2 2" xfId="37879"/>
    <cellStyle name="Normal 2 3 2 3 4 4 3" xfId="37880"/>
    <cellStyle name="Normal 2 3 2 3 4 4 4" xfId="37881"/>
    <cellStyle name="Normal 2 3 2 3 4 5" xfId="37882"/>
    <cellStyle name="Normal 2 3 2 3 4 5 2" xfId="37883"/>
    <cellStyle name="Normal 2 3 2 3 4 6" xfId="37884"/>
    <cellStyle name="Normal 2 3 2 3 4 7" xfId="37885"/>
    <cellStyle name="Normal 2 3 2 3 4 8" xfId="37886"/>
    <cellStyle name="Normal 2 3 2 3 5" xfId="37887"/>
    <cellStyle name="Normal 2 3 2 4" xfId="37888"/>
    <cellStyle name="Normal 2 3 2 4 2" xfId="37889"/>
    <cellStyle name="Normal 2 3 2 5" xfId="37890"/>
    <cellStyle name="Normal 2 3 2 5 2" xfId="37891"/>
    <cellStyle name="Normal 2 3 2 5 2 2" xfId="37892"/>
    <cellStyle name="Normal 2 3 2 5 2 2 2" xfId="37893"/>
    <cellStyle name="Normal 2 3 2 5 2 2 3" xfId="37894"/>
    <cellStyle name="Normal 2 3 2 5 2 3" xfId="37895"/>
    <cellStyle name="Normal 2 3 2 5 2 3 2" xfId="37896"/>
    <cellStyle name="Normal 2 3 2 5 2 4" xfId="37897"/>
    <cellStyle name="Normal 2 3 2 5 2 5" xfId="37898"/>
    <cellStyle name="Normal 2 3 2 5 3" xfId="37899"/>
    <cellStyle name="Normal 2 3 2 5 3 2" xfId="37900"/>
    <cellStyle name="Normal 2 3 2 5 3 2 2" xfId="37901"/>
    <cellStyle name="Normal 2 3 2 5 3 3" xfId="37902"/>
    <cellStyle name="Normal 2 3 2 5 3 4" xfId="37903"/>
    <cellStyle name="Normal 2 3 2 5 4" xfId="37904"/>
    <cellStyle name="Normal 2 3 2 5 4 2" xfId="37905"/>
    <cellStyle name="Normal 2 3 2 5 4 2 2" xfId="37906"/>
    <cellStyle name="Normal 2 3 2 5 4 3" xfId="37907"/>
    <cellStyle name="Normal 2 3 2 5 4 4" xfId="37908"/>
    <cellStyle name="Normal 2 3 2 5 5" xfId="37909"/>
    <cellStyle name="Normal 2 3 2 5 5 2" xfId="37910"/>
    <cellStyle name="Normal 2 3 2 5 6" xfId="37911"/>
    <cellStyle name="Normal 2 3 2 5 7" xfId="37912"/>
    <cellStyle name="Normal 2 3 2 5 8" xfId="37913"/>
    <cellStyle name="Normal 2 3 2 6" xfId="37914"/>
    <cellStyle name="Normal 2 3 2 6 2" xfId="37915"/>
    <cellStyle name="Normal 2 3 2 6 2 2" xfId="37916"/>
    <cellStyle name="Normal 2 3 2 6 2 2 2" xfId="37917"/>
    <cellStyle name="Normal 2 3 2 6 2 2 3" xfId="37918"/>
    <cellStyle name="Normal 2 3 2 6 2 3" xfId="37919"/>
    <cellStyle name="Normal 2 3 2 6 2 3 2" xfId="37920"/>
    <cellStyle name="Normal 2 3 2 6 2 4" xfId="37921"/>
    <cellStyle name="Normal 2 3 2 6 2 5" xfId="37922"/>
    <cellStyle name="Normal 2 3 2 6 3" xfId="37923"/>
    <cellStyle name="Normal 2 3 2 6 3 2" xfId="37924"/>
    <cellStyle name="Normal 2 3 2 6 3 2 2" xfId="37925"/>
    <cellStyle name="Normal 2 3 2 6 3 3" xfId="37926"/>
    <cellStyle name="Normal 2 3 2 6 3 4" xfId="37927"/>
    <cellStyle name="Normal 2 3 2 6 4" xfId="37928"/>
    <cellStyle name="Normal 2 3 2 6 4 2" xfId="37929"/>
    <cellStyle name="Normal 2 3 2 6 4 2 2" xfId="37930"/>
    <cellStyle name="Normal 2 3 2 6 4 3" xfId="37931"/>
    <cellStyle name="Normal 2 3 2 6 4 4" xfId="37932"/>
    <cellStyle name="Normal 2 3 2 6 5" xfId="37933"/>
    <cellStyle name="Normal 2 3 2 6 5 2" xfId="37934"/>
    <cellStyle name="Normal 2 3 2 6 6" xfId="37935"/>
    <cellStyle name="Normal 2 3 2 6 7" xfId="37936"/>
    <cellStyle name="Normal 2 3 2 6 8" xfId="37937"/>
    <cellStyle name="Normal 2 3 2 7" xfId="37938"/>
    <cellStyle name="Normal 2 3 2 7 2" xfId="37939"/>
    <cellStyle name="Normal 2 3 2 7 2 2" xfId="37940"/>
    <cellStyle name="Normal 2 3 2 7 2 2 2" xfId="37941"/>
    <cellStyle name="Normal 2 3 2 7 2 2 3" xfId="37942"/>
    <cellStyle name="Normal 2 3 2 7 2 3" xfId="37943"/>
    <cellStyle name="Normal 2 3 2 7 2 3 2" xfId="37944"/>
    <cellStyle name="Normal 2 3 2 7 2 4" xfId="37945"/>
    <cellStyle name="Normal 2 3 2 7 2 5" xfId="37946"/>
    <cellStyle name="Normal 2 3 2 7 3" xfId="37947"/>
    <cellStyle name="Normal 2 3 2 7 3 2" xfId="37948"/>
    <cellStyle name="Normal 2 3 2 7 3 2 2" xfId="37949"/>
    <cellStyle name="Normal 2 3 2 7 3 3" xfId="37950"/>
    <cellStyle name="Normal 2 3 2 7 3 4" xfId="37951"/>
    <cellStyle name="Normal 2 3 2 7 4" xfId="37952"/>
    <cellStyle name="Normal 2 3 2 7 4 2" xfId="37953"/>
    <cellStyle name="Normal 2 3 2 7 4 2 2" xfId="37954"/>
    <cellStyle name="Normal 2 3 2 7 4 3" xfId="37955"/>
    <cellStyle name="Normal 2 3 2 7 4 4" xfId="37956"/>
    <cellStyle name="Normal 2 3 2 7 5" xfId="37957"/>
    <cellStyle name="Normal 2 3 2 7 5 2" xfId="37958"/>
    <cellStyle name="Normal 2 3 2 7 6" xfId="37959"/>
    <cellStyle name="Normal 2 3 2 7 7" xfId="37960"/>
    <cellStyle name="Normal 2 3 2 7 8" xfId="37961"/>
    <cellStyle name="Normal 2 3 2 8" xfId="37962"/>
    <cellStyle name="Normal 2 3 3" xfId="4163"/>
    <cellStyle name="Normal 2 3 3 2" xfId="37963"/>
    <cellStyle name="Normal 2 3 3 2 2" xfId="37964"/>
    <cellStyle name="Normal 2 3 3 2 2 2" xfId="37965"/>
    <cellStyle name="Normal 2 3 3 2 2 2 2" xfId="37966"/>
    <cellStyle name="Normal 2 3 3 2 2 2 2 2" xfId="37967"/>
    <cellStyle name="Normal 2 3 3 2 2 2 2 3" xfId="37968"/>
    <cellStyle name="Normal 2 3 3 2 2 2 3" xfId="37969"/>
    <cellStyle name="Normal 2 3 3 2 2 2 3 2" xfId="37970"/>
    <cellStyle name="Normal 2 3 3 2 2 2 4" xfId="37971"/>
    <cellStyle name="Normal 2 3 3 2 2 2 5" xfId="37972"/>
    <cellStyle name="Normal 2 3 3 2 2 3" xfId="37973"/>
    <cellStyle name="Normal 2 3 3 2 2 3 2" xfId="37974"/>
    <cellStyle name="Normal 2 3 3 2 2 3 2 2" xfId="37975"/>
    <cellStyle name="Normal 2 3 3 2 2 3 3" xfId="37976"/>
    <cellStyle name="Normal 2 3 3 2 2 3 4" xfId="37977"/>
    <cellStyle name="Normal 2 3 3 2 2 4" xfId="37978"/>
    <cellStyle name="Normal 2 3 3 2 2 4 2" xfId="37979"/>
    <cellStyle name="Normal 2 3 3 2 2 4 2 2" xfId="37980"/>
    <cellStyle name="Normal 2 3 3 2 2 4 3" xfId="37981"/>
    <cellStyle name="Normal 2 3 3 2 2 4 4" xfId="37982"/>
    <cellStyle name="Normal 2 3 3 2 2 5" xfId="37983"/>
    <cellStyle name="Normal 2 3 3 2 2 5 2" xfId="37984"/>
    <cellStyle name="Normal 2 3 3 2 2 6" xfId="37985"/>
    <cellStyle name="Normal 2 3 3 2 2 7" xfId="37986"/>
    <cellStyle name="Normal 2 3 3 2 2 8" xfId="37987"/>
    <cellStyle name="Normal 2 3 3 2 3" xfId="37988"/>
    <cellStyle name="Normal 2 3 3 2 3 2" xfId="37989"/>
    <cellStyle name="Normal 2 3 3 2 3 2 2" xfId="37990"/>
    <cellStyle name="Normal 2 3 3 2 3 2 2 2" xfId="37991"/>
    <cellStyle name="Normal 2 3 3 2 3 2 2 3" xfId="37992"/>
    <cellStyle name="Normal 2 3 3 2 3 2 3" xfId="37993"/>
    <cellStyle name="Normal 2 3 3 2 3 2 3 2" xfId="37994"/>
    <cellStyle name="Normal 2 3 3 2 3 2 4" xfId="37995"/>
    <cellStyle name="Normal 2 3 3 2 3 2 5" xfId="37996"/>
    <cellStyle name="Normal 2 3 3 2 3 3" xfId="37997"/>
    <cellStyle name="Normal 2 3 3 2 3 3 2" xfId="37998"/>
    <cellStyle name="Normal 2 3 3 2 3 3 2 2" xfId="37999"/>
    <cellStyle name="Normal 2 3 3 2 3 3 3" xfId="38000"/>
    <cellStyle name="Normal 2 3 3 2 3 3 4" xfId="38001"/>
    <cellStyle name="Normal 2 3 3 2 3 4" xfId="38002"/>
    <cellStyle name="Normal 2 3 3 2 3 4 2" xfId="38003"/>
    <cellStyle name="Normal 2 3 3 2 3 4 2 2" xfId="38004"/>
    <cellStyle name="Normal 2 3 3 2 3 4 3" xfId="38005"/>
    <cellStyle name="Normal 2 3 3 2 3 4 4" xfId="38006"/>
    <cellStyle name="Normal 2 3 3 2 3 5" xfId="38007"/>
    <cellStyle name="Normal 2 3 3 2 3 5 2" xfId="38008"/>
    <cellStyle name="Normal 2 3 3 2 3 6" xfId="38009"/>
    <cellStyle name="Normal 2 3 3 2 3 7" xfId="38010"/>
    <cellStyle name="Normal 2 3 3 2 3 8" xfId="38011"/>
    <cellStyle name="Normal 2 3 3 2 4" xfId="38012"/>
    <cellStyle name="Normal 2 3 3 2 4 2" xfId="38013"/>
    <cellStyle name="Normal 2 3 3 2 4 2 2" xfId="38014"/>
    <cellStyle name="Normal 2 3 3 2 4 2 2 2" xfId="38015"/>
    <cellStyle name="Normal 2 3 3 2 4 2 2 3" xfId="38016"/>
    <cellStyle name="Normal 2 3 3 2 4 2 3" xfId="38017"/>
    <cellStyle name="Normal 2 3 3 2 4 2 3 2" xfId="38018"/>
    <cellStyle name="Normal 2 3 3 2 4 2 4" xfId="38019"/>
    <cellStyle name="Normal 2 3 3 2 4 2 5" xfId="38020"/>
    <cellStyle name="Normal 2 3 3 2 4 3" xfId="38021"/>
    <cellStyle name="Normal 2 3 3 2 4 3 2" xfId="38022"/>
    <cellStyle name="Normal 2 3 3 2 4 3 2 2" xfId="38023"/>
    <cellStyle name="Normal 2 3 3 2 4 3 3" xfId="38024"/>
    <cellStyle name="Normal 2 3 3 2 4 3 4" xfId="38025"/>
    <cellStyle name="Normal 2 3 3 2 4 4" xfId="38026"/>
    <cellStyle name="Normal 2 3 3 2 4 4 2" xfId="38027"/>
    <cellStyle name="Normal 2 3 3 2 4 4 2 2" xfId="38028"/>
    <cellStyle name="Normal 2 3 3 2 4 4 3" xfId="38029"/>
    <cellStyle name="Normal 2 3 3 2 4 4 4" xfId="38030"/>
    <cellStyle name="Normal 2 3 3 2 4 5" xfId="38031"/>
    <cellStyle name="Normal 2 3 3 2 4 5 2" xfId="38032"/>
    <cellStyle name="Normal 2 3 3 2 4 6" xfId="38033"/>
    <cellStyle name="Normal 2 3 3 2 4 7" xfId="38034"/>
    <cellStyle name="Normal 2 3 3 2 4 8" xfId="38035"/>
    <cellStyle name="Normal 2 3 3 2 5" xfId="38036"/>
    <cellStyle name="Normal 2 3 3 3" xfId="38037"/>
    <cellStyle name="Normal 2 3 3 3 2" xfId="38038"/>
    <cellStyle name="Normal 2 3 3 4" xfId="38039"/>
    <cellStyle name="Normal 2 3 3 4 2" xfId="38040"/>
    <cellStyle name="Normal 2 3 3 4 2 2" xfId="38041"/>
    <cellStyle name="Normal 2 3 3 4 2 2 2" xfId="38042"/>
    <cellStyle name="Normal 2 3 3 4 2 2 3" xfId="38043"/>
    <cellStyle name="Normal 2 3 3 4 2 3" xfId="38044"/>
    <cellStyle name="Normal 2 3 3 4 2 3 2" xfId="38045"/>
    <cellStyle name="Normal 2 3 3 4 2 4" xfId="38046"/>
    <cellStyle name="Normal 2 3 3 4 2 5" xfId="38047"/>
    <cellStyle name="Normal 2 3 3 4 3" xfId="38048"/>
    <cellStyle name="Normal 2 3 3 4 3 2" xfId="38049"/>
    <cellStyle name="Normal 2 3 3 4 3 2 2" xfId="38050"/>
    <cellStyle name="Normal 2 3 3 4 3 3" xfId="38051"/>
    <cellStyle name="Normal 2 3 3 4 3 4" xfId="38052"/>
    <cellStyle name="Normal 2 3 3 4 4" xfId="38053"/>
    <cellStyle name="Normal 2 3 3 4 4 2" xfId="38054"/>
    <cellStyle name="Normal 2 3 3 4 4 2 2" xfId="38055"/>
    <cellStyle name="Normal 2 3 3 4 4 3" xfId="38056"/>
    <cellStyle name="Normal 2 3 3 4 4 4" xfId="38057"/>
    <cellStyle name="Normal 2 3 3 4 5" xfId="38058"/>
    <cellStyle name="Normal 2 3 3 4 5 2" xfId="38059"/>
    <cellStyle name="Normal 2 3 3 4 6" xfId="38060"/>
    <cellStyle name="Normal 2 3 3 4 7" xfId="38061"/>
    <cellStyle name="Normal 2 3 3 4 8" xfId="38062"/>
    <cellStyle name="Normal 2 3 3 5" xfId="38063"/>
    <cellStyle name="Normal 2 3 3 5 2" xfId="38064"/>
    <cellStyle name="Normal 2 3 3 5 2 2" xfId="38065"/>
    <cellStyle name="Normal 2 3 3 5 2 2 2" xfId="38066"/>
    <cellStyle name="Normal 2 3 3 5 2 2 3" xfId="38067"/>
    <cellStyle name="Normal 2 3 3 5 2 3" xfId="38068"/>
    <cellStyle name="Normal 2 3 3 5 2 3 2" xfId="38069"/>
    <cellStyle name="Normal 2 3 3 5 2 4" xfId="38070"/>
    <cellStyle name="Normal 2 3 3 5 2 5" xfId="38071"/>
    <cellStyle name="Normal 2 3 3 5 3" xfId="38072"/>
    <cellStyle name="Normal 2 3 3 5 3 2" xfId="38073"/>
    <cellStyle name="Normal 2 3 3 5 3 2 2" xfId="38074"/>
    <cellStyle name="Normal 2 3 3 5 3 3" xfId="38075"/>
    <cellStyle name="Normal 2 3 3 5 3 4" xfId="38076"/>
    <cellStyle name="Normal 2 3 3 5 4" xfId="38077"/>
    <cellStyle name="Normal 2 3 3 5 4 2" xfId="38078"/>
    <cellStyle name="Normal 2 3 3 5 4 2 2" xfId="38079"/>
    <cellStyle name="Normal 2 3 3 5 4 3" xfId="38080"/>
    <cellStyle name="Normal 2 3 3 5 4 4" xfId="38081"/>
    <cellStyle name="Normal 2 3 3 5 5" xfId="38082"/>
    <cellStyle name="Normal 2 3 3 5 5 2" xfId="38083"/>
    <cellStyle name="Normal 2 3 3 5 6" xfId="38084"/>
    <cellStyle name="Normal 2 3 3 5 7" xfId="38085"/>
    <cellStyle name="Normal 2 3 3 5 8" xfId="38086"/>
    <cellStyle name="Normal 2 3 3 6" xfId="38087"/>
    <cellStyle name="Normal 2 3 3 6 2" xfId="38088"/>
    <cellStyle name="Normal 2 3 3 6 2 2" xfId="38089"/>
    <cellStyle name="Normal 2 3 3 6 2 2 2" xfId="38090"/>
    <cellStyle name="Normal 2 3 3 6 2 2 3" xfId="38091"/>
    <cellStyle name="Normal 2 3 3 6 2 3" xfId="38092"/>
    <cellStyle name="Normal 2 3 3 6 2 3 2" xfId="38093"/>
    <cellStyle name="Normal 2 3 3 6 2 4" xfId="38094"/>
    <cellStyle name="Normal 2 3 3 6 2 5" xfId="38095"/>
    <cellStyle name="Normal 2 3 3 6 3" xfId="38096"/>
    <cellStyle name="Normal 2 3 3 6 3 2" xfId="38097"/>
    <cellStyle name="Normal 2 3 3 6 3 2 2" xfId="38098"/>
    <cellStyle name="Normal 2 3 3 6 3 3" xfId="38099"/>
    <cellStyle name="Normal 2 3 3 6 3 4" xfId="38100"/>
    <cellStyle name="Normal 2 3 3 6 4" xfId="38101"/>
    <cellStyle name="Normal 2 3 3 6 4 2" xfId="38102"/>
    <cellStyle name="Normal 2 3 3 6 4 2 2" xfId="38103"/>
    <cellStyle name="Normal 2 3 3 6 4 3" xfId="38104"/>
    <cellStyle name="Normal 2 3 3 6 4 4" xfId="38105"/>
    <cellStyle name="Normal 2 3 3 6 5" xfId="38106"/>
    <cellStyle name="Normal 2 3 3 6 5 2" xfId="38107"/>
    <cellStyle name="Normal 2 3 3 6 6" xfId="38108"/>
    <cellStyle name="Normal 2 3 3 6 7" xfId="38109"/>
    <cellStyle name="Normal 2 3 3 6 8" xfId="38110"/>
    <cellStyle name="Normal 2 3 4" xfId="38111"/>
    <cellStyle name="Normal 2 3 4 2" xfId="38112"/>
    <cellStyle name="Normal 2 3 4 2 2" xfId="38113"/>
    <cellStyle name="Normal 2 3 4 3" xfId="38114"/>
    <cellStyle name="Normal 2 3 4 3 2" xfId="38115"/>
    <cellStyle name="Normal 2 3 4 3 2 2" xfId="38116"/>
    <cellStyle name="Normal 2 3 4 3 2 2 2" xfId="38117"/>
    <cellStyle name="Normal 2 3 4 3 2 2 3" xfId="38118"/>
    <cellStyle name="Normal 2 3 4 3 2 3" xfId="38119"/>
    <cellStyle name="Normal 2 3 4 3 2 3 2" xfId="38120"/>
    <cellStyle name="Normal 2 3 4 3 2 4" xfId="38121"/>
    <cellStyle name="Normal 2 3 4 3 2 5" xfId="38122"/>
    <cellStyle name="Normal 2 3 4 3 3" xfId="38123"/>
    <cellStyle name="Normal 2 3 4 3 3 2" xfId="38124"/>
    <cellStyle name="Normal 2 3 4 3 3 2 2" xfId="38125"/>
    <cellStyle name="Normal 2 3 4 3 3 3" xfId="38126"/>
    <cellStyle name="Normal 2 3 4 3 3 4" xfId="38127"/>
    <cellStyle name="Normal 2 3 4 3 4" xfId="38128"/>
    <cellStyle name="Normal 2 3 4 3 4 2" xfId="38129"/>
    <cellStyle name="Normal 2 3 4 3 4 2 2" xfId="38130"/>
    <cellStyle name="Normal 2 3 4 3 4 3" xfId="38131"/>
    <cellStyle name="Normal 2 3 4 3 4 4" xfId="38132"/>
    <cellStyle name="Normal 2 3 4 3 5" xfId="38133"/>
    <cellStyle name="Normal 2 3 4 3 5 2" xfId="38134"/>
    <cellStyle name="Normal 2 3 4 3 6" xfId="38135"/>
    <cellStyle name="Normal 2 3 4 3 7" xfId="38136"/>
    <cellStyle name="Normal 2 3 4 3 8" xfId="38137"/>
    <cellStyle name="Normal 2 3 4 4" xfId="38138"/>
    <cellStyle name="Normal 2 3 4 4 2" xfId="38139"/>
    <cellStyle name="Normal 2 3 4 4 2 2" xfId="38140"/>
    <cellStyle name="Normal 2 3 4 4 2 2 2" xfId="38141"/>
    <cellStyle name="Normal 2 3 4 4 2 2 3" xfId="38142"/>
    <cellStyle name="Normal 2 3 4 4 2 3" xfId="38143"/>
    <cellStyle name="Normal 2 3 4 4 2 3 2" xfId="38144"/>
    <cellStyle name="Normal 2 3 4 4 2 4" xfId="38145"/>
    <cellStyle name="Normal 2 3 4 4 2 5" xfId="38146"/>
    <cellStyle name="Normal 2 3 4 4 3" xfId="38147"/>
    <cellStyle name="Normal 2 3 4 4 3 2" xfId="38148"/>
    <cellStyle name="Normal 2 3 4 4 3 2 2" xfId="38149"/>
    <cellStyle name="Normal 2 3 4 4 3 3" xfId="38150"/>
    <cellStyle name="Normal 2 3 4 4 3 4" xfId="38151"/>
    <cellStyle name="Normal 2 3 4 4 4" xfId="38152"/>
    <cellStyle name="Normal 2 3 4 4 4 2" xfId="38153"/>
    <cellStyle name="Normal 2 3 4 4 4 2 2" xfId="38154"/>
    <cellStyle name="Normal 2 3 4 4 4 3" xfId="38155"/>
    <cellStyle name="Normal 2 3 4 4 4 4" xfId="38156"/>
    <cellStyle name="Normal 2 3 4 4 5" xfId="38157"/>
    <cellStyle name="Normal 2 3 4 4 5 2" xfId="38158"/>
    <cellStyle name="Normal 2 3 4 4 6" xfId="38159"/>
    <cellStyle name="Normal 2 3 4 4 7" xfId="38160"/>
    <cellStyle name="Normal 2 3 4 4 8" xfId="38161"/>
    <cellStyle name="Normal 2 3 4 5" xfId="38162"/>
    <cellStyle name="Normal 2 3 4 5 2" xfId="38163"/>
    <cellStyle name="Normal 2 3 4 5 2 2" xfId="38164"/>
    <cellStyle name="Normal 2 3 4 5 2 2 2" xfId="38165"/>
    <cellStyle name="Normal 2 3 4 5 2 2 3" xfId="38166"/>
    <cellStyle name="Normal 2 3 4 5 2 3" xfId="38167"/>
    <cellStyle name="Normal 2 3 4 5 2 3 2" xfId="38168"/>
    <cellStyle name="Normal 2 3 4 5 2 4" xfId="38169"/>
    <cellStyle name="Normal 2 3 4 5 2 5" xfId="38170"/>
    <cellStyle name="Normal 2 3 4 5 3" xfId="38171"/>
    <cellStyle name="Normal 2 3 4 5 3 2" xfId="38172"/>
    <cellStyle name="Normal 2 3 4 5 3 2 2" xfId="38173"/>
    <cellStyle name="Normal 2 3 4 5 3 3" xfId="38174"/>
    <cellStyle name="Normal 2 3 4 5 3 4" xfId="38175"/>
    <cellStyle name="Normal 2 3 4 5 4" xfId="38176"/>
    <cellStyle name="Normal 2 3 4 5 4 2" xfId="38177"/>
    <cellStyle name="Normal 2 3 4 5 4 2 2" xfId="38178"/>
    <cellStyle name="Normal 2 3 4 5 4 3" xfId="38179"/>
    <cellStyle name="Normal 2 3 4 5 4 4" xfId="38180"/>
    <cellStyle name="Normal 2 3 4 5 5" xfId="38181"/>
    <cellStyle name="Normal 2 3 4 5 5 2" xfId="38182"/>
    <cellStyle name="Normal 2 3 4 5 6" xfId="38183"/>
    <cellStyle name="Normal 2 3 4 5 7" xfId="38184"/>
    <cellStyle name="Normal 2 3 4 5 8" xfId="38185"/>
    <cellStyle name="Normal 2 3 5" xfId="38186"/>
    <cellStyle name="Normal 2 3 5 2" xfId="38187"/>
    <cellStyle name="Normal 2 3 6" xfId="38188"/>
    <cellStyle name="Normal 2 3 6 2" xfId="38189"/>
    <cellStyle name="Normal 2 3 7" xfId="38190"/>
    <cellStyle name="Normal 2 3 7 2" xfId="38191"/>
    <cellStyle name="Normal 2 3 8" xfId="38192"/>
    <cellStyle name="Normal 2 3 8 2" xfId="38193"/>
    <cellStyle name="Normal 2 3 9" xfId="38194"/>
    <cellStyle name="Normal 2 3 9 2" xfId="38195"/>
    <cellStyle name="Normal 2 4" xfId="25"/>
    <cellStyle name="Normal 2 4 10" xfId="38196"/>
    <cellStyle name="Normal 2 4 10 2" xfId="38197"/>
    <cellStyle name="Normal 2 4 11" xfId="38198"/>
    <cellStyle name="Normal 2 4 11 2" xfId="38199"/>
    <cellStyle name="Normal 2 4 11 2 2" xfId="38200"/>
    <cellStyle name="Normal 2 4 11 2 2 2" xfId="38201"/>
    <cellStyle name="Normal 2 4 11 2 2 3" xfId="38202"/>
    <cellStyle name="Normal 2 4 11 2 3" xfId="38203"/>
    <cellStyle name="Normal 2 4 11 2 3 2" xfId="38204"/>
    <cellStyle name="Normal 2 4 11 2 4" xfId="38205"/>
    <cellStyle name="Normal 2 4 11 2 5" xfId="38206"/>
    <cellStyle name="Normal 2 4 11 3" xfId="38207"/>
    <cellStyle name="Normal 2 4 11 3 2" xfId="38208"/>
    <cellStyle name="Normal 2 4 11 3 2 2" xfId="38209"/>
    <cellStyle name="Normal 2 4 11 3 3" xfId="38210"/>
    <cellStyle name="Normal 2 4 11 3 4" xfId="38211"/>
    <cellStyle name="Normal 2 4 11 4" xfId="38212"/>
    <cellStyle name="Normal 2 4 11 4 2" xfId="38213"/>
    <cellStyle name="Normal 2 4 11 4 2 2" xfId="38214"/>
    <cellStyle name="Normal 2 4 11 4 3" xfId="38215"/>
    <cellStyle name="Normal 2 4 11 4 4" xfId="38216"/>
    <cellStyle name="Normal 2 4 11 5" xfId="38217"/>
    <cellStyle name="Normal 2 4 11 5 2" xfId="38218"/>
    <cellStyle name="Normal 2 4 11 6" xfId="38219"/>
    <cellStyle name="Normal 2 4 11 7" xfId="38220"/>
    <cellStyle name="Normal 2 4 11 8" xfId="38221"/>
    <cellStyle name="Normal 2 4 12" xfId="38222"/>
    <cellStyle name="Normal 2 4 12 2" xfId="38223"/>
    <cellStyle name="Normal 2 4 12 2 2" xfId="38224"/>
    <cellStyle name="Normal 2 4 12 2 2 2" xfId="38225"/>
    <cellStyle name="Normal 2 4 12 2 2 3" xfId="38226"/>
    <cellStyle name="Normal 2 4 12 2 3" xfId="38227"/>
    <cellStyle name="Normal 2 4 12 2 3 2" xfId="38228"/>
    <cellStyle name="Normal 2 4 12 2 4" xfId="38229"/>
    <cellStyle name="Normal 2 4 12 2 5" xfId="38230"/>
    <cellStyle name="Normal 2 4 12 3" xfId="38231"/>
    <cellStyle name="Normal 2 4 12 3 2" xfId="38232"/>
    <cellStyle name="Normal 2 4 12 3 2 2" xfId="38233"/>
    <cellStyle name="Normal 2 4 12 3 3" xfId="38234"/>
    <cellStyle name="Normal 2 4 12 3 4" xfId="38235"/>
    <cellStyle name="Normal 2 4 12 4" xfId="38236"/>
    <cellStyle name="Normal 2 4 12 4 2" xfId="38237"/>
    <cellStyle name="Normal 2 4 12 4 2 2" xfId="38238"/>
    <cellStyle name="Normal 2 4 12 4 3" xfId="38239"/>
    <cellStyle name="Normal 2 4 12 4 4" xfId="38240"/>
    <cellStyle name="Normal 2 4 12 5" xfId="38241"/>
    <cellStyle name="Normal 2 4 12 5 2" xfId="38242"/>
    <cellStyle name="Normal 2 4 12 6" xfId="38243"/>
    <cellStyle name="Normal 2 4 12 7" xfId="38244"/>
    <cellStyle name="Normal 2 4 12 8" xfId="38245"/>
    <cellStyle name="Normal 2 4 13" xfId="38246"/>
    <cellStyle name="Normal 2 4 13 2" xfId="38247"/>
    <cellStyle name="Normal 2 4 13 2 2" xfId="38248"/>
    <cellStyle name="Normal 2 4 13 2 2 2" xfId="38249"/>
    <cellStyle name="Normal 2 4 13 2 2 3" xfId="38250"/>
    <cellStyle name="Normal 2 4 13 2 3" xfId="38251"/>
    <cellStyle name="Normal 2 4 13 2 3 2" xfId="38252"/>
    <cellStyle name="Normal 2 4 13 2 4" xfId="38253"/>
    <cellStyle name="Normal 2 4 13 2 5" xfId="38254"/>
    <cellStyle name="Normal 2 4 13 3" xfId="38255"/>
    <cellStyle name="Normal 2 4 13 3 2" xfId="38256"/>
    <cellStyle name="Normal 2 4 13 3 2 2" xfId="38257"/>
    <cellStyle name="Normal 2 4 13 3 3" xfId="38258"/>
    <cellStyle name="Normal 2 4 13 3 4" xfId="38259"/>
    <cellStyle name="Normal 2 4 13 4" xfId="38260"/>
    <cellStyle name="Normal 2 4 13 4 2" xfId="38261"/>
    <cellStyle name="Normal 2 4 13 4 2 2" xfId="38262"/>
    <cellStyle name="Normal 2 4 13 4 3" xfId="38263"/>
    <cellStyle name="Normal 2 4 13 4 4" xfId="38264"/>
    <cellStyle name="Normal 2 4 13 5" xfId="38265"/>
    <cellStyle name="Normal 2 4 13 5 2" xfId="38266"/>
    <cellStyle name="Normal 2 4 13 6" xfId="38267"/>
    <cellStyle name="Normal 2 4 13 7" xfId="38268"/>
    <cellStyle name="Normal 2 4 13 8" xfId="38269"/>
    <cellStyle name="Normal 2 4 14" xfId="38270"/>
    <cellStyle name="Normal 2 4 15" xfId="38271"/>
    <cellStyle name="Normal 2 4 2" xfId="26"/>
    <cellStyle name="Normal 2 4 2 2" xfId="4164"/>
    <cellStyle name="Normal 2 4 2 2 2" xfId="4165"/>
    <cellStyle name="Normal 2 4 2 2 2 2" xfId="38272"/>
    <cellStyle name="Normal 2 4 2 2 2 2 2" xfId="38273"/>
    <cellStyle name="Normal 2 4 2 2 2 2 2 2" xfId="38274"/>
    <cellStyle name="Normal 2 4 2 2 2 2 2 3" xfId="38275"/>
    <cellStyle name="Normal 2 4 2 2 2 2 3" xfId="38276"/>
    <cellStyle name="Normal 2 4 2 2 2 2 3 2" xfId="38277"/>
    <cellStyle name="Normal 2 4 2 2 2 2 4" xfId="38278"/>
    <cellStyle name="Normal 2 4 2 2 2 2 5" xfId="38279"/>
    <cellStyle name="Normal 2 4 2 2 2 3" xfId="38280"/>
    <cellStyle name="Normal 2 4 2 2 2 3 2" xfId="38281"/>
    <cellStyle name="Normal 2 4 2 2 2 3 2 2" xfId="38282"/>
    <cellStyle name="Normal 2 4 2 2 2 3 3" xfId="38283"/>
    <cellStyle name="Normal 2 4 2 2 2 3 4" xfId="38284"/>
    <cellStyle name="Normal 2 4 2 2 2 4" xfId="38285"/>
    <cellStyle name="Normal 2 4 2 2 2 4 2" xfId="38286"/>
    <cellStyle name="Normal 2 4 2 2 2 4 2 2" xfId="38287"/>
    <cellStyle name="Normal 2 4 2 2 2 4 3" xfId="38288"/>
    <cellStyle name="Normal 2 4 2 2 2 4 4" xfId="38289"/>
    <cellStyle name="Normal 2 4 2 2 2 5" xfId="38290"/>
    <cellStyle name="Normal 2 4 2 2 2 5 2" xfId="38291"/>
    <cellStyle name="Normal 2 4 2 2 2 6" xfId="38292"/>
    <cellStyle name="Normal 2 4 2 2 2 7" xfId="38293"/>
    <cellStyle name="Normal 2 4 2 2 2 8" xfId="38294"/>
    <cellStyle name="Normal 2 4 2 2 3" xfId="38295"/>
    <cellStyle name="Normal 2 4 2 2 3 2" xfId="38296"/>
    <cellStyle name="Normal 2 4 2 2 3 2 2" xfId="38297"/>
    <cellStyle name="Normal 2 4 2 2 3 2 2 2" xfId="38298"/>
    <cellStyle name="Normal 2 4 2 2 3 2 2 3" xfId="38299"/>
    <cellStyle name="Normal 2 4 2 2 3 2 3" xfId="38300"/>
    <cellStyle name="Normal 2 4 2 2 3 2 3 2" xfId="38301"/>
    <cellStyle name="Normal 2 4 2 2 3 2 4" xfId="38302"/>
    <cellStyle name="Normal 2 4 2 2 3 2 5" xfId="38303"/>
    <cellStyle name="Normal 2 4 2 2 3 3" xfId="38304"/>
    <cellStyle name="Normal 2 4 2 2 3 3 2" xfId="38305"/>
    <cellStyle name="Normal 2 4 2 2 3 3 2 2" xfId="38306"/>
    <cellStyle name="Normal 2 4 2 2 3 3 3" xfId="38307"/>
    <cellStyle name="Normal 2 4 2 2 3 3 4" xfId="38308"/>
    <cellStyle name="Normal 2 4 2 2 3 4" xfId="38309"/>
    <cellStyle name="Normal 2 4 2 2 3 4 2" xfId="38310"/>
    <cellStyle name="Normal 2 4 2 2 3 4 2 2" xfId="38311"/>
    <cellStyle name="Normal 2 4 2 2 3 4 3" xfId="38312"/>
    <cellStyle name="Normal 2 4 2 2 3 4 4" xfId="38313"/>
    <cellStyle name="Normal 2 4 2 2 3 5" xfId="38314"/>
    <cellStyle name="Normal 2 4 2 2 3 5 2" xfId="38315"/>
    <cellStyle name="Normal 2 4 2 2 3 6" xfId="38316"/>
    <cellStyle name="Normal 2 4 2 2 3 7" xfId="38317"/>
    <cellStyle name="Normal 2 4 2 2 3 8" xfId="38318"/>
    <cellStyle name="Normal 2 4 2 2 4" xfId="38319"/>
    <cellStyle name="Normal 2 4 2 2 4 2" xfId="38320"/>
    <cellStyle name="Normal 2 4 2 2 4 2 2" xfId="38321"/>
    <cellStyle name="Normal 2 4 2 2 4 2 2 2" xfId="38322"/>
    <cellStyle name="Normal 2 4 2 2 4 2 2 3" xfId="38323"/>
    <cellStyle name="Normal 2 4 2 2 4 2 3" xfId="38324"/>
    <cellStyle name="Normal 2 4 2 2 4 2 3 2" xfId="38325"/>
    <cellStyle name="Normal 2 4 2 2 4 2 4" xfId="38326"/>
    <cellStyle name="Normal 2 4 2 2 4 2 5" xfId="38327"/>
    <cellStyle name="Normal 2 4 2 2 4 3" xfId="38328"/>
    <cellStyle name="Normal 2 4 2 2 4 3 2" xfId="38329"/>
    <cellStyle name="Normal 2 4 2 2 4 3 2 2" xfId="38330"/>
    <cellStyle name="Normal 2 4 2 2 4 3 3" xfId="38331"/>
    <cellStyle name="Normal 2 4 2 2 4 3 4" xfId="38332"/>
    <cellStyle name="Normal 2 4 2 2 4 4" xfId="38333"/>
    <cellStyle name="Normal 2 4 2 2 4 4 2" xfId="38334"/>
    <cellStyle name="Normal 2 4 2 2 4 4 2 2" xfId="38335"/>
    <cellStyle name="Normal 2 4 2 2 4 4 3" xfId="38336"/>
    <cellStyle name="Normal 2 4 2 2 4 4 4" xfId="38337"/>
    <cellStyle name="Normal 2 4 2 2 4 5" xfId="38338"/>
    <cellStyle name="Normal 2 4 2 2 4 5 2" xfId="38339"/>
    <cellStyle name="Normal 2 4 2 2 4 6" xfId="38340"/>
    <cellStyle name="Normal 2 4 2 2 4 7" xfId="38341"/>
    <cellStyle name="Normal 2 4 2 2 4 8" xfId="38342"/>
    <cellStyle name="Normal 2 4 2 2 5" xfId="38343"/>
    <cellStyle name="Normal 2 4 2 2 6" xfId="38344"/>
    <cellStyle name="Normal 2 4 2 3" xfId="4166"/>
    <cellStyle name="Normal 2 4 2 3 2" xfId="4167"/>
    <cellStyle name="Normal 2 4 2 4" xfId="4168"/>
    <cellStyle name="Normal 2 4 2 4 2" xfId="38345"/>
    <cellStyle name="Normal 2 4 2 5" xfId="38346"/>
    <cellStyle name="Normal 2 4 2 5 2" xfId="38347"/>
    <cellStyle name="Normal 2 4 2 5 2 2" xfId="38348"/>
    <cellStyle name="Normal 2 4 2 5 2 2 2" xfId="38349"/>
    <cellStyle name="Normal 2 4 2 5 2 2 3" xfId="38350"/>
    <cellStyle name="Normal 2 4 2 5 2 3" xfId="38351"/>
    <cellStyle name="Normal 2 4 2 5 2 3 2" xfId="38352"/>
    <cellStyle name="Normal 2 4 2 5 2 4" xfId="38353"/>
    <cellStyle name="Normal 2 4 2 5 2 5" xfId="38354"/>
    <cellStyle name="Normal 2 4 2 5 3" xfId="38355"/>
    <cellStyle name="Normal 2 4 2 5 3 2" xfId="38356"/>
    <cellStyle name="Normal 2 4 2 5 3 2 2" xfId="38357"/>
    <cellStyle name="Normal 2 4 2 5 3 3" xfId="38358"/>
    <cellStyle name="Normal 2 4 2 5 3 4" xfId="38359"/>
    <cellStyle name="Normal 2 4 2 5 4" xfId="38360"/>
    <cellStyle name="Normal 2 4 2 5 4 2" xfId="38361"/>
    <cellStyle name="Normal 2 4 2 5 4 2 2" xfId="38362"/>
    <cellStyle name="Normal 2 4 2 5 4 3" xfId="38363"/>
    <cellStyle name="Normal 2 4 2 5 4 4" xfId="38364"/>
    <cellStyle name="Normal 2 4 2 5 5" xfId="38365"/>
    <cellStyle name="Normal 2 4 2 5 5 2" xfId="38366"/>
    <cellStyle name="Normal 2 4 2 5 6" xfId="38367"/>
    <cellStyle name="Normal 2 4 2 5 7" xfId="38368"/>
    <cellStyle name="Normal 2 4 2 5 8" xfId="38369"/>
    <cellStyle name="Normal 2 4 2 6" xfId="38370"/>
    <cellStyle name="Normal 2 4 2 6 2" xfId="38371"/>
    <cellStyle name="Normal 2 4 2 6 2 2" xfId="38372"/>
    <cellStyle name="Normal 2 4 2 6 2 2 2" xfId="38373"/>
    <cellStyle name="Normal 2 4 2 6 2 2 3" xfId="38374"/>
    <cellStyle name="Normal 2 4 2 6 2 3" xfId="38375"/>
    <cellStyle name="Normal 2 4 2 6 2 3 2" xfId="38376"/>
    <cellStyle name="Normal 2 4 2 6 2 4" xfId="38377"/>
    <cellStyle name="Normal 2 4 2 6 2 5" xfId="38378"/>
    <cellStyle name="Normal 2 4 2 6 3" xfId="38379"/>
    <cellStyle name="Normal 2 4 2 6 3 2" xfId="38380"/>
    <cellStyle name="Normal 2 4 2 6 3 2 2" xfId="38381"/>
    <cellStyle name="Normal 2 4 2 6 3 3" xfId="38382"/>
    <cellStyle name="Normal 2 4 2 6 3 4" xfId="38383"/>
    <cellStyle name="Normal 2 4 2 6 4" xfId="38384"/>
    <cellStyle name="Normal 2 4 2 6 4 2" xfId="38385"/>
    <cellStyle name="Normal 2 4 2 6 4 2 2" xfId="38386"/>
    <cellStyle name="Normal 2 4 2 6 4 3" xfId="38387"/>
    <cellStyle name="Normal 2 4 2 6 4 4" xfId="38388"/>
    <cellStyle name="Normal 2 4 2 6 5" xfId="38389"/>
    <cellStyle name="Normal 2 4 2 6 5 2" xfId="38390"/>
    <cellStyle name="Normal 2 4 2 6 6" xfId="38391"/>
    <cellStyle name="Normal 2 4 2 6 7" xfId="38392"/>
    <cellStyle name="Normal 2 4 2 6 8" xfId="38393"/>
    <cellStyle name="Normal 2 4 2 7" xfId="38394"/>
    <cellStyle name="Normal 2 4 2 7 2" xfId="38395"/>
    <cellStyle name="Normal 2 4 2 7 2 2" xfId="38396"/>
    <cellStyle name="Normal 2 4 2 7 2 2 2" xfId="38397"/>
    <cellStyle name="Normal 2 4 2 7 2 2 3" xfId="38398"/>
    <cellStyle name="Normal 2 4 2 7 2 3" xfId="38399"/>
    <cellStyle name="Normal 2 4 2 7 2 3 2" xfId="38400"/>
    <cellStyle name="Normal 2 4 2 7 2 4" xfId="38401"/>
    <cellStyle name="Normal 2 4 2 7 2 5" xfId="38402"/>
    <cellStyle name="Normal 2 4 2 7 3" xfId="38403"/>
    <cellStyle name="Normal 2 4 2 7 3 2" xfId="38404"/>
    <cellStyle name="Normal 2 4 2 7 3 2 2" xfId="38405"/>
    <cellStyle name="Normal 2 4 2 7 3 3" xfId="38406"/>
    <cellStyle name="Normal 2 4 2 7 3 4" xfId="38407"/>
    <cellStyle name="Normal 2 4 2 7 4" xfId="38408"/>
    <cellStyle name="Normal 2 4 2 7 4 2" xfId="38409"/>
    <cellStyle name="Normal 2 4 2 7 4 2 2" xfId="38410"/>
    <cellStyle name="Normal 2 4 2 7 4 3" xfId="38411"/>
    <cellStyle name="Normal 2 4 2 7 4 4" xfId="38412"/>
    <cellStyle name="Normal 2 4 2 7 5" xfId="38413"/>
    <cellStyle name="Normal 2 4 2 7 5 2" xfId="38414"/>
    <cellStyle name="Normal 2 4 2 7 6" xfId="38415"/>
    <cellStyle name="Normal 2 4 2 7 7" xfId="38416"/>
    <cellStyle name="Normal 2 4 2 7 8" xfId="38417"/>
    <cellStyle name="Normal 2 4 2 8" xfId="38418"/>
    <cellStyle name="Normal 2 4 2 9" xfId="38419"/>
    <cellStyle name="Normal 2 4 3" xfId="4169"/>
    <cellStyle name="Normal 2 4 3 2" xfId="4170"/>
    <cellStyle name="Normal 2 4 3 2 2" xfId="38420"/>
    <cellStyle name="Normal 2 4 3 2 2 2" xfId="38421"/>
    <cellStyle name="Normal 2 4 3 3" xfId="38422"/>
    <cellStyle name="Normal 2 4 3 3 2" xfId="38423"/>
    <cellStyle name="Normal 2 4 3 3 3" xfId="38424"/>
    <cellStyle name="Normal 2 4 3 4" xfId="38425"/>
    <cellStyle name="Normal 2 4 3 4 2" xfId="38426"/>
    <cellStyle name="Normal 2 4 3 4 2 2" xfId="38427"/>
    <cellStyle name="Normal 2 4 3 4 2 2 2" xfId="38428"/>
    <cellStyle name="Normal 2 4 3 4 2 2 3" xfId="38429"/>
    <cellStyle name="Normal 2 4 3 4 2 3" xfId="38430"/>
    <cellStyle name="Normal 2 4 3 4 2 3 2" xfId="38431"/>
    <cellStyle name="Normal 2 4 3 4 2 4" xfId="38432"/>
    <cellStyle name="Normal 2 4 3 4 2 5" xfId="38433"/>
    <cellStyle name="Normal 2 4 3 4 3" xfId="38434"/>
    <cellStyle name="Normal 2 4 3 4 3 2" xfId="38435"/>
    <cellStyle name="Normal 2 4 3 4 3 2 2" xfId="38436"/>
    <cellStyle name="Normal 2 4 3 4 3 3" xfId="38437"/>
    <cellStyle name="Normal 2 4 3 4 3 4" xfId="38438"/>
    <cellStyle name="Normal 2 4 3 4 4" xfId="38439"/>
    <cellStyle name="Normal 2 4 3 4 4 2" xfId="38440"/>
    <cellStyle name="Normal 2 4 3 4 4 2 2" xfId="38441"/>
    <cellStyle name="Normal 2 4 3 4 4 3" xfId="38442"/>
    <cellStyle name="Normal 2 4 3 4 4 4" xfId="38443"/>
    <cellStyle name="Normal 2 4 3 4 5" xfId="38444"/>
    <cellStyle name="Normal 2 4 3 4 5 2" xfId="38445"/>
    <cellStyle name="Normal 2 4 3 4 6" xfId="38446"/>
    <cellStyle name="Normal 2 4 3 4 7" xfId="38447"/>
    <cellStyle name="Normal 2 4 3 4 8" xfId="38448"/>
    <cellStyle name="Normal 2 4 3 5" xfId="38449"/>
    <cellStyle name="Normal 2 4 3 5 2" xfId="38450"/>
    <cellStyle name="Normal 2 4 3 5 2 2" xfId="38451"/>
    <cellStyle name="Normal 2 4 3 5 2 2 2" xfId="38452"/>
    <cellStyle name="Normal 2 4 3 5 2 2 3" xfId="38453"/>
    <cellStyle name="Normal 2 4 3 5 2 3" xfId="38454"/>
    <cellStyle name="Normal 2 4 3 5 2 3 2" xfId="38455"/>
    <cellStyle name="Normal 2 4 3 5 2 4" xfId="38456"/>
    <cellStyle name="Normal 2 4 3 5 2 5" xfId="38457"/>
    <cellStyle name="Normal 2 4 3 5 3" xfId="38458"/>
    <cellStyle name="Normal 2 4 3 5 3 2" xfId="38459"/>
    <cellStyle name="Normal 2 4 3 5 3 2 2" xfId="38460"/>
    <cellStyle name="Normal 2 4 3 5 3 3" xfId="38461"/>
    <cellStyle name="Normal 2 4 3 5 3 4" xfId="38462"/>
    <cellStyle name="Normal 2 4 3 5 4" xfId="38463"/>
    <cellStyle name="Normal 2 4 3 5 4 2" xfId="38464"/>
    <cellStyle name="Normal 2 4 3 5 4 2 2" xfId="38465"/>
    <cellStyle name="Normal 2 4 3 5 4 3" xfId="38466"/>
    <cellStyle name="Normal 2 4 3 5 4 4" xfId="38467"/>
    <cellStyle name="Normal 2 4 3 5 5" xfId="38468"/>
    <cellStyle name="Normal 2 4 3 5 5 2" xfId="38469"/>
    <cellStyle name="Normal 2 4 3 5 6" xfId="38470"/>
    <cellStyle name="Normal 2 4 3 5 7" xfId="38471"/>
    <cellStyle name="Normal 2 4 3 5 8" xfId="38472"/>
    <cellStyle name="Normal 2 4 3 6" xfId="38473"/>
    <cellStyle name="Normal 2 4 3 6 2" xfId="38474"/>
    <cellStyle name="Normal 2 4 3 6 2 2" xfId="38475"/>
    <cellStyle name="Normal 2 4 3 6 2 2 2" xfId="38476"/>
    <cellStyle name="Normal 2 4 3 6 2 2 3" xfId="38477"/>
    <cellStyle name="Normal 2 4 3 6 2 3" xfId="38478"/>
    <cellStyle name="Normal 2 4 3 6 2 3 2" xfId="38479"/>
    <cellStyle name="Normal 2 4 3 6 2 4" xfId="38480"/>
    <cellStyle name="Normal 2 4 3 6 2 5" xfId="38481"/>
    <cellStyle name="Normal 2 4 3 6 3" xfId="38482"/>
    <cellStyle name="Normal 2 4 3 6 3 2" xfId="38483"/>
    <cellStyle name="Normal 2 4 3 6 3 2 2" xfId="38484"/>
    <cellStyle name="Normal 2 4 3 6 3 3" xfId="38485"/>
    <cellStyle name="Normal 2 4 3 6 3 4" xfId="38486"/>
    <cellStyle name="Normal 2 4 3 6 4" xfId="38487"/>
    <cellStyle name="Normal 2 4 3 6 4 2" xfId="38488"/>
    <cellStyle name="Normal 2 4 3 6 4 2 2" xfId="38489"/>
    <cellStyle name="Normal 2 4 3 6 4 3" xfId="38490"/>
    <cellStyle name="Normal 2 4 3 6 4 4" xfId="38491"/>
    <cellStyle name="Normal 2 4 3 6 5" xfId="38492"/>
    <cellStyle name="Normal 2 4 3 6 5 2" xfId="38493"/>
    <cellStyle name="Normal 2 4 3 6 6" xfId="38494"/>
    <cellStyle name="Normal 2 4 3 6 7" xfId="38495"/>
    <cellStyle name="Normal 2 4 3 6 8" xfId="38496"/>
    <cellStyle name="Normal 2 4 3 7" xfId="38497"/>
    <cellStyle name="Normal 2 4 3_Dakota Panel" xfId="38498"/>
    <cellStyle name="Normal 2 4 4" xfId="4171"/>
    <cellStyle name="Normal 2 4 4 2" xfId="38499"/>
    <cellStyle name="Normal 2 4 5" xfId="38500"/>
    <cellStyle name="Normal 2 4 5 2" xfId="38501"/>
    <cellStyle name="Normal 2 4 6" xfId="38502"/>
    <cellStyle name="Normal 2 4 6 2" xfId="38503"/>
    <cellStyle name="Normal 2 4 7" xfId="38504"/>
    <cellStyle name="Normal 2 4 7 2" xfId="38505"/>
    <cellStyle name="Normal 2 4 8" xfId="38506"/>
    <cellStyle name="Normal 2 4 8 2" xfId="38507"/>
    <cellStyle name="Normal 2 4 9" xfId="38508"/>
    <cellStyle name="Normal 2 4 9 2" xfId="38509"/>
    <cellStyle name="Normal 2 5" xfId="4172"/>
    <cellStyle name="Normal 2 5 10" xfId="38510"/>
    <cellStyle name="Normal 2 5 10 2" xfId="38511"/>
    <cellStyle name="Normal 2 5 11" xfId="38512"/>
    <cellStyle name="Normal 2 5 11 2" xfId="38513"/>
    <cellStyle name="Normal 2 5 11 2 2" xfId="38514"/>
    <cellStyle name="Normal 2 5 11 2 2 2" xfId="38515"/>
    <cellStyle name="Normal 2 5 11 2 2 3" xfId="38516"/>
    <cellStyle name="Normal 2 5 11 2 3" xfId="38517"/>
    <cellStyle name="Normal 2 5 11 2 3 2" xfId="38518"/>
    <cellStyle name="Normal 2 5 11 2 4" xfId="38519"/>
    <cellStyle name="Normal 2 5 11 2 5" xfId="38520"/>
    <cellStyle name="Normal 2 5 11 3" xfId="38521"/>
    <cellStyle name="Normal 2 5 11 3 2" xfId="38522"/>
    <cellStyle name="Normal 2 5 11 3 2 2" xfId="38523"/>
    <cellStyle name="Normal 2 5 11 3 3" xfId="38524"/>
    <cellStyle name="Normal 2 5 11 3 4" xfId="38525"/>
    <cellStyle name="Normal 2 5 11 4" xfId="38526"/>
    <cellStyle name="Normal 2 5 11 4 2" xfId="38527"/>
    <cellStyle name="Normal 2 5 11 4 2 2" xfId="38528"/>
    <cellStyle name="Normal 2 5 11 4 3" xfId="38529"/>
    <cellStyle name="Normal 2 5 11 4 4" xfId="38530"/>
    <cellStyle name="Normal 2 5 11 5" xfId="38531"/>
    <cellStyle name="Normal 2 5 11 5 2" xfId="38532"/>
    <cellStyle name="Normal 2 5 11 6" xfId="38533"/>
    <cellStyle name="Normal 2 5 11 7" xfId="38534"/>
    <cellStyle name="Normal 2 5 11 8" xfId="38535"/>
    <cellStyle name="Normal 2 5 12" xfId="38536"/>
    <cellStyle name="Normal 2 5 12 2" xfId="38537"/>
    <cellStyle name="Normal 2 5 12 2 2" xfId="38538"/>
    <cellStyle name="Normal 2 5 12 2 2 2" xfId="38539"/>
    <cellStyle name="Normal 2 5 12 2 2 3" xfId="38540"/>
    <cellStyle name="Normal 2 5 12 2 3" xfId="38541"/>
    <cellStyle name="Normal 2 5 12 2 3 2" xfId="38542"/>
    <cellStyle name="Normal 2 5 12 2 4" xfId="38543"/>
    <cellStyle name="Normal 2 5 12 2 5" xfId="38544"/>
    <cellStyle name="Normal 2 5 12 3" xfId="38545"/>
    <cellStyle name="Normal 2 5 12 3 2" xfId="38546"/>
    <cellStyle name="Normal 2 5 12 3 2 2" xfId="38547"/>
    <cellStyle name="Normal 2 5 12 3 3" xfId="38548"/>
    <cellStyle name="Normal 2 5 12 3 4" xfId="38549"/>
    <cellStyle name="Normal 2 5 12 4" xfId="38550"/>
    <cellStyle name="Normal 2 5 12 4 2" xfId="38551"/>
    <cellStyle name="Normal 2 5 12 4 2 2" xfId="38552"/>
    <cellStyle name="Normal 2 5 12 4 3" xfId="38553"/>
    <cellStyle name="Normal 2 5 12 4 4" xfId="38554"/>
    <cellStyle name="Normal 2 5 12 5" xfId="38555"/>
    <cellStyle name="Normal 2 5 12 5 2" xfId="38556"/>
    <cellStyle name="Normal 2 5 12 6" xfId="38557"/>
    <cellStyle name="Normal 2 5 12 7" xfId="38558"/>
    <cellStyle name="Normal 2 5 12 8" xfId="38559"/>
    <cellStyle name="Normal 2 5 13" xfId="38560"/>
    <cellStyle name="Normal 2 5 13 2" xfId="38561"/>
    <cellStyle name="Normal 2 5 13 2 2" xfId="38562"/>
    <cellStyle name="Normal 2 5 13 2 2 2" xfId="38563"/>
    <cellStyle name="Normal 2 5 13 2 2 3" xfId="38564"/>
    <cellStyle name="Normal 2 5 13 2 3" xfId="38565"/>
    <cellStyle name="Normal 2 5 13 2 3 2" xfId="38566"/>
    <cellStyle name="Normal 2 5 13 2 4" xfId="38567"/>
    <cellStyle name="Normal 2 5 13 2 5" xfId="38568"/>
    <cellStyle name="Normal 2 5 13 3" xfId="38569"/>
    <cellStyle name="Normal 2 5 13 3 2" xfId="38570"/>
    <cellStyle name="Normal 2 5 13 3 2 2" xfId="38571"/>
    <cellStyle name="Normal 2 5 13 3 3" xfId="38572"/>
    <cellStyle name="Normal 2 5 13 3 4" xfId="38573"/>
    <cellStyle name="Normal 2 5 13 4" xfId="38574"/>
    <cellStyle name="Normal 2 5 13 4 2" xfId="38575"/>
    <cellStyle name="Normal 2 5 13 4 2 2" xfId="38576"/>
    <cellStyle name="Normal 2 5 13 4 3" xfId="38577"/>
    <cellStyle name="Normal 2 5 13 4 4" xfId="38578"/>
    <cellStyle name="Normal 2 5 13 5" xfId="38579"/>
    <cellStyle name="Normal 2 5 13 5 2" xfId="38580"/>
    <cellStyle name="Normal 2 5 13 6" xfId="38581"/>
    <cellStyle name="Normal 2 5 13 7" xfId="38582"/>
    <cellStyle name="Normal 2 5 13 8" xfId="38583"/>
    <cellStyle name="Normal 2 5 14" xfId="38584"/>
    <cellStyle name="Normal 2 5 15" xfId="38585"/>
    <cellStyle name="Normal 2 5 2" xfId="4173"/>
    <cellStyle name="Normal 2 5 2 2" xfId="38586"/>
    <cellStyle name="Normal 2 5 2 2 2" xfId="38587"/>
    <cellStyle name="Normal 2 5 2 3" xfId="38588"/>
    <cellStyle name="Normal 2 5 2 3 2" xfId="38589"/>
    <cellStyle name="Normal 2 5 2 3 2 2" xfId="38590"/>
    <cellStyle name="Normal 2 5 2 3 2 2 2" xfId="38591"/>
    <cellStyle name="Normal 2 5 2 3 2 2 3" xfId="38592"/>
    <cellStyle name="Normal 2 5 2 3 2 3" xfId="38593"/>
    <cellStyle name="Normal 2 5 2 3 2 3 2" xfId="38594"/>
    <cellStyle name="Normal 2 5 2 3 2 4" xfId="38595"/>
    <cellStyle name="Normal 2 5 2 3 2 5" xfId="38596"/>
    <cellStyle name="Normal 2 5 2 3 3" xfId="38597"/>
    <cellStyle name="Normal 2 5 2 3 3 2" xfId="38598"/>
    <cellStyle name="Normal 2 5 2 3 3 2 2" xfId="38599"/>
    <cellStyle name="Normal 2 5 2 3 3 3" xfId="38600"/>
    <cellStyle name="Normal 2 5 2 3 3 4" xfId="38601"/>
    <cellStyle name="Normal 2 5 2 3 4" xfId="38602"/>
    <cellStyle name="Normal 2 5 2 3 4 2" xfId="38603"/>
    <cellStyle name="Normal 2 5 2 3 4 2 2" xfId="38604"/>
    <cellStyle name="Normal 2 5 2 3 4 3" xfId="38605"/>
    <cellStyle name="Normal 2 5 2 3 4 4" xfId="38606"/>
    <cellStyle name="Normal 2 5 2 3 5" xfId="38607"/>
    <cellStyle name="Normal 2 5 2 3 5 2" xfId="38608"/>
    <cellStyle name="Normal 2 5 2 3 6" xfId="38609"/>
    <cellStyle name="Normal 2 5 2 3 7" xfId="38610"/>
    <cellStyle name="Normal 2 5 2 3 8" xfId="38611"/>
    <cellStyle name="Normal 2 5 2 4" xfId="38612"/>
    <cellStyle name="Normal 2 5 2 4 2" xfId="38613"/>
    <cellStyle name="Normal 2 5 2 4 2 2" xfId="38614"/>
    <cellStyle name="Normal 2 5 2 4 2 2 2" xfId="38615"/>
    <cellStyle name="Normal 2 5 2 4 2 2 3" xfId="38616"/>
    <cellStyle name="Normal 2 5 2 4 2 3" xfId="38617"/>
    <cellStyle name="Normal 2 5 2 4 2 3 2" xfId="38618"/>
    <cellStyle name="Normal 2 5 2 4 2 4" xfId="38619"/>
    <cellStyle name="Normal 2 5 2 4 2 5" xfId="38620"/>
    <cellStyle name="Normal 2 5 2 4 3" xfId="38621"/>
    <cellStyle name="Normal 2 5 2 4 3 2" xfId="38622"/>
    <cellStyle name="Normal 2 5 2 4 3 2 2" xfId="38623"/>
    <cellStyle name="Normal 2 5 2 4 3 3" xfId="38624"/>
    <cellStyle name="Normal 2 5 2 4 3 4" xfId="38625"/>
    <cellStyle name="Normal 2 5 2 4 4" xfId="38626"/>
    <cellStyle name="Normal 2 5 2 4 4 2" xfId="38627"/>
    <cellStyle name="Normal 2 5 2 4 4 2 2" xfId="38628"/>
    <cellStyle name="Normal 2 5 2 4 4 3" xfId="38629"/>
    <cellStyle name="Normal 2 5 2 4 4 4" xfId="38630"/>
    <cellStyle name="Normal 2 5 2 4 5" xfId="38631"/>
    <cellStyle name="Normal 2 5 2 4 5 2" xfId="38632"/>
    <cellStyle name="Normal 2 5 2 4 6" xfId="38633"/>
    <cellStyle name="Normal 2 5 2 4 7" xfId="38634"/>
    <cellStyle name="Normal 2 5 2 4 8" xfId="38635"/>
    <cellStyle name="Normal 2 5 2 5" xfId="38636"/>
    <cellStyle name="Normal 2 5 2 5 2" xfId="38637"/>
    <cellStyle name="Normal 2 5 2 5 2 2" xfId="38638"/>
    <cellStyle name="Normal 2 5 2 5 2 2 2" xfId="38639"/>
    <cellStyle name="Normal 2 5 2 5 2 2 3" xfId="38640"/>
    <cellStyle name="Normal 2 5 2 5 2 3" xfId="38641"/>
    <cellStyle name="Normal 2 5 2 5 2 3 2" xfId="38642"/>
    <cellStyle name="Normal 2 5 2 5 2 4" xfId="38643"/>
    <cellStyle name="Normal 2 5 2 5 2 5" xfId="38644"/>
    <cellStyle name="Normal 2 5 2 5 3" xfId="38645"/>
    <cellStyle name="Normal 2 5 2 5 3 2" xfId="38646"/>
    <cellStyle name="Normal 2 5 2 5 3 2 2" xfId="38647"/>
    <cellStyle name="Normal 2 5 2 5 3 3" xfId="38648"/>
    <cellStyle name="Normal 2 5 2 5 3 4" xfId="38649"/>
    <cellStyle name="Normal 2 5 2 5 4" xfId="38650"/>
    <cellStyle name="Normal 2 5 2 5 4 2" xfId="38651"/>
    <cellStyle name="Normal 2 5 2 5 4 2 2" xfId="38652"/>
    <cellStyle name="Normal 2 5 2 5 4 3" xfId="38653"/>
    <cellStyle name="Normal 2 5 2 5 4 4" xfId="38654"/>
    <cellStyle name="Normal 2 5 2 5 5" xfId="38655"/>
    <cellStyle name="Normal 2 5 2 5 5 2" xfId="38656"/>
    <cellStyle name="Normal 2 5 2 5 6" xfId="38657"/>
    <cellStyle name="Normal 2 5 2 5 7" xfId="38658"/>
    <cellStyle name="Normal 2 5 2 5 8" xfId="38659"/>
    <cellStyle name="Normal 2 5 3" xfId="4174"/>
    <cellStyle name="Normal 2 5 3 2" xfId="38660"/>
    <cellStyle name="Normal 2 5 4" xfId="38661"/>
    <cellStyle name="Normal 2 5 4 2" xfId="38662"/>
    <cellStyle name="Normal 2 5 5" xfId="38663"/>
    <cellStyle name="Normal 2 5 5 2" xfId="38664"/>
    <cellStyle name="Normal 2 5 6" xfId="38665"/>
    <cellStyle name="Normal 2 5 6 2" xfId="38666"/>
    <cellStyle name="Normal 2 5 7" xfId="38667"/>
    <cellStyle name="Normal 2 5 7 2" xfId="38668"/>
    <cellStyle name="Normal 2 5 8" xfId="38669"/>
    <cellStyle name="Normal 2 5 8 2" xfId="38670"/>
    <cellStyle name="Normal 2 5 9" xfId="38671"/>
    <cellStyle name="Normal 2 5 9 2" xfId="38672"/>
    <cellStyle name="Normal 2 6" xfId="4175"/>
    <cellStyle name="Normal 2 6 10" xfId="38673"/>
    <cellStyle name="Normal 2 6 10 2" xfId="38674"/>
    <cellStyle name="Normal 2 6 11" xfId="38675"/>
    <cellStyle name="Normal 2 6 11 2" xfId="38676"/>
    <cellStyle name="Normal 2 6 11 2 2" xfId="38677"/>
    <cellStyle name="Normal 2 6 11 2 2 2" xfId="38678"/>
    <cellStyle name="Normal 2 6 11 2 2 3" xfId="38679"/>
    <cellStyle name="Normal 2 6 11 2 3" xfId="38680"/>
    <cellStyle name="Normal 2 6 11 2 3 2" xfId="38681"/>
    <cellStyle name="Normal 2 6 11 2 4" xfId="38682"/>
    <cellStyle name="Normal 2 6 11 2 5" xfId="38683"/>
    <cellStyle name="Normal 2 6 11 3" xfId="38684"/>
    <cellStyle name="Normal 2 6 11 3 2" xfId="38685"/>
    <cellStyle name="Normal 2 6 11 3 2 2" xfId="38686"/>
    <cellStyle name="Normal 2 6 11 3 3" xfId="38687"/>
    <cellStyle name="Normal 2 6 11 3 4" xfId="38688"/>
    <cellStyle name="Normal 2 6 11 4" xfId="38689"/>
    <cellStyle name="Normal 2 6 11 4 2" xfId="38690"/>
    <cellStyle name="Normal 2 6 11 4 2 2" xfId="38691"/>
    <cellStyle name="Normal 2 6 11 4 3" xfId="38692"/>
    <cellStyle name="Normal 2 6 11 4 4" xfId="38693"/>
    <cellStyle name="Normal 2 6 11 5" xfId="38694"/>
    <cellStyle name="Normal 2 6 11 5 2" xfId="38695"/>
    <cellStyle name="Normal 2 6 11 6" xfId="38696"/>
    <cellStyle name="Normal 2 6 11 7" xfId="38697"/>
    <cellStyle name="Normal 2 6 11 8" xfId="38698"/>
    <cellStyle name="Normal 2 6 12" xfId="38699"/>
    <cellStyle name="Normal 2 6 12 2" xfId="38700"/>
    <cellStyle name="Normal 2 6 12 2 2" xfId="38701"/>
    <cellStyle name="Normal 2 6 12 2 2 2" xfId="38702"/>
    <cellStyle name="Normal 2 6 12 2 2 3" xfId="38703"/>
    <cellStyle name="Normal 2 6 12 2 3" xfId="38704"/>
    <cellStyle name="Normal 2 6 12 2 3 2" xfId="38705"/>
    <cellStyle name="Normal 2 6 12 2 4" xfId="38706"/>
    <cellStyle name="Normal 2 6 12 2 5" xfId="38707"/>
    <cellStyle name="Normal 2 6 12 3" xfId="38708"/>
    <cellStyle name="Normal 2 6 12 3 2" xfId="38709"/>
    <cellStyle name="Normal 2 6 12 3 2 2" xfId="38710"/>
    <cellStyle name="Normal 2 6 12 3 3" xfId="38711"/>
    <cellStyle name="Normal 2 6 12 3 4" xfId="38712"/>
    <cellStyle name="Normal 2 6 12 4" xfId="38713"/>
    <cellStyle name="Normal 2 6 12 4 2" xfId="38714"/>
    <cellStyle name="Normal 2 6 12 4 2 2" xfId="38715"/>
    <cellStyle name="Normal 2 6 12 4 3" xfId="38716"/>
    <cellStyle name="Normal 2 6 12 4 4" xfId="38717"/>
    <cellStyle name="Normal 2 6 12 5" xfId="38718"/>
    <cellStyle name="Normal 2 6 12 5 2" xfId="38719"/>
    <cellStyle name="Normal 2 6 12 6" xfId="38720"/>
    <cellStyle name="Normal 2 6 12 7" xfId="38721"/>
    <cellStyle name="Normal 2 6 12 8" xfId="38722"/>
    <cellStyle name="Normal 2 6 13" xfId="38723"/>
    <cellStyle name="Normal 2 6 13 2" xfId="38724"/>
    <cellStyle name="Normal 2 6 13 2 2" xfId="38725"/>
    <cellStyle name="Normal 2 6 13 2 2 2" xfId="38726"/>
    <cellStyle name="Normal 2 6 13 2 2 3" xfId="38727"/>
    <cellStyle name="Normal 2 6 13 2 3" xfId="38728"/>
    <cellStyle name="Normal 2 6 13 2 3 2" xfId="38729"/>
    <cellStyle name="Normal 2 6 13 2 4" xfId="38730"/>
    <cellStyle name="Normal 2 6 13 2 5" xfId="38731"/>
    <cellStyle name="Normal 2 6 13 3" xfId="38732"/>
    <cellStyle name="Normal 2 6 13 3 2" xfId="38733"/>
    <cellStyle name="Normal 2 6 13 3 2 2" xfId="38734"/>
    <cellStyle name="Normal 2 6 13 3 3" xfId="38735"/>
    <cellStyle name="Normal 2 6 13 3 4" xfId="38736"/>
    <cellStyle name="Normal 2 6 13 4" xfId="38737"/>
    <cellStyle name="Normal 2 6 13 4 2" xfId="38738"/>
    <cellStyle name="Normal 2 6 13 4 2 2" xfId="38739"/>
    <cellStyle name="Normal 2 6 13 4 3" xfId="38740"/>
    <cellStyle name="Normal 2 6 13 4 4" xfId="38741"/>
    <cellStyle name="Normal 2 6 13 5" xfId="38742"/>
    <cellStyle name="Normal 2 6 13 5 2" xfId="38743"/>
    <cellStyle name="Normal 2 6 13 6" xfId="38744"/>
    <cellStyle name="Normal 2 6 13 7" xfId="38745"/>
    <cellStyle name="Normal 2 6 13 8" xfId="38746"/>
    <cellStyle name="Normal 2 6 14" xfId="38747"/>
    <cellStyle name="Normal 2 6 15" xfId="38748"/>
    <cellStyle name="Normal 2 6 2" xfId="4176"/>
    <cellStyle name="Normal 2 6 2 2" xfId="38749"/>
    <cellStyle name="Normal 2 6 2 3" xfId="38750"/>
    <cellStyle name="Normal 2 6 3" xfId="38751"/>
    <cellStyle name="Normal 2 6 3 2" xfId="38752"/>
    <cellStyle name="Normal 2 6 4" xfId="38753"/>
    <cellStyle name="Normal 2 6 4 2" xfId="38754"/>
    <cellStyle name="Normal 2 6 5" xfId="38755"/>
    <cellStyle name="Normal 2 6 5 2" xfId="38756"/>
    <cellStyle name="Normal 2 6 6" xfId="38757"/>
    <cellStyle name="Normal 2 6 6 2" xfId="38758"/>
    <cellStyle name="Normal 2 6 7" xfId="38759"/>
    <cellStyle name="Normal 2 6 7 2" xfId="38760"/>
    <cellStyle name="Normal 2 6 8" xfId="38761"/>
    <cellStyle name="Normal 2 6 8 2" xfId="38762"/>
    <cellStyle name="Normal 2 6 9" xfId="38763"/>
    <cellStyle name="Normal 2 6 9 2" xfId="38764"/>
    <cellStyle name="Normal 2 7" xfId="4177"/>
    <cellStyle name="Normal 2 7 2" xfId="4178"/>
    <cellStyle name="Normal 2 7 2 2" xfId="38765"/>
    <cellStyle name="Normal 2 7 2 2 2" xfId="38766"/>
    <cellStyle name="Normal 2 7 2 2 3" xfId="38767"/>
    <cellStyle name="Normal 2 7 2 3" xfId="38768"/>
    <cellStyle name="Normal 2 7 3" xfId="38769"/>
    <cellStyle name="Normal 2 7 3 2" xfId="38770"/>
    <cellStyle name="Normal 2 7 3 2 2" xfId="38771"/>
    <cellStyle name="Normal 2 7 3 3" xfId="38772"/>
    <cellStyle name="Normal 2 7 3 4" xfId="38773"/>
    <cellStyle name="Normal 2 7 4" xfId="38774"/>
    <cellStyle name="Normal 2 7 4 2" xfId="38775"/>
    <cellStyle name="Normal 2 7 4 2 2" xfId="38776"/>
    <cellStyle name="Normal 2 7 4 3" xfId="38777"/>
    <cellStyle name="Normal 2 7 5" xfId="38778"/>
    <cellStyle name="Normal 2 7 5 2" xfId="38779"/>
    <cellStyle name="Normal 2 7 5 2 2" xfId="38780"/>
    <cellStyle name="Normal 2 7 5 3" xfId="38781"/>
    <cellStyle name="Normal 2 7 6" xfId="38782"/>
    <cellStyle name="Normal 2 7 6 2" xfId="38783"/>
    <cellStyle name="Normal 2 7 7" xfId="38784"/>
    <cellStyle name="Normal 2 7 7 2" xfId="38785"/>
    <cellStyle name="Normal 2 7 7 3" xfId="38786"/>
    <cellStyle name="Normal 2 7 8" xfId="38787"/>
    <cellStyle name="Normal 2 7 9" xfId="38788"/>
    <cellStyle name="Normal 2 7_Dakota Panel" xfId="38789"/>
    <cellStyle name="Normal 2 8" xfId="4179"/>
    <cellStyle name="Normal 2 8 2" xfId="4180"/>
    <cellStyle name="Normal 2 8 2 2" xfId="38790"/>
    <cellStyle name="Normal 2 8 2 3" xfId="38791"/>
    <cellStyle name="Normal 2 8 3" xfId="38792"/>
    <cellStyle name="Normal 2 8 3 2" xfId="38793"/>
    <cellStyle name="Normal 2 8 3 3" xfId="38794"/>
    <cellStyle name="Normal 2 8 4" xfId="38795"/>
    <cellStyle name="Normal 2 8 4 2" xfId="38796"/>
    <cellStyle name="Normal 2 8 4 2 2" xfId="38797"/>
    <cellStyle name="Normal 2 8 4 2 2 2" xfId="38798"/>
    <cellStyle name="Normal 2 8 4 2 2 3" xfId="38799"/>
    <cellStyle name="Normal 2 8 4 2 3" xfId="38800"/>
    <cellStyle name="Normal 2 8 4 2 3 2" xfId="38801"/>
    <cellStyle name="Normal 2 8 4 2 4" xfId="38802"/>
    <cellStyle name="Normal 2 8 4 2 5" xfId="38803"/>
    <cellStyle name="Normal 2 8 4 3" xfId="38804"/>
    <cellStyle name="Normal 2 8 4 3 2" xfId="38805"/>
    <cellStyle name="Normal 2 8 4 3 2 2" xfId="38806"/>
    <cellStyle name="Normal 2 8 4 3 3" xfId="38807"/>
    <cellStyle name="Normal 2 8 4 3 4" xfId="38808"/>
    <cellStyle name="Normal 2 8 4 4" xfId="38809"/>
    <cellStyle name="Normal 2 8 4 4 2" xfId="38810"/>
    <cellStyle name="Normal 2 8 4 4 2 2" xfId="38811"/>
    <cellStyle name="Normal 2 8 4 4 3" xfId="38812"/>
    <cellStyle name="Normal 2 8 4 4 4" xfId="38813"/>
    <cellStyle name="Normal 2 8 4 5" xfId="38814"/>
    <cellStyle name="Normal 2 8 4 5 2" xfId="38815"/>
    <cellStyle name="Normal 2 8 4 6" xfId="38816"/>
    <cellStyle name="Normal 2 8 4 7" xfId="38817"/>
    <cellStyle name="Normal 2 8 4 8" xfId="38818"/>
    <cellStyle name="Normal 2 8 5" xfId="38819"/>
    <cellStyle name="Normal 2 8 5 2" xfId="38820"/>
    <cellStyle name="Normal 2 8 5 2 2" xfId="38821"/>
    <cellStyle name="Normal 2 8 5 2 2 2" xfId="38822"/>
    <cellStyle name="Normal 2 8 5 2 2 3" xfId="38823"/>
    <cellStyle name="Normal 2 8 5 2 3" xfId="38824"/>
    <cellStyle name="Normal 2 8 5 2 3 2" xfId="38825"/>
    <cellStyle name="Normal 2 8 5 2 4" xfId="38826"/>
    <cellStyle name="Normal 2 8 5 2 5" xfId="38827"/>
    <cellStyle name="Normal 2 8 5 3" xfId="38828"/>
    <cellStyle name="Normal 2 8 5 3 2" xfId="38829"/>
    <cellStyle name="Normal 2 8 5 3 2 2" xfId="38830"/>
    <cellStyle name="Normal 2 8 5 3 3" xfId="38831"/>
    <cellStyle name="Normal 2 8 5 3 4" xfId="38832"/>
    <cellStyle name="Normal 2 8 5 4" xfId="38833"/>
    <cellStyle name="Normal 2 8 5 4 2" xfId="38834"/>
    <cellStyle name="Normal 2 8 5 4 2 2" xfId="38835"/>
    <cellStyle name="Normal 2 8 5 4 3" xfId="38836"/>
    <cellStyle name="Normal 2 8 5 4 4" xfId="38837"/>
    <cellStyle name="Normal 2 8 5 5" xfId="38838"/>
    <cellStyle name="Normal 2 8 5 5 2" xfId="38839"/>
    <cellStyle name="Normal 2 8 5 6" xfId="38840"/>
    <cellStyle name="Normal 2 8 5 7" xfId="38841"/>
    <cellStyle name="Normal 2 8 5 8" xfId="38842"/>
    <cellStyle name="Normal 2 8 6" xfId="38843"/>
    <cellStyle name="Normal 2 8 6 2" xfId="38844"/>
    <cellStyle name="Normal 2 8 6 2 2" xfId="38845"/>
    <cellStyle name="Normal 2 8 6 2 2 2" xfId="38846"/>
    <cellStyle name="Normal 2 8 6 2 2 3" xfId="38847"/>
    <cellStyle name="Normal 2 8 6 2 3" xfId="38848"/>
    <cellStyle name="Normal 2 8 6 2 3 2" xfId="38849"/>
    <cellStyle name="Normal 2 8 6 2 4" xfId="38850"/>
    <cellStyle name="Normal 2 8 6 2 5" xfId="38851"/>
    <cellStyle name="Normal 2 8 6 3" xfId="38852"/>
    <cellStyle name="Normal 2 8 6 3 2" xfId="38853"/>
    <cellStyle name="Normal 2 8 6 3 2 2" xfId="38854"/>
    <cellStyle name="Normal 2 8 6 3 3" xfId="38855"/>
    <cellStyle name="Normal 2 8 6 3 4" xfId="38856"/>
    <cellStyle name="Normal 2 8 6 4" xfId="38857"/>
    <cellStyle name="Normal 2 8 6 4 2" xfId="38858"/>
    <cellStyle name="Normal 2 8 6 4 2 2" xfId="38859"/>
    <cellStyle name="Normal 2 8 6 4 3" xfId="38860"/>
    <cellStyle name="Normal 2 8 6 4 4" xfId="38861"/>
    <cellStyle name="Normal 2 8 6 5" xfId="38862"/>
    <cellStyle name="Normal 2 8 6 5 2" xfId="38863"/>
    <cellStyle name="Normal 2 8 6 6" xfId="38864"/>
    <cellStyle name="Normal 2 8 6 7" xfId="38865"/>
    <cellStyle name="Normal 2 8 6 8" xfId="38866"/>
    <cellStyle name="Normal 2 9" xfId="4181"/>
    <cellStyle name="Normal 2 9 2" xfId="4182"/>
    <cellStyle name="Normal 2 9 2 2" xfId="38867"/>
    <cellStyle name="Normal 2 9 3" xfId="38868"/>
    <cellStyle name="Normal 2 9 4" xfId="38869"/>
    <cellStyle name="Normal 2_2010 Controllable O&amp;M Goal" xfId="38870"/>
    <cellStyle name="Normal 20" xfId="4183"/>
    <cellStyle name="Normal 20 10" xfId="38871"/>
    <cellStyle name="Normal 20 10 2" xfId="38872"/>
    <cellStyle name="Normal 20 11" xfId="38873"/>
    <cellStyle name="Normal 20 11 2" xfId="38874"/>
    <cellStyle name="Normal 20 12" xfId="38875"/>
    <cellStyle name="Normal 20 2" xfId="4184"/>
    <cellStyle name="Normal 20 2 2" xfId="38876"/>
    <cellStyle name="Normal 20 2 2 2" xfId="38877"/>
    <cellStyle name="Normal 20 2 3" xfId="38878"/>
    <cellStyle name="Normal 20 3" xfId="38879"/>
    <cellStyle name="Normal 20 3 2" xfId="38880"/>
    <cellStyle name="Normal 20 3 2 2" xfId="38881"/>
    <cellStyle name="Normal 20 3 2 2 2" xfId="38882"/>
    <cellStyle name="Normal 20 3 3" xfId="38883"/>
    <cellStyle name="Normal 20 3 3 2" xfId="38884"/>
    <cellStyle name="Normal 20 3 4" xfId="38885"/>
    <cellStyle name="Normal 20 3 4 2" xfId="38886"/>
    <cellStyle name="Normal 20 3 5" xfId="38887"/>
    <cellStyle name="Normal 20 3 5 2" xfId="38888"/>
    <cellStyle name="Normal 20 3 6" xfId="38889"/>
    <cellStyle name="Normal 20 3 6 2" xfId="38890"/>
    <cellStyle name="Normal 20 3 7" xfId="38891"/>
    <cellStyle name="Normal 20 3 7 2" xfId="38892"/>
    <cellStyle name="Normal 20 3 8" xfId="38893"/>
    <cellStyle name="Normal 20 3 8 2" xfId="38894"/>
    <cellStyle name="Normal 20 3 9" xfId="38895"/>
    <cellStyle name="Normal 20 3 9 2" xfId="38896"/>
    <cellStyle name="Normal 20 3_Dakota Panel" xfId="38897"/>
    <cellStyle name="Normal 20 4" xfId="38898"/>
    <cellStyle name="Normal 20 4 2" xfId="38899"/>
    <cellStyle name="Normal 20 4 2 2" xfId="38900"/>
    <cellStyle name="Normal 20 5" xfId="38901"/>
    <cellStyle name="Normal 20 5 2" xfId="38902"/>
    <cellStyle name="Normal 20 5 2 2" xfId="38903"/>
    <cellStyle name="Normal 20 6" xfId="38904"/>
    <cellStyle name="Normal 20 6 2" xfId="38905"/>
    <cellStyle name="Normal 20 6 2 2" xfId="38906"/>
    <cellStyle name="Normal 20 6 3" xfId="38907"/>
    <cellStyle name="Normal 20 6 4" xfId="38908"/>
    <cellStyle name="Normal 20 7" xfId="38909"/>
    <cellStyle name="Normal 20 7 2" xfId="38910"/>
    <cellStyle name="Normal 20 8" xfId="38911"/>
    <cellStyle name="Normal 20 8 2" xfId="38912"/>
    <cellStyle name="Normal 20 9" xfId="38913"/>
    <cellStyle name="Normal 20 9 2" xfId="38914"/>
    <cellStyle name="Normal 20_Dakota Panel" xfId="38915"/>
    <cellStyle name="Normal 200" xfId="38916"/>
    <cellStyle name="Normal 200 2" xfId="38917"/>
    <cellStyle name="Normal 200 2 2" xfId="38918"/>
    <cellStyle name="Normal 200 3" xfId="38919"/>
    <cellStyle name="Normal 201" xfId="38920"/>
    <cellStyle name="Normal 201 2" xfId="38921"/>
    <cellStyle name="Normal 201 2 2" xfId="38922"/>
    <cellStyle name="Normal 201 3" xfId="38923"/>
    <cellStyle name="Normal 202" xfId="38924"/>
    <cellStyle name="Normal 202 2" xfId="38925"/>
    <cellStyle name="Normal 202 2 2" xfId="38926"/>
    <cellStyle name="Normal 202 3" xfId="38927"/>
    <cellStyle name="Normal 203" xfId="38928"/>
    <cellStyle name="Normal 203 2" xfId="38929"/>
    <cellStyle name="Normal 203 2 2" xfId="38930"/>
    <cellStyle name="Normal 203 3" xfId="38931"/>
    <cellStyle name="Normal 203 3 2" xfId="38932"/>
    <cellStyle name="Normal 203_Dakota Panel" xfId="38933"/>
    <cellStyle name="Normal 204" xfId="38934"/>
    <cellStyle name="Normal 204 2" xfId="38935"/>
    <cellStyle name="Normal 204 2 2" xfId="38936"/>
    <cellStyle name="Normal 204 3" xfId="38937"/>
    <cellStyle name="Normal 204 3 2" xfId="38938"/>
    <cellStyle name="Normal 204_Dakota Panel" xfId="38939"/>
    <cellStyle name="Normal 205" xfId="38940"/>
    <cellStyle name="Normal 205 2" xfId="38941"/>
    <cellStyle name="Normal 205 2 2" xfId="38942"/>
    <cellStyle name="Normal 205 3" xfId="38943"/>
    <cellStyle name="Normal 205 3 2" xfId="38944"/>
    <cellStyle name="Normal 205_Dakota Panel" xfId="38945"/>
    <cellStyle name="Normal 206" xfId="38946"/>
    <cellStyle name="Normal 206 2" xfId="38947"/>
    <cellStyle name="Normal 206 2 2" xfId="38948"/>
    <cellStyle name="Normal 206 3" xfId="38949"/>
    <cellStyle name="Normal 206 3 2" xfId="38950"/>
    <cellStyle name="Normal 206_Dakota Panel" xfId="38951"/>
    <cellStyle name="Normal 207" xfId="38952"/>
    <cellStyle name="Normal 207 10" xfId="38953"/>
    <cellStyle name="Normal 207 10 2" xfId="38954"/>
    <cellStyle name="Normal 207 11" xfId="38955"/>
    <cellStyle name="Normal 207 11 2" xfId="38956"/>
    <cellStyle name="Normal 207 12" xfId="38957"/>
    <cellStyle name="Normal 207 2" xfId="38958"/>
    <cellStyle name="Normal 207 2 2" xfId="38959"/>
    <cellStyle name="Normal 207 2 2 2" xfId="38960"/>
    <cellStyle name="Normal 207 2 3" xfId="38961"/>
    <cellStyle name="Normal 207 2 3 2" xfId="38962"/>
    <cellStyle name="Normal 207 2 4" xfId="38963"/>
    <cellStyle name="Normal 207 2 4 2" xfId="38964"/>
    <cellStyle name="Normal 207 2 5" xfId="38965"/>
    <cellStyle name="Normal 207 2 5 2" xfId="38966"/>
    <cellStyle name="Normal 207 2 6" xfId="38967"/>
    <cellStyle name="Normal 207 2 6 2" xfId="38968"/>
    <cellStyle name="Normal 207 2 7" xfId="38969"/>
    <cellStyle name="Normal 207 2 7 2" xfId="38970"/>
    <cellStyle name="Normal 207 2 8" xfId="38971"/>
    <cellStyle name="Normal 207 2 8 2" xfId="38972"/>
    <cellStyle name="Normal 207 2 9" xfId="38973"/>
    <cellStyle name="Normal 207 2 9 2" xfId="38974"/>
    <cellStyle name="Normal 207 2_Dakota Panel" xfId="38975"/>
    <cellStyle name="Normal 207 3" xfId="38976"/>
    <cellStyle name="Normal 207 3 2" xfId="38977"/>
    <cellStyle name="Normal 207 3 2 2" xfId="38978"/>
    <cellStyle name="Normal 207 3 3" xfId="38979"/>
    <cellStyle name="Normal 207 3 3 2" xfId="38980"/>
    <cellStyle name="Normal 207 3 4" xfId="38981"/>
    <cellStyle name="Normal 207 3 5" xfId="38982"/>
    <cellStyle name="Normal 207 4" xfId="38983"/>
    <cellStyle name="Normal 207 4 2" xfId="38984"/>
    <cellStyle name="Normal 207 5" xfId="38985"/>
    <cellStyle name="Normal 207 5 2" xfId="38986"/>
    <cellStyle name="Normal 207 6" xfId="38987"/>
    <cellStyle name="Normal 207 6 2" xfId="38988"/>
    <cellStyle name="Normal 207 7" xfId="38989"/>
    <cellStyle name="Normal 207 7 2" xfId="38990"/>
    <cellStyle name="Normal 207 8" xfId="38991"/>
    <cellStyle name="Normal 207 8 2" xfId="38992"/>
    <cellStyle name="Normal 207 9" xfId="38993"/>
    <cellStyle name="Normal 207 9 2" xfId="38994"/>
    <cellStyle name="Normal 207_Dakota Panel" xfId="38995"/>
    <cellStyle name="Normal 208" xfId="38996"/>
    <cellStyle name="Normal 208 10" xfId="38997"/>
    <cellStyle name="Normal 208 10 2" xfId="38998"/>
    <cellStyle name="Normal 208 11" xfId="38999"/>
    <cellStyle name="Normal 208 11 2" xfId="39000"/>
    <cellStyle name="Normal 208 12" xfId="39001"/>
    <cellStyle name="Normal 208 2" xfId="39002"/>
    <cellStyle name="Normal 208 2 2" xfId="39003"/>
    <cellStyle name="Normal 208 2 2 2" xfId="39004"/>
    <cellStyle name="Normal 208 2 3" xfId="39005"/>
    <cellStyle name="Normal 208 2 3 2" xfId="39006"/>
    <cellStyle name="Normal 208 2 4" xfId="39007"/>
    <cellStyle name="Normal 208 2 4 2" xfId="39008"/>
    <cellStyle name="Normal 208 2 5" xfId="39009"/>
    <cellStyle name="Normal 208 2 5 2" xfId="39010"/>
    <cellStyle name="Normal 208 2 6" xfId="39011"/>
    <cellStyle name="Normal 208 2 6 2" xfId="39012"/>
    <cellStyle name="Normal 208 2 7" xfId="39013"/>
    <cellStyle name="Normal 208 2 7 2" xfId="39014"/>
    <cellStyle name="Normal 208 2 8" xfId="39015"/>
    <cellStyle name="Normal 208 2 8 2" xfId="39016"/>
    <cellStyle name="Normal 208 2 9" xfId="39017"/>
    <cellStyle name="Normal 208 2 9 2" xfId="39018"/>
    <cellStyle name="Normal 208 2_Dakota Panel" xfId="39019"/>
    <cellStyle name="Normal 208 3" xfId="39020"/>
    <cellStyle name="Normal 208 3 2" xfId="39021"/>
    <cellStyle name="Normal 208 3 2 2" xfId="39022"/>
    <cellStyle name="Normal 208 3 3" xfId="39023"/>
    <cellStyle name="Normal 208 3 3 2" xfId="39024"/>
    <cellStyle name="Normal 208 3 4" xfId="39025"/>
    <cellStyle name="Normal 208 3 5" xfId="39026"/>
    <cellStyle name="Normal 208 4" xfId="39027"/>
    <cellStyle name="Normal 208 4 2" xfId="39028"/>
    <cellStyle name="Normal 208 5" xfId="39029"/>
    <cellStyle name="Normal 208 5 2" xfId="39030"/>
    <cellStyle name="Normal 208 6" xfId="39031"/>
    <cellStyle name="Normal 208 6 2" xfId="39032"/>
    <cellStyle name="Normal 208 7" xfId="39033"/>
    <cellStyle name="Normal 208 7 2" xfId="39034"/>
    <cellStyle name="Normal 208 8" xfId="39035"/>
    <cellStyle name="Normal 208 8 2" xfId="39036"/>
    <cellStyle name="Normal 208 9" xfId="39037"/>
    <cellStyle name="Normal 208 9 2" xfId="39038"/>
    <cellStyle name="Normal 208_Dakota Panel" xfId="39039"/>
    <cellStyle name="Normal 209" xfId="39040"/>
    <cellStyle name="Normal 209 10" xfId="39041"/>
    <cellStyle name="Normal 209 10 2" xfId="39042"/>
    <cellStyle name="Normal 209 11" xfId="39043"/>
    <cellStyle name="Normal 209 11 2" xfId="39044"/>
    <cellStyle name="Normal 209 12" xfId="39045"/>
    <cellStyle name="Normal 209 2" xfId="39046"/>
    <cellStyle name="Normal 209 2 2" xfId="39047"/>
    <cellStyle name="Normal 209 2 2 2" xfId="39048"/>
    <cellStyle name="Normal 209 2 3" xfId="39049"/>
    <cellStyle name="Normal 209 2 3 2" xfId="39050"/>
    <cellStyle name="Normal 209 2 4" xfId="39051"/>
    <cellStyle name="Normal 209 2 4 2" xfId="39052"/>
    <cellStyle name="Normal 209 2 5" xfId="39053"/>
    <cellStyle name="Normal 209 2 5 2" xfId="39054"/>
    <cellStyle name="Normal 209 2 6" xfId="39055"/>
    <cellStyle name="Normal 209 2 6 2" xfId="39056"/>
    <cellStyle name="Normal 209 2 7" xfId="39057"/>
    <cellStyle name="Normal 209 2 7 2" xfId="39058"/>
    <cellStyle name="Normal 209 2 8" xfId="39059"/>
    <cellStyle name="Normal 209 2 8 2" xfId="39060"/>
    <cellStyle name="Normal 209 2 9" xfId="39061"/>
    <cellStyle name="Normal 209 2 9 2" xfId="39062"/>
    <cellStyle name="Normal 209 2_Dakota Panel" xfId="39063"/>
    <cellStyle name="Normal 209 3" xfId="39064"/>
    <cellStyle name="Normal 209 3 2" xfId="39065"/>
    <cellStyle name="Normal 209 3 2 2" xfId="39066"/>
    <cellStyle name="Normal 209 3 3" xfId="39067"/>
    <cellStyle name="Normal 209 3 3 2" xfId="39068"/>
    <cellStyle name="Normal 209 3 4" xfId="39069"/>
    <cellStyle name="Normal 209 3 5" xfId="39070"/>
    <cellStyle name="Normal 209 4" xfId="39071"/>
    <cellStyle name="Normal 209 4 2" xfId="39072"/>
    <cellStyle name="Normal 209 5" xfId="39073"/>
    <cellStyle name="Normal 209 5 2" xfId="39074"/>
    <cellStyle name="Normal 209 6" xfId="39075"/>
    <cellStyle name="Normal 209 6 2" xfId="39076"/>
    <cellStyle name="Normal 209 7" xfId="39077"/>
    <cellStyle name="Normal 209 7 2" xfId="39078"/>
    <cellStyle name="Normal 209 8" xfId="39079"/>
    <cellStyle name="Normal 209 8 2" xfId="39080"/>
    <cellStyle name="Normal 209 9" xfId="39081"/>
    <cellStyle name="Normal 209 9 2" xfId="39082"/>
    <cellStyle name="Normal 209_Dakota Panel" xfId="39083"/>
    <cellStyle name="Normal 21" xfId="4185"/>
    <cellStyle name="Normal 21 10" xfId="39084"/>
    <cellStyle name="Normal 21 10 2" xfId="39085"/>
    <cellStyle name="Normal 21 11" xfId="39086"/>
    <cellStyle name="Normal 21 11 2" xfId="39087"/>
    <cellStyle name="Normal 21 12" xfId="39088"/>
    <cellStyle name="Normal 21 2" xfId="4186"/>
    <cellStyle name="Normal 21 2 2" xfId="39089"/>
    <cellStyle name="Normal 21 2 2 2" xfId="39090"/>
    <cellStyle name="Normal 21 2 3" xfId="39091"/>
    <cellStyle name="Normal 21 3" xfId="39092"/>
    <cellStyle name="Normal 21 3 2" xfId="39093"/>
    <cellStyle name="Normal 21 3 2 2" xfId="39094"/>
    <cellStyle name="Normal 21 3 2 2 2" xfId="39095"/>
    <cellStyle name="Normal 21 3 3" xfId="39096"/>
    <cellStyle name="Normal 21 3 3 2" xfId="39097"/>
    <cellStyle name="Normal 21 3 4" xfId="39098"/>
    <cellStyle name="Normal 21 3 4 2" xfId="39099"/>
    <cellStyle name="Normal 21 3 5" xfId="39100"/>
    <cellStyle name="Normal 21 3 5 2" xfId="39101"/>
    <cellStyle name="Normal 21 3 6" xfId="39102"/>
    <cellStyle name="Normal 21 3 6 2" xfId="39103"/>
    <cellStyle name="Normal 21 3 7" xfId="39104"/>
    <cellStyle name="Normal 21 3 7 2" xfId="39105"/>
    <cellStyle name="Normal 21 3 8" xfId="39106"/>
    <cellStyle name="Normal 21 3 8 2" xfId="39107"/>
    <cellStyle name="Normal 21 3 9" xfId="39108"/>
    <cellStyle name="Normal 21 3 9 2" xfId="39109"/>
    <cellStyle name="Normal 21 3_Dakota Panel" xfId="39110"/>
    <cellStyle name="Normal 21 4" xfId="39111"/>
    <cellStyle name="Normal 21 4 2" xfId="39112"/>
    <cellStyle name="Normal 21 4 2 2" xfId="39113"/>
    <cellStyle name="Normal 21 5" xfId="39114"/>
    <cellStyle name="Normal 21 5 2" xfId="39115"/>
    <cellStyle name="Normal 21 5 2 2" xfId="39116"/>
    <cellStyle name="Normal 21 6" xfId="39117"/>
    <cellStyle name="Normal 21 6 2" xfId="39118"/>
    <cellStyle name="Normal 21 6 2 2" xfId="39119"/>
    <cellStyle name="Normal 21 6 3" xfId="39120"/>
    <cellStyle name="Normal 21 6 4" xfId="39121"/>
    <cellStyle name="Normal 21 7" xfId="39122"/>
    <cellStyle name="Normal 21 7 2" xfId="39123"/>
    <cellStyle name="Normal 21 8" xfId="39124"/>
    <cellStyle name="Normal 21 8 2" xfId="39125"/>
    <cellStyle name="Normal 21 9" xfId="39126"/>
    <cellStyle name="Normal 21 9 2" xfId="39127"/>
    <cellStyle name="Normal 21_Dakota Panel" xfId="39128"/>
    <cellStyle name="Normal 210" xfId="39129"/>
    <cellStyle name="Normal 210 10" xfId="39130"/>
    <cellStyle name="Normal 210 10 2" xfId="39131"/>
    <cellStyle name="Normal 210 11" xfId="39132"/>
    <cellStyle name="Normal 210 11 2" xfId="39133"/>
    <cellStyle name="Normal 210 12" xfId="39134"/>
    <cellStyle name="Normal 210 2" xfId="39135"/>
    <cellStyle name="Normal 210 2 2" xfId="39136"/>
    <cellStyle name="Normal 210 2 2 2" xfId="39137"/>
    <cellStyle name="Normal 210 2 3" xfId="39138"/>
    <cellStyle name="Normal 210 2 3 2" xfId="39139"/>
    <cellStyle name="Normal 210 2 4" xfId="39140"/>
    <cellStyle name="Normal 210 2 4 2" xfId="39141"/>
    <cellStyle name="Normal 210 2 5" xfId="39142"/>
    <cellStyle name="Normal 210 2 5 2" xfId="39143"/>
    <cellStyle name="Normal 210 2 6" xfId="39144"/>
    <cellStyle name="Normal 210 2 6 2" xfId="39145"/>
    <cellStyle name="Normal 210 2 7" xfId="39146"/>
    <cellStyle name="Normal 210 2 7 2" xfId="39147"/>
    <cellStyle name="Normal 210 2 8" xfId="39148"/>
    <cellStyle name="Normal 210 2 8 2" xfId="39149"/>
    <cellStyle name="Normal 210 2 9" xfId="39150"/>
    <cellStyle name="Normal 210 2 9 2" xfId="39151"/>
    <cellStyle name="Normal 210 2_Dakota Panel" xfId="39152"/>
    <cellStyle name="Normal 210 3" xfId="39153"/>
    <cellStyle name="Normal 210 3 2" xfId="39154"/>
    <cellStyle name="Normal 210 3 2 2" xfId="39155"/>
    <cellStyle name="Normal 210 3 3" xfId="39156"/>
    <cellStyle name="Normal 210 3 3 2" xfId="39157"/>
    <cellStyle name="Normal 210 3 4" xfId="39158"/>
    <cellStyle name="Normal 210 3 5" xfId="39159"/>
    <cellStyle name="Normal 210 4" xfId="39160"/>
    <cellStyle name="Normal 210 4 2" xfId="39161"/>
    <cellStyle name="Normal 210 5" xfId="39162"/>
    <cellStyle name="Normal 210 5 2" xfId="39163"/>
    <cellStyle name="Normal 210 6" xfId="39164"/>
    <cellStyle name="Normal 210 6 2" xfId="39165"/>
    <cellStyle name="Normal 210 7" xfId="39166"/>
    <cellStyle name="Normal 210 7 2" xfId="39167"/>
    <cellStyle name="Normal 210 8" xfId="39168"/>
    <cellStyle name="Normal 210 8 2" xfId="39169"/>
    <cellStyle name="Normal 210 9" xfId="39170"/>
    <cellStyle name="Normal 210 9 2" xfId="39171"/>
    <cellStyle name="Normal 210_Dakota Panel" xfId="39172"/>
    <cellStyle name="Normal 211" xfId="39173"/>
    <cellStyle name="Normal 211 10" xfId="39174"/>
    <cellStyle name="Normal 211 10 2" xfId="39175"/>
    <cellStyle name="Normal 211 11" xfId="39176"/>
    <cellStyle name="Normal 211 11 2" xfId="39177"/>
    <cellStyle name="Normal 211 12" xfId="39178"/>
    <cellStyle name="Normal 211 2" xfId="39179"/>
    <cellStyle name="Normal 211 2 2" xfId="39180"/>
    <cellStyle name="Normal 211 2 2 2" xfId="39181"/>
    <cellStyle name="Normal 211 2 3" xfId="39182"/>
    <cellStyle name="Normal 211 2 3 2" xfId="39183"/>
    <cellStyle name="Normal 211 2 4" xfId="39184"/>
    <cellStyle name="Normal 211 2 4 2" xfId="39185"/>
    <cellStyle name="Normal 211 2 5" xfId="39186"/>
    <cellStyle name="Normal 211 2 5 2" xfId="39187"/>
    <cellStyle name="Normal 211 2 6" xfId="39188"/>
    <cellStyle name="Normal 211 2 6 2" xfId="39189"/>
    <cellStyle name="Normal 211 2 7" xfId="39190"/>
    <cellStyle name="Normal 211 2 7 2" xfId="39191"/>
    <cellStyle name="Normal 211 2 8" xfId="39192"/>
    <cellStyle name="Normal 211 2 8 2" xfId="39193"/>
    <cellStyle name="Normal 211 2 9" xfId="39194"/>
    <cellStyle name="Normal 211 2 9 2" xfId="39195"/>
    <cellStyle name="Normal 211 2_Dakota Panel" xfId="39196"/>
    <cellStyle name="Normal 211 3" xfId="39197"/>
    <cellStyle name="Normal 211 3 2" xfId="39198"/>
    <cellStyle name="Normal 211 3 2 2" xfId="39199"/>
    <cellStyle name="Normal 211 3 3" xfId="39200"/>
    <cellStyle name="Normal 211 3 3 2" xfId="39201"/>
    <cellStyle name="Normal 211 3 4" xfId="39202"/>
    <cellStyle name="Normal 211 3 5" xfId="39203"/>
    <cellStyle name="Normal 211 4" xfId="39204"/>
    <cellStyle name="Normal 211 4 2" xfId="39205"/>
    <cellStyle name="Normal 211 5" xfId="39206"/>
    <cellStyle name="Normal 211 5 2" xfId="39207"/>
    <cellStyle name="Normal 211 6" xfId="39208"/>
    <cellStyle name="Normal 211 6 2" xfId="39209"/>
    <cellStyle name="Normal 211 7" xfId="39210"/>
    <cellStyle name="Normal 211 7 2" xfId="39211"/>
    <cellStyle name="Normal 211 8" xfId="39212"/>
    <cellStyle name="Normal 211 8 2" xfId="39213"/>
    <cellStyle name="Normal 211 9" xfId="39214"/>
    <cellStyle name="Normal 211 9 2" xfId="39215"/>
    <cellStyle name="Normal 211_Dakota Panel" xfId="39216"/>
    <cellStyle name="Normal 212" xfId="39217"/>
    <cellStyle name="Normal 212 2" xfId="39218"/>
    <cellStyle name="Normal 212 2 2" xfId="39219"/>
    <cellStyle name="Normal 212 3" xfId="39220"/>
    <cellStyle name="Normal 213" xfId="39221"/>
    <cellStyle name="Normal 213 2" xfId="39222"/>
    <cellStyle name="Normal 213 2 2" xfId="39223"/>
    <cellStyle name="Normal 213 3" xfId="39224"/>
    <cellStyle name="Normal 214" xfId="39225"/>
    <cellStyle name="Normal 214 2" xfId="39226"/>
    <cellStyle name="Normal 214 2 2" xfId="39227"/>
    <cellStyle name="Normal 214 2 2 2" xfId="39228"/>
    <cellStyle name="Normal 214 2 2 2 2" xfId="39229"/>
    <cellStyle name="Normal 214 2 2 3" xfId="39230"/>
    <cellStyle name="Normal 214 2 3" xfId="39231"/>
    <cellStyle name="Normal 214 2 3 2" xfId="39232"/>
    <cellStyle name="Normal 214 2 4" xfId="39233"/>
    <cellStyle name="Normal 214 2 5" xfId="39234"/>
    <cellStyle name="Normal 214 3" xfId="39235"/>
    <cellStyle name="Normal 214 3 2" xfId="39236"/>
    <cellStyle name="Normal 214 3 3" xfId="39237"/>
    <cellStyle name="Normal 214 3 3 2" xfId="39238"/>
    <cellStyle name="Normal 214 3 4" xfId="39239"/>
    <cellStyle name="Normal 214 3 5" xfId="39240"/>
    <cellStyle name="Normal 214 4" xfId="39241"/>
    <cellStyle name="Normal 214 4 2" xfId="39242"/>
    <cellStyle name="Normal 214 4 2 2" xfId="39243"/>
    <cellStyle name="Normal 214 4 3" xfId="39244"/>
    <cellStyle name="Normal 214 4 4" xfId="39245"/>
    <cellStyle name="Normal 214 5" xfId="39246"/>
    <cellStyle name="Normal 214 6" xfId="39247"/>
    <cellStyle name="Normal 214 6 2" xfId="39248"/>
    <cellStyle name="Normal 214 7" xfId="39249"/>
    <cellStyle name="Normal 214 8" xfId="39250"/>
    <cellStyle name="Normal 214 9" xfId="39251"/>
    <cellStyle name="Normal 215" xfId="39252"/>
    <cellStyle name="Normal 215 2" xfId="39253"/>
    <cellStyle name="Normal 215 3" xfId="39254"/>
    <cellStyle name="Normal 215 4" xfId="39255"/>
    <cellStyle name="Normal 216" xfId="39256"/>
    <cellStyle name="Normal 216 2" xfId="39257"/>
    <cellStyle name="Normal 216 3" xfId="39258"/>
    <cellStyle name="Normal 216 4" xfId="39259"/>
    <cellStyle name="Normal 217" xfId="39260"/>
    <cellStyle name="Normal 217 2" xfId="39261"/>
    <cellStyle name="Normal 217 2 2" xfId="39262"/>
    <cellStyle name="Normal 217 2 2 2" xfId="39263"/>
    <cellStyle name="Normal 217 2 2 2 2" xfId="39264"/>
    <cellStyle name="Normal 217 2 2 3" xfId="39265"/>
    <cellStyle name="Normal 217 2 3" xfId="39266"/>
    <cellStyle name="Normal 217 2 3 2" xfId="39267"/>
    <cellStyle name="Normal 217 2 4" xfId="39268"/>
    <cellStyle name="Normal 217 2 5" xfId="39269"/>
    <cellStyle name="Normal 217 3" xfId="39270"/>
    <cellStyle name="Normal 217 3 2" xfId="39271"/>
    <cellStyle name="Normal 217 3 3" xfId="39272"/>
    <cellStyle name="Normal 217 3 3 2" xfId="39273"/>
    <cellStyle name="Normal 217 3 4" xfId="39274"/>
    <cellStyle name="Normal 217 3 5" xfId="39275"/>
    <cellStyle name="Normal 217 4" xfId="39276"/>
    <cellStyle name="Normal 217 4 2" xfId="39277"/>
    <cellStyle name="Normal 217 4 2 2" xfId="39278"/>
    <cellStyle name="Normal 217 4 3" xfId="39279"/>
    <cellStyle name="Normal 217 4 4" xfId="39280"/>
    <cellStyle name="Normal 217 5" xfId="39281"/>
    <cellStyle name="Normal 217 6" xfId="39282"/>
    <cellStyle name="Normal 217 6 2" xfId="39283"/>
    <cellStyle name="Normal 217 7" xfId="39284"/>
    <cellStyle name="Normal 217 8" xfId="39285"/>
    <cellStyle name="Normal 217 9" xfId="39286"/>
    <cellStyle name="Normal 218" xfId="39287"/>
    <cellStyle name="Normal 218 2" xfId="39288"/>
    <cellStyle name="Normal 218 2 2" xfId="39289"/>
    <cellStyle name="Normal 218 2 2 2" xfId="39290"/>
    <cellStyle name="Normal 218 2 2 2 2" xfId="39291"/>
    <cellStyle name="Normal 218 2 2 3" xfId="39292"/>
    <cellStyle name="Normal 218 2 3" xfId="39293"/>
    <cellStyle name="Normal 218 2 3 2" xfId="39294"/>
    <cellStyle name="Normal 218 2 4" xfId="39295"/>
    <cellStyle name="Normal 218 2 5" xfId="39296"/>
    <cellStyle name="Normal 218 3" xfId="39297"/>
    <cellStyle name="Normal 218 3 2" xfId="39298"/>
    <cellStyle name="Normal 218 3 3" xfId="39299"/>
    <cellStyle name="Normal 218 3 3 2" xfId="39300"/>
    <cellStyle name="Normal 218 3 4" xfId="39301"/>
    <cellStyle name="Normal 218 3 5" xfId="39302"/>
    <cellStyle name="Normal 218 4" xfId="39303"/>
    <cellStyle name="Normal 218 4 2" xfId="39304"/>
    <cellStyle name="Normal 218 4 2 2" xfId="39305"/>
    <cellStyle name="Normal 218 4 3" xfId="39306"/>
    <cellStyle name="Normal 218 4 4" xfId="39307"/>
    <cellStyle name="Normal 218 5" xfId="39308"/>
    <cellStyle name="Normal 218 6" xfId="39309"/>
    <cellStyle name="Normal 218 6 2" xfId="39310"/>
    <cellStyle name="Normal 218 7" xfId="39311"/>
    <cellStyle name="Normal 218 8" xfId="39312"/>
    <cellStyle name="Normal 218 9" xfId="39313"/>
    <cellStyle name="Normal 219" xfId="39314"/>
    <cellStyle name="Normal 219 2" xfId="39315"/>
    <cellStyle name="Normal 219 2 2" xfId="39316"/>
    <cellStyle name="Normal 219 2 2 2" xfId="39317"/>
    <cellStyle name="Normal 219 2 2 2 2" xfId="39318"/>
    <cellStyle name="Normal 219 2 2 3" xfId="39319"/>
    <cellStyle name="Normal 219 2 3" xfId="39320"/>
    <cellStyle name="Normal 219 2 3 2" xfId="39321"/>
    <cellStyle name="Normal 219 2 4" xfId="39322"/>
    <cellStyle name="Normal 219 2 5" xfId="39323"/>
    <cellStyle name="Normal 219 3" xfId="39324"/>
    <cellStyle name="Normal 219 3 2" xfId="39325"/>
    <cellStyle name="Normal 219 3 3" xfId="39326"/>
    <cellStyle name="Normal 219 3 3 2" xfId="39327"/>
    <cellStyle name="Normal 219 3 4" xfId="39328"/>
    <cellStyle name="Normal 219 3 5" xfId="39329"/>
    <cellStyle name="Normal 219 4" xfId="39330"/>
    <cellStyle name="Normal 219 4 2" xfId="39331"/>
    <cellStyle name="Normal 219 4 2 2" xfId="39332"/>
    <cellStyle name="Normal 219 4 3" xfId="39333"/>
    <cellStyle name="Normal 219 4 4" xfId="39334"/>
    <cellStyle name="Normal 219 5" xfId="39335"/>
    <cellStyle name="Normal 219 6" xfId="39336"/>
    <cellStyle name="Normal 219 6 2" xfId="39337"/>
    <cellStyle name="Normal 219 7" xfId="39338"/>
    <cellStyle name="Normal 219 8" xfId="39339"/>
    <cellStyle name="Normal 219 9" xfId="39340"/>
    <cellStyle name="Normal 22" xfId="4187"/>
    <cellStyle name="Normal 22 10" xfId="39341"/>
    <cellStyle name="Normal 22 10 2" xfId="39342"/>
    <cellStyle name="Normal 22 11" xfId="39343"/>
    <cellStyle name="Normal 22 11 2" xfId="39344"/>
    <cellStyle name="Normal 22 12" xfId="39345"/>
    <cellStyle name="Normal 22 2" xfId="4188"/>
    <cellStyle name="Normal 22 2 2" xfId="39346"/>
    <cellStyle name="Normal 22 2 2 2" xfId="39347"/>
    <cellStyle name="Normal 22 2 3" xfId="39348"/>
    <cellStyle name="Normal 22 3" xfId="39349"/>
    <cellStyle name="Normal 22 3 2" xfId="39350"/>
    <cellStyle name="Normal 22 3 2 2" xfId="39351"/>
    <cellStyle name="Normal 22 3 2 2 2" xfId="39352"/>
    <cellStyle name="Normal 22 3 3" xfId="39353"/>
    <cellStyle name="Normal 22 3 3 2" xfId="39354"/>
    <cellStyle name="Normal 22 3 4" xfId="39355"/>
    <cellStyle name="Normal 22 3 4 2" xfId="39356"/>
    <cellStyle name="Normal 22 3 5" xfId="39357"/>
    <cellStyle name="Normal 22 3 5 2" xfId="39358"/>
    <cellStyle name="Normal 22 3 6" xfId="39359"/>
    <cellStyle name="Normal 22 3 6 2" xfId="39360"/>
    <cellStyle name="Normal 22 3 7" xfId="39361"/>
    <cellStyle name="Normal 22 3 7 2" xfId="39362"/>
    <cellStyle name="Normal 22 3 8" xfId="39363"/>
    <cellStyle name="Normal 22 3 8 2" xfId="39364"/>
    <cellStyle name="Normal 22 3 9" xfId="39365"/>
    <cellStyle name="Normal 22 3 9 2" xfId="39366"/>
    <cellStyle name="Normal 22 3_Dakota Panel" xfId="39367"/>
    <cellStyle name="Normal 22 4" xfId="39368"/>
    <cellStyle name="Normal 22 4 2" xfId="39369"/>
    <cellStyle name="Normal 22 4 2 2" xfId="39370"/>
    <cellStyle name="Normal 22 5" xfId="39371"/>
    <cellStyle name="Normal 22 5 2" xfId="39372"/>
    <cellStyle name="Normal 22 5 2 2" xfId="39373"/>
    <cellStyle name="Normal 22 6" xfId="39374"/>
    <cellStyle name="Normal 22 6 2" xfId="39375"/>
    <cellStyle name="Normal 22 6 2 2" xfId="39376"/>
    <cellStyle name="Normal 22 6 3" xfId="39377"/>
    <cellStyle name="Normal 22 6 4" xfId="39378"/>
    <cellStyle name="Normal 22 7" xfId="39379"/>
    <cellStyle name="Normal 22 7 2" xfId="39380"/>
    <cellStyle name="Normal 22 8" xfId="39381"/>
    <cellStyle name="Normal 22 8 2" xfId="39382"/>
    <cellStyle name="Normal 22 9" xfId="39383"/>
    <cellStyle name="Normal 22 9 2" xfId="39384"/>
    <cellStyle name="Normal 22_Dakota Panel" xfId="39385"/>
    <cellStyle name="Normal 220" xfId="39386"/>
    <cellStyle name="Normal 220 2" xfId="39387"/>
    <cellStyle name="Normal 220 2 2" xfId="39388"/>
    <cellStyle name="Normal 220 2 2 2" xfId="39389"/>
    <cellStyle name="Normal 220 2 2 2 2" xfId="39390"/>
    <cellStyle name="Normal 220 2 2 3" xfId="39391"/>
    <cellStyle name="Normal 220 2 3" xfId="39392"/>
    <cellStyle name="Normal 220 2 3 2" xfId="39393"/>
    <cellStyle name="Normal 220 2 4" xfId="39394"/>
    <cellStyle name="Normal 220 2 5" xfId="39395"/>
    <cellStyle name="Normal 220 3" xfId="39396"/>
    <cellStyle name="Normal 220 3 2" xfId="39397"/>
    <cellStyle name="Normal 220 3 3" xfId="39398"/>
    <cellStyle name="Normal 220 3 3 2" xfId="39399"/>
    <cellStyle name="Normal 220 3 4" xfId="39400"/>
    <cellStyle name="Normal 220 3 5" xfId="39401"/>
    <cellStyle name="Normal 220 4" xfId="39402"/>
    <cellStyle name="Normal 220 4 2" xfId="39403"/>
    <cellStyle name="Normal 220 4 2 2" xfId="39404"/>
    <cellStyle name="Normal 220 4 3" xfId="39405"/>
    <cellStyle name="Normal 220 4 4" xfId="39406"/>
    <cellStyle name="Normal 220 5" xfId="39407"/>
    <cellStyle name="Normal 220 6" xfId="39408"/>
    <cellStyle name="Normal 220 6 2" xfId="39409"/>
    <cellStyle name="Normal 220 7" xfId="39410"/>
    <cellStyle name="Normal 220 8" xfId="39411"/>
    <cellStyle name="Normal 220 9" xfId="39412"/>
    <cellStyle name="Normal 221" xfId="39413"/>
    <cellStyle name="Normal 221 2" xfId="39414"/>
    <cellStyle name="Normal 221 2 2" xfId="39415"/>
    <cellStyle name="Normal 221 2 2 2" xfId="39416"/>
    <cellStyle name="Normal 221 2 2 2 2" xfId="39417"/>
    <cellStyle name="Normal 221 2 2 3" xfId="39418"/>
    <cellStyle name="Normal 221 2 3" xfId="39419"/>
    <cellStyle name="Normal 221 2 3 2" xfId="39420"/>
    <cellStyle name="Normal 221 2 4" xfId="39421"/>
    <cellStyle name="Normal 221 2 5" xfId="39422"/>
    <cellStyle name="Normal 221 3" xfId="39423"/>
    <cellStyle name="Normal 221 3 2" xfId="39424"/>
    <cellStyle name="Normal 221 3 3" xfId="39425"/>
    <cellStyle name="Normal 221 3 3 2" xfId="39426"/>
    <cellStyle name="Normal 221 3 4" xfId="39427"/>
    <cellStyle name="Normal 221 3 5" xfId="39428"/>
    <cellStyle name="Normal 221 4" xfId="39429"/>
    <cellStyle name="Normal 221 4 2" xfId="39430"/>
    <cellStyle name="Normal 221 4 2 2" xfId="39431"/>
    <cellStyle name="Normal 221 4 3" xfId="39432"/>
    <cellStyle name="Normal 221 4 4" xfId="39433"/>
    <cellStyle name="Normal 221 5" xfId="39434"/>
    <cellStyle name="Normal 221 6" xfId="39435"/>
    <cellStyle name="Normal 221 6 2" xfId="39436"/>
    <cellStyle name="Normal 221 7" xfId="39437"/>
    <cellStyle name="Normal 221 8" xfId="39438"/>
    <cellStyle name="Normal 221 9" xfId="39439"/>
    <cellStyle name="Normal 222" xfId="39440"/>
    <cellStyle name="Normal 222 2" xfId="39441"/>
    <cellStyle name="Normal 222 2 2" xfId="39442"/>
    <cellStyle name="Normal 222 2 2 2" xfId="39443"/>
    <cellStyle name="Normal 222 2 2 2 2" xfId="39444"/>
    <cellStyle name="Normal 222 2 2 3" xfId="39445"/>
    <cellStyle name="Normal 222 2 3" xfId="39446"/>
    <cellStyle name="Normal 222 2 3 2" xfId="39447"/>
    <cellStyle name="Normal 222 2 4" xfId="39448"/>
    <cellStyle name="Normal 222 2 5" xfId="39449"/>
    <cellStyle name="Normal 222 3" xfId="39450"/>
    <cellStyle name="Normal 222 3 2" xfId="39451"/>
    <cellStyle name="Normal 222 3 3" xfId="39452"/>
    <cellStyle name="Normal 222 3 3 2" xfId="39453"/>
    <cellStyle name="Normal 222 3 4" xfId="39454"/>
    <cellStyle name="Normal 222 3 5" xfId="39455"/>
    <cellStyle name="Normal 222 4" xfId="39456"/>
    <cellStyle name="Normal 222 4 2" xfId="39457"/>
    <cellStyle name="Normal 222 4 2 2" xfId="39458"/>
    <cellStyle name="Normal 222 4 3" xfId="39459"/>
    <cellStyle name="Normal 222 4 4" xfId="39460"/>
    <cellStyle name="Normal 222 5" xfId="39461"/>
    <cellStyle name="Normal 222 6" xfId="39462"/>
    <cellStyle name="Normal 222 6 2" xfId="39463"/>
    <cellStyle name="Normal 222 7" xfId="39464"/>
    <cellStyle name="Normal 222 8" xfId="39465"/>
    <cellStyle name="Normal 222 9" xfId="39466"/>
    <cellStyle name="Normal 223" xfId="39467"/>
    <cellStyle name="Normal 223 2" xfId="39468"/>
    <cellStyle name="Normal 223 2 2" xfId="39469"/>
    <cellStyle name="Normal 223 2 2 2" xfId="39470"/>
    <cellStyle name="Normal 223 2 2 2 2" xfId="39471"/>
    <cellStyle name="Normal 223 2 2 3" xfId="39472"/>
    <cellStyle name="Normal 223 2 3" xfId="39473"/>
    <cellStyle name="Normal 223 2 3 2" xfId="39474"/>
    <cellStyle name="Normal 223 2 4" xfId="39475"/>
    <cellStyle name="Normal 223 2 5" xfId="39476"/>
    <cellStyle name="Normal 223 3" xfId="39477"/>
    <cellStyle name="Normal 223 3 2" xfId="39478"/>
    <cellStyle name="Normal 223 3 3" xfId="39479"/>
    <cellStyle name="Normal 223 3 3 2" xfId="39480"/>
    <cellStyle name="Normal 223 3 4" xfId="39481"/>
    <cellStyle name="Normal 223 3 5" xfId="39482"/>
    <cellStyle name="Normal 223 4" xfId="39483"/>
    <cellStyle name="Normal 223 4 2" xfId="39484"/>
    <cellStyle name="Normal 223 4 2 2" xfId="39485"/>
    <cellStyle name="Normal 223 4 3" xfId="39486"/>
    <cellStyle name="Normal 223 4 4" xfId="39487"/>
    <cellStyle name="Normal 223 5" xfId="39488"/>
    <cellStyle name="Normal 223 6" xfId="39489"/>
    <cellStyle name="Normal 223 6 2" xfId="39490"/>
    <cellStyle name="Normal 223 7" xfId="39491"/>
    <cellStyle name="Normal 223 8" xfId="39492"/>
    <cellStyle name="Normal 223 9" xfId="39493"/>
    <cellStyle name="Normal 224" xfId="39494"/>
    <cellStyle name="Normal 224 2" xfId="39495"/>
    <cellStyle name="Normal 225" xfId="39496"/>
    <cellStyle name="Normal 225 2" xfId="39497"/>
    <cellStyle name="Normal 226" xfId="39498"/>
    <cellStyle name="Normal 226 2" xfId="39499"/>
    <cellStyle name="Normal 227" xfId="39500"/>
    <cellStyle name="Normal 227 2" xfId="39501"/>
    <cellStyle name="Normal 228" xfId="39502"/>
    <cellStyle name="Normal 228 2" xfId="39503"/>
    <cellStyle name="Normal 229" xfId="39504"/>
    <cellStyle name="Normal 229 2" xfId="39505"/>
    <cellStyle name="Normal 23" xfId="4189"/>
    <cellStyle name="Normal 23 10" xfId="39506"/>
    <cellStyle name="Normal 23 10 2" xfId="39507"/>
    <cellStyle name="Normal 23 11" xfId="39508"/>
    <cellStyle name="Normal 23 11 2" xfId="39509"/>
    <cellStyle name="Normal 23 12" xfId="39510"/>
    <cellStyle name="Normal 23 2" xfId="4190"/>
    <cellStyle name="Normal 23 2 2" xfId="39511"/>
    <cellStyle name="Normal 23 2 2 2" xfId="39512"/>
    <cellStyle name="Normal 23 2 3" xfId="39513"/>
    <cellStyle name="Normal 23 3" xfId="4191"/>
    <cellStyle name="Normal 23 3 2" xfId="4192"/>
    <cellStyle name="Normal 23 3 2 2" xfId="4193"/>
    <cellStyle name="Normal 23 3 2 2 2" xfId="4194"/>
    <cellStyle name="Normal 23 3 2 2 2 2" xfId="4195"/>
    <cellStyle name="Normal 23 3 2 2 3" xfId="4196"/>
    <cellStyle name="Normal 23 3 2 3" xfId="4197"/>
    <cellStyle name="Normal 23 3 2 3 2" xfId="4198"/>
    <cellStyle name="Normal 23 3 2 4" xfId="4199"/>
    <cellStyle name="Normal 23 3 3" xfId="4200"/>
    <cellStyle name="Normal 23 3 3 2" xfId="4201"/>
    <cellStyle name="Normal 23 3 3 2 2" xfId="4202"/>
    <cellStyle name="Normal 23 3 3 3" xfId="4203"/>
    <cellStyle name="Normal 23 3 4" xfId="4204"/>
    <cellStyle name="Normal 23 3 4 2" xfId="4205"/>
    <cellStyle name="Normal 23 3 5" xfId="4206"/>
    <cellStyle name="Normal 23 3 5 2" xfId="39514"/>
    <cellStyle name="Normal 23 3 6" xfId="39515"/>
    <cellStyle name="Normal 23 3 6 2" xfId="39516"/>
    <cellStyle name="Normal 23 3 7" xfId="39517"/>
    <cellStyle name="Normal 23 3 7 2" xfId="39518"/>
    <cellStyle name="Normal 23 3 8" xfId="39519"/>
    <cellStyle name="Normal 23 3 8 2" xfId="39520"/>
    <cellStyle name="Normal 23 3 9" xfId="39521"/>
    <cellStyle name="Normal 23 3 9 2" xfId="39522"/>
    <cellStyle name="Normal 23 3_Dakota Panel" xfId="39523"/>
    <cellStyle name="Normal 23 4" xfId="39524"/>
    <cellStyle name="Normal 23 4 2" xfId="39525"/>
    <cellStyle name="Normal 23 4 2 2" xfId="39526"/>
    <cellStyle name="Normal 23 5" xfId="39527"/>
    <cellStyle name="Normal 23 5 2" xfId="39528"/>
    <cellStyle name="Normal 23 5 2 2" xfId="39529"/>
    <cellStyle name="Normal 23 6" xfId="39530"/>
    <cellStyle name="Normal 23 6 2" xfId="39531"/>
    <cellStyle name="Normal 23 6 2 2" xfId="39532"/>
    <cellStyle name="Normal 23 6 3" xfId="39533"/>
    <cellStyle name="Normal 23 6 4" xfId="39534"/>
    <cellStyle name="Normal 23 7" xfId="39535"/>
    <cellStyle name="Normal 23 7 2" xfId="39536"/>
    <cellStyle name="Normal 23 8" xfId="39537"/>
    <cellStyle name="Normal 23 8 2" xfId="39538"/>
    <cellStyle name="Normal 23 9" xfId="39539"/>
    <cellStyle name="Normal 23 9 2" xfId="39540"/>
    <cellStyle name="Normal 23_Dakota Panel" xfId="39541"/>
    <cellStyle name="Normal 230" xfId="39542"/>
    <cellStyle name="Normal 230 2" xfId="39543"/>
    <cellStyle name="Normal 231" xfId="39544"/>
    <cellStyle name="Normal 231 2" xfId="39545"/>
    <cellStyle name="Normal 232" xfId="39546"/>
    <cellStyle name="Normal 232 2" xfId="39547"/>
    <cellStyle name="Normal 233" xfId="39548"/>
    <cellStyle name="Normal 233 2" xfId="39549"/>
    <cellStyle name="Normal 234" xfId="39550"/>
    <cellStyle name="Normal 234 2" xfId="39551"/>
    <cellStyle name="Normal 235" xfId="39552"/>
    <cellStyle name="Normal 235 2" xfId="39553"/>
    <cellStyle name="Normal 236" xfId="39554"/>
    <cellStyle name="Normal 236 2" xfId="39555"/>
    <cellStyle name="Normal 237" xfId="39556"/>
    <cellStyle name="Normal 237 2" xfId="39557"/>
    <cellStyle name="Normal 238" xfId="39558"/>
    <cellStyle name="Normal 238 2" xfId="39559"/>
    <cellStyle name="Normal 239" xfId="39560"/>
    <cellStyle name="Normal 239 2" xfId="39561"/>
    <cellStyle name="Normal 24" xfId="4207"/>
    <cellStyle name="Normal 24 10" xfId="39562"/>
    <cellStyle name="Normal 24 10 2" xfId="39563"/>
    <cellStyle name="Normal 24 11" xfId="39564"/>
    <cellStyle name="Normal 24 11 2" xfId="39565"/>
    <cellStyle name="Normal 24 12" xfId="39566"/>
    <cellStyle name="Normal 24 2" xfId="4208"/>
    <cellStyle name="Normal 24 2 2" xfId="39567"/>
    <cellStyle name="Normal 24 2 2 2" xfId="39568"/>
    <cellStyle name="Normal 24 2 3" xfId="39569"/>
    <cellStyle name="Normal 24 3" xfId="4209"/>
    <cellStyle name="Normal 24 3 2" xfId="4210"/>
    <cellStyle name="Normal 24 3 2 2" xfId="4211"/>
    <cellStyle name="Normal 24 3 2 2 2" xfId="4212"/>
    <cellStyle name="Normal 24 3 2 2 2 2" xfId="4213"/>
    <cellStyle name="Normal 24 3 2 2 3" xfId="4214"/>
    <cellStyle name="Normal 24 3 2 3" xfId="4215"/>
    <cellStyle name="Normal 24 3 2 3 2" xfId="4216"/>
    <cellStyle name="Normal 24 3 2 4" xfId="4217"/>
    <cellStyle name="Normal 24 3 3" xfId="4218"/>
    <cellStyle name="Normal 24 3 3 2" xfId="4219"/>
    <cellStyle name="Normal 24 3 3 2 2" xfId="4220"/>
    <cellStyle name="Normal 24 3 3 3" xfId="4221"/>
    <cellStyle name="Normal 24 3 4" xfId="4222"/>
    <cellStyle name="Normal 24 3 4 2" xfId="4223"/>
    <cellStyle name="Normal 24 3 5" xfId="4224"/>
    <cellStyle name="Normal 24 3 5 2" xfId="39570"/>
    <cellStyle name="Normal 24 3 6" xfId="39571"/>
    <cellStyle name="Normal 24 3 6 2" xfId="39572"/>
    <cellStyle name="Normal 24 3 7" xfId="39573"/>
    <cellStyle name="Normal 24 3 7 2" xfId="39574"/>
    <cellStyle name="Normal 24 3 8" xfId="39575"/>
    <cellStyle name="Normal 24 3 8 2" xfId="39576"/>
    <cellStyle name="Normal 24 3 9" xfId="39577"/>
    <cellStyle name="Normal 24 3 9 2" xfId="39578"/>
    <cellStyle name="Normal 24 3_Dakota Panel" xfId="39579"/>
    <cellStyle name="Normal 24 4" xfId="39580"/>
    <cellStyle name="Normal 24 4 2" xfId="39581"/>
    <cellStyle name="Normal 24 4 2 2" xfId="39582"/>
    <cellStyle name="Normal 24 5" xfId="39583"/>
    <cellStyle name="Normal 24 5 2" xfId="39584"/>
    <cellStyle name="Normal 24 5 2 2" xfId="39585"/>
    <cellStyle name="Normal 24 6" xfId="39586"/>
    <cellStyle name="Normal 24 6 2" xfId="39587"/>
    <cellStyle name="Normal 24 6 2 2" xfId="39588"/>
    <cellStyle name="Normal 24 6 3" xfId="39589"/>
    <cellStyle name="Normal 24 6 4" xfId="39590"/>
    <cellStyle name="Normal 24 7" xfId="39591"/>
    <cellStyle name="Normal 24 7 2" xfId="39592"/>
    <cellStyle name="Normal 24 8" xfId="39593"/>
    <cellStyle name="Normal 24 8 2" xfId="39594"/>
    <cellStyle name="Normal 24 9" xfId="39595"/>
    <cellStyle name="Normal 24 9 2" xfId="39596"/>
    <cellStyle name="Normal 24_Dakota Panel" xfId="39597"/>
    <cellStyle name="Normal 240" xfId="39598"/>
    <cellStyle name="Normal 240 2" xfId="39599"/>
    <cellStyle name="Normal 241" xfId="39600"/>
    <cellStyle name="Normal 241 2" xfId="39601"/>
    <cellStyle name="Normal 242" xfId="39602"/>
    <cellStyle name="Normal 242 2" xfId="39603"/>
    <cellStyle name="Normal 243" xfId="39604"/>
    <cellStyle name="Normal 243 2" xfId="39605"/>
    <cellStyle name="Normal 244" xfId="39606"/>
    <cellStyle name="Normal 244 2" xfId="39607"/>
    <cellStyle name="Normal 245" xfId="39608"/>
    <cellStyle name="Normal 245 2" xfId="39609"/>
    <cellStyle name="Normal 246" xfId="39610"/>
    <cellStyle name="Normal 246 2" xfId="39611"/>
    <cellStyle name="Normal 247" xfId="39612"/>
    <cellStyle name="Normal 247 2" xfId="39613"/>
    <cellStyle name="Normal 248" xfId="39614"/>
    <cellStyle name="Normal 248 2" xfId="39615"/>
    <cellStyle name="Normal 249" xfId="39616"/>
    <cellStyle name="Normal 249 2" xfId="39617"/>
    <cellStyle name="Normal 25" xfId="4225"/>
    <cellStyle name="Normal 25 10" xfId="39618"/>
    <cellStyle name="Normal 25 10 2" xfId="39619"/>
    <cellStyle name="Normal 25 11" xfId="39620"/>
    <cellStyle name="Normal 25 11 2" xfId="39621"/>
    <cellStyle name="Normal 25 12" xfId="39622"/>
    <cellStyle name="Normal 25 2" xfId="4226"/>
    <cellStyle name="Normal 25 2 2" xfId="39623"/>
    <cellStyle name="Normal 25 2 2 2" xfId="39624"/>
    <cellStyle name="Normal 25 2 3" xfId="39625"/>
    <cellStyle name="Normal 25 3" xfId="4227"/>
    <cellStyle name="Normal 25 3 2" xfId="4228"/>
    <cellStyle name="Normal 25 3 2 2" xfId="4229"/>
    <cellStyle name="Normal 25 3 2 2 2" xfId="4230"/>
    <cellStyle name="Normal 25 3 2 2 2 2" xfId="4231"/>
    <cellStyle name="Normal 25 3 2 2 3" xfId="4232"/>
    <cellStyle name="Normal 25 3 2 3" xfId="4233"/>
    <cellStyle name="Normal 25 3 2 3 2" xfId="4234"/>
    <cellStyle name="Normal 25 3 2 4" xfId="4235"/>
    <cellStyle name="Normal 25 3 3" xfId="4236"/>
    <cellStyle name="Normal 25 3 3 2" xfId="4237"/>
    <cellStyle name="Normal 25 3 3 2 2" xfId="4238"/>
    <cellStyle name="Normal 25 3 3 3" xfId="4239"/>
    <cellStyle name="Normal 25 3 4" xfId="4240"/>
    <cellStyle name="Normal 25 3 4 2" xfId="4241"/>
    <cellStyle name="Normal 25 3 5" xfId="4242"/>
    <cellStyle name="Normal 25 4" xfId="39626"/>
    <cellStyle name="Normal 25 4 2" xfId="39627"/>
    <cellStyle name="Normal 25 4 2 2" xfId="39628"/>
    <cellStyle name="Normal 25 4 2 2 2" xfId="39629"/>
    <cellStyle name="Normal 25 4 3" xfId="39630"/>
    <cellStyle name="Normal 25 4 3 2" xfId="39631"/>
    <cellStyle name="Normal 25 4 4" xfId="39632"/>
    <cellStyle name="Normal 25 4 4 2" xfId="39633"/>
    <cellStyle name="Normal 25 4 5" xfId="39634"/>
    <cellStyle name="Normal 25 4 5 2" xfId="39635"/>
    <cellStyle name="Normal 25 4 6" xfId="39636"/>
    <cellStyle name="Normal 25 4 6 2" xfId="39637"/>
    <cellStyle name="Normal 25 4 7" xfId="39638"/>
    <cellStyle name="Normal 25 4 7 2" xfId="39639"/>
    <cellStyle name="Normal 25 4 8" xfId="39640"/>
    <cellStyle name="Normal 25 4 8 2" xfId="39641"/>
    <cellStyle name="Normal 25 4 9" xfId="39642"/>
    <cellStyle name="Normal 25 4 9 2" xfId="39643"/>
    <cellStyle name="Normal 25 4_Dakota Panel" xfId="39644"/>
    <cellStyle name="Normal 25 5" xfId="39645"/>
    <cellStyle name="Normal 25 5 2" xfId="39646"/>
    <cellStyle name="Normal 25 5 2 2" xfId="39647"/>
    <cellStyle name="Normal 25 6" xfId="39648"/>
    <cellStyle name="Normal 25 6 2" xfId="39649"/>
    <cellStyle name="Normal 25 6 2 2" xfId="39650"/>
    <cellStyle name="Normal 25 7" xfId="39651"/>
    <cellStyle name="Normal 25 7 2" xfId="39652"/>
    <cellStyle name="Normal 25 7 2 2" xfId="39653"/>
    <cellStyle name="Normal 25 7 3" xfId="39654"/>
    <cellStyle name="Normal 25 7 4" xfId="39655"/>
    <cellStyle name="Normal 25 8" xfId="39656"/>
    <cellStyle name="Normal 25 8 2" xfId="39657"/>
    <cellStyle name="Normal 25 9" xfId="39658"/>
    <cellStyle name="Normal 25 9 2" xfId="39659"/>
    <cellStyle name="Normal 25_Dakota Panel" xfId="39660"/>
    <cellStyle name="Normal 250" xfId="39661"/>
    <cellStyle name="Normal 250 2" xfId="39662"/>
    <cellStyle name="Normal 251" xfId="39663"/>
    <cellStyle name="Normal 251 2" xfId="39664"/>
    <cellStyle name="Normal 252" xfId="39665"/>
    <cellStyle name="Normal 252 2" xfId="39666"/>
    <cellStyle name="Normal 253" xfId="39667"/>
    <cellStyle name="Normal 253 2" xfId="39668"/>
    <cellStyle name="Normal 254" xfId="39669"/>
    <cellStyle name="Normal 254 2" xfId="39670"/>
    <cellStyle name="Normal 255" xfId="39671"/>
    <cellStyle name="Normal 255 2" xfId="39672"/>
    <cellStyle name="Normal 256" xfId="39673"/>
    <cellStyle name="Normal 256 2" xfId="39674"/>
    <cellStyle name="Normal 257" xfId="39675"/>
    <cellStyle name="Normal 257 2" xfId="39676"/>
    <cellStyle name="Normal 258" xfId="39677"/>
    <cellStyle name="Normal 258 2" xfId="39678"/>
    <cellStyle name="Normal 259" xfId="39679"/>
    <cellStyle name="Normal 259 2" xfId="39680"/>
    <cellStyle name="Normal 26" xfId="4243"/>
    <cellStyle name="Normal 26 10" xfId="39681"/>
    <cellStyle name="Normal 26 10 2" xfId="39682"/>
    <cellStyle name="Normal 26 11" xfId="39683"/>
    <cellStyle name="Normal 26 11 2" xfId="39684"/>
    <cellStyle name="Normal 26 12" xfId="39685"/>
    <cellStyle name="Normal 26 2" xfId="4244"/>
    <cellStyle name="Normal 26 2 2" xfId="39686"/>
    <cellStyle name="Normal 26 2 2 2" xfId="39687"/>
    <cellStyle name="Normal 26 2 3" xfId="39688"/>
    <cellStyle name="Normal 26 3" xfId="4245"/>
    <cellStyle name="Normal 26 3 2" xfId="4246"/>
    <cellStyle name="Normal 26 3 2 2" xfId="4247"/>
    <cellStyle name="Normal 26 3 2 2 2" xfId="4248"/>
    <cellStyle name="Normal 26 3 2 2 2 2" xfId="4249"/>
    <cellStyle name="Normal 26 3 2 2 3" xfId="4250"/>
    <cellStyle name="Normal 26 3 2 3" xfId="4251"/>
    <cellStyle name="Normal 26 3 2 3 2" xfId="4252"/>
    <cellStyle name="Normal 26 3 2 4" xfId="4253"/>
    <cellStyle name="Normal 26 3 3" xfId="4254"/>
    <cellStyle name="Normal 26 3 3 2" xfId="4255"/>
    <cellStyle name="Normal 26 3 3 2 2" xfId="4256"/>
    <cellStyle name="Normal 26 3 3 3" xfId="4257"/>
    <cellStyle name="Normal 26 3 4" xfId="4258"/>
    <cellStyle name="Normal 26 3 4 2" xfId="4259"/>
    <cellStyle name="Normal 26 3 5" xfId="4260"/>
    <cellStyle name="Normal 26 3 5 2" xfId="39689"/>
    <cellStyle name="Normal 26 3 6" xfId="39690"/>
    <cellStyle name="Normal 26 3 6 2" xfId="39691"/>
    <cellStyle name="Normal 26 3 7" xfId="39692"/>
    <cellStyle name="Normal 26 3 7 2" xfId="39693"/>
    <cellStyle name="Normal 26 3 8" xfId="39694"/>
    <cellStyle name="Normal 26 3 8 2" xfId="39695"/>
    <cellStyle name="Normal 26 3 9" xfId="39696"/>
    <cellStyle name="Normal 26 3 9 2" xfId="39697"/>
    <cellStyle name="Normal 26 3_Dakota Panel" xfId="39698"/>
    <cellStyle name="Normal 26 4" xfId="39699"/>
    <cellStyle name="Normal 26 4 2" xfId="39700"/>
    <cellStyle name="Normal 26 4 2 2" xfId="39701"/>
    <cellStyle name="Normal 26 5" xfId="39702"/>
    <cellStyle name="Normal 26 5 2" xfId="39703"/>
    <cellStyle name="Normal 26 5 2 2" xfId="39704"/>
    <cellStyle name="Normal 26 6" xfId="39705"/>
    <cellStyle name="Normal 26 6 2" xfId="39706"/>
    <cellStyle name="Normal 26 6 2 2" xfId="39707"/>
    <cellStyle name="Normal 26 6 3" xfId="39708"/>
    <cellStyle name="Normal 26 6 4" xfId="39709"/>
    <cellStyle name="Normal 26 7" xfId="39710"/>
    <cellStyle name="Normal 26 7 2" xfId="39711"/>
    <cellStyle name="Normal 26 8" xfId="39712"/>
    <cellStyle name="Normal 26 8 2" xfId="39713"/>
    <cellStyle name="Normal 26 9" xfId="39714"/>
    <cellStyle name="Normal 26 9 2" xfId="39715"/>
    <cellStyle name="Normal 26_Dakota Panel" xfId="39716"/>
    <cellStyle name="Normal 260" xfId="39717"/>
    <cellStyle name="Normal 260 2" xfId="39718"/>
    <cellStyle name="Normal 261" xfId="39719"/>
    <cellStyle name="Normal 261 2" xfId="39720"/>
    <cellStyle name="Normal 262" xfId="39721"/>
    <cellStyle name="Normal 262 2" xfId="39722"/>
    <cellStyle name="Normal 263" xfId="39723"/>
    <cellStyle name="Normal 263 2" xfId="39724"/>
    <cellStyle name="Normal 264" xfId="39725"/>
    <cellStyle name="Normal 264 2" xfId="39726"/>
    <cellStyle name="Normal 265" xfId="39727"/>
    <cellStyle name="Normal 265 2" xfId="39728"/>
    <cellStyle name="Normal 266" xfId="39729"/>
    <cellStyle name="Normal 266 2" xfId="39730"/>
    <cellStyle name="Normal 267" xfId="39731"/>
    <cellStyle name="Normal 267 2" xfId="39732"/>
    <cellStyle name="Normal 268" xfId="39733"/>
    <cellStyle name="Normal 268 2" xfId="39734"/>
    <cellStyle name="Normal 269" xfId="39735"/>
    <cellStyle name="Normal 27" xfId="4261"/>
    <cellStyle name="Normal 27 10" xfId="39736"/>
    <cellStyle name="Normal 27 10 2" xfId="39737"/>
    <cellStyle name="Normal 27 11" xfId="39738"/>
    <cellStyle name="Normal 27 11 2" xfId="39739"/>
    <cellStyle name="Normal 27 12" xfId="39740"/>
    <cellStyle name="Normal 27 2" xfId="4262"/>
    <cellStyle name="Normal 27 2 2" xfId="39741"/>
    <cellStyle name="Normal 27 2 2 2" xfId="39742"/>
    <cellStyle name="Normal 27 2 3" xfId="39743"/>
    <cellStyle name="Normal 27 3" xfId="4263"/>
    <cellStyle name="Normal 27 3 2" xfId="4264"/>
    <cellStyle name="Normal 27 3 2 2" xfId="4265"/>
    <cellStyle name="Normal 27 3 2 2 2" xfId="4266"/>
    <cellStyle name="Normal 27 3 2 2 2 2" xfId="4267"/>
    <cellStyle name="Normal 27 3 2 2 3" xfId="4268"/>
    <cellStyle name="Normal 27 3 2 3" xfId="4269"/>
    <cellStyle name="Normal 27 3 2 3 2" xfId="4270"/>
    <cellStyle name="Normal 27 3 2 4" xfId="4271"/>
    <cellStyle name="Normal 27 3 3" xfId="4272"/>
    <cellStyle name="Normal 27 3 3 2" xfId="4273"/>
    <cellStyle name="Normal 27 3 3 2 2" xfId="4274"/>
    <cellStyle name="Normal 27 3 3 3" xfId="4275"/>
    <cellStyle name="Normal 27 3 4" xfId="4276"/>
    <cellStyle name="Normal 27 3 4 2" xfId="4277"/>
    <cellStyle name="Normal 27 3 5" xfId="4278"/>
    <cellStyle name="Normal 27 3 5 2" xfId="39744"/>
    <cellStyle name="Normal 27 3 6" xfId="39745"/>
    <cellStyle name="Normal 27 3 6 2" xfId="39746"/>
    <cellStyle name="Normal 27 3 7" xfId="39747"/>
    <cellStyle name="Normal 27 3 7 2" xfId="39748"/>
    <cellStyle name="Normal 27 3 8" xfId="39749"/>
    <cellStyle name="Normal 27 3 8 2" xfId="39750"/>
    <cellStyle name="Normal 27 3 9" xfId="39751"/>
    <cellStyle name="Normal 27 3 9 2" xfId="39752"/>
    <cellStyle name="Normal 27 3_Dakota Panel" xfId="39753"/>
    <cellStyle name="Normal 27 4" xfId="39754"/>
    <cellStyle name="Normal 27 4 2" xfId="39755"/>
    <cellStyle name="Normal 27 4 2 2" xfId="39756"/>
    <cellStyle name="Normal 27 5" xfId="39757"/>
    <cellStyle name="Normal 27 5 2" xfId="39758"/>
    <cellStyle name="Normal 27 5 2 2" xfId="39759"/>
    <cellStyle name="Normal 27 6" xfId="39760"/>
    <cellStyle name="Normal 27 6 2" xfId="39761"/>
    <cellStyle name="Normal 27 6 2 2" xfId="39762"/>
    <cellStyle name="Normal 27 6 3" xfId="39763"/>
    <cellStyle name="Normal 27 6 4" xfId="39764"/>
    <cellStyle name="Normal 27 7" xfId="39765"/>
    <cellStyle name="Normal 27 7 2" xfId="39766"/>
    <cellStyle name="Normal 27 8" xfId="39767"/>
    <cellStyle name="Normal 27 8 2" xfId="39768"/>
    <cellStyle name="Normal 27 9" xfId="39769"/>
    <cellStyle name="Normal 27 9 2" xfId="39770"/>
    <cellStyle name="Normal 27_Dakota Panel" xfId="39771"/>
    <cellStyle name="Normal 270" xfId="39772"/>
    <cellStyle name="Normal 270 2" xfId="39773"/>
    <cellStyle name="Normal 271" xfId="39774"/>
    <cellStyle name="Normal 271 2" xfId="39775"/>
    <cellStyle name="Normal 272" xfId="39776"/>
    <cellStyle name="Normal 272 2" xfId="39777"/>
    <cellStyle name="Normal 273" xfId="39778"/>
    <cellStyle name="Normal 273 2" xfId="39779"/>
    <cellStyle name="Normal 274" xfId="39780"/>
    <cellStyle name="Normal 275" xfId="39781"/>
    <cellStyle name="Normal 276" xfId="39782"/>
    <cellStyle name="Normal 277" xfId="39783"/>
    <cellStyle name="Normal 278" xfId="39784"/>
    <cellStyle name="Normal 279" xfId="39785"/>
    <cellStyle name="Normal 28" xfId="4279"/>
    <cellStyle name="Normal 28 10" xfId="39786"/>
    <cellStyle name="Normal 28 10 2" xfId="39787"/>
    <cellStyle name="Normal 28 11" xfId="39788"/>
    <cellStyle name="Normal 28 11 2" xfId="39789"/>
    <cellStyle name="Normal 28 12" xfId="39790"/>
    <cellStyle name="Normal 28 2" xfId="4280"/>
    <cellStyle name="Normal 28 2 2" xfId="39791"/>
    <cellStyle name="Normal 28 2 2 2" xfId="39792"/>
    <cellStyle name="Normal 28 2 3" xfId="39793"/>
    <cellStyle name="Normal 28 3" xfId="4281"/>
    <cellStyle name="Normal 28 3 2" xfId="39794"/>
    <cellStyle name="Normal 28 3 2 2" xfId="39795"/>
    <cellStyle name="Normal 28 3 2 2 2" xfId="39796"/>
    <cellStyle name="Normal 28 3 3" xfId="39797"/>
    <cellStyle name="Normal 28 3 3 2" xfId="39798"/>
    <cellStyle name="Normal 28 3 4" xfId="39799"/>
    <cellStyle name="Normal 28 3 4 2" xfId="39800"/>
    <cellStyle name="Normal 28 3 5" xfId="39801"/>
    <cellStyle name="Normal 28 3 5 2" xfId="39802"/>
    <cellStyle name="Normal 28 3 6" xfId="39803"/>
    <cellStyle name="Normal 28 3 6 2" xfId="39804"/>
    <cellStyle name="Normal 28 3 7" xfId="39805"/>
    <cellStyle name="Normal 28 3 7 2" xfId="39806"/>
    <cellStyle name="Normal 28 3 8" xfId="39807"/>
    <cellStyle name="Normal 28 3 8 2" xfId="39808"/>
    <cellStyle name="Normal 28 3 9" xfId="39809"/>
    <cellStyle name="Normal 28 3 9 2" xfId="39810"/>
    <cellStyle name="Normal 28 3_Dakota Panel" xfId="39811"/>
    <cellStyle name="Normal 28 4" xfId="39812"/>
    <cellStyle name="Normal 28 4 2" xfId="39813"/>
    <cellStyle name="Normal 28 4 2 2" xfId="39814"/>
    <cellStyle name="Normal 28 5" xfId="39815"/>
    <cellStyle name="Normal 28 5 2" xfId="39816"/>
    <cellStyle name="Normal 28 5 2 2" xfId="39817"/>
    <cellStyle name="Normal 28 6" xfId="39818"/>
    <cellStyle name="Normal 28 6 2" xfId="39819"/>
    <cellStyle name="Normal 28 6 2 2" xfId="39820"/>
    <cellStyle name="Normal 28 6 3" xfId="39821"/>
    <cellStyle name="Normal 28 6 4" xfId="39822"/>
    <cellStyle name="Normal 28 7" xfId="39823"/>
    <cellStyle name="Normal 28 7 2" xfId="39824"/>
    <cellStyle name="Normal 28 8" xfId="39825"/>
    <cellStyle name="Normal 28 8 2" xfId="39826"/>
    <cellStyle name="Normal 28 9" xfId="39827"/>
    <cellStyle name="Normal 28 9 2" xfId="39828"/>
    <cellStyle name="Normal 28_Dakota Panel" xfId="39829"/>
    <cellStyle name="Normal 280" xfId="39830"/>
    <cellStyle name="Normal 281" xfId="39831"/>
    <cellStyle name="Normal 282" xfId="39832"/>
    <cellStyle name="Normal 283" xfId="39833"/>
    <cellStyle name="Normal 283 2" xfId="39834"/>
    <cellStyle name="Normal 284" xfId="39835"/>
    <cellStyle name="Normal 285" xfId="39836"/>
    <cellStyle name="Normal 286" xfId="39837"/>
    <cellStyle name="Normal 287" xfId="39838"/>
    <cellStyle name="Normal 288" xfId="39839"/>
    <cellStyle name="Normal 289" xfId="39840"/>
    <cellStyle name="Normal 29" xfId="4282"/>
    <cellStyle name="Normal 29 10" xfId="39841"/>
    <cellStyle name="Normal 29 10 2" xfId="39842"/>
    <cellStyle name="Normal 29 11" xfId="39843"/>
    <cellStyle name="Normal 29 11 2" xfId="39844"/>
    <cellStyle name="Normal 29 12" xfId="39845"/>
    <cellStyle name="Normal 29 2" xfId="4283"/>
    <cellStyle name="Normal 29 2 2" xfId="39846"/>
    <cellStyle name="Normal 29 2 2 2" xfId="39847"/>
    <cellStyle name="Normal 29 2 3" xfId="39848"/>
    <cellStyle name="Normal 29 3" xfId="4284"/>
    <cellStyle name="Normal 29 3 2" xfId="4285"/>
    <cellStyle name="Normal 29 3 2 2" xfId="4286"/>
    <cellStyle name="Normal 29 3 2 2 2" xfId="4287"/>
    <cellStyle name="Normal 29 3 2 2 2 2" xfId="4288"/>
    <cellStyle name="Normal 29 3 2 2 3" xfId="4289"/>
    <cellStyle name="Normal 29 3 2 3" xfId="4290"/>
    <cellStyle name="Normal 29 3 2 3 2" xfId="4291"/>
    <cellStyle name="Normal 29 3 2 4" xfId="4292"/>
    <cellStyle name="Normal 29 3 3" xfId="4293"/>
    <cellStyle name="Normal 29 3 3 2" xfId="4294"/>
    <cellStyle name="Normal 29 3 3 2 2" xfId="4295"/>
    <cellStyle name="Normal 29 3 3 3" xfId="4296"/>
    <cellStyle name="Normal 29 3 4" xfId="4297"/>
    <cellStyle name="Normal 29 3 4 2" xfId="4298"/>
    <cellStyle name="Normal 29 3 5" xfId="4299"/>
    <cellStyle name="Normal 29 4" xfId="39849"/>
    <cellStyle name="Normal 29 4 2" xfId="39850"/>
    <cellStyle name="Normal 29 4 2 2" xfId="39851"/>
    <cellStyle name="Normal 29 4 2 2 2" xfId="39852"/>
    <cellStyle name="Normal 29 4 3" xfId="39853"/>
    <cellStyle name="Normal 29 4 3 2" xfId="39854"/>
    <cellStyle name="Normal 29 4 4" xfId="39855"/>
    <cellStyle name="Normal 29 4 4 2" xfId="39856"/>
    <cellStyle name="Normal 29 4 5" xfId="39857"/>
    <cellStyle name="Normal 29 4 5 2" xfId="39858"/>
    <cellStyle name="Normal 29 4 6" xfId="39859"/>
    <cellStyle name="Normal 29 4 6 2" xfId="39860"/>
    <cellStyle name="Normal 29 4 7" xfId="39861"/>
    <cellStyle name="Normal 29 4 7 2" xfId="39862"/>
    <cellStyle name="Normal 29 4 8" xfId="39863"/>
    <cellStyle name="Normal 29 4 8 2" xfId="39864"/>
    <cellStyle name="Normal 29 4 9" xfId="39865"/>
    <cellStyle name="Normal 29 4 9 2" xfId="39866"/>
    <cellStyle name="Normal 29 4_Dakota Panel" xfId="39867"/>
    <cellStyle name="Normal 29 5" xfId="39868"/>
    <cellStyle name="Normal 29 5 2" xfId="39869"/>
    <cellStyle name="Normal 29 5 2 2" xfId="39870"/>
    <cellStyle name="Normal 29 6" xfId="39871"/>
    <cellStyle name="Normal 29 6 2" xfId="39872"/>
    <cellStyle name="Normal 29 6 2 2" xfId="39873"/>
    <cellStyle name="Normal 29 7" xfId="39874"/>
    <cellStyle name="Normal 29 7 2" xfId="39875"/>
    <cellStyle name="Normal 29 7 2 2" xfId="39876"/>
    <cellStyle name="Normal 29 7 3" xfId="39877"/>
    <cellStyle name="Normal 29 7 4" xfId="39878"/>
    <cellStyle name="Normal 29 8" xfId="39879"/>
    <cellStyle name="Normal 29 8 2" xfId="39880"/>
    <cellStyle name="Normal 29 9" xfId="39881"/>
    <cellStyle name="Normal 29 9 2" xfId="39882"/>
    <cellStyle name="Normal 29_Dakota Panel" xfId="39883"/>
    <cellStyle name="Normal 290" xfId="39884"/>
    <cellStyle name="Normal 291" xfId="39885"/>
    <cellStyle name="Normal 292" xfId="39886"/>
    <cellStyle name="Normal 293" xfId="39887"/>
    <cellStyle name="Normal 294" xfId="39888"/>
    <cellStyle name="Normal 295" xfId="39889"/>
    <cellStyle name="Normal 296" xfId="39890"/>
    <cellStyle name="Normal 297" xfId="39891"/>
    <cellStyle name="Normal 298" xfId="39892"/>
    <cellStyle name="Normal 299" xfId="39893"/>
    <cellStyle name="Normal 3" xfId="27"/>
    <cellStyle name="Normal 3 10" xfId="39894"/>
    <cellStyle name="Normal 3 10 2" xfId="39895"/>
    <cellStyle name="Normal 3 10 3" xfId="39896"/>
    <cellStyle name="Normal 3 10 4" xfId="39897"/>
    <cellStyle name="Normal 3 10 4 2" xfId="39898"/>
    <cellStyle name="Normal 3 11" xfId="39899"/>
    <cellStyle name="Normal 3 11 2" xfId="39900"/>
    <cellStyle name="Normal 3 11 2 2" xfId="39901"/>
    <cellStyle name="Normal 3 11 2 2 2" xfId="39902"/>
    <cellStyle name="Normal 3 11 2 2 3" xfId="39903"/>
    <cellStyle name="Normal 3 11 2 3" xfId="39904"/>
    <cellStyle name="Normal 3 11 2 3 2" xfId="39905"/>
    <cellStyle name="Normal 3 11 2 4" xfId="39906"/>
    <cellStyle name="Normal 3 11 2 5" xfId="39907"/>
    <cellStyle name="Normal 3 11 3" xfId="39908"/>
    <cellStyle name="Normal 3 11 3 2" xfId="39909"/>
    <cellStyle name="Normal 3 11 3 2 2" xfId="39910"/>
    <cellStyle name="Normal 3 11 3 3" xfId="39911"/>
    <cellStyle name="Normal 3 11 3 4" xfId="39912"/>
    <cellStyle name="Normal 3 11 4" xfId="39913"/>
    <cellStyle name="Normal 3 11 4 2" xfId="39914"/>
    <cellStyle name="Normal 3 11 4 2 2" xfId="39915"/>
    <cellStyle name="Normal 3 11 4 3" xfId="39916"/>
    <cellStyle name="Normal 3 11 4 4" xfId="39917"/>
    <cellStyle name="Normal 3 11 5" xfId="39918"/>
    <cellStyle name="Normal 3 11 5 2" xfId="39919"/>
    <cellStyle name="Normal 3 11 6" xfId="39920"/>
    <cellStyle name="Normal 3 11 7" xfId="39921"/>
    <cellStyle name="Normal 3 11 8" xfId="39922"/>
    <cellStyle name="Normal 3 12" xfId="39923"/>
    <cellStyle name="Normal 3 12 2" xfId="39924"/>
    <cellStyle name="Normal 3 12 2 2" xfId="39925"/>
    <cellStyle name="Normal 3 12 2 2 2" xfId="39926"/>
    <cellStyle name="Normal 3 12 2 2 3" xfId="39927"/>
    <cellStyle name="Normal 3 12 2 3" xfId="39928"/>
    <cellStyle name="Normal 3 12 2 3 2" xfId="39929"/>
    <cellStyle name="Normal 3 12 2 4" xfId="39930"/>
    <cellStyle name="Normal 3 12 2 5" xfId="39931"/>
    <cellStyle name="Normal 3 12 3" xfId="39932"/>
    <cellStyle name="Normal 3 12 3 2" xfId="39933"/>
    <cellStyle name="Normal 3 12 3 2 2" xfId="39934"/>
    <cellStyle name="Normal 3 12 3 3" xfId="39935"/>
    <cellStyle name="Normal 3 12 3 4" xfId="39936"/>
    <cellStyle name="Normal 3 12 4" xfId="39937"/>
    <cellStyle name="Normal 3 12 4 2" xfId="39938"/>
    <cellStyle name="Normal 3 12 4 2 2" xfId="39939"/>
    <cellStyle name="Normal 3 12 4 3" xfId="39940"/>
    <cellStyle name="Normal 3 12 4 4" xfId="39941"/>
    <cellStyle name="Normal 3 12 5" xfId="39942"/>
    <cellStyle name="Normal 3 12 5 2" xfId="39943"/>
    <cellStyle name="Normal 3 12 6" xfId="39944"/>
    <cellStyle name="Normal 3 12 7" xfId="39945"/>
    <cellStyle name="Normal 3 12 8" xfId="39946"/>
    <cellStyle name="Normal 3 13" xfId="39947"/>
    <cellStyle name="Normal 3 13 2" xfId="39948"/>
    <cellStyle name="Normal 3 13 2 2" xfId="39949"/>
    <cellStyle name="Normal 3 13 2 2 2" xfId="39950"/>
    <cellStyle name="Normal 3 13 2 2 3" xfId="39951"/>
    <cellStyle name="Normal 3 13 2 3" xfId="39952"/>
    <cellStyle name="Normal 3 13 2 3 2" xfId="39953"/>
    <cellStyle name="Normal 3 13 2 4" xfId="39954"/>
    <cellStyle name="Normal 3 13 2 5" xfId="39955"/>
    <cellStyle name="Normal 3 13 3" xfId="39956"/>
    <cellStyle name="Normal 3 13 3 2" xfId="39957"/>
    <cellStyle name="Normal 3 13 3 2 2" xfId="39958"/>
    <cellStyle name="Normal 3 13 3 3" xfId="39959"/>
    <cellStyle name="Normal 3 13 3 4" xfId="39960"/>
    <cellStyle name="Normal 3 13 4" xfId="39961"/>
    <cellStyle name="Normal 3 13 4 2" xfId="39962"/>
    <cellStyle name="Normal 3 13 4 2 2" xfId="39963"/>
    <cellStyle name="Normal 3 13 4 3" xfId="39964"/>
    <cellStyle name="Normal 3 13 4 4" xfId="39965"/>
    <cellStyle name="Normal 3 13 5" xfId="39966"/>
    <cellStyle name="Normal 3 13 5 2" xfId="39967"/>
    <cellStyle name="Normal 3 13 6" xfId="39968"/>
    <cellStyle name="Normal 3 13 7" xfId="39969"/>
    <cellStyle name="Normal 3 13 8" xfId="39970"/>
    <cellStyle name="Normal 3 14" xfId="39971"/>
    <cellStyle name="Normal 3 15" xfId="39972"/>
    <cellStyle name="Normal 3 15 2" xfId="39973"/>
    <cellStyle name="Normal 3 15 2 2" xfId="39974"/>
    <cellStyle name="Normal 3 15 3" xfId="39975"/>
    <cellStyle name="Normal 3 15 4" xfId="39976"/>
    <cellStyle name="Normal 3 16" xfId="39977"/>
    <cellStyle name="Normal 3 16 2" xfId="39978"/>
    <cellStyle name="Normal 3 17" xfId="39979"/>
    <cellStyle name="Normal 3 2" xfId="124"/>
    <cellStyle name="Normal 3 2 10" xfId="39980"/>
    <cellStyle name="Normal 3 2 10 2" xfId="39981"/>
    <cellStyle name="Normal 3 2 10 2 2" xfId="39982"/>
    <cellStyle name="Normal 3 2 10 2 2 2" xfId="39983"/>
    <cellStyle name="Normal 3 2 10 2 2 3" xfId="39984"/>
    <cellStyle name="Normal 3 2 10 2 3" xfId="39985"/>
    <cellStyle name="Normal 3 2 10 2 3 2" xfId="39986"/>
    <cellStyle name="Normal 3 2 10 2 4" xfId="39987"/>
    <cellStyle name="Normal 3 2 10 2 5" xfId="39988"/>
    <cellStyle name="Normal 3 2 10 3" xfId="39989"/>
    <cellStyle name="Normal 3 2 10 3 2" xfId="39990"/>
    <cellStyle name="Normal 3 2 10 3 2 2" xfId="39991"/>
    <cellStyle name="Normal 3 2 10 3 3" xfId="39992"/>
    <cellStyle name="Normal 3 2 10 3 4" xfId="39993"/>
    <cellStyle name="Normal 3 2 10 4" xfId="39994"/>
    <cellStyle name="Normal 3 2 10 4 2" xfId="39995"/>
    <cellStyle name="Normal 3 2 10 4 2 2" xfId="39996"/>
    <cellStyle name="Normal 3 2 10 4 3" xfId="39997"/>
    <cellStyle name="Normal 3 2 10 4 4" xfId="39998"/>
    <cellStyle name="Normal 3 2 10 5" xfId="39999"/>
    <cellStyle name="Normal 3 2 10 5 2" xfId="40000"/>
    <cellStyle name="Normal 3 2 10 6" xfId="40001"/>
    <cellStyle name="Normal 3 2 10 7" xfId="40002"/>
    <cellStyle name="Normal 3 2 10 8" xfId="40003"/>
    <cellStyle name="Normal 3 2 11" xfId="40004"/>
    <cellStyle name="Normal 3 2 11 2" xfId="40005"/>
    <cellStyle name="Normal 3 2 11 2 2" xfId="40006"/>
    <cellStyle name="Normal 3 2 11 2 2 2" xfId="40007"/>
    <cellStyle name="Normal 3 2 11 2 2 3" xfId="40008"/>
    <cellStyle name="Normal 3 2 11 2 3" xfId="40009"/>
    <cellStyle name="Normal 3 2 11 2 3 2" xfId="40010"/>
    <cellStyle name="Normal 3 2 11 2 4" xfId="40011"/>
    <cellStyle name="Normal 3 2 11 2 5" xfId="40012"/>
    <cellStyle name="Normal 3 2 11 3" xfId="40013"/>
    <cellStyle name="Normal 3 2 11 3 2" xfId="40014"/>
    <cellStyle name="Normal 3 2 11 3 2 2" xfId="40015"/>
    <cellStyle name="Normal 3 2 11 3 3" xfId="40016"/>
    <cellStyle name="Normal 3 2 11 3 4" xfId="40017"/>
    <cellStyle name="Normal 3 2 11 4" xfId="40018"/>
    <cellStyle name="Normal 3 2 11 4 2" xfId="40019"/>
    <cellStyle name="Normal 3 2 11 4 2 2" xfId="40020"/>
    <cellStyle name="Normal 3 2 11 4 3" xfId="40021"/>
    <cellStyle name="Normal 3 2 11 4 4" xfId="40022"/>
    <cellStyle name="Normal 3 2 11 5" xfId="40023"/>
    <cellStyle name="Normal 3 2 11 5 2" xfId="40024"/>
    <cellStyle name="Normal 3 2 11 6" xfId="40025"/>
    <cellStyle name="Normal 3 2 11 7" xfId="40026"/>
    <cellStyle name="Normal 3 2 11 8" xfId="40027"/>
    <cellStyle name="Normal 3 2 12" xfId="40028"/>
    <cellStyle name="Normal 3 2 12 2" xfId="40029"/>
    <cellStyle name="Normal 3 2 12 2 2" xfId="40030"/>
    <cellStyle name="Normal 3 2 12 2 2 2" xfId="40031"/>
    <cellStyle name="Normal 3 2 12 2 2 3" xfId="40032"/>
    <cellStyle name="Normal 3 2 12 2 3" xfId="40033"/>
    <cellStyle name="Normal 3 2 12 2 3 2" xfId="40034"/>
    <cellStyle name="Normal 3 2 12 2 4" xfId="40035"/>
    <cellStyle name="Normal 3 2 12 2 5" xfId="40036"/>
    <cellStyle name="Normal 3 2 12 3" xfId="40037"/>
    <cellStyle name="Normal 3 2 12 3 2" xfId="40038"/>
    <cellStyle name="Normal 3 2 12 3 2 2" xfId="40039"/>
    <cellStyle name="Normal 3 2 12 3 3" xfId="40040"/>
    <cellStyle name="Normal 3 2 12 3 4" xfId="40041"/>
    <cellStyle name="Normal 3 2 12 4" xfId="40042"/>
    <cellStyle name="Normal 3 2 12 4 2" xfId="40043"/>
    <cellStyle name="Normal 3 2 12 4 2 2" xfId="40044"/>
    <cellStyle name="Normal 3 2 12 4 3" xfId="40045"/>
    <cellStyle name="Normal 3 2 12 4 4" xfId="40046"/>
    <cellStyle name="Normal 3 2 12 5" xfId="40047"/>
    <cellStyle name="Normal 3 2 12 5 2" xfId="40048"/>
    <cellStyle name="Normal 3 2 12 6" xfId="40049"/>
    <cellStyle name="Normal 3 2 12 7" xfId="40050"/>
    <cellStyle name="Normal 3 2 12 8" xfId="40051"/>
    <cellStyle name="Normal 3 2 13" xfId="40052"/>
    <cellStyle name="Normal 3 2 2" xfId="4300"/>
    <cellStyle name="Normal 3 2 2 2" xfId="40053"/>
    <cellStyle name="Normal 3 2 2 2 2" xfId="40054"/>
    <cellStyle name="Normal 3 2 2 2 2 2" xfId="40055"/>
    <cellStyle name="Normal 3 2 2 2 2 2 2" xfId="40056"/>
    <cellStyle name="Normal 3 2 2 2 2 2 2 2" xfId="40057"/>
    <cellStyle name="Normal 3 2 2 2 2 2 2 2 2" xfId="40058"/>
    <cellStyle name="Normal 3 2 2 2 2 2 2 2 2 2" xfId="40059"/>
    <cellStyle name="Normal 3 2 2 2 2 2 2 2 2 3" xfId="40060"/>
    <cellStyle name="Normal 3 2 2 2 2 2 2 2 3" xfId="40061"/>
    <cellStyle name="Normal 3 2 2 2 2 2 2 2 3 2" xfId="40062"/>
    <cellStyle name="Normal 3 2 2 2 2 2 2 2 4" xfId="40063"/>
    <cellStyle name="Normal 3 2 2 2 2 2 2 2 5" xfId="40064"/>
    <cellStyle name="Normal 3 2 2 2 2 2 2 3" xfId="40065"/>
    <cellStyle name="Normal 3 2 2 2 2 2 2 3 2" xfId="40066"/>
    <cellStyle name="Normal 3 2 2 2 2 2 2 3 2 2" xfId="40067"/>
    <cellStyle name="Normal 3 2 2 2 2 2 2 3 3" xfId="40068"/>
    <cellStyle name="Normal 3 2 2 2 2 2 2 3 4" xfId="40069"/>
    <cellStyle name="Normal 3 2 2 2 2 2 2 4" xfId="40070"/>
    <cellStyle name="Normal 3 2 2 2 2 2 2 4 2" xfId="40071"/>
    <cellStyle name="Normal 3 2 2 2 2 2 2 4 2 2" xfId="40072"/>
    <cellStyle name="Normal 3 2 2 2 2 2 2 4 3" xfId="40073"/>
    <cellStyle name="Normal 3 2 2 2 2 2 2 4 4" xfId="40074"/>
    <cellStyle name="Normal 3 2 2 2 2 2 2 5" xfId="40075"/>
    <cellStyle name="Normal 3 2 2 2 2 2 2 5 2" xfId="40076"/>
    <cellStyle name="Normal 3 2 2 2 2 2 2 6" xfId="40077"/>
    <cellStyle name="Normal 3 2 2 2 2 2 2 7" xfId="40078"/>
    <cellStyle name="Normal 3 2 2 2 2 2 2 8" xfId="40079"/>
    <cellStyle name="Normal 3 2 2 2 2 2 3" xfId="40080"/>
    <cellStyle name="Normal 3 2 2 2 2 2 3 2" xfId="40081"/>
    <cellStyle name="Normal 3 2 2 2 2 2 3 2 2" xfId="40082"/>
    <cellStyle name="Normal 3 2 2 2 2 2 3 2 2 2" xfId="40083"/>
    <cellStyle name="Normal 3 2 2 2 2 2 3 2 2 3" xfId="40084"/>
    <cellStyle name="Normal 3 2 2 2 2 2 3 2 3" xfId="40085"/>
    <cellStyle name="Normal 3 2 2 2 2 2 3 2 3 2" xfId="40086"/>
    <cellStyle name="Normal 3 2 2 2 2 2 3 2 4" xfId="40087"/>
    <cellStyle name="Normal 3 2 2 2 2 2 3 2 5" xfId="40088"/>
    <cellStyle name="Normal 3 2 2 2 2 2 3 3" xfId="40089"/>
    <cellStyle name="Normal 3 2 2 2 2 2 3 3 2" xfId="40090"/>
    <cellStyle name="Normal 3 2 2 2 2 2 3 3 2 2" xfId="40091"/>
    <cellStyle name="Normal 3 2 2 2 2 2 3 3 3" xfId="40092"/>
    <cellStyle name="Normal 3 2 2 2 2 2 3 3 4" xfId="40093"/>
    <cellStyle name="Normal 3 2 2 2 2 2 3 4" xfId="40094"/>
    <cellStyle name="Normal 3 2 2 2 2 2 3 4 2" xfId="40095"/>
    <cellStyle name="Normal 3 2 2 2 2 2 3 4 2 2" xfId="40096"/>
    <cellStyle name="Normal 3 2 2 2 2 2 3 4 3" xfId="40097"/>
    <cellStyle name="Normal 3 2 2 2 2 2 3 4 4" xfId="40098"/>
    <cellStyle name="Normal 3 2 2 2 2 2 3 5" xfId="40099"/>
    <cellStyle name="Normal 3 2 2 2 2 2 3 5 2" xfId="40100"/>
    <cellStyle name="Normal 3 2 2 2 2 2 3 6" xfId="40101"/>
    <cellStyle name="Normal 3 2 2 2 2 2 3 7" xfId="40102"/>
    <cellStyle name="Normal 3 2 2 2 2 2 3 8" xfId="40103"/>
    <cellStyle name="Normal 3 2 2 2 2 2 4" xfId="40104"/>
    <cellStyle name="Normal 3 2 2 2 2 2 4 2" xfId="40105"/>
    <cellStyle name="Normal 3 2 2 2 2 2 4 2 2" xfId="40106"/>
    <cellStyle name="Normal 3 2 2 2 2 2 4 2 2 2" xfId="40107"/>
    <cellStyle name="Normal 3 2 2 2 2 2 4 2 2 3" xfId="40108"/>
    <cellStyle name="Normal 3 2 2 2 2 2 4 2 3" xfId="40109"/>
    <cellStyle name="Normal 3 2 2 2 2 2 4 2 3 2" xfId="40110"/>
    <cellStyle name="Normal 3 2 2 2 2 2 4 2 4" xfId="40111"/>
    <cellStyle name="Normal 3 2 2 2 2 2 4 2 5" xfId="40112"/>
    <cellStyle name="Normal 3 2 2 2 2 2 4 3" xfId="40113"/>
    <cellStyle name="Normal 3 2 2 2 2 2 4 3 2" xfId="40114"/>
    <cellStyle name="Normal 3 2 2 2 2 2 4 3 2 2" xfId="40115"/>
    <cellStyle name="Normal 3 2 2 2 2 2 4 3 3" xfId="40116"/>
    <cellStyle name="Normal 3 2 2 2 2 2 4 3 4" xfId="40117"/>
    <cellStyle name="Normal 3 2 2 2 2 2 4 4" xfId="40118"/>
    <cellStyle name="Normal 3 2 2 2 2 2 4 4 2" xfId="40119"/>
    <cellStyle name="Normal 3 2 2 2 2 2 4 4 2 2" xfId="40120"/>
    <cellStyle name="Normal 3 2 2 2 2 2 4 4 3" xfId="40121"/>
    <cellStyle name="Normal 3 2 2 2 2 2 4 4 4" xfId="40122"/>
    <cellStyle name="Normal 3 2 2 2 2 2 4 5" xfId="40123"/>
    <cellStyle name="Normal 3 2 2 2 2 2 4 5 2" xfId="40124"/>
    <cellStyle name="Normal 3 2 2 2 2 2 4 6" xfId="40125"/>
    <cellStyle name="Normal 3 2 2 2 2 2 4 7" xfId="40126"/>
    <cellStyle name="Normal 3 2 2 2 2 2 4 8" xfId="40127"/>
    <cellStyle name="Normal 3 2 2 2 2 2 5" xfId="40128"/>
    <cellStyle name="Normal 3 2 2 2 2 3" xfId="40129"/>
    <cellStyle name="Normal 3 2 2 2 2 3 2" xfId="40130"/>
    <cellStyle name="Normal 3 2 2 2 2 3 2 2" xfId="40131"/>
    <cellStyle name="Normal 3 2 2 2 2 3 2 2 2" xfId="40132"/>
    <cellStyle name="Normal 3 2 2 2 2 3 2 2 3" xfId="40133"/>
    <cellStyle name="Normal 3 2 2 2 2 3 2 3" xfId="40134"/>
    <cellStyle name="Normal 3 2 2 2 2 3 2 3 2" xfId="40135"/>
    <cellStyle name="Normal 3 2 2 2 2 3 2 4" xfId="40136"/>
    <cellStyle name="Normal 3 2 2 2 2 3 2 5" xfId="40137"/>
    <cellStyle name="Normal 3 2 2 2 2 3 3" xfId="40138"/>
    <cellStyle name="Normal 3 2 2 2 2 3 3 2" xfId="40139"/>
    <cellStyle name="Normal 3 2 2 2 2 3 3 2 2" xfId="40140"/>
    <cellStyle name="Normal 3 2 2 2 2 3 3 3" xfId="40141"/>
    <cellStyle name="Normal 3 2 2 2 2 3 3 4" xfId="40142"/>
    <cellStyle name="Normal 3 2 2 2 2 3 4" xfId="40143"/>
    <cellStyle name="Normal 3 2 2 2 2 3 4 2" xfId="40144"/>
    <cellStyle name="Normal 3 2 2 2 2 3 4 2 2" xfId="40145"/>
    <cellStyle name="Normal 3 2 2 2 2 3 4 3" xfId="40146"/>
    <cellStyle name="Normal 3 2 2 2 2 3 4 4" xfId="40147"/>
    <cellStyle name="Normal 3 2 2 2 2 3 5" xfId="40148"/>
    <cellStyle name="Normal 3 2 2 2 2 3 5 2" xfId="40149"/>
    <cellStyle name="Normal 3 2 2 2 2 3 6" xfId="40150"/>
    <cellStyle name="Normal 3 2 2 2 2 3 7" xfId="40151"/>
    <cellStyle name="Normal 3 2 2 2 2 3 8" xfId="40152"/>
    <cellStyle name="Normal 3 2 2 2 2 4" xfId="40153"/>
    <cellStyle name="Normal 3 2 2 2 2 4 2" xfId="40154"/>
    <cellStyle name="Normal 3 2 2 2 2 4 2 2" xfId="40155"/>
    <cellStyle name="Normal 3 2 2 2 2 4 2 2 2" xfId="40156"/>
    <cellStyle name="Normal 3 2 2 2 2 4 2 2 3" xfId="40157"/>
    <cellStyle name="Normal 3 2 2 2 2 4 2 3" xfId="40158"/>
    <cellStyle name="Normal 3 2 2 2 2 4 2 3 2" xfId="40159"/>
    <cellStyle name="Normal 3 2 2 2 2 4 2 4" xfId="40160"/>
    <cellStyle name="Normal 3 2 2 2 2 4 2 5" xfId="40161"/>
    <cellStyle name="Normal 3 2 2 2 2 4 3" xfId="40162"/>
    <cellStyle name="Normal 3 2 2 2 2 4 3 2" xfId="40163"/>
    <cellStyle name="Normal 3 2 2 2 2 4 3 2 2" xfId="40164"/>
    <cellStyle name="Normal 3 2 2 2 2 4 3 3" xfId="40165"/>
    <cellStyle name="Normal 3 2 2 2 2 4 3 4" xfId="40166"/>
    <cellStyle name="Normal 3 2 2 2 2 4 4" xfId="40167"/>
    <cellStyle name="Normal 3 2 2 2 2 4 4 2" xfId="40168"/>
    <cellStyle name="Normal 3 2 2 2 2 4 4 2 2" xfId="40169"/>
    <cellStyle name="Normal 3 2 2 2 2 4 4 3" xfId="40170"/>
    <cellStyle name="Normal 3 2 2 2 2 4 4 4" xfId="40171"/>
    <cellStyle name="Normal 3 2 2 2 2 4 5" xfId="40172"/>
    <cellStyle name="Normal 3 2 2 2 2 4 5 2" xfId="40173"/>
    <cellStyle name="Normal 3 2 2 2 2 4 6" xfId="40174"/>
    <cellStyle name="Normal 3 2 2 2 2 4 7" xfId="40175"/>
    <cellStyle name="Normal 3 2 2 2 2 4 8" xfId="40176"/>
    <cellStyle name="Normal 3 2 2 2 2 5" xfId="40177"/>
    <cellStyle name="Normal 3 2 2 2 2 5 2" xfId="40178"/>
    <cellStyle name="Normal 3 2 2 2 2 5 2 2" xfId="40179"/>
    <cellStyle name="Normal 3 2 2 2 2 5 2 2 2" xfId="40180"/>
    <cellStyle name="Normal 3 2 2 2 2 5 2 2 3" xfId="40181"/>
    <cellStyle name="Normal 3 2 2 2 2 5 2 3" xfId="40182"/>
    <cellStyle name="Normal 3 2 2 2 2 5 2 3 2" xfId="40183"/>
    <cellStyle name="Normal 3 2 2 2 2 5 2 4" xfId="40184"/>
    <cellStyle name="Normal 3 2 2 2 2 5 2 5" xfId="40185"/>
    <cellStyle name="Normal 3 2 2 2 2 5 3" xfId="40186"/>
    <cellStyle name="Normal 3 2 2 2 2 5 3 2" xfId="40187"/>
    <cellStyle name="Normal 3 2 2 2 2 5 3 2 2" xfId="40188"/>
    <cellStyle name="Normal 3 2 2 2 2 5 3 3" xfId="40189"/>
    <cellStyle name="Normal 3 2 2 2 2 5 3 4" xfId="40190"/>
    <cellStyle name="Normal 3 2 2 2 2 5 4" xfId="40191"/>
    <cellStyle name="Normal 3 2 2 2 2 5 4 2" xfId="40192"/>
    <cellStyle name="Normal 3 2 2 2 2 5 4 2 2" xfId="40193"/>
    <cellStyle name="Normal 3 2 2 2 2 5 4 3" xfId="40194"/>
    <cellStyle name="Normal 3 2 2 2 2 5 4 4" xfId="40195"/>
    <cellStyle name="Normal 3 2 2 2 2 5 5" xfId="40196"/>
    <cellStyle name="Normal 3 2 2 2 2 5 5 2" xfId="40197"/>
    <cellStyle name="Normal 3 2 2 2 2 5 6" xfId="40198"/>
    <cellStyle name="Normal 3 2 2 2 2 5 7" xfId="40199"/>
    <cellStyle name="Normal 3 2 2 2 2 5 8" xfId="40200"/>
    <cellStyle name="Normal 3 2 2 2 2 6" xfId="40201"/>
    <cellStyle name="Normal 3 2 2 2 3" xfId="40202"/>
    <cellStyle name="Normal 3 2 2 2 3 2" xfId="40203"/>
    <cellStyle name="Normal 3 2 2 2 3 2 2" xfId="40204"/>
    <cellStyle name="Normal 3 2 2 2 3 2 2 2" xfId="40205"/>
    <cellStyle name="Normal 3 2 2 2 3 2 2 2 2" xfId="40206"/>
    <cellStyle name="Normal 3 2 2 2 3 2 2 2 3" xfId="40207"/>
    <cellStyle name="Normal 3 2 2 2 3 2 2 3" xfId="40208"/>
    <cellStyle name="Normal 3 2 2 2 3 2 2 3 2" xfId="40209"/>
    <cellStyle name="Normal 3 2 2 2 3 2 2 4" xfId="40210"/>
    <cellStyle name="Normal 3 2 2 2 3 2 2 5" xfId="40211"/>
    <cellStyle name="Normal 3 2 2 2 3 2 3" xfId="40212"/>
    <cellStyle name="Normal 3 2 2 2 3 2 3 2" xfId="40213"/>
    <cellStyle name="Normal 3 2 2 2 3 2 3 2 2" xfId="40214"/>
    <cellStyle name="Normal 3 2 2 2 3 2 3 3" xfId="40215"/>
    <cellStyle name="Normal 3 2 2 2 3 2 3 4" xfId="40216"/>
    <cellStyle name="Normal 3 2 2 2 3 2 4" xfId="40217"/>
    <cellStyle name="Normal 3 2 2 2 3 2 4 2" xfId="40218"/>
    <cellStyle name="Normal 3 2 2 2 3 2 4 2 2" xfId="40219"/>
    <cellStyle name="Normal 3 2 2 2 3 2 4 3" xfId="40220"/>
    <cellStyle name="Normal 3 2 2 2 3 2 4 4" xfId="40221"/>
    <cellStyle name="Normal 3 2 2 2 3 2 5" xfId="40222"/>
    <cellStyle name="Normal 3 2 2 2 3 2 5 2" xfId="40223"/>
    <cellStyle name="Normal 3 2 2 2 3 2 6" xfId="40224"/>
    <cellStyle name="Normal 3 2 2 2 3 2 7" xfId="40225"/>
    <cellStyle name="Normal 3 2 2 2 3 2 8" xfId="40226"/>
    <cellStyle name="Normal 3 2 2 2 3 3" xfId="40227"/>
    <cellStyle name="Normal 3 2 2 2 3 3 2" xfId="40228"/>
    <cellStyle name="Normal 3 2 2 2 3 3 2 2" xfId="40229"/>
    <cellStyle name="Normal 3 2 2 2 3 3 2 2 2" xfId="40230"/>
    <cellStyle name="Normal 3 2 2 2 3 3 2 2 3" xfId="40231"/>
    <cellStyle name="Normal 3 2 2 2 3 3 2 3" xfId="40232"/>
    <cellStyle name="Normal 3 2 2 2 3 3 2 3 2" xfId="40233"/>
    <cellStyle name="Normal 3 2 2 2 3 3 2 4" xfId="40234"/>
    <cellStyle name="Normal 3 2 2 2 3 3 2 5" xfId="40235"/>
    <cellStyle name="Normal 3 2 2 2 3 3 3" xfId="40236"/>
    <cellStyle name="Normal 3 2 2 2 3 3 3 2" xfId="40237"/>
    <cellStyle name="Normal 3 2 2 2 3 3 3 2 2" xfId="40238"/>
    <cellStyle name="Normal 3 2 2 2 3 3 3 3" xfId="40239"/>
    <cellStyle name="Normal 3 2 2 2 3 3 3 4" xfId="40240"/>
    <cellStyle name="Normal 3 2 2 2 3 3 4" xfId="40241"/>
    <cellStyle name="Normal 3 2 2 2 3 3 4 2" xfId="40242"/>
    <cellStyle name="Normal 3 2 2 2 3 3 4 2 2" xfId="40243"/>
    <cellStyle name="Normal 3 2 2 2 3 3 4 3" xfId="40244"/>
    <cellStyle name="Normal 3 2 2 2 3 3 4 4" xfId="40245"/>
    <cellStyle name="Normal 3 2 2 2 3 3 5" xfId="40246"/>
    <cellStyle name="Normal 3 2 2 2 3 3 5 2" xfId="40247"/>
    <cellStyle name="Normal 3 2 2 2 3 3 6" xfId="40248"/>
    <cellStyle name="Normal 3 2 2 2 3 3 7" xfId="40249"/>
    <cellStyle name="Normal 3 2 2 2 3 3 8" xfId="40250"/>
    <cellStyle name="Normal 3 2 2 2 3 4" xfId="40251"/>
    <cellStyle name="Normal 3 2 2 2 3 4 2" xfId="40252"/>
    <cellStyle name="Normal 3 2 2 2 3 4 2 2" xfId="40253"/>
    <cellStyle name="Normal 3 2 2 2 3 4 2 2 2" xfId="40254"/>
    <cellStyle name="Normal 3 2 2 2 3 4 2 2 3" xfId="40255"/>
    <cellStyle name="Normal 3 2 2 2 3 4 2 3" xfId="40256"/>
    <cellStyle name="Normal 3 2 2 2 3 4 2 3 2" xfId="40257"/>
    <cellStyle name="Normal 3 2 2 2 3 4 2 4" xfId="40258"/>
    <cellStyle name="Normal 3 2 2 2 3 4 2 5" xfId="40259"/>
    <cellStyle name="Normal 3 2 2 2 3 4 3" xfId="40260"/>
    <cellStyle name="Normal 3 2 2 2 3 4 3 2" xfId="40261"/>
    <cellStyle name="Normal 3 2 2 2 3 4 3 2 2" xfId="40262"/>
    <cellStyle name="Normal 3 2 2 2 3 4 3 3" xfId="40263"/>
    <cellStyle name="Normal 3 2 2 2 3 4 3 4" xfId="40264"/>
    <cellStyle name="Normal 3 2 2 2 3 4 4" xfId="40265"/>
    <cellStyle name="Normal 3 2 2 2 3 4 4 2" xfId="40266"/>
    <cellStyle name="Normal 3 2 2 2 3 4 4 2 2" xfId="40267"/>
    <cellStyle name="Normal 3 2 2 2 3 4 4 3" xfId="40268"/>
    <cellStyle name="Normal 3 2 2 2 3 4 4 4" xfId="40269"/>
    <cellStyle name="Normal 3 2 2 2 3 4 5" xfId="40270"/>
    <cellStyle name="Normal 3 2 2 2 3 4 5 2" xfId="40271"/>
    <cellStyle name="Normal 3 2 2 2 3 4 6" xfId="40272"/>
    <cellStyle name="Normal 3 2 2 2 3 4 7" xfId="40273"/>
    <cellStyle name="Normal 3 2 2 2 3 4 8" xfId="40274"/>
    <cellStyle name="Normal 3 2 2 2 3 5" xfId="40275"/>
    <cellStyle name="Normal 3 2 2 2 4" xfId="40276"/>
    <cellStyle name="Normal 3 2 2 2 4 2" xfId="40277"/>
    <cellStyle name="Normal 3 2 2 2 4 2 2" xfId="40278"/>
    <cellStyle name="Normal 3 2 2 2 4 2 2 2" xfId="40279"/>
    <cellStyle name="Normal 3 2 2 2 4 2 2 3" xfId="40280"/>
    <cellStyle name="Normal 3 2 2 2 4 2 3" xfId="40281"/>
    <cellStyle name="Normal 3 2 2 2 4 2 3 2" xfId="40282"/>
    <cellStyle name="Normal 3 2 2 2 4 2 4" xfId="40283"/>
    <cellStyle name="Normal 3 2 2 2 4 2 5" xfId="40284"/>
    <cellStyle name="Normal 3 2 2 2 4 3" xfId="40285"/>
    <cellStyle name="Normal 3 2 2 2 4 3 2" xfId="40286"/>
    <cellStyle name="Normal 3 2 2 2 4 3 2 2" xfId="40287"/>
    <cellStyle name="Normal 3 2 2 2 4 3 3" xfId="40288"/>
    <cellStyle name="Normal 3 2 2 2 4 3 4" xfId="40289"/>
    <cellStyle name="Normal 3 2 2 2 4 4" xfId="40290"/>
    <cellStyle name="Normal 3 2 2 2 4 4 2" xfId="40291"/>
    <cellStyle name="Normal 3 2 2 2 4 4 2 2" xfId="40292"/>
    <cellStyle name="Normal 3 2 2 2 4 4 3" xfId="40293"/>
    <cellStyle name="Normal 3 2 2 2 4 4 4" xfId="40294"/>
    <cellStyle name="Normal 3 2 2 2 4 5" xfId="40295"/>
    <cellStyle name="Normal 3 2 2 2 4 5 2" xfId="40296"/>
    <cellStyle name="Normal 3 2 2 2 4 6" xfId="40297"/>
    <cellStyle name="Normal 3 2 2 2 4 7" xfId="40298"/>
    <cellStyle name="Normal 3 2 2 2 4 8" xfId="40299"/>
    <cellStyle name="Normal 3 2 2 2 5" xfId="40300"/>
    <cellStyle name="Normal 3 2 2 2 5 2" xfId="40301"/>
    <cellStyle name="Normal 3 2 2 2 5 2 2" xfId="40302"/>
    <cellStyle name="Normal 3 2 2 2 5 2 2 2" xfId="40303"/>
    <cellStyle name="Normal 3 2 2 2 5 2 2 3" xfId="40304"/>
    <cellStyle name="Normal 3 2 2 2 5 2 3" xfId="40305"/>
    <cellStyle name="Normal 3 2 2 2 5 2 3 2" xfId="40306"/>
    <cellStyle name="Normal 3 2 2 2 5 2 4" xfId="40307"/>
    <cellStyle name="Normal 3 2 2 2 5 2 5" xfId="40308"/>
    <cellStyle name="Normal 3 2 2 2 5 3" xfId="40309"/>
    <cellStyle name="Normal 3 2 2 2 5 3 2" xfId="40310"/>
    <cellStyle name="Normal 3 2 2 2 5 3 2 2" xfId="40311"/>
    <cellStyle name="Normal 3 2 2 2 5 3 3" xfId="40312"/>
    <cellStyle name="Normal 3 2 2 2 5 3 4" xfId="40313"/>
    <cellStyle name="Normal 3 2 2 2 5 4" xfId="40314"/>
    <cellStyle name="Normal 3 2 2 2 5 4 2" xfId="40315"/>
    <cellStyle name="Normal 3 2 2 2 5 4 2 2" xfId="40316"/>
    <cellStyle name="Normal 3 2 2 2 5 4 3" xfId="40317"/>
    <cellStyle name="Normal 3 2 2 2 5 4 4" xfId="40318"/>
    <cellStyle name="Normal 3 2 2 2 5 5" xfId="40319"/>
    <cellStyle name="Normal 3 2 2 2 5 5 2" xfId="40320"/>
    <cellStyle name="Normal 3 2 2 2 5 6" xfId="40321"/>
    <cellStyle name="Normal 3 2 2 2 5 7" xfId="40322"/>
    <cellStyle name="Normal 3 2 2 2 5 8" xfId="40323"/>
    <cellStyle name="Normal 3 2 2 2 6" xfId="40324"/>
    <cellStyle name="Normal 3 2 2 2 6 2" xfId="40325"/>
    <cellStyle name="Normal 3 2 2 2 6 2 2" xfId="40326"/>
    <cellStyle name="Normal 3 2 2 2 6 2 2 2" xfId="40327"/>
    <cellStyle name="Normal 3 2 2 2 6 2 2 3" xfId="40328"/>
    <cellStyle name="Normal 3 2 2 2 6 2 3" xfId="40329"/>
    <cellStyle name="Normal 3 2 2 2 6 2 3 2" xfId="40330"/>
    <cellStyle name="Normal 3 2 2 2 6 2 4" xfId="40331"/>
    <cellStyle name="Normal 3 2 2 2 6 2 5" xfId="40332"/>
    <cellStyle name="Normal 3 2 2 2 6 3" xfId="40333"/>
    <cellStyle name="Normal 3 2 2 2 6 3 2" xfId="40334"/>
    <cellStyle name="Normal 3 2 2 2 6 3 2 2" xfId="40335"/>
    <cellStyle name="Normal 3 2 2 2 6 3 3" xfId="40336"/>
    <cellStyle name="Normal 3 2 2 2 6 3 4" xfId="40337"/>
    <cellStyle name="Normal 3 2 2 2 6 4" xfId="40338"/>
    <cellStyle name="Normal 3 2 2 2 6 4 2" xfId="40339"/>
    <cellStyle name="Normal 3 2 2 2 6 4 2 2" xfId="40340"/>
    <cellStyle name="Normal 3 2 2 2 6 4 3" xfId="40341"/>
    <cellStyle name="Normal 3 2 2 2 6 4 4" xfId="40342"/>
    <cellStyle name="Normal 3 2 2 2 6 5" xfId="40343"/>
    <cellStyle name="Normal 3 2 2 2 6 5 2" xfId="40344"/>
    <cellStyle name="Normal 3 2 2 2 6 6" xfId="40345"/>
    <cellStyle name="Normal 3 2 2 2 6 7" xfId="40346"/>
    <cellStyle name="Normal 3 2 2 2 6 8" xfId="40347"/>
    <cellStyle name="Normal 3 2 2 2 7" xfId="40348"/>
    <cellStyle name="Normal 3 2 2 2 8" xfId="40349"/>
    <cellStyle name="Normal 3 2 2 3" xfId="40350"/>
    <cellStyle name="Normal 3 2 2 3 2" xfId="40351"/>
    <cellStyle name="Normal 3 2 2 3 2 2" xfId="40352"/>
    <cellStyle name="Normal 3 2 2 3 2 2 2" xfId="40353"/>
    <cellStyle name="Normal 3 2 2 3 2 2 2 2" xfId="40354"/>
    <cellStyle name="Normal 3 2 2 3 2 2 2 2 2" xfId="40355"/>
    <cellStyle name="Normal 3 2 2 3 2 2 2 2 3" xfId="40356"/>
    <cellStyle name="Normal 3 2 2 3 2 2 2 3" xfId="40357"/>
    <cellStyle name="Normal 3 2 2 3 2 2 2 3 2" xfId="40358"/>
    <cellStyle name="Normal 3 2 2 3 2 2 2 4" xfId="40359"/>
    <cellStyle name="Normal 3 2 2 3 2 2 2 5" xfId="40360"/>
    <cellStyle name="Normal 3 2 2 3 2 2 3" xfId="40361"/>
    <cellStyle name="Normal 3 2 2 3 2 2 3 2" xfId="40362"/>
    <cellStyle name="Normal 3 2 2 3 2 2 3 2 2" xfId="40363"/>
    <cellStyle name="Normal 3 2 2 3 2 2 3 3" xfId="40364"/>
    <cellStyle name="Normal 3 2 2 3 2 2 3 4" xfId="40365"/>
    <cellStyle name="Normal 3 2 2 3 2 2 4" xfId="40366"/>
    <cellStyle name="Normal 3 2 2 3 2 2 4 2" xfId="40367"/>
    <cellStyle name="Normal 3 2 2 3 2 2 4 2 2" xfId="40368"/>
    <cellStyle name="Normal 3 2 2 3 2 2 4 3" xfId="40369"/>
    <cellStyle name="Normal 3 2 2 3 2 2 4 4" xfId="40370"/>
    <cellStyle name="Normal 3 2 2 3 2 2 5" xfId="40371"/>
    <cellStyle name="Normal 3 2 2 3 2 2 5 2" xfId="40372"/>
    <cellStyle name="Normal 3 2 2 3 2 2 6" xfId="40373"/>
    <cellStyle name="Normal 3 2 2 3 2 2 7" xfId="40374"/>
    <cellStyle name="Normal 3 2 2 3 2 2 8" xfId="40375"/>
    <cellStyle name="Normal 3 2 2 3 2 3" xfId="40376"/>
    <cellStyle name="Normal 3 2 2 3 2 3 2" xfId="40377"/>
    <cellStyle name="Normal 3 2 2 3 2 3 2 2" xfId="40378"/>
    <cellStyle name="Normal 3 2 2 3 2 3 2 2 2" xfId="40379"/>
    <cellStyle name="Normal 3 2 2 3 2 3 2 2 3" xfId="40380"/>
    <cellStyle name="Normal 3 2 2 3 2 3 2 3" xfId="40381"/>
    <cellStyle name="Normal 3 2 2 3 2 3 2 3 2" xfId="40382"/>
    <cellStyle name="Normal 3 2 2 3 2 3 2 4" xfId="40383"/>
    <cellStyle name="Normal 3 2 2 3 2 3 2 5" xfId="40384"/>
    <cellStyle name="Normal 3 2 2 3 2 3 3" xfId="40385"/>
    <cellStyle name="Normal 3 2 2 3 2 3 3 2" xfId="40386"/>
    <cellStyle name="Normal 3 2 2 3 2 3 3 2 2" xfId="40387"/>
    <cellStyle name="Normal 3 2 2 3 2 3 3 3" xfId="40388"/>
    <cellStyle name="Normal 3 2 2 3 2 3 3 4" xfId="40389"/>
    <cellStyle name="Normal 3 2 2 3 2 3 4" xfId="40390"/>
    <cellStyle name="Normal 3 2 2 3 2 3 4 2" xfId="40391"/>
    <cellStyle name="Normal 3 2 2 3 2 3 4 2 2" xfId="40392"/>
    <cellStyle name="Normal 3 2 2 3 2 3 4 3" xfId="40393"/>
    <cellStyle name="Normal 3 2 2 3 2 3 4 4" xfId="40394"/>
    <cellStyle name="Normal 3 2 2 3 2 3 5" xfId="40395"/>
    <cellStyle name="Normal 3 2 2 3 2 3 5 2" xfId="40396"/>
    <cellStyle name="Normal 3 2 2 3 2 3 6" xfId="40397"/>
    <cellStyle name="Normal 3 2 2 3 2 3 7" xfId="40398"/>
    <cellStyle name="Normal 3 2 2 3 2 3 8" xfId="40399"/>
    <cellStyle name="Normal 3 2 2 3 2 4" xfId="40400"/>
    <cellStyle name="Normal 3 2 2 3 2 4 2" xfId="40401"/>
    <cellStyle name="Normal 3 2 2 3 2 4 2 2" xfId="40402"/>
    <cellStyle name="Normal 3 2 2 3 2 4 2 2 2" xfId="40403"/>
    <cellStyle name="Normal 3 2 2 3 2 4 2 2 3" xfId="40404"/>
    <cellStyle name="Normal 3 2 2 3 2 4 2 3" xfId="40405"/>
    <cellStyle name="Normal 3 2 2 3 2 4 2 3 2" xfId="40406"/>
    <cellStyle name="Normal 3 2 2 3 2 4 2 4" xfId="40407"/>
    <cellStyle name="Normal 3 2 2 3 2 4 2 5" xfId="40408"/>
    <cellStyle name="Normal 3 2 2 3 2 4 3" xfId="40409"/>
    <cellStyle name="Normal 3 2 2 3 2 4 3 2" xfId="40410"/>
    <cellStyle name="Normal 3 2 2 3 2 4 3 2 2" xfId="40411"/>
    <cellStyle name="Normal 3 2 2 3 2 4 3 3" xfId="40412"/>
    <cellStyle name="Normal 3 2 2 3 2 4 3 4" xfId="40413"/>
    <cellStyle name="Normal 3 2 2 3 2 4 4" xfId="40414"/>
    <cellStyle name="Normal 3 2 2 3 2 4 4 2" xfId="40415"/>
    <cellStyle name="Normal 3 2 2 3 2 4 4 2 2" xfId="40416"/>
    <cellStyle name="Normal 3 2 2 3 2 4 4 3" xfId="40417"/>
    <cellStyle name="Normal 3 2 2 3 2 4 4 4" xfId="40418"/>
    <cellStyle name="Normal 3 2 2 3 2 4 5" xfId="40419"/>
    <cellStyle name="Normal 3 2 2 3 2 4 5 2" xfId="40420"/>
    <cellStyle name="Normal 3 2 2 3 2 4 6" xfId="40421"/>
    <cellStyle name="Normal 3 2 2 3 2 4 7" xfId="40422"/>
    <cellStyle name="Normal 3 2 2 3 2 4 8" xfId="40423"/>
    <cellStyle name="Normal 3 2 2 3 2 5" xfId="40424"/>
    <cellStyle name="Normal 3 2 2 3 3" xfId="40425"/>
    <cellStyle name="Normal 3 2 2 3 3 2" xfId="40426"/>
    <cellStyle name="Normal 3 2 2 3 3 2 2" xfId="40427"/>
    <cellStyle name="Normal 3 2 2 3 3 2 2 2" xfId="40428"/>
    <cellStyle name="Normal 3 2 2 3 3 2 2 3" xfId="40429"/>
    <cellStyle name="Normal 3 2 2 3 3 2 3" xfId="40430"/>
    <cellStyle name="Normal 3 2 2 3 3 2 3 2" xfId="40431"/>
    <cellStyle name="Normal 3 2 2 3 3 2 4" xfId="40432"/>
    <cellStyle name="Normal 3 2 2 3 3 2 5" xfId="40433"/>
    <cellStyle name="Normal 3 2 2 3 3 3" xfId="40434"/>
    <cellStyle name="Normal 3 2 2 3 3 3 2" xfId="40435"/>
    <cellStyle name="Normal 3 2 2 3 3 3 2 2" xfId="40436"/>
    <cellStyle name="Normal 3 2 2 3 3 3 3" xfId="40437"/>
    <cellStyle name="Normal 3 2 2 3 3 3 4" xfId="40438"/>
    <cellStyle name="Normal 3 2 2 3 3 4" xfId="40439"/>
    <cellStyle name="Normal 3 2 2 3 3 4 2" xfId="40440"/>
    <cellStyle name="Normal 3 2 2 3 3 4 2 2" xfId="40441"/>
    <cellStyle name="Normal 3 2 2 3 3 4 3" xfId="40442"/>
    <cellStyle name="Normal 3 2 2 3 3 4 4" xfId="40443"/>
    <cellStyle name="Normal 3 2 2 3 3 5" xfId="40444"/>
    <cellStyle name="Normal 3 2 2 3 3 5 2" xfId="40445"/>
    <cellStyle name="Normal 3 2 2 3 3 6" xfId="40446"/>
    <cellStyle name="Normal 3 2 2 3 3 7" xfId="40447"/>
    <cellStyle name="Normal 3 2 2 3 3 8" xfId="40448"/>
    <cellStyle name="Normal 3 2 2 3 4" xfId="40449"/>
    <cellStyle name="Normal 3 2 2 3 4 2" xfId="40450"/>
    <cellStyle name="Normal 3 2 2 3 4 2 2" xfId="40451"/>
    <cellStyle name="Normal 3 2 2 3 4 2 2 2" xfId="40452"/>
    <cellStyle name="Normal 3 2 2 3 4 2 2 3" xfId="40453"/>
    <cellStyle name="Normal 3 2 2 3 4 2 3" xfId="40454"/>
    <cellStyle name="Normal 3 2 2 3 4 2 3 2" xfId="40455"/>
    <cellStyle name="Normal 3 2 2 3 4 2 4" xfId="40456"/>
    <cellStyle name="Normal 3 2 2 3 4 2 5" xfId="40457"/>
    <cellStyle name="Normal 3 2 2 3 4 3" xfId="40458"/>
    <cellStyle name="Normal 3 2 2 3 4 3 2" xfId="40459"/>
    <cellStyle name="Normal 3 2 2 3 4 3 2 2" xfId="40460"/>
    <cellStyle name="Normal 3 2 2 3 4 3 3" xfId="40461"/>
    <cellStyle name="Normal 3 2 2 3 4 3 4" xfId="40462"/>
    <cellStyle name="Normal 3 2 2 3 4 4" xfId="40463"/>
    <cellStyle name="Normal 3 2 2 3 4 4 2" xfId="40464"/>
    <cellStyle name="Normal 3 2 2 3 4 4 2 2" xfId="40465"/>
    <cellStyle name="Normal 3 2 2 3 4 4 3" xfId="40466"/>
    <cellStyle name="Normal 3 2 2 3 4 4 4" xfId="40467"/>
    <cellStyle name="Normal 3 2 2 3 4 5" xfId="40468"/>
    <cellStyle name="Normal 3 2 2 3 4 5 2" xfId="40469"/>
    <cellStyle name="Normal 3 2 2 3 4 6" xfId="40470"/>
    <cellStyle name="Normal 3 2 2 3 4 7" xfId="40471"/>
    <cellStyle name="Normal 3 2 2 3 4 8" xfId="40472"/>
    <cellStyle name="Normal 3 2 2 3 5" xfId="40473"/>
    <cellStyle name="Normal 3 2 2 3 5 2" xfId="40474"/>
    <cellStyle name="Normal 3 2 2 3 5 2 2" xfId="40475"/>
    <cellStyle name="Normal 3 2 2 3 5 2 2 2" xfId="40476"/>
    <cellStyle name="Normal 3 2 2 3 5 2 2 3" xfId="40477"/>
    <cellStyle name="Normal 3 2 2 3 5 2 3" xfId="40478"/>
    <cellStyle name="Normal 3 2 2 3 5 2 3 2" xfId="40479"/>
    <cellStyle name="Normal 3 2 2 3 5 2 4" xfId="40480"/>
    <cellStyle name="Normal 3 2 2 3 5 2 5" xfId="40481"/>
    <cellStyle name="Normal 3 2 2 3 5 3" xfId="40482"/>
    <cellStyle name="Normal 3 2 2 3 5 3 2" xfId="40483"/>
    <cellStyle name="Normal 3 2 2 3 5 3 2 2" xfId="40484"/>
    <cellStyle name="Normal 3 2 2 3 5 3 3" xfId="40485"/>
    <cellStyle name="Normal 3 2 2 3 5 3 4" xfId="40486"/>
    <cellStyle name="Normal 3 2 2 3 5 4" xfId="40487"/>
    <cellStyle name="Normal 3 2 2 3 5 4 2" xfId="40488"/>
    <cellStyle name="Normal 3 2 2 3 5 4 2 2" xfId="40489"/>
    <cellStyle name="Normal 3 2 2 3 5 4 3" xfId="40490"/>
    <cellStyle name="Normal 3 2 2 3 5 4 4" xfId="40491"/>
    <cellStyle name="Normal 3 2 2 3 5 5" xfId="40492"/>
    <cellStyle name="Normal 3 2 2 3 5 5 2" xfId="40493"/>
    <cellStyle name="Normal 3 2 2 3 5 6" xfId="40494"/>
    <cellStyle name="Normal 3 2 2 3 5 7" xfId="40495"/>
    <cellStyle name="Normal 3 2 2 3 5 8" xfId="40496"/>
    <cellStyle name="Normal 3 2 2 3 6" xfId="40497"/>
    <cellStyle name="Normal 3 2 2 4" xfId="40498"/>
    <cellStyle name="Normal 3 2 2 4 2" xfId="40499"/>
    <cellStyle name="Normal 3 2 2 4 2 2" xfId="40500"/>
    <cellStyle name="Normal 3 2 2 4 2 2 2" xfId="40501"/>
    <cellStyle name="Normal 3 2 2 4 2 2 2 2" xfId="40502"/>
    <cellStyle name="Normal 3 2 2 4 2 2 2 3" xfId="40503"/>
    <cellStyle name="Normal 3 2 2 4 2 2 3" xfId="40504"/>
    <cellStyle name="Normal 3 2 2 4 2 2 3 2" xfId="40505"/>
    <cellStyle name="Normal 3 2 2 4 2 2 4" xfId="40506"/>
    <cellStyle name="Normal 3 2 2 4 2 2 5" xfId="40507"/>
    <cellStyle name="Normal 3 2 2 4 2 3" xfId="40508"/>
    <cellStyle name="Normal 3 2 2 4 2 3 2" xfId="40509"/>
    <cellStyle name="Normal 3 2 2 4 2 3 2 2" xfId="40510"/>
    <cellStyle name="Normal 3 2 2 4 2 3 3" xfId="40511"/>
    <cellStyle name="Normal 3 2 2 4 2 3 4" xfId="40512"/>
    <cellStyle name="Normal 3 2 2 4 2 4" xfId="40513"/>
    <cellStyle name="Normal 3 2 2 4 2 4 2" xfId="40514"/>
    <cellStyle name="Normal 3 2 2 4 2 4 2 2" xfId="40515"/>
    <cellStyle name="Normal 3 2 2 4 2 4 3" xfId="40516"/>
    <cellStyle name="Normal 3 2 2 4 2 4 4" xfId="40517"/>
    <cellStyle name="Normal 3 2 2 4 2 5" xfId="40518"/>
    <cellStyle name="Normal 3 2 2 4 2 5 2" xfId="40519"/>
    <cellStyle name="Normal 3 2 2 4 2 6" xfId="40520"/>
    <cellStyle name="Normal 3 2 2 4 2 7" xfId="40521"/>
    <cellStyle name="Normal 3 2 2 4 2 8" xfId="40522"/>
    <cellStyle name="Normal 3 2 2 4 3" xfId="40523"/>
    <cellStyle name="Normal 3 2 2 4 3 2" xfId="40524"/>
    <cellStyle name="Normal 3 2 2 4 3 2 2" xfId="40525"/>
    <cellStyle name="Normal 3 2 2 4 3 2 2 2" xfId="40526"/>
    <cellStyle name="Normal 3 2 2 4 3 2 2 3" xfId="40527"/>
    <cellStyle name="Normal 3 2 2 4 3 2 3" xfId="40528"/>
    <cellStyle name="Normal 3 2 2 4 3 2 3 2" xfId="40529"/>
    <cellStyle name="Normal 3 2 2 4 3 2 4" xfId="40530"/>
    <cellStyle name="Normal 3 2 2 4 3 2 5" xfId="40531"/>
    <cellStyle name="Normal 3 2 2 4 3 3" xfId="40532"/>
    <cellStyle name="Normal 3 2 2 4 3 3 2" xfId="40533"/>
    <cellStyle name="Normal 3 2 2 4 3 3 2 2" xfId="40534"/>
    <cellStyle name="Normal 3 2 2 4 3 3 3" xfId="40535"/>
    <cellStyle name="Normal 3 2 2 4 3 3 4" xfId="40536"/>
    <cellStyle name="Normal 3 2 2 4 3 4" xfId="40537"/>
    <cellStyle name="Normal 3 2 2 4 3 4 2" xfId="40538"/>
    <cellStyle name="Normal 3 2 2 4 3 4 2 2" xfId="40539"/>
    <cellStyle name="Normal 3 2 2 4 3 4 3" xfId="40540"/>
    <cellStyle name="Normal 3 2 2 4 3 4 4" xfId="40541"/>
    <cellStyle name="Normal 3 2 2 4 3 5" xfId="40542"/>
    <cellStyle name="Normal 3 2 2 4 3 5 2" xfId="40543"/>
    <cellStyle name="Normal 3 2 2 4 3 6" xfId="40544"/>
    <cellStyle name="Normal 3 2 2 4 3 7" xfId="40545"/>
    <cellStyle name="Normal 3 2 2 4 3 8" xfId="40546"/>
    <cellStyle name="Normal 3 2 2 4 4" xfId="40547"/>
    <cellStyle name="Normal 3 2 2 4 4 2" xfId="40548"/>
    <cellStyle name="Normal 3 2 2 4 4 2 2" xfId="40549"/>
    <cellStyle name="Normal 3 2 2 4 4 2 2 2" xfId="40550"/>
    <cellStyle name="Normal 3 2 2 4 4 2 2 3" xfId="40551"/>
    <cellStyle name="Normal 3 2 2 4 4 2 3" xfId="40552"/>
    <cellStyle name="Normal 3 2 2 4 4 2 3 2" xfId="40553"/>
    <cellStyle name="Normal 3 2 2 4 4 2 4" xfId="40554"/>
    <cellStyle name="Normal 3 2 2 4 4 2 5" xfId="40555"/>
    <cellStyle name="Normal 3 2 2 4 4 3" xfId="40556"/>
    <cellStyle name="Normal 3 2 2 4 4 3 2" xfId="40557"/>
    <cellStyle name="Normal 3 2 2 4 4 3 2 2" xfId="40558"/>
    <cellStyle name="Normal 3 2 2 4 4 3 3" xfId="40559"/>
    <cellStyle name="Normal 3 2 2 4 4 3 4" xfId="40560"/>
    <cellStyle name="Normal 3 2 2 4 4 4" xfId="40561"/>
    <cellStyle name="Normal 3 2 2 4 4 4 2" xfId="40562"/>
    <cellStyle name="Normal 3 2 2 4 4 4 2 2" xfId="40563"/>
    <cellStyle name="Normal 3 2 2 4 4 4 3" xfId="40564"/>
    <cellStyle name="Normal 3 2 2 4 4 4 4" xfId="40565"/>
    <cellStyle name="Normal 3 2 2 4 4 5" xfId="40566"/>
    <cellStyle name="Normal 3 2 2 4 4 5 2" xfId="40567"/>
    <cellStyle name="Normal 3 2 2 4 4 6" xfId="40568"/>
    <cellStyle name="Normal 3 2 2 4 4 7" xfId="40569"/>
    <cellStyle name="Normal 3 2 2 4 4 8" xfId="40570"/>
    <cellStyle name="Normal 3 2 2 4 5" xfId="40571"/>
    <cellStyle name="Normal 3 2 2 5" xfId="40572"/>
    <cellStyle name="Normal 3 2 2 5 2" xfId="40573"/>
    <cellStyle name="Normal 3 2 2 6" xfId="40574"/>
    <cellStyle name="Normal 3 2 2 6 2" xfId="40575"/>
    <cellStyle name="Normal 3 2 2 6 2 2" xfId="40576"/>
    <cellStyle name="Normal 3 2 2 6 2 2 2" xfId="40577"/>
    <cellStyle name="Normal 3 2 2 6 2 2 3" xfId="40578"/>
    <cellStyle name="Normal 3 2 2 6 2 3" xfId="40579"/>
    <cellStyle name="Normal 3 2 2 6 2 3 2" xfId="40580"/>
    <cellStyle name="Normal 3 2 2 6 2 4" xfId="40581"/>
    <cellStyle name="Normal 3 2 2 6 2 5" xfId="40582"/>
    <cellStyle name="Normal 3 2 2 6 3" xfId="40583"/>
    <cellStyle name="Normal 3 2 2 6 3 2" xfId="40584"/>
    <cellStyle name="Normal 3 2 2 6 3 2 2" xfId="40585"/>
    <cellStyle name="Normal 3 2 2 6 3 3" xfId="40586"/>
    <cellStyle name="Normal 3 2 2 6 3 4" xfId="40587"/>
    <cellStyle name="Normal 3 2 2 6 4" xfId="40588"/>
    <cellStyle name="Normal 3 2 2 6 4 2" xfId="40589"/>
    <cellStyle name="Normal 3 2 2 6 4 2 2" xfId="40590"/>
    <cellStyle name="Normal 3 2 2 6 4 3" xfId="40591"/>
    <cellStyle name="Normal 3 2 2 6 4 4" xfId="40592"/>
    <cellStyle name="Normal 3 2 2 6 5" xfId="40593"/>
    <cellStyle name="Normal 3 2 2 6 5 2" xfId="40594"/>
    <cellStyle name="Normal 3 2 2 6 6" xfId="40595"/>
    <cellStyle name="Normal 3 2 2 6 7" xfId="40596"/>
    <cellStyle name="Normal 3 2 2 6 8" xfId="40597"/>
    <cellStyle name="Normal 3 2 2 7" xfId="40598"/>
    <cellStyle name="Normal 3 2 2 7 2" xfId="40599"/>
    <cellStyle name="Normal 3 2 2 7 2 2" xfId="40600"/>
    <cellStyle name="Normal 3 2 2 7 2 2 2" xfId="40601"/>
    <cellStyle name="Normal 3 2 2 7 2 2 3" xfId="40602"/>
    <cellStyle name="Normal 3 2 2 7 2 3" xfId="40603"/>
    <cellStyle name="Normal 3 2 2 7 2 3 2" xfId="40604"/>
    <cellStyle name="Normal 3 2 2 7 2 4" xfId="40605"/>
    <cellStyle name="Normal 3 2 2 7 2 5" xfId="40606"/>
    <cellStyle name="Normal 3 2 2 7 3" xfId="40607"/>
    <cellStyle name="Normal 3 2 2 7 3 2" xfId="40608"/>
    <cellStyle name="Normal 3 2 2 7 3 2 2" xfId="40609"/>
    <cellStyle name="Normal 3 2 2 7 3 3" xfId="40610"/>
    <cellStyle name="Normal 3 2 2 7 3 4" xfId="40611"/>
    <cellStyle name="Normal 3 2 2 7 4" xfId="40612"/>
    <cellStyle name="Normal 3 2 2 7 4 2" xfId="40613"/>
    <cellStyle name="Normal 3 2 2 7 4 2 2" xfId="40614"/>
    <cellStyle name="Normal 3 2 2 7 4 3" xfId="40615"/>
    <cellStyle name="Normal 3 2 2 7 4 4" xfId="40616"/>
    <cellStyle name="Normal 3 2 2 7 5" xfId="40617"/>
    <cellStyle name="Normal 3 2 2 7 5 2" xfId="40618"/>
    <cellStyle name="Normal 3 2 2 7 6" xfId="40619"/>
    <cellStyle name="Normal 3 2 2 7 7" xfId="40620"/>
    <cellStyle name="Normal 3 2 2 7 8" xfId="40621"/>
    <cellStyle name="Normal 3 2 2 8" xfId="40622"/>
    <cellStyle name="Normal 3 2 2 8 2" xfId="40623"/>
    <cellStyle name="Normal 3 2 2 8 2 2" xfId="40624"/>
    <cellStyle name="Normal 3 2 2 8 2 2 2" xfId="40625"/>
    <cellStyle name="Normal 3 2 2 8 2 2 3" xfId="40626"/>
    <cellStyle name="Normal 3 2 2 8 2 3" xfId="40627"/>
    <cellStyle name="Normal 3 2 2 8 2 3 2" xfId="40628"/>
    <cellStyle name="Normal 3 2 2 8 2 4" xfId="40629"/>
    <cellStyle name="Normal 3 2 2 8 2 5" xfId="40630"/>
    <cellStyle name="Normal 3 2 2 8 3" xfId="40631"/>
    <cellStyle name="Normal 3 2 2 8 3 2" xfId="40632"/>
    <cellStyle name="Normal 3 2 2 8 3 2 2" xfId="40633"/>
    <cellStyle name="Normal 3 2 2 8 3 3" xfId="40634"/>
    <cellStyle name="Normal 3 2 2 8 3 4" xfId="40635"/>
    <cellStyle name="Normal 3 2 2 8 4" xfId="40636"/>
    <cellStyle name="Normal 3 2 2 8 4 2" xfId="40637"/>
    <cellStyle name="Normal 3 2 2 8 4 2 2" xfId="40638"/>
    <cellStyle name="Normal 3 2 2 8 4 3" xfId="40639"/>
    <cellStyle name="Normal 3 2 2 8 4 4" xfId="40640"/>
    <cellStyle name="Normal 3 2 2 8 5" xfId="40641"/>
    <cellStyle name="Normal 3 2 2 8 5 2" xfId="40642"/>
    <cellStyle name="Normal 3 2 2 8 6" xfId="40643"/>
    <cellStyle name="Normal 3 2 2 8 7" xfId="40644"/>
    <cellStyle name="Normal 3 2 2 8 8" xfId="40645"/>
    <cellStyle name="Normal 3 2 3" xfId="4301"/>
    <cellStyle name="Normal 3 2 3 2" xfId="4302"/>
    <cellStyle name="Normal 3 2 3 2 2" xfId="4303"/>
    <cellStyle name="Normal 3 2 3 2 2 2" xfId="4304"/>
    <cellStyle name="Normal 3 2 3 2 2 2 2" xfId="40646"/>
    <cellStyle name="Normal 3 2 3 2 2 2 2 2" xfId="40647"/>
    <cellStyle name="Normal 3 2 3 2 2 2 2 2 2" xfId="40648"/>
    <cellStyle name="Normal 3 2 3 2 2 2 2 2 3" xfId="40649"/>
    <cellStyle name="Normal 3 2 3 2 2 2 2 3" xfId="40650"/>
    <cellStyle name="Normal 3 2 3 2 2 2 2 3 2" xfId="40651"/>
    <cellStyle name="Normal 3 2 3 2 2 2 2 4" xfId="40652"/>
    <cellStyle name="Normal 3 2 3 2 2 2 2 5" xfId="40653"/>
    <cellStyle name="Normal 3 2 3 2 2 2 3" xfId="40654"/>
    <cellStyle name="Normal 3 2 3 2 2 2 3 2" xfId="40655"/>
    <cellStyle name="Normal 3 2 3 2 2 2 3 2 2" xfId="40656"/>
    <cellStyle name="Normal 3 2 3 2 2 2 3 3" xfId="40657"/>
    <cellStyle name="Normal 3 2 3 2 2 2 3 4" xfId="40658"/>
    <cellStyle name="Normal 3 2 3 2 2 2 4" xfId="40659"/>
    <cellStyle name="Normal 3 2 3 2 2 2 4 2" xfId="40660"/>
    <cellStyle name="Normal 3 2 3 2 2 2 4 2 2" xfId="40661"/>
    <cellStyle name="Normal 3 2 3 2 2 2 4 3" xfId="40662"/>
    <cellStyle name="Normal 3 2 3 2 2 2 4 4" xfId="40663"/>
    <cellStyle name="Normal 3 2 3 2 2 2 5" xfId="40664"/>
    <cellStyle name="Normal 3 2 3 2 2 2 5 2" xfId="40665"/>
    <cellStyle name="Normal 3 2 3 2 2 2 6" xfId="40666"/>
    <cellStyle name="Normal 3 2 3 2 2 2 7" xfId="40667"/>
    <cellStyle name="Normal 3 2 3 2 2 2 8" xfId="40668"/>
    <cellStyle name="Normal 3 2 3 2 2 3" xfId="40669"/>
    <cellStyle name="Normal 3 2 3 2 2 3 2" xfId="40670"/>
    <cellStyle name="Normal 3 2 3 2 2 3 2 2" xfId="40671"/>
    <cellStyle name="Normal 3 2 3 2 2 3 2 2 2" xfId="40672"/>
    <cellStyle name="Normal 3 2 3 2 2 3 2 2 3" xfId="40673"/>
    <cellStyle name="Normal 3 2 3 2 2 3 2 3" xfId="40674"/>
    <cellStyle name="Normal 3 2 3 2 2 3 2 3 2" xfId="40675"/>
    <cellStyle name="Normal 3 2 3 2 2 3 2 4" xfId="40676"/>
    <cellStyle name="Normal 3 2 3 2 2 3 2 5" xfId="40677"/>
    <cellStyle name="Normal 3 2 3 2 2 3 3" xfId="40678"/>
    <cellStyle name="Normal 3 2 3 2 2 3 3 2" xfId="40679"/>
    <cellStyle name="Normal 3 2 3 2 2 3 3 2 2" xfId="40680"/>
    <cellStyle name="Normal 3 2 3 2 2 3 3 3" xfId="40681"/>
    <cellStyle name="Normal 3 2 3 2 2 3 3 4" xfId="40682"/>
    <cellStyle name="Normal 3 2 3 2 2 3 4" xfId="40683"/>
    <cellStyle name="Normal 3 2 3 2 2 3 4 2" xfId="40684"/>
    <cellStyle name="Normal 3 2 3 2 2 3 4 2 2" xfId="40685"/>
    <cellStyle name="Normal 3 2 3 2 2 3 4 3" xfId="40686"/>
    <cellStyle name="Normal 3 2 3 2 2 3 4 4" xfId="40687"/>
    <cellStyle name="Normal 3 2 3 2 2 3 5" xfId="40688"/>
    <cellStyle name="Normal 3 2 3 2 2 3 5 2" xfId="40689"/>
    <cellStyle name="Normal 3 2 3 2 2 3 6" xfId="40690"/>
    <cellStyle name="Normal 3 2 3 2 2 3 7" xfId="40691"/>
    <cellStyle name="Normal 3 2 3 2 2 3 8" xfId="40692"/>
    <cellStyle name="Normal 3 2 3 2 2 4" xfId="40693"/>
    <cellStyle name="Normal 3 2 3 2 2 4 2" xfId="40694"/>
    <cellStyle name="Normal 3 2 3 2 2 4 2 2" xfId="40695"/>
    <cellStyle name="Normal 3 2 3 2 2 4 2 2 2" xfId="40696"/>
    <cellStyle name="Normal 3 2 3 2 2 4 2 2 3" xfId="40697"/>
    <cellStyle name="Normal 3 2 3 2 2 4 2 3" xfId="40698"/>
    <cellStyle name="Normal 3 2 3 2 2 4 2 3 2" xfId="40699"/>
    <cellStyle name="Normal 3 2 3 2 2 4 2 4" xfId="40700"/>
    <cellStyle name="Normal 3 2 3 2 2 4 2 5" xfId="40701"/>
    <cellStyle name="Normal 3 2 3 2 2 4 3" xfId="40702"/>
    <cellStyle name="Normal 3 2 3 2 2 4 3 2" xfId="40703"/>
    <cellStyle name="Normal 3 2 3 2 2 4 3 2 2" xfId="40704"/>
    <cellStyle name="Normal 3 2 3 2 2 4 3 3" xfId="40705"/>
    <cellStyle name="Normal 3 2 3 2 2 4 3 4" xfId="40706"/>
    <cellStyle name="Normal 3 2 3 2 2 4 4" xfId="40707"/>
    <cellStyle name="Normal 3 2 3 2 2 4 4 2" xfId="40708"/>
    <cellStyle name="Normal 3 2 3 2 2 4 4 2 2" xfId="40709"/>
    <cellStyle name="Normal 3 2 3 2 2 4 4 3" xfId="40710"/>
    <cellStyle name="Normal 3 2 3 2 2 4 4 4" xfId="40711"/>
    <cellStyle name="Normal 3 2 3 2 2 4 5" xfId="40712"/>
    <cellStyle name="Normal 3 2 3 2 2 4 5 2" xfId="40713"/>
    <cellStyle name="Normal 3 2 3 2 2 4 6" xfId="40714"/>
    <cellStyle name="Normal 3 2 3 2 2 4 7" xfId="40715"/>
    <cellStyle name="Normal 3 2 3 2 2 4 8" xfId="40716"/>
    <cellStyle name="Normal 3 2 3 2 2 5" xfId="40717"/>
    <cellStyle name="Normal 3 2 3 2 3" xfId="4305"/>
    <cellStyle name="Normal 3 2 3 2 3 2" xfId="40718"/>
    <cellStyle name="Normal 3 2 3 2 3 2 2" xfId="40719"/>
    <cellStyle name="Normal 3 2 3 2 3 2 2 2" xfId="40720"/>
    <cellStyle name="Normal 3 2 3 2 3 2 2 3" xfId="40721"/>
    <cellStyle name="Normal 3 2 3 2 3 2 3" xfId="40722"/>
    <cellStyle name="Normal 3 2 3 2 3 2 3 2" xfId="40723"/>
    <cellStyle name="Normal 3 2 3 2 3 2 4" xfId="40724"/>
    <cellStyle name="Normal 3 2 3 2 3 2 5" xfId="40725"/>
    <cellStyle name="Normal 3 2 3 2 3 3" xfId="40726"/>
    <cellStyle name="Normal 3 2 3 2 3 3 2" xfId="40727"/>
    <cellStyle name="Normal 3 2 3 2 3 3 2 2" xfId="40728"/>
    <cellStyle name="Normal 3 2 3 2 3 3 3" xfId="40729"/>
    <cellStyle name="Normal 3 2 3 2 3 3 4" xfId="40730"/>
    <cellStyle name="Normal 3 2 3 2 3 4" xfId="40731"/>
    <cellStyle name="Normal 3 2 3 2 3 4 2" xfId="40732"/>
    <cellStyle name="Normal 3 2 3 2 3 4 2 2" xfId="40733"/>
    <cellStyle name="Normal 3 2 3 2 3 4 3" xfId="40734"/>
    <cellStyle name="Normal 3 2 3 2 3 4 4" xfId="40735"/>
    <cellStyle name="Normal 3 2 3 2 3 5" xfId="40736"/>
    <cellStyle name="Normal 3 2 3 2 3 5 2" xfId="40737"/>
    <cellStyle name="Normal 3 2 3 2 3 6" xfId="40738"/>
    <cellStyle name="Normal 3 2 3 2 3 7" xfId="40739"/>
    <cellStyle name="Normal 3 2 3 2 3 8" xfId="40740"/>
    <cellStyle name="Normal 3 2 3 2 4" xfId="40741"/>
    <cellStyle name="Normal 3 2 3 2 4 2" xfId="40742"/>
    <cellStyle name="Normal 3 2 3 2 4 2 2" xfId="40743"/>
    <cellStyle name="Normal 3 2 3 2 4 2 2 2" xfId="40744"/>
    <cellStyle name="Normal 3 2 3 2 4 2 2 3" xfId="40745"/>
    <cellStyle name="Normal 3 2 3 2 4 2 3" xfId="40746"/>
    <cellStyle name="Normal 3 2 3 2 4 2 3 2" xfId="40747"/>
    <cellStyle name="Normal 3 2 3 2 4 2 4" xfId="40748"/>
    <cellStyle name="Normal 3 2 3 2 4 2 5" xfId="40749"/>
    <cellStyle name="Normal 3 2 3 2 4 3" xfId="40750"/>
    <cellStyle name="Normal 3 2 3 2 4 3 2" xfId="40751"/>
    <cellStyle name="Normal 3 2 3 2 4 3 2 2" xfId="40752"/>
    <cellStyle name="Normal 3 2 3 2 4 3 3" xfId="40753"/>
    <cellStyle name="Normal 3 2 3 2 4 3 4" xfId="40754"/>
    <cellStyle name="Normal 3 2 3 2 4 4" xfId="40755"/>
    <cellStyle name="Normal 3 2 3 2 4 4 2" xfId="40756"/>
    <cellStyle name="Normal 3 2 3 2 4 4 2 2" xfId="40757"/>
    <cellStyle name="Normal 3 2 3 2 4 4 3" xfId="40758"/>
    <cellStyle name="Normal 3 2 3 2 4 4 4" xfId="40759"/>
    <cellStyle name="Normal 3 2 3 2 4 5" xfId="40760"/>
    <cellStyle name="Normal 3 2 3 2 4 5 2" xfId="40761"/>
    <cellStyle name="Normal 3 2 3 2 4 6" xfId="40762"/>
    <cellStyle name="Normal 3 2 3 2 4 7" xfId="40763"/>
    <cellStyle name="Normal 3 2 3 2 4 8" xfId="40764"/>
    <cellStyle name="Normal 3 2 3 2 5" xfId="40765"/>
    <cellStyle name="Normal 3 2 3 2 5 2" xfId="40766"/>
    <cellStyle name="Normal 3 2 3 2 5 2 2" xfId="40767"/>
    <cellStyle name="Normal 3 2 3 2 5 2 2 2" xfId="40768"/>
    <cellStyle name="Normal 3 2 3 2 5 2 2 3" xfId="40769"/>
    <cellStyle name="Normal 3 2 3 2 5 2 3" xfId="40770"/>
    <cellStyle name="Normal 3 2 3 2 5 2 3 2" xfId="40771"/>
    <cellStyle name="Normal 3 2 3 2 5 2 4" xfId="40772"/>
    <cellStyle name="Normal 3 2 3 2 5 2 5" xfId="40773"/>
    <cellStyle name="Normal 3 2 3 2 5 3" xfId="40774"/>
    <cellStyle name="Normal 3 2 3 2 5 3 2" xfId="40775"/>
    <cellStyle name="Normal 3 2 3 2 5 3 2 2" xfId="40776"/>
    <cellStyle name="Normal 3 2 3 2 5 3 3" xfId="40777"/>
    <cellStyle name="Normal 3 2 3 2 5 3 4" xfId="40778"/>
    <cellStyle name="Normal 3 2 3 2 5 4" xfId="40779"/>
    <cellStyle name="Normal 3 2 3 2 5 4 2" xfId="40780"/>
    <cellStyle name="Normal 3 2 3 2 5 4 2 2" xfId="40781"/>
    <cellStyle name="Normal 3 2 3 2 5 4 3" xfId="40782"/>
    <cellStyle name="Normal 3 2 3 2 5 4 4" xfId="40783"/>
    <cellStyle name="Normal 3 2 3 2 5 5" xfId="40784"/>
    <cellStyle name="Normal 3 2 3 2 5 5 2" xfId="40785"/>
    <cellStyle name="Normal 3 2 3 2 5 6" xfId="40786"/>
    <cellStyle name="Normal 3 2 3 2 5 7" xfId="40787"/>
    <cellStyle name="Normal 3 2 3 2 5 8" xfId="40788"/>
    <cellStyle name="Normal 3 2 3 2 6" xfId="40789"/>
    <cellStyle name="Normal 3 2 3 3" xfId="4306"/>
    <cellStyle name="Normal 3 2 3 3 2" xfId="4307"/>
    <cellStyle name="Normal 3 2 3 3 2 2" xfId="40790"/>
    <cellStyle name="Normal 3 2 3 3 2 2 2" xfId="40791"/>
    <cellStyle name="Normal 3 2 3 3 2 2 2 2" xfId="40792"/>
    <cellStyle name="Normal 3 2 3 3 2 2 2 3" xfId="40793"/>
    <cellStyle name="Normal 3 2 3 3 2 2 3" xfId="40794"/>
    <cellStyle name="Normal 3 2 3 3 2 2 3 2" xfId="40795"/>
    <cellStyle name="Normal 3 2 3 3 2 2 4" xfId="40796"/>
    <cellStyle name="Normal 3 2 3 3 2 2 5" xfId="40797"/>
    <cellStyle name="Normal 3 2 3 3 2 3" xfId="40798"/>
    <cellStyle name="Normal 3 2 3 3 2 3 2" xfId="40799"/>
    <cellStyle name="Normal 3 2 3 3 2 3 2 2" xfId="40800"/>
    <cellStyle name="Normal 3 2 3 3 2 3 3" xfId="40801"/>
    <cellStyle name="Normal 3 2 3 3 2 3 4" xfId="40802"/>
    <cellStyle name="Normal 3 2 3 3 2 4" xfId="40803"/>
    <cellStyle name="Normal 3 2 3 3 2 4 2" xfId="40804"/>
    <cellStyle name="Normal 3 2 3 3 2 4 2 2" xfId="40805"/>
    <cellStyle name="Normal 3 2 3 3 2 4 3" xfId="40806"/>
    <cellStyle name="Normal 3 2 3 3 2 4 4" xfId="40807"/>
    <cellStyle name="Normal 3 2 3 3 2 5" xfId="40808"/>
    <cellStyle name="Normal 3 2 3 3 2 5 2" xfId="40809"/>
    <cellStyle name="Normal 3 2 3 3 2 6" xfId="40810"/>
    <cellStyle name="Normal 3 2 3 3 2 7" xfId="40811"/>
    <cellStyle name="Normal 3 2 3 3 2 8" xfId="40812"/>
    <cellStyle name="Normal 3 2 3 3 3" xfId="40813"/>
    <cellStyle name="Normal 3 2 3 3 3 2" xfId="40814"/>
    <cellStyle name="Normal 3 2 3 3 3 2 2" xfId="40815"/>
    <cellStyle name="Normal 3 2 3 3 3 2 2 2" xfId="40816"/>
    <cellStyle name="Normal 3 2 3 3 3 2 2 3" xfId="40817"/>
    <cellStyle name="Normal 3 2 3 3 3 2 3" xfId="40818"/>
    <cellStyle name="Normal 3 2 3 3 3 2 3 2" xfId="40819"/>
    <cellStyle name="Normal 3 2 3 3 3 2 4" xfId="40820"/>
    <cellStyle name="Normal 3 2 3 3 3 2 5" xfId="40821"/>
    <cellStyle name="Normal 3 2 3 3 3 3" xfId="40822"/>
    <cellStyle name="Normal 3 2 3 3 3 3 2" xfId="40823"/>
    <cellStyle name="Normal 3 2 3 3 3 3 2 2" xfId="40824"/>
    <cellStyle name="Normal 3 2 3 3 3 3 3" xfId="40825"/>
    <cellStyle name="Normal 3 2 3 3 3 3 4" xfId="40826"/>
    <cellStyle name="Normal 3 2 3 3 3 4" xfId="40827"/>
    <cellStyle name="Normal 3 2 3 3 3 4 2" xfId="40828"/>
    <cellStyle name="Normal 3 2 3 3 3 4 2 2" xfId="40829"/>
    <cellStyle name="Normal 3 2 3 3 3 4 3" xfId="40830"/>
    <cellStyle name="Normal 3 2 3 3 3 4 4" xfId="40831"/>
    <cellStyle name="Normal 3 2 3 3 3 5" xfId="40832"/>
    <cellStyle name="Normal 3 2 3 3 3 5 2" xfId="40833"/>
    <cellStyle name="Normal 3 2 3 3 3 6" xfId="40834"/>
    <cellStyle name="Normal 3 2 3 3 3 7" xfId="40835"/>
    <cellStyle name="Normal 3 2 3 3 3 8" xfId="40836"/>
    <cellStyle name="Normal 3 2 3 3 4" xfId="40837"/>
    <cellStyle name="Normal 3 2 3 3 4 2" xfId="40838"/>
    <cellStyle name="Normal 3 2 3 3 4 2 2" xfId="40839"/>
    <cellStyle name="Normal 3 2 3 3 4 2 2 2" xfId="40840"/>
    <cellStyle name="Normal 3 2 3 3 4 2 2 3" xfId="40841"/>
    <cellStyle name="Normal 3 2 3 3 4 2 3" xfId="40842"/>
    <cellStyle name="Normal 3 2 3 3 4 2 3 2" xfId="40843"/>
    <cellStyle name="Normal 3 2 3 3 4 2 4" xfId="40844"/>
    <cellStyle name="Normal 3 2 3 3 4 2 5" xfId="40845"/>
    <cellStyle name="Normal 3 2 3 3 4 3" xfId="40846"/>
    <cellStyle name="Normal 3 2 3 3 4 3 2" xfId="40847"/>
    <cellStyle name="Normal 3 2 3 3 4 3 2 2" xfId="40848"/>
    <cellStyle name="Normal 3 2 3 3 4 3 3" xfId="40849"/>
    <cellStyle name="Normal 3 2 3 3 4 3 4" xfId="40850"/>
    <cellStyle name="Normal 3 2 3 3 4 4" xfId="40851"/>
    <cellStyle name="Normal 3 2 3 3 4 4 2" xfId="40852"/>
    <cellStyle name="Normal 3 2 3 3 4 4 2 2" xfId="40853"/>
    <cellStyle name="Normal 3 2 3 3 4 4 3" xfId="40854"/>
    <cellStyle name="Normal 3 2 3 3 4 4 4" xfId="40855"/>
    <cellStyle name="Normal 3 2 3 3 4 5" xfId="40856"/>
    <cellStyle name="Normal 3 2 3 3 4 5 2" xfId="40857"/>
    <cellStyle name="Normal 3 2 3 3 4 6" xfId="40858"/>
    <cellStyle name="Normal 3 2 3 3 4 7" xfId="40859"/>
    <cellStyle name="Normal 3 2 3 3 4 8" xfId="40860"/>
    <cellStyle name="Normal 3 2 3 3 5" xfId="40861"/>
    <cellStyle name="Normal 3 2 3 4" xfId="4308"/>
    <cellStyle name="Normal 3 2 3 4 2" xfId="40862"/>
    <cellStyle name="Normal 3 2 3 5" xfId="40863"/>
    <cellStyle name="Normal 3 2 3 5 2" xfId="40864"/>
    <cellStyle name="Normal 3 2 3 5 2 2" xfId="40865"/>
    <cellStyle name="Normal 3 2 3 5 2 2 2" xfId="40866"/>
    <cellStyle name="Normal 3 2 3 5 2 2 3" xfId="40867"/>
    <cellStyle name="Normal 3 2 3 5 2 3" xfId="40868"/>
    <cellStyle name="Normal 3 2 3 5 2 3 2" xfId="40869"/>
    <cellStyle name="Normal 3 2 3 5 2 4" xfId="40870"/>
    <cellStyle name="Normal 3 2 3 5 2 5" xfId="40871"/>
    <cellStyle name="Normal 3 2 3 5 3" xfId="40872"/>
    <cellStyle name="Normal 3 2 3 5 3 2" xfId="40873"/>
    <cellStyle name="Normal 3 2 3 5 3 2 2" xfId="40874"/>
    <cellStyle name="Normal 3 2 3 5 3 3" xfId="40875"/>
    <cellStyle name="Normal 3 2 3 5 3 4" xfId="40876"/>
    <cellStyle name="Normal 3 2 3 5 4" xfId="40877"/>
    <cellStyle name="Normal 3 2 3 5 4 2" xfId="40878"/>
    <cellStyle name="Normal 3 2 3 5 4 2 2" xfId="40879"/>
    <cellStyle name="Normal 3 2 3 5 4 3" xfId="40880"/>
    <cellStyle name="Normal 3 2 3 5 4 4" xfId="40881"/>
    <cellStyle name="Normal 3 2 3 5 5" xfId="40882"/>
    <cellStyle name="Normal 3 2 3 5 5 2" xfId="40883"/>
    <cellStyle name="Normal 3 2 3 5 6" xfId="40884"/>
    <cellStyle name="Normal 3 2 3 5 7" xfId="40885"/>
    <cellStyle name="Normal 3 2 3 5 8" xfId="40886"/>
    <cellStyle name="Normal 3 2 3 6" xfId="40887"/>
    <cellStyle name="Normal 3 2 3 6 2" xfId="40888"/>
    <cellStyle name="Normal 3 2 3 6 2 2" xfId="40889"/>
    <cellStyle name="Normal 3 2 3 6 2 2 2" xfId="40890"/>
    <cellStyle name="Normal 3 2 3 6 2 2 3" xfId="40891"/>
    <cellStyle name="Normal 3 2 3 6 2 3" xfId="40892"/>
    <cellStyle name="Normal 3 2 3 6 2 3 2" xfId="40893"/>
    <cellStyle name="Normal 3 2 3 6 2 4" xfId="40894"/>
    <cellStyle name="Normal 3 2 3 6 2 5" xfId="40895"/>
    <cellStyle name="Normal 3 2 3 6 3" xfId="40896"/>
    <cellStyle name="Normal 3 2 3 6 3 2" xfId="40897"/>
    <cellStyle name="Normal 3 2 3 6 3 2 2" xfId="40898"/>
    <cellStyle name="Normal 3 2 3 6 3 3" xfId="40899"/>
    <cellStyle name="Normal 3 2 3 6 3 4" xfId="40900"/>
    <cellStyle name="Normal 3 2 3 6 4" xfId="40901"/>
    <cellStyle name="Normal 3 2 3 6 4 2" xfId="40902"/>
    <cellStyle name="Normal 3 2 3 6 4 2 2" xfId="40903"/>
    <cellStyle name="Normal 3 2 3 6 4 3" xfId="40904"/>
    <cellStyle name="Normal 3 2 3 6 4 4" xfId="40905"/>
    <cellStyle name="Normal 3 2 3 6 5" xfId="40906"/>
    <cellStyle name="Normal 3 2 3 6 5 2" xfId="40907"/>
    <cellStyle name="Normal 3 2 3 6 6" xfId="40908"/>
    <cellStyle name="Normal 3 2 3 6 7" xfId="40909"/>
    <cellStyle name="Normal 3 2 3 6 8" xfId="40910"/>
    <cellStyle name="Normal 3 2 3 7" xfId="40911"/>
    <cellStyle name="Normal 3 2 3 7 2" xfId="40912"/>
    <cellStyle name="Normal 3 2 3 7 2 2" xfId="40913"/>
    <cellStyle name="Normal 3 2 3 7 2 2 2" xfId="40914"/>
    <cellStyle name="Normal 3 2 3 7 2 2 3" xfId="40915"/>
    <cellStyle name="Normal 3 2 3 7 2 3" xfId="40916"/>
    <cellStyle name="Normal 3 2 3 7 2 3 2" xfId="40917"/>
    <cellStyle name="Normal 3 2 3 7 2 4" xfId="40918"/>
    <cellStyle name="Normal 3 2 3 7 2 5" xfId="40919"/>
    <cellStyle name="Normal 3 2 3 7 3" xfId="40920"/>
    <cellStyle name="Normal 3 2 3 7 3 2" xfId="40921"/>
    <cellStyle name="Normal 3 2 3 7 3 2 2" xfId="40922"/>
    <cellStyle name="Normal 3 2 3 7 3 3" xfId="40923"/>
    <cellStyle name="Normal 3 2 3 7 3 4" xfId="40924"/>
    <cellStyle name="Normal 3 2 3 7 4" xfId="40925"/>
    <cellStyle name="Normal 3 2 3 7 4 2" xfId="40926"/>
    <cellStyle name="Normal 3 2 3 7 4 2 2" xfId="40927"/>
    <cellStyle name="Normal 3 2 3 7 4 3" xfId="40928"/>
    <cellStyle name="Normal 3 2 3 7 4 4" xfId="40929"/>
    <cellStyle name="Normal 3 2 3 7 5" xfId="40930"/>
    <cellStyle name="Normal 3 2 3 7 5 2" xfId="40931"/>
    <cellStyle name="Normal 3 2 3 7 6" xfId="40932"/>
    <cellStyle name="Normal 3 2 3 7 7" xfId="40933"/>
    <cellStyle name="Normal 3 2 3 7 8" xfId="40934"/>
    <cellStyle name="Normal 3 2 3 8" xfId="40935"/>
    <cellStyle name="Normal 3 2 4" xfId="4309"/>
    <cellStyle name="Normal 3 2 4 2" xfId="4310"/>
    <cellStyle name="Normal 3 2 4 2 2" xfId="4311"/>
    <cellStyle name="Normal 3 2 4 2 2 2" xfId="40936"/>
    <cellStyle name="Normal 3 2 4 2 2 2 2" xfId="40937"/>
    <cellStyle name="Normal 3 2 4 2 2 2 2 2" xfId="40938"/>
    <cellStyle name="Normal 3 2 4 2 2 2 2 3" xfId="40939"/>
    <cellStyle name="Normal 3 2 4 2 2 2 3" xfId="40940"/>
    <cellStyle name="Normal 3 2 4 2 2 2 3 2" xfId="40941"/>
    <cellStyle name="Normal 3 2 4 2 2 2 4" xfId="40942"/>
    <cellStyle name="Normal 3 2 4 2 2 2 5" xfId="40943"/>
    <cellStyle name="Normal 3 2 4 2 2 3" xfId="40944"/>
    <cellStyle name="Normal 3 2 4 2 2 3 2" xfId="40945"/>
    <cellStyle name="Normal 3 2 4 2 2 3 2 2" xfId="40946"/>
    <cellStyle name="Normal 3 2 4 2 2 3 3" xfId="40947"/>
    <cellStyle name="Normal 3 2 4 2 2 3 4" xfId="40948"/>
    <cellStyle name="Normal 3 2 4 2 2 4" xfId="40949"/>
    <cellStyle name="Normal 3 2 4 2 2 4 2" xfId="40950"/>
    <cellStyle name="Normal 3 2 4 2 2 4 2 2" xfId="40951"/>
    <cellStyle name="Normal 3 2 4 2 2 4 3" xfId="40952"/>
    <cellStyle name="Normal 3 2 4 2 2 4 4" xfId="40953"/>
    <cellStyle name="Normal 3 2 4 2 2 5" xfId="40954"/>
    <cellStyle name="Normal 3 2 4 2 2 5 2" xfId="40955"/>
    <cellStyle name="Normal 3 2 4 2 2 6" xfId="40956"/>
    <cellStyle name="Normal 3 2 4 2 2 7" xfId="40957"/>
    <cellStyle name="Normal 3 2 4 2 2 8" xfId="40958"/>
    <cellStyle name="Normal 3 2 4 2 3" xfId="40959"/>
    <cellStyle name="Normal 3 2 4 2 3 2" xfId="40960"/>
    <cellStyle name="Normal 3 2 4 2 3 2 2" xfId="40961"/>
    <cellStyle name="Normal 3 2 4 2 3 2 2 2" xfId="40962"/>
    <cellStyle name="Normal 3 2 4 2 3 2 2 3" xfId="40963"/>
    <cellStyle name="Normal 3 2 4 2 3 2 3" xfId="40964"/>
    <cellStyle name="Normal 3 2 4 2 3 2 3 2" xfId="40965"/>
    <cellStyle name="Normal 3 2 4 2 3 2 4" xfId="40966"/>
    <cellStyle name="Normal 3 2 4 2 3 2 5" xfId="40967"/>
    <cellStyle name="Normal 3 2 4 2 3 3" xfId="40968"/>
    <cellStyle name="Normal 3 2 4 2 3 3 2" xfId="40969"/>
    <cellStyle name="Normal 3 2 4 2 3 3 2 2" xfId="40970"/>
    <cellStyle name="Normal 3 2 4 2 3 3 3" xfId="40971"/>
    <cellStyle name="Normal 3 2 4 2 3 3 4" xfId="40972"/>
    <cellStyle name="Normal 3 2 4 2 3 4" xfId="40973"/>
    <cellStyle name="Normal 3 2 4 2 3 4 2" xfId="40974"/>
    <cellStyle name="Normal 3 2 4 2 3 4 2 2" xfId="40975"/>
    <cellStyle name="Normal 3 2 4 2 3 4 3" xfId="40976"/>
    <cellStyle name="Normal 3 2 4 2 3 4 4" xfId="40977"/>
    <cellStyle name="Normal 3 2 4 2 3 5" xfId="40978"/>
    <cellStyle name="Normal 3 2 4 2 3 5 2" xfId="40979"/>
    <cellStyle name="Normal 3 2 4 2 3 6" xfId="40980"/>
    <cellStyle name="Normal 3 2 4 2 3 7" xfId="40981"/>
    <cellStyle name="Normal 3 2 4 2 3 8" xfId="40982"/>
    <cellStyle name="Normal 3 2 4 2 4" xfId="40983"/>
    <cellStyle name="Normal 3 2 4 2 4 2" xfId="40984"/>
    <cellStyle name="Normal 3 2 4 2 4 2 2" xfId="40985"/>
    <cellStyle name="Normal 3 2 4 2 4 2 2 2" xfId="40986"/>
    <cellStyle name="Normal 3 2 4 2 4 2 2 3" xfId="40987"/>
    <cellStyle name="Normal 3 2 4 2 4 2 3" xfId="40988"/>
    <cellStyle name="Normal 3 2 4 2 4 2 3 2" xfId="40989"/>
    <cellStyle name="Normal 3 2 4 2 4 2 4" xfId="40990"/>
    <cellStyle name="Normal 3 2 4 2 4 2 5" xfId="40991"/>
    <cellStyle name="Normal 3 2 4 2 4 3" xfId="40992"/>
    <cellStyle name="Normal 3 2 4 2 4 3 2" xfId="40993"/>
    <cellStyle name="Normal 3 2 4 2 4 3 2 2" xfId="40994"/>
    <cellStyle name="Normal 3 2 4 2 4 3 3" xfId="40995"/>
    <cellStyle name="Normal 3 2 4 2 4 3 4" xfId="40996"/>
    <cellStyle name="Normal 3 2 4 2 4 4" xfId="40997"/>
    <cellStyle name="Normal 3 2 4 2 4 4 2" xfId="40998"/>
    <cellStyle name="Normal 3 2 4 2 4 4 2 2" xfId="40999"/>
    <cellStyle name="Normal 3 2 4 2 4 4 3" xfId="41000"/>
    <cellStyle name="Normal 3 2 4 2 4 4 4" xfId="41001"/>
    <cellStyle name="Normal 3 2 4 2 4 5" xfId="41002"/>
    <cellStyle name="Normal 3 2 4 2 4 5 2" xfId="41003"/>
    <cellStyle name="Normal 3 2 4 2 4 6" xfId="41004"/>
    <cellStyle name="Normal 3 2 4 2 4 7" xfId="41005"/>
    <cellStyle name="Normal 3 2 4 2 4 8" xfId="41006"/>
    <cellStyle name="Normal 3 2 4 2 5" xfId="41007"/>
    <cellStyle name="Normal 3 2 4 3" xfId="4312"/>
    <cellStyle name="Normal 3 2 4 3 2" xfId="41008"/>
    <cellStyle name="Normal 3 2 4 4" xfId="41009"/>
    <cellStyle name="Normal 3 2 4 4 2" xfId="41010"/>
    <cellStyle name="Normal 3 2 4 4 2 2" xfId="41011"/>
    <cellStyle name="Normal 3 2 4 4 2 2 2" xfId="41012"/>
    <cellStyle name="Normal 3 2 4 4 2 2 3" xfId="41013"/>
    <cellStyle name="Normal 3 2 4 4 2 3" xfId="41014"/>
    <cellStyle name="Normal 3 2 4 4 2 3 2" xfId="41015"/>
    <cellStyle name="Normal 3 2 4 4 2 4" xfId="41016"/>
    <cellStyle name="Normal 3 2 4 4 2 5" xfId="41017"/>
    <cellStyle name="Normal 3 2 4 4 3" xfId="41018"/>
    <cellStyle name="Normal 3 2 4 4 3 2" xfId="41019"/>
    <cellStyle name="Normal 3 2 4 4 3 2 2" xfId="41020"/>
    <cellStyle name="Normal 3 2 4 4 3 3" xfId="41021"/>
    <cellStyle name="Normal 3 2 4 4 3 4" xfId="41022"/>
    <cellStyle name="Normal 3 2 4 4 4" xfId="41023"/>
    <cellStyle name="Normal 3 2 4 4 4 2" xfId="41024"/>
    <cellStyle name="Normal 3 2 4 4 4 2 2" xfId="41025"/>
    <cellStyle name="Normal 3 2 4 4 4 3" xfId="41026"/>
    <cellStyle name="Normal 3 2 4 4 4 4" xfId="41027"/>
    <cellStyle name="Normal 3 2 4 4 5" xfId="41028"/>
    <cellStyle name="Normal 3 2 4 4 5 2" xfId="41029"/>
    <cellStyle name="Normal 3 2 4 4 6" xfId="41030"/>
    <cellStyle name="Normal 3 2 4 4 7" xfId="41031"/>
    <cellStyle name="Normal 3 2 4 4 8" xfId="41032"/>
    <cellStyle name="Normal 3 2 4 5" xfId="41033"/>
    <cellStyle name="Normal 3 2 4 5 2" xfId="41034"/>
    <cellStyle name="Normal 3 2 4 5 2 2" xfId="41035"/>
    <cellStyle name="Normal 3 2 4 5 2 2 2" xfId="41036"/>
    <cellStyle name="Normal 3 2 4 5 2 2 3" xfId="41037"/>
    <cellStyle name="Normal 3 2 4 5 2 3" xfId="41038"/>
    <cellStyle name="Normal 3 2 4 5 2 3 2" xfId="41039"/>
    <cellStyle name="Normal 3 2 4 5 2 4" xfId="41040"/>
    <cellStyle name="Normal 3 2 4 5 2 5" xfId="41041"/>
    <cellStyle name="Normal 3 2 4 5 3" xfId="41042"/>
    <cellStyle name="Normal 3 2 4 5 3 2" xfId="41043"/>
    <cellStyle name="Normal 3 2 4 5 3 2 2" xfId="41044"/>
    <cellStyle name="Normal 3 2 4 5 3 3" xfId="41045"/>
    <cellStyle name="Normal 3 2 4 5 3 4" xfId="41046"/>
    <cellStyle name="Normal 3 2 4 5 4" xfId="41047"/>
    <cellStyle name="Normal 3 2 4 5 4 2" xfId="41048"/>
    <cellStyle name="Normal 3 2 4 5 4 2 2" xfId="41049"/>
    <cellStyle name="Normal 3 2 4 5 4 3" xfId="41050"/>
    <cellStyle name="Normal 3 2 4 5 4 4" xfId="41051"/>
    <cellStyle name="Normal 3 2 4 5 5" xfId="41052"/>
    <cellStyle name="Normal 3 2 4 5 5 2" xfId="41053"/>
    <cellStyle name="Normal 3 2 4 5 6" xfId="41054"/>
    <cellStyle name="Normal 3 2 4 5 7" xfId="41055"/>
    <cellStyle name="Normal 3 2 4 5 8" xfId="41056"/>
    <cellStyle name="Normal 3 2 4 6" xfId="41057"/>
    <cellStyle name="Normal 3 2 4 6 2" xfId="41058"/>
    <cellStyle name="Normal 3 2 4 6 2 2" xfId="41059"/>
    <cellStyle name="Normal 3 2 4 6 2 2 2" xfId="41060"/>
    <cellStyle name="Normal 3 2 4 6 2 2 3" xfId="41061"/>
    <cellStyle name="Normal 3 2 4 6 2 3" xfId="41062"/>
    <cellStyle name="Normal 3 2 4 6 2 3 2" xfId="41063"/>
    <cellStyle name="Normal 3 2 4 6 2 4" xfId="41064"/>
    <cellStyle name="Normal 3 2 4 6 2 5" xfId="41065"/>
    <cellStyle name="Normal 3 2 4 6 3" xfId="41066"/>
    <cellStyle name="Normal 3 2 4 6 3 2" xfId="41067"/>
    <cellStyle name="Normal 3 2 4 6 3 2 2" xfId="41068"/>
    <cellStyle name="Normal 3 2 4 6 3 3" xfId="41069"/>
    <cellStyle name="Normal 3 2 4 6 3 4" xfId="41070"/>
    <cellStyle name="Normal 3 2 4 6 4" xfId="41071"/>
    <cellStyle name="Normal 3 2 4 6 4 2" xfId="41072"/>
    <cellStyle name="Normal 3 2 4 6 4 2 2" xfId="41073"/>
    <cellStyle name="Normal 3 2 4 6 4 3" xfId="41074"/>
    <cellStyle name="Normal 3 2 4 6 4 4" xfId="41075"/>
    <cellStyle name="Normal 3 2 4 6 5" xfId="41076"/>
    <cellStyle name="Normal 3 2 4 6 5 2" xfId="41077"/>
    <cellStyle name="Normal 3 2 4 6 6" xfId="41078"/>
    <cellStyle name="Normal 3 2 4 6 7" xfId="41079"/>
    <cellStyle name="Normal 3 2 4 6 8" xfId="41080"/>
    <cellStyle name="Normal 3 2 5" xfId="4313"/>
    <cellStyle name="Normal 3 2 5 2" xfId="4314"/>
    <cellStyle name="Normal 3 2 5 2 2" xfId="41081"/>
    <cellStyle name="Normal 3 2 5 3" xfId="41082"/>
    <cellStyle name="Normal 3 2 5 3 2" xfId="41083"/>
    <cellStyle name="Normal 3 2 5 3 2 2" xfId="41084"/>
    <cellStyle name="Normal 3 2 5 3 2 2 2" xfId="41085"/>
    <cellStyle name="Normal 3 2 5 3 2 2 3" xfId="41086"/>
    <cellStyle name="Normal 3 2 5 3 2 3" xfId="41087"/>
    <cellStyle name="Normal 3 2 5 3 2 3 2" xfId="41088"/>
    <cellStyle name="Normal 3 2 5 3 2 4" xfId="41089"/>
    <cellStyle name="Normal 3 2 5 3 2 5" xfId="41090"/>
    <cellStyle name="Normal 3 2 5 3 3" xfId="41091"/>
    <cellStyle name="Normal 3 2 5 3 3 2" xfId="41092"/>
    <cellStyle name="Normal 3 2 5 3 3 2 2" xfId="41093"/>
    <cellStyle name="Normal 3 2 5 3 3 3" xfId="41094"/>
    <cellStyle name="Normal 3 2 5 3 3 4" xfId="41095"/>
    <cellStyle name="Normal 3 2 5 3 4" xfId="41096"/>
    <cellStyle name="Normal 3 2 5 3 4 2" xfId="41097"/>
    <cellStyle name="Normal 3 2 5 3 4 2 2" xfId="41098"/>
    <cellStyle name="Normal 3 2 5 3 4 3" xfId="41099"/>
    <cellStyle name="Normal 3 2 5 3 4 4" xfId="41100"/>
    <cellStyle name="Normal 3 2 5 3 5" xfId="41101"/>
    <cellStyle name="Normal 3 2 5 3 5 2" xfId="41102"/>
    <cellStyle name="Normal 3 2 5 3 6" xfId="41103"/>
    <cellStyle name="Normal 3 2 5 3 7" xfId="41104"/>
    <cellStyle name="Normal 3 2 5 3 8" xfId="41105"/>
    <cellStyle name="Normal 3 2 5 4" xfId="41106"/>
    <cellStyle name="Normal 3 2 5 4 2" xfId="41107"/>
    <cellStyle name="Normal 3 2 5 4 2 2" xfId="41108"/>
    <cellStyle name="Normal 3 2 5 4 2 2 2" xfId="41109"/>
    <cellStyle name="Normal 3 2 5 4 2 2 3" xfId="41110"/>
    <cellStyle name="Normal 3 2 5 4 2 3" xfId="41111"/>
    <cellStyle name="Normal 3 2 5 4 2 3 2" xfId="41112"/>
    <cellStyle name="Normal 3 2 5 4 2 4" xfId="41113"/>
    <cellStyle name="Normal 3 2 5 4 2 5" xfId="41114"/>
    <cellStyle name="Normal 3 2 5 4 3" xfId="41115"/>
    <cellStyle name="Normal 3 2 5 4 3 2" xfId="41116"/>
    <cellStyle name="Normal 3 2 5 4 3 2 2" xfId="41117"/>
    <cellStyle name="Normal 3 2 5 4 3 3" xfId="41118"/>
    <cellStyle name="Normal 3 2 5 4 3 4" xfId="41119"/>
    <cellStyle name="Normal 3 2 5 4 4" xfId="41120"/>
    <cellStyle name="Normal 3 2 5 4 4 2" xfId="41121"/>
    <cellStyle name="Normal 3 2 5 4 4 2 2" xfId="41122"/>
    <cellStyle name="Normal 3 2 5 4 4 3" xfId="41123"/>
    <cellStyle name="Normal 3 2 5 4 4 4" xfId="41124"/>
    <cellStyle name="Normal 3 2 5 4 5" xfId="41125"/>
    <cellStyle name="Normal 3 2 5 4 5 2" xfId="41126"/>
    <cellStyle name="Normal 3 2 5 4 6" xfId="41127"/>
    <cellStyle name="Normal 3 2 5 4 7" xfId="41128"/>
    <cellStyle name="Normal 3 2 5 4 8" xfId="41129"/>
    <cellStyle name="Normal 3 2 5 5" xfId="41130"/>
    <cellStyle name="Normal 3 2 5 5 2" xfId="41131"/>
    <cellStyle name="Normal 3 2 5 5 2 2" xfId="41132"/>
    <cellStyle name="Normal 3 2 5 5 2 2 2" xfId="41133"/>
    <cellStyle name="Normal 3 2 5 5 2 2 3" xfId="41134"/>
    <cellStyle name="Normal 3 2 5 5 2 3" xfId="41135"/>
    <cellStyle name="Normal 3 2 5 5 2 3 2" xfId="41136"/>
    <cellStyle name="Normal 3 2 5 5 2 4" xfId="41137"/>
    <cellStyle name="Normal 3 2 5 5 2 5" xfId="41138"/>
    <cellStyle name="Normal 3 2 5 5 3" xfId="41139"/>
    <cellStyle name="Normal 3 2 5 5 3 2" xfId="41140"/>
    <cellStyle name="Normal 3 2 5 5 3 2 2" xfId="41141"/>
    <cellStyle name="Normal 3 2 5 5 3 3" xfId="41142"/>
    <cellStyle name="Normal 3 2 5 5 3 4" xfId="41143"/>
    <cellStyle name="Normal 3 2 5 5 4" xfId="41144"/>
    <cellStyle name="Normal 3 2 5 5 4 2" xfId="41145"/>
    <cellStyle name="Normal 3 2 5 5 4 2 2" xfId="41146"/>
    <cellStyle name="Normal 3 2 5 5 4 3" xfId="41147"/>
    <cellStyle name="Normal 3 2 5 5 4 4" xfId="41148"/>
    <cellStyle name="Normal 3 2 5 5 5" xfId="41149"/>
    <cellStyle name="Normal 3 2 5 5 5 2" xfId="41150"/>
    <cellStyle name="Normal 3 2 5 5 6" xfId="41151"/>
    <cellStyle name="Normal 3 2 5 5 7" xfId="41152"/>
    <cellStyle name="Normal 3 2 5 5 8" xfId="41153"/>
    <cellStyle name="Normal 3 2 6" xfId="4315"/>
    <cellStyle name="Normal 3 2 6 2" xfId="41154"/>
    <cellStyle name="Normal 3 2 6 3" xfId="41155"/>
    <cellStyle name="Normal 3 2 6 3 2" xfId="41156"/>
    <cellStyle name="Normal 3 2 6 3 2 2" xfId="41157"/>
    <cellStyle name="Normal 3 2 6 3 2 2 2" xfId="41158"/>
    <cellStyle name="Normal 3 2 6 3 2 2 3" xfId="41159"/>
    <cellStyle name="Normal 3 2 6 3 2 3" xfId="41160"/>
    <cellStyle name="Normal 3 2 6 3 2 3 2" xfId="41161"/>
    <cellStyle name="Normal 3 2 6 3 2 4" xfId="41162"/>
    <cellStyle name="Normal 3 2 6 3 2 5" xfId="41163"/>
    <cellStyle name="Normal 3 2 6 3 3" xfId="41164"/>
    <cellStyle name="Normal 3 2 6 3 3 2" xfId="41165"/>
    <cellStyle name="Normal 3 2 6 3 3 2 2" xfId="41166"/>
    <cellStyle name="Normal 3 2 6 3 3 3" xfId="41167"/>
    <cellStyle name="Normal 3 2 6 3 3 4" xfId="41168"/>
    <cellStyle name="Normal 3 2 6 3 4" xfId="41169"/>
    <cellStyle name="Normal 3 2 6 3 4 2" xfId="41170"/>
    <cellStyle name="Normal 3 2 6 3 4 2 2" xfId="41171"/>
    <cellStyle name="Normal 3 2 6 3 4 3" xfId="41172"/>
    <cellStyle name="Normal 3 2 6 3 4 4" xfId="41173"/>
    <cellStyle name="Normal 3 2 6 3 5" xfId="41174"/>
    <cellStyle name="Normal 3 2 6 3 5 2" xfId="41175"/>
    <cellStyle name="Normal 3 2 6 3 6" xfId="41176"/>
    <cellStyle name="Normal 3 2 6 3 7" xfId="41177"/>
    <cellStyle name="Normal 3 2 6 3 8" xfId="41178"/>
    <cellStyle name="Normal 3 2 7" xfId="41179"/>
    <cellStyle name="Normal 3 2 7 2" xfId="41180"/>
    <cellStyle name="Normal 3 2 8" xfId="41181"/>
    <cellStyle name="Normal 3 2 8 2" xfId="41182"/>
    <cellStyle name="Normal 3 2 9" xfId="41183"/>
    <cellStyle name="Normal 3 2 9 2" xfId="41184"/>
    <cellStyle name="Normal 3 2_Dakota Panel" xfId="41185"/>
    <cellStyle name="Normal 3 3" xfId="4316"/>
    <cellStyle name="Normal 3 3 10" xfId="41186"/>
    <cellStyle name="Normal 3 3 10 2" xfId="41187"/>
    <cellStyle name="Normal 3 3 10 2 2" xfId="41188"/>
    <cellStyle name="Normal 3 3 10 3" xfId="41189"/>
    <cellStyle name="Normal 3 3 10 4" xfId="41190"/>
    <cellStyle name="Normal 3 3 11" xfId="41191"/>
    <cellStyle name="Normal 3 3 11 2" xfId="41192"/>
    <cellStyle name="Normal 3 3 12" xfId="41193"/>
    <cellStyle name="Normal 3 3 2" xfId="4317"/>
    <cellStyle name="Normal 3 3 2 2" xfId="41194"/>
    <cellStyle name="Normal 3 3 2 2 2" xfId="41195"/>
    <cellStyle name="Normal 3 3 2 2 2 2" xfId="41196"/>
    <cellStyle name="Normal 3 3 2 2 2 2 2" xfId="41197"/>
    <cellStyle name="Normal 3 3 2 2 2 2 2 2" xfId="41198"/>
    <cellStyle name="Normal 3 3 2 2 2 2 2 2 2" xfId="41199"/>
    <cellStyle name="Normal 3 3 2 2 2 2 2 2 3" xfId="41200"/>
    <cellStyle name="Normal 3 3 2 2 2 2 2 3" xfId="41201"/>
    <cellStyle name="Normal 3 3 2 2 2 2 2 3 2" xfId="41202"/>
    <cellStyle name="Normal 3 3 2 2 2 2 2 4" xfId="41203"/>
    <cellStyle name="Normal 3 3 2 2 2 2 2 5" xfId="41204"/>
    <cellStyle name="Normal 3 3 2 2 2 2 3" xfId="41205"/>
    <cellStyle name="Normal 3 3 2 2 2 2 3 2" xfId="41206"/>
    <cellStyle name="Normal 3 3 2 2 2 2 3 2 2" xfId="41207"/>
    <cellStyle name="Normal 3 3 2 2 2 2 3 3" xfId="41208"/>
    <cellStyle name="Normal 3 3 2 2 2 2 3 4" xfId="41209"/>
    <cellStyle name="Normal 3 3 2 2 2 2 4" xfId="41210"/>
    <cellStyle name="Normal 3 3 2 2 2 2 4 2" xfId="41211"/>
    <cellStyle name="Normal 3 3 2 2 2 2 4 2 2" xfId="41212"/>
    <cellStyle name="Normal 3 3 2 2 2 2 4 3" xfId="41213"/>
    <cellStyle name="Normal 3 3 2 2 2 2 4 4" xfId="41214"/>
    <cellStyle name="Normal 3 3 2 2 2 2 5" xfId="41215"/>
    <cellStyle name="Normal 3 3 2 2 2 2 5 2" xfId="41216"/>
    <cellStyle name="Normal 3 3 2 2 2 2 6" xfId="41217"/>
    <cellStyle name="Normal 3 3 2 2 2 2 7" xfId="41218"/>
    <cellStyle name="Normal 3 3 2 2 2 2 8" xfId="41219"/>
    <cellStyle name="Normal 3 3 2 2 2 3" xfId="41220"/>
    <cellStyle name="Normal 3 3 2 2 2 3 2" xfId="41221"/>
    <cellStyle name="Normal 3 3 2 2 2 3 2 2" xfId="41222"/>
    <cellStyle name="Normal 3 3 2 2 2 3 2 2 2" xfId="41223"/>
    <cellStyle name="Normal 3 3 2 2 2 3 2 2 3" xfId="41224"/>
    <cellStyle name="Normal 3 3 2 2 2 3 2 3" xfId="41225"/>
    <cellStyle name="Normal 3 3 2 2 2 3 2 3 2" xfId="41226"/>
    <cellStyle name="Normal 3 3 2 2 2 3 2 4" xfId="41227"/>
    <cellStyle name="Normal 3 3 2 2 2 3 2 5" xfId="41228"/>
    <cellStyle name="Normal 3 3 2 2 2 3 3" xfId="41229"/>
    <cellStyle name="Normal 3 3 2 2 2 3 3 2" xfId="41230"/>
    <cellStyle name="Normal 3 3 2 2 2 3 3 2 2" xfId="41231"/>
    <cellStyle name="Normal 3 3 2 2 2 3 3 3" xfId="41232"/>
    <cellStyle name="Normal 3 3 2 2 2 3 3 4" xfId="41233"/>
    <cellStyle name="Normal 3 3 2 2 2 3 4" xfId="41234"/>
    <cellStyle name="Normal 3 3 2 2 2 3 4 2" xfId="41235"/>
    <cellStyle name="Normal 3 3 2 2 2 3 4 2 2" xfId="41236"/>
    <cellStyle name="Normal 3 3 2 2 2 3 4 3" xfId="41237"/>
    <cellStyle name="Normal 3 3 2 2 2 3 4 4" xfId="41238"/>
    <cellStyle name="Normal 3 3 2 2 2 3 5" xfId="41239"/>
    <cellStyle name="Normal 3 3 2 2 2 3 5 2" xfId="41240"/>
    <cellStyle name="Normal 3 3 2 2 2 3 6" xfId="41241"/>
    <cellStyle name="Normal 3 3 2 2 2 3 7" xfId="41242"/>
    <cellStyle name="Normal 3 3 2 2 2 3 8" xfId="41243"/>
    <cellStyle name="Normal 3 3 2 2 2 4" xfId="41244"/>
    <cellStyle name="Normal 3 3 2 2 2 4 2" xfId="41245"/>
    <cellStyle name="Normal 3 3 2 2 2 4 2 2" xfId="41246"/>
    <cellStyle name="Normal 3 3 2 2 2 4 2 2 2" xfId="41247"/>
    <cellStyle name="Normal 3 3 2 2 2 4 2 2 3" xfId="41248"/>
    <cellStyle name="Normal 3 3 2 2 2 4 2 3" xfId="41249"/>
    <cellStyle name="Normal 3 3 2 2 2 4 2 3 2" xfId="41250"/>
    <cellStyle name="Normal 3 3 2 2 2 4 2 4" xfId="41251"/>
    <cellStyle name="Normal 3 3 2 2 2 4 2 5" xfId="41252"/>
    <cellStyle name="Normal 3 3 2 2 2 4 3" xfId="41253"/>
    <cellStyle name="Normal 3 3 2 2 2 4 3 2" xfId="41254"/>
    <cellStyle name="Normal 3 3 2 2 2 4 3 2 2" xfId="41255"/>
    <cellStyle name="Normal 3 3 2 2 2 4 3 3" xfId="41256"/>
    <cellStyle name="Normal 3 3 2 2 2 4 3 4" xfId="41257"/>
    <cellStyle name="Normal 3 3 2 2 2 4 4" xfId="41258"/>
    <cellStyle name="Normal 3 3 2 2 2 4 4 2" xfId="41259"/>
    <cellStyle name="Normal 3 3 2 2 2 4 4 2 2" xfId="41260"/>
    <cellStyle name="Normal 3 3 2 2 2 4 4 3" xfId="41261"/>
    <cellStyle name="Normal 3 3 2 2 2 4 4 4" xfId="41262"/>
    <cellStyle name="Normal 3 3 2 2 2 4 5" xfId="41263"/>
    <cellStyle name="Normal 3 3 2 2 2 4 5 2" xfId="41264"/>
    <cellStyle name="Normal 3 3 2 2 2 4 6" xfId="41265"/>
    <cellStyle name="Normal 3 3 2 2 2 4 7" xfId="41266"/>
    <cellStyle name="Normal 3 3 2 2 2 4 8" xfId="41267"/>
    <cellStyle name="Normal 3 3 2 2 2 5" xfId="41268"/>
    <cellStyle name="Normal 3 3 2 2 3" xfId="41269"/>
    <cellStyle name="Normal 3 3 2 2 3 2" xfId="41270"/>
    <cellStyle name="Normal 3 3 2 2 3 2 2" xfId="41271"/>
    <cellStyle name="Normal 3 3 2 2 3 2 2 2" xfId="41272"/>
    <cellStyle name="Normal 3 3 2 2 3 2 2 3" xfId="41273"/>
    <cellStyle name="Normal 3 3 2 2 3 2 3" xfId="41274"/>
    <cellStyle name="Normal 3 3 2 2 3 2 3 2" xfId="41275"/>
    <cellStyle name="Normal 3 3 2 2 3 2 4" xfId="41276"/>
    <cellStyle name="Normal 3 3 2 2 3 2 5" xfId="41277"/>
    <cellStyle name="Normal 3 3 2 2 3 3" xfId="41278"/>
    <cellStyle name="Normal 3 3 2 2 3 3 2" xfId="41279"/>
    <cellStyle name="Normal 3 3 2 2 3 3 2 2" xfId="41280"/>
    <cellStyle name="Normal 3 3 2 2 3 3 3" xfId="41281"/>
    <cellStyle name="Normal 3 3 2 2 3 3 4" xfId="41282"/>
    <cellStyle name="Normal 3 3 2 2 3 4" xfId="41283"/>
    <cellStyle name="Normal 3 3 2 2 3 4 2" xfId="41284"/>
    <cellStyle name="Normal 3 3 2 2 3 4 2 2" xfId="41285"/>
    <cellStyle name="Normal 3 3 2 2 3 4 3" xfId="41286"/>
    <cellStyle name="Normal 3 3 2 2 3 4 4" xfId="41287"/>
    <cellStyle name="Normal 3 3 2 2 3 5" xfId="41288"/>
    <cellStyle name="Normal 3 3 2 2 3 5 2" xfId="41289"/>
    <cellStyle name="Normal 3 3 2 2 3 6" xfId="41290"/>
    <cellStyle name="Normal 3 3 2 2 3 7" xfId="41291"/>
    <cellStyle name="Normal 3 3 2 2 3 8" xfId="41292"/>
    <cellStyle name="Normal 3 3 2 2 4" xfId="41293"/>
    <cellStyle name="Normal 3 3 2 2 4 2" xfId="41294"/>
    <cellStyle name="Normal 3 3 2 2 4 2 2" xfId="41295"/>
    <cellStyle name="Normal 3 3 2 2 4 2 2 2" xfId="41296"/>
    <cellStyle name="Normal 3 3 2 2 4 2 2 3" xfId="41297"/>
    <cellStyle name="Normal 3 3 2 2 4 2 3" xfId="41298"/>
    <cellStyle name="Normal 3 3 2 2 4 2 3 2" xfId="41299"/>
    <cellStyle name="Normal 3 3 2 2 4 2 4" xfId="41300"/>
    <cellStyle name="Normal 3 3 2 2 4 2 5" xfId="41301"/>
    <cellStyle name="Normal 3 3 2 2 4 3" xfId="41302"/>
    <cellStyle name="Normal 3 3 2 2 4 3 2" xfId="41303"/>
    <cellStyle name="Normal 3 3 2 2 4 3 2 2" xfId="41304"/>
    <cellStyle name="Normal 3 3 2 2 4 3 3" xfId="41305"/>
    <cellStyle name="Normal 3 3 2 2 4 3 4" xfId="41306"/>
    <cellStyle name="Normal 3 3 2 2 4 4" xfId="41307"/>
    <cellStyle name="Normal 3 3 2 2 4 4 2" xfId="41308"/>
    <cellStyle name="Normal 3 3 2 2 4 4 2 2" xfId="41309"/>
    <cellStyle name="Normal 3 3 2 2 4 4 3" xfId="41310"/>
    <cellStyle name="Normal 3 3 2 2 4 4 4" xfId="41311"/>
    <cellStyle name="Normal 3 3 2 2 4 5" xfId="41312"/>
    <cellStyle name="Normal 3 3 2 2 4 5 2" xfId="41313"/>
    <cellStyle name="Normal 3 3 2 2 4 6" xfId="41314"/>
    <cellStyle name="Normal 3 3 2 2 4 7" xfId="41315"/>
    <cellStyle name="Normal 3 3 2 2 4 8" xfId="41316"/>
    <cellStyle name="Normal 3 3 2 2 5" xfId="41317"/>
    <cellStyle name="Normal 3 3 2 2 5 2" xfId="41318"/>
    <cellStyle name="Normal 3 3 2 2 5 2 2" xfId="41319"/>
    <cellStyle name="Normal 3 3 2 2 5 2 2 2" xfId="41320"/>
    <cellStyle name="Normal 3 3 2 2 5 2 2 3" xfId="41321"/>
    <cellStyle name="Normal 3 3 2 2 5 2 3" xfId="41322"/>
    <cellStyle name="Normal 3 3 2 2 5 2 3 2" xfId="41323"/>
    <cellStyle name="Normal 3 3 2 2 5 2 4" xfId="41324"/>
    <cellStyle name="Normal 3 3 2 2 5 2 5" xfId="41325"/>
    <cellStyle name="Normal 3 3 2 2 5 3" xfId="41326"/>
    <cellStyle name="Normal 3 3 2 2 5 3 2" xfId="41327"/>
    <cellStyle name="Normal 3 3 2 2 5 3 2 2" xfId="41328"/>
    <cellStyle name="Normal 3 3 2 2 5 3 3" xfId="41329"/>
    <cellStyle name="Normal 3 3 2 2 5 3 4" xfId="41330"/>
    <cellStyle name="Normal 3 3 2 2 5 4" xfId="41331"/>
    <cellStyle name="Normal 3 3 2 2 5 4 2" xfId="41332"/>
    <cellStyle name="Normal 3 3 2 2 5 4 2 2" xfId="41333"/>
    <cellStyle name="Normal 3 3 2 2 5 4 3" xfId="41334"/>
    <cellStyle name="Normal 3 3 2 2 5 4 4" xfId="41335"/>
    <cellStyle name="Normal 3 3 2 2 5 5" xfId="41336"/>
    <cellStyle name="Normal 3 3 2 2 5 5 2" xfId="41337"/>
    <cellStyle name="Normal 3 3 2 2 5 6" xfId="41338"/>
    <cellStyle name="Normal 3 3 2 2 5 7" xfId="41339"/>
    <cellStyle name="Normal 3 3 2 2 5 8" xfId="41340"/>
    <cellStyle name="Normal 3 3 2 2 6" xfId="41341"/>
    <cellStyle name="Normal 3 3 2 2 7" xfId="41342"/>
    <cellStyle name="Normal 3 3 2 2 7 2" xfId="41343"/>
    <cellStyle name="Normal 3 3 2 3" xfId="41344"/>
    <cellStyle name="Normal 3 3 2 3 2" xfId="41345"/>
    <cellStyle name="Normal 3 3 2 3 2 2" xfId="41346"/>
    <cellStyle name="Normal 3 3 2 3 2 2 2" xfId="41347"/>
    <cellStyle name="Normal 3 3 2 3 2 2 2 2" xfId="41348"/>
    <cellStyle name="Normal 3 3 2 3 2 2 2 3" xfId="41349"/>
    <cellStyle name="Normal 3 3 2 3 2 2 3" xfId="41350"/>
    <cellStyle name="Normal 3 3 2 3 2 2 3 2" xfId="41351"/>
    <cellStyle name="Normal 3 3 2 3 2 2 4" xfId="41352"/>
    <cellStyle name="Normal 3 3 2 3 2 2 5" xfId="41353"/>
    <cellStyle name="Normal 3 3 2 3 2 3" xfId="41354"/>
    <cellStyle name="Normal 3 3 2 3 2 3 2" xfId="41355"/>
    <cellStyle name="Normal 3 3 2 3 2 3 2 2" xfId="41356"/>
    <cellStyle name="Normal 3 3 2 3 2 3 3" xfId="41357"/>
    <cellStyle name="Normal 3 3 2 3 2 3 4" xfId="41358"/>
    <cellStyle name="Normal 3 3 2 3 2 4" xfId="41359"/>
    <cellStyle name="Normal 3 3 2 3 2 4 2" xfId="41360"/>
    <cellStyle name="Normal 3 3 2 3 2 4 2 2" xfId="41361"/>
    <cellStyle name="Normal 3 3 2 3 2 4 3" xfId="41362"/>
    <cellStyle name="Normal 3 3 2 3 2 4 4" xfId="41363"/>
    <cellStyle name="Normal 3 3 2 3 2 5" xfId="41364"/>
    <cellStyle name="Normal 3 3 2 3 2 5 2" xfId="41365"/>
    <cellStyle name="Normal 3 3 2 3 2 6" xfId="41366"/>
    <cellStyle name="Normal 3 3 2 3 2 7" xfId="41367"/>
    <cellStyle name="Normal 3 3 2 3 2 8" xfId="41368"/>
    <cellStyle name="Normal 3 3 2 3 3" xfId="41369"/>
    <cellStyle name="Normal 3 3 2 3 3 2" xfId="41370"/>
    <cellStyle name="Normal 3 3 2 3 3 2 2" xfId="41371"/>
    <cellStyle name="Normal 3 3 2 3 3 2 2 2" xfId="41372"/>
    <cellStyle name="Normal 3 3 2 3 3 2 2 3" xfId="41373"/>
    <cellStyle name="Normal 3 3 2 3 3 2 3" xfId="41374"/>
    <cellStyle name="Normal 3 3 2 3 3 2 3 2" xfId="41375"/>
    <cellStyle name="Normal 3 3 2 3 3 2 4" xfId="41376"/>
    <cellStyle name="Normal 3 3 2 3 3 2 5" xfId="41377"/>
    <cellStyle name="Normal 3 3 2 3 3 3" xfId="41378"/>
    <cellStyle name="Normal 3 3 2 3 3 3 2" xfId="41379"/>
    <cellStyle name="Normal 3 3 2 3 3 3 2 2" xfId="41380"/>
    <cellStyle name="Normal 3 3 2 3 3 3 3" xfId="41381"/>
    <cellStyle name="Normal 3 3 2 3 3 3 4" xfId="41382"/>
    <cellStyle name="Normal 3 3 2 3 3 4" xfId="41383"/>
    <cellStyle name="Normal 3 3 2 3 3 4 2" xfId="41384"/>
    <cellStyle name="Normal 3 3 2 3 3 4 2 2" xfId="41385"/>
    <cellStyle name="Normal 3 3 2 3 3 4 3" xfId="41386"/>
    <cellStyle name="Normal 3 3 2 3 3 4 4" xfId="41387"/>
    <cellStyle name="Normal 3 3 2 3 3 5" xfId="41388"/>
    <cellStyle name="Normal 3 3 2 3 3 5 2" xfId="41389"/>
    <cellStyle name="Normal 3 3 2 3 3 6" xfId="41390"/>
    <cellStyle name="Normal 3 3 2 3 3 7" xfId="41391"/>
    <cellStyle name="Normal 3 3 2 3 3 8" xfId="41392"/>
    <cellStyle name="Normal 3 3 2 3 4" xfId="41393"/>
    <cellStyle name="Normal 3 3 2 3 4 2" xfId="41394"/>
    <cellStyle name="Normal 3 3 2 3 4 2 2" xfId="41395"/>
    <cellStyle name="Normal 3 3 2 3 4 2 2 2" xfId="41396"/>
    <cellStyle name="Normal 3 3 2 3 4 2 2 3" xfId="41397"/>
    <cellStyle name="Normal 3 3 2 3 4 2 3" xfId="41398"/>
    <cellStyle name="Normal 3 3 2 3 4 2 3 2" xfId="41399"/>
    <cellStyle name="Normal 3 3 2 3 4 2 4" xfId="41400"/>
    <cellStyle name="Normal 3 3 2 3 4 2 5" xfId="41401"/>
    <cellStyle name="Normal 3 3 2 3 4 3" xfId="41402"/>
    <cellStyle name="Normal 3 3 2 3 4 3 2" xfId="41403"/>
    <cellStyle name="Normal 3 3 2 3 4 3 2 2" xfId="41404"/>
    <cellStyle name="Normal 3 3 2 3 4 3 3" xfId="41405"/>
    <cellStyle name="Normal 3 3 2 3 4 3 4" xfId="41406"/>
    <cellStyle name="Normal 3 3 2 3 4 4" xfId="41407"/>
    <cellStyle name="Normal 3 3 2 3 4 4 2" xfId="41408"/>
    <cellStyle name="Normal 3 3 2 3 4 4 2 2" xfId="41409"/>
    <cellStyle name="Normal 3 3 2 3 4 4 3" xfId="41410"/>
    <cellStyle name="Normal 3 3 2 3 4 4 4" xfId="41411"/>
    <cellStyle name="Normal 3 3 2 3 4 5" xfId="41412"/>
    <cellStyle name="Normal 3 3 2 3 4 5 2" xfId="41413"/>
    <cellStyle name="Normal 3 3 2 3 4 6" xfId="41414"/>
    <cellStyle name="Normal 3 3 2 3 4 7" xfId="41415"/>
    <cellStyle name="Normal 3 3 2 3 4 8" xfId="41416"/>
    <cellStyle name="Normal 3 3 2 3 5" xfId="41417"/>
    <cellStyle name="Normal 3 3 2 3 6" xfId="41418"/>
    <cellStyle name="Normal 3 3 2 3 6 2" xfId="41419"/>
    <cellStyle name="Normal 3 3 2 4" xfId="41420"/>
    <cellStyle name="Normal 3 3 2 4 2" xfId="41421"/>
    <cellStyle name="Normal 3 3 2 4 2 2" xfId="41422"/>
    <cellStyle name="Normal 3 3 2 4 2 2 2" xfId="41423"/>
    <cellStyle name="Normal 3 3 2 4 2 2 3" xfId="41424"/>
    <cellStyle name="Normal 3 3 2 4 2 3" xfId="41425"/>
    <cellStyle name="Normal 3 3 2 4 2 3 2" xfId="41426"/>
    <cellStyle name="Normal 3 3 2 4 2 4" xfId="41427"/>
    <cellStyle name="Normal 3 3 2 4 2 5" xfId="41428"/>
    <cellStyle name="Normal 3 3 2 4 3" xfId="41429"/>
    <cellStyle name="Normal 3 3 2 4 3 2" xfId="41430"/>
    <cellStyle name="Normal 3 3 2 4 3 2 2" xfId="41431"/>
    <cellStyle name="Normal 3 3 2 4 3 3" xfId="41432"/>
    <cellStyle name="Normal 3 3 2 4 3 4" xfId="41433"/>
    <cellStyle name="Normal 3 3 2 4 4" xfId="41434"/>
    <cellStyle name="Normal 3 3 2 4 4 2" xfId="41435"/>
    <cellStyle name="Normal 3 3 2 4 4 2 2" xfId="41436"/>
    <cellStyle name="Normal 3 3 2 4 4 3" xfId="41437"/>
    <cellStyle name="Normal 3 3 2 4 4 4" xfId="41438"/>
    <cellStyle name="Normal 3 3 2 4 5" xfId="41439"/>
    <cellStyle name="Normal 3 3 2 4 5 2" xfId="41440"/>
    <cellStyle name="Normal 3 3 2 4 6" xfId="41441"/>
    <cellStyle name="Normal 3 3 2 4 7" xfId="41442"/>
    <cellStyle name="Normal 3 3 2 4 8" xfId="41443"/>
    <cellStyle name="Normal 3 3 2 5" xfId="41444"/>
    <cellStyle name="Normal 3 3 2 5 2" xfId="41445"/>
    <cellStyle name="Normal 3 3 2 5 2 2" xfId="41446"/>
    <cellStyle name="Normal 3 3 2 5 2 2 2" xfId="41447"/>
    <cellStyle name="Normal 3 3 2 5 2 2 3" xfId="41448"/>
    <cellStyle name="Normal 3 3 2 5 2 3" xfId="41449"/>
    <cellStyle name="Normal 3 3 2 5 2 3 2" xfId="41450"/>
    <cellStyle name="Normal 3 3 2 5 2 4" xfId="41451"/>
    <cellStyle name="Normal 3 3 2 5 2 5" xfId="41452"/>
    <cellStyle name="Normal 3 3 2 5 3" xfId="41453"/>
    <cellStyle name="Normal 3 3 2 5 3 2" xfId="41454"/>
    <cellStyle name="Normal 3 3 2 5 3 2 2" xfId="41455"/>
    <cellStyle name="Normal 3 3 2 5 3 3" xfId="41456"/>
    <cellStyle name="Normal 3 3 2 5 3 4" xfId="41457"/>
    <cellStyle name="Normal 3 3 2 5 4" xfId="41458"/>
    <cellStyle name="Normal 3 3 2 5 4 2" xfId="41459"/>
    <cellStyle name="Normal 3 3 2 5 4 2 2" xfId="41460"/>
    <cellStyle name="Normal 3 3 2 5 4 3" xfId="41461"/>
    <cellStyle name="Normal 3 3 2 5 4 4" xfId="41462"/>
    <cellStyle name="Normal 3 3 2 5 5" xfId="41463"/>
    <cellStyle name="Normal 3 3 2 5 5 2" xfId="41464"/>
    <cellStyle name="Normal 3 3 2 5 6" xfId="41465"/>
    <cellStyle name="Normal 3 3 2 5 7" xfId="41466"/>
    <cellStyle name="Normal 3 3 2 5 8" xfId="41467"/>
    <cellStyle name="Normal 3 3 2 6" xfId="41468"/>
    <cellStyle name="Normal 3 3 2 6 2" xfId="41469"/>
    <cellStyle name="Normal 3 3 2 6 2 2" xfId="41470"/>
    <cellStyle name="Normal 3 3 2 6 2 2 2" xfId="41471"/>
    <cellStyle name="Normal 3 3 2 6 2 2 3" xfId="41472"/>
    <cellStyle name="Normal 3 3 2 6 2 3" xfId="41473"/>
    <cellStyle name="Normal 3 3 2 6 2 3 2" xfId="41474"/>
    <cellStyle name="Normal 3 3 2 6 2 4" xfId="41475"/>
    <cellStyle name="Normal 3 3 2 6 2 5" xfId="41476"/>
    <cellStyle name="Normal 3 3 2 6 3" xfId="41477"/>
    <cellStyle name="Normal 3 3 2 6 3 2" xfId="41478"/>
    <cellStyle name="Normal 3 3 2 6 3 2 2" xfId="41479"/>
    <cellStyle name="Normal 3 3 2 6 3 3" xfId="41480"/>
    <cellStyle name="Normal 3 3 2 6 3 4" xfId="41481"/>
    <cellStyle name="Normal 3 3 2 6 4" xfId="41482"/>
    <cellStyle name="Normal 3 3 2 6 4 2" xfId="41483"/>
    <cellStyle name="Normal 3 3 2 6 4 2 2" xfId="41484"/>
    <cellStyle name="Normal 3 3 2 6 4 3" xfId="41485"/>
    <cellStyle name="Normal 3 3 2 6 4 4" xfId="41486"/>
    <cellStyle name="Normal 3 3 2 6 5" xfId="41487"/>
    <cellStyle name="Normal 3 3 2 6 5 2" xfId="41488"/>
    <cellStyle name="Normal 3 3 2 6 6" xfId="41489"/>
    <cellStyle name="Normal 3 3 2 6 7" xfId="41490"/>
    <cellStyle name="Normal 3 3 2 6 8" xfId="41491"/>
    <cellStyle name="Normal 3 3 2 7" xfId="41492"/>
    <cellStyle name="Normal 3 3 2 7 2" xfId="41493"/>
    <cellStyle name="Normal 3 3 2 7 2 2" xfId="41494"/>
    <cellStyle name="Normal 3 3 2 8" xfId="41495"/>
    <cellStyle name="Normal 3 3 2 8 2" xfId="41496"/>
    <cellStyle name="Normal 3 3 2 9" xfId="41497"/>
    <cellStyle name="Normal 3 3 2 9 2" xfId="41498"/>
    <cellStyle name="Normal 3 3 2_Dakota Panel" xfId="41499"/>
    <cellStyle name="Normal 3 3 3" xfId="41500"/>
    <cellStyle name="Normal 3 3 3 2" xfId="41501"/>
    <cellStyle name="Normal 3 3 3 2 2" xfId="41502"/>
    <cellStyle name="Normal 3 3 3 2 2 2" xfId="41503"/>
    <cellStyle name="Normal 3 3 3 2 2 2 2" xfId="41504"/>
    <cellStyle name="Normal 3 3 3 2 2 2 2 2" xfId="41505"/>
    <cellStyle name="Normal 3 3 3 2 2 2 2 3" xfId="41506"/>
    <cellStyle name="Normal 3 3 3 2 2 2 3" xfId="41507"/>
    <cellStyle name="Normal 3 3 3 2 2 2 3 2" xfId="41508"/>
    <cellStyle name="Normal 3 3 3 2 2 2 4" xfId="41509"/>
    <cellStyle name="Normal 3 3 3 2 2 2 5" xfId="41510"/>
    <cellStyle name="Normal 3 3 3 2 2 3" xfId="41511"/>
    <cellStyle name="Normal 3 3 3 2 2 3 2" xfId="41512"/>
    <cellStyle name="Normal 3 3 3 2 2 3 2 2" xfId="41513"/>
    <cellStyle name="Normal 3 3 3 2 2 3 3" xfId="41514"/>
    <cellStyle name="Normal 3 3 3 2 2 3 4" xfId="41515"/>
    <cellStyle name="Normal 3 3 3 2 2 4" xfId="41516"/>
    <cellStyle name="Normal 3 3 3 2 2 4 2" xfId="41517"/>
    <cellStyle name="Normal 3 3 3 2 2 4 2 2" xfId="41518"/>
    <cellStyle name="Normal 3 3 3 2 2 4 3" xfId="41519"/>
    <cellStyle name="Normal 3 3 3 2 2 4 4" xfId="41520"/>
    <cellStyle name="Normal 3 3 3 2 2 5" xfId="41521"/>
    <cellStyle name="Normal 3 3 3 2 2 5 2" xfId="41522"/>
    <cellStyle name="Normal 3 3 3 2 2 6" xfId="41523"/>
    <cellStyle name="Normal 3 3 3 2 2 7" xfId="41524"/>
    <cellStyle name="Normal 3 3 3 2 2 8" xfId="41525"/>
    <cellStyle name="Normal 3 3 3 2 3" xfId="41526"/>
    <cellStyle name="Normal 3 3 3 2 3 2" xfId="41527"/>
    <cellStyle name="Normal 3 3 3 2 3 2 2" xfId="41528"/>
    <cellStyle name="Normal 3 3 3 2 3 2 2 2" xfId="41529"/>
    <cellStyle name="Normal 3 3 3 2 3 2 2 3" xfId="41530"/>
    <cellStyle name="Normal 3 3 3 2 3 2 3" xfId="41531"/>
    <cellStyle name="Normal 3 3 3 2 3 2 3 2" xfId="41532"/>
    <cellStyle name="Normal 3 3 3 2 3 2 4" xfId="41533"/>
    <cellStyle name="Normal 3 3 3 2 3 2 5" xfId="41534"/>
    <cellStyle name="Normal 3 3 3 2 3 3" xfId="41535"/>
    <cellStyle name="Normal 3 3 3 2 3 3 2" xfId="41536"/>
    <cellStyle name="Normal 3 3 3 2 3 3 2 2" xfId="41537"/>
    <cellStyle name="Normal 3 3 3 2 3 3 3" xfId="41538"/>
    <cellStyle name="Normal 3 3 3 2 3 3 4" xfId="41539"/>
    <cellStyle name="Normal 3 3 3 2 3 4" xfId="41540"/>
    <cellStyle name="Normal 3 3 3 2 3 4 2" xfId="41541"/>
    <cellStyle name="Normal 3 3 3 2 3 4 2 2" xfId="41542"/>
    <cellStyle name="Normal 3 3 3 2 3 4 3" xfId="41543"/>
    <cellStyle name="Normal 3 3 3 2 3 4 4" xfId="41544"/>
    <cellStyle name="Normal 3 3 3 2 3 5" xfId="41545"/>
    <cellStyle name="Normal 3 3 3 2 3 5 2" xfId="41546"/>
    <cellStyle name="Normal 3 3 3 2 3 6" xfId="41547"/>
    <cellStyle name="Normal 3 3 3 2 3 7" xfId="41548"/>
    <cellStyle name="Normal 3 3 3 2 3 8" xfId="41549"/>
    <cellStyle name="Normal 3 3 3 2 4" xfId="41550"/>
    <cellStyle name="Normal 3 3 3 2 4 2" xfId="41551"/>
    <cellStyle name="Normal 3 3 3 2 4 2 2" xfId="41552"/>
    <cellStyle name="Normal 3 3 3 2 4 2 2 2" xfId="41553"/>
    <cellStyle name="Normal 3 3 3 2 4 2 2 3" xfId="41554"/>
    <cellStyle name="Normal 3 3 3 2 4 2 3" xfId="41555"/>
    <cellStyle name="Normal 3 3 3 2 4 2 3 2" xfId="41556"/>
    <cellStyle name="Normal 3 3 3 2 4 2 4" xfId="41557"/>
    <cellStyle name="Normal 3 3 3 2 4 2 5" xfId="41558"/>
    <cellStyle name="Normal 3 3 3 2 4 3" xfId="41559"/>
    <cellStyle name="Normal 3 3 3 2 4 3 2" xfId="41560"/>
    <cellStyle name="Normal 3 3 3 2 4 3 2 2" xfId="41561"/>
    <cellStyle name="Normal 3 3 3 2 4 3 3" xfId="41562"/>
    <cellStyle name="Normal 3 3 3 2 4 3 4" xfId="41563"/>
    <cellStyle name="Normal 3 3 3 2 4 4" xfId="41564"/>
    <cellStyle name="Normal 3 3 3 2 4 4 2" xfId="41565"/>
    <cellStyle name="Normal 3 3 3 2 4 4 2 2" xfId="41566"/>
    <cellStyle name="Normal 3 3 3 2 4 4 3" xfId="41567"/>
    <cellStyle name="Normal 3 3 3 2 4 4 4" xfId="41568"/>
    <cellStyle name="Normal 3 3 3 2 4 5" xfId="41569"/>
    <cellStyle name="Normal 3 3 3 2 4 5 2" xfId="41570"/>
    <cellStyle name="Normal 3 3 3 2 4 6" xfId="41571"/>
    <cellStyle name="Normal 3 3 3 2 4 7" xfId="41572"/>
    <cellStyle name="Normal 3 3 3 2 4 8" xfId="41573"/>
    <cellStyle name="Normal 3 3 3 2 5" xfId="41574"/>
    <cellStyle name="Normal 3 3 3 3" xfId="41575"/>
    <cellStyle name="Normal 3 3 3 3 2" xfId="41576"/>
    <cellStyle name="Normal 3 3 3 3 2 2" xfId="41577"/>
    <cellStyle name="Normal 3 3 3 3 2 2 2" xfId="41578"/>
    <cellStyle name="Normal 3 3 3 3 2 2 3" xfId="41579"/>
    <cellStyle name="Normal 3 3 3 3 2 3" xfId="41580"/>
    <cellStyle name="Normal 3 3 3 3 2 3 2" xfId="41581"/>
    <cellStyle name="Normal 3 3 3 3 2 4" xfId="41582"/>
    <cellStyle name="Normal 3 3 3 3 2 5" xfId="41583"/>
    <cellStyle name="Normal 3 3 3 3 3" xfId="41584"/>
    <cellStyle name="Normal 3 3 3 3 3 2" xfId="41585"/>
    <cellStyle name="Normal 3 3 3 3 3 2 2" xfId="41586"/>
    <cellStyle name="Normal 3 3 3 3 3 3" xfId="41587"/>
    <cellStyle name="Normal 3 3 3 3 3 4" xfId="41588"/>
    <cellStyle name="Normal 3 3 3 3 4" xfId="41589"/>
    <cellStyle name="Normal 3 3 3 3 4 2" xfId="41590"/>
    <cellStyle name="Normal 3 3 3 3 4 2 2" xfId="41591"/>
    <cellStyle name="Normal 3 3 3 3 4 3" xfId="41592"/>
    <cellStyle name="Normal 3 3 3 3 4 4" xfId="41593"/>
    <cellStyle name="Normal 3 3 3 3 5" xfId="41594"/>
    <cellStyle name="Normal 3 3 3 3 5 2" xfId="41595"/>
    <cellStyle name="Normal 3 3 3 3 6" xfId="41596"/>
    <cellStyle name="Normal 3 3 3 3 7" xfId="41597"/>
    <cellStyle name="Normal 3 3 3 3 8" xfId="41598"/>
    <cellStyle name="Normal 3 3 3 4" xfId="41599"/>
    <cellStyle name="Normal 3 3 3 4 2" xfId="41600"/>
    <cellStyle name="Normal 3 3 3 4 2 2" xfId="41601"/>
    <cellStyle name="Normal 3 3 3 4 2 2 2" xfId="41602"/>
    <cellStyle name="Normal 3 3 3 4 2 2 3" xfId="41603"/>
    <cellStyle name="Normal 3 3 3 4 2 3" xfId="41604"/>
    <cellStyle name="Normal 3 3 3 4 2 3 2" xfId="41605"/>
    <cellStyle name="Normal 3 3 3 4 2 4" xfId="41606"/>
    <cellStyle name="Normal 3 3 3 4 2 5" xfId="41607"/>
    <cellStyle name="Normal 3 3 3 4 3" xfId="41608"/>
    <cellStyle name="Normal 3 3 3 4 3 2" xfId="41609"/>
    <cellStyle name="Normal 3 3 3 4 3 2 2" xfId="41610"/>
    <cellStyle name="Normal 3 3 3 4 3 3" xfId="41611"/>
    <cellStyle name="Normal 3 3 3 4 3 4" xfId="41612"/>
    <cellStyle name="Normal 3 3 3 4 4" xfId="41613"/>
    <cellStyle name="Normal 3 3 3 4 4 2" xfId="41614"/>
    <cellStyle name="Normal 3 3 3 4 4 2 2" xfId="41615"/>
    <cellStyle name="Normal 3 3 3 4 4 3" xfId="41616"/>
    <cellStyle name="Normal 3 3 3 4 4 4" xfId="41617"/>
    <cellStyle name="Normal 3 3 3 4 5" xfId="41618"/>
    <cellStyle name="Normal 3 3 3 4 5 2" xfId="41619"/>
    <cellStyle name="Normal 3 3 3 4 6" xfId="41620"/>
    <cellStyle name="Normal 3 3 3 4 7" xfId="41621"/>
    <cellStyle name="Normal 3 3 3 4 8" xfId="41622"/>
    <cellStyle name="Normal 3 3 3 5" xfId="41623"/>
    <cellStyle name="Normal 3 3 3 5 2" xfId="41624"/>
    <cellStyle name="Normal 3 3 3 5 2 2" xfId="41625"/>
    <cellStyle name="Normal 3 3 3 5 2 2 2" xfId="41626"/>
    <cellStyle name="Normal 3 3 3 5 2 2 3" xfId="41627"/>
    <cellStyle name="Normal 3 3 3 5 2 3" xfId="41628"/>
    <cellStyle name="Normal 3 3 3 5 2 3 2" xfId="41629"/>
    <cellStyle name="Normal 3 3 3 5 2 4" xfId="41630"/>
    <cellStyle name="Normal 3 3 3 5 2 5" xfId="41631"/>
    <cellStyle name="Normal 3 3 3 5 3" xfId="41632"/>
    <cellStyle name="Normal 3 3 3 5 3 2" xfId="41633"/>
    <cellStyle name="Normal 3 3 3 5 3 2 2" xfId="41634"/>
    <cellStyle name="Normal 3 3 3 5 3 3" xfId="41635"/>
    <cellStyle name="Normal 3 3 3 5 3 4" xfId="41636"/>
    <cellStyle name="Normal 3 3 3 5 4" xfId="41637"/>
    <cellStyle name="Normal 3 3 3 5 4 2" xfId="41638"/>
    <cellStyle name="Normal 3 3 3 5 4 2 2" xfId="41639"/>
    <cellStyle name="Normal 3 3 3 5 4 3" xfId="41640"/>
    <cellStyle name="Normal 3 3 3 5 4 4" xfId="41641"/>
    <cellStyle name="Normal 3 3 3 5 5" xfId="41642"/>
    <cellStyle name="Normal 3 3 3 5 5 2" xfId="41643"/>
    <cellStyle name="Normal 3 3 3 5 6" xfId="41644"/>
    <cellStyle name="Normal 3 3 3 5 7" xfId="41645"/>
    <cellStyle name="Normal 3 3 3 5 8" xfId="41646"/>
    <cellStyle name="Normal 3 3 3 6" xfId="41647"/>
    <cellStyle name="Normal 3 3 3 7" xfId="41648"/>
    <cellStyle name="Normal 3 3 3 7 2" xfId="41649"/>
    <cellStyle name="Normal 3 3 4" xfId="41650"/>
    <cellStyle name="Normal 3 3 4 2" xfId="41651"/>
    <cellStyle name="Normal 3 3 4 2 2" xfId="41652"/>
    <cellStyle name="Normal 3 3 4 2 2 2" xfId="41653"/>
    <cellStyle name="Normal 3 3 4 2 2 2 2" xfId="41654"/>
    <cellStyle name="Normal 3 3 4 2 2 2 3" xfId="41655"/>
    <cellStyle name="Normal 3 3 4 2 2 3" xfId="41656"/>
    <cellStyle name="Normal 3 3 4 2 2 3 2" xfId="41657"/>
    <cellStyle name="Normal 3 3 4 2 2 4" xfId="41658"/>
    <cellStyle name="Normal 3 3 4 2 2 5" xfId="41659"/>
    <cellStyle name="Normal 3 3 4 2 3" xfId="41660"/>
    <cellStyle name="Normal 3 3 4 2 3 2" xfId="41661"/>
    <cellStyle name="Normal 3 3 4 2 3 2 2" xfId="41662"/>
    <cellStyle name="Normal 3 3 4 2 3 3" xfId="41663"/>
    <cellStyle name="Normal 3 3 4 2 3 4" xfId="41664"/>
    <cellStyle name="Normal 3 3 4 2 4" xfId="41665"/>
    <cellStyle name="Normal 3 3 4 2 4 2" xfId="41666"/>
    <cellStyle name="Normal 3 3 4 2 4 2 2" xfId="41667"/>
    <cellStyle name="Normal 3 3 4 2 4 3" xfId="41668"/>
    <cellStyle name="Normal 3 3 4 2 4 4" xfId="41669"/>
    <cellStyle name="Normal 3 3 4 2 5" xfId="41670"/>
    <cellStyle name="Normal 3 3 4 2 5 2" xfId="41671"/>
    <cellStyle name="Normal 3 3 4 2 6" xfId="41672"/>
    <cellStyle name="Normal 3 3 4 2 7" xfId="41673"/>
    <cellStyle name="Normal 3 3 4 2 8" xfId="41674"/>
    <cellStyle name="Normal 3 3 4 3" xfId="41675"/>
    <cellStyle name="Normal 3 3 4 3 2" xfId="41676"/>
    <cellStyle name="Normal 3 3 4 3 2 2" xfId="41677"/>
    <cellStyle name="Normal 3 3 4 3 2 2 2" xfId="41678"/>
    <cellStyle name="Normal 3 3 4 3 2 2 3" xfId="41679"/>
    <cellStyle name="Normal 3 3 4 3 2 3" xfId="41680"/>
    <cellStyle name="Normal 3 3 4 3 2 3 2" xfId="41681"/>
    <cellStyle name="Normal 3 3 4 3 2 4" xfId="41682"/>
    <cellStyle name="Normal 3 3 4 3 2 5" xfId="41683"/>
    <cellStyle name="Normal 3 3 4 3 3" xfId="41684"/>
    <cellStyle name="Normal 3 3 4 3 3 2" xfId="41685"/>
    <cellStyle name="Normal 3 3 4 3 3 2 2" xfId="41686"/>
    <cellStyle name="Normal 3 3 4 3 3 3" xfId="41687"/>
    <cellStyle name="Normal 3 3 4 3 3 4" xfId="41688"/>
    <cellStyle name="Normal 3 3 4 3 4" xfId="41689"/>
    <cellStyle name="Normal 3 3 4 3 4 2" xfId="41690"/>
    <cellStyle name="Normal 3 3 4 3 4 2 2" xfId="41691"/>
    <cellStyle name="Normal 3 3 4 3 4 3" xfId="41692"/>
    <cellStyle name="Normal 3 3 4 3 4 4" xfId="41693"/>
    <cellStyle name="Normal 3 3 4 3 5" xfId="41694"/>
    <cellStyle name="Normal 3 3 4 3 5 2" xfId="41695"/>
    <cellStyle name="Normal 3 3 4 3 6" xfId="41696"/>
    <cellStyle name="Normal 3 3 4 3 7" xfId="41697"/>
    <cellStyle name="Normal 3 3 4 3 8" xfId="41698"/>
    <cellStyle name="Normal 3 3 4 4" xfId="41699"/>
    <cellStyle name="Normal 3 3 4 4 2" xfId="41700"/>
    <cellStyle name="Normal 3 3 4 4 2 2" xfId="41701"/>
    <cellStyle name="Normal 3 3 4 4 2 2 2" xfId="41702"/>
    <cellStyle name="Normal 3 3 4 4 2 2 3" xfId="41703"/>
    <cellStyle name="Normal 3 3 4 4 2 3" xfId="41704"/>
    <cellStyle name="Normal 3 3 4 4 2 3 2" xfId="41705"/>
    <cellStyle name="Normal 3 3 4 4 2 4" xfId="41706"/>
    <cellStyle name="Normal 3 3 4 4 2 5" xfId="41707"/>
    <cellStyle name="Normal 3 3 4 4 3" xfId="41708"/>
    <cellStyle name="Normal 3 3 4 4 3 2" xfId="41709"/>
    <cellStyle name="Normal 3 3 4 4 3 2 2" xfId="41710"/>
    <cellStyle name="Normal 3 3 4 4 3 3" xfId="41711"/>
    <cellStyle name="Normal 3 3 4 4 3 4" xfId="41712"/>
    <cellStyle name="Normal 3 3 4 4 4" xfId="41713"/>
    <cellStyle name="Normal 3 3 4 4 4 2" xfId="41714"/>
    <cellStyle name="Normal 3 3 4 4 4 2 2" xfId="41715"/>
    <cellStyle name="Normal 3 3 4 4 4 3" xfId="41716"/>
    <cellStyle name="Normal 3 3 4 4 4 4" xfId="41717"/>
    <cellStyle name="Normal 3 3 4 4 5" xfId="41718"/>
    <cellStyle name="Normal 3 3 4 4 5 2" xfId="41719"/>
    <cellStyle name="Normal 3 3 4 4 6" xfId="41720"/>
    <cellStyle name="Normal 3 3 4 4 7" xfId="41721"/>
    <cellStyle name="Normal 3 3 4 4 8" xfId="41722"/>
    <cellStyle name="Normal 3 3 4 5" xfId="41723"/>
    <cellStyle name="Normal 3 3 4 6" xfId="41724"/>
    <cellStyle name="Normal 3 3 4 6 2" xfId="41725"/>
    <cellStyle name="Normal 3 3 5" xfId="41726"/>
    <cellStyle name="Normal 3 3 5 2" xfId="41727"/>
    <cellStyle name="Normal 3 3 5 3" xfId="41728"/>
    <cellStyle name="Normal 3 3 5 3 2" xfId="41729"/>
    <cellStyle name="Normal 3 3 6" xfId="41730"/>
    <cellStyle name="Normal 3 3 6 2" xfId="41731"/>
    <cellStyle name="Normal 3 3 6 2 2" xfId="41732"/>
    <cellStyle name="Normal 3 3 6 2 2 2" xfId="41733"/>
    <cellStyle name="Normal 3 3 6 2 2 3" xfId="41734"/>
    <cellStyle name="Normal 3 3 6 2 3" xfId="41735"/>
    <cellStyle name="Normal 3 3 6 2 3 2" xfId="41736"/>
    <cellStyle name="Normal 3 3 6 2 4" xfId="41737"/>
    <cellStyle name="Normal 3 3 6 2 5" xfId="41738"/>
    <cellStyle name="Normal 3 3 6 3" xfId="41739"/>
    <cellStyle name="Normal 3 3 6 3 2" xfId="41740"/>
    <cellStyle name="Normal 3 3 6 3 2 2" xfId="41741"/>
    <cellStyle name="Normal 3 3 6 3 3" xfId="41742"/>
    <cellStyle name="Normal 3 3 6 3 4" xfId="41743"/>
    <cellStyle name="Normal 3 3 6 4" xfId="41744"/>
    <cellStyle name="Normal 3 3 6 4 2" xfId="41745"/>
    <cellStyle name="Normal 3 3 6 4 2 2" xfId="41746"/>
    <cellStyle name="Normal 3 3 6 4 3" xfId="41747"/>
    <cellStyle name="Normal 3 3 6 4 4" xfId="41748"/>
    <cellStyle name="Normal 3 3 6 5" xfId="41749"/>
    <cellStyle name="Normal 3 3 6 5 2" xfId="41750"/>
    <cellStyle name="Normal 3 3 6 6" xfId="41751"/>
    <cellStyle name="Normal 3 3 6 7" xfId="41752"/>
    <cellStyle name="Normal 3 3 6 8" xfId="41753"/>
    <cellStyle name="Normal 3 3 7" xfId="41754"/>
    <cellStyle name="Normal 3 3 7 2" xfId="41755"/>
    <cellStyle name="Normal 3 3 7 2 2" xfId="41756"/>
    <cellStyle name="Normal 3 3 7 2 2 2" xfId="41757"/>
    <cellStyle name="Normal 3 3 7 2 2 3" xfId="41758"/>
    <cellStyle name="Normal 3 3 7 2 3" xfId="41759"/>
    <cellStyle name="Normal 3 3 7 2 3 2" xfId="41760"/>
    <cellStyle name="Normal 3 3 7 2 4" xfId="41761"/>
    <cellStyle name="Normal 3 3 7 2 5" xfId="41762"/>
    <cellStyle name="Normal 3 3 7 3" xfId="41763"/>
    <cellStyle name="Normal 3 3 7 3 2" xfId="41764"/>
    <cellStyle name="Normal 3 3 7 3 2 2" xfId="41765"/>
    <cellStyle name="Normal 3 3 7 3 3" xfId="41766"/>
    <cellStyle name="Normal 3 3 7 3 4" xfId="41767"/>
    <cellStyle name="Normal 3 3 7 4" xfId="41768"/>
    <cellStyle name="Normal 3 3 7 4 2" xfId="41769"/>
    <cellStyle name="Normal 3 3 7 4 2 2" xfId="41770"/>
    <cellStyle name="Normal 3 3 7 4 3" xfId="41771"/>
    <cellStyle name="Normal 3 3 7 4 4" xfId="41772"/>
    <cellStyle name="Normal 3 3 7 5" xfId="41773"/>
    <cellStyle name="Normal 3 3 7 5 2" xfId="41774"/>
    <cellStyle name="Normal 3 3 7 6" xfId="41775"/>
    <cellStyle name="Normal 3 3 7 7" xfId="41776"/>
    <cellStyle name="Normal 3 3 7 8" xfId="41777"/>
    <cellStyle name="Normal 3 3 8" xfId="41778"/>
    <cellStyle name="Normal 3 3 8 2" xfId="41779"/>
    <cellStyle name="Normal 3 3 8 2 2" xfId="41780"/>
    <cellStyle name="Normal 3 3 8 2 2 2" xfId="41781"/>
    <cellStyle name="Normal 3 3 8 2 2 3" xfId="41782"/>
    <cellStyle name="Normal 3 3 8 2 3" xfId="41783"/>
    <cellStyle name="Normal 3 3 8 2 3 2" xfId="41784"/>
    <cellStyle name="Normal 3 3 8 2 4" xfId="41785"/>
    <cellStyle name="Normal 3 3 8 2 5" xfId="41786"/>
    <cellStyle name="Normal 3 3 8 3" xfId="41787"/>
    <cellStyle name="Normal 3 3 8 3 2" xfId="41788"/>
    <cellStyle name="Normal 3 3 8 3 2 2" xfId="41789"/>
    <cellStyle name="Normal 3 3 8 3 3" xfId="41790"/>
    <cellStyle name="Normal 3 3 8 3 4" xfId="41791"/>
    <cellStyle name="Normal 3 3 8 4" xfId="41792"/>
    <cellStyle name="Normal 3 3 8 4 2" xfId="41793"/>
    <cellStyle name="Normal 3 3 8 4 2 2" xfId="41794"/>
    <cellStyle name="Normal 3 3 8 4 3" xfId="41795"/>
    <cellStyle name="Normal 3 3 8 4 4" xfId="41796"/>
    <cellStyle name="Normal 3 3 8 5" xfId="41797"/>
    <cellStyle name="Normal 3 3 8 5 2" xfId="41798"/>
    <cellStyle name="Normal 3 3 8 6" xfId="41799"/>
    <cellStyle name="Normal 3 3 8 7" xfId="41800"/>
    <cellStyle name="Normal 3 3 8 8" xfId="41801"/>
    <cellStyle name="Normal 3 3 9" xfId="41802"/>
    <cellStyle name="Normal 3 3 9 2" xfId="41803"/>
    <cellStyle name="Normal 3 3 9 2 2" xfId="41804"/>
    <cellStyle name="Normal 3 3_Dakota Panel" xfId="41805"/>
    <cellStyle name="Normal 3 4" xfId="4318"/>
    <cellStyle name="Normal 3 4 2" xfId="4319"/>
    <cellStyle name="Normal 3 4 2 2" xfId="4320"/>
    <cellStyle name="Normal 3 4 2 2 2" xfId="41806"/>
    <cellStyle name="Normal 3 4 2 2 2 2" xfId="41807"/>
    <cellStyle name="Normal 3 4 2 2 2 2 2" xfId="41808"/>
    <cellStyle name="Normal 3 4 2 2 2 2 2 2" xfId="41809"/>
    <cellStyle name="Normal 3 4 2 2 2 2 2 3" xfId="41810"/>
    <cellStyle name="Normal 3 4 2 2 2 2 3" xfId="41811"/>
    <cellStyle name="Normal 3 4 2 2 2 2 3 2" xfId="41812"/>
    <cellStyle name="Normal 3 4 2 2 2 2 4" xfId="41813"/>
    <cellStyle name="Normal 3 4 2 2 2 2 5" xfId="41814"/>
    <cellStyle name="Normal 3 4 2 2 2 3" xfId="41815"/>
    <cellStyle name="Normal 3 4 2 2 2 3 2" xfId="41816"/>
    <cellStyle name="Normal 3 4 2 2 2 3 2 2" xfId="41817"/>
    <cellStyle name="Normal 3 4 2 2 2 3 3" xfId="41818"/>
    <cellStyle name="Normal 3 4 2 2 2 3 4" xfId="41819"/>
    <cellStyle name="Normal 3 4 2 2 2 4" xfId="41820"/>
    <cellStyle name="Normal 3 4 2 2 2 4 2" xfId="41821"/>
    <cellStyle name="Normal 3 4 2 2 2 4 2 2" xfId="41822"/>
    <cellStyle name="Normal 3 4 2 2 2 4 3" xfId="41823"/>
    <cellStyle name="Normal 3 4 2 2 2 4 4" xfId="41824"/>
    <cellStyle name="Normal 3 4 2 2 2 5" xfId="41825"/>
    <cellStyle name="Normal 3 4 2 2 2 5 2" xfId="41826"/>
    <cellStyle name="Normal 3 4 2 2 2 6" xfId="41827"/>
    <cellStyle name="Normal 3 4 2 2 2 7" xfId="41828"/>
    <cellStyle name="Normal 3 4 2 2 2 8" xfId="41829"/>
    <cellStyle name="Normal 3 4 2 2 3" xfId="41830"/>
    <cellStyle name="Normal 3 4 2 2 3 2" xfId="41831"/>
    <cellStyle name="Normal 3 4 2 2 3 2 2" xfId="41832"/>
    <cellStyle name="Normal 3 4 2 2 3 2 2 2" xfId="41833"/>
    <cellStyle name="Normal 3 4 2 2 3 2 2 3" xfId="41834"/>
    <cellStyle name="Normal 3 4 2 2 3 2 3" xfId="41835"/>
    <cellStyle name="Normal 3 4 2 2 3 2 3 2" xfId="41836"/>
    <cellStyle name="Normal 3 4 2 2 3 2 4" xfId="41837"/>
    <cellStyle name="Normal 3 4 2 2 3 2 5" xfId="41838"/>
    <cellStyle name="Normal 3 4 2 2 3 3" xfId="41839"/>
    <cellStyle name="Normal 3 4 2 2 3 3 2" xfId="41840"/>
    <cellStyle name="Normal 3 4 2 2 3 3 2 2" xfId="41841"/>
    <cellStyle name="Normal 3 4 2 2 3 3 3" xfId="41842"/>
    <cellStyle name="Normal 3 4 2 2 3 3 4" xfId="41843"/>
    <cellStyle name="Normal 3 4 2 2 3 4" xfId="41844"/>
    <cellStyle name="Normal 3 4 2 2 3 4 2" xfId="41845"/>
    <cellStyle name="Normal 3 4 2 2 3 4 2 2" xfId="41846"/>
    <cellStyle name="Normal 3 4 2 2 3 4 3" xfId="41847"/>
    <cellStyle name="Normal 3 4 2 2 3 4 4" xfId="41848"/>
    <cellStyle name="Normal 3 4 2 2 3 5" xfId="41849"/>
    <cellStyle name="Normal 3 4 2 2 3 5 2" xfId="41850"/>
    <cellStyle name="Normal 3 4 2 2 3 6" xfId="41851"/>
    <cellStyle name="Normal 3 4 2 2 3 7" xfId="41852"/>
    <cellStyle name="Normal 3 4 2 2 3 8" xfId="41853"/>
    <cellStyle name="Normal 3 4 2 2 4" xfId="41854"/>
    <cellStyle name="Normal 3 4 2 2 4 2" xfId="41855"/>
    <cellStyle name="Normal 3 4 2 2 4 2 2" xfId="41856"/>
    <cellStyle name="Normal 3 4 2 2 4 2 2 2" xfId="41857"/>
    <cellStyle name="Normal 3 4 2 2 4 2 2 3" xfId="41858"/>
    <cellStyle name="Normal 3 4 2 2 4 2 3" xfId="41859"/>
    <cellStyle name="Normal 3 4 2 2 4 2 3 2" xfId="41860"/>
    <cellStyle name="Normal 3 4 2 2 4 2 4" xfId="41861"/>
    <cellStyle name="Normal 3 4 2 2 4 2 5" xfId="41862"/>
    <cellStyle name="Normal 3 4 2 2 4 3" xfId="41863"/>
    <cellStyle name="Normal 3 4 2 2 4 3 2" xfId="41864"/>
    <cellStyle name="Normal 3 4 2 2 4 3 2 2" xfId="41865"/>
    <cellStyle name="Normal 3 4 2 2 4 3 3" xfId="41866"/>
    <cellStyle name="Normal 3 4 2 2 4 3 4" xfId="41867"/>
    <cellStyle name="Normal 3 4 2 2 4 4" xfId="41868"/>
    <cellStyle name="Normal 3 4 2 2 4 4 2" xfId="41869"/>
    <cellStyle name="Normal 3 4 2 2 4 4 2 2" xfId="41870"/>
    <cellStyle name="Normal 3 4 2 2 4 4 3" xfId="41871"/>
    <cellStyle name="Normal 3 4 2 2 4 4 4" xfId="41872"/>
    <cellStyle name="Normal 3 4 2 2 4 5" xfId="41873"/>
    <cellStyle name="Normal 3 4 2 2 4 5 2" xfId="41874"/>
    <cellStyle name="Normal 3 4 2 2 4 6" xfId="41875"/>
    <cellStyle name="Normal 3 4 2 2 4 7" xfId="41876"/>
    <cellStyle name="Normal 3 4 2 2 4 8" xfId="41877"/>
    <cellStyle name="Normal 3 4 2 2 5" xfId="41878"/>
    <cellStyle name="Normal 3 4 2 3" xfId="41879"/>
    <cellStyle name="Normal 3 4 2 3 2" xfId="41880"/>
    <cellStyle name="Normal 3 4 2 3 2 2" xfId="41881"/>
    <cellStyle name="Normal 3 4 2 3 2 2 2" xfId="41882"/>
    <cellStyle name="Normal 3 4 2 3 2 2 3" xfId="41883"/>
    <cellStyle name="Normal 3 4 2 3 2 3" xfId="41884"/>
    <cellStyle name="Normal 3 4 2 3 2 3 2" xfId="41885"/>
    <cellStyle name="Normal 3 4 2 3 2 4" xfId="41886"/>
    <cellStyle name="Normal 3 4 2 3 2 5" xfId="41887"/>
    <cellStyle name="Normal 3 4 2 3 3" xfId="41888"/>
    <cellStyle name="Normal 3 4 2 3 3 2" xfId="41889"/>
    <cellStyle name="Normal 3 4 2 3 3 2 2" xfId="41890"/>
    <cellStyle name="Normal 3 4 2 3 3 3" xfId="41891"/>
    <cellStyle name="Normal 3 4 2 3 3 4" xfId="41892"/>
    <cellStyle name="Normal 3 4 2 3 4" xfId="41893"/>
    <cellStyle name="Normal 3 4 2 3 4 2" xfId="41894"/>
    <cellStyle name="Normal 3 4 2 3 4 2 2" xfId="41895"/>
    <cellStyle name="Normal 3 4 2 3 4 3" xfId="41896"/>
    <cellStyle name="Normal 3 4 2 3 4 4" xfId="41897"/>
    <cellStyle name="Normal 3 4 2 3 5" xfId="41898"/>
    <cellStyle name="Normal 3 4 2 3 5 2" xfId="41899"/>
    <cellStyle name="Normal 3 4 2 3 6" xfId="41900"/>
    <cellStyle name="Normal 3 4 2 3 7" xfId="41901"/>
    <cellStyle name="Normal 3 4 2 3 8" xfId="41902"/>
    <cellStyle name="Normal 3 4 2 4" xfId="41903"/>
    <cellStyle name="Normal 3 4 2 4 2" xfId="41904"/>
    <cellStyle name="Normal 3 4 2 4 2 2" xfId="41905"/>
    <cellStyle name="Normal 3 4 2 4 2 2 2" xfId="41906"/>
    <cellStyle name="Normal 3 4 2 4 2 2 3" xfId="41907"/>
    <cellStyle name="Normal 3 4 2 4 2 3" xfId="41908"/>
    <cellStyle name="Normal 3 4 2 4 2 3 2" xfId="41909"/>
    <cellStyle name="Normal 3 4 2 4 2 4" xfId="41910"/>
    <cellStyle name="Normal 3 4 2 4 2 5" xfId="41911"/>
    <cellStyle name="Normal 3 4 2 4 3" xfId="41912"/>
    <cellStyle name="Normal 3 4 2 4 3 2" xfId="41913"/>
    <cellStyle name="Normal 3 4 2 4 3 2 2" xfId="41914"/>
    <cellStyle name="Normal 3 4 2 4 3 3" xfId="41915"/>
    <cellStyle name="Normal 3 4 2 4 3 4" xfId="41916"/>
    <cellStyle name="Normal 3 4 2 4 4" xfId="41917"/>
    <cellStyle name="Normal 3 4 2 4 4 2" xfId="41918"/>
    <cellStyle name="Normal 3 4 2 4 4 2 2" xfId="41919"/>
    <cellStyle name="Normal 3 4 2 4 4 3" xfId="41920"/>
    <cellStyle name="Normal 3 4 2 4 4 4" xfId="41921"/>
    <cellStyle name="Normal 3 4 2 4 5" xfId="41922"/>
    <cellStyle name="Normal 3 4 2 4 5 2" xfId="41923"/>
    <cellStyle name="Normal 3 4 2 4 6" xfId="41924"/>
    <cellStyle name="Normal 3 4 2 4 7" xfId="41925"/>
    <cellStyle name="Normal 3 4 2 4 8" xfId="41926"/>
    <cellStyle name="Normal 3 4 2 5" xfId="41927"/>
    <cellStyle name="Normal 3 4 2 5 2" xfId="41928"/>
    <cellStyle name="Normal 3 4 2 5 2 2" xfId="41929"/>
    <cellStyle name="Normal 3 4 2 5 2 2 2" xfId="41930"/>
    <cellStyle name="Normal 3 4 2 5 2 2 3" xfId="41931"/>
    <cellStyle name="Normal 3 4 2 5 2 3" xfId="41932"/>
    <cellStyle name="Normal 3 4 2 5 2 3 2" xfId="41933"/>
    <cellStyle name="Normal 3 4 2 5 2 4" xfId="41934"/>
    <cellStyle name="Normal 3 4 2 5 2 5" xfId="41935"/>
    <cellStyle name="Normal 3 4 2 5 3" xfId="41936"/>
    <cellStyle name="Normal 3 4 2 5 3 2" xfId="41937"/>
    <cellStyle name="Normal 3 4 2 5 3 2 2" xfId="41938"/>
    <cellStyle name="Normal 3 4 2 5 3 3" xfId="41939"/>
    <cellStyle name="Normal 3 4 2 5 3 4" xfId="41940"/>
    <cellStyle name="Normal 3 4 2 5 4" xfId="41941"/>
    <cellStyle name="Normal 3 4 2 5 4 2" xfId="41942"/>
    <cellStyle name="Normal 3 4 2 5 4 2 2" xfId="41943"/>
    <cellStyle name="Normal 3 4 2 5 4 3" xfId="41944"/>
    <cellStyle name="Normal 3 4 2 5 4 4" xfId="41945"/>
    <cellStyle name="Normal 3 4 2 5 5" xfId="41946"/>
    <cellStyle name="Normal 3 4 2 5 5 2" xfId="41947"/>
    <cellStyle name="Normal 3 4 2 5 6" xfId="41948"/>
    <cellStyle name="Normal 3 4 2 5 7" xfId="41949"/>
    <cellStyle name="Normal 3 4 2 5 8" xfId="41950"/>
    <cellStyle name="Normal 3 4 2 6" xfId="41951"/>
    <cellStyle name="Normal 3 4 2 7" xfId="41952"/>
    <cellStyle name="Normal 3 4 2 7 2" xfId="41953"/>
    <cellStyle name="Normal 3 4 3" xfId="4321"/>
    <cellStyle name="Normal 3 4 3 2" xfId="4322"/>
    <cellStyle name="Normal 3 4 3 2 2" xfId="41954"/>
    <cellStyle name="Normal 3 4 3 2 2 2" xfId="41955"/>
    <cellStyle name="Normal 3 4 3 2 2 2 2" xfId="41956"/>
    <cellStyle name="Normal 3 4 3 2 2 2 3" xfId="41957"/>
    <cellStyle name="Normal 3 4 3 2 2 3" xfId="41958"/>
    <cellStyle name="Normal 3 4 3 2 2 3 2" xfId="41959"/>
    <cellStyle name="Normal 3 4 3 2 2 4" xfId="41960"/>
    <cellStyle name="Normal 3 4 3 2 2 5" xfId="41961"/>
    <cellStyle name="Normal 3 4 3 2 3" xfId="41962"/>
    <cellStyle name="Normal 3 4 3 2 3 2" xfId="41963"/>
    <cellStyle name="Normal 3 4 3 2 3 2 2" xfId="41964"/>
    <cellStyle name="Normal 3 4 3 2 3 3" xfId="41965"/>
    <cellStyle name="Normal 3 4 3 2 3 4" xfId="41966"/>
    <cellStyle name="Normal 3 4 3 2 4" xfId="41967"/>
    <cellStyle name="Normal 3 4 3 2 4 2" xfId="41968"/>
    <cellStyle name="Normal 3 4 3 2 4 2 2" xfId="41969"/>
    <cellStyle name="Normal 3 4 3 2 4 3" xfId="41970"/>
    <cellStyle name="Normal 3 4 3 2 4 4" xfId="41971"/>
    <cellStyle name="Normal 3 4 3 2 5" xfId="41972"/>
    <cellStyle name="Normal 3 4 3 2 5 2" xfId="41973"/>
    <cellStyle name="Normal 3 4 3 2 6" xfId="41974"/>
    <cellStyle name="Normal 3 4 3 2 7" xfId="41975"/>
    <cellStyle name="Normal 3 4 3 2 8" xfId="41976"/>
    <cellStyle name="Normal 3 4 3 3" xfId="41977"/>
    <cellStyle name="Normal 3 4 3 3 2" xfId="41978"/>
    <cellStyle name="Normal 3 4 3 3 2 2" xfId="41979"/>
    <cellStyle name="Normal 3 4 3 3 2 2 2" xfId="41980"/>
    <cellStyle name="Normal 3 4 3 3 2 2 3" xfId="41981"/>
    <cellStyle name="Normal 3 4 3 3 2 3" xfId="41982"/>
    <cellStyle name="Normal 3 4 3 3 2 3 2" xfId="41983"/>
    <cellStyle name="Normal 3 4 3 3 2 4" xfId="41984"/>
    <cellStyle name="Normal 3 4 3 3 2 5" xfId="41985"/>
    <cellStyle name="Normal 3 4 3 3 3" xfId="41986"/>
    <cellStyle name="Normal 3 4 3 3 3 2" xfId="41987"/>
    <cellStyle name="Normal 3 4 3 3 3 2 2" xfId="41988"/>
    <cellStyle name="Normal 3 4 3 3 3 3" xfId="41989"/>
    <cellStyle name="Normal 3 4 3 3 3 4" xfId="41990"/>
    <cellStyle name="Normal 3 4 3 3 4" xfId="41991"/>
    <cellStyle name="Normal 3 4 3 3 4 2" xfId="41992"/>
    <cellStyle name="Normal 3 4 3 3 4 2 2" xfId="41993"/>
    <cellStyle name="Normal 3 4 3 3 4 3" xfId="41994"/>
    <cellStyle name="Normal 3 4 3 3 4 4" xfId="41995"/>
    <cellStyle name="Normal 3 4 3 3 5" xfId="41996"/>
    <cellStyle name="Normal 3 4 3 3 5 2" xfId="41997"/>
    <cellStyle name="Normal 3 4 3 3 6" xfId="41998"/>
    <cellStyle name="Normal 3 4 3 3 7" xfId="41999"/>
    <cellStyle name="Normal 3 4 3 3 8" xfId="42000"/>
    <cellStyle name="Normal 3 4 3 4" xfId="42001"/>
    <cellStyle name="Normal 3 4 3 4 2" xfId="42002"/>
    <cellStyle name="Normal 3 4 3 4 2 2" xfId="42003"/>
    <cellStyle name="Normal 3 4 3 4 2 2 2" xfId="42004"/>
    <cellStyle name="Normal 3 4 3 4 2 2 3" xfId="42005"/>
    <cellStyle name="Normal 3 4 3 4 2 3" xfId="42006"/>
    <cellStyle name="Normal 3 4 3 4 2 3 2" xfId="42007"/>
    <cellStyle name="Normal 3 4 3 4 2 4" xfId="42008"/>
    <cellStyle name="Normal 3 4 3 4 2 5" xfId="42009"/>
    <cellStyle name="Normal 3 4 3 4 3" xfId="42010"/>
    <cellStyle name="Normal 3 4 3 4 3 2" xfId="42011"/>
    <cellStyle name="Normal 3 4 3 4 3 2 2" xfId="42012"/>
    <cellStyle name="Normal 3 4 3 4 3 3" xfId="42013"/>
    <cellStyle name="Normal 3 4 3 4 3 4" xfId="42014"/>
    <cellStyle name="Normal 3 4 3 4 4" xfId="42015"/>
    <cellStyle name="Normal 3 4 3 4 4 2" xfId="42016"/>
    <cellStyle name="Normal 3 4 3 4 4 2 2" xfId="42017"/>
    <cellStyle name="Normal 3 4 3 4 4 3" xfId="42018"/>
    <cellStyle name="Normal 3 4 3 4 4 4" xfId="42019"/>
    <cellStyle name="Normal 3 4 3 4 5" xfId="42020"/>
    <cellStyle name="Normal 3 4 3 4 5 2" xfId="42021"/>
    <cellStyle name="Normal 3 4 3 4 6" xfId="42022"/>
    <cellStyle name="Normal 3 4 3 4 7" xfId="42023"/>
    <cellStyle name="Normal 3 4 3 4 8" xfId="42024"/>
    <cellStyle name="Normal 3 4 3 5" xfId="42025"/>
    <cellStyle name="Normal 3 4 3 6" xfId="42026"/>
    <cellStyle name="Normal 3 4 3 6 2" xfId="42027"/>
    <cellStyle name="Normal 3 4 4" xfId="4323"/>
    <cellStyle name="Normal 3 4 4 2" xfId="42028"/>
    <cellStyle name="Normal 3 4 4 3" xfId="42029"/>
    <cellStyle name="Normal 3 4 4 3 2" xfId="42030"/>
    <cellStyle name="Normal 3 4 5" xfId="42031"/>
    <cellStyle name="Normal 3 4 5 2" xfId="42032"/>
    <cellStyle name="Normal 3 4 5 2 2" xfId="42033"/>
    <cellStyle name="Normal 3 4 5 2 2 2" xfId="42034"/>
    <cellStyle name="Normal 3 4 5 2 2 3" xfId="42035"/>
    <cellStyle name="Normal 3 4 5 2 3" xfId="42036"/>
    <cellStyle name="Normal 3 4 5 2 3 2" xfId="42037"/>
    <cellStyle name="Normal 3 4 5 2 4" xfId="42038"/>
    <cellStyle name="Normal 3 4 5 2 5" xfId="42039"/>
    <cellStyle name="Normal 3 4 5 3" xfId="42040"/>
    <cellStyle name="Normal 3 4 5 3 2" xfId="42041"/>
    <cellStyle name="Normal 3 4 5 3 2 2" xfId="42042"/>
    <cellStyle name="Normal 3 4 5 3 3" xfId="42043"/>
    <cellStyle name="Normal 3 4 5 3 4" xfId="42044"/>
    <cellStyle name="Normal 3 4 5 4" xfId="42045"/>
    <cellStyle name="Normal 3 4 5 4 2" xfId="42046"/>
    <cellStyle name="Normal 3 4 5 4 2 2" xfId="42047"/>
    <cellStyle name="Normal 3 4 5 4 3" xfId="42048"/>
    <cellStyle name="Normal 3 4 5 4 4" xfId="42049"/>
    <cellStyle name="Normal 3 4 5 5" xfId="42050"/>
    <cellStyle name="Normal 3 4 5 5 2" xfId="42051"/>
    <cellStyle name="Normal 3 4 5 6" xfId="42052"/>
    <cellStyle name="Normal 3 4 5 7" xfId="42053"/>
    <cellStyle name="Normal 3 4 5 8" xfId="42054"/>
    <cellStyle name="Normal 3 4 6" xfId="42055"/>
    <cellStyle name="Normal 3 4 6 2" xfId="42056"/>
    <cellStyle name="Normal 3 4 6 2 2" xfId="42057"/>
    <cellStyle name="Normal 3 4 6 2 2 2" xfId="42058"/>
    <cellStyle name="Normal 3 4 6 2 2 3" xfId="42059"/>
    <cellStyle name="Normal 3 4 6 2 3" xfId="42060"/>
    <cellStyle name="Normal 3 4 6 2 3 2" xfId="42061"/>
    <cellStyle name="Normal 3 4 6 2 4" xfId="42062"/>
    <cellStyle name="Normal 3 4 6 2 5" xfId="42063"/>
    <cellStyle name="Normal 3 4 6 3" xfId="42064"/>
    <cellStyle name="Normal 3 4 6 3 2" xfId="42065"/>
    <cellStyle name="Normal 3 4 6 3 2 2" xfId="42066"/>
    <cellStyle name="Normal 3 4 6 3 3" xfId="42067"/>
    <cellStyle name="Normal 3 4 6 3 4" xfId="42068"/>
    <cellStyle name="Normal 3 4 6 4" xfId="42069"/>
    <cellStyle name="Normal 3 4 6 4 2" xfId="42070"/>
    <cellStyle name="Normal 3 4 6 4 2 2" xfId="42071"/>
    <cellStyle name="Normal 3 4 6 4 3" xfId="42072"/>
    <cellStyle name="Normal 3 4 6 4 4" xfId="42073"/>
    <cellStyle name="Normal 3 4 6 5" xfId="42074"/>
    <cellStyle name="Normal 3 4 6 5 2" xfId="42075"/>
    <cellStyle name="Normal 3 4 6 6" xfId="42076"/>
    <cellStyle name="Normal 3 4 6 7" xfId="42077"/>
    <cellStyle name="Normal 3 4 6 8" xfId="42078"/>
    <cellStyle name="Normal 3 4 7" xfId="42079"/>
    <cellStyle name="Normal 3 4 7 2" xfId="42080"/>
    <cellStyle name="Normal 3 4 7 2 2" xfId="42081"/>
    <cellStyle name="Normal 3 4 7 2 2 2" xfId="42082"/>
    <cellStyle name="Normal 3 4 7 2 2 3" xfId="42083"/>
    <cellStyle name="Normal 3 4 7 2 3" xfId="42084"/>
    <cellStyle name="Normal 3 4 7 2 3 2" xfId="42085"/>
    <cellStyle name="Normal 3 4 7 2 4" xfId="42086"/>
    <cellStyle name="Normal 3 4 7 2 5" xfId="42087"/>
    <cellStyle name="Normal 3 4 7 3" xfId="42088"/>
    <cellStyle name="Normal 3 4 7 3 2" xfId="42089"/>
    <cellStyle name="Normal 3 4 7 3 2 2" xfId="42090"/>
    <cellStyle name="Normal 3 4 7 3 3" xfId="42091"/>
    <cellStyle name="Normal 3 4 7 3 4" xfId="42092"/>
    <cellStyle name="Normal 3 4 7 4" xfId="42093"/>
    <cellStyle name="Normal 3 4 7 4 2" xfId="42094"/>
    <cellStyle name="Normal 3 4 7 4 2 2" xfId="42095"/>
    <cellStyle name="Normal 3 4 7 4 3" xfId="42096"/>
    <cellStyle name="Normal 3 4 7 4 4" xfId="42097"/>
    <cellStyle name="Normal 3 4 7 5" xfId="42098"/>
    <cellStyle name="Normal 3 4 7 5 2" xfId="42099"/>
    <cellStyle name="Normal 3 4 7 6" xfId="42100"/>
    <cellStyle name="Normal 3 4 7 7" xfId="42101"/>
    <cellStyle name="Normal 3 4 7 8" xfId="42102"/>
    <cellStyle name="Normal 3 4 8" xfId="42103"/>
    <cellStyle name="Normal 3 4 8 2" xfId="42104"/>
    <cellStyle name="Normal 3 4 9" xfId="42105"/>
    <cellStyle name="Normal 3 4 9 2" xfId="42106"/>
    <cellStyle name="Normal 3 4_Dakota Panel" xfId="42107"/>
    <cellStyle name="Normal 3 5" xfId="4324"/>
    <cellStyle name="Normal 3 5 2" xfId="4325"/>
    <cellStyle name="Normal 3 5 2 2" xfId="4326"/>
    <cellStyle name="Normal 3 5 2 2 2" xfId="42108"/>
    <cellStyle name="Normal 3 5 2 2 2 2" xfId="42109"/>
    <cellStyle name="Normal 3 5 2 2 2 2 2" xfId="42110"/>
    <cellStyle name="Normal 3 5 2 2 2 2 3" xfId="42111"/>
    <cellStyle name="Normal 3 5 2 2 2 3" xfId="42112"/>
    <cellStyle name="Normal 3 5 2 2 2 3 2" xfId="42113"/>
    <cellStyle name="Normal 3 5 2 2 2 4" xfId="42114"/>
    <cellStyle name="Normal 3 5 2 2 2 5" xfId="42115"/>
    <cellStyle name="Normal 3 5 2 2 3" xfId="42116"/>
    <cellStyle name="Normal 3 5 2 2 3 2" xfId="42117"/>
    <cellStyle name="Normal 3 5 2 2 3 2 2" xfId="42118"/>
    <cellStyle name="Normal 3 5 2 2 3 3" xfId="42119"/>
    <cellStyle name="Normal 3 5 2 2 3 4" xfId="42120"/>
    <cellStyle name="Normal 3 5 2 2 4" xfId="42121"/>
    <cellStyle name="Normal 3 5 2 2 4 2" xfId="42122"/>
    <cellStyle name="Normal 3 5 2 2 4 2 2" xfId="42123"/>
    <cellStyle name="Normal 3 5 2 2 4 3" xfId="42124"/>
    <cellStyle name="Normal 3 5 2 2 4 4" xfId="42125"/>
    <cellStyle name="Normal 3 5 2 2 5" xfId="42126"/>
    <cellStyle name="Normal 3 5 2 2 5 2" xfId="42127"/>
    <cellStyle name="Normal 3 5 2 2 6" xfId="42128"/>
    <cellStyle name="Normal 3 5 2 2 7" xfId="42129"/>
    <cellStyle name="Normal 3 5 2 2 8" xfId="42130"/>
    <cellStyle name="Normal 3 5 2 3" xfId="42131"/>
    <cellStyle name="Normal 3 5 2 3 2" xfId="42132"/>
    <cellStyle name="Normal 3 5 2 3 2 2" xfId="42133"/>
    <cellStyle name="Normal 3 5 2 3 2 2 2" xfId="42134"/>
    <cellStyle name="Normal 3 5 2 3 2 2 3" xfId="42135"/>
    <cellStyle name="Normal 3 5 2 3 2 3" xfId="42136"/>
    <cellStyle name="Normal 3 5 2 3 2 3 2" xfId="42137"/>
    <cellStyle name="Normal 3 5 2 3 2 4" xfId="42138"/>
    <cellStyle name="Normal 3 5 2 3 2 5" xfId="42139"/>
    <cellStyle name="Normal 3 5 2 3 3" xfId="42140"/>
    <cellStyle name="Normal 3 5 2 3 3 2" xfId="42141"/>
    <cellStyle name="Normal 3 5 2 3 3 2 2" xfId="42142"/>
    <cellStyle name="Normal 3 5 2 3 3 3" xfId="42143"/>
    <cellStyle name="Normal 3 5 2 3 3 4" xfId="42144"/>
    <cellStyle name="Normal 3 5 2 3 4" xfId="42145"/>
    <cellStyle name="Normal 3 5 2 3 4 2" xfId="42146"/>
    <cellStyle name="Normal 3 5 2 3 4 2 2" xfId="42147"/>
    <cellStyle name="Normal 3 5 2 3 4 3" xfId="42148"/>
    <cellStyle name="Normal 3 5 2 3 4 4" xfId="42149"/>
    <cellStyle name="Normal 3 5 2 3 5" xfId="42150"/>
    <cellStyle name="Normal 3 5 2 3 5 2" xfId="42151"/>
    <cellStyle name="Normal 3 5 2 3 6" xfId="42152"/>
    <cellStyle name="Normal 3 5 2 3 7" xfId="42153"/>
    <cellStyle name="Normal 3 5 2 3 8" xfId="42154"/>
    <cellStyle name="Normal 3 5 2 4" xfId="42155"/>
    <cellStyle name="Normal 3 5 2 4 2" xfId="42156"/>
    <cellStyle name="Normal 3 5 2 4 2 2" xfId="42157"/>
    <cellStyle name="Normal 3 5 2 4 2 2 2" xfId="42158"/>
    <cellStyle name="Normal 3 5 2 4 2 2 3" xfId="42159"/>
    <cellStyle name="Normal 3 5 2 4 2 3" xfId="42160"/>
    <cellStyle name="Normal 3 5 2 4 2 3 2" xfId="42161"/>
    <cellStyle name="Normal 3 5 2 4 2 4" xfId="42162"/>
    <cellStyle name="Normal 3 5 2 4 2 5" xfId="42163"/>
    <cellStyle name="Normal 3 5 2 4 3" xfId="42164"/>
    <cellStyle name="Normal 3 5 2 4 3 2" xfId="42165"/>
    <cellStyle name="Normal 3 5 2 4 3 2 2" xfId="42166"/>
    <cellStyle name="Normal 3 5 2 4 3 3" xfId="42167"/>
    <cellStyle name="Normal 3 5 2 4 3 4" xfId="42168"/>
    <cellStyle name="Normal 3 5 2 4 4" xfId="42169"/>
    <cellStyle name="Normal 3 5 2 4 4 2" xfId="42170"/>
    <cellStyle name="Normal 3 5 2 4 4 2 2" xfId="42171"/>
    <cellStyle name="Normal 3 5 2 4 4 3" xfId="42172"/>
    <cellStyle name="Normal 3 5 2 4 4 4" xfId="42173"/>
    <cellStyle name="Normal 3 5 2 4 5" xfId="42174"/>
    <cellStyle name="Normal 3 5 2 4 5 2" xfId="42175"/>
    <cellStyle name="Normal 3 5 2 4 6" xfId="42176"/>
    <cellStyle name="Normal 3 5 2 4 7" xfId="42177"/>
    <cellStyle name="Normal 3 5 2 4 8" xfId="42178"/>
    <cellStyle name="Normal 3 5 2 5" xfId="42179"/>
    <cellStyle name="Normal 3 5 3" xfId="4327"/>
    <cellStyle name="Normal 3 5 3 2" xfId="42180"/>
    <cellStyle name="Normal 3 5 4" xfId="42181"/>
    <cellStyle name="Normal 3 5 4 2" xfId="42182"/>
    <cellStyle name="Normal 3 5 4 2 2" xfId="42183"/>
    <cellStyle name="Normal 3 5 4 2 2 2" xfId="42184"/>
    <cellStyle name="Normal 3 5 4 2 2 3" xfId="42185"/>
    <cellStyle name="Normal 3 5 4 2 3" xfId="42186"/>
    <cellStyle name="Normal 3 5 4 2 3 2" xfId="42187"/>
    <cellStyle name="Normal 3 5 4 2 4" xfId="42188"/>
    <cellStyle name="Normal 3 5 4 2 5" xfId="42189"/>
    <cellStyle name="Normal 3 5 4 3" xfId="42190"/>
    <cellStyle name="Normal 3 5 4 3 2" xfId="42191"/>
    <cellStyle name="Normal 3 5 4 3 2 2" xfId="42192"/>
    <cellStyle name="Normal 3 5 4 3 3" xfId="42193"/>
    <cellStyle name="Normal 3 5 4 3 4" xfId="42194"/>
    <cellStyle name="Normal 3 5 4 4" xfId="42195"/>
    <cellStyle name="Normal 3 5 4 4 2" xfId="42196"/>
    <cellStyle name="Normal 3 5 4 4 2 2" xfId="42197"/>
    <cellStyle name="Normal 3 5 4 4 3" xfId="42198"/>
    <cellStyle name="Normal 3 5 4 4 4" xfId="42199"/>
    <cellStyle name="Normal 3 5 4 5" xfId="42200"/>
    <cellStyle name="Normal 3 5 4 5 2" xfId="42201"/>
    <cellStyle name="Normal 3 5 4 6" xfId="42202"/>
    <cellStyle name="Normal 3 5 4 7" xfId="42203"/>
    <cellStyle name="Normal 3 5 4 8" xfId="42204"/>
    <cellStyle name="Normal 3 5 5" xfId="42205"/>
    <cellStyle name="Normal 3 5 5 2" xfId="42206"/>
    <cellStyle name="Normal 3 5 5 2 2" xfId="42207"/>
    <cellStyle name="Normal 3 5 5 2 2 2" xfId="42208"/>
    <cellStyle name="Normal 3 5 5 2 2 3" xfId="42209"/>
    <cellStyle name="Normal 3 5 5 2 3" xfId="42210"/>
    <cellStyle name="Normal 3 5 5 2 3 2" xfId="42211"/>
    <cellStyle name="Normal 3 5 5 2 4" xfId="42212"/>
    <cellStyle name="Normal 3 5 5 2 5" xfId="42213"/>
    <cellStyle name="Normal 3 5 5 3" xfId="42214"/>
    <cellStyle name="Normal 3 5 5 3 2" xfId="42215"/>
    <cellStyle name="Normal 3 5 5 3 2 2" xfId="42216"/>
    <cellStyle name="Normal 3 5 5 3 3" xfId="42217"/>
    <cellStyle name="Normal 3 5 5 3 4" xfId="42218"/>
    <cellStyle name="Normal 3 5 5 4" xfId="42219"/>
    <cellStyle name="Normal 3 5 5 4 2" xfId="42220"/>
    <cellStyle name="Normal 3 5 5 4 2 2" xfId="42221"/>
    <cellStyle name="Normal 3 5 5 4 3" xfId="42222"/>
    <cellStyle name="Normal 3 5 5 4 4" xfId="42223"/>
    <cellStyle name="Normal 3 5 5 5" xfId="42224"/>
    <cellStyle name="Normal 3 5 5 5 2" xfId="42225"/>
    <cellStyle name="Normal 3 5 5 6" xfId="42226"/>
    <cellStyle name="Normal 3 5 5 7" xfId="42227"/>
    <cellStyle name="Normal 3 5 5 8" xfId="42228"/>
    <cellStyle name="Normal 3 5 6" xfId="42229"/>
    <cellStyle name="Normal 3 5 6 2" xfId="42230"/>
    <cellStyle name="Normal 3 5 6 2 2" xfId="42231"/>
    <cellStyle name="Normal 3 5 6 2 2 2" xfId="42232"/>
    <cellStyle name="Normal 3 5 6 2 2 3" xfId="42233"/>
    <cellStyle name="Normal 3 5 6 2 3" xfId="42234"/>
    <cellStyle name="Normal 3 5 6 2 3 2" xfId="42235"/>
    <cellStyle name="Normal 3 5 6 2 4" xfId="42236"/>
    <cellStyle name="Normal 3 5 6 2 5" xfId="42237"/>
    <cellStyle name="Normal 3 5 6 3" xfId="42238"/>
    <cellStyle name="Normal 3 5 6 3 2" xfId="42239"/>
    <cellStyle name="Normal 3 5 6 3 2 2" xfId="42240"/>
    <cellStyle name="Normal 3 5 6 3 3" xfId="42241"/>
    <cellStyle name="Normal 3 5 6 3 4" xfId="42242"/>
    <cellStyle name="Normal 3 5 6 4" xfId="42243"/>
    <cellStyle name="Normal 3 5 6 4 2" xfId="42244"/>
    <cellStyle name="Normal 3 5 6 4 2 2" xfId="42245"/>
    <cellStyle name="Normal 3 5 6 4 3" xfId="42246"/>
    <cellStyle name="Normal 3 5 6 4 4" xfId="42247"/>
    <cellStyle name="Normal 3 5 6 5" xfId="42248"/>
    <cellStyle name="Normal 3 5 6 5 2" xfId="42249"/>
    <cellStyle name="Normal 3 5 6 6" xfId="42250"/>
    <cellStyle name="Normal 3 5 6 7" xfId="42251"/>
    <cellStyle name="Normal 3 5 6 8" xfId="42252"/>
    <cellStyle name="Normal 3 5 7" xfId="42253"/>
    <cellStyle name="Normal 3 5 7 2" xfId="42254"/>
    <cellStyle name="Normal 3 6" xfId="4328"/>
    <cellStyle name="Normal 3 6 2" xfId="4329"/>
    <cellStyle name="Normal 3 6 2 2" xfId="4330"/>
    <cellStyle name="Normal 3 6 2 2 2" xfId="4331"/>
    <cellStyle name="Normal 3 6 2 3" xfId="4332"/>
    <cellStyle name="Normal 3 6 3" xfId="4333"/>
    <cellStyle name="Normal 3 6 3 2" xfId="4334"/>
    <cellStyle name="Normal 3 6 3 2 2" xfId="42255"/>
    <cellStyle name="Normal 3 6 3 2 2 2" xfId="42256"/>
    <cellStyle name="Normal 3 6 3 2 2 3" xfId="42257"/>
    <cellStyle name="Normal 3 6 3 2 3" xfId="42258"/>
    <cellStyle name="Normal 3 6 3 2 3 2" xfId="42259"/>
    <cellStyle name="Normal 3 6 3 2 4" xfId="42260"/>
    <cellStyle name="Normal 3 6 3 2 5" xfId="42261"/>
    <cellStyle name="Normal 3 6 3 3" xfId="42262"/>
    <cellStyle name="Normal 3 6 3 3 2" xfId="42263"/>
    <cellStyle name="Normal 3 6 3 3 2 2" xfId="42264"/>
    <cellStyle name="Normal 3 6 3 3 3" xfId="42265"/>
    <cellStyle name="Normal 3 6 3 3 4" xfId="42266"/>
    <cellStyle name="Normal 3 6 3 4" xfId="42267"/>
    <cellStyle name="Normal 3 6 3 4 2" xfId="42268"/>
    <cellStyle name="Normal 3 6 3 4 2 2" xfId="42269"/>
    <cellStyle name="Normal 3 6 3 4 3" xfId="42270"/>
    <cellStyle name="Normal 3 6 3 4 4" xfId="42271"/>
    <cellStyle name="Normal 3 6 3 5" xfId="42272"/>
    <cellStyle name="Normal 3 6 3 5 2" xfId="42273"/>
    <cellStyle name="Normal 3 6 3 6" xfId="42274"/>
    <cellStyle name="Normal 3 6 3 7" xfId="42275"/>
    <cellStyle name="Normal 3 6 3 8" xfId="42276"/>
    <cellStyle name="Normal 3 6 4" xfId="4335"/>
    <cellStyle name="Normal 3 6 4 2" xfId="42277"/>
    <cellStyle name="Normal 3 6 4 2 2" xfId="42278"/>
    <cellStyle name="Normal 3 6 4 2 2 2" xfId="42279"/>
    <cellStyle name="Normal 3 6 4 2 2 3" xfId="42280"/>
    <cellStyle name="Normal 3 6 4 2 3" xfId="42281"/>
    <cellStyle name="Normal 3 6 4 2 3 2" xfId="42282"/>
    <cellStyle name="Normal 3 6 4 2 4" xfId="42283"/>
    <cellStyle name="Normal 3 6 4 2 5" xfId="42284"/>
    <cellStyle name="Normal 3 6 4 3" xfId="42285"/>
    <cellStyle name="Normal 3 6 4 3 2" xfId="42286"/>
    <cellStyle name="Normal 3 6 4 3 2 2" xfId="42287"/>
    <cellStyle name="Normal 3 6 4 3 3" xfId="42288"/>
    <cellStyle name="Normal 3 6 4 3 4" xfId="42289"/>
    <cellStyle name="Normal 3 6 4 4" xfId="42290"/>
    <cellStyle name="Normal 3 6 4 4 2" xfId="42291"/>
    <cellStyle name="Normal 3 6 4 4 2 2" xfId="42292"/>
    <cellStyle name="Normal 3 6 4 4 3" xfId="42293"/>
    <cellStyle name="Normal 3 6 4 4 4" xfId="42294"/>
    <cellStyle name="Normal 3 6 4 5" xfId="42295"/>
    <cellStyle name="Normal 3 6 4 5 2" xfId="42296"/>
    <cellStyle name="Normal 3 6 4 6" xfId="42297"/>
    <cellStyle name="Normal 3 6 4 7" xfId="42298"/>
    <cellStyle name="Normal 3 6 4 8" xfId="42299"/>
    <cellStyle name="Normal 3 6 5" xfId="42300"/>
    <cellStyle name="Normal 3 6 5 2" xfId="42301"/>
    <cellStyle name="Normal 3 6 5 2 2" xfId="42302"/>
    <cellStyle name="Normal 3 6 5 2 2 2" xfId="42303"/>
    <cellStyle name="Normal 3 6 5 2 2 3" xfId="42304"/>
    <cellStyle name="Normal 3 6 5 2 3" xfId="42305"/>
    <cellStyle name="Normal 3 6 5 2 3 2" xfId="42306"/>
    <cellStyle name="Normal 3 6 5 2 4" xfId="42307"/>
    <cellStyle name="Normal 3 6 5 2 5" xfId="42308"/>
    <cellStyle name="Normal 3 6 5 3" xfId="42309"/>
    <cellStyle name="Normal 3 6 5 3 2" xfId="42310"/>
    <cellStyle name="Normal 3 6 5 3 2 2" xfId="42311"/>
    <cellStyle name="Normal 3 6 5 3 3" xfId="42312"/>
    <cellStyle name="Normal 3 6 5 3 4" xfId="42313"/>
    <cellStyle name="Normal 3 6 5 4" xfId="42314"/>
    <cellStyle name="Normal 3 6 5 4 2" xfId="42315"/>
    <cellStyle name="Normal 3 6 5 4 2 2" xfId="42316"/>
    <cellStyle name="Normal 3 6 5 4 3" xfId="42317"/>
    <cellStyle name="Normal 3 6 5 4 4" xfId="42318"/>
    <cellStyle name="Normal 3 6 5 5" xfId="42319"/>
    <cellStyle name="Normal 3 6 5 5 2" xfId="42320"/>
    <cellStyle name="Normal 3 6 5 6" xfId="42321"/>
    <cellStyle name="Normal 3 6 5 7" xfId="42322"/>
    <cellStyle name="Normal 3 6 5 8" xfId="42323"/>
    <cellStyle name="Normal 3 6 6" xfId="42324"/>
    <cellStyle name="Normal 3 6 6 2" xfId="42325"/>
    <cellStyle name="Normal 3 7" xfId="4336"/>
    <cellStyle name="Normal 3 7 2" xfId="4337"/>
    <cellStyle name="Normal 3 7 2 2" xfId="4338"/>
    <cellStyle name="Normal 3 7 3" xfId="4339"/>
    <cellStyle name="Normal 3 7 4" xfId="42326"/>
    <cellStyle name="Normal 3 7 4 2" xfId="42327"/>
    <cellStyle name="Normal 3 7 4 2 2" xfId="42328"/>
    <cellStyle name="Normal 3 7 4 2 2 2" xfId="42329"/>
    <cellStyle name="Normal 3 7 4 2 2 3" xfId="42330"/>
    <cellStyle name="Normal 3 7 4 2 3" xfId="42331"/>
    <cellStyle name="Normal 3 7 4 2 3 2" xfId="42332"/>
    <cellStyle name="Normal 3 7 4 2 4" xfId="42333"/>
    <cellStyle name="Normal 3 7 4 2 5" xfId="42334"/>
    <cellStyle name="Normal 3 7 4 3" xfId="42335"/>
    <cellStyle name="Normal 3 7 4 3 2" xfId="42336"/>
    <cellStyle name="Normal 3 7 4 3 2 2" xfId="42337"/>
    <cellStyle name="Normal 3 7 4 3 3" xfId="42338"/>
    <cellStyle name="Normal 3 7 4 3 4" xfId="42339"/>
    <cellStyle name="Normal 3 7 4 4" xfId="42340"/>
    <cellStyle name="Normal 3 7 4 4 2" xfId="42341"/>
    <cellStyle name="Normal 3 7 4 4 2 2" xfId="42342"/>
    <cellStyle name="Normal 3 7 4 4 3" xfId="42343"/>
    <cellStyle name="Normal 3 7 4 4 4" xfId="42344"/>
    <cellStyle name="Normal 3 7 4 5" xfId="42345"/>
    <cellStyle name="Normal 3 7 4 5 2" xfId="42346"/>
    <cellStyle name="Normal 3 7 4 6" xfId="42347"/>
    <cellStyle name="Normal 3 7 4 7" xfId="42348"/>
    <cellStyle name="Normal 3 7 4 8" xfId="42349"/>
    <cellStyle name="Normal 3 7 5" xfId="42350"/>
    <cellStyle name="Normal 3 7 5 2" xfId="42351"/>
    <cellStyle name="Normal 3 8" xfId="4340"/>
    <cellStyle name="Normal 3 8 2" xfId="4341"/>
    <cellStyle name="Normal 3 8 2 2" xfId="42352"/>
    <cellStyle name="Normal 3 8 3" xfId="42353"/>
    <cellStyle name="Normal 3 8 4" xfId="42354"/>
    <cellStyle name="Normal 3 8 4 2" xfId="42355"/>
    <cellStyle name="Normal 3 9" xfId="4342"/>
    <cellStyle name="Normal 3 9 2" xfId="42356"/>
    <cellStyle name="Normal 3 9 3" xfId="42357"/>
    <cellStyle name="Normal 3 9 4" xfId="42358"/>
    <cellStyle name="Normal 3 9 4 2" xfId="42359"/>
    <cellStyle name="Normal 3_1-10 BHU IS" xfId="42360"/>
    <cellStyle name="Normal 30" xfId="4343"/>
    <cellStyle name="Normal 30 10" xfId="42361"/>
    <cellStyle name="Normal 30 10 2" xfId="42362"/>
    <cellStyle name="Normal 30 11" xfId="42363"/>
    <cellStyle name="Normal 30 11 2" xfId="42364"/>
    <cellStyle name="Normal 30 12" xfId="42365"/>
    <cellStyle name="Normal 30 2" xfId="4344"/>
    <cellStyle name="Normal 30 2 2" xfId="42366"/>
    <cellStyle name="Normal 30 2 2 2" xfId="42367"/>
    <cellStyle name="Normal 30 2 3" xfId="42368"/>
    <cellStyle name="Normal 30 3" xfId="4345"/>
    <cellStyle name="Normal 30 3 2" xfId="4346"/>
    <cellStyle name="Normal 30 3 2 2" xfId="4347"/>
    <cellStyle name="Normal 30 3 2 2 2" xfId="4348"/>
    <cellStyle name="Normal 30 3 2 2 2 2" xfId="4349"/>
    <cellStyle name="Normal 30 3 2 2 3" xfId="4350"/>
    <cellStyle name="Normal 30 3 2 3" xfId="4351"/>
    <cellStyle name="Normal 30 3 2 3 2" xfId="4352"/>
    <cellStyle name="Normal 30 3 2 4" xfId="4353"/>
    <cellStyle name="Normal 30 3 3" xfId="4354"/>
    <cellStyle name="Normal 30 3 3 2" xfId="4355"/>
    <cellStyle name="Normal 30 3 3 2 2" xfId="4356"/>
    <cellStyle name="Normal 30 3 3 3" xfId="4357"/>
    <cellStyle name="Normal 30 3 4" xfId="4358"/>
    <cellStyle name="Normal 30 3 4 2" xfId="4359"/>
    <cellStyle name="Normal 30 3 5" xfId="4360"/>
    <cellStyle name="Normal 30 4" xfId="42369"/>
    <cellStyle name="Normal 30 4 2" xfId="42370"/>
    <cellStyle name="Normal 30 4 2 2" xfId="42371"/>
    <cellStyle name="Normal 30 4 3" xfId="42372"/>
    <cellStyle name="Normal 30 4 3 2" xfId="42373"/>
    <cellStyle name="Normal 30 4 4" xfId="42374"/>
    <cellStyle name="Normal 30 4 4 2" xfId="42375"/>
    <cellStyle name="Normal 30 4 5" xfId="42376"/>
    <cellStyle name="Normal 30 4 5 2" xfId="42377"/>
    <cellStyle name="Normal 30 4 6" xfId="42378"/>
    <cellStyle name="Normal 30 4 6 2" xfId="42379"/>
    <cellStyle name="Normal 30 4 7" xfId="42380"/>
    <cellStyle name="Normal 30 4 7 2" xfId="42381"/>
    <cellStyle name="Normal 30 4 8" xfId="42382"/>
    <cellStyle name="Normal 30 4 8 2" xfId="42383"/>
    <cellStyle name="Normal 30 4 9" xfId="42384"/>
    <cellStyle name="Normal 30 4 9 2" xfId="42385"/>
    <cellStyle name="Normal 30 4_Dakota Panel" xfId="42386"/>
    <cellStyle name="Normal 30 5" xfId="42387"/>
    <cellStyle name="Normal 30 5 2" xfId="42388"/>
    <cellStyle name="Normal 30 5 2 2" xfId="42389"/>
    <cellStyle name="Normal 30 5 3" xfId="42390"/>
    <cellStyle name="Normal 30 5 3 2" xfId="42391"/>
    <cellStyle name="Normal 30 5 4" xfId="42392"/>
    <cellStyle name="Normal 30 5 5" xfId="42393"/>
    <cellStyle name="Normal 30 6" xfId="42394"/>
    <cellStyle name="Normal 30 6 2" xfId="42395"/>
    <cellStyle name="Normal 30 7" xfId="42396"/>
    <cellStyle name="Normal 30 7 2" xfId="42397"/>
    <cellStyle name="Normal 30 8" xfId="42398"/>
    <cellStyle name="Normal 30 8 2" xfId="42399"/>
    <cellStyle name="Normal 30 9" xfId="42400"/>
    <cellStyle name="Normal 30 9 2" xfId="42401"/>
    <cellStyle name="Normal 30_Dakota Panel" xfId="42402"/>
    <cellStyle name="Normal 300" xfId="42403"/>
    <cellStyle name="Normal 301" xfId="42404"/>
    <cellStyle name="Normal 302" xfId="42405"/>
    <cellStyle name="Normal 303" xfId="42406"/>
    <cellStyle name="Normal 304" xfId="50295"/>
    <cellStyle name="Normal 31" xfId="4361"/>
    <cellStyle name="Normal 31 10" xfId="42407"/>
    <cellStyle name="Normal 31 10 2" xfId="42408"/>
    <cellStyle name="Normal 31 11" xfId="42409"/>
    <cellStyle name="Normal 31 11 2" xfId="42410"/>
    <cellStyle name="Normal 31 12" xfId="42411"/>
    <cellStyle name="Normal 31 2" xfId="4362"/>
    <cellStyle name="Normal 31 2 2" xfId="42412"/>
    <cellStyle name="Normal 31 2 2 2" xfId="42413"/>
    <cellStyle name="Normal 31 2 3" xfId="42414"/>
    <cellStyle name="Normal 31 3" xfId="42415"/>
    <cellStyle name="Normal 31 3 10" xfId="42416"/>
    <cellStyle name="Normal 31 3 10 2" xfId="42417"/>
    <cellStyle name="Normal 31 3 11" xfId="42418"/>
    <cellStyle name="Normal 31 3 11 2" xfId="42419"/>
    <cellStyle name="Normal 31 3 12" xfId="42420"/>
    <cellStyle name="Normal 31 3 2" xfId="42421"/>
    <cellStyle name="Normal 31 3 2 2" xfId="42422"/>
    <cellStyle name="Normal 31 3 2 2 2" xfId="42423"/>
    <cellStyle name="Normal 31 3 2 3" xfId="42424"/>
    <cellStyle name="Normal 31 3 2 3 2" xfId="42425"/>
    <cellStyle name="Normal 31 3 2 4" xfId="42426"/>
    <cellStyle name="Normal 31 3 2 4 2" xfId="42427"/>
    <cellStyle name="Normal 31 3 2 5" xfId="42428"/>
    <cellStyle name="Normal 31 3 2 5 2" xfId="42429"/>
    <cellStyle name="Normal 31 3 2 6" xfId="42430"/>
    <cellStyle name="Normal 31 3 2 6 2" xfId="42431"/>
    <cellStyle name="Normal 31 3 2 7" xfId="42432"/>
    <cellStyle name="Normal 31 3 2 7 2" xfId="42433"/>
    <cellStyle name="Normal 31 3 2 8" xfId="42434"/>
    <cellStyle name="Normal 31 3 2 8 2" xfId="42435"/>
    <cellStyle name="Normal 31 3 2 9" xfId="42436"/>
    <cellStyle name="Normal 31 3 2 9 2" xfId="42437"/>
    <cellStyle name="Normal 31 3 2_Dakota Panel" xfId="42438"/>
    <cellStyle name="Normal 31 3 3" xfId="42439"/>
    <cellStyle name="Normal 31 3 3 2" xfId="42440"/>
    <cellStyle name="Normal 31 3 3 2 2" xfId="42441"/>
    <cellStyle name="Normal 31 3 3 3" xfId="42442"/>
    <cellStyle name="Normal 31 3 3 3 2" xfId="42443"/>
    <cellStyle name="Normal 31 3 3 4" xfId="42444"/>
    <cellStyle name="Normal 31 3 3 5" xfId="42445"/>
    <cellStyle name="Normal 31 3 4" xfId="42446"/>
    <cellStyle name="Normal 31 3 4 2" xfId="42447"/>
    <cellStyle name="Normal 31 3 5" xfId="42448"/>
    <cellStyle name="Normal 31 3 5 2" xfId="42449"/>
    <cellStyle name="Normal 31 3 6" xfId="42450"/>
    <cellStyle name="Normal 31 3 6 2" xfId="42451"/>
    <cellStyle name="Normal 31 3 7" xfId="42452"/>
    <cellStyle name="Normal 31 3 7 2" xfId="42453"/>
    <cellStyle name="Normal 31 3 8" xfId="42454"/>
    <cellStyle name="Normal 31 3 8 2" xfId="42455"/>
    <cellStyle name="Normal 31 3 9" xfId="42456"/>
    <cellStyle name="Normal 31 3 9 2" xfId="42457"/>
    <cellStyle name="Normal 31 3_Dakota Panel" xfId="42458"/>
    <cellStyle name="Normal 31 4" xfId="42459"/>
    <cellStyle name="Normal 31 4 2" xfId="42460"/>
    <cellStyle name="Normal 31 4 2 2" xfId="42461"/>
    <cellStyle name="Normal 31 4 3" xfId="42462"/>
    <cellStyle name="Normal 31 5" xfId="42463"/>
    <cellStyle name="Normal 31 5 2" xfId="42464"/>
    <cellStyle name="Normal 31 5 2 2" xfId="42465"/>
    <cellStyle name="Normal 31 5 3" xfId="42466"/>
    <cellStyle name="Normal 31 5 3 2" xfId="42467"/>
    <cellStyle name="Normal 31 5 4" xfId="42468"/>
    <cellStyle name="Normal 31 5 4 2" xfId="42469"/>
    <cellStyle name="Normal 31 5 5" xfId="42470"/>
    <cellStyle name="Normal 31 5 5 2" xfId="42471"/>
    <cellStyle name="Normal 31 5 6" xfId="42472"/>
    <cellStyle name="Normal 31 5 6 2" xfId="42473"/>
    <cellStyle name="Normal 31 5 7" xfId="42474"/>
    <cellStyle name="Normal 31 5 7 2" xfId="42475"/>
    <cellStyle name="Normal 31 5 8" xfId="42476"/>
    <cellStyle name="Normal 31 5 8 2" xfId="42477"/>
    <cellStyle name="Normal 31 5 9" xfId="42478"/>
    <cellStyle name="Normal 31 5 9 2" xfId="42479"/>
    <cellStyle name="Normal 31 5_Dakota Panel" xfId="42480"/>
    <cellStyle name="Normal 31 6" xfId="42481"/>
    <cellStyle name="Normal 31 6 2" xfId="42482"/>
    <cellStyle name="Normal 31 6 2 2" xfId="42483"/>
    <cellStyle name="Normal 31 6 3" xfId="42484"/>
    <cellStyle name="Normal 31 6 3 2" xfId="42485"/>
    <cellStyle name="Normal 31 6 4" xfId="42486"/>
    <cellStyle name="Normal 31 6 5" xfId="42487"/>
    <cellStyle name="Normal 31 7" xfId="42488"/>
    <cellStyle name="Normal 31 7 2" xfId="42489"/>
    <cellStyle name="Normal 31 8" xfId="42490"/>
    <cellStyle name="Normal 31 8 2" xfId="42491"/>
    <cellStyle name="Normal 31 9" xfId="42492"/>
    <cellStyle name="Normal 31 9 2" xfId="42493"/>
    <cellStyle name="Normal 31_Dakota Panel" xfId="42494"/>
    <cellStyle name="Normal 32" xfId="4363"/>
    <cellStyle name="Normal 32 10" xfId="42495"/>
    <cellStyle name="Normal 32 10 2" xfId="42496"/>
    <cellStyle name="Normal 32 11" xfId="42497"/>
    <cellStyle name="Normal 32 11 2" xfId="42498"/>
    <cellStyle name="Normal 32 12" xfId="42499"/>
    <cellStyle name="Normal 32 2" xfId="4364"/>
    <cellStyle name="Normal 32 2 2" xfId="42500"/>
    <cellStyle name="Normal 32 2 2 2" xfId="42501"/>
    <cellStyle name="Normal 32 2 3" xfId="42502"/>
    <cellStyle name="Normal 32 3" xfId="42503"/>
    <cellStyle name="Normal 32 3 2" xfId="42504"/>
    <cellStyle name="Normal 32 3 2 2" xfId="42505"/>
    <cellStyle name="Normal 32 3 3" xfId="42506"/>
    <cellStyle name="Normal 32 3 3 2" xfId="42507"/>
    <cellStyle name="Normal 32 3 4" xfId="42508"/>
    <cellStyle name="Normal 32 3 4 2" xfId="42509"/>
    <cellStyle name="Normal 32 3 5" xfId="42510"/>
    <cellStyle name="Normal 32 3 5 2" xfId="42511"/>
    <cellStyle name="Normal 32 3 6" xfId="42512"/>
    <cellStyle name="Normal 32 3 6 2" xfId="42513"/>
    <cellStyle name="Normal 32 3 7" xfId="42514"/>
    <cellStyle name="Normal 32 3 7 2" xfId="42515"/>
    <cellStyle name="Normal 32 3 8" xfId="42516"/>
    <cellStyle name="Normal 32 3 8 2" xfId="42517"/>
    <cellStyle name="Normal 32 3 9" xfId="42518"/>
    <cellStyle name="Normal 32 3 9 2" xfId="42519"/>
    <cellStyle name="Normal 32 3_Dakota Panel" xfId="42520"/>
    <cellStyle name="Normal 32 4" xfId="42521"/>
    <cellStyle name="Normal 32 4 2" xfId="42522"/>
    <cellStyle name="Normal 32 4 2 2" xfId="42523"/>
    <cellStyle name="Normal 32 4 3" xfId="42524"/>
    <cellStyle name="Normal 32 4 3 2" xfId="42525"/>
    <cellStyle name="Normal 32 4 4" xfId="42526"/>
    <cellStyle name="Normal 32 4 5" xfId="42527"/>
    <cellStyle name="Normal 32 5" xfId="42528"/>
    <cellStyle name="Normal 32 5 2" xfId="42529"/>
    <cellStyle name="Normal 32 6" xfId="42530"/>
    <cellStyle name="Normal 32 6 2" xfId="42531"/>
    <cellStyle name="Normal 32 7" xfId="42532"/>
    <cellStyle name="Normal 32 7 2" xfId="42533"/>
    <cellStyle name="Normal 32 8" xfId="42534"/>
    <cellStyle name="Normal 32 8 2" xfId="42535"/>
    <cellStyle name="Normal 32 9" xfId="42536"/>
    <cellStyle name="Normal 32 9 2" xfId="42537"/>
    <cellStyle name="Normal 32_Dakota Panel" xfId="42538"/>
    <cellStyle name="Normal 33" xfId="4365"/>
    <cellStyle name="Normal 33 10" xfId="42539"/>
    <cellStyle name="Normal 33 10 2" xfId="42540"/>
    <cellStyle name="Normal 33 11" xfId="42541"/>
    <cellStyle name="Normal 33 11 2" xfId="42542"/>
    <cellStyle name="Normal 33 12" xfId="42543"/>
    <cellStyle name="Normal 33 2" xfId="4366"/>
    <cellStyle name="Normal 33 2 2" xfId="42544"/>
    <cellStyle name="Normal 33 2 2 2" xfId="42545"/>
    <cellStyle name="Normal 33 2 3" xfId="42546"/>
    <cellStyle name="Normal 33 3" xfId="42547"/>
    <cellStyle name="Normal 33 3 2" xfId="42548"/>
    <cellStyle name="Normal 33 3 2 2" xfId="42549"/>
    <cellStyle name="Normal 33 3 3" xfId="42550"/>
    <cellStyle name="Normal 33 3 3 2" xfId="42551"/>
    <cellStyle name="Normal 33 3 4" xfId="42552"/>
    <cellStyle name="Normal 33 3 4 2" xfId="42553"/>
    <cellStyle name="Normal 33 3 5" xfId="42554"/>
    <cellStyle name="Normal 33 3 5 2" xfId="42555"/>
    <cellStyle name="Normal 33 3 6" xfId="42556"/>
    <cellStyle name="Normal 33 3 6 2" xfId="42557"/>
    <cellStyle name="Normal 33 3 7" xfId="42558"/>
    <cellStyle name="Normal 33 3 7 2" xfId="42559"/>
    <cellStyle name="Normal 33 3 8" xfId="42560"/>
    <cellStyle name="Normal 33 3 8 2" xfId="42561"/>
    <cellStyle name="Normal 33 3 9" xfId="42562"/>
    <cellStyle name="Normal 33 3 9 2" xfId="42563"/>
    <cellStyle name="Normal 33 3_Dakota Panel" xfId="42564"/>
    <cellStyle name="Normal 33 4" xfId="42565"/>
    <cellStyle name="Normal 33 4 2" xfId="42566"/>
    <cellStyle name="Normal 33 4 2 2" xfId="42567"/>
    <cellStyle name="Normal 33 4 3" xfId="42568"/>
    <cellStyle name="Normal 33 4 3 2" xfId="42569"/>
    <cellStyle name="Normal 33 4 4" xfId="42570"/>
    <cellStyle name="Normal 33 4 5" xfId="42571"/>
    <cellStyle name="Normal 33 5" xfId="42572"/>
    <cellStyle name="Normal 33 5 2" xfId="42573"/>
    <cellStyle name="Normal 33 6" xfId="42574"/>
    <cellStyle name="Normal 33 6 2" xfId="42575"/>
    <cellStyle name="Normal 33 7" xfId="42576"/>
    <cellStyle name="Normal 33 7 2" xfId="42577"/>
    <cellStyle name="Normal 33 8" xfId="42578"/>
    <cellStyle name="Normal 33 8 2" xfId="42579"/>
    <cellStyle name="Normal 33 9" xfId="42580"/>
    <cellStyle name="Normal 33 9 2" xfId="42581"/>
    <cellStyle name="Normal 33_Dakota Panel" xfId="42582"/>
    <cellStyle name="Normal 34" xfId="4367"/>
    <cellStyle name="Normal 34 10" xfId="42583"/>
    <cellStyle name="Normal 34 10 2" xfId="42584"/>
    <cellStyle name="Normal 34 11" xfId="42585"/>
    <cellStyle name="Normal 34 11 2" xfId="42586"/>
    <cellStyle name="Normal 34 12" xfId="42587"/>
    <cellStyle name="Normal 34 2" xfId="4368"/>
    <cellStyle name="Normal 34 2 2" xfId="42588"/>
    <cellStyle name="Normal 34 2 2 2" xfId="42589"/>
    <cellStyle name="Normal 34 2 3" xfId="42590"/>
    <cellStyle name="Normal 34 3" xfId="42591"/>
    <cellStyle name="Normal 34 3 2" xfId="42592"/>
    <cellStyle name="Normal 34 3 2 2" xfId="42593"/>
    <cellStyle name="Normal 34 3 3" xfId="42594"/>
    <cellStyle name="Normal 34 3 3 2" xfId="42595"/>
    <cellStyle name="Normal 34 3 4" xfId="42596"/>
    <cellStyle name="Normal 34 3 4 2" xfId="42597"/>
    <cellStyle name="Normal 34 3 5" xfId="42598"/>
    <cellStyle name="Normal 34 3 5 2" xfId="42599"/>
    <cellStyle name="Normal 34 3 6" xfId="42600"/>
    <cellStyle name="Normal 34 3 6 2" xfId="42601"/>
    <cellStyle name="Normal 34 3 7" xfId="42602"/>
    <cellStyle name="Normal 34 3 7 2" xfId="42603"/>
    <cellStyle name="Normal 34 3 8" xfId="42604"/>
    <cellStyle name="Normal 34 3 8 2" xfId="42605"/>
    <cellStyle name="Normal 34 3 9" xfId="42606"/>
    <cellStyle name="Normal 34 3 9 2" xfId="42607"/>
    <cellStyle name="Normal 34 3_Dakota Panel" xfId="42608"/>
    <cellStyle name="Normal 34 4" xfId="42609"/>
    <cellStyle name="Normal 34 4 2" xfId="42610"/>
    <cellStyle name="Normal 34 4 2 2" xfId="42611"/>
    <cellStyle name="Normal 34 4 3" xfId="42612"/>
    <cellStyle name="Normal 34 4 3 2" xfId="42613"/>
    <cellStyle name="Normal 34 4 4" xfId="42614"/>
    <cellStyle name="Normal 34 4 5" xfId="42615"/>
    <cellStyle name="Normal 34 5" xfId="42616"/>
    <cellStyle name="Normal 34 5 2" xfId="42617"/>
    <cellStyle name="Normal 34 6" xfId="42618"/>
    <cellStyle name="Normal 34 6 2" xfId="42619"/>
    <cellStyle name="Normal 34 7" xfId="42620"/>
    <cellStyle name="Normal 34 7 2" xfId="42621"/>
    <cellStyle name="Normal 34 8" xfId="42622"/>
    <cellStyle name="Normal 34 8 2" xfId="42623"/>
    <cellStyle name="Normal 34 9" xfId="42624"/>
    <cellStyle name="Normal 34 9 2" xfId="42625"/>
    <cellStyle name="Normal 34_Dakota Panel" xfId="42626"/>
    <cellStyle name="Normal 35" xfId="4369"/>
    <cellStyle name="Normal 35 10" xfId="42627"/>
    <cellStyle name="Normal 35 10 2" xfId="42628"/>
    <cellStyle name="Normal 35 11" xfId="42629"/>
    <cellStyle name="Normal 35 11 2" xfId="42630"/>
    <cellStyle name="Normal 35 12" xfId="42631"/>
    <cellStyle name="Normal 35 2" xfId="4370"/>
    <cellStyle name="Normal 35 2 2" xfId="42632"/>
    <cellStyle name="Normal 35 2 2 2" xfId="42633"/>
    <cellStyle name="Normal 35 2 3" xfId="42634"/>
    <cellStyle name="Normal 35 3" xfId="42635"/>
    <cellStyle name="Normal 35 3 2" xfId="42636"/>
    <cellStyle name="Normal 35 3 2 2" xfId="42637"/>
    <cellStyle name="Normal 35 3 3" xfId="42638"/>
    <cellStyle name="Normal 35 3 3 2" xfId="42639"/>
    <cellStyle name="Normal 35 3 4" xfId="42640"/>
    <cellStyle name="Normal 35 3 4 2" xfId="42641"/>
    <cellStyle name="Normal 35 3 5" xfId="42642"/>
    <cellStyle name="Normal 35 3 5 2" xfId="42643"/>
    <cellStyle name="Normal 35 3 6" xfId="42644"/>
    <cellStyle name="Normal 35 3 6 2" xfId="42645"/>
    <cellStyle name="Normal 35 3 7" xfId="42646"/>
    <cellStyle name="Normal 35 3 7 2" xfId="42647"/>
    <cellStyle name="Normal 35 3 8" xfId="42648"/>
    <cellStyle name="Normal 35 3 8 2" xfId="42649"/>
    <cellStyle name="Normal 35 3 9" xfId="42650"/>
    <cellStyle name="Normal 35 3 9 2" xfId="42651"/>
    <cellStyle name="Normal 35 3_Dakota Panel" xfId="42652"/>
    <cellStyle name="Normal 35 4" xfId="42653"/>
    <cellStyle name="Normal 35 4 2" xfId="42654"/>
    <cellStyle name="Normal 35 4 2 2" xfId="42655"/>
    <cellStyle name="Normal 35 4 3" xfId="42656"/>
    <cellStyle name="Normal 35 4 3 2" xfId="42657"/>
    <cellStyle name="Normal 35 4 4" xfId="42658"/>
    <cellStyle name="Normal 35 4 5" xfId="42659"/>
    <cellStyle name="Normal 35 5" xfId="42660"/>
    <cellStyle name="Normal 35 5 2" xfId="42661"/>
    <cellStyle name="Normal 35 6" xfId="42662"/>
    <cellStyle name="Normal 35 6 2" xfId="42663"/>
    <cellStyle name="Normal 35 7" xfId="42664"/>
    <cellStyle name="Normal 35 7 2" xfId="42665"/>
    <cellStyle name="Normal 35 8" xfId="42666"/>
    <cellStyle name="Normal 35 8 2" xfId="42667"/>
    <cellStyle name="Normal 35 9" xfId="42668"/>
    <cellStyle name="Normal 35 9 2" xfId="42669"/>
    <cellStyle name="Normal 35_Dakota Panel" xfId="42670"/>
    <cellStyle name="Normal 36" xfId="4371"/>
    <cellStyle name="Normal 36 10" xfId="42671"/>
    <cellStyle name="Normal 36 10 2" xfId="42672"/>
    <cellStyle name="Normal 36 11" xfId="42673"/>
    <cellStyle name="Normal 36 11 2" xfId="42674"/>
    <cellStyle name="Normal 36 12" xfId="42675"/>
    <cellStyle name="Normal 36 2" xfId="4372"/>
    <cellStyle name="Normal 36 2 2" xfId="42676"/>
    <cellStyle name="Normal 36 2 2 2" xfId="42677"/>
    <cellStyle name="Normal 36 2 3" xfId="42678"/>
    <cellStyle name="Normal 36 3" xfId="42679"/>
    <cellStyle name="Normal 36 3 2" xfId="42680"/>
    <cellStyle name="Normal 36 3 2 2" xfId="42681"/>
    <cellStyle name="Normal 36 3 3" xfId="42682"/>
    <cellStyle name="Normal 36 3 3 2" xfId="42683"/>
    <cellStyle name="Normal 36 3 4" xfId="42684"/>
    <cellStyle name="Normal 36 3 4 2" xfId="42685"/>
    <cellStyle name="Normal 36 3 5" xfId="42686"/>
    <cellStyle name="Normal 36 3 5 2" xfId="42687"/>
    <cellStyle name="Normal 36 3 6" xfId="42688"/>
    <cellStyle name="Normal 36 3 6 2" xfId="42689"/>
    <cellStyle name="Normal 36 3 7" xfId="42690"/>
    <cellStyle name="Normal 36 3 7 2" xfId="42691"/>
    <cellStyle name="Normal 36 3 8" xfId="42692"/>
    <cellStyle name="Normal 36 3 8 2" xfId="42693"/>
    <cellStyle name="Normal 36 3 9" xfId="42694"/>
    <cellStyle name="Normal 36 3 9 2" xfId="42695"/>
    <cellStyle name="Normal 36 3_Dakota Panel" xfId="42696"/>
    <cellStyle name="Normal 36 4" xfId="42697"/>
    <cellStyle name="Normal 36 4 2" xfId="42698"/>
    <cellStyle name="Normal 36 4 2 2" xfId="42699"/>
    <cellStyle name="Normal 36 4 3" xfId="42700"/>
    <cellStyle name="Normal 36 4 3 2" xfId="42701"/>
    <cellStyle name="Normal 36 4 4" xfId="42702"/>
    <cellStyle name="Normal 36 4 5" xfId="42703"/>
    <cellStyle name="Normal 36 5" xfId="42704"/>
    <cellStyle name="Normal 36 5 2" xfId="42705"/>
    <cellStyle name="Normal 36 6" xfId="42706"/>
    <cellStyle name="Normal 36 6 2" xfId="42707"/>
    <cellStyle name="Normal 36 7" xfId="42708"/>
    <cellStyle name="Normal 36 7 2" xfId="42709"/>
    <cellStyle name="Normal 36 8" xfId="42710"/>
    <cellStyle name="Normal 36 8 2" xfId="42711"/>
    <cellStyle name="Normal 36 9" xfId="42712"/>
    <cellStyle name="Normal 36 9 2" xfId="42713"/>
    <cellStyle name="Normal 36_Dakota Panel" xfId="42714"/>
    <cellStyle name="Normal 37" xfId="4373"/>
    <cellStyle name="Normal 37 10" xfId="42715"/>
    <cellStyle name="Normal 37 10 2" xfId="42716"/>
    <cellStyle name="Normal 37 11" xfId="42717"/>
    <cellStyle name="Normal 37 11 2" xfId="42718"/>
    <cellStyle name="Normal 37 12" xfId="42719"/>
    <cellStyle name="Normal 37 2" xfId="4374"/>
    <cellStyle name="Normal 37 2 2" xfId="42720"/>
    <cellStyle name="Normal 37 2 2 2" xfId="42721"/>
    <cellStyle name="Normal 37 2 3" xfId="42722"/>
    <cellStyle name="Normal 37 3" xfId="42723"/>
    <cellStyle name="Normal 37 3 2" xfId="42724"/>
    <cellStyle name="Normal 37 3 2 2" xfId="42725"/>
    <cellStyle name="Normal 37 3 3" xfId="42726"/>
    <cellStyle name="Normal 37 3 3 2" xfId="42727"/>
    <cellStyle name="Normal 37 3 4" xfId="42728"/>
    <cellStyle name="Normal 37 3 4 2" xfId="42729"/>
    <cellStyle name="Normal 37 3 5" xfId="42730"/>
    <cellStyle name="Normal 37 3 5 2" xfId="42731"/>
    <cellStyle name="Normal 37 3 6" xfId="42732"/>
    <cellStyle name="Normal 37 3 6 2" xfId="42733"/>
    <cellStyle name="Normal 37 3 7" xfId="42734"/>
    <cellStyle name="Normal 37 3 7 2" xfId="42735"/>
    <cellStyle name="Normal 37 3 8" xfId="42736"/>
    <cellStyle name="Normal 37 3 8 2" xfId="42737"/>
    <cellStyle name="Normal 37 3 9" xfId="42738"/>
    <cellStyle name="Normal 37 3 9 2" xfId="42739"/>
    <cellStyle name="Normal 37 3_Dakota Panel" xfId="42740"/>
    <cellStyle name="Normal 37 4" xfId="42741"/>
    <cellStyle name="Normal 37 4 2" xfId="42742"/>
    <cellStyle name="Normal 37 4 2 2" xfId="42743"/>
    <cellStyle name="Normal 37 4 3" xfId="42744"/>
    <cellStyle name="Normal 37 4 3 2" xfId="42745"/>
    <cellStyle name="Normal 37 4 4" xfId="42746"/>
    <cellStyle name="Normal 37 4 5" xfId="42747"/>
    <cellStyle name="Normal 37 5" xfId="42748"/>
    <cellStyle name="Normal 37 5 2" xfId="42749"/>
    <cellStyle name="Normal 37 6" xfId="42750"/>
    <cellStyle name="Normal 37 6 2" xfId="42751"/>
    <cellStyle name="Normal 37 7" xfId="42752"/>
    <cellStyle name="Normal 37 7 2" xfId="42753"/>
    <cellStyle name="Normal 37 8" xfId="42754"/>
    <cellStyle name="Normal 37 8 2" xfId="42755"/>
    <cellStyle name="Normal 37 9" xfId="42756"/>
    <cellStyle name="Normal 37 9 2" xfId="42757"/>
    <cellStyle name="Normal 37_Dakota Panel" xfId="42758"/>
    <cellStyle name="Normal 38" xfId="4375"/>
    <cellStyle name="Normal 38 10" xfId="42759"/>
    <cellStyle name="Normal 38 10 2" xfId="42760"/>
    <cellStyle name="Normal 38 11" xfId="42761"/>
    <cellStyle name="Normal 38 11 2" xfId="42762"/>
    <cellStyle name="Normal 38 12" xfId="42763"/>
    <cellStyle name="Normal 38 2" xfId="4376"/>
    <cellStyle name="Normal 38 2 2" xfId="42764"/>
    <cellStyle name="Normal 38 2 2 2" xfId="42765"/>
    <cellStyle name="Normal 38 2 3" xfId="42766"/>
    <cellStyle name="Normal 38 3" xfId="42767"/>
    <cellStyle name="Normal 38 3 10" xfId="42768"/>
    <cellStyle name="Normal 38 3 10 2" xfId="42769"/>
    <cellStyle name="Normal 38 3 11" xfId="42770"/>
    <cellStyle name="Normal 38 3 11 2" xfId="42771"/>
    <cellStyle name="Normal 38 3 12" xfId="42772"/>
    <cellStyle name="Normal 38 3 2" xfId="42773"/>
    <cellStyle name="Normal 38 3 2 2" xfId="42774"/>
    <cellStyle name="Normal 38 3 2 2 2" xfId="42775"/>
    <cellStyle name="Normal 38 3 2 3" xfId="42776"/>
    <cellStyle name="Normal 38 3 2 3 2" xfId="42777"/>
    <cellStyle name="Normal 38 3 2 4" xfId="42778"/>
    <cellStyle name="Normal 38 3 2 4 2" xfId="42779"/>
    <cellStyle name="Normal 38 3 2 5" xfId="42780"/>
    <cellStyle name="Normal 38 3 2 5 2" xfId="42781"/>
    <cellStyle name="Normal 38 3 2 6" xfId="42782"/>
    <cellStyle name="Normal 38 3 2 6 2" xfId="42783"/>
    <cellStyle name="Normal 38 3 2 7" xfId="42784"/>
    <cellStyle name="Normal 38 3 2 7 2" xfId="42785"/>
    <cellStyle name="Normal 38 3 2 8" xfId="42786"/>
    <cellStyle name="Normal 38 3 2 8 2" xfId="42787"/>
    <cellStyle name="Normal 38 3 2 9" xfId="42788"/>
    <cellStyle name="Normal 38 3 2 9 2" xfId="42789"/>
    <cellStyle name="Normal 38 3 2_Dakota Panel" xfId="42790"/>
    <cellStyle name="Normal 38 3 3" xfId="42791"/>
    <cellStyle name="Normal 38 3 3 2" xfId="42792"/>
    <cellStyle name="Normal 38 3 3 2 2" xfId="42793"/>
    <cellStyle name="Normal 38 3 3 3" xfId="42794"/>
    <cellStyle name="Normal 38 3 3 3 2" xfId="42795"/>
    <cellStyle name="Normal 38 3 3 4" xfId="42796"/>
    <cellStyle name="Normal 38 3 3 5" xfId="42797"/>
    <cellStyle name="Normal 38 3 4" xfId="42798"/>
    <cellStyle name="Normal 38 3 4 2" xfId="42799"/>
    <cellStyle name="Normal 38 3 5" xfId="42800"/>
    <cellStyle name="Normal 38 3 5 2" xfId="42801"/>
    <cellStyle name="Normal 38 3 6" xfId="42802"/>
    <cellStyle name="Normal 38 3 6 2" xfId="42803"/>
    <cellStyle name="Normal 38 3 7" xfId="42804"/>
    <cellStyle name="Normal 38 3 7 2" xfId="42805"/>
    <cellStyle name="Normal 38 3 8" xfId="42806"/>
    <cellStyle name="Normal 38 3 8 2" xfId="42807"/>
    <cellStyle name="Normal 38 3 9" xfId="42808"/>
    <cellStyle name="Normal 38 3 9 2" xfId="42809"/>
    <cellStyle name="Normal 38 3_Dakota Panel" xfId="42810"/>
    <cellStyle name="Normal 38 4" xfId="42811"/>
    <cellStyle name="Normal 38 4 2" xfId="42812"/>
    <cellStyle name="Normal 38 4 2 2" xfId="42813"/>
    <cellStyle name="Normal 38 4 3" xfId="42814"/>
    <cellStyle name="Normal 38 5" xfId="42815"/>
    <cellStyle name="Normal 38 5 2" xfId="42816"/>
    <cellStyle name="Normal 38 5 2 2" xfId="42817"/>
    <cellStyle name="Normal 38 5 3" xfId="42818"/>
    <cellStyle name="Normal 38 5 3 2" xfId="42819"/>
    <cellStyle name="Normal 38 5 4" xfId="42820"/>
    <cellStyle name="Normal 38 5 4 2" xfId="42821"/>
    <cellStyle name="Normal 38 5 5" xfId="42822"/>
    <cellStyle name="Normal 38 5 5 2" xfId="42823"/>
    <cellStyle name="Normal 38 5 6" xfId="42824"/>
    <cellStyle name="Normal 38 5 6 2" xfId="42825"/>
    <cellStyle name="Normal 38 5 7" xfId="42826"/>
    <cellStyle name="Normal 38 5 7 2" xfId="42827"/>
    <cellStyle name="Normal 38 5 8" xfId="42828"/>
    <cellStyle name="Normal 38 5 8 2" xfId="42829"/>
    <cellStyle name="Normal 38 5 9" xfId="42830"/>
    <cellStyle name="Normal 38 5 9 2" xfId="42831"/>
    <cellStyle name="Normal 38 5_Dakota Panel" xfId="42832"/>
    <cellStyle name="Normal 38 6" xfId="42833"/>
    <cellStyle name="Normal 38 6 2" xfId="42834"/>
    <cellStyle name="Normal 38 6 2 2" xfId="42835"/>
    <cellStyle name="Normal 38 6 3" xfId="42836"/>
    <cellStyle name="Normal 38 6 3 2" xfId="42837"/>
    <cellStyle name="Normal 38 6 4" xfId="42838"/>
    <cellStyle name="Normal 38 6 5" xfId="42839"/>
    <cellStyle name="Normal 38 7" xfId="42840"/>
    <cellStyle name="Normal 38 7 2" xfId="42841"/>
    <cellStyle name="Normal 38 8" xfId="42842"/>
    <cellStyle name="Normal 38 8 2" xfId="42843"/>
    <cellStyle name="Normal 38 9" xfId="42844"/>
    <cellStyle name="Normal 38 9 2" xfId="42845"/>
    <cellStyle name="Normal 38_Dakota Panel" xfId="42846"/>
    <cellStyle name="Normal 39" xfId="4377"/>
    <cellStyle name="Normal 39 10" xfId="42847"/>
    <cellStyle name="Normal 39 10 2" xfId="42848"/>
    <cellStyle name="Normal 39 11" xfId="42849"/>
    <cellStyle name="Normal 39 11 2" xfId="42850"/>
    <cellStyle name="Normal 39 12" xfId="42851"/>
    <cellStyle name="Normal 39 2" xfId="4378"/>
    <cellStyle name="Normal 39 2 2" xfId="42852"/>
    <cellStyle name="Normal 39 2 2 2" xfId="42853"/>
    <cellStyle name="Normal 39 2 3" xfId="42854"/>
    <cellStyle name="Normal 39 3" xfId="42855"/>
    <cellStyle name="Normal 39 3 2" xfId="42856"/>
    <cellStyle name="Normal 39 3 2 2" xfId="42857"/>
    <cellStyle name="Normal 39 3 3" xfId="42858"/>
    <cellStyle name="Normal 39 4" xfId="42859"/>
    <cellStyle name="Normal 39 4 2" xfId="42860"/>
    <cellStyle name="Normal 39 4 2 2" xfId="42861"/>
    <cellStyle name="Normal 39 4 3" xfId="42862"/>
    <cellStyle name="Normal 39 4 3 2" xfId="42863"/>
    <cellStyle name="Normal 39 4 4" xfId="42864"/>
    <cellStyle name="Normal 39 4 4 2" xfId="42865"/>
    <cellStyle name="Normal 39 4 5" xfId="42866"/>
    <cellStyle name="Normal 39 4 5 2" xfId="42867"/>
    <cellStyle name="Normal 39 4 6" xfId="42868"/>
    <cellStyle name="Normal 39 4 6 2" xfId="42869"/>
    <cellStyle name="Normal 39 4 7" xfId="42870"/>
    <cellStyle name="Normal 39 4 7 2" xfId="42871"/>
    <cellStyle name="Normal 39 4 8" xfId="42872"/>
    <cellStyle name="Normal 39 4 8 2" xfId="42873"/>
    <cellStyle name="Normal 39 4 9" xfId="42874"/>
    <cellStyle name="Normal 39 4 9 2" xfId="42875"/>
    <cellStyle name="Normal 39 4_Dakota Panel" xfId="42876"/>
    <cellStyle name="Normal 39 5" xfId="42877"/>
    <cellStyle name="Normal 39 5 2" xfId="42878"/>
    <cellStyle name="Normal 39 5 2 2" xfId="42879"/>
    <cellStyle name="Normal 39 5 3" xfId="42880"/>
    <cellStyle name="Normal 39 5 3 2" xfId="42881"/>
    <cellStyle name="Normal 39 5 4" xfId="42882"/>
    <cellStyle name="Normal 39 5 5" xfId="42883"/>
    <cellStyle name="Normal 39 6" xfId="42884"/>
    <cellStyle name="Normal 39 6 2" xfId="42885"/>
    <cellStyle name="Normal 39 7" xfId="42886"/>
    <cellStyle name="Normal 39 7 2" xfId="42887"/>
    <cellStyle name="Normal 39 8" xfId="42888"/>
    <cellStyle name="Normal 39 8 2" xfId="42889"/>
    <cellStyle name="Normal 39 9" xfId="42890"/>
    <cellStyle name="Normal 39 9 2" xfId="42891"/>
    <cellStyle name="Normal 39_Dakota Panel" xfId="42892"/>
    <cellStyle name="Normal 4" xfId="28"/>
    <cellStyle name="Normal 4 10" xfId="42893"/>
    <cellStyle name="Normal 4 11" xfId="42894"/>
    <cellStyle name="Normal 4 12" xfId="42895"/>
    <cellStyle name="Normal 4 2" xfId="87"/>
    <cellStyle name="Normal 4 2 10" xfId="42896"/>
    <cellStyle name="Normal 4 2 10 2" xfId="42897"/>
    <cellStyle name="Normal 4 2 11" xfId="42898"/>
    <cellStyle name="Normal 4 2 11 2" xfId="42899"/>
    <cellStyle name="Normal 4 2 11 2 2" xfId="42900"/>
    <cellStyle name="Normal 4 2 11 2 2 2" xfId="42901"/>
    <cellStyle name="Normal 4 2 11 2 2 3" xfId="42902"/>
    <cellStyle name="Normal 4 2 11 2 3" xfId="42903"/>
    <cellStyle name="Normal 4 2 11 2 3 2" xfId="42904"/>
    <cellStyle name="Normal 4 2 11 2 4" xfId="42905"/>
    <cellStyle name="Normal 4 2 11 2 5" xfId="42906"/>
    <cellStyle name="Normal 4 2 11 3" xfId="42907"/>
    <cellStyle name="Normal 4 2 11 3 2" xfId="42908"/>
    <cellStyle name="Normal 4 2 11 3 2 2" xfId="42909"/>
    <cellStyle name="Normal 4 2 11 3 3" xfId="42910"/>
    <cellStyle name="Normal 4 2 11 3 4" xfId="42911"/>
    <cellStyle name="Normal 4 2 11 4" xfId="42912"/>
    <cellStyle name="Normal 4 2 11 4 2" xfId="42913"/>
    <cellStyle name="Normal 4 2 11 4 2 2" xfId="42914"/>
    <cellStyle name="Normal 4 2 11 4 3" xfId="42915"/>
    <cellStyle name="Normal 4 2 11 4 4" xfId="42916"/>
    <cellStyle name="Normal 4 2 11 5" xfId="42917"/>
    <cellStyle name="Normal 4 2 11 5 2" xfId="42918"/>
    <cellStyle name="Normal 4 2 11 6" xfId="42919"/>
    <cellStyle name="Normal 4 2 11 7" xfId="42920"/>
    <cellStyle name="Normal 4 2 11 8" xfId="42921"/>
    <cellStyle name="Normal 4 2 12" xfId="42922"/>
    <cellStyle name="Normal 4 2 12 2" xfId="42923"/>
    <cellStyle name="Normal 4 2 12 2 2" xfId="42924"/>
    <cellStyle name="Normal 4 2 12 2 2 2" xfId="42925"/>
    <cellStyle name="Normal 4 2 12 2 2 3" xfId="42926"/>
    <cellStyle name="Normal 4 2 12 2 3" xfId="42927"/>
    <cellStyle name="Normal 4 2 12 2 3 2" xfId="42928"/>
    <cellStyle name="Normal 4 2 12 2 4" xfId="42929"/>
    <cellStyle name="Normal 4 2 12 2 5" xfId="42930"/>
    <cellStyle name="Normal 4 2 12 3" xfId="42931"/>
    <cellStyle name="Normal 4 2 12 3 2" xfId="42932"/>
    <cellStyle name="Normal 4 2 12 3 2 2" xfId="42933"/>
    <cellStyle name="Normal 4 2 12 3 3" xfId="42934"/>
    <cellStyle name="Normal 4 2 12 3 4" xfId="42935"/>
    <cellStyle name="Normal 4 2 12 4" xfId="42936"/>
    <cellStyle name="Normal 4 2 12 4 2" xfId="42937"/>
    <cellStyle name="Normal 4 2 12 4 2 2" xfId="42938"/>
    <cellStyle name="Normal 4 2 12 4 3" xfId="42939"/>
    <cellStyle name="Normal 4 2 12 4 4" xfId="42940"/>
    <cellStyle name="Normal 4 2 12 5" xfId="42941"/>
    <cellStyle name="Normal 4 2 12 5 2" xfId="42942"/>
    <cellStyle name="Normal 4 2 12 6" xfId="42943"/>
    <cellStyle name="Normal 4 2 12 7" xfId="42944"/>
    <cellStyle name="Normal 4 2 12 8" xfId="42945"/>
    <cellStyle name="Normal 4 2 13" xfId="42946"/>
    <cellStyle name="Normal 4 2 13 2" xfId="42947"/>
    <cellStyle name="Normal 4 2 13 2 2" xfId="42948"/>
    <cellStyle name="Normal 4 2 13 2 2 2" xfId="42949"/>
    <cellStyle name="Normal 4 2 13 2 2 3" xfId="42950"/>
    <cellStyle name="Normal 4 2 13 2 3" xfId="42951"/>
    <cellStyle name="Normal 4 2 13 2 3 2" xfId="42952"/>
    <cellStyle name="Normal 4 2 13 2 4" xfId="42953"/>
    <cellStyle name="Normal 4 2 13 2 5" xfId="42954"/>
    <cellStyle name="Normal 4 2 13 3" xfId="42955"/>
    <cellStyle name="Normal 4 2 13 3 2" xfId="42956"/>
    <cellStyle name="Normal 4 2 13 3 2 2" xfId="42957"/>
    <cellStyle name="Normal 4 2 13 3 3" xfId="42958"/>
    <cellStyle name="Normal 4 2 13 3 4" xfId="42959"/>
    <cellStyle name="Normal 4 2 13 4" xfId="42960"/>
    <cellStyle name="Normal 4 2 13 4 2" xfId="42961"/>
    <cellStyle name="Normal 4 2 13 4 2 2" xfId="42962"/>
    <cellStyle name="Normal 4 2 13 4 3" xfId="42963"/>
    <cellStyle name="Normal 4 2 13 4 4" xfId="42964"/>
    <cellStyle name="Normal 4 2 13 5" xfId="42965"/>
    <cellStyle name="Normal 4 2 13 5 2" xfId="42966"/>
    <cellStyle name="Normal 4 2 13 6" xfId="42967"/>
    <cellStyle name="Normal 4 2 13 7" xfId="42968"/>
    <cellStyle name="Normal 4 2 13 8" xfId="42969"/>
    <cellStyle name="Normal 4 2 14" xfId="42970"/>
    <cellStyle name="Normal 4 2 15" xfId="42971"/>
    <cellStyle name="Normal 4 2 2" xfId="4379"/>
    <cellStyle name="Normal 4 2 2 2" xfId="42972"/>
    <cellStyle name="Normal 4 2 2 2 2" xfId="42973"/>
    <cellStyle name="Normal 4 2 2 2 2 2" xfId="42974"/>
    <cellStyle name="Normal 4 2 2 2 2 2 2" xfId="42975"/>
    <cellStyle name="Normal 4 2 2 2 2 2 2 2" xfId="42976"/>
    <cellStyle name="Normal 4 2 2 2 2 2 2 2 2" xfId="42977"/>
    <cellStyle name="Normal 4 2 2 2 2 2 2 2 3" xfId="42978"/>
    <cellStyle name="Normal 4 2 2 2 2 2 2 3" xfId="42979"/>
    <cellStyle name="Normal 4 2 2 2 2 2 2 3 2" xfId="42980"/>
    <cellStyle name="Normal 4 2 2 2 2 2 2 4" xfId="42981"/>
    <cellStyle name="Normal 4 2 2 2 2 2 2 5" xfId="42982"/>
    <cellStyle name="Normal 4 2 2 2 2 2 3" xfId="42983"/>
    <cellStyle name="Normal 4 2 2 2 2 2 3 2" xfId="42984"/>
    <cellStyle name="Normal 4 2 2 2 2 2 3 2 2" xfId="42985"/>
    <cellStyle name="Normal 4 2 2 2 2 2 3 3" xfId="42986"/>
    <cellStyle name="Normal 4 2 2 2 2 2 3 4" xfId="42987"/>
    <cellStyle name="Normal 4 2 2 2 2 2 4" xfId="42988"/>
    <cellStyle name="Normal 4 2 2 2 2 2 4 2" xfId="42989"/>
    <cellStyle name="Normal 4 2 2 2 2 2 4 2 2" xfId="42990"/>
    <cellStyle name="Normal 4 2 2 2 2 2 4 3" xfId="42991"/>
    <cellStyle name="Normal 4 2 2 2 2 2 4 4" xfId="42992"/>
    <cellStyle name="Normal 4 2 2 2 2 2 5" xfId="42993"/>
    <cellStyle name="Normal 4 2 2 2 2 2 5 2" xfId="42994"/>
    <cellStyle name="Normal 4 2 2 2 2 2 6" xfId="42995"/>
    <cellStyle name="Normal 4 2 2 2 2 2 7" xfId="42996"/>
    <cellStyle name="Normal 4 2 2 2 2 2 8" xfId="42997"/>
    <cellStyle name="Normal 4 2 2 2 2 3" xfId="42998"/>
    <cellStyle name="Normal 4 2 2 2 2 3 2" xfId="42999"/>
    <cellStyle name="Normal 4 2 2 2 2 3 2 2" xfId="43000"/>
    <cellStyle name="Normal 4 2 2 2 2 3 2 2 2" xfId="43001"/>
    <cellStyle name="Normal 4 2 2 2 2 3 2 2 3" xfId="43002"/>
    <cellStyle name="Normal 4 2 2 2 2 3 2 3" xfId="43003"/>
    <cellStyle name="Normal 4 2 2 2 2 3 2 3 2" xfId="43004"/>
    <cellStyle name="Normal 4 2 2 2 2 3 2 4" xfId="43005"/>
    <cellStyle name="Normal 4 2 2 2 2 3 2 5" xfId="43006"/>
    <cellStyle name="Normal 4 2 2 2 2 3 3" xfId="43007"/>
    <cellStyle name="Normal 4 2 2 2 2 3 3 2" xfId="43008"/>
    <cellStyle name="Normal 4 2 2 2 2 3 3 2 2" xfId="43009"/>
    <cellStyle name="Normal 4 2 2 2 2 3 3 3" xfId="43010"/>
    <cellStyle name="Normal 4 2 2 2 2 3 3 4" xfId="43011"/>
    <cellStyle name="Normal 4 2 2 2 2 3 4" xfId="43012"/>
    <cellStyle name="Normal 4 2 2 2 2 3 4 2" xfId="43013"/>
    <cellStyle name="Normal 4 2 2 2 2 3 4 2 2" xfId="43014"/>
    <cellStyle name="Normal 4 2 2 2 2 3 4 3" xfId="43015"/>
    <cellStyle name="Normal 4 2 2 2 2 3 4 4" xfId="43016"/>
    <cellStyle name="Normal 4 2 2 2 2 3 5" xfId="43017"/>
    <cellStyle name="Normal 4 2 2 2 2 3 5 2" xfId="43018"/>
    <cellStyle name="Normal 4 2 2 2 2 3 6" xfId="43019"/>
    <cellStyle name="Normal 4 2 2 2 2 3 7" xfId="43020"/>
    <cellStyle name="Normal 4 2 2 2 2 3 8" xfId="43021"/>
    <cellStyle name="Normal 4 2 2 2 2 4" xfId="43022"/>
    <cellStyle name="Normal 4 2 2 2 2 4 2" xfId="43023"/>
    <cellStyle name="Normal 4 2 2 2 2 4 2 2" xfId="43024"/>
    <cellStyle name="Normal 4 2 2 2 2 4 2 2 2" xfId="43025"/>
    <cellStyle name="Normal 4 2 2 2 2 4 2 2 3" xfId="43026"/>
    <cellStyle name="Normal 4 2 2 2 2 4 2 3" xfId="43027"/>
    <cellStyle name="Normal 4 2 2 2 2 4 2 3 2" xfId="43028"/>
    <cellStyle name="Normal 4 2 2 2 2 4 2 4" xfId="43029"/>
    <cellStyle name="Normal 4 2 2 2 2 4 2 5" xfId="43030"/>
    <cellStyle name="Normal 4 2 2 2 2 4 3" xfId="43031"/>
    <cellStyle name="Normal 4 2 2 2 2 4 3 2" xfId="43032"/>
    <cellStyle name="Normal 4 2 2 2 2 4 3 2 2" xfId="43033"/>
    <cellStyle name="Normal 4 2 2 2 2 4 3 3" xfId="43034"/>
    <cellStyle name="Normal 4 2 2 2 2 4 3 4" xfId="43035"/>
    <cellStyle name="Normal 4 2 2 2 2 4 4" xfId="43036"/>
    <cellStyle name="Normal 4 2 2 2 2 4 4 2" xfId="43037"/>
    <cellStyle name="Normal 4 2 2 2 2 4 4 2 2" xfId="43038"/>
    <cellStyle name="Normal 4 2 2 2 2 4 4 3" xfId="43039"/>
    <cellStyle name="Normal 4 2 2 2 2 4 4 4" xfId="43040"/>
    <cellStyle name="Normal 4 2 2 2 2 4 5" xfId="43041"/>
    <cellStyle name="Normal 4 2 2 2 2 4 5 2" xfId="43042"/>
    <cellStyle name="Normal 4 2 2 2 2 4 6" xfId="43043"/>
    <cellStyle name="Normal 4 2 2 2 2 4 7" xfId="43044"/>
    <cellStyle name="Normal 4 2 2 2 2 4 8" xfId="43045"/>
    <cellStyle name="Normal 4 2 2 2 2 5" xfId="43046"/>
    <cellStyle name="Normal 4 2 2 2 3" xfId="43047"/>
    <cellStyle name="Normal 4 2 2 2 3 2" xfId="43048"/>
    <cellStyle name="Normal 4 2 2 2 3 2 2" xfId="43049"/>
    <cellStyle name="Normal 4 2 2 2 3 2 2 2" xfId="43050"/>
    <cellStyle name="Normal 4 2 2 2 3 2 2 3" xfId="43051"/>
    <cellStyle name="Normal 4 2 2 2 3 2 3" xfId="43052"/>
    <cellStyle name="Normal 4 2 2 2 3 2 3 2" xfId="43053"/>
    <cellStyle name="Normal 4 2 2 2 3 2 4" xfId="43054"/>
    <cellStyle name="Normal 4 2 2 2 3 2 5" xfId="43055"/>
    <cellStyle name="Normal 4 2 2 2 3 3" xfId="43056"/>
    <cellStyle name="Normal 4 2 2 2 3 3 2" xfId="43057"/>
    <cellStyle name="Normal 4 2 2 2 3 3 2 2" xfId="43058"/>
    <cellStyle name="Normal 4 2 2 2 3 3 3" xfId="43059"/>
    <cellStyle name="Normal 4 2 2 2 3 3 4" xfId="43060"/>
    <cellStyle name="Normal 4 2 2 2 3 4" xfId="43061"/>
    <cellStyle name="Normal 4 2 2 2 3 4 2" xfId="43062"/>
    <cellStyle name="Normal 4 2 2 2 3 4 2 2" xfId="43063"/>
    <cellStyle name="Normal 4 2 2 2 3 4 3" xfId="43064"/>
    <cellStyle name="Normal 4 2 2 2 3 4 4" xfId="43065"/>
    <cellStyle name="Normal 4 2 2 2 3 5" xfId="43066"/>
    <cellStyle name="Normal 4 2 2 2 3 5 2" xfId="43067"/>
    <cellStyle name="Normal 4 2 2 2 3 6" xfId="43068"/>
    <cellStyle name="Normal 4 2 2 2 3 7" xfId="43069"/>
    <cellStyle name="Normal 4 2 2 2 3 8" xfId="43070"/>
    <cellStyle name="Normal 4 2 2 2 4" xfId="43071"/>
    <cellStyle name="Normal 4 2 2 2 4 2" xfId="43072"/>
    <cellStyle name="Normal 4 2 2 2 4 2 2" xfId="43073"/>
    <cellStyle name="Normal 4 2 2 2 4 2 2 2" xfId="43074"/>
    <cellStyle name="Normal 4 2 2 2 4 2 2 3" xfId="43075"/>
    <cellStyle name="Normal 4 2 2 2 4 2 3" xfId="43076"/>
    <cellStyle name="Normal 4 2 2 2 4 2 3 2" xfId="43077"/>
    <cellStyle name="Normal 4 2 2 2 4 2 4" xfId="43078"/>
    <cellStyle name="Normal 4 2 2 2 4 2 5" xfId="43079"/>
    <cellStyle name="Normal 4 2 2 2 4 3" xfId="43080"/>
    <cellStyle name="Normal 4 2 2 2 4 3 2" xfId="43081"/>
    <cellStyle name="Normal 4 2 2 2 4 3 2 2" xfId="43082"/>
    <cellStyle name="Normal 4 2 2 2 4 3 3" xfId="43083"/>
    <cellStyle name="Normal 4 2 2 2 4 3 4" xfId="43084"/>
    <cellStyle name="Normal 4 2 2 2 4 4" xfId="43085"/>
    <cellStyle name="Normal 4 2 2 2 4 4 2" xfId="43086"/>
    <cellStyle name="Normal 4 2 2 2 4 4 2 2" xfId="43087"/>
    <cellStyle name="Normal 4 2 2 2 4 4 3" xfId="43088"/>
    <cellStyle name="Normal 4 2 2 2 4 4 4" xfId="43089"/>
    <cellStyle name="Normal 4 2 2 2 4 5" xfId="43090"/>
    <cellStyle name="Normal 4 2 2 2 4 5 2" xfId="43091"/>
    <cellStyle name="Normal 4 2 2 2 4 6" xfId="43092"/>
    <cellStyle name="Normal 4 2 2 2 4 7" xfId="43093"/>
    <cellStyle name="Normal 4 2 2 2 4 8" xfId="43094"/>
    <cellStyle name="Normal 4 2 2 2 5" xfId="43095"/>
    <cellStyle name="Normal 4 2 2 2 5 2" xfId="43096"/>
    <cellStyle name="Normal 4 2 2 2 5 2 2" xfId="43097"/>
    <cellStyle name="Normal 4 2 2 2 5 2 2 2" xfId="43098"/>
    <cellStyle name="Normal 4 2 2 2 5 2 2 3" xfId="43099"/>
    <cellStyle name="Normal 4 2 2 2 5 2 3" xfId="43100"/>
    <cellStyle name="Normal 4 2 2 2 5 2 3 2" xfId="43101"/>
    <cellStyle name="Normal 4 2 2 2 5 2 4" xfId="43102"/>
    <cellStyle name="Normal 4 2 2 2 5 2 5" xfId="43103"/>
    <cellStyle name="Normal 4 2 2 2 5 3" xfId="43104"/>
    <cellStyle name="Normal 4 2 2 2 5 3 2" xfId="43105"/>
    <cellStyle name="Normal 4 2 2 2 5 3 2 2" xfId="43106"/>
    <cellStyle name="Normal 4 2 2 2 5 3 3" xfId="43107"/>
    <cellStyle name="Normal 4 2 2 2 5 3 4" xfId="43108"/>
    <cellStyle name="Normal 4 2 2 2 5 4" xfId="43109"/>
    <cellStyle name="Normal 4 2 2 2 5 4 2" xfId="43110"/>
    <cellStyle name="Normal 4 2 2 2 5 4 2 2" xfId="43111"/>
    <cellStyle name="Normal 4 2 2 2 5 4 3" xfId="43112"/>
    <cellStyle name="Normal 4 2 2 2 5 4 4" xfId="43113"/>
    <cellStyle name="Normal 4 2 2 2 5 5" xfId="43114"/>
    <cellStyle name="Normal 4 2 2 2 5 5 2" xfId="43115"/>
    <cellStyle name="Normal 4 2 2 2 5 6" xfId="43116"/>
    <cellStyle name="Normal 4 2 2 2 5 7" xfId="43117"/>
    <cellStyle name="Normal 4 2 2 2 5 8" xfId="43118"/>
    <cellStyle name="Normal 4 2 2 2 6" xfId="43119"/>
    <cellStyle name="Normal 4 2 2 3" xfId="43120"/>
    <cellStyle name="Normal 4 2 2 3 2" xfId="43121"/>
    <cellStyle name="Normal 4 2 2 3 2 2" xfId="43122"/>
    <cellStyle name="Normal 4 2 2 3 2 2 2" xfId="43123"/>
    <cellStyle name="Normal 4 2 2 3 2 2 2 2" xfId="43124"/>
    <cellStyle name="Normal 4 2 2 3 2 2 2 3" xfId="43125"/>
    <cellStyle name="Normal 4 2 2 3 2 2 3" xfId="43126"/>
    <cellStyle name="Normal 4 2 2 3 2 2 3 2" xfId="43127"/>
    <cellStyle name="Normal 4 2 2 3 2 2 4" xfId="43128"/>
    <cellStyle name="Normal 4 2 2 3 2 2 5" xfId="43129"/>
    <cellStyle name="Normal 4 2 2 3 2 3" xfId="43130"/>
    <cellStyle name="Normal 4 2 2 3 2 3 2" xfId="43131"/>
    <cellStyle name="Normal 4 2 2 3 2 3 2 2" xfId="43132"/>
    <cellStyle name="Normal 4 2 2 3 2 3 3" xfId="43133"/>
    <cellStyle name="Normal 4 2 2 3 2 3 4" xfId="43134"/>
    <cellStyle name="Normal 4 2 2 3 2 4" xfId="43135"/>
    <cellStyle name="Normal 4 2 2 3 2 4 2" xfId="43136"/>
    <cellStyle name="Normal 4 2 2 3 2 4 2 2" xfId="43137"/>
    <cellStyle name="Normal 4 2 2 3 2 4 3" xfId="43138"/>
    <cellStyle name="Normal 4 2 2 3 2 4 4" xfId="43139"/>
    <cellStyle name="Normal 4 2 2 3 2 5" xfId="43140"/>
    <cellStyle name="Normal 4 2 2 3 2 5 2" xfId="43141"/>
    <cellStyle name="Normal 4 2 2 3 2 6" xfId="43142"/>
    <cellStyle name="Normal 4 2 2 3 2 7" xfId="43143"/>
    <cellStyle name="Normal 4 2 2 3 2 8" xfId="43144"/>
    <cellStyle name="Normal 4 2 2 3 3" xfId="43145"/>
    <cellStyle name="Normal 4 2 2 3 3 2" xfId="43146"/>
    <cellStyle name="Normal 4 2 2 3 3 2 2" xfId="43147"/>
    <cellStyle name="Normal 4 2 2 3 3 2 2 2" xfId="43148"/>
    <cellStyle name="Normal 4 2 2 3 3 2 2 3" xfId="43149"/>
    <cellStyle name="Normal 4 2 2 3 3 2 3" xfId="43150"/>
    <cellStyle name="Normal 4 2 2 3 3 2 3 2" xfId="43151"/>
    <cellStyle name="Normal 4 2 2 3 3 2 4" xfId="43152"/>
    <cellStyle name="Normal 4 2 2 3 3 2 5" xfId="43153"/>
    <cellStyle name="Normal 4 2 2 3 3 3" xfId="43154"/>
    <cellStyle name="Normal 4 2 2 3 3 3 2" xfId="43155"/>
    <cellStyle name="Normal 4 2 2 3 3 3 2 2" xfId="43156"/>
    <cellStyle name="Normal 4 2 2 3 3 3 3" xfId="43157"/>
    <cellStyle name="Normal 4 2 2 3 3 3 4" xfId="43158"/>
    <cellStyle name="Normal 4 2 2 3 3 4" xfId="43159"/>
    <cellStyle name="Normal 4 2 2 3 3 4 2" xfId="43160"/>
    <cellStyle name="Normal 4 2 2 3 3 4 2 2" xfId="43161"/>
    <cellStyle name="Normal 4 2 2 3 3 4 3" xfId="43162"/>
    <cellStyle name="Normal 4 2 2 3 3 4 4" xfId="43163"/>
    <cellStyle name="Normal 4 2 2 3 3 5" xfId="43164"/>
    <cellStyle name="Normal 4 2 2 3 3 5 2" xfId="43165"/>
    <cellStyle name="Normal 4 2 2 3 3 6" xfId="43166"/>
    <cellStyle name="Normal 4 2 2 3 3 7" xfId="43167"/>
    <cellStyle name="Normal 4 2 2 3 3 8" xfId="43168"/>
    <cellStyle name="Normal 4 2 2 3 4" xfId="43169"/>
    <cellStyle name="Normal 4 2 2 3 4 2" xfId="43170"/>
    <cellStyle name="Normal 4 2 2 3 4 2 2" xfId="43171"/>
    <cellStyle name="Normal 4 2 2 3 4 2 2 2" xfId="43172"/>
    <cellStyle name="Normal 4 2 2 3 4 2 2 3" xfId="43173"/>
    <cellStyle name="Normal 4 2 2 3 4 2 3" xfId="43174"/>
    <cellStyle name="Normal 4 2 2 3 4 2 3 2" xfId="43175"/>
    <cellStyle name="Normal 4 2 2 3 4 2 4" xfId="43176"/>
    <cellStyle name="Normal 4 2 2 3 4 2 5" xfId="43177"/>
    <cellStyle name="Normal 4 2 2 3 4 3" xfId="43178"/>
    <cellStyle name="Normal 4 2 2 3 4 3 2" xfId="43179"/>
    <cellStyle name="Normal 4 2 2 3 4 3 2 2" xfId="43180"/>
    <cellStyle name="Normal 4 2 2 3 4 3 3" xfId="43181"/>
    <cellStyle name="Normal 4 2 2 3 4 3 4" xfId="43182"/>
    <cellStyle name="Normal 4 2 2 3 4 4" xfId="43183"/>
    <cellStyle name="Normal 4 2 2 3 4 4 2" xfId="43184"/>
    <cellStyle name="Normal 4 2 2 3 4 4 2 2" xfId="43185"/>
    <cellStyle name="Normal 4 2 2 3 4 4 3" xfId="43186"/>
    <cellStyle name="Normal 4 2 2 3 4 4 4" xfId="43187"/>
    <cellStyle name="Normal 4 2 2 3 4 5" xfId="43188"/>
    <cellStyle name="Normal 4 2 2 3 4 5 2" xfId="43189"/>
    <cellStyle name="Normal 4 2 2 3 4 6" xfId="43190"/>
    <cellStyle name="Normal 4 2 2 3 4 7" xfId="43191"/>
    <cellStyle name="Normal 4 2 2 3 4 8" xfId="43192"/>
    <cellStyle name="Normal 4 2 2 3 5" xfId="43193"/>
    <cellStyle name="Normal 4 2 2 4" xfId="43194"/>
    <cellStyle name="Normal 4 2 2 4 2" xfId="43195"/>
    <cellStyle name="Normal 4 2 2 5" xfId="43196"/>
    <cellStyle name="Normal 4 2 2 5 2" xfId="43197"/>
    <cellStyle name="Normal 4 2 2 6" xfId="43198"/>
    <cellStyle name="Normal 4 2 2 6 2" xfId="43199"/>
    <cellStyle name="Normal 4 2 2 6 2 2" xfId="43200"/>
    <cellStyle name="Normal 4 2 2 6 2 2 2" xfId="43201"/>
    <cellStyle name="Normal 4 2 2 6 2 2 3" xfId="43202"/>
    <cellStyle name="Normal 4 2 2 6 2 3" xfId="43203"/>
    <cellStyle name="Normal 4 2 2 6 2 3 2" xfId="43204"/>
    <cellStyle name="Normal 4 2 2 6 2 4" xfId="43205"/>
    <cellStyle name="Normal 4 2 2 6 2 5" xfId="43206"/>
    <cellStyle name="Normal 4 2 2 6 3" xfId="43207"/>
    <cellStyle name="Normal 4 2 2 6 3 2" xfId="43208"/>
    <cellStyle name="Normal 4 2 2 6 3 2 2" xfId="43209"/>
    <cellStyle name="Normal 4 2 2 6 3 3" xfId="43210"/>
    <cellStyle name="Normal 4 2 2 6 3 4" xfId="43211"/>
    <cellStyle name="Normal 4 2 2 6 4" xfId="43212"/>
    <cellStyle name="Normal 4 2 2 6 4 2" xfId="43213"/>
    <cellStyle name="Normal 4 2 2 6 4 2 2" xfId="43214"/>
    <cellStyle name="Normal 4 2 2 6 4 3" xfId="43215"/>
    <cellStyle name="Normal 4 2 2 6 4 4" xfId="43216"/>
    <cellStyle name="Normal 4 2 2 6 5" xfId="43217"/>
    <cellStyle name="Normal 4 2 2 6 5 2" xfId="43218"/>
    <cellStyle name="Normal 4 2 2 6 6" xfId="43219"/>
    <cellStyle name="Normal 4 2 2 6 7" xfId="43220"/>
    <cellStyle name="Normal 4 2 2 6 8" xfId="43221"/>
    <cellStyle name="Normal 4 2 2 7" xfId="43222"/>
    <cellStyle name="Normal 4 2 2 7 2" xfId="43223"/>
    <cellStyle name="Normal 4 2 2 7 2 2" xfId="43224"/>
    <cellStyle name="Normal 4 2 2 7 2 2 2" xfId="43225"/>
    <cellStyle name="Normal 4 2 2 7 2 2 3" xfId="43226"/>
    <cellStyle name="Normal 4 2 2 7 2 3" xfId="43227"/>
    <cellStyle name="Normal 4 2 2 7 2 3 2" xfId="43228"/>
    <cellStyle name="Normal 4 2 2 7 2 4" xfId="43229"/>
    <cellStyle name="Normal 4 2 2 7 2 5" xfId="43230"/>
    <cellStyle name="Normal 4 2 2 7 3" xfId="43231"/>
    <cellStyle name="Normal 4 2 2 7 3 2" xfId="43232"/>
    <cellStyle name="Normal 4 2 2 7 3 2 2" xfId="43233"/>
    <cellStyle name="Normal 4 2 2 7 3 3" xfId="43234"/>
    <cellStyle name="Normal 4 2 2 7 3 4" xfId="43235"/>
    <cellStyle name="Normal 4 2 2 7 4" xfId="43236"/>
    <cellStyle name="Normal 4 2 2 7 4 2" xfId="43237"/>
    <cellStyle name="Normal 4 2 2 7 4 2 2" xfId="43238"/>
    <cellStyle name="Normal 4 2 2 7 4 3" xfId="43239"/>
    <cellStyle name="Normal 4 2 2 7 4 4" xfId="43240"/>
    <cellStyle name="Normal 4 2 2 7 5" xfId="43241"/>
    <cellStyle name="Normal 4 2 2 7 5 2" xfId="43242"/>
    <cellStyle name="Normal 4 2 2 7 6" xfId="43243"/>
    <cellStyle name="Normal 4 2 2 7 7" xfId="43244"/>
    <cellStyle name="Normal 4 2 2 7 8" xfId="43245"/>
    <cellStyle name="Normal 4 2 2 8" xfId="43246"/>
    <cellStyle name="Normal 4 2 2 8 2" xfId="43247"/>
    <cellStyle name="Normal 4 2 2 8 2 2" xfId="43248"/>
    <cellStyle name="Normal 4 2 2 8 2 2 2" xfId="43249"/>
    <cellStyle name="Normal 4 2 2 8 2 2 3" xfId="43250"/>
    <cellStyle name="Normal 4 2 2 8 2 3" xfId="43251"/>
    <cellStyle name="Normal 4 2 2 8 2 3 2" xfId="43252"/>
    <cellStyle name="Normal 4 2 2 8 2 4" xfId="43253"/>
    <cellStyle name="Normal 4 2 2 8 2 5" xfId="43254"/>
    <cellStyle name="Normal 4 2 2 8 3" xfId="43255"/>
    <cellStyle name="Normal 4 2 2 8 3 2" xfId="43256"/>
    <cellStyle name="Normal 4 2 2 8 3 2 2" xfId="43257"/>
    <cellStyle name="Normal 4 2 2 8 3 3" xfId="43258"/>
    <cellStyle name="Normal 4 2 2 8 3 4" xfId="43259"/>
    <cellStyle name="Normal 4 2 2 8 4" xfId="43260"/>
    <cellStyle name="Normal 4 2 2 8 4 2" xfId="43261"/>
    <cellStyle name="Normal 4 2 2 8 4 2 2" xfId="43262"/>
    <cellStyle name="Normal 4 2 2 8 4 3" xfId="43263"/>
    <cellStyle name="Normal 4 2 2 8 4 4" xfId="43264"/>
    <cellStyle name="Normal 4 2 2 8 5" xfId="43265"/>
    <cellStyle name="Normal 4 2 2 8 5 2" xfId="43266"/>
    <cellStyle name="Normal 4 2 2 8 6" xfId="43267"/>
    <cellStyle name="Normal 4 2 2 8 7" xfId="43268"/>
    <cellStyle name="Normal 4 2 2 8 8" xfId="43269"/>
    <cellStyle name="Normal 4 2 2 9" xfId="43270"/>
    <cellStyle name="Normal 4 2 3" xfId="43271"/>
    <cellStyle name="Normal 4 2 3 2" xfId="43272"/>
    <cellStyle name="Normal 4 2 3 2 2" xfId="43273"/>
    <cellStyle name="Normal 4 2 3 2 2 2" xfId="43274"/>
    <cellStyle name="Normal 4 2 3 2 2 2 2" xfId="43275"/>
    <cellStyle name="Normal 4 2 3 2 2 2 2 2" xfId="43276"/>
    <cellStyle name="Normal 4 2 3 2 2 2 2 3" xfId="43277"/>
    <cellStyle name="Normal 4 2 3 2 2 2 3" xfId="43278"/>
    <cellStyle name="Normal 4 2 3 2 2 2 3 2" xfId="43279"/>
    <cellStyle name="Normal 4 2 3 2 2 2 4" xfId="43280"/>
    <cellStyle name="Normal 4 2 3 2 2 2 5" xfId="43281"/>
    <cellStyle name="Normal 4 2 3 2 2 3" xfId="43282"/>
    <cellStyle name="Normal 4 2 3 2 2 3 2" xfId="43283"/>
    <cellStyle name="Normal 4 2 3 2 2 3 2 2" xfId="43284"/>
    <cellStyle name="Normal 4 2 3 2 2 3 3" xfId="43285"/>
    <cellStyle name="Normal 4 2 3 2 2 3 4" xfId="43286"/>
    <cellStyle name="Normal 4 2 3 2 2 4" xfId="43287"/>
    <cellStyle name="Normal 4 2 3 2 2 4 2" xfId="43288"/>
    <cellStyle name="Normal 4 2 3 2 2 4 2 2" xfId="43289"/>
    <cellStyle name="Normal 4 2 3 2 2 4 3" xfId="43290"/>
    <cellStyle name="Normal 4 2 3 2 2 4 4" xfId="43291"/>
    <cellStyle name="Normal 4 2 3 2 2 5" xfId="43292"/>
    <cellStyle name="Normal 4 2 3 2 2 5 2" xfId="43293"/>
    <cellStyle name="Normal 4 2 3 2 2 6" xfId="43294"/>
    <cellStyle name="Normal 4 2 3 2 2 7" xfId="43295"/>
    <cellStyle name="Normal 4 2 3 2 2 8" xfId="43296"/>
    <cellStyle name="Normal 4 2 3 2 3" xfId="43297"/>
    <cellStyle name="Normal 4 2 3 2 3 2" xfId="43298"/>
    <cellStyle name="Normal 4 2 3 2 3 2 2" xfId="43299"/>
    <cellStyle name="Normal 4 2 3 2 3 2 2 2" xfId="43300"/>
    <cellStyle name="Normal 4 2 3 2 3 2 2 3" xfId="43301"/>
    <cellStyle name="Normal 4 2 3 2 3 2 3" xfId="43302"/>
    <cellStyle name="Normal 4 2 3 2 3 2 3 2" xfId="43303"/>
    <cellStyle name="Normal 4 2 3 2 3 2 4" xfId="43304"/>
    <cellStyle name="Normal 4 2 3 2 3 2 5" xfId="43305"/>
    <cellStyle name="Normal 4 2 3 2 3 3" xfId="43306"/>
    <cellStyle name="Normal 4 2 3 2 3 3 2" xfId="43307"/>
    <cellStyle name="Normal 4 2 3 2 3 3 2 2" xfId="43308"/>
    <cellStyle name="Normal 4 2 3 2 3 3 3" xfId="43309"/>
    <cellStyle name="Normal 4 2 3 2 3 3 4" xfId="43310"/>
    <cellStyle name="Normal 4 2 3 2 3 4" xfId="43311"/>
    <cellStyle name="Normal 4 2 3 2 3 4 2" xfId="43312"/>
    <cellStyle name="Normal 4 2 3 2 3 4 2 2" xfId="43313"/>
    <cellStyle name="Normal 4 2 3 2 3 4 3" xfId="43314"/>
    <cellStyle name="Normal 4 2 3 2 3 4 4" xfId="43315"/>
    <cellStyle name="Normal 4 2 3 2 3 5" xfId="43316"/>
    <cellStyle name="Normal 4 2 3 2 3 5 2" xfId="43317"/>
    <cellStyle name="Normal 4 2 3 2 3 6" xfId="43318"/>
    <cellStyle name="Normal 4 2 3 2 3 7" xfId="43319"/>
    <cellStyle name="Normal 4 2 3 2 3 8" xfId="43320"/>
    <cellStyle name="Normal 4 2 3 2 4" xfId="43321"/>
    <cellStyle name="Normal 4 2 3 2 4 2" xfId="43322"/>
    <cellStyle name="Normal 4 2 3 2 4 2 2" xfId="43323"/>
    <cellStyle name="Normal 4 2 3 2 4 2 2 2" xfId="43324"/>
    <cellStyle name="Normal 4 2 3 2 4 2 2 3" xfId="43325"/>
    <cellStyle name="Normal 4 2 3 2 4 2 3" xfId="43326"/>
    <cellStyle name="Normal 4 2 3 2 4 2 3 2" xfId="43327"/>
    <cellStyle name="Normal 4 2 3 2 4 2 4" xfId="43328"/>
    <cellStyle name="Normal 4 2 3 2 4 2 5" xfId="43329"/>
    <cellStyle name="Normal 4 2 3 2 4 3" xfId="43330"/>
    <cellStyle name="Normal 4 2 3 2 4 3 2" xfId="43331"/>
    <cellStyle name="Normal 4 2 3 2 4 3 2 2" xfId="43332"/>
    <cellStyle name="Normal 4 2 3 2 4 3 3" xfId="43333"/>
    <cellStyle name="Normal 4 2 3 2 4 3 4" xfId="43334"/>
    <cellStyle name="Normal 4 2 3 2 4 4" xfId="43335"/>
    <cellStyle name="Normal 4 2 3 2 4 4 2" xfId="43336"/>
    <cellStyle name="Normal 4 2 3 2 4 4 2 2" xfId="43337"/>
    <cellStyle name="Normal 4 2 3 2 4 4 3" xfId="43338"/>
    <cellStyle name="Normal 4 2 3 2 4 4 4" xfId="43339"/>
    <cellStyle name="Normal 4 2 3 2 4 5" xfId="43340"/>
    <cellStyle name="Normal 4 2 3 2 4 5 2" xfId="43341"/>
    <cellStyle name="Normal 4 2 3 2 4 6" xfId="43342"/>
    <cellStyle name="Normal 4 2 3 2 4 7" xfId="43343"/>
    <cellStyle name="Normal 4 2 3 2 4 8" xfId="43344"/>
    <cellStyle name="Normal 4 2 3 2 5" xfId="43345"/>
    <cellStyle name="Normal 4 2 3 3" xfId="43346"/>
    <cellStyle name="Normal 4 2 3 3 2" xfId="43347"/>
    <cellStyle name="Normal 4 2 3 4" xfId="43348"/>
    <cellStyle name="Normal 4 2 3 4 2" xfId="43349"/>
    <cellStyle name="Normal 4 2 3 4 2 2" xfId="43350"/>
    <cellStyle name="Normal 4 2 3 4 2 2 2" xfId="43351"/>
    <cellStyle name="Normal 4 2 3 4 2 2 3" xfId="43352"/>
    <cellStyle name="Normal 4 2 3 4 2 3" xfId="43353"/>
    <cellStyle name="Normal 4 2 3 4 2 3 2" xfId="43354"/>
    <cellStyle name="Normal 4 2 3 4 2 4" xfId="43355"/>
    <cellStyle name="Normal 4 2 3 4 2 5" xfId="43356"/>
    <cellStyle name="Normal 4 2 3 4 3" xfId="43357"/>
    <cellStyle name="Normal 4 2 3 4 3 2" xfId="43358"/>
    <cellStyle name="Normal 4 2 3 4 3 2 2" xfId="43359"/>
    <cellStyle name="Normal 4 2 3 4 3 3" xfId="43360"/>
    <cellStyle name="Normal 4 2 3 4 3 4" xfId="43361"/>
    <cellStyle name="Normal 4 2 3 4 4" xfId="43362"/>
    <cellStyle name="Normal 4 2 3 4 4 2" xfId="43363"/>
    <cellStyle name="Normal 4 2 3 4 4 2 2" xfId="43364"/>
    <cellStyle name="Normal 4 2 3 4 4 3" xfId="43365"/>
    <cellStyle name="Normal 4 2 3 4 4 4" xfId="43366"/>
    <cellStyle name="Normal 4 2 3 4 5" xfId="43367"/>
    <cellStyle name="Normal 4 2 3 4 5 2" xfId="43368"/>
    <cellStyle name="Normal 4 2 3 4 6" xfId="43369"/>
    <cellStyle name="Normal 4 2 3 4 7" xfId="43370"/>
    <cellStyle name="Normal 4 2 3 4 8" xfId="43371"/>
    <cellStyle name="Normal 4 2 3 5" xfId="43372"/>
    <cellStyle name="Normal 4 2 3 5 2" xfId="43373"/>
    <cellStyle name="Normal 4 2 3 5 2 2" xfId="43374"/>
    <cellStyle name="Normal 4 2 3 5 2 2 2" xfId="43375"/>
    <cellStyle name="Normal 4 2 3 5 2 2 3" xfId="43376"/>
    <cellStyle name="Normal 4 2 3 5 2 3" xfId="43377"/>
    <cellStyle name="Normal 4 2 3 5 2 3 2" xfId="43378"/>
    <cellStyle name="Normal 4 2 3 5 2 4" xfId="43379"/>
    <cellStyle name="Normal 4 2 3 5 2 5" xfId="43380"/>
    <cellStyle name="Normal 4 2 3 5 3" xfId="43381"/>
    <cellStyle name="Normal 4 2 3 5 3 2" xfId="43382"/>
    <cellStyle name="Normal 4 2 3 5 3 2 2" xfId="43383"/>
    <cellStyle name="Normal 4 2 3 5 3 3" xfId="43384"/>
    <cellStyle name="Normal 4 2 3 5 3 4" xfId="43385"/>
    <cellStyle name="Normal 4 2 3 5 4" xfId="43386"/>
    <cellStyle name="Normal 4 2 3 5 4 2" xfId="43387"/>
    <cellStyle name="Normal 4 2 3 5 4 2 2" xfId="43388"/>
    <cellStyle name="Normal 4 2 3 5 4 3" xfId="43389"/>
    <cellStyle name="Normal 4 2 3 5 4 4" xfId="43390"/>
    <cellStyle name="Normal 4 2 3 5 5" xfId="43391"/>
    <cellStyle name="Normal 4 2 3 5 5 2" xfId="43392"/>
    <cellStyle name="Normal 4 2 3 5 6" xfId="43393"/>
    <cellStyle name="Normal 4 2 3 5 7" xfId="43394"/>
    <cellStyle name="Normal 4 2 3 5 8" xfId="43395"/>
    <cellStyle name="Normal 4 2 3 6" xfId="43396"/>
    <cellStyle name="Normal 4 2 3 6 2" xfId="43397"/>
    <cellStyle name="Normal 4 2 3 6 2 2" xfId="43398"/>
    <cellStyle name="Normal 4 2 3 6 2 2 2" xfId="43399"/>
    <cellStyle name="Normal 4 2 3 6 2 2 3" xfId="43400"/>
    <cellStyle name="Normal 4 2 3 6 2 3" xfId="43401"/>
    <cellStyle name="Normal 4 2 3 6 2 3 2" xfId="43402"/>
    <cellStyle name="Normal 4 2 3 6 2 4" xfId="43403"/>
    <cellStyle name="Normal 4 2 3 6 2 5" xfId="43404"/>
    <cellStyle name="Normal 4 2 3 6 3" xfId="43405"/>
    <cellStyle name="Normal 4 2 3 6 3 2" xfId="43406"/>
    <cellStyle name="Normal 4 2 3 6 3 2 2" xfId="43407"/>
    <cellStyle name="Normal 4 2 3 6 3 3" xfId="43408"/>
    <cellStyle name="Normal 4 2 3 6 3 4" xfId="43409"/>
    <cellStyle name="Normal 4 2 3 6 4" xfId="43410"/>
    <cellStyle name="Normal 4 2 3 6 4 2" xfId="43411"/>
    <cellStyle name="Normal 4 2 3 6 4 2 2" xfId="43412"/>
    <cellStyle name="Normal 4 2 3 6 4 3" xfId="43413"/>
    <cellStyle name="Normal 4 2 3 6 4 4" xfId="43414"/>
    <cellStyle name="Normal 4 2 3 6 5" xfId="43415"/>
    <cellStyle name="Normal 4 2 3 6 5 2" xfId="43416"/>
    <cellStyle name="Normal 4 2 3 6 6" xfId="43417"/>
    <cellStyle name="Normal 4 2 3 6 7" xfId="43418"/>
    <cellStyle name="Normal 4 2 3 6 8" xfId="43419"/>
    <cellStyle name="Normal 4 2 4" xfId="43420"/>
    <cellStyle name="Normal 4 2 4 2" xfId="43421"/>
    <cellStyle name="Normal 4 2 4 2 2" xfId="43422"/>
    <cellStyle name="Normal 4 2 4 3" xfId="43423"/>
    <cellStyle name="Normal 4 2 4 3 2" xfId="43424"/>
    <cellStyle name="Normal 4 2 4 3 2 2" xfId="43425"/>
    <cellStyle name="Normal 4 2 4 3 2 2 2" xfId="43426"/>
    <cellStyle name="Normal 4 2 4 3 2 2 3" xfId="43427"/>
    <cellStyle name="Normal 4 2 4 3 2 3" xfId="43428"/>
    <cellStyle name="Normal 4 2 4 3 2 3 2" xfId="43429"/>
    <cellStyle name="Normal 4 2 4 3 2 4" xfId="43430"/>
    <cellStyle name="Normal 4 2 4 3 2 5" xfId="43431"/>
    <cellStyle name="Normal 4 2 4 3 3" xfId="43432"/>
    <cellStyle name="Normal 4 2 4 3 3 2" xfId="43433"/>
    <cellStyle name="Normal 4 2 4 3 3 2 2" xfId="43434"/>
    <cellStyle name="Normal 4 2 4 3 3 3" xfId="43435"/>
    <cellStyle name="Normal 4 2 4 3 3 4" xfId="43436"/>
    <cellStyle name="Normal 4 2 4 3 4" xfId="43437"/>
    <cellStyle name="Normal 4 2 4 3 4 2" xfId="43438"/>
    <cellStyle name="Normal 4 2 4 3 4 2 2" xfId="43439"/>
    <cellStyle name="Normal 4 2 4 3 4 3" xfId="43440"/>
    <cellStyle name="Normal 4 2 4 3 4 4" xfId="43441"/>
    <cellStyle name="Normal 4 2 4 3 5" xfId="43442"/>
    <cellStyle name="Normal 4 2 4 3 5 2" xfId="43443"/>
    <cellStyle name="Normal 4 2 4 3 6" xfId="43444"/>
    <cellStyle name="Normal 4 2 4 3 7" xfId="43445"/>
    <cellStyle name="Normal 4 2 4 3 8" xfId="43446"/>
    <cellStyle name="Normal 4 2 4 4" xfId="43447"/>
    <cellStyle name="Normal 4 2 4 4 2" xfId="43448"/>
    <cellStyle name="Normal 4 2 4 4 2 2" xfId="43449"/>
    <cellStyle name="Normal 4 2 4 4 2 2 2" xfId="43450"/>
    <cellStyle name="Normal 4 2 4 4 2 2 3" xfId="43451"/>
    <cellStyle name="Normal 4 2 4 4 2 3" xfId="43452"/>
    <cellStyle name="Normal 4 2 4 4 2 3 2" xfId="43453"/>
    <cellStyle name="Normal 4 2 4 4 2 4" xfId="43454"/>
    <cellStyle name="Normal 4 2 4 4 2 5" xfId="43455"/>
    <cellStyle name="Normal 4 2 4 4 3" xfId="43456"/>
    <cellStyle name="Normal 4 2 4 4 3 2" xfId="43457"/>
    <cellStyle name="Normal 4 2 4 4 3 2 2" xfId="43458"/>
    <cellStyle name="Normal 4 2 4 4 3 3" xfId="43459"/>
    <cellStyle name="Normal 4 2 4 4 3 4" xfId="43460"/>
    <cellStyle name="Normal 4 2 4 4 4" xfId="43461"/>
    <cellStyle name="Normal 4 2 4 4 4 2" xfId="43462"/>
    <cellStyle name="Normal 4 2 4 4 4 2 2" xfId="43463"/>
    <cellStyle name="Normal 4 2 4 4 4 3" xfId="43464"/>
    <cellStyle name="Normal 4 2 4 4 4 4" xfId="43465"/>
    <cellStyle name="Normal 4 2 4 4 5" xfId="43466"/>
    <cellStyle name="Normal 4 2 4 4 5 2" xfId="43467"/>
    <cellStyle name="Normal 4 2 4 4 6" xfId="43468"/>
    <cellStyle name="Normal 4 2 4 4 7" xfId="43469"/>
    <cellStyle name="Normal 4 2 4 4 8" xfId="43470"/>
    <cellStyle name="Normal 4 2 4 5" xfId="43471"/>
    <cellStyle name="Normal 4 2 4 5 2" xfId="43472"/>
    <cellStyle name="Normal 4 2 4 5 2 2" xfId="43473"/>
    <cellStyle name="Normal 4 2 4 5 2 2 2" xfId="43474"/>
    <cellStyle name="Normal 4 2 4 5 2 2 3" xfId="43475"/>
    <cellStyle name="Normal 4 2 4 5 2 3" xfId="43476"/>
    <cellStyle name="Normal 4 2 4 5 2 3 2" xfId="43477"/>
    <cellStyle name="Normal 4 2 4 5 2 4" xfId="43478"/>
    <cellStyle name="Normal 4 2 4 5 2 5" xfId="43479"/>
    <cellStyle name="Normal 4 2 4 5 3" xfId="43480"/>
    <cellStyle name="Normal 4 2 4 5 3 2" xfId="43481"/>
    <cellStyle name="Normal 4 2 4 5 3 2 2" xfId="43482"/>
    <cellStyle name="Normal 4 2 4 5 3 3" xfId="43483"/>
    <cellStyle name="Normal 4 2 4 5 3 4" xfId="43484"/>
    <cellStyle name="Normal 4 2 4 5 4" xfId="43485"/>
    <cellStyle name="Normal 4 2 4 5 4 2" xfId="43486"/>
    <cellStyle name="Normal 4 2 4 5 4 2 2" xfId="43487"/>
    <cellStyle name="Normal 4 2 4 5 4 3" xfId="43488"/>
    <cellStyle name="Normal 4 2 4 5 4 4" xfId="43489"/>
    <cellStyle name="Normal 4 2 4 5 5" xfId="43490"/>
    <cellStyle name="Normal 4 2 4 5 5 2" xfId="43491"/>
    <cellStyle name="Normal 4 2 4 5 6" xfId="43492"/>
    <cellStyle name="Normal 4 2 4 5 7" xfId="43493"/>
    <cellStyle name="Normal 4 2 4 5 8" xfId="43494"/>
    <cellStyle name="Normal 4 2 5" xfId="43495"/>
    <cellStyle name="Normal 4 2 5 2" xfId="43496"/>
    <cellStyle name="Normal 4 2 6" xfId="43497"/>
    <cellStyle name="Normal 4 2 6 2" xfId="43498"/>
    <cellStyle name="Normal 4 2 7" xfId="43499"/>
    <cellStyle name="Normal 4 2 7 2" xfId="43500"/>
    <cellStyle name="Normal 4 2 8" xfId="43501"/>
    <cellStyle name="Normal 4 2 8 2" xfId="43502"/>
    <cellStyle name="Normal 4 2 9" xfId="43503"/>
    <cellStyle name="Normal 4 2 9 2" xfId="43504"/>
    <cellStyle name="Normal 4 3" xfId="125"/>
    <cellStyle name="Normal 4 3 2" xfId="4380"/>
    <cellStyle name="Normal 4 3 2 2" xfId="43505"/>
    <cellStyle name="Normal 4 3 2 2 2" xfId="43506"/>
    <cellStyle name="Normal 4 3 2 2 2 2" xfId="43507"/>
    <cellStyle name="Normal 4 3 2 2 2 2 2" xfId="43508"/>
    <cellStyle name="Normal 4 3 2 2 2 2 2 2" xfId="43509"/>
    <cellStyle name="Normal 4 3 2 2 2 2 2 3" xfId="43510"/>
    <cellStyle name="Normal 4 3 2 2 2 2 3" xfId="43511"/>
    <cellStyle name="Normal 4 3 2 2 2 2 3 2" xfId="43512"/>
    <cellStyle name="Normal 4 3 2 2 2 2 4" xfId="43513"/>
    <cellStyle name="Normal 4 3 2 2 2 2 5" xfId="43514"/>
    <cellStyle name="Normal 4 3 2 2 2 3" xfId="43515"/>
    <cellStyle name="Normal 4 3 2 2 2 3 2" xfId="43516"/>
    <cellStyle name="Normal 4 3 2 2 2 3 2 2" xfId="43517"/>
    <cellStyle name="Normal 4 3 2 2 2 3 3" xfId="43518"/>
    <cellStyle name="Normal 4 3 2 2 2 3 4" xfId="43519"/>
    <cellStyle name="Normal 4 3 2 2 2 4" xfId="43520"/>
    <cellStyle name="Normal 4 3 2 2 2 4 2" xfId="43521"/>
    <cellStyle name="Normal 4 3 2 2 2 4 2 2" xfId="43522"/>
    <cellStyle name="Normal 4 3 2 2 2 4 3" xfId="43523"/>
    <cellStyle name="Normal 4 3 2 2 2 4 4" xfId="43524"/>
    <cellStyle name="Normal 4 3 2 2 2 5" xfId="43525"/>
    <cellStyle name="Normal 4 3 2 2 2 5 2" xfId="43526"/>
    <cellStyle name="Normal 4 3 2 2 2 6" xfId="43527"/>
    <cellStyle name="Normal 4 3 2 2 2 7" xfId="43528"/>
    <cellStyle name="Normal 4 3 2 2 2 8" xfId="43529"/>
    <cellStyle name="Normal 4 3 2 2 3" xfId="43530"/>
    <cellStyle name="Normal 4 3 2 2 3 2" xfId="43531"/>
    <cellStyle name="Normal 4 3 2 2 3 2 2" xfId="43532"/>
    <cellStyle name="Normal 4 3 2 2 3 2 2 2" xfId="43533"/>
    <cellStyle name="Normal 4 3 2 2 3 2 2 3" xfId="43534"/>
    <cellStyle name="Normal 4 3 2 2 3 2 3" xfId="43535"/>
    <cellStyle name="Normal 4 3 2 2 3 2 3 2" xfId="43536"/>
    <cellStyle name="Normal 4 3 2 2 3 2 4" xfId="43537"/>
    <cellStyle name="Normal 4 3 2 2 3 2 5" xfId="43538"/>
    <cellStyle name="Normal 4 3 2 2 3 3" xfId="43539"/>
    <cellStyle name="Normal 4 3 2 2 3 3 2" xfId="43540"/>
    <cellStyle name="Normal 4 3 2 2 3 3 2 2" xfId="43541"/>
    <cellStyle name="Normal 4 3 2 2 3 3 3" xfId="43542"/>
    <cellStyle name="Normal 4 3 2 2 3 3 4" xfId="43543"/>
    <cellStyle name="Normal 4 3 2 2 3 4" xfId="43544"/>
    <cellStyle name="Normal 4 3 2 2 3 4 2" xfId="43545"/>
    <cellStyle name="Normal 4 3 2 2 3 4 2 2" xfId="43546"/>
    <cellStyle name="Normal 4 3 2 2 3 4 3" xfId="43547"/>
    <cellStyle name="Normal 4 3 2 2 3 4 4" xfId="43548"/>
    <cellStyle name="Normal 4 3 2 2 3 5" xfId="43549"/>
    <cellStyle name="Normal 4 3 2 2 3 5 2" xfId="43550"/>
    <cellStyle name="Normal 4 3 2 2 3 6" xfId="43551"/>
    <cellStyle name="Normal 4 3 2 2 3 7" xfId="43552"/>
    <cellStyle name="Normal 4 3 2 2 3 8" xfId="43553"/>
    <cellStyle name="Normal 4 3 2 2 4" xfId="43554"/>
    <cellStyle name="Normal 4 3 2 2 4 2" xfId="43555"/>
    <cellStyle name="Normal 4 3 2 2 4 2 2" xfId="43556"/>
    <cellStyle name="Normal 4 3 2 2 4 2 2 2" xfId="43557"/>
    <cellStyle name="Normal 4 3 2 2 4 2 2 3" xfId="43558"/>
    <cellStyle name="Normal 4 3 2 2 4 2 3" xfId="43559"/>
    <cellStyle name="Normal 4 3 2 2 4 2 3 2" xfId="43560"/>
    <cellStyle name="Normal 4 3 2 2 4 2 4" xfId="43561"/>
    <cellStyle name="Normal 4 3 2 2 4 2 5" xfId="43562"/>
    <cellStyle name="Normal 4 3 2 2 4 3" xfId="43563"/>
    <cellStyle name="Normal 4 3 2 2 4 3 2" xfId="43564"/>
    <cellStyle name="Normal 4 3 2 2 4 3 2 2" xfId="43565"/>
    <cellStyle name="Normal 4 3 2 2 4 3 3" xfId="43566"/>
    <cellStyle name="Normal 4 3 2 2 4 3 4" xfId="43567"/>
    <cellStyle name="Normal 4 3 2 2 4 4" xfId="43568"/>
    <cellStyle name="Normal 4 3 2 2 4 4 2" xfId="43569"/>
    <cellStyle name="Normal 4 3 2 2 4 4 2 2" xfId="43570"/>
    <cellStyle name="Normal 4 3 2 2 4 4 3" xfId="43571"/>
    <cellStyle name="Normal 4 3 2 2 4 4 4" xfId="43572"/>
    <cellStyle name="Normal 4 3 2 2 4 5" xfId="43573"/>
    <cellStyle name="Normal 4 3 2 2 4 5 2" xfId="43574"/>
    <cellStyle name="Normal 4 3 2 2 4 6" xfId="43575"/>
    <cellStyle name="Normal 4 3 2 2 4 7" xfId="43576"/>
    <cellStyle name="Normal 4 3 2 2 4 8" xfId="43577"/>
    <cellStyle name="Normal 4 3 2 2 5" xfId="43578"/>
    <cellStyle name="Normal 4 3 2 2 6" xfId="43579"/>
    <cellStyle name="Normal 4 3 2 3" xfId="43580"/>
    <cellStyle name="Normal 4 3 2 3 2" xfId="43581"/>
    <cellStyle name="Normal 4 3 2 3 2 2" xfId="43582"/>
    <cellStyle name="Normal 4 3 2 3 2 2 2" xfId="43583"/>
    <cellStyle name="Normal 4 3 2 3 2 2 3" xfId="43584"/>
    <cellStyle name="Normal 4 3 2 3 2 3" xfId="43585"/>
    <cellStyle name="Normal 4 3 2 3 2 3 2" xfId="43586"/>
    <cellStyle name="Normal 4 3 2 3 2 4" xfId="43587"/>
    <cellStyle name="Normal 4 3 2 3 2 5" xfId="43588"/>
    <cellStyle name="Normal 4 3 2 3 3" xfId="43589"/>
    <cellStyle name="Normal 4 3 2 3 3 2" xfId="43590"/>
    <cellStyle name="Normal 4 3 2 3 3 2 2" xfId="43591"/>
    <cellStyle name="Normal 4 3 2 3 3 3" xfId="43592"/>
    <cellStyle name="Normal 4 3 2 3 3 4" xfId="43593"/>
    <cellStyle name="Normal 4 3 2 3 4" xfId="43594"/>
    <cellStyle name="Normal 4 3 2 3 4 2" xfId="43595"/>
    <cellStyle name="Normal 4 3 2 3 4 2 2" xfId="43596"/>
    <cellStyle name="Normal 4 3 2 3 4 3" xfId="43597"/>
    <cellStyle name="Normal 4 3 2 3 4 4" xfId="43598"/>
    <cellStyle name="Normal 4 3 2 3 5" xfId="43599"/>
    <cellStyle name="Normal 4 3 2 3 5 2" xfId="43600"/>
    <cellStyle name="Normal 4 3 2 3 6" xfId="43601"/>
    <cellStyle name="Normal 4 3 2 3 7" xfId="43602"/>
    <cellStyle name="Normal 4 3 2 3 8" xfId="43603"/>
    <cellStyle name="Normal 4 3 2 4" xfId="43604"/>
    <cellStyle name="Normal 4 3 2 4 2" xfId="43605"/>
    <cellStyle name="Normal 4 3 2 4 2 2" xfId="43606"/>
    <cellStyle name="Normal 4 3 2 4 2 2 2" xfId="43607"/>
    <cellStyle name="Normal 4 3 2 4 2 2 3" xfId="43608"/>
    <cellStyle name="Normal 4 3 2 4 2 3" xfId="43609"/>
    <cellStyle name="Normal 4 3 2 4 2 3 2" xfId="43610"/>
    <cellStyle name="Normal 4 3 2 4 2 4" xfId="43611"/>
    <cellStyle name="Normal 4 3 2 4 2 5" xfId="43612"/>
    <cellStyle name="Normal 4 3 2 4 3" xfId="43613"/>
    <cellStyle name="Normal 4 3 2 4 3 2" xfId="43614"/>
    <cellStyle name="Normal 4 3 2 4 3 2 2" xfId="43615"/>
    <cellStyle name="Normal 4 3 2 4 3 3" xfId="43616"/>
    <cellStyle name="Normal 4 3 2 4 3 4" xfId="43617"/>
    <cellStyle name="Normal 4 3 2 4 4" xfId="43618"/>
    <cellStyle name="Normal 4 3 2 4 4 2" xfId="43619"/>
    <cellStyle name="Normal 4 3 2 4 4 2 2" xfId="43620"/>
    <cellStyle name="Normal 4 3 2 4 4 3" xfId="43621"/>
    <cellStyle name="Normal 4 3 2 4 4 4" xfId="43622"/>
    <cellStyle name="Normal 4 3 2 4 5" xfId="43623"/>
    <cellStyle name="Normal 4 3 2 4 5 2" xfId="43624"/>
    <cellStyle name="Normal 4 3 2 4 6" xfId="43625"/>
    <cellStyle name="Normal 4 3 2 4 7" xfId="43626"/>
    <cellStyle name="Normal 4 3 2 4 8" xfId="43627"/>
    <cellStyle name="Normal 4 3 2 5" xfId="43628"/>
    <cellStyle name="Normal 4 3 2 5 2" xfId="43629"/>
    <cellStyle name="Normal 4 3 2 5 2 2" xfId="43630"/>
    <cellStyle name="Normal 4 3 2 5 2 2 2" xfId="43631"/>
    <cellStyle name="Normal 4 3 2 5 2 2 3" xfId="43632"/>
    <cellStyle name="Normal 4 3 2 5 2 3" xfId="43633"/>
    <cellStyle name="Normal 4 3 2 5 2 3 2" xfId="43634"/>
    <cellStyle name="Normal 4 3 2 5 2 4" xfId="43635"/>
    <cellStyle name="Normal 4 3 2 5 2 5" xfId="43636"/>
    <cellStyle name="Normal 4 3 2 5 3" xfId="43637"/>
    <cellStyle name="Normal 4 3 2 5 3 2" xfId="43638"/>
    <cellStyle name="Normal 4 3 2 5 3 2 2" xfId="43639"/>
    <cellStyle name="Normal 4 3 2 5 3 3" xfId="43640"/>
    <cellStyle name="Normal 4 3 2 5 3 4" xfId="43641"/>
    <cellStyle name="Normal 4 3 2 5 4" xfId="43642"/>
    <cellStyle name="Normal 4 3 2 5 4 2" xfId="43643"/>
    <cellStyle name="Normal 4 3 2 5 4 2 2" xfId="43644"/>
    <cellStyle name="Normal 4 3 2 5 4 3" xfId="43645"/>
    <cellStyle name="Normal 4 3 2 5 4 4" xfId="43646"/>
    <cellStyle name="Normal 4 3 2 5 5" xfId="43647"/>
    <cellStyle name="Normal 4 3 2 5 5 2" xfId="43648"/>
    <cellStyle name="Normal 4 3 2 5 6" xfId="43649"/>
    <cellStyle name="Normal 4 3 2 5 7" xfId="43650"/>
    <cellStyle name="Normal 4 3 2 5 8" xfId="43651"/>
    <cellStyle name="Normal 4 3 2 6" xfId="43652"/>
    <cellStyle name="Normal 4 3 3" xfId="43653"/>
    <cellStyle name="Normal 4 3 3 2" xfId="43654"/>
    <cellStyle name="Normal 4 3 3 2 2" xfId="43655"/>
    <cellStyle name="Normal 4 3 3 2 2 2" xfId="43656"/>
    <cellStyle name="Normal 4 3 3 2 2 2 2" xfId="43657"/>
    <cellStyle name="Normal 4 3 3 2 2 2 3" xfId="43658"/>
    <cellStyle name="Normal 4 3 3 2 2 3" xfId="43659"/>
    <cellStyle name="Normal 4 3 3 2 2 3 2" xfId="43660"/>
    <cellStyle name="Normal 4 3 3 2 2 4" xfId="43661"/>
    <cellStyle name="Normal 4 3 3 2 2 5" xfId="43662"/>
    <cellStyle name="Normal 4 3 3 2 3" xfId="43663"/>
    <cellStyle name="Normal 4 3 3 2 3 2" xfId="43664"/>
    <cellStyle name="Normal 4 3 3 2 3 2 2" xfId="43665"/>
    <cellStyle name="Normal 4 3 3 2 3 3" xfId="43666"/>
    <cellStyle name="Normal 4 3 3 2 3 4" xfId="43667"/>
    <cellStyle name="Normal 4 3 3 2 4" xfId="43668"/>
    <cellStyle name="Normal 4 3 3 2 4 2" xfId="43669"/>
    <cellStyle name="Normal 4 3 3 2 4 2 2" xfId="43670"/>
    <cellStyle name="Normal 4 3 3 2 4 3" xfId="43671"/>
    <cellStyle name="Normal 4 3 3 2 4 4" xfId="43672"/>
    <cellStyle name="Normal 4 3 3 2 5" xfId="43673"/>
    <cellStyle name="Normal 4 3 3 2 5 2" xfId="43674"/>
    <cellStyle name="Normal 4 3 3 2 6" xfId="43675"/>
    <cellStyle name="Normal 4 3 3 2 7" xfId="43676"/>
    <cellStyle name="Normal 4 3 3 2 8" xfId="43677"/>
    <cellStyle name="Normal 4 3 3 3" xfId="43678"/>
    <cellStyle name="Normal 4 3 3 3 2" xfId="43679"/>
    <cellStyle name="Normal 4 3 3 3 2 2" xfId="43680"/>
    <cellStyle name="Normal 4 3 3 3 2 2 2" xfId="43681"/>
    <cellStyle name="Normal 4 3 3 3 2 2 3" xfId="43682"/>
    <cellStyle name="Normal 4 3 3 3 2 3" xfId="43683"/>
    <cellStyle name="Normal 4 3 3 3 2 3 2" xfId="43684"/>
    <cellStyle name="Normal 4 3 3 3 2 4" xfId="43685"/>
    <cellStyle name="Normal 4 3 3 3 2 5" xfId="43686"/>
    <cellStyle name="Normal 4 3 3 3 3" xfId="43687"/>
    <cellStyle name="Normal 4 3 3 3 3 2" xfId="43688"/>
    <cellStyle name="Normal 4 3 3 3 3 2 2" xfId="43689"/>
    <cellStyle name="Normal 4 3 3 3 3 3" xfId="43690"/>
    <cellStyle name="Normal 4 3 3 3 3 4" xfId="43691"/>
    <cellStyle name="Normal 4 3 3 3 4" xfId="43692"/>
    <cellStyle name="Normal 4 3 3 3 4 2" xfId="43693"/>
    <cellStyle name="Normal 4 3 3 3 4 2 2" xfId="43694"/>
    <cellStyle name="Normal 4 3 3 3 4 3" xfId="43695"/>
    <cellStyle name="Normal 4 3 3 3 4 4" xfId="43696"/>
    <cellStyle name="Normal 4 3 3 3 5" xfId="43697"/>
    <cellStyle name="Normal 4 3 3 3 5 2" xfId="43698"/>
    <cellStyle name="Normal 4 3 3 3 6" xfId="43699"/>
    <cellStyle name="Normal 4 3 3 3 7" xfId="43700"/>
    <cellStyle name="Normal 4 3 3 3 8" xfId="43701"/>
    <cellStyle name="Normal 4 3 3 4" xfId="43702"/>
    <cellStyle name="Normal 4 3 3 4 2" xfId="43703"/>
    <cellStyle name="Normal 4 3 3 4 2 2" xfId="43704"/>
    <cellStyle name="Normal 4 3 3 4 2 2 2" xfId="43705"/>
    <cellStyle name="Normal 4 3 3 4 2 2 3" xfId="43706"/>
    <cellStyle name="Normal 4 3 3 4 2 3" xfId="43707"/>
    <cellStyle name="Normal 4 3 3 4 2 3 2" xfId="43708"/>
    <cellStyle name="Normal 4 3 3 4 2 4" xfId="43709"/>
    <cellStyle name="Normal 4 3 3 4 2 5" xfId="43710"/>
    <cellStyle name="Normal 4 3 3 4 3" xfId="43711"/>
    <cellStyle name="Normal 4 3 3 4 3 2" xfId="43712"/>
    <cellStyle name="Normal 4 3 3 4 3 2 2" xfId="43713"/>
    <cellStyle name="Normal 4 3 3 4 3 3" xfId="43714"/>
    <cellStyle name="Normal 4 3 3 4 3 4" xfId="43715"/>
    <cellStyle name="Normal 4 3 3 4 4" xfId="43716"/>
    <cellStyle name="Normal 4 3 3 4 4 2" xfId="43717"/>
    <cellStyle name="Normal 4 3 3 4 4 2 2" xfId="43718"/>
    <cellStyle name="Normal 4 3 3 4 4 3" xfId="43719"/>
    <cellStyle name="Normal 4 3 3 4 4 4" xfId="43720"/>
    <cellStyle name="Normal 4 3 3 4 5" xfId="43721"/>
    <cellStyle name="Normal 4 3 3 4 5 2" xfId="43722"/>
    <cellStyle name="Normal 4 3 3 4 6" xfId="43723"/>
    <cellStyle name="Normal 4 3 3 4 7" xfId="43724"/>
    <cellStyle name="Normal 4 3 3 4 8" xfId="43725"/>
    <cellStyle name="Normal 4 3 3 5" xfId="43726"/>
    <cellStyle name="Normal 4 3 3 6" xfId="43727"/>
    <cellStyle name="Normal 4 3 4" xfId="43728"/>
    <cellStyle name="Normal 4 3 4 2" xfId="43729"/>
    <cellStyle name="Normal 4 3 5" xfId="43730"/>
    <cellStyle name="Normal 4 3 5 2" xfId="43731"/>
    <cellStyle name="Normal 4 3 6" xfId="43732"/>
    <cellStyle name="Normal 4 3 6 2" xfId="43733"/>
    <cellStyle name="Normal 4 3 6 2 2" xfId="43734"/>
    <cellStyle name="Normal 4 3 6 2 2 2" xfId="43735"/>
    <cellStyle name="Normal 4 3 6 2 2 3" xfId="43736"/>
    <cellStyle name="Normal 4 3 6 2 3" xfId="43737"/>
    <cellStyle name="Normal 4 3 6 2 3 2" xfId="43738"/>
    <cellStyle name="Normal 4 3 6 2 4" xfId="43739"/>
    <cellStyle name="Normal 4 3 6 2 5" xfId="43740"/>
    <cellStyle name="Normal 4 3 6 3" xfId="43741"/>
    <cellStyle name="Normal 4 3 6 3 2" xfId="43742"/>
    <cellStyle name="Normal 4 3 6 3 2 2" xfId="43743"/>
    <cellStyle name="Normal 4 3 6 3 3" xfId="43744"/>
    <cellStyle name="Normal 4 3 6 3 4" xfId="43745"/>
    <cellStyle name="Normal 4 3 6 4" xfId="43746"/>
    <cellStyle name="Normal 4 3 6 4 2" xfId="43747"/>
    <cellStyle name="Normal 4 3 6 4 2 2" xfId="43748"/>
    <cellStyle name="Normal 4 3 6 4 3" xfId="43749"/>
    <cellStyle name="Normal 4 3 6 4 4" xfId="43750"/>
    <cellStyle name="Normal 4 3 6 5" xfId="43751"/>
    <cellStyle name="Normal 4 3 6 5 2" xfId="43752"/>
    <cellStyle name="Normal 4 3 6 6" xfId="43753"/>
    <cellStyle name="Normal 4 3 6 7" xfId="43754"/>
    <cellStyle name="Normal 4 3 6 8" xfId="43755"/>
    <cellStyle name="Normal 4 3 7" xfId="43756"/>
    <cellStyle name="Normal 4 3 7 2" xfId="43757"/>
    <cellStyle name="Normal 4 3 7 2 2" xfId="43758"/>
    <cellStyle name="Normal 4 3 7 2 2 2" xfId="43759"/>
    <cellStyle name="Normal 4 3 7 2 2 3" xfId="43760"/>
    <cellStyle name="Normal 4 3 7 2 3" xfId="43761"/>
    <cellStyle name="Normal 4 3 7 2 3 2" xfId="43762"/>
    <cellStyle name="Normal 4 3 7 2 4" xfId="43763"/>
    <cellStyle name="Normal 4 3 7 2 5" xfId="43764"/>
    <cellStyle name="Normal 4 3 7 3" xfId="43765"/>
    <cellStyle name="Normal 4 3 7 3 2" xfId="43766"/>
    <cellStyle name="Normal 4 3 7 3 2 2" xfId="43767"/>
    <cellStyle name="Normal 4 3 7 3 3" xfId="43768"/>
    <cellStyle name="Normal 4 3 7 3 4" xfId="43769"/>
    <cellStyle name="Normal 4 3 7 4" xfId="43770"/>
    <cellStyle name="Normal 4 3 7 4 2" xfId="43771"/>
    <cellStyle name="Normal 4 3 7 4 2 2" xfId="43772"/>
    <cellStyle name="Normal 4 3 7 4 3" xfId="43773"/>
    <cellStyle name="Normal 4 3 7 4 4" xfId="43774"/>
    <cellStyle name="Normal 4 3 7 5" xfId="43775"/>
    <cellStyle name="Normal 4 3 7 5 2" xfId="43776"/>
    <cellStyle name="Normal 4 3 7 6" xfId="43777"/>
    <cellStyle name="Normal 4 3 7 7" xfId="43778"/>
    <cellStyle name="Normal 4 3 7 8" xfId="43779"/>
    <cellStyle name="Normal 4 3 8" xfId="43780"/>
    <cellStyle name="Normal 4 3 8 2" xfId="43781"/>
    <cellStyle name="Normal 4 3 8 2 2" xfId="43782"/>
    <cellStyle name="Normal 4 3 8 2 2 2" xfId="43783"/>
    <cellStyle name="Normal 4 3 8 2 2 3" xfId="43784"/>
    <cellStyle name="Normal 4 3 8 2 3" xfId="43785"/>
    <cellStyle name="Normal 4 3 8 2 3 2" xfId="43786"/>
    <cellStyle name="Normal 4 3 8 2 4" xfId="43787"/>
    <cellStyle name="Normal 4 3 8 2 5" xfId="43788"/>
    <cellStyle name="Normal 4 3 8 3" xfId="43789"/>
    <cellStyle name="Normal 4 3 8 3 2" xfId="43790"/>
    <cellStyle name="Normal 4 3 8 3 2 2" xfId="43791"/>
    <cellStyle name="Normal 4 3 8 3 3" xfId="43792"/>
    <cellStyle name="Normal 4 3 8 3 4" xfId="43793"/>
    <cellStyle name="Normal 4 3 8 4" xfId="43794"/>
    <cellStyle name="Normal 4 3 8 4 2" xfId="43795"/>
    <cellStyle name="Normal 4 3 8 4 2 2" xfId="43796"/>
    <cellStyle name="Normal 4 3 8 4 3" xfId="43797"/>
    <cellStyle name="Normal 4 3 8 4 4" xfId="43798"/>
    <cellStyle name="Normal 4 3 8 5" xfId="43799"/>
    <cellStyle name="Normal 4 3 8 5 2" xfId="43800"/>
    <cellStyle name="Normal 4 3 8 6" xfId="43801"/>
    <cellStyle name="Normal 4 3 8 7" xfId="43802"/>
    <cellStyle name="Normal 4 3 8 8" xfId="43803"/>
    <cellStyle name="Normal 4 3 9" xfId="43804"/>
    <cellStyle name="Normal 4 3_Dakota Panel" xfId="43805"/>
    <cellStyle name="Normal 4 4" xfId="4381"/>
    <cellStyle name="Normal 4 4 2" xfId="4382"/>
    <cellStyle name="Normal 4 4 2 2" xfId="4383"/>
    <cellStyle name="Normal 4 4 2 2 2" xfId="43806"/>
    <cellStyle name="Normal 4 4 2 2 2 2" xfId="43807"/>
    <cellStyle name="Normal 4 4 2 2 2 2 2" xfId="43808"/>
    <cellStyle name="Normal 4 4 2 2 2 2 3" xfId="43809"/>
    <cellStyle name="Normal 4 4 2 2 2 3" xfId="43810"/>
    <cellStyle name="Normal 4 4 2 2 2 3 2" xfId="43811"/>
    <cellStyle name="Normal 4 4 2 2 2 4" xfId="43812"/>
    <cellStyle name="Normal 4 4 2 2 2 5" xfId="43813"/>
    <cellStyle name="Normal 4 4 2 2 3" xfId="43814"/>
    <cellStyle name="Normal 4 4 2 2 3 2" xfId="43815"/>
    <cellStyle name="Normal 4 4 2 2 3 2 2" xfId="43816"/>
    <cellStyle name="Normal 4 4 2 2 3 3" xfId="43817"/>
    <cellStyle name="Normal 4 4 2 2 3 4" xfId="43818"/>
    <cellStyle name="Normal 4 4 2 2 4" xfId="43819"/>
    <cellStyle name="Normal 4 4 2 2 4 2" xfId="43820"/>
    <cellStyle name="Normal 4 4 2 2 4 2 2" xfId="43821"/>
    <cellStyle name="Normal 4 4 2 2 4 3" xfId="43822"/>
    <cellStyle name="Normal 4 4 2 2 4 4" xfId="43823"/>
    <cellStyle name="Normal 4 4 2 2 5" xfId="43824"/>
    <cellStyle name="Normal 4 4 2 2 5 2" xfId="43825"/>
    <cellStyle name="Normal 4 4 2 2 6" xfId="43826"/>
    <cellStyle name="Normal 4 4 2 2 7" xfId="43827"/>
    <cellStyle name="Normal 4 4 2 2 8" xfId="43828"/>
    <cellStyle name="Normal 4 4 2 3" xfId="43829"/>
    <cellStyle name="Normal 4 4 2 3 2" xfId="43830"/>
    <cellStyle name="Normal 4 4 2 3 2 2" xfId="43831"/>
    <cellStyle name="Normal 4 4 2 3 2 2 2" xfId="43832"/>
    <cellStyle name="Normal 4 4 2 3 2 2 3" xfId="43833"/>
    <cellStyle name="Normal 4 4 2 3 2 3" xfId="43834"/>
    <cellStyle name="Normal 4 4 2 3 2 3 2" xfId="43835"/>
    <cellStyle name="Normal 4 4 2 3 2 4" xfId="43836"/>
    <cellStyle name="Normal 4 4 2 3 2 5" xfId="43837"/>
    <cellStyle name="Normal 4 4 2 3 3" xfId="43838"/>
    <cellStyle name="Normal 4 4 2 3 3 2" xfId="43839"/>
    <cellStyle name="Normal 4 4 2 3 3 2 2" xfId="43840"/>
    <cellStyle name="Normal 4 4 2 3 3 3" xfId="43841"/>
    <cellStyle name="Normal 4 4 2 3 3 4" xfId="43842"/>
    <cellStyle name="Normal 4 4 2 3 4" xfId="43843"/>
    <cellStyle name="Normal 4 4 2 3 4 2" xfId="43844"/>
    <cellStyle name="Normal 4 4 2 3 4 2 2" xfId="43845"/>
    <cellStyle name="Normal 4 4 2 3 4 3" xfId="43846"/>
    <cellStyle name="Normal 4 4 2 3 4 4" xfId="43847"/>
    <cellStyle name="Normal 4 4 2 3 5" xfId="43848"/>
    <cellStyle name="Normal 4 4 2 3 5 2" xfId="43849"/>
    <cellStyle name="Normal 4 4 2 3 6" xfId="43850"/>
    <cellStyle name="Normal 4 4 2 3 7" xfId="43851"/>
    <cellStyle name="Normal 4 4 2 3 8" xfId="43852"/>
    <cellStyle name="Normal 4 4 2 4" xfId="43853"/>
    <cellStyle name="Normal 4 4 2 4 2" xfId="43854"/>
    <cellStyle name="Normal 4 4 2 4 2 2" xfId="43855"/>
    <cellStyle name="Normal 4 4 2 4 2 2 2" xfId="43856"/>
    <cellStyle name="Normal 4 4 2 4 2 2 3" xfId="43857"/>
    <cellStyle name="Normal 4 4 2 4 2 3" xfId="43858"/>
    <cellStyle name="Normal 4 4 2 4 2 3 2" xfId="43859"/>
    <cellStyle name="Normal 4 4 2 4 2 4" xfId="43860"/>
    <cellStyle name="Normal 4 4 2 4 2 5" xfId="43861"/>
    <cellStyle name="Normal 4 4 2 4 3" xfId="43862"/>
    <cellStyle name="Normal 4 4 2 4 3 2" xfId="43863"/>
    <cellStyle name="Normal 4 4 2 4 3 2 2" xfId="43864"/>
    <cellStyle name="Normal 4 4 2 4 3 3" xfId="43865"/>
    <cellStyle name="Normal 4 4 2 4 3 4" xfId="43866"/>
    <cellStyle name="Normal 4 4 2 4 4" xfId="43867"/>
    <cellStyle name="Normal 4 4 2 4 4 2" xfId="43868"/>
    <cellStyle name="Normal 4 4 2 4 4 2 2" xfId="43869"/>
    <cellStyle name="Normal 4 4 2 4 4 3" xfId="43870"/>
    <cellStyle name="Normal 4 4 2 4 4 4" xfId="43871"/>
    <cellStyle name="Normal 4 4 2 4 5" xfId="43872"/>
    <cellStyle name="Normal 4 4 2 4 5 2" xfId="43873"/>
    <cellStyle name="Normal 4 4 2 4 6" xfId="43874"/>
    <cellStyle name="Normal 4 4 2 4 7" xfId="43875"/>
    <cellStyle name="Normal 4 4 2 4 8" xfId="43876"/>
    <cellStyle name="Normal 4 4 2 5" xfId="43877"/>
    <cellStyle name="Normal 4 4 3" xfId="4384"/>
    <cellStyle name="Normal 4 4 3 2" xfId="4385"/>
    <cellStyle name="Normal 4 4 4" xfId="4386"/>
    <cellStyle name="Normal 4 4 4 2" xfId="43878"/>
    <cellStyle name="Normal 4 4 5" xfId="43879"/>
    <cellStyle name="Normal 4 4 5 2" xfId="43880"/>
    <cellStyle name="Normal 4 4 5 2 2" xfId="43881"/>
    <cellStyle name="Normal 4 4 5 2 2 2" xfId="43882"/>
    <cellStyle name="Normal 4 4 5 2 2 3" xfId="43883"/>
    <cellStyle name="Normal 4 4 5 2 3" xfId="43884"/>
    <cellStyle name="Normal 4 4 5 2 3 2" xfId="43885"/>
    <cellStyle name="Normal 4 4 5 2 4" xfId="43886"/>
    <cellStyle name="Normal 4 4 5 2 5" xfId="43887"/>
    <cellStyle name="Normal 4 4 5 3" xfId="43888"/>
    <cellStyle name="Normal 4 4 5 3 2" xfId="43889"/>
    <cellStyle name="Normal 4 4 5 3 2 2" xfId="43890"/>
    <cellStyle name="Normal 4 4 5 3 3" xfId="43891"/>
    <cellStyle name="Normal 4 4 5 3 4" xfId="43892"/>
    <cellStyle name="Normal 4 4 5 4" xfId="43893"/>
    <cellStyle name="Normal 4 4 5 4 2" xfId="43894"/>
    <cellStyle name="Normal 4 4 5 4 2 2" xfId="43895"/>
    <cellStyle name="Normal 4 4 5 4 3" xfId="43896"/>
    <cellStyle name="Normal 4 4 5 4 4" xfId="43897"/>
    <cellStyle name="Normal 4 4 5 5" xfId="43898"/>
    <cellStyle name="Normal 4 4 5 5 2" xfId="43899"/>
    <cellStyle name="Normal 4 4 5 6" xfId="43900"/>
    <cellStyle name="Normal 4 4 5 7" xfId="43901"/>
    <cellStyle name="Normal 4 4 5 8" xfId="43902"/>
    <cellStyle name="Normal 4 4 6" xfId="43903"/>
    <cellStyle name="Normal 4 4 6 2" xfId="43904"/>
    <cellStyle name="Normal 4 4 6 2 2" xfId="43905"/>
    <cellStyle name="Normal 4 4 6 2 2 2" xfId="43906"/>
    <cellStyle name="Normal 4 4 6 2 2 3" xfId="43907"/>
    <cellStyle name="Normal 4 4 6 2 3" xfId="43908"/>
    <cellStyle name="Normal 4 4 6 2 3 2" xfId="43909"/>
    <cellStyle name="Normal 4 4 6 2 4" xfId="43910"/>
    <cellStyle name="Normal 4 4 6 2 5" xfId="43911"/>
    <cellStyle name="Normal 4 4 6 3" xfId="43912"/>
    <cellStyle name="Normal 4 4 6 3 2" xfId="43913"/>
    <cellStyle name="Normal 4 4 6 3 2 2" xfId="43914"/>
    <cellStyle name="Normal 4 4 6 3 3" xfId="43915"/>
    <cellStyle name="Normal 4 4 6 3 4" xfId="43916"/>
    <cellStyle name="Normal 4 4 6 4" xfId="43917"/>
    <cellStyle name="Normal 4 4 6 4 2" xfId="43918"/>
    <cellStyle name="Normal 4 4 6 4 2 2" xfId="43919"/>
    <cellStyle name="Normal 4 4 6 4 3" xfId="43920"/>
    <cellStyle name="Normal 4 4 6 4 4" xfId="43921"/>
    <cellStyle name="Normal 4 4 6 5" xfId="43922"/>
    <cellStyle name="Normal 4 4 6 5 2" xfId="43923"/>
    <cellStyle name="Normal 4 4 6 6" xfId="43924"/>
    <cellStyle name="Normal 4 4 6 7" xfId="43925"/>
    <cellStyle name="Normal 4 4 6 8" xfId="43926"/>
    <cellStyle name="Normal 4 4 7" xfId="43927"/>
    <cellStyle name="Normal 4 4 7 2" xfId="43928"/>
    <cellStyle name="Normal 4 4 7 2 2" xfId="43929"/>
    <cellStyle name="Normal 4 4 7 2 2 2" xfId="43930"/>
    <cellStyle name="Normal 4 4 7 2 2 3" xfId="43931"/>
    <cellStyle name="Normal 4 4 7 2 3" xfId="43932"/>
    <cellStyle name="Normal 4 4 7 2 3 2" xfId="43933"/>
    <cellStyle name="Normal 4 4 7 2 4" xfId="43934"/>
    <cellStyle name="Normal 4 4 7 2 5" xfId="43935"/>
    <cellStyle name="Normal 4 4 7 3" xfId="43936"/>
    <cellStyle name="Normal 4 4 7 3 2" xfId="43937"/>
    <cellStyle name="Normal 4 4 7 3 2 2" xfId="43938"/>
    <cellStyle name="Normal 4 4 7 3 3" xfId="43939"/>
    <cellStyle name="Normal 4 4 7 3 4" xfId="43940"/>
    <cellStyle name="Normal 4 4 7 4" xfId="43941"/>
    <cellStyle name="Normal 4 4 7 4 2" xfId="43942"/>
    <cellStyle name="Normal 4 4 7 4 2 2" xfId="43943"/>
    <cellStyle name="Normal 4 4 7 4 3" xfId="43944"/>
    <cellStyle name="Normal 4 4 7 4 4" xfId="43945"/>
    <cellStyle name="Normal 4 4 7 5" xfId="43946"/>
    <cellStyle name="Normal 4 4 7 5 2" xfId="43947"/>
    <cellStyle name="Normal 4 4 7 6" xfId="43948"/>
    <cellStyle name="Normal 4 4 7 7" xfId="43949"/>
    <cellStyle name="Normal 4 4 7 8" xfId="43950"/>
    <cellStyle name="Normal 4 4 8" xfId="43951"/>
    <cellStyle name="Normal 4 5" xfId="4387"/>
    <cellStyle name="Normal 4 5 2" xfId="4388"/>
    <cellStyle name="Normal 4 5 2 2" xfId="43952"/>
    <cellStyle name="Normal 4 5 3" xfId="43953"/>
    <cellStyle name="Normal 4 5 3 2" xfId="43954"/>
    <cellStyle name="Normal 4 5 3 2 2" xfId="43955"/>
    <cellStyle name="Normal 4 5 3 2 2 2" xfId="43956"/>
    <cellStyle name="Normal 4 5 3 2 2 3" xfId="43957"/>
    <cellStyle name="Normal 4 5 3 2 3" xfId="43958"/>
    <cellStyle name="Normal 4 5 3 2 3 2" xfId="43959"/>
    <cellStyle name="Normal 4 5 3 2 4" xfId="43960"/>
    <cellStyle name="Normal 4 5 3 2 5" xfId="43961"/>
    <cellStyle name="Normal 4 5 3 3" xfId="43962"/>
    <cellStyle name="Normal 4 5 3 3 2" xfId="43963"/>
    <cellStyle name="Normal 4 5 3 3 2 2" xfId="43964"/>
    <cellStyle name="Normal 4 5 3 3 3" xfId="43965"/>
    <cellStyle name="Normal 4 5 3 3 4" xfId="43966"/>
    <cellStyle name="Normal 4 5 3 4" xfId="43967"/>
    <cellStyle name="Normal 4 5 3 4 2" xfId="43968"/>
    <cellStyle name="Normal 4 5 3 4 2 2" xfId="43969"/>
    <cellStyle name="Normal 4 5 3 4 3" xfId="43970"/>
    <cellStyle name="Normal 4 5 3 4 4" xfId="43971"/>
    <cellStyle name="Normal 4 5 3 5" xfId="43972"/>
    <cellStyle name="Normal 4 5 3 5 2" xfId="43973"/>
    <cellStyle name="Normal 4 5 3 6" xfId="43974"/>
    <cellStyle name="Normal 4 5 3 7" xfId="43975"/>
    <cellStyle name="Normal 4 5 3 8" xfId="43976"/>
    <cellStyle name="Normal 4 5 4" xfId="43977"/>
    <cellStyle name="Normal 4 5 4 2" xfId="43978"/>
    <cellStyle name="Normal 4 5 4 2 2" xfId="43979"/>
    <cellStyle name="Normal 4 5 4 2 2 2" xfId="43980"/>
    <cellStyle name="Normal 4 5 4 2 2 3" xfId="43981"/>
    <cellStyle name="Normal 4 5 4 2 3" xfId="43982"/>
    <cellStyle name="Normal 4 5 4 2 3 2" xfId="43983"/>
    <cellStyle name="Normal 4 5 4 2 4" xfId="43984"/>
    <cellStyle name="Normal 4 5 4 2 5" xfId="43985"/>
    <cellStyle name="Normal 4 5 4 3" xfId="43986"/>
    <cellStyle name="Normal 4 5 4 3 2" xfId="43987"/>
    <cellStyle name="Normal 4 5 4 3 2 2" xfId="43988"/>
    <cellStyle name="Normal 4 5 4 3 3" xfId="43989"/>
    <cellStyle name="Normal 4 5 4 3 4" xfId="43990"/>
    <cellStyle name="Normal 4 5 4 4" xfId="43991"/>
    <cellStyle name="Normal 4 5 4 4 2" xfId="43992"/>
    <cellStyle name="Normal 4 5 4 4 2 2" xfId="43993"/>
    <cellStyle name="Normal 4 5 4 4 3" xfId="43994"/>
    <cellStyle name="Normal 4 5 4 4 4" xfId="43995"/>
    <cellStyle name="Normal 4 5 4 5" xfId="43996"/>
    <cellStyle name="Normal 4 5 4 5 2" xfId="43997"/>
    <cellStyle name="Normal 4 5 4 6" xfId="43998"/>
    <cellStyle name="Normal 4 5 4 7" xfId="43999"/>
    <cellStyle name="Normal 4 5 4 8" xfId="44000"/>
    <cellStyle name="Normal 4 5 5" xfId="44001"/>
    <cellStyle name="Normal 4 5 5 2" xfId="44002"/>
    <cellStyle name="Normal 4 5 5 2 2" xfId="44003"/>
    <cellStyle name="Normal 4 5 5 2 2 2" xfId="44004"/>
    <cellStyle name="Normal 4 5 5 2 2 3" xfId="44005"/>
    <cellStyle name="Normal 4 5 5 2 3" xfId="44006"/>
    <cellStyle name="Normal 4 5 5 2 3 2" xfId="44007"/>
    <cellStyle name="Normal 4 5 5 2 4" xfId="44008"/>
    <cellStyle name="Normal 4 5 5 2 5" xfId="44009"/>
    <cellStyle name="Normal 4 5 5 3" xfId="44010"/>
    <cellStyle name="Normal 4 5 5 3 2" xfId="44011"/>
    <cellStyle name="Normal 4 5 5 3 2 2" xfId="44012"/>
    <cellStyle name="Normal 4 5 5 3 3" xfId="44013"/>
    <cellStyle name="Normal 4 5 5 3 4" xfId="44014"/>
    <cellStyle name="Normal 4 5 5 4" xfId="44015"/>
    <cellStyle name="Normal 4 5 5 4 2" xfId="44016"/>
    <cellStyle name="Normal 4 5 5 4 2 2" xfId="44017"/>
    <cellStyle name="Normal 4 5 5 4 3" xfId="44018"/>
    <cellStyle name="Normal 4 5 5 4 4" xfId="44019"/>
    <cellStyle name="Normal 4 5 5 5" xfId="44020"/>
    <cellStyle name="Normal 4 5 5 5 2" xfId="44021"/>
    <cellStyle name="Normal 4 5 5 6" xfId="44022"/>
    <cellStyle name="Normal 4 5 5 7" xfId="44023"/>
    <cellStyle name="Normal 4 5 5 8" xfId="44024"/>
    <cellStyle name="Normal 4 6" xfId="44025"/>
    <cellStyle name="Normal 4 6 2" xfId="44026"/>
    <cellStyle name="Normal 4 6 2 2" xfId="44027"/>
    <cellStyle name="Normal 4 6 3" xfId="44028"/>
    <cellStyle name="Normal 4 7" xfId="44029"/>
    <cellStyle name="Normal 4 7 2" xfId="44030"/>
    <cellStyle name="Normal 4 7 2 2" xfId="44031"/>
    <cellStyle name="Normal 4 7 3" xfId="44032"/>
    <cellStyle name="Normal 4 7 3 2" xfId="44033"/>
    <cellStyle name="Normal 4 7 3 2 2" xfId="44034"/>
    <cellStyle name="Normal 4 7 3 2 2 2" xfId="44035"/>
    <cellStyle name="Normal 4 7 3 2 2 3" xfId="44036"/>
    <cellStyle name="Normal 4 7 3 2 3" xfId="44037"/>
    <cellStyle name="Normal 4 7 3 2 3 2" xfId="44038"/>
    <cellStyle name="Normal 4 7 3 2 4" xfId="44039"/>
    <cellStyle name="Normal 4 7 3 2 5" xfId="44040"/>
    <cellStyle name="Normal 4 7 3 3" xfId="44041"/>
    <cellStyle name="Normal 4 7 3 3 2" xfId="44042"/>
    <cellStyle name="Normal 4 7 3 3 2 2" xfId="44043"/>
    <cellStyle name="Normal 4 7 3 3 3" xfId="44044"/>
    <cellStyle name="Normal 4 7 3 3 4" xfId="44045"/>
    <cellStyle name="Normal 4 7 3 4" xfId="44046"/>
    <cellStyle name="Normal 4 7 3 4 2" xfId="44047"/>
    <cellStyle name="Normal 4 7 3 4 2 2" xfId="44048"/>
    <cellStyle name="Normal 4 7 3 4 3" xfId="44049"/>
    <cellStyle name="Normal 4 7 3 4 4" xfId="44050"/>
    <cellStyle name="Normal 4 7 3 5" xfId="44051"/>
    <cellStyle name="Normal 4 7 3 5 2" xfId="44052"/>
    <cellStyle name="Normal 4 7 3 6" xfId="44053"/>
    <cellStyle name="Normal 4 7 3 7" xfId="44054"/>
    <cellStyle name="Normal 4 7 3 8" xfId="44055"/>
    <cellStyle name="Normal 4 7 4" xfId="44056"/>
    <cellStyle name="Normal 4 7 4 2" xfId="44057"/>
    <cellStyle name="Normal 4 7 4 2 2" xfId="44058"/>
    <cellStyle name="Normal 4 7 4 2 2 2" xfId="44059"/>
    <cellStyle name="Normal 4 7 4 2 2 3" xfId="44060"/>
    <cellStyle name="Normal 4 7 4 2 3" xfId="44061"/>
    <cellStyle name="Normal 4 7 4 2 3 2" xfId="44062"/>
    <cellStyle name="Normal 4 7 4 2 4" xfId="44063"/>
    <cellStyle name="Normal 4 7 4 2 5" xfId="44064"/>
    <cellStyle name="Normal 4 7 4 3" xfId="44065"/>
    <cellStyle name="Normal 4 7 4 3 2" xfId="44066"/>
    <cellStyle name="Normal 4 7 4 3 2 2" xfId="44067"/>
    <cellStyle name="Normal 4 7 4 3 3" xfId="44068"/>
    <cellStyle name="Normal 4 7 4 3 4" xfId="44069"/>
    <cellStyle name="Normal 4 7 4 4" xfId="44070"/>
    <cellStyle name="Normal 4 7 4 4 2" xfId="44071"/>
    <cellStyle name="Normal 4 7 4 4 2 2" xfId="44072"/>
    <cellStyle name="Normal 4 7 4 4 3" xfId="44073"/>
    <cellStyle name="Normal 4 7 4 4 4" xfId="44074"/>
    <cellStyle name="Normal 4 7 4 5" xfId="44075"/>
    <cellStyle name="Normal 4 7 4 5 2" xfId="44076"/>
    <cellStyle name="Normal 4 7 4 6" xfId="44077"/>
    <cellStyle name="Normal 4 7 4 7" xfId="44078"/>
    <cellStyle name="Normal 4 7 4 8" xfId="44079"/>
    <cellStyle name="Normal 4 7 5" xfId="44080"/>
    <cellStyle name="Normal 4 7 5 2" xfId="44081"/>
    <cellStyle name="Normal 4 7 5 2 2" xfId="44082"/>
    <cellStyle name="Normal 4 7 5 2 2 2" xfId="44083"/>
    <cellStyle name="Normal 4 7 5 2 2 3" xfId="44084"/>
    <cellStyle name="Normal 4 7 5 2 3" xfId="44085"/>
    <cellStyle name="Normal 4 7 5 2 3 2" xfId="44086"/>
    <cellStyle name="Normal 4 7 5 2 4" xfId="44087"/>
    <cellStyle name="Normal 4 7 5 2 5" xfId="44088"/>
    <cellStyle name="Normal 4 7 5 3" xfId="44089"/>
    <cellStyle name="Normal 4 7 5 3 2" xfId="44090"/>
    <cellStyle name="Normal 4 7 5 3 2 2" xfId="44091"/>
    <cellStyle name="Normal 4 7 5 3 3" xfId="44092"/>
    <cellStyle name="Normal 4 7 5 3 4" xfId="44093"/>
    <cellStyle name="Normal 4 7 5 4" xfId="44094"/>
    <cellStyle name="Normal 4 7 5 4 2" xfId="44095"/>
    <cellStyle name="Normal 4 7 5 4 2 2" xfId="44096"/>
    <cellStyle name="Normal 4 7 5 4 3" xfId="44097"/>
    <cellStyle name="Normal 4 7 5 4 4" xfId="44098"/>
    <cellStyle name="Normal 4 7 5 5" xfId="44099"/>
    <cellStyle name="Normal 4 7 5 5 2" xfId="44100"/>
    <cellStyle name="Normal 4 7 5 6" xfId="44101"/>
    <cellStyle name="Normal 4 7 5 7" xfId="44102"/>
    <cellStyle name="Normal 4 7 5 8" xfId="44103"/>
    <cellStyle name="Normal 4 8" xfId="44104"/>
    <cellStyle name="Normal 4 8 2" xfId="44105"/>
    <cellStyle name="Normal 4 9" xfId="44106"/>
    <cellStyle name="Normal 4 9 2" xfId="44107"/>
    <cellStyle name="Normal 4_1-10 BHU IS" xfId="44108"/>
    <cellStyle name="Normal 40" xfId="4389"/>
    <cellStyle name="Normal 40 10" xfId="44109"/>
    <cellStyle name="Normal 40 10 2" xfId="44110"/>
    <cellStyle name="Normal 40 11" xfId="44111"/>
    <cellStyle name="Normal 40 11 2" xfId="44112"/>
    <cellStyle name="Normal 40 12" xfId="44113"/>
    <cellStyle name="Normal 40 2" xfId="4390"/>
    <cellStyle name="Normal 40 2 2" xfId="44114"/>
    <cellStyle name="Normal 40 2 2 2" xfId="44115"/>
    <cellStyle name="Normal 40 2 3" xfId="44116"/>
    <cellStyle name="Normal 40 3" xfId="44117"/>
    <cellStyle name="Normal 40 3 2" xfId="44118"/>
    <cellStyle name="Normal 40 3 2 2" xfId="44119"/>
    <cellStyle name="Normal 40 3 3" xfId="44120"/>
    <cellStyle name="Normal 40 4" xfId="44121"/>
    <cellStyle name="Normal 40 4 2" xfId="44122"/>
    <cellStyle name="Normal 40 4 2 2" xfId="44123"/>
    <cellStyle name="Normal 40 4 3" xfId="44124"/>
    <cellStyle name="Normal 40 4 3 2" xfId="44125"/>
    <cellStyle name="Normal 40 4 4" xfId="44126"/>
    <cellStyle name="Normal 40 4 4 2" xfId="44127"/>
    <cellStyle name="Normal 40 4 5" xfId="44128"/>
    <cellStyle name="Normal 40 4 5 2" xfId="44129"/>
    <cellStyle name="Normal 40 4 6" xfId="44130"/>
    <cellStyle name="Normal 40 4 6 2" xfId="44131"/>
    <cellStyle name="Normal 40 4 7" xfId="44132"/>
    <cellStyle name="Normal 40 4 7 2" xfId="44133"/>
    <cellStyle name="Normal 40 4 8" xfId="44134"/>
    <cellStyle name="Normal 40 4 8 2" xfId="44135"/>
    <cellStyle name="Normal 40 4 9" xfId="44136"/>
    <cellStyle name="Normal 40 4 9 2" xfId="44137"/>
    <cellStyle name="Normal 40 4_Dakota Panel" xfId="44138"/>
    <cellStyle name="Normal 40 5" xfId="44139"/>
    <cellStyle name="Normal 40 5 2" xfId="44140"/>
    <cellStyle name="Normal 40 5 2 2" xfId="44141"/>
    <cellStyle name="Normal 40 5 3" xfId="44142"/>
    <cellStyle name="Normal 40 5 3 2" xfId="44143"/>
    <cellStyle name="Normal 40 5 4" xfId="44144"/>
    <cellStyle name="Normal 40 5 5" xfId="44145"/>
    <cellStyle name="Normal 40 6" xfId="44146"/>
    <cellStyle name="Normal 40 6 2" xfId="44147"/>
    <cellStyle name="Normal 40 7" xfId="44148"/>
    <cellStyle name="Normal 40 7 2" xfId="44149"/>
    <cellStyle name="Normal 40 8" xfId="44150"/>
    <cellStyle name="Normal 40 8 2" xfId="44151"/>
    <cellStyle name="Normal 40 9" xfId="44152"/>
    <cellStyle name="Normal 40 9 2" xfId="44153"/>
    <cellStyle name="Normal 40_Dakota Panel" xfId="44154"/>
    <cellStyle name="Normal 41" xfId="4391"/>
    <cellStyle name="Normal 41 10" xfId="44155"/>
    <cellStyle name="Normal 41 10 2" xfId="44156"/>
    <cellStyle name="Normal 41 11" xfId="44157"/>
    <cellStyle name="Normal 41 11 2" xfId="44158"/>
    <cellStyle name="Normal 41 12" xfId="44159"/>
    <cellStyle name="Normal 41 2" xfId="4392"/>
    <cellStyle name="Normal 41 2 2" xfId="44160"/>
    <cellStyle name="Normal 41 2 2 2" xfId="44161"/>
    <cellStyle name="Normal 41 2 3" xfId="44162"/>
    <cellStyle name="Normal 41 3" xfId="44163"/>
    <cellStyle name="Normal 41 3 2" xfId="44164"/>
    <cellStyle name="Normal 41 3 2 2" xfId="44165"/>
    <cellStyle name="Normal 41 3 3" xfId="44166"/>
    <cellStyle name="Normal 41 4" xfId="44167"/>
    <cellStyle name="Normal 41 4 2" xfId="44168"/>
    <cellStyle name="Normal 41 4 2 2" xfId="44169"/>
    <cellStyle name="Normal 41 4 3" xfId="44170"/>
    <cellStyle name="Normal 41 4 3 2" xfId="44171"/>
    <cellStyle name="Normal 41 4 4" xfId="44172"/>
    <cellStyle name="Normal 41 4 4 2" xfId="44173"/>
    <cellStyle name="Normal 41 4 5" xfId="44174"/>
    <cellStyle name="Normal 41 4 5 2" xfId="44175"/>
    <cellStyle name="Normal 41 4 6" xfId="44176"/>
    <cellStyle name="Normal 41 4 6 2" xfId="44177"/>
    <cellStyle name="Normal 41 4 7" xfId="44178"/>
    <cellStyle name="Normal 41 4 7 2" xfId="44179"/>
    <cellStyle name="Normal 41 4 8" xfId="44180"/>
    <cellStyle name="Normal 41 4 8 2" xfId="44181"/>
    <cellStyle name="Normal 41 4 9" xfId="44182"/>
    <cellStyle name="Normal 41 4 9 2" xfId="44183"/>
    <cellStyle name="Normal 41 4_Dakota Panel" xfId="44184"/>
    <cellStyle name="Normal 41 5" xfId="44185"/>
    <cellStyle name="Normal 41 5 2" xfId="44186"/>
    <cellStyle name="Normal 41 5 2 2" xfId="44187"/>
    <cellStyle name="Normal 41 5 3" xfId="44188"/>
    <cellStyle name="Normal 41 5 3 2" xfId="44189"/>
    <cellStyle name="Normal 41 5 4" xfId="44190"/>
    <cellStyle name="Normal 41 5 5" xfId="44191"/>
    <cellStyle name="Normal 41 6" xfId="44192"/>
    <cellStyle name="Normal 41 6 2" xfId="44193"/>
    <cellStyle name="Normal 41 7" xfId="44194"/>
    <cellStyle name="Normal 41 7 2" xfId="44195"/>
    <cellStyle name="Normal 41 8" xfId="44196"/>
    <cellStyle name="Normal 41 8 2" xfId="44197"/>
    <cellStyle name="Normal 41 9" xfId="44198"/>
    <cellStyle name="Normal 41 9 2" xfId="44199"/>
    <cellStyle name="Normal 41_Dakota Panel" xfId="44200"/>
    <cellStyle name="Normal 42" xfId="4393"/>
    <cellStyle name="Normal 42 10" xfId="44201"/>
    <cellStyle name="Normal 42 10 2" xfId="44202"/>
    <cellStyle name="Normal 42 11" xfId="44203"/>
    <cellStyle name="Normal 42 11 2" xfId="44204"/>
    <cellStyle name="Normal 42 12" xfId="44205"/>
    <cellStyle name="Normal 42 2" xfId="4394"/>
    <cellStyle name="Normal 42 2 2" xfId="44206"/>
    <cellStyle name="Normal 42 2 2 2" xfId="44207"/>
    <cellStyle name="Normal 42 2 3" xfId="44208"/>
    <cellStyle name="Normal 42 3" xfId="44209"/>
    <cellStyle name="Normal 42 3 2" xfId="44210"/>
    <cellStyle name="Normal 42 3 2 2" xfId="44211"/>
    <cellStyle name="Normal 42 3 3" xfId="44212"/>
    <cellStyle name="Normal 42 3 3 2" xfId="44213"/>
    <cellStyle name="Normal 42 3 4" xfId="44214"/>
    <cellStyle name="Normal 42 3 4 2" xfId="44215"/>
    <cellStyle name="Normal 42 3 5" xfId="44216"/>
    <cellStyle name="Normal 42 3 5 2" xfId="44217"/>
    <cellStyle name="Normal 42 3 6" xfId="44218"/>
    <cellStyle name="Normal 42 3 6 2" xfId="44219"/>
    <cellStyle name="Normal 42 3 7" xfId="44220"/>
    <cellStyle name="Normal 42 3 7 2" xfId="44221"/>
    <cellStyle name="Normal 42 3 8" xfId="44222"/>
    <cellStyle name="Normal 42 3 8 2" xfId="44223"/>
    <cellStyle name="Normal 42 3 9" xfId="44224"/>
    <cellStyle name="Normal 42 3 9 2" xfId="44225"/>
    <cellStyle name="Normal 42 3_Dakota Panel" xfId="44226"/>
    <cellStyle name="Normal 42 4" xfId="44227"/>
    <cellStyle name="Normal 42 4 2" xfId="44228"/>
    <cellStyle name="Normal 42 4 2 2" xfId="44229"/>
    <cellStyle name="Normal 42 4 3" xfId="44230"/>
    <cellStyle name="Normal 42 4 3 2" xfId="44231"/>
    <cellStyle name="Normal 42 4 4" xfId="44232"/>
    <cellStyle name="Normal 42 4 5" xfId="44233"/>
    <cellStyle name="Normal 42 5" xfId="44234"/>
    <cellStyle name="Normal 42 5 2" xfId="44235"/>
    <cellStyle name="Normal 42 6" xfId="44236"/>
    <cellStyle name="Normal 42 6 2" xfId="44237"/>
    <cellStyle name="Normal 42 7" xfId="44238"/>
    <cellStyle name="Normal 42 7 2" xfId="44239"/>
    <cellStyle name="Normal 42 8" xfId="44240"/>
    <cellStyle name="Normal 42 8 2" xfId="44241"/>
    <cellStyle name="Normal 42 9" xfId="44242"/>
    <cellStyle name="Normal 42 9 2" xfId="44243"/>
    <cellStyle name="Normal 42_Dakota Panel" xfId="44244"/>
    <cellStyle name="Normal 43" xfId="4395"/>
    <cellStyle name="Normal 43 10" xfId="44245"/>
    <cellStyle name="Normal 43 10 2" xfId="44246"/>
    <cellStyle name="Normal 43 11" xfId="44247"/>
    <cellStyle name="Normal 43 11 2" xfId="44248"/>
    <cellStyle name="Normal 43 12" xfId="44249"/>
    <cellStyle name="Normal 43 2" xfId="4396"/>
    <cellStyle name="Normal 43 2 2" xfId="44250"/>
    <cellStyle name="Normal 43 2 2 2" xfId="44251"/>
    <cellStyle name="Normal 43 2 3" xfId="44252"/>
    <cellStyle name="Normal 43 3" xfId="44253"/>
    <cellStyle name="Normal 43 3 2" xfId="44254"/>
    <cellStyle name="Normal 43 3 2 2" xfId="44255"/>
    <cellStyle name="Normal 43 3 3" xfId="44256"/>
    <cellStyle name="Normal 43 3 3 2" xfId="44257"/>
    <cellStyle name="Normal 43 3 4" xfId="44258"/>
    <cellStyle name="Normal 43 3 4 2" xfId="44259"/>
    <cellStyle name="Normal 43 3 5" xfId="44260"/>
    <cellStyle name="Normal 43 3 5 2" xfId="44261"/>
    <cellStyle name="Normal 43 3 6" xfId="44262"/>
    <cellStyle name="Normal 43 3 6 2" xfId="44263"/>
    <cellStyle name="Normal 43 3 7" xfId="44264"/>
    <cellStyle name="Normal 43 3 7 2" xfId="44265"/>
    <cellStyle name="Normal 43 3 8" xfId="44266"/>
    <cellStyle name="Normal 43 3 8 2" xfId="44267"/>
    <cellStyle name="Normal 43 3 9" xfId="44268"/>
    <cellStyle name="Normal 43 3 9 2" xfId="44269"/>
    <cellStyle name="Normal 43 3_Dakota Panel" xfId="44270"/>
    <cellStyle name="Normal 43 4" xfId="44271"/>
    <cellStyle name="Normal 43 4 2" xfId="44272"/>
    <cellStyle name="Normal 43 4 2 2" xfId="44273"/>
    <cellStyle name="Normal 43 4 3" xfId="44274"/>
    <cellStyle name="Normal 43 4 3 2" xfId="44275"/>
    <cellStyle name="Normal 43 4 4" xfId="44276"/>
    <cellStyle name="Normal 43 4 5" xfId="44277"/>
    <cellStyle name="Normal 43 5" xfId="44278"/>
    <cellStyle name="Normal 43 5 2" xfId="44279"/>
    <cellStyle name="Normal 43 6" xfId="44280"/>
    <cellStyle name="Normal 43 6 2" xfId="44281"/>
    <cellStyle name="Normal 43 7" xfId="44282"/>
    <cellStyle name="Normal 43 7 2" xfId="44283"/>
    <cellStyle name="Normal 43 8" xfId="44284"/>
    <cellStyle name="Normal 43 8 2" xfId="44285"/>
    <cellStyle name="Normal 43 9" xfId="44286"/>
    <cellStyle name="Normal 43 9 2" xfId="44287"/>
    <cellStyle name="Normal 43_Dakota Panel" xfId="44288"/>
    <cellStyle name="Normal 44" xfId="4397"/>
    <cellStyle name="Normal 44 10" xfId="44289"/>
    <cellStyle name="Normal 44 10 2" xfId="44290"/>
    <cellStyle name="Normal 44 11" xfId="44291"/>
    <cellStyle name="Normal 44 11 2" xfId="44292"/>
    <cellStyle name="Normal 44 12" xfId="44293"/>
    <cellStyle name="Normal 44 2" xfId="4398"/>
    <cellStyle name="Normal 44 2 2" xfId="44294"/>
    <cellStyle name="Normal 44 2 2 2" xfId="44295"/>
    <cellStyle name="Normal 44 2 3" xfId="44296"/>
    <cellStyle name="Normal 44 3" xfId="44297"/>
    <cellStyle name="Normal 44 3 2" xfId="44298"/>
    <cellStyle name="Normal 44 3 2 2" xfId="44299"/>
    <cellStyle name="Normal 44 3 3" xfId="44300"/>
    <cellStyle name="Normal 44 3 3 2" xfId="44301"/>
    <cellStyle name="Normal 44 3 4" xfId="44302"/>
    <cellStyle name="Normal 44 3 4 2" xfId="44303"/>
    <cellStyle name="Normal 44 3 5" xfId="44304"/>
    <cellStyle name="Normal 44 3 5 2" xfId="44305"/>
    <cellStyle name="Normal 44 3 6" xfId="44306"/>
    <cellStyle name="Normal 44 3 6 2" xfId="44307"/>
    <cellStyle name="Normal 44 3 7" xfId="44308"/>
    <cellStyle name="Normal 44 3 7 2" xfId="44309"/>
    <cellStyle name="Normal 44 3 8" xfId="44310"/>
    <cellStyle name="Normal 44 3 8 2" xfId="44311"/>
    <cellStyle name="Normal 44 3 9" xfId="44312"/>
    <cellStyle name="Normal 44 3 9 2" xfId="44313"/>
    <cellStyle name="Normal 44 3_Dakota Panel" xfId="44314"/>
    <cellStyle name="Normal 44 4" xfId="44315"/>
    <cellStyle name="Normal 44 4 2" xfId="44316"/>
    <cellStyle name="Normal 44 4 2 2" xfId="44317"/>
    <cellStyle name="Normal 44 4 3" xfId="44318"/>
    <cellStyle name="Normal 44 4 3 2" xfId="44319"/>
    <cellStyle name="Normal 44 4 4" xfId="44320"/>
    <cellStyle name="Normal 44 4 5" xfId="44321"/>
    <cellStyle name="Normal 44 5" xfId="44322"/>
    <cellStyle name="Normal 44 5 2" xfId="44323"/>
    <cellStyle name="Normal 44 6" xfId="44324"/>
    <cellStyle name="Normal 44 6 2" xfId="44325"/>
    <cellStyle name="Normal 44 7" xfId="44326"/>
    <cellStyle name="Normal 44 7 2" xfId="44327"/>
    <cellStyle name="Normal 44 8" xfId="44328"/>
    <cellStyle name="Normal 44 8 2" xfId="44329"/>
    <cellStyle name="Normal 44 9" xfId="44330"/>
    <cellStyle name="Normal 44 9 2" xfId="44331"/>
    <cellStyle name="Normal 44_Dakota Panel" xfId="44332"/>
    <cellStyle name="Normal 45" xfId="4399"/>
    <cellStyle name="Normal 45 10" xfId="44333"/>
    <cellStyle name="Normal 45 10 2" xfId="44334"/>
    <cellStyle name="Normal 45 11" xfId="44335"/>
    <cellStyle name="Normal 45 11 2" xfId="44336"/>
    <cellStyle name="Normal 45 12" xfId="44337"/>
    <cellStyle name="Normal 45 2" xfId="4400"/>
    <cellStyle name="Normal 45 2 2" xfId="44338"/>
    <cellStyle name="Normal 45 2 2 2" xfId="44339"/>
    <cellStyle name="Normal 45 2 3" xfId="44340"/>
    <cellStyle name="Normal 45 3" xfId="44341"/>
    <cellStyle name="Normal 45 3 2" xfId="44342"/>
    <cellStyle name="Normal 45 3 2 2" xfId="44343"/>
    <cellStyle name="Normal 45 3 3" xfId="44344"/>
    <cellStyle name="Normal 45 3 3 2" xfId="44345"/>
    <cellStyle name="Normal 45 3 4" xfId="44346"/>
    <cellStyle name="Normal 45 3 4 2" xfId="44347"/>
    <cellStyle name="Normal 45 3 5" xfId="44348"/>
    <cellStyle name="Normal 45 3 5 2" xfId="44349"/>
    <cellStyle name="Normal 45 3 6" xfId="44350"/>
    <cellStyle name="Normal 45 3 6 2" xfId="44351"/>
    <cellStyle name="Normal 45 3 7" xfId="44352"/>
    <cellStyle name="Normal 45 3 7 2" xfId="44353"/>
    <cellStyle name="Normal 45 3 8" xfId="44354"/>
    <cellStyle name="Normal 45 3 8 2" xfId="44355"/>
    <cellStyle name="Normal 45 3 9" xfId="44356"/>
    <cellStyle name="Normal 45 3 9 2" xfId="44357"/>
    <cellStyle name="Normal 45 3_Dakota Panel" xfId="44358"/>
    <cellStyle name="Normal 45 4" xfId="44359"/>
    <cellStyle name="Normal 45 4 2" xfId="44360"/>
    <cellStyle name="Normal 45 4 2 2" xfId="44361"/>
    <cellStyle name="Normal 45 4 3" xfId="44362"/>
    <cellStyle name="Normal 45 4 3 2" xfId="44363"/>
    <cellStyle name="Normal 45 4 4" xfId="44364"/>
    <cellStyle name="Normal 45 4 5" xfId="44365"/>
    <cellStyle name="Normal 45 5" xfId="44366"/>
    <cellStyle name="Normal 45 5 2" xfId="44367"/>
    <cellStyle name="Normal 45 6" xfId="44368"/>
    <cellStyle name="Normal 45 6 2" xfId="44369"/>
    <cellStyle name="Normal 45 7" xfId="44370"/>
    <cellStyle name="Normal 45 7 2" xfId="44371"/>
    <cellStyle name="Normal 45 8" xfId="44372"/>
    <cellStyle name="Normal 45 8 2" xfId="44373"/>
    <cellStyle name="Normal 45 9" xfId="44374"/>
    <cellStyle name="Normal 45 9 2" xfId="44375"/>
    <cellStyle name="Normal 45_Dakota Panel" xfId="44376"/>
    <cellStyle name="Normal 46" xfId="4401"/>
    <cellStyle name="Normal 46 10" xfId="44377"/>
    <cellStyle name="Normal 46 10 2" xfId="44378"/>
    <cellStyle name="Normal 46 11" xfId="44379"/>
    <cellStyle name="Normal 46 11 2" xfId="44380"/>
    <cellStyle name="Normal 46 12" xfId="44381"/>
    <cellStyle name="Normal 46 2" xfId="4402"/>
    <cellStyle name="Normal 46 2 2" xfId="44382"/>
    <cellStyle name="Normal 46 2 2 2" xfId="44383"/>
    <cellStyle name="Normal 46 2 3" xfId="44384"/>
    <cellStyle name="Normal 46 3" xfId="44385"/>
    <cellStyle name="Normal 46 3 2" xfId="44386"/>
    <cellStyle name="Normal 46 3 2 2" xfId="44387"/>
    <cellStyle name="Normal 46 3 3" xfId="44388"/>
    <cellStyle name="Normal 46 3 3 2" xfId="44389"/>
    <cellStyle name="Normal 46 3 4" xfId="44390"/>
    <cellStyle name="Normal 46 3 4 2" xfId="44391"/>
    <cellStyle name="Normal 46 3 5" xfId="44392"/>
    <cellStyle name="Normal 46 3 5 2" xfId="44393"/>
    <cellStyle name="Normal 46 3 6" xfId="44394"/>
    <cellStyle name="Normal 46 3 6 2" xfId="44395"/>
    <cellStyle name="Normal 46 3 7" xfId="44396"/>
    <cellStyle name="Normal 46 3 7 2" xfId="44397"/>
    <cellStyle name="Normal 46 3 8" xfId="44398"/>
    <cellStyle name="Normal 46 3 8 2" xfId="44399"/>
    <cellStyle name="Normal 46 3 9" xfId="44400"/>
    <cellStyle name="Normal 46 3 9 2" xfId="44401"/>
    <cellStyle name="Normal 46 3_Dakota Panel" xfId="44402"/>
    <cellStyle name="Normal 46 4" xfId="44403"/>
    <cellStyle name="Normal 46 4 2" xfId="44404"/>
    <cellStyle name="Normal 46 4 2 2" xfId="44405"/>
    <cellStyle name="Normal 46 4 3" xfId="44406"/>
    <cellStyle name="Normal 46 4 3 2" xfId="44407"/>
    <cellStyle name="Normal 46 4 4" xfId="44408"/>
    <cellStyle name="Normal 46 4 5" xfId="44409"/>
    <cellStyle name="Normal 46 5" xfId="44410"/>
    <cellStyle name="Normal 46 5 2" xfId="44411"/>
    <cellStyle name="Normal 46 6" xfId="44412"/>
    <cellStyle name="Normal 46 6 2" xfId="44413"/>
    <cellStyle name="Normal 46 7" xfId="44414"/>
    <cellStyle name="Normal 46 7 2" xfId="44415"/>
    <cellStyle name="Normal 46 8" xfId="44416"/>
    <cellStyle name="Normal 46 8 2" xfId="44417"/>
    <cellStyle name="Normal 46 9" xfId="44418"/>
    <cellStyle name="Normal 46 9 2" xfId="44419"/>
    <cellStyle name="Normal 46_Dakota Panel" xfId="44420"/>
    <cellStyle name="Normal 47" xfId="4403"/>
    <cellStyle name="Normal 47 10" xfId="44421"/>
    <cellStyle name="Normal 47 10 2" xfId="44422"/>
    <cellStyle name="Normal 47 11" xfId="44423"/>
    <cellStyle name="Normal 47 11 2" xfId="44424"/>
    <cellStyle name="Normal 47 12" xfId="44425"/>
    <cellStyle name="Normal 47 2" xfId="4404"/>
    <cellStyle name="Normal 47 2 2" xfId="44426"/>
    <cellStyle name="Normal 47 2 2 2" xfId="44427"/>
    <cellStyle name="Normal 47 2 3" xfId="44428"/>
    <cellStyle name="Normal 47 3" xfId="44429"/>
    <cellStyle name="Normal 47 3 2" xfId="44430"/>
    <cellStyle name="Normal 47 3 2 2" xfId="44431"/>
    <cellStyle name="Normal 47 3 3" xfId="44432"/>
    <cellStyle name="Normal 47 3 3 2" xfId="44433"/>
    <cellStyle name="Normal 47 3 4" xfId="44434"/>
    <cellStyle name="Normal 47 3 4 2" xfId="44435"/>
    <cellStyle name="Normal 47 3 5" xfId="44436"/>
    <cellStyle name="Normal 47 3 5 2" xfId="44437"/>
    <cellStyle name="Normal 47 3 6" xfId="44438"/>
    <cellStyle name="Normal 47 3 6 2" xfId="44439"/>
    <cellStyle name="Normal 47 3 7" xfId="44440"/>
    <cellStyle name="Normal 47 3 7 2" xfId="44441"/>
    <cellStyle name="Normal 47 3 8" xfId="44442"/>
    <cellStyle name="Normal 47 3 8 2" xfId="44443"/>
    <cellStyle name="Normal 47 3 9" xfId="44444"/>
    <cellStyle name="Normal 47 3 9 2" xfId="44445"/>
    <cellStyle name="Normal 47 3_Dakota Panel" xfId="44446"/>
    <cellStyle name="Normal 47 4" xfId="44447"/>
    <cellStyle name="Normal 47 4 2" xfId="44448"/>
    <cellStyle name="Normal 47 4 2 2" xfId="44449"/>
    <cellStyle name="Normal 47 4 3" xfId="44450"/>
    <cellStyle name="Normal 47 4 3 2" xfId="44451"/>
    <cellStyle name="Normal 47 4 4" xfId="44452"/>
    <cellStyle name="Normal 47 4 5" xfId="44453"/>
    <cellStyle name="Normal 47 5" xfId="44454"/>
    <cellStyle name="Normal 47 5 2" xfId="44455"/>
    <cellStyle name="Normal 47 6" xfId="44456"/>
    <cellStyle name="Normal 47 6 2" xfId="44457"/>
    <cellStyle name="Normal 47 7" xfId="44458"/>
    <cellStyle name="Normal 47 7 2" xfId="44459"/>
    <cellStyle name="Normal 47 8" xfId="44460"/>
    <cellStyle name="Normal 47 8 2" xfId="44461"/>
    <cellStyle name="Normal 47 9" xfId="44462"/>
    <cellStyle name="Normal 47 9 2" xfId="44463"/>
    <cellStyle name="Normal 47_Dakota Panel" xfId="44464"/>
    <cellStyle name="Normal 48" xfId="4405"/>
    <cellStyle name="Normal 48 10" xfId="44465"/>
    <cellStyle name="Normal 48 10 2" xfId="44466"/>
    <cellStyle name="Normal 48 11" xfId="44467"/>
    <cellStyle name="Normal 48 11 2" xfId="44468"/>
    <cellStyle name="Normal 48 12" xfId="44469"/>
    <cellStyle name="Normal 48 2" xfId="4406"/>
    <cellStyle name="Normal 48 2 2" xfId="44470"/>
    <cellStyle name="Normal 48 2 2 2" xfId="44471"/>
    <cellStyle name="Normal 48 2 3" xfId="44472"/>
    <cellStyle name="Normal 48 3" xfId="44473"/>
    <cellStyle name="Normal 48 3 2" xfId="44474"/>
    <cellStyle name="Normal 48 3 2 2" xfId="44475"/>
    <cellStyle name="Normal 48 3 3" xfId="44476"/>
    <cellStyle name="Normal 48 3 3 2" xfId="44477"/>
    <cellStyle name="Normal 48 3 4" xfId="44478"/>
    <cellStyle name="Normal 48 3 4 2" xfId="44479"/>
    <cellStyle name="Normal 48 3 5" xfId="44480"/>
    <cellStyle name="Normal 48 3 5 2" xfId="44481"/>
    <cellStyle name="Normal 48 3 6" xfId="44482"/>
    <cellStyle name="Normal 48 3 6 2" xfId="44483"/>
    <cellStyle name="Normal 48 3 7" xfId="44484"/>
    <cellStyle name="Normal 48 3 7 2" xfId="44485"/>
    <cellStyle name="Normal 48 3 8" xfId="44486"/>
    <cellStyle name="Normal 48 3 8 2" xfId="44487"/>
    <cellStyle name="Normal 48 3 9" xfId="44488"/>
    <cellStyle name="Normal 48 3 9 2" xfId="44489"/>
    <cellStyle name="Normal 48 3_Dakota Panel" xfId="44490"/>
    <cellStyle name="Normal 48 4" xfId="44491"/>
    <cellStyle name="Normal 48 4 2" xfId="44492"/>
    <cellStyle name="Normal 48 4 2 2" xfId="44493"/>
    <cellStyle name="Normal 48 4 3" xfId="44494"/>
    <cellStyle name="Normal 48 4 3 2" xfId="44495"/>
    <cellStyle name="Normal 48 4 4" xfId="44496"/>
    <cellStyle name="Normal 48 4 5" xfId="44497"/>
    <cellStyle name="Normal 48 5" xfId="44498"/>
    <cellStyle name="Normal 48 5 2" xfId="44499"/>
    <cellStyle name="Normal 48 6" xfId="44500"/>
    <cellStyle name="Normal 48 6 2" xfId="44501"/>
    <cellStyle name="Normal 48 7" xfId="44502"/>
    <cellStyle name="Normal 48 7 2" xfId="44503"/>
    <cellStyle name="Normal 48 8" xfId="44504"/>
    <cellStyle name="Normal 48 8 2" xfId="44505"/>
    <cellStyle name="Normal 48 9" xfId="44506"/>
    <cellStyle name="Normal 48 9 2" xfId="44507"/>
    <cellStyle name="Normal 48_Dakota Panel" xfId="44508"/>
    <cellStyle name="Normal 49" xfId="4407"/>
    <cellStyle name="Normal 49 10" xfId="44509"/>
    <cellStyle name="Normal 49 10 2" xfId="44510"/>
    <cellStyle name="Normal 49 11" xfId="44511"/>
    <cellStyle name="Normal 49 11 2" xfId="44512"/>
    <cellStyle name="Normal 49 12" xfId="44513"/>
    <cellStyle name="Normal 49 2" xfId="4408"/>
    <cellStyle name="Normal 49 2 2" xfId="44514"/>
    <cellStyle name="Normal 49 2 2 2" xfId="44515"/>
    <cellStyle name="Normal 49 2 3" xfId="44516"/>
    <cellStyle name="Normal 49 3" xfId="44517"/>
    <cellStyle name="Normal 49 3 2" xfId="44518"/>
    <cellStyle name="Normal 49 3 2 2" xfId="44519"/>
    <cellStyle name="Normal 49 3 3" xfId="44520"/>
    <cellStyle name="Normal 49 3 3 2" xfId="44521"/>
    <cellStyle name="Normal 49 3 4" xfId="44522"/>
    <cellStyle name="Normal 49 3 4 2" xfId="44523"/>
    <cellStyle name="Normal 49 3 5" xfId="44524"/>
    <cellStyle name="Normal 49 3 5 2" xfId="44525"/>
    <cellStyle name="Normal 49 3 6" xfId="44526"/>
    <cellStyle name="Normal 49 3 6 2" xfId="44527"/>
    <cellStyle name="Normal 49 3 7" xfId="44528"/>
    <cellStyle name="Normal 49 3 7 2" xfId="44529"/>
    <cellStyle name="Normal 49 3 8" xfId="44530"/>
    <cellStyle name="Normal 49 3 8 2" xfId="44531"/>
    <cellStyle name="Normal 49 3 9" xfId="44532"/>
    <cellStyle name="Normal 49 3 9 2" xfId="44533"/>
    <cellStyle name="Normal 49 3_Dakota Panel" xfId="44534"/>
    <cellStyle name="Normal 49 4" xfId="44535"/>
    <cellStyle name="Normal 49 4 2" xfId="44536"/>
    <cellStyle name="Normal 49 4 2 2" xfId="44537"/>
    <cellStyle name="Normal 49 4 3" xfId="44538"/>
    <cellStyle name="Normal 49 4 3 2" xfId="44539"/>
    <cellStyle name="Normal 49 4 4" xfId="44540"/>
    <cellStyle name="Normal 49 4 5" xfId="44541"/>
    <cellStyle name="Normal 49 5" xfId="44542"/>
    <cellStyle name="Normal 49 5 2" xfId="44543"/>
    <cellStyle name="Normal 49 6" xfId="44544"/>
    <cellStyle name="Normal 49 6 2" xfId="44545"/>
    <cellStyle name="Normal 49 7" xfId="44546"/>
    <cellStyle name="Normal 49 7 2" xfId="44547"/>
    <cellStyle name="Normal 49 8" xfId="44548"/>
    <cellStyle name="Normal 49 8 2" xfId="44549"/>
    <cellStyle name="Normal 49 9" xfId="44550"/>
    <cellStyle name="Normal 49 9 2" xfId="44551"/>
    <cellStyle name="Normal 49_Dakota Panel" xfId="44552"/>
    <cellStyle name="Normal 5" xfId="29"/>
    <cellStyle name="Normal 5 10" xfId="44553"/>
    <cellStyle name="Normal 5 10 2" xfId="44554"/>
    <cellStyle name="Normal 5 10 2 2" xfId="44555"/>
    <cellStyle name="Normal 5 11" xfId="44556"/>
    <cellStyle name="Normal 5 11 2" xfId="44557"/>
    <cellStyle name="Normal 5 12" xfId="44558"/>
    <cellStyle name="Normal 5 12 2" xfId="44559"/>
    <cellStyle name="Normal 5 12 2 2" xfId="44560"/>
    <cellStyle name="Normal 5 12 3" xfId="44561"/>
    <cellStyle name="Normal 5 12 4" xfId="44562"/>
    <cellStyle name="Normal 5 13" xfId="44563"/>
    <cellStyle name="Normal 5 13 2" xfId="44564"/>
    <cellStyle name="Normal 5 14" xfId="44565"/>
    <cellStyle name="Normal 5 2" xfId="3"/>
    <cellStyle name="Normal 5 2 10" xfId="44566"/>
    <cellStyle name="Normal 5 2 2" xfId="4409"/>
    <cellStyle name="Normal 5 2 2 2" xfId="4410"/>
    <cellStyle name="Normal 5 2 2 2 2" xfId="4411"/>
    <cellStyle name="Normal 5 2 2 3" xfId="4412"/>
    <cellStyle name="Normal 5 2 3" xfId="4413"/>
    <cellStyle name="Normal 5 2 3 2" xfId="4414"/>
    <cellStyle name="Normal 5 2 3 3" xfId="44567"/>
    <cellStyle name="Normal 5 2 4" xfId="4415"/>
    <cellStyle name="Normal 5 2 4 2" xfId="4416"/>
    <cellStyle name="Normal 5 2 5" xfId="4417"/>
    <cellStyle name="Normal 5 2 5 2" xfId="44568"/>
    <cellStyle name="Normal 5 2 6" xfId="44569"/>
    <cellStyle name="Normal 5 2 6 2" xfId="44570"/>
    <cellStyle name="Normal 5 2 7" xfId="44571"/>
    <cellStyle name="Normal 5 2 7 2" xfId="44572"/>
    <cellStyle name="Normal 5 2 8" xfId="44573"/>
    <cellStyle name="Normal 5 2 8 2" xfId="44574"/>
    <cellStyle name="Normal 5 2 9" xfId="44575"/>
    <cellStyle name="Normal 5 2_Dakota Panel" xfId="44576"/>
    <cellStyle name="Normal 5 3" xfId="4418"/>
    <cellStyle name="Normal 5 3 2" xfId="4419"/>
    <cellStyle name="Normal 5 3 2 2" xfId="4420"/>
    <cellStyle name="Normal 5 3 2 2 2" xfId="4421"/>
    <cellStyle name="Normal 5 3 2 3" xfId="4422"/>
    <cellStyle name="Normal 5 3 3" xfId="4423"/>
    <cellStyle name="Normal 5 3 3 2" xfId="4424"/>
    <cellStyle name="Normal 5 3 4" xfId="4425"/>
    <cellStyle name="Normal 5 3 4 2" xfId="4426"/>
    <cellStyle name="Normal 5 3 5" xfId="4427"/>
    <cellStyle name="Normal 5 4" xfId="4428"/>
    <cellStyle name="Normal 5 4 2" xfId="44577"/>
    <cellStyle name="Normal 5 4 2 2" xfId="44578"/>
    <cellStyle name="Normal 5 4 2 2 2" xfId="44579"/>
    <cellStyle name="Normal 5 4 3" xfId="44580"/>
    <cellStyle name="Normal 5 4 3 2" xfId="44581"/>
    <cellStyle name="Normal 5 4 4" xfId="44582"/>
    <cellStyle name="Normal 5 4 4 2" xfId="44583"/>
    <cellStyle name="Normal 5 4 5" xfId="44584"/>
    <cellStyle name="Normal 5 4 5 2" xfId="44585"/>
    <cellStyle name="Normal 5 4 6" xfId="44586"/>
    <cellStyle name="Normal 5 4 6 2" xfId="44587"/>
    <cellStyle name="Normal 5 4 7" xfId="44588"/>
    <cellStyle name="Normal 5 4 7 2" xfId="44589"/>
    <cellStyle name="Normal 5 4 8" xfId="44590"/>
    <cellStyle name="Normal 5 4 8 2" xfId="44591"/>
    <cellStyle name="Normal 5 4 9" xfId="44592"/>
    <cellStyle name="Normal 5 4 9 2" xfId="44593"/>
    <cellStyle name="Normal 5 4_Dakota Panel" xfId="44594"/>
    <cellStyle name="Normal 5 5" xfId="4429"/>
    <cellStyle name="Normal 5 5 2" xfId="4430"/>
    <cellStyle name="Normal 5 5 2 2" xfId="4431"/>
    <cellStyle name="Normal 5 5 2 2 2" xfId="4432"/>
    <cellStyle name="Normal 5 5 2 3" xfId="4433"/>
    <cellStyle name="Normal 5 5 3" xfId="4434"/>
    <cellStyle name="Normal 5 5 3 2" xfId="4435"/>
    <cellStyle name="Normal 5 5 4" xfId="4436"/>
    <cellStyle name="Normal 5 5 4 2" xfId="4437"/>
    <cellStyle name="Normal 5 5 5" xfId="4438"/>
    <cellStyle name="Normal 5 6" xfId="4439"/>
    <cellStyle name="Normal 5 6 2" xfId="44595"/>
    <cellStyle name="Normal 5 6 3" xfId="44596"/>
    <cellStyle name="Normal 5 6 3 2" xfId="44597"/>
    <cellStyle name="Normal 5 7" xfId="44598"/>
    <cellStyle name="Normal 5 7 2" xfId="44599"/>
    <cellStyle name="Normal 5 7 3" xfId="44600"/>
    <cellStyle name="Normal 5 7 3 2" xfId="44601"/>
    <cellStyle name="Normal 5 8" xfId="44602"/>
    <cellStyle name="Normal 5 8 2" xfId="44603"/>
    <cellStyle name="Normal 5 8 3" xfId="44604"/>
    <cellStyle name="Normal 5 8 3 2" xfId="44605"/>
    <cellStyle name="Normal 5 9" xfId="44606"/>
    <cellStyle name="Normal 5 9 2" xfId="44607"/>
    <cellStyle name="Normal 5 9 3" xfId="44608"/>
    <cellStyle name="Normal 5 9 3 2" xfId="44609"/>
    <cellStyle name="Normal 5_1-10 BHU IS" xfId="44610"/>
    <cellStyle name="Normal 50" xfId="4440"/>
    <cellStyle name="Normal 50 10" xfId="44611"/>
    <cellStyle name="Normal 50 10 2" xfId="44612"/>
    <cellStyle name="Normal 50 11" xfId="44613"/>
    <cellStyle name="Normal 50 11 2" xfId="44614"/>
    <cellStyle name="Normal 50 12" xfId="44615"/>
    <cellStyle name="Normal 50 2" xfId="4441"/>
    <cellStyle name="Normal 50 2 2" xfId="44616"/>
    <cellStyle name="Normal 50 2 2 2" xfId="44617"/>
    <cellStyle name="Normal 50 2 3" xfId="44618"/>
    <cellStyle name="Normal 50 3" xfId="44619"/>
    <cellStyle name="Normal 50 3 2" xfId="44620"/>
    <cellStyle name="Normal 50 3 2 2" xfId="44621"/>
    <cellStyle name="Normal 50 3 3" xfId="44622"/>
    <cellStyle name="Normal 50 3 3 2" xfId="44623"/>
    <cellStyle name="Normal 50 3 4" xfId="44624"/>
    <cellStyle name="Normal 50 3 4 2" xfId="44625"/>
    <cellStyle name="Normal 50 3 5" xfId="44626"/>
    <cellStyle name="Normal 50 3 5 2" xfId="44627"/>
    <cellStyle name="Normal 50 3 6" xfId="44628"/>
    <cellStyle name="Normal 50 3 6 2" xfId="44629"/>
    <cellStyle name="Normal 50 3 7" xfId="44630"/>
    <cellStyle name="Normal 50 3 7 2" xfId="44631"/>
    <cellStyle name="Normal 50 3 8" xfId="44632"/>
    <cellStyle name="Normal 50 3 8 2" xfId="44633"/>
    <cellStyle name="Normal 50 3 9" xfId="44634"/>
    <cellStyle name="Normal 50 3 9 2" xfId="44635"/>
    <cellStyle name="Normal 50 3_Dakota Panel" xfId="44636"/>
    <cellStyle name="Normal 50 4" xfId="44637"/>
    <cellStyle name="Normal 50 4 2" xfId="44638"/>
    <cellStyle name="Normal 50 4 2 2" xfId="44639"/>
    <cellStyle name="Normal 50 4 3" xfId="44640"/>
    <cellStyle name="Normal 50 4 3 2" xfId="44641"/>
    <cellStyle name="Normal 50 4 4" xfId="44642"/>
    <cellStyle name="Normal 50 4 5" xfId="44643"/>
    <cellStyle name="Normal 50 5" xfId="44644"/>
    <cellStyle name="Normal 50 5 2" xfId="44645"/>
    <cellStyle name="Normal 50 6" xfId="44646"/>
    <cellStyle name="Normal 50 6 2" xfId="44647"/>
    <cellStyle name="Normal 50 7" xfId="44648"/>
    <cellStyle name="Normal 50 7 2" xfId="44649"/>
    <cellStyle name="Normal 50 8" xfId="44650"/>
    <cellStyle name="Normal 50 8 2" xfId="44651"/>
    <cellStyle name="Normal 50 9" xfId="44652"/>
    <cellStyle name="Normal 50 9 2" xfId="44653"/>
    <cellStyle name="Normal 50_Dakota Panel" xfId="44654"/>
    <cellStyle name="Normal 51" xfId="4442"/>
    <cellStyle name="Normal 51 10" xfId="44655"/>
    <cellStyle name="Normal 51 10 2" xfId="44656"/>
    <cellStyle name="Normal 51 11" xfId="44657"/>
    <cellStyle name="Normal 51 11 2" xfId="44658"/>
    <cellStyle name="Normal 51 12" xfId="44659"/>
    <cellStyle name="Normal 51 2" xfId="4443"/>
    <cellStyle name="Normal 51 2 2" xfId="4444"/>
    <cellStyle name="Normal 51 2 2 2" xfId="4445"/>
    <cellStyle name="Normal 51 2 3" xfId="4446"/>
    <cellStyle name="Normal 51 2 3 2" xfId="4447"/>
    <cellStyle name="Normal 51 2 4" xfId="4448"/>
    <cellStyle name="Normal 51 3" xfId="4449"/>
    <cellStyle name="Normal 51 3 2" xfId="4450"/>
    <cellStyle name="Normal 51 3 2 2" xfId="44660"/>
    <cellStyle name="Normal 51 3 3" xfId="44661"/>
    <cellStyle name="Normal 51 3 3 2" xfId="44662"/>
    <cellStyle name="Normal 51 3 4" xfId="44663"/>
    <cellStyle name="Normal 51 3 4 2" xfId="44664"/>
    <cellStyle name="Normal 51 3 5" xfId="44665"/>
    <cellStyle name="Normal 51 3 5 2" xfId="44666"/>
    <cellStyle name="Normal 51 3 6" xfId="44667"/>
    <cellStyle name="Normal 51 3 6 2" xfId="44668"/>
    <cellStyle name="Normal 51 3 7" xfId="44669"/>
    <cellStyle name="Normal 51 3 7 2" xfId="44670"/>
    <cellStyle name="Normal 51 3 8" xfId="44671"/>
    <cellStyle name="Normal 51 3 8 2" xfId="44672"/>
    <cellStyle name="Normal 51 3 9" xfId="44673"/>
    <cellStyle name="Normal 51 3 9 2" xfId="44674"/>
    <cellStyle name="Normal 51 3_Dakota Panel" xfId="44675"/>
    <cellStyle name="Normal 51 4" xfId="4451"/>
    <cellStyle name="Normal 51 4 2" xfId="4452"/>
    <cellStyle name="Normal 51 4 2 2" xfId="44676"/>
    <cellStyle name="Normal 51 4 3" xfId="44677"/>
    <cellStyle name="Normal 51 4 3 2" xfId="44678"/>
    <cellStyle name="Normal 51 4 4" xfId="44679"/>
    <cellStyle name="Normal 51 4 5" xfId="44680"/>
    <cellStyle name="Normal 51 5" xfId="4453"/>
    <cellStyle name="Normal 51 5 2" xfId="44681"/>
    <cellStyle name="Normal 51 6" xfId="44682"/>
    <cellStyle name="Normal 51 6 2" xfId="44683"/>
    <cellStyle name="Normal 51 7" xfId="44684"/>
    <cellStyle name="Normal 51 7 2" xfId="44685"/>
    <cellStyle name="Normal 51 8" xfId="44686"/>
    <cellStyle name="Normal 51 8 2" xfId="44687"/>
    <cellStyle name="Normal 51 9" xfId="44688"/>
    <cellStyle name="Normal 51 9 2" xfId="44689"/>
    <cellStyle name="Normal 51_Dakota Panel" xfId="44690"/>
    <cellStyle name="Normal 52" xfId="4454"/>
    <cellStyle name="Normal 52 10" xfId="44691"/>
    <cellStyle name="Normal 52 10 2" xfId="44692"/>
    <cellStyle name="Normal 52 11" xfId="44693"/>
    <cellStyle name="Normal 52 11 2" xfId="44694"/>
    <cellStyle name="Normal 52 12" xfId="44695"/>
    <cellStyle name="Normal 52 2" xfId="4455"/>
    <cellStyle name="Normal 52 2 2" xfId="4456"/>
    <cellStyle name="Normal 52 2 2 2" xfId="4457"/>
    <cellStyle name="Normal 52 2 3" xfId="4458"/>
    <cellStyle name="Normal 52 2 3 2" xfId="4459"/>
    <cellStyle name="Normal 52 2 4" xfId="4460"/>
    <cellStyle name="Normal 52 3" xfId="4461"/>
    <cellStyle name="Normal 52 3 2" xfId="4462"/>
    <cellStyle name="Normal 52 3 2 2" xfId="44696"/>
    <cellStyle name="Normal 52 3 3" xfId="44697"/>
    <cellStyle name="Normal 52 3 3 2" xfId="44698"/>
    <cellStyle name="Normal 52 3 4" xfId="44699"/>
    <cellStyle name="Normal 52 3 4 2" xfId="44700"/>
    <cellStyle name="Normal 52 3 5" xfId="44701"/>
    <cellStyle name="Normal 52 3 5 2" xfId="44702"/>
    <cellStyle name="Normal 52 3 6" xfId="44703"/>
    <cellStyle name="Normal 52 3 6 2" xfId="44704"/>
    <cellStyle name="Normal 52 3 7" xfId="44705"/>
    <cellStyle name="Normal 52 3 7 2" xfId="44706"/>
    <cellStyle name="Normal 52 3 8" xfId="44707"/>
    <cellStyle name="Normal 52 3 8 2" xfId="44708"/>
    <cellStyle name="Normal 52 3 9" xfId="44709"/>
    <cellStyle name="Normal 52 3 9 2" xfId="44710"/>
    <cellStyle name="Normal 52 3_Dakota Panel" xfId="44711"/>
    <cellStyle name="Normal 52 4" xfId="4463"/>
    <cellStyle name="Normal 52 4 2" xfId="4464"/>
    <cellStyle name="Normal 52 4 2 2" xfId="44712"/>
    <cellStyle name="Normal 52 4 3" xfId="44713"/>
    <cellStyle name="Normal 52 4 3 2" xfId="44714"/>
    <cellStyle name="Normal 52 4 4" xfId="44715"/>
    <cellStyle name="Normal 52 4 5" xfId="44716"/>
    <cellStyle name="Normal 52 5" xfId="4465"/>
    <cellStyle name="Normal 52 5 2" xfId="44717"/>
    <cellStyle name="Normal 52 6" xfId="44718"/>
    <cellStyle name="Normal 52 6 2" xfId="44719"/>
    <cellStyle name="Normal 52 7" xfId="44720"/>
    <cellStyle name="Normal 52 7 2" xfId="44721"/>
    <cellStyle name="Normal 52 8" xfId="44722"/>
    <cellStyle name="Normal 52 8 2" xfId="44723"/>
    <cellStyle name="Normal 52 9" xfId="44724"/>
    <cellStyle name="Normal 52 9 2" xfId="44725"/>
    <cellStyle name="Normal 52_Dakota Panel" xfId="44726"/>
    <cellStyle name="Normal 53" xfId="4466"/>
    <cellStyle name="Normal 53 10" xfId="44727"/>
    <cellStyle name="Normal 53 10 2" xfId="44728"/>
    <cellStyle name="Normal 53 11" xfId="44729"/>
    <cellStyle name="Normal 53 11 2" xfId="44730"/>
    <cellStyle name="Normal 53 12" xfId="44731"/>
    <cellStyle name="Normal 53 2" xfId="4467"/>
    <cellStyle name="Normal 53 2 2" xfId="4468"/>
    <cellStyle name="Normal 53 2 2 2" xfId="4469"/>
    <cellStyle name="Normal 53 2 3" xfId="4470"/>
    <cellStyle name="Normal 53 2 3 2" xfId="4471"/>
    <cellStyle name="Normal 53 2 4" xfId="4472"/>
    <cellStyle name="Normal 53 3" xfId="4473"/>
    <cellStyle name="Normal 53 3 2" xfId="4474"/>
    <cellStyle name="Normal 53 3 2 2" xfId="44732"/>
    <cellStyle name="Normal 53 3 3" xfId="44733"/>
    <cellStyle name="Normal 53 3 3 2" xfId="44734"/>
    <cellStyle name="Normal 53 3 4" xfId="44735"/>
    <cellStyle name="Normal 53 3 4 2" xfId="44736"/>
    <cellStyle name="Normal 53 3 5" xfId="44737"/>
    <cellStyle name="Normal 53 3 5 2" xfId="44738"/>
    <cellStyle name="Normal 53 3 6" xfId="44739"/>
    <cellStyle name="Normal 53 3 6 2" xfId="44740"/>
    <cellStyle name="Normal 53 3 7" xfId="44741"/>
    <cellStyle name="Normal 53 3 7 2" xfId="44742"/>
    <cellStyle name="Normal 53 3 8" xfId="44743"/>
    <cellStyle name="Normal 53 3 8 2" xfId="44744"/>
    <cellStyle name="Normal 53 3 9" xfId="44745"/>
    <cellStyle name="Normal 53 3 9 2" xfId="44746"/>
    <cellStyle name="Normal 53 3_Dakota Panel" xfId="44747"/>
    <cellStyle name="Normal 53 4" xfId="4475"/>
    <cellStyle name="Normal 53 4 2" xfId="4476"/>
    <cellStyle name="Normal 53 4 2 2" xfId="44748"/>
    <cellStyle name="Normal 53 4 3" xfId="44749"/>
    <cellStyle name="Normal 53 4 3 2" xfId="44750"/>
    <cellStyle name="Normal 53 4 4" xfId="44751"/>
    <cellStyle name="Normal 53 4 5" xfId="44752"/>
    <cellStyle name="Normal 53 5" xfId="4477"/>
    <cellStyle name="Normal 53 5 2" xfId="44753"/>
    <cellStyle name="Normal 53 6" xfId="44754"/>
    <cellStyle name="Normal 53 6 2" xfId="44755"/>
    <cellStyle name="Normal 53 7" xfId="44756"/>
    <cellStyle name="Normal 53 7 2" xfId="44757"/>
    <cellStyle name="Normal 53 8" xfId="44758"/>
    <cellStyle name="Normal 53 8 2" xfId="44759"/>
    <cellStyle name="Normal 53 9" xfId="44760"/>
    <cellStyle name="Normal 53 9 2" xfId="44761"/>
    <cellStyle name="Normal 53_Dakota Panel" xfId="44762"/>
    <cellStyle name="Normal 54" xfId="4478"/>
    <cellStyle name="Normal 54 10" xfId="44763"/>
    <cellStyle name="Normal 54 10 2" xfId="44764"/>
    <cellStyle name="Normal 54 11" xfId="44765"/>
    <cellStyle name="Normal 54 11 2" xfId="44766"/>
    <cellStyle name="Normal 54 12" xfId="44767"/>
    <cellStyle name="Normal 54 2" xfId="4479"/>
    <cellStyle name="Normal 54 2 2" xfId="4480"/>
    <cellStyle name="Normal 54 2 2 2" xfId="4481"/>
    <cellStyle name="Normal 54 2 3" xfId="4482"/>
    <cellStyle name="Normal 54 2 3 2" xfId="4483"/>
    <cellStyle name="Normal 54 2 4" xfId="4484"/>
    <cellStyle name="Normal 54 3" xfId="4485"/>
    <cellStyle name="Normal 54 3 2" xfId="4486"/>
    <cellStyle name="Normal 54 3 2 2" xfId="44768"/>
    <cellStyle name="Normal 54 3 3" xfId="44769"/>
    <cellStyle name="Normal 54 3 3 2" xfId="44770"/>
    <cellStyle name="Normal 54 3 4" xfId="44771"/>
    <cellStyle name="Normal 54 3 4 2" xfId="44772"/>
    <cellStyle name="Normal 54 3 5" xfId="44773"/>
    <cellStyle name="Normal 54 3 5 2" xfId="44774"/>
    <cellStyle name="Normal 54 3 6" xfId="44775"/>
    <cellStyle name="Normal 54 3 6 2" xfId="44776"/>
    <cellStyle name="Normal 54 3 7" xfId="44777"/>
    <cellStyle name="Normal 54 3 7 2" xfId="44778"/>
    <cellStyle name="Normal 54 3 8" xfId="44779"/>
    <cellStyle name="Normal 54 3 8 2" xfId="44780"/>
    <cellStyle name="Normal 54 3 9" xfId="44781"/>
    <cellStyle name="Normal 54 3 9 2" xfId="44782"/>
    <cellStyle name="Normal 54 3_Dakota Panel" xfId="44783"/>
    <cellStyle name="Normal 54 4" xfId="4487"/>
    <cellStyle name="Normal 54 4 2" xfId="4488"/>
    <cellStyle name="Normal 54 4 2 2" xfId="44784"/>
    <cellStyle name="Normal 54 4 3" xfId="44785"/>
    <cellStyle name="Normal 54 4 3 2" xfId="44786"/>
    <cellStyle name="Normal 54 4 4" xfId="44787"/>
    <cellStyle name="Normal 54 4 5" xfId="44788"/>
    <cellStyle name="Normal 54 5" xfId="4489"/>
    <cellStyle name="Normal 54 5 2" xfId="44789"/>
    <cellStyle name="Normal 54 6" xfId="44790"/>
    <cellStyle name="Normal 54 6 2" xfId="44791"/>
    <cellStyle name="Normal 54 7" xfId="44792"/>
    <cellStyle name="Normal 54 7 2" xfId="44793"/>
    <cellStyle name="Normal 54 8" xfId="44794"/>
    <cellStyle name="Normal 54 8 2" xfId="44795"/>
    <cellStyle name="Normal 54 9" xfId="44796"/>
    <cellStyle name="Normal 54 9 2" xfId="44797"/>
    <cellStyle name="Normal 54_Dakota Panel" xfId="44798"/>
    <cellStyle name="Normal 55" xfId="4490"/>
    <cellStyle name="Normal 55 10" xfId="44799"/>
    <cellStyle name="Normal 55 10 2" xfId="44800"/>
    <cellStyle name="Normal 55 11" xfId="44801"/>
    <cellStyle name="Normal 55 11 2" xfId="44802"/>
    <cellStyle name="Normal 55 12" xfId="44803"/>
    <cellStyle name="Normal 55 2" xfId="4491"/>
    <cellStyle name="Normal 55 2 2" xfId="4492"/>
    <cellStyle name="Normal 55 2 2 2" xfId="44804"/>
    <cellStyle name="Normal 55 2 3" xfId="44805"/>
    <cellStyle name="Normal 55 3" xfId="4493"/>
    <cellStyle name="Normal 55 3 2" xfId="4494"/>
    <cellStyle name="Normal 55 3 2 2" xfId="44806"/>
    <cellStyle name="Normal 55 3 3" xfId="44807"/>
    <cellStyle name="Normal 55 3 3 2" xfId="44808"/>
    <cellStyle name="Normal 55 3 4" xfId="44809"/>
    <cellStyle name="Normal 55 3 4 2" xfId="44810"/>
    <cellStyle name="Normal 55 3 5" xfId="44811"/>
    <cellStyle name="Normal 55 3 5 2" xfId="44812"/>
    <cellStyle name="Normal 55 3 6" xfId="44813"/>
    <cellStyle name="Normal 55 3 6 2" xfId="44814"/>
    <cellStyle name="Normal 55 3 7" xfId="44815"/>
    <cellStyle name="Normal 55 3 7 2" xfId="44816"/>
    <cellStyle name="Normal 55 3 8" xfId="44817"/>
    <cellStyle name="Normal 55 3 8 2" xfId="44818"/>
    <cellStyle name="Normal 55 3 9" xfId="44819"/>
    <cellStyle name="Normal 55 3 9 2" xfId="44820"/>
    <cellStyle name="Normal 55 3_Dakota Panel" xfId="44821"/>
    <cellStyle name="Normal 55 4" xfId="4495"/>
    <cellStyle name="Normal 55 4 2" xfId="44822"/>
    <cellStyle name="Normal 55 4 2 2" xfId="44823"/>
    <cellStyle name="Normal 55 4 3" xfId="44824"/>
    <cellStyle name="Normal 55 4 3 2" xfId="44825"/>
    <cellStyle name="Normal 55 4 4" xfId="44826"/>
    <cellStyle name="Normal 55 4 5" xfId="44827"/>
    <cellStyle name="Normal 55 5" xfId="44828"/>
    <cellStyle name="Normal 55 5 2" xfId="44829"/>
    <cellStyle name="Normal 55 6" xfId="44830"/>
    <cellStyle name="Normal 55 6 2" xfId="44831"/>
    <cellStyle name="Normal 55 7" xfId="44832"/>
    <cellStyle name="Normal 55 7 2" xfId="44833"/>
    <cellStyle name="Normal 55 8" xfId="44834"/>
    <cellStyle name="Normal 55 8 2" xfId="44835"/>
    <cellStyle name="Normal 55 9" xfId="44836"/>
    <cellStyle name="Normal 55 9 2" xfId="44837"/>
    <cellStyle name="Normal 55_Dakota Panel" xfId="44838"/>
    <cellStyle name="Normal 56" xfId="4496"/>
    <cellStyle name="Normal 56 10" xfId="44839"/>
    <cellStyle name="Normal 56 10 2" xfId="44840"/>
    <cellStyle name="Normal 56 11" xfId="44841"/>
    <cellStyle name="Normal 56 11 2" xfId="44842"/>
    <cellStyle name="Normal 56 12" xfId="44843"/>
    <cellStyle name="Normal 56 2" xfId="4497"/>
    <cellStyle name="Normal 56 2 2" xfId="4498"/>
    <cellStyle name="Normal 56 2 2 2" xfId="44844"/>
    <cellStyle name="Normal 56 2 3" xfId="44845"/>
    <cellStyle name="Normal 56 3" xfId="4499"/>
    <cellStyle name="Normal 56 3 2" xfId="4500"/>
    <cellStyle name="Normal 56 3 2 2" xfId="44846"/>
    <cellStyle name="Normal 56 3 3" xfId="44847"/>
    <cellStyle name="Normal 56 3 3 2" xfId="44848"/>
    <cellStyle name="Normal 56 3 4" xfId="44849"/>
    <cellStyle name="Normal 56 3 4 2" xfId="44850"/>
    <cellStyle name="Normal 56 3 5" xfId="44851"/>
    <cellStyle name="Normal 56 3 5 2" xfId="44852"/>
    <cellStyle name="Normal 56 3 6" xfId="44853"/>
    <cellStyle name="Normal 56 3 6 2" xfId="44854"/>
    <cellStyle name="Normal 56 3 7" xfId="44855"/>
    <cellStyle name="Normal 56 3 7 2" xfId="44856"/>
    <cellStyle name="Normal 56 3 8" xfId="44857"/>
    <cellStyle name="Normal 56 3 8 2" xfId="44858"/>
    <cellStyle name="Normal 56 3 9" xfId="44859"/>
    <cellStyle name="Normal 56 3 9 2" xfId="44860"/>
    <cellStyle name="Normal 56 3_Dakota Panel" xfId="44861"/>
    <cellStyle name="Normal 56 4" xfId="4501"/>
    <cellStyle name="Normal 56 4 2" xfId="44862"/>
    <cellStyle name="Normal 56 4 2 2" xfId="44863"/>
    <cellStyle name="Normal 56 4 3" xfId="44864"/>
    <cellStyle name="Normal 56 4 3 2" xfId="44865"/>
    <cellStyle name="Normal 56 4 4" xfId="44866"/>
    <cellStyle name="Normal 56 4 5" xfId="44867"/>
    <cellStyle name="Normal 56 5" xfId="44868"/>
    <cellStyle name="Normal 56 5 2" xfId="44869"/>
    <cellStyle name="Normal 56 6" xfId="44870"/>
    <cellStyle name="Normal 56 6 2" xfId="44871"/>
    <cellStyle name="Normal 56 7" xfId="44872"/>
    <cellStyle name="Normal 56 7 2" xfId="44873"/>
    <cellStyle name="Normal 56 8" xfId="44874"/>
    <cellStyle name="Normal 56 8 2" xfId="44875"/>
    <cellStyle name="Normal 56 9" xfId="44876"/>
    <cellStyle name="Normal 56 9 2" xfId="44877"/>
    <cellStyle name="Normal 56_Dakota Panel" xfId="44878"/>
    <cellStyle name="Normal 57" xfId="4502"/>
    <cellStyle name="Normal 57 10" xfId="44879"/>
    <cellStyle name="Normal 57 10 2" xfId="44880"/>
    <cellStyle name="Normal 57 11" xfId="44881"/>
    <cellStyle name="Normal 57 11 2" xfId="44882"/>
    <cellStyle name="Normal 57 12" xfId="44883"/>
    <cellStyle name="Normal 57 2" xfId="4503"/>
    <cellStyle name="Normal 57 2 2" xfId="4504"/>
    <cellStyle name="Normal 57 2 2 2" xfId="44884"/>
    <cellStyle name="Normal 57 2 3" xfId="44885"/>
    <cellStyle name="Normal 57 3" xfId="4505"/>
    <cellStyle name="Normal 57 3 2" xfId="4506"/>
    <cellStyle name="Normal 57 3 2 2" xfId="44886"/>
    <cellStyle name="Normal 57 3 3" xfId="44887"/>
    <cellStyle name="Normal 57 3 3 2" xfId="44888"/>
    <cellStyle name="Normal 57 3 4" xfId="44889"/>
    <cellStyle name="Normal 57 3 4 2" xfId="44890"/>
    <cellStyle name="Normal 57 3 5" xfId="44891"/>
    <cellStyle name="Normal 57 3 5 2" xfId="44892"/>
    <cellStyle name="Normal 57 3 6" xfId="44893"/>
    <cellStyle name="Normal 57 3 6 2" xfId="44894"/>
    <cellStyle name="Normal 57 3 7" xfId="44895"/>
    <cellStyle name="Normal 57 3 7 2" xfId="44896"/>
    <cellStyle name="Normal 57 3 8" xfId="44897"/>
    <cellStyle name="Normal 57 3 8 2" xfId="44898"/>
    <cellStyle name="Normal 57 3 9" xfId="44899"/>
    <cellStyle name="Normal 57 3 9 2" xfId="44900"/>
    <cellStyle name="Normal 57 3_Dakota Panel" xfId="44901"/>
    <cellStyle name="Normal 57 4" xfId="4507"/>
    <cellStyle name="Normal 57 4 2" xfId="44902"/>
    <cellStyle name="Normal 57 4 2 2" xfId="44903"/>
    <cellStyle name="Normal 57 4 3" xfId="44904"/>
    <cellStyle name="Normal 57 4 3 2" xfId="44905"/>
    <cellStyle name="Normal 57 4 4" xfId="44906"/>
    <cellStyle name="Normal 57 4 5" xfId="44907"/>
    <cellStyle name="Normal 57 5" xfId="44908"/>
    <cellStyle name="Normal 57 5 2" xfId="44909"/>
    <cellStyle name="Normal 57 6" xfId="44910"/>
    <cellStyle name="Normal 57 6 2" xfId="44911"/>
    <cellStyle name="Normal 57 7" xfId="44912"/>
    <cellStyle name="Normal 57 7 2" xfId="44913"/>
    <cellStyle name="Normal 57 8" xfId="44914"/>
    <cellStyle name="Normal 57 8 2" xfId="44915"/>
    <cellStyle name="Normal 57 9" xfId="44916"/>
    <cellStyle name="Normal 57 9 2" xfId="44917"/>
    <cellStyle name="Normal 57_Dakota Panel" xfId="44918"/>
    <cellStyle name="Normal 58" xfId="4508"/>
    <cellStyle name="Normal 58 10" xfId="44919"/>
    <cellStyle name="Normal 58 10 2" xfId="44920"/>
    <cellStyle name="Normal 58 11" xfId="44921"/>
    <cellStyle name="Normal 58 11 2" xfId="44922"/>
    <cellStyle name="Normal 58 12" xfId="44923"/>
    <cellStyle name="Normal 58 2" xfId="4509"/>
    <cellStyle name="Normal 58 2 2" xfId="4510"/>
    <cellStyle name="Normal 58 2 2 2" xfId="44924"/>
    <cellStyle name="Normal 58 2 3" xfId="44925"/>
    <cellStyle name="Normal 58 3" xfId="4511"/>
    <cellStyle name="Normal 58 3 2" xfId="4512"/>
    <cellStyle name="Normal 58 3 2 2" xfId="44926"/>
    <cellStyle name="Normal 58 3 3" xfId="44927"/>
    <cellStyle name="Normal 58 3 3 2" xfId="44928"/>
    <cellStyle name="Normal 58 3 4" xfId="44929"/>
    <cellStyle name="Normal 58 3 4 2" xfId="44930"/>
    <cellStyle name="Normal 58 3 5" xfId="44931"/>
    <cellStyle name="Normal 58 3 5 2" xfId="44932"/>
    <cellStyle name="Normal 58 3 6" xfId="44933"/>
    <cellStyle name="Normal 58 3 6 2" xfId="44934"/>
    <cellStyle name="Normal 58 3 7" xfId="44935"/>
    <cellStyle name="Normal 58 3 7 2" xfId="44936"/>
    <cellStyle name="Normal 58 3 8" xfId="44937"/>
    <cellStyle name="Normal 58 3 8 2" xfId="44938"/>
    <cellStyle name="Normal 58 3 9" xfId="44939"/>
    <cellStyle name="Normal 58 3 9 2" xfId="44940"/>
    <cellStyle name="Normal 58 3_Dakota Panel" xfId="44941"/>
    <cellStyle name="Normal 58 4" xfId="4513"/>
    <cellStyle name="Normal 58 4 2" xfId="44942"/>
    <cellStyle name="Normal 58 4 2 2" xfId="44943"/>
    <cellStyle name="Normal 58 4 3" xfId="44944"/>
    <cellStyle name="Normal 58 4 3 2" xfId="44945"/>
    <cellStyle name="Normal 58 4 4" xfId="44946"/>
    <cellStyle name="Normal 58 4 5" xfId="44947"/>
    <cellStyle name="Normal 58 5" xfId="44948"/>
    <cellStyle name="Normal 58 5 2" xfId="44949"/>
    <cellStyle name="Normal 58 6" xfId="44950"/>
    <cellStyle name="Normal 58 6 2" xfId="44951"/>
    <cellStyle name="Normal 58 7" xfId="44952"/>
    <cellStyle name="Normal 58 7 2" xfId="44953"/>
    <cellStyle name="Normal 58 8" xfId="44954"/>
    <cellStyle name="Normal 58 8 2" xfId="44955"/>
    <cellStyle name="Normal 58 9" xfId="44956"/>
    <cellStyle name="Normal 58 9 2" xfId="44957"/>
    <cellStyle name="Normal 58_Dakota Panel" xfId="44958"/>
    <cellStyle name="Normal 59" xfId="4514"/>
    <cellStyle name="Normal 59 10" xfId="44959"/>
    <cellStyle name="Normal 59 10 2" xfId="44960"/>
    <cellStyle name="Normal 59 11" xfId="44961"/>
    <cellStyle name="Normal 59 11 2" xfId="44962"/>
    <cellStyle name="Normal 59 12" xfId="44963"/>
    <cellStyle name="Normal 59 2" xfId="4515"/>
    <cellStyle name="Normal 59 2 2" xfId="4516"/>
    <cellStyle name="Normal 59 2 2 2" xfId="44964"/>
    <cellStyle name="Normal 59 2 3" xfId="44965"/>
    <cellStyle name="Normal 59 3" xfId="4517"/>
    <cellStyle name="Normal 59 3 2" xfId="4518"/>
    <cellStyle name="Normal 59 3 2 2" xfId="44966"/>
    <cellStyle name="Normal 59 3 3" xfId="44967"/>
    <cellStyle name="Normal 59 3 3 2" xfId="44968"/>
    <cellStyle name="Normal 59 3 4" xfId="44969"/>
    <cellStyle name="Normal 59 3 4 2" xfId="44970"/>
    <cellStyle name="Normal 59 3 5" xfId="44971"/>
    <cellStyle name="Normal 59 3 5 2" xfId="44972"/>
    <cellStyle name="Normal 59 3 6" xfId="44973"/>
    <cellStyle name="Normal 59 3 6 2" xfId="44974"/>
    <cellStyle name="Normal 59 3 7" xfId="44975"/>
    <cellStyle name="Normal 59 3 7 2" xfId="44976"/>
    <cellStyle name="Normal 59 3 8" xfId="44977"/>
    <cellStyle name="Normal 59 3 8 2" xfId="44978"/>
    <cellStyle name="Normal 59 3 9" xfId="44979"/>
    <cellStyle name="Normal 59 3 9 2" xfId="44980"/>
    <cellStyle name="Normal 59 3_Dakota Panel" xfId="44981"/>
    <cellStyle name="Normal 59 4" xfId="4519"/>
    <cellStyle name="Normal 59 4 2" xfId="44982"/>
    <cellStyle name="Normal 59 4 2 2" xfId="44983"/>
    <cellStyle name="Normal 59 4 3" xfId="44984"/>
    <cellStyle name="Normal 59 4 3 2" xfId="44985"/>
    <cellStyle name="Normal 59 4 4" xfId="44986"/>
    <cellStyle name="Normal 59 4 5" xfId="44987"/>
    <cellStyle name="Normal 59 5" xfId="44988"/>
    <cellStyle name="Normal 59 5 2" xfId="44989"/>
    <cellStyle name="Normal 59 6" xfId="44990"/>
    <cellStyle name="Normal 59 6 2" xfId="44991"/>
    <cellStyle name="Normal 59 7" xfId="44992"/>
    <cellStyle name="Normal 59 7 2" xfId="44993"/>
    <cellStyle name="Normal 59 8" xfId="44994"/>
    <cellStyle name="Normal 59 8 2" xfId="44995"/>
    <cellStyle name="Normal 59 9" xfId="44996"/>
    <cellStyle name="Normal 59 9 2" xfId="44997"/>
    <cellStyle name="Normal 59_Dakota Panel" xfId="44998"/>
    <cellStyle name="Normal 6" xfId="5"/>
    <cellStyle name="Normal 6 10" xfId="44999"/>
    <cellStyle name="Normal 6 10 2" xfId="45000"/>
    <cellStyle name="Normal 6 10 2 2" xfId="45001"/>
    <cellStyle name="Normal 6 10 3" xfId="45002"/>
    <cellStyle name="Normal 6 10 4" xfId="45003"/>
    <cellStyle name="Normal 6 11" xfId="45004"/>
    <cellStyle name="Normal 6 11 2" xfId="45005"/>
    <cellStyle name="Normal 6 12" xfId="45006"/>
    <cellStyle name="Normal 6 2" xfId="126"/>
    <cellStyle name="Normal 6 2 2" xfId="4520"/>
    <cellStyle name="Normal 6 2 2 2" xfId="4521"/>
    <cellStyle name="Normal 6 2 2 2 2" xfId="4522"/>
    <cellStyle name="Normal 6 2 2 2 2 2" xfId="45007"/>
    <cellStyle name="Normal 6 2 2 2 2 2 2" xfId="45008"/>
    <cellStyle name="Normal 6 2 2 2 2 2 3" xfId="45009"/>
    <cellStyle name="Normal 6 2 2 2 2 3" xfId="45010"/>
    <cellStyle name="Normal 6 2 2 2 2 3 2" xfId="45011"/>
    <cellStyle name="Normal 6 2 2 2 2 4" xfId="45012"/>
    <cellStyle name="Normal 6 2 2 2 2 5" xfId="45013"/>
    <cellStyle name="Normal 6 2 2 2 3" xfId="45014"/>
    <cellStyle name="Normal 6 2 2 2 3 2" xfId="45015"/>
    <cellStyle name="Normal 6 2 2 2 3 2 2" xfId="45016"/>
    <cellStyle name="Normal 6 2 2 2 3 3" xfId="45017"/>
    <cellStyle name="Normal 6 2 2 2 3 4" xfId="45018"/>
    <cellStyle name="Normal 6 2 2 2 4" xfId="45019"/>
    <cellStyle name="Normal 6 2 2 2 4 2" xfId="45020"/>
    <cellStyle name="Normal 6 2 2 2 4 2 2" xfId="45021"/>
    <cellStyle name="Normal 6 2 2 2 4 3" xfId="45022"/>
    <cellStyle name="Normal 6 2 2 2 4 4" xfId="45023"/>
    <cellStyle name="Normal 6 2 2 2 5" xfId="45024"/>
    <cellStyle name="Normal 6 2 2 2 5 2" xfId="45025"/>
    <cellStyle name="Normal 6 2 2 2 6" xfId="45026"/>
    <cellStyle name="Normal 6 2 2 2 7" xfId="45027"/>
    <cellStyle name="Normal 6 2 2 2 8" xfId="45028"/>
    <cellStyle name="Normal 6 2 2 3" xfId="4523"/>
    <cellStyle name="Normal 6 2 2 3 2" xfId="45029"/>
    <cellStyle name="Normal 6 2 2 3 2 2" xfId="45030"/>
    <cellStyle name="Normal 6 2 2 3 2 2 2" xfId="45031"/>
    <cellStyle name="Normal 6 2 2 3 2 2 3" xfId="45032"/>
    <cellStyle name="Normal 6 2 2 3 2 3" xfId="45033"/>
    <cellStyle name="Normal 6 2 2 3 2 3 2" xfId="45034"/>
    <cellStyle name="Normal 6 2 2 3 2 4" xfId="45035"/>
    <cellStyle name="Normal 6 2 2 3 2 5" xfId="45036"/>
    <cellStyle name="Normal 6 2 2 3 3" xfId="45037"/>
    <cellStyle name="Normal 6 2 2 3 3 2" xfId="45038"/>
    <cellStyle name="Normal 6 2 2 3 3 2 2" xfId="45039"/>
    <cellStyle name="Normal 6 2 2 3 3 3" xfId="45040"/>
    <cellStyle name="Normal 6 2 2 3 3 4" xfId="45041"/>
    <cellStyle name="Normal 6 2 2 3 4" xfId="45042"/>
    <cellStyle name="Normal 6 2 2 3 4 2" xfId="45043"/>
    <cellStyle name="Normal 6 2 2 3 4 2 2" xfId="45044"/>
    <cellStyle name="Normal 6 2 2 3 4 3" xfId="45045"/>
    <cellStyle name="Normal 6 2 2 3 4 4" xfId="45046"/>
    <cellStyle name="Normal 6 2 2 3 5" xfId="45047"/>
    <cellStyle name="Normal 6 2 2 3 5 2" xfId="45048"/>
    <cellStyle name="Normal 6 2 2 3 6" xfId="45049"/>
    <cellStyle name="Normal 6 2 2 3 7" xfId="45050"/>
    <cellStyle name="Normal 6 2 2 3 8" xfId="45051"/>
    <cellStyle name="Normal 6 2 2 4" xfId="45052"/>
    <cellStyle name="Normal 6 2 2 4 2" xfId="45053"/>
    <cellStyle name="Normal 6 2 2 4 2 2" xfId="45054"/>
    <cellStyle name="Normal 6 2 2 4 2 2 2" xfId="45055"/>
    <cellStyle name="Normal 6 2 2 4 2 2 3" xfId="45056"/>
    <cellStyle name="Normal 6 2 2 4 2 3" xfId="45057"/>
    <cellStyle name="Normal 6 2 2 4 2 3 2" xfId="45058"/>
    <cellStyle name="Normal 6 2 2 4 2 4" xfId="45059"/>
    <cellStyle name="Normal 6 2 2 4 2 5" xfId="45060"/>
    <cellStyle name="Normal 6 2 2 4 3" xfId="45061"/>
    <cellStyle name="Normal 6 2 2 4 3 2" xfId="45062"/>
    <cellStyle name="Normal 6 2 2 4 3 2 2" xfId="45063"/>
    <cellStyle name="Normal 6 2 2 4 3 3" xfId="45064"/>
    <cellStyle name="Normal 6 2 2 4 3 4" xfId="45065"/>
    <cellStyle name="Normal 6 2 2 4 4" xfId="45066"/>
    <cellStyle name="Normal 6 2 2 4 4 2" xfId="45067"/>
    <cellStyle name="Normal 6 2 2 4 4 2 2" xfId="45068"/>
    <cellStyle name="Normal 6 2 2 4 4 3" xfId="45069"/>
    <cellStyle name="Normal 6 2 2 4 4 4" xfId="45070"/>
    <cellStyle name="Normal 6 2 2 4 5" xfId="45071"/>
    <cellStyle name="Normal 6 2 2 4 5 2" xfId="45072"/>
    <cellStyle name="Normal 6 2 2 4 6" xfId="45073"/>
    <cellStyle name="Normal 6 2 2 4 7" xfId="45074"/>
    <cellStyle name="Normal 6 2 2 4 8" xfId="45075"/>
    <cellStyle name="Normal 6 2 2 5" xfId="45076"/>
    <cellStyle name="Normal 6 2 2 6" xfId="45077"/>
    <cellStyle name="Normal 6 2 3" xfId="4524"/>
    <cellStyle name="Normal 6 2 3 2" xfId="4525"/>
    <cellStyle name="Normal 6 2 3 3" xfId="45078"/>
    <cellStyle name="Normal 6 2 3 3 2" xfId="45079"/>
    <cellStyle name="Normal 6 2 3 3 2 2" xfId="45080"/>
    <cellStyle name="Normal 6 2 3 3 2 2 2" xfId="45081"/>
    <cellStyle name="Normal 6 2 3 3 2 2 3" xfId="45082"/>
    <cellStyle name="Normal 6 2 3 3 2 3" xfId="45083"/>
    <cellStyle name="Normal 6 2 3 3 2 3 2" xfId="45084"/>
    <cellStyle name="Normal 6 2 3 3 2 4" xfId="45085"/>
    <cellStyle name="Normal 6 2 3 3 2 5" xfId="45086"/>
    <cellStyle name="Normal 6 2 3 3 3" xfId="45087"/>
    <cellStyle name="Normal 6 2 3 3 3 2" xfId="45088"/>
    <cellStyle name="Normal 6 2 3 3 3 2 2" xfId="45089"/>
    <cellStyle name="Normal 6 2 3 3 3 3" xfId="45090"/>
    <cellStyle name="Normal 6 2 3 3 3 4" xfId="45091"/>
    <cellStyle name="Normal 6 2 3 3 4" xfId="45092"/>
    <cellStyle name="Normal 6 2 3 3 4 2" xfId="45093"/>
    <cellStyle name="Normal 6 2 3 3 4 2 2" xfId="45094"/>
    <cellStyle name="Normal 6 2 3 3 4 3" xfId="45095"/>
    <cellStyle name="Normal 6 2 3 3 4 4" xfId="45096"/>
    <cellStyle name="Normal 6 2 3 3 5" xfId="45097"/>
    <cellStyle name="Normal 6 2 3 3 5 2" xfId="45098"/>
    <cellStyle name="Normal 6 2 3 3 6" xfId="45099"/>
    <cellStyle name="Normal 6 2 3 3 7" xfId="45100"/>
    <cellStyle name="Normal 6 2 3 3 8" xfId="45101"/>
    <cellStyle name="Normal 6 2 3 4" xfId="45102"/>
    <cellStyle name="Normal 6 2 4" xfId="4526"/>
    <cellStyle name="Normal 6 2 4 2" xfId="4527"/>
    <cellStyle name="Normal 6 2 4 2 2" xfId="45103"/>
    <cellStyle name="Normal 6 2 4 2 2 2" xfId="45104"/>
    <cellStyle name="Normal 6 2 4 2 2 3" xfId="45105"/>
    <cellStyle name="Normal 6 2 4 2 3" xfId="45106"/>
    <cellStyle name="Normal 6 2 4 2 3 2" xfId="45107"/>
    <cellStyle name="Normal 6 2 4 2 4" xfId="45108"/>
    <cellStyle name="Normal 6 2 4 2 5" xfId="45109"/>
    <cellStyle name="Normal 6 2 4 3" xfId="45110"/>
    <cellStyle name="Normal 6 2 4 3 2" xfId="45111"/>
    <cellStyle name="Normal 6 2 4 3 2 2" xfId="45112"/>
    <cellStyle name="Normal 6 2 4 3 3" xfId="45113"/>
    <cellStyle name="Normal 6 2 4 3 4" xfId="45114"/>
    <cellStyle name="Normal 6 2 4 4" xfId="45115"/>
    <cellStyle name="Normal 6 2 4 4 2" xfId="45116"/>
    <cellStyle name="Normal 6 2 4 4 2 2" xfId="45117"/>
    <cellStyle name="Normal 6 2 4 4 3" xfId="45118"/>
    <cellStyle name="Normal 6 2 4 4 4" xfId="45119"/>
    <cellStyle name="Normal 6 2 4 5" xfId="45120"/>
    <cellStyle name="Normal 6 2 4 5 2" xfId="45121"/>
    <cellStyle name="Normal 6 2 4 6" xfId="45122"/>
    <cellStyle name="Normal 6 2 4 7" xfId="45123"/>
    <cellStyle name="Normal 6 2 4 8" xfId="45124"/>
    <cellStyle name="Normal 6 2 5" xfId="4528"/>
    <cellStyle name="Normal 6 2 5 2" xfId="45125"/>
    <cellStyle name="Normal 6 2 5 2 2" xfId="45126"/>
    <cellStyle name="Normal 6 2 5 2 2 2" xfId="45127"/>
    <cellStyle name="Normal 6 2 5 2 2 3" xfId="45128"/>
    <cellStyle name="Normal 6 2 5 2 3" xfId="45129"/>
    <cellStyle name="Normal 6 2 5 2 3 2" xfId="45130"/>
    <cellStyle name="Normal 6 2 5 2 4" xfId="45131"/>
    <cellStyle name="Normal 6 2 5 2 5" xfId="45132"/>
    <cellStyle name="Normal 6 2 5 3" xfId="45133"/>
    <cellStyle name="Normal 6 2 5 3 2" xfId="45134"/>
    <cellStyle name="Normal 6 2 5 3 2 2" xfId="45135"/>
    <cellStyle name="Normal 6 2 5 3 3" xfId="45136"/>
    <cellStyle name="Normal 6 2 5 3 4" xfId="45137"/>
    <cellStyle name="Normal 6 2 5 4" xfId="45138"/>
    <cellStyle name="Normal 6 2 5 4 2" xfId="45139"/>
    <cellStyle name="Normal 6 2 5 4 2 2" xfId="45140"/>
    <cellStyle name="Normal 6 2 5 4 3" xfId="45141"/>
    <cellStyle name="Normal 6 2 5 4 4" xfId="45142"/>
    <cellStyle name="Normal 6 2 5 5" xfId="45143"/>
    <cellStyle name="Normal 6 2 5 5 2" xfId="45144"/>
    <cellStyle name="Normal 6 2 5 6" xfId="45145"/>
    <cellStyle name="Normal 6 2 5 7" xfId="45146"/>
    <cellStyle name="Normal 6 2 5 8" xfId="45147"/>
    <cellStyle name="Normal 6 2 6" xfId="45148"/>
    <cellStyle name="Normal 6 2 6 2" xfId="45149"/>
    <cellStyle name="Normal 6 2 6 2 2" xfId="45150"/>
    <cellStyle name="Normal 6 2 6 2 2 2" xfId="45151"/>
    <cellStyle name="Normal 6 2 6 2 2 3" xfId="45152"/>
    <cellStyle name="Normal 6 2 6 2 3" xfId="45153"/>
    <cellStyle name="Normal 6 2 6 2 3 2" xfId="45154"/>
    <cellStyle name="Normal 6 2 6 2 4" xfId="45155"/>
    <cellStyle name="Normal 6 2 6 2 5" xfId="45156"/>
    <cellStyle name="Normal 6 2 6 3" xfId="45157"/>
    <cellStyle name="Normal 6 2 6 3 2" xfId="45158"/>
    <cellStyle name="Normal 6 2 6 3 2 2" xfId="45159"/>
    <cellStyle name="Normal 6 2 6 3 3" xfId="45160"/>
    <cellStyle name="Normal 6 2 6 3 4" xfId="45161"/>
    <cellStyle name="Normal 6 2 6 4" xfId="45162"/>
    <cellStyle name="Normal 6 2 6 4 2" xfId="45163"/>
    <cellStyle name="Normal 6 2 6 4 2 2" xfId="45164"/>
    <cellStyle name="Normal 6 2 6 4 3" xfId="45165"/>
    <cellStyle name="Normal 6 2 6 4 4" xfId="45166"/>
    <cellStyle name="Normal 6 2 6 5" xfId="45167"/>
    <cellStyle name="Normal 6 2 6 5 2" xfId="45168"/>
    <cellStyle name="Normal 6 2 6 6" xfId="45169"/>
    <cellStyle name="Normal 6 2 6 7" xfId="45170"/>
    <cellStyle name="Normal 6 2 6 8" xfId="45171"/>
    <cellStyle name="Normal 6 2 7" xfId="45172"/>
    <cellStyle name="Normal 6 2 8" xfId="45173"/>
    <cellStyle name="Normal 6 3" xfId="135"/>
    <cellStyle name="Normal 6 3 2" xfId="4529"/>
    <cellStyle name="Normal 6 3 2 2" xfId="4530"/>
    <cellStyle name="Normal 6 3 2 2 2" xfId="4531"/>
    <cellStyle name="Normal 6 3 2 3" xfId="4532"/>
    <cellStyle name="Normal 6 3 3" xfId="4533"/>
    <cellStyle name="Normal 6 3 3 2" xfId="4534"/>
    <cellStyle name="Normal 6 3 3 3" xfId="45174"/>
    <cellStyle name="Normal 6 3 4" xfId="4535"/>
    <cellStyle name="Normal 6 3 4 2" xfId="4536"/>
    <cellStyle name="Normal 6 3 4 2 2" xfId="45175"/>
    <cellStyle name="Normal 6 3 4 2 2 2" xfId="45176"/>
    <cellStyle name="Normal 6 3 4 2 2 3" xfId="45177"/>
    <cellStyle name="Normal 6 3 4 2 3" xfId="45178"/>
    <cellStyle name="Normal 6 3 4 2 3 2" xfId="45179"/>
    <cellStyle name="Normal 6 3 4 2 4" xfId="45180"/>
    <cellStyle name="Normal 6 3 4 2 5" xfId="45181"/>
    <cellStyle name="Normal 6 3 4 3" xfId="45182"/>
    <cellStyle name="Normal 6 3 4 3 2" xfId="45183"/>
    <cellStyle name="Normal 6 3 4 3 2 2" xfId="45184"/>
    <cellStyle name="Normal 6 3 4 3 3" xfId="45185"/>
    <cellStyle name="Normal 6 3 4 3 4" xfId="45186"/>
    <cellStyle name="Normal 6 3 4 4" xfId="45187"/>
    <cellStyle name="Normal 6 3 4 4 2" xfId="45188"/>
    <cellStyle name="Normal 6 3 4 4 2 2" xfId="45189"/>
    <cellStyle name="Normal 6 3 4 4 3" xfId="45190"/>
    <cellStyle name="Normal 6 3 4 4 4" xfId="45191"/>
    <cellStyle name="Normal 6 3 4 5" xfId="45192"/>
    <cellStyle name="Normal 6 3 4 5 2" xfId="45193"/>
    <cellStyle name="Normal 6 3 4 6" xfId="45194"/>
    <cellStyle name="Normal 6 3 4 7" xfId="45195"/>
    <cellStyle name="Normal 6 3 4 8" xfId="45196"/>
    <cellStyle name="Normal 6 3 5" xfId="4537"/>
    <cellStyle name="Normal 6 3 5 2" xfId="45197"/>
    <cellStyle name="Normal 6 3 5 2 2" xfId="45198"/>
    <cellStyle name="Normal 6 3 5 2 2 2" xfId="45199"/>
    <cellStyle name="Normal 6 3 5 2 2 3" xfId="45200"/>
    <cellStyle name="Normal 6 3 5 2 3" xfId="45201"/>
    <cellStyle name="Normal 6 3 5 2 3 2" xfId="45202"/>
    <cellStyle name="Normal 6 3 5 2 4" xfId="45203"/>
    <cellStyle name="Normal 6 3 5 2 5" xfId="45204"/>
    <cellStyle name="Normal 6 3 5 3" xfId="45205"/>
    <cellStyle name="Normal 6 3 5 3 2" xfId="45206"/>
    <cellStyle name="Normal 6 3 5 3 2 2" xfId="45207"/>
    <cellStyle name="Normal 6 3 5 3 3" xfId="45208"/>
    <cellStyle name="Normal 6 3 5 3 4" xfId="45209"/>
    <cellStyle name="Normal 6 3 5 4" xfId="45210"/>
    <cellStyle name="Normal 6 3 5 4 2" xfId="45211"/>
    <cellStyle name="Normal 6 3 5 4 2 2" xfId="45212"/>
    <cellStyle name="Normal 6 3 5 4 3" xfId="45213"/>
    <cellStyle name="Normal 6 3 5 4 4" xfId="45214"/>
    <cellStyle name="Normal 6 3 5 5" xfId="45215"/>
    <cellStyle name="Normal 6 3 5 5 2" xfId="45216"/>
    <cellStyle name="Normal 6 3 5 6" xfId="45217"/>
    <cellStyle name="Normal 6 3 5 7" xfId="45218"/>
    <cellStyle name="Normal 6 3 5 8" xfId="45219"/>
    <cellStyle name="Normal 6 3 6" xfId="45220"/>
    <cellStyle name="Normal 6 3 6 2" xfId="45221"/>
    <cellStyle name="Normal 6 3 6 2 2" xfId="45222"/>
    <cellStyle name="Normal 6 3 6 2 2 2" xfId="45223"/>
    <cellStyle name="Normal 6 3 6 2 2 3" xfId="45224"/>
    <cellStyle name="Normal 6 3 6 2 3" xfId="45225"/>
    <cellStyle name="Normal 6 3 6 2 3 2" xfId="45226"/>
    <cellStyle name="Normal 6 3 6 2 4" xfId="45227"/>
    <cellStyle name="Normal 6 3 6 2 5" xfId="45228"/>
    <cellStyle name="Normal 6 3 6 3" xfId="45229"/>
    <cellStyle name="Normal 6 3 6 3 2" xfId="45230"/>
    <cellStyle name="Normal 6 3 6 3 2 2" xfId="45231"/>
    <cellStyle name="Normal 6 3 6 3 3" xfId="45232"/>
    <cellStyle name="Normal 6 3 6 3 4" xfId="45233"/>
    <cellStyle name="Normal 6 3 6 4" xfId="45234"/>
    <cellStyle name="Normal 6 3 6 4 2" xfId="45235"/>
    <cellStyle name="Normal 6 3 6 4 2 2" xfId="45236"/>
    <cellStyle name="Normal 6 3 6 4 3" xfId="45237"/>
    <cellStyle name="Normal 6 3 6 4 4" xfId="45238"/>
    <cellStyle name="Normal 6 3 6 5" xfId="45239"/>
    <cellStyle name="Normal 6 3 6 5 2" xfId="45240"/>
    <cellStyle name="Normal 6 3 6 6" xfId="45241"/>
    <cellStyle name="Normal 6 3 6 7" xfId="45242"/>
    <cellStyle name="Normal 6 3 6 8" xfId="45243"/>
    <cellStyle name="Normal 6 3 7" xfId="45244"/>
    <cellStyle name="Normal 6 3_Dakota Panel" xfId="45245"/>
    <cellStyle name="Normal 6 4" xfId="4538"/>
    <cellStyle name="Normal 6 4 2" xfId="4539"/>
    <cellStyle name="Normal 6 4 2 2" xfId="4540"/>
    <cellStyle name="Normal 6 4 2 2 2" xfId="4541"/>
    <cellStyle name="Normal 6 4 2 3" xfId="4542"/>
    <cellStyle name="Normal 6 4 3" xfId="4543"/>
    <cellStyle name="Normal 6 4 3 2" xfId="4544"/>
    <cellStyle name="Normal 6 4 4" xfId="4545"/>
    <cellStyle name="Normal 6 4 4 2" xfId="4546"/>
    <cellStyle name="Normal 6 4 4 2 2" xfId="45246"/>
    <cellStyle name="Normal 6 4 4 2 2 2" xfId="45247"/>
    <cellStyle name="Normal 6 4 4 2 2 3" xfId="45248"/>
    <cellStyle name="Normal 6 4 4 2 3" xfId="45249"/>
    <cellStyle name="Normal 6 4 4 2 3 2" xfId="45250"/>
    <cellStyle name="Normal 6 4 4 2 4" xfId="45251"/>
    <cellStyle name="Normal 6 4 4 2 5" xfId="45252"/>
    <cellStyle name="Normal 6 4 4 3" xfId="45253"/>
    <cellStyle name="Normal 6 4 4 3 2" xfId="45254"/>
    <cellStyle name="Normal 6 4 4 3 2 2" xfId="45255"/>
    <cellStyle name="Normal 6 4 4 3 3" xfId="45256"/>
    <cellStyle name="Normal 6 4 4 3 4" xfId="45257"/>
    <cellStyle name="Normal 6 4 4 4" xfId="45258"/>
    <cellStyle name="Normal 6 4 4 4 2" xfId="45259"/>
    <cellStyle name="Normal 6 4 4 4 2 2" xfId="45260"/>
    <cellStyle name="Normal 6 4 4 4 3" xfId="45261"/>
    <cellStyle name="Normal 6 4 4 4 4" xfId="45262"/>
    <cellStyle name="Normal 6 4 4 5" xfId="45263"/>
    <cellStyle name="Normal 6 4 4 5 2" xfId="45264"/>
    <cellStyle name="Normal 6 4 4 6" xfId="45265"/>
    <cellStyle name="Normal 6 4 4 7" xfId="45266"/>
    <cellStyle name="Normal 6 4 4 8" xfId="45267"/>
    <cellStyle name="Normal 6 4 5" xfId="4547"/>
    <cellStyle name="Normal 6 4 6" xfId="45268"/>
    <cellStyle name="Normal 6 5" xfId="4548"/>
    <cellStyle name="Normal 6 5 2" xfId="4549"/>
    <cellStyle name="Normal 6 5 2 2" xfId="4550"/>
    <cellStyle name="Normal 6 5 2 2 2" xfId="4551"/>
    <cellStyle name="Normal 6 5 2 3" xfId="4552"/>
    <cellStyle name="Normal 6 5 3" xfId="4553"/>
    <cellStyle name="Normal 6 5 3 2" xfId="4554"/>
    <cellStyle name="Normal 6 5 4" xfId="4555"/>
    <cellStyle name="Normal 6 5 4 2" xfId="4556"/>
    <cellStyle name="Normal 6 5 5" xfId="4557"/>
    <cellStyle name="Normal 6 5 5 2" xfId="45269"/>
    <cellStyle name="Normal 6 5 6" xfId="45270"/>
    <cellStyle name="Normal 6 5 6 2" xfId="45271"/>
    <cellStyle name="Normal 6 5 7" xfId="45272"/>
    <cellStyle name="Normal 6 5 7 2" xfId="45273"/>
    <cellStyle name="Normal 6 5 8" xfId="45274"/>
    <cellStyle name="Normal 6 5 8 2" xfId="45275"/>
    <cellStyle name="Normal 6 5 9" xfId="45276"/>
    <cellStyle name="Normal 6 5 9 2" xfId="45277"/>
    <cellStyle name="Normal 6 5_Dakota Panel" xfId="45278"/>
    <cellStyle name="Normal 6 6" xfId="4558"/>
    <cellStyle name="Normal 6 6 2" xfId="4559"/>
    <cellStyle name="Normal 6 6 2 2" xfId="4560"/>
    <cellStyle name="Normal 6 6 2 2 2" xfId="45279"/>
    <cellStyle name="Normal 6 6 2 2 3" xfId="45280"/>
    <cellStyle name="Normal 6 6 2 3" xfId="45281"/>
    <cellStyle name="Normal 6 6 2 3 2" xfId="45282"/>
    <cellStyle name="Normal 6 6 2 4" xfId="45283"/>
    <cellStyle name="Normal 6 6 2 5" xfId="45284"/>
    <cellStyle name="Normal 6 6 3" xfId="4561"/>
    <cellStyle name="Normal 6 6 3 2" xfId="45285"/>
    <cellStyle name="Normal 6 6 3 2 2" xfId="45286"/>
    <cellStyle name="Normal 6 6 3 3" xfId="45287"/>
    <cellStyle name="Normal 6 6 3 4" xfId="45288"/>
    <cellStyle name="Normal 6 6 4" xfId="45289"/>
    <cellStyle name="Normal 6 6 4 2" xfId="45290"/>
    <cellStyle name="Normal 6 6 4 2 2" xfId="45291"/>
    <cellStyle name="Normal 6 6 4 3" xfId="45292"/>
    <cellStyle name="Normal 6 6 4 4" xfId="45293"/>
    <cellStyle name="Normal 6 6 5" xfId="45294"/>
    <cellStyle name="Normal 6 6 5 2" xfId="45295"/>
    <cellStyle name="Normal 6 6 6" xfId="45296"/>
    <cellStyle name="Normal 6 6 6 2" xfId="45297"/>
    <cellStyle name="Normal 6 6 7" xfId="45298"/>
    <cellStyle name="Normal 6 6 8" xfId="45299"/>
    <cellStyle name="Normal 6 6 9" xfId="45300"/>
    <cellStyle name="Normal 6 7" xfId="4562"/>
    <cellStyle name="Normal 6 7 2" xfId="4563"/>
    <cellStyle name="Normal 6 7 2 2" xfId="45301"/>
    <cellStyle name="Normal 6 7 2 2 2" xfId="45302"/>
    <cellStyle name="Normal 6 7 2 2 3" xfId="45303"/>
    <cellStyle name="Normal 6 7 2 3" xfId="45304"/>
    <cellStyle name="Normal 6 7 2 3 2" xfId="45305"/>
    <cellStyle name="Normal 6 7 2 4" xfId="45306"/>
    <cellStyle name="Normal 6 7 2 5" xfId="45307"/>
    <cellStyle name="Normal 6 7 3" xfId="45308"/>
    <cellStyle name="Normal 6 7 3 2" xfId="45309"/>
    <cellStyle name="Normal 6 7 3 2 2" xfId="45310"/>
    <cellStyle name="Normal 6 7 3 3" xfId="45311"/>
    <cellStyle name="Normal 6 7 3 4" xfId="45312"/>
    <cellStyle name="Normal 6 7 4" xfId="45313"/>
    <cellStyle name="Normal 6 7 4 2" xfId="45314"/>
    <cellStyle name="Normal 6 7 4 2 2" xfId="45315"/>
    <cellStyle name="Normal 6 7 4 3" xfId="45316"/>
    <cellStyle name="Normal 6 7 4 4" xfId="45317"/>
    <cellStyle name="Normal 6 7 5" xfId="45318"/>
    <cellStyle name="Normal 6 7 5 2" xfId="45319"/>
    <cellStyle name="Normal 6 7 6" xfId="45320"/>
    <cellStyle name="Normal 6 7 7" xfId="45321"/>
    <cellStyle name="Normal 6 7 8" xfId="45322"/>
    <cellStyle name="Normal 6 8" xfId="4564"/>
    <cellStyle name="Normal 6 8 2" xfId="4565"/>
    <cellStyle name="Normal 6 8 2 2" xfId="45323"/>
    <cellStyle name="Normal 6 8 2 2 2" xfId="45324"/>
    <cellStyle name="Normal 6 8 2 2 3" xfId="45325"/>
    <cellStyle name="Normal 6 8 2 3" xfId="45326"/>
    <cellStyle name="Normal 6 8 2 3 2" xfId="45327"/>
    <cellStyle name="Normal 6 8 2 4" xfId="45328"/>
    <cellStyle name="Normal 6 8 2 5" xfId="45329"/>
    <cellStyle name="Normal 6 8 3" xfId="45330"/>
    <cellStyle name="Normal 6 8 3 2" xfId="45331"/>
    <cellStyle name="Normal 6 8 3 2 2" xfId="45332"/>
    <cellStyle name="Normal 6 8 3 3" xfId="45333"/>
    <cellStyle name="Normal 6 8 3 4" xfId="45334"/>
    <cellStyle name="Normal 6 8 4" xfId="45335"/>
    <cellStyle name="Normal 6 8 4 2" xfId="45336"/>
    <cellStyle name="Normal 6 8 4 2 2" xfId="45337"/>
    <cellStyle name="Normal 6 8 4 3" xfId="45338"/>
    <cellStyle name="Normal 6 8 4 4" xfId="45339"/>
    <cellStyle name="Normal 6 8 5" xfId="45340"/>
    <cellStyle name="Normal 6 8 5 2" xfId="45341"/>
    <cellStyle name="Normal 6 8 6" xfId="45342"/>
    <cellStyle name="Normal 6 8 7" xfId="45343"/>
    <cellStyle name="Normal 6 8 8" xfId="45344"/>
    <cellStyle name="Normal 6 9" xfId="4566"/>
    <cellStyle name="Normal 6 9 2" xfId="45345"/>
    <cellStyle name="Normal 6 9 2 2" xfId="45346"/>
    <cellStyle name="Normal 6_Dakota Panel" xfId="45347"/>
    <cellStyle name="Normal 60" xfId="4567"/>
    <cellStyle name="Normal 60 10" xfId="45348"/>
    <cellStyle name="Normal 60 10 2" xfId="45349"/>
    <cellStyle name="Normal 60 11" xfId="45350"/>
    <cellStyle name="Normal 60 11 2" xfId="45351"/>
    <cellStyle name="Normal 60 12" xfId="45352"/>
    <cellStyle name="Normal 60 2" xfId="4568"/>
    <cellStyle name="Normal 60 2 2" xfId="4569"/>
    <cellStyle name="Normal 60 2 2 2" xfId="45353"/>
    <cellStyle name="Normal 60 2 3" xfId="45354"/>
    <cellStyle name="Normal 60 3" xfId="4570"/>
    <cellStyle name="Normal 60 3 2" xfId="4571"/>
    <cellStyle name="Normal 60 3 2 2" xfId="45355"/>
    <cellStyle name="Normal 60 3 3" xfId="45356"/>
    <cellStyle name="Normal 60 3 3 2" xfId="45357"/>
    <cellStyle name="Normal 60 3 4" xfId="45358"/>
    <cellStyle name="Normal 60 3 4 2" xfId="45359"/>
    <cellStyle name="Normal 60 3 5" xfId="45360"/>
    <cellStyle name="Normal 60 3 5 2" xfId="45361"/>
    <cellStyle name="Normal 60 3 6" xfId="45362"/>
    <cellStyle name="Normal 60 3 6 2" xfId="45363"/>
    <cellStyle name="Normal 60 3 7" xfId="45364"/>
    <cellStyle name="Normal 60 3 7 2" xfId="45365"/>
    <cellStyle name="Normal 60 3 8" xfId="45366"/>
    <cellStyle name="Normal 60 3 8 2" xfId="45367"/>
    <cellStyle name="Normal 60 3 9" xfId="45368"/>
    <cellStyle name="Normal 60 3 9 2" xfId="45369"/>
    <cellStyle name="Normal 60 3_Dakota Panel" xfId="45370"/>
    <cellStyle name="Normal 60 4" xfId="4572"/>
    <cellStyle name="Normal 60 4 2" xfId="45371"/>
    <cellStyle name="Normal 60 4 2 2" xfId="45372"/>
    <cellStyle name="Normal 60 4 3" xfId="45373"/>
    <cellStyle name="Normal 60 4 3 2" xfId="45374"/>
    <cellStyle name="Normal 60 4 4" xfId="45375"/>
    <cellStyle name="Normal 60 4 5" xfId="45376"/>
    <cellStyle name="Normal 60 5" xfId="45377"/>
    <cellStyle name="Normal 60 5 2" xfId="45378"/>
    <cellStyle name="Normal 60 6" xfId="45379"/>
    <cellStyle name="Normal 60 6 2" xfId="45380"/>
    <cellStyle name="Normal 60 7" xfId="45381"/>
    <cellStyle name="Normal 60 7 2" xfId="45382"/>
    <cellStyle name="Normal 60 8" xfId="45383"/>
    <cellStyle name="Normal 60 8 2" xfId="45384"/>
    <cellStyle name="Normal 60 9" xfId="45385"/>
    <cellStyle name="Normal 60 9 2" xfId="45386"/>
    <cellStyle name="Normal 60_Dakota Panel" xfId="45387"/>
    <cellStyle name="Normal 61" xfId="4573"/>
    <cellStyle name="Normal 61 10" xfId="45388"/>
    <cellStyle name="Normal 61 10 2" xfId="45389"/>
    <cellStyle name="Normal 61 11" xfId="45390"/>
    <cellStyle name="Normal 61 11 2" xfId="45391"/>
    <cellStyle name="Normal 61 12" xfId="45392"/>
    <cellStyle name="Normal 61 2" xfId="4574"/>
    <cellStyle name="Normal 61 2 2" xfId="4575"/>
    <cellStyle name="Normal 61 2 2 2" xfId="45393"/>
    <cellStyle name="Normal 61 2 3" xfId="45394"/>
    <cellStyle name="Normal 61 3" xfId="4576"/>
    <cellStyle name="Normal 61 3 2" xfId="45395"/>
    <cellStyle name="Normal 61 3 2 2" xfId="45396"/>
    <cellStyle name="Normal 61 3 3" xfId="45397"/>
    <cellStyle name="Normal 61 3 3 2" xfId="45398"/>
    <cellStyle name="Normal 61 3 4" xfId="45399"/>
    <cellStyle name="Normal 61 3 4 2" xfId="45400"/>
    <cellStyle name="Normal 61 3 5" xfId="45401"/>
    <cellStyle name="Normal 61 3 5 2" xfId="45402"/>
    <cellStyle name="Normal 61 3 6" xfId="45403"/>
    <cellStyle name="Normal 61 3 6 2" xfId="45404"/>
    <cellStyle name="Normal 61 3 7" xfId="45405"/>
    <cellStyle name="Normal 61 3 7 2" xfId="45406"/>
    <cellStyle name="Normal 61 3 8" xfId="45407"/>
    <cellStyle name="Normal 61 3 8 2" xfId="45408"/>
    <cellStyle name="Normal 61 3 9" xfId="45409"/>
    <cellStyle name="Normal 61 3 9 2" xfId="45410"/>
    <cellStyle name="Normal 61 3_Dakota Panel" xfId="45411"/>
    <cellStyle name="Normal 61 4" xfId="4577"/>
    <cellStyle name="Normal 61 4 2" xfId="45412"/>
    <cellStyle name="Normal 61 4 2 2" xfId="45413"/>
    <cellStyle name="Normal 61 4 3" xfId="45414"/>
    <cellStyle name="Normal 61 4 3 2" xfId="45415"/>
    <cellStyle name="Normal 61 4 4" xfId="45416"/>
    <cellStyle name="Normal 61 4 5" xfId="45417"/>
    <cellStyle name="Normal 61 5" xfId="45418"/>
    <cellStyle name="Normal 61 5 2" xfId="45419"/>
    <cellStyle name="Normal 61 6" xfId="45420"/>
    <cellStyle name="Normal 61 6 2" xfId="45421"/>
    <cellStyle name="Normal 61 7" xfId="45422"/>
    <cellStyle name="Normal 61 7 2" xfId="45423"/>
    <cellStyle name="Normal 61 8" xfId="45424"/>
    <cellStyle name="Normal 61 8 2" xfId="45425"/>
    <cellStyle name="Normal 61 9" xfId="45426"/>
    <cellStyle name="Normal 61 9 2" xfId="45427"/>
    <cellStyle name="Normal 61_Dakota Panel" xfId="45428"/>
    <cellStyle name="Normal 62" xfId="4578"/>
    <cellStyle name="Normal 62 10" xfId="45429"/>
    <cellStyle name="Normal 62 10 2" xfId="45430"/>
    <cellStyle name="Normal 62 11" xfId="45431"/>
    <cellStyle name="Normal 62 11 2" xfId="45432"/>
    <cellStyle name="Normal 62 12" xfId="45433"/>
    <cellStyle name="Normal 62 2" xfId="4579"/>
    <cellStyle name="Normal 62 2 2" xfId="45434"/>
    <cellStyle name="Normal 62 2 2 2" xfId="45435"/>
    <cellStyle name="Normal 62 2 3" xfId="45436"/>
    <cellStyle name="Normal 62 3" xfId="4580"/>
    <cellStyle name="Normal 62 3 2" xfId="4581"/>
    <cellStyle name="Normal 62 3 2 2" xfId="45437"/>
    <cellStyle name="Normal 62 3 3" xfId="45438"/>
    <cellStyle name="Normal 62 3 3 2" xfId="45439"/>
    <cellStyle name="Normal 62 3 4" xfId="45440"/>
    <cellStyle name="Normal 62 3 4 2" xfId="45441"/>
    <cellStyle name="Normal 62 3 5" xfId="45442"/>
    <cellStyle name="Normal 62 3 5 2" xfId="45443"/>
    <cellStyle name="Normal 62 3 6" xfId="45444"/>
    <cellStyle name="Normal 62 3 6 2" xfId="45445"/>
    <cellStyle name="Normal 62 3 7" xfId="45446"/>
    <cellStyle name="Normal 62 3 7 2" xfId="45447"/>
    <cellStyle name="Normal 62 3 8" xfId="45448"/>
    <cellStyle name="Normal 62 3 8 2" xfId="45449"/>
    <cellStyle name="Normal 62 3 9" xfId="45450"/>
    <cellStyle name="Normal 62 3 9 2" xfId="45451"/>
    <cellStyle name="Normal 62 3_Dakota Panel" xfId="45452"/>
    <cellStyle name="Normal 62 4" xfId="4582"/>
    <cellStyle name="Normal 62 4 2" xfId="4583"/>
    <cellStyle name="Normal 62 4 2 2" xfId="45453"/>
    <cellStyle name="Normal 62 4 3" xfId="45454"/>
    <cellStyle name="Normal 62 4 3 2" xfId="45455"/>
    <cellStyle name="Normal 62 4 4" xfId="45456"/>
    <cellStyle name="Normal 62 4 5" xfId="45457"/>
    <cellStyle name="Normal 62 5" xfId="4584"/>
    <cellStyle name="Normal 62 5 2" xfId="45458"/>
    <cellStyle name="Normal 62 6" xfId="45459"/>
    <cellStyle name="Normal 62 6 2" xfId="45460"/>
    <cellStyle name="Normal 62 7" xfId="45461"/>
    <cellStyle name="Normal 62 7 2" xfId="45462"/>
    <cellStyle name="Normal 62 8" xfId="45463"/>
    <cellStyle name="Normal 62 8 2" xfId="45464"/>
    <cellStyle name="Normal 62 9" xfId="45465"/>
    <cellStyle name="Normal 62 9 2" xfId="45466"/>
    <cellStyle name="Normal 62_Dakota Panel" xfId="45467"/>
    <cellStyle name="Normal 63" xfId="4585"/>
    <cellStyle name="Normal 63 10" xfId="45468"/>
    <cellStyle name="Normal 63 10 2" xfId="45469"/>
    <cellStyle name="Normal 63 11" xfId="45470"/>
    <cellStyle name="Normal 63 11 2" xfId="45471"/>
    <cellStyle name="Normal 63 12" xfId="45472"/>
    <cellStyle name="Normal 63 2" xfId="4586"/>
    <cellStyle name="Normal 63 2 2" xfId="45473"/>
    <cellStyle name="Normal 63 2 2 2" xfId="45474"/>
    <cellStyle name="Normal 63 2 3" xfId="45475"/>
    <cellStyle name="Normal 63 3" xfId="4587"/>
    <cellStyle name="Normal 63 3 2" xfId="4588"/>
    <cellStyle name="Normal 63 3 2 2" xfId="45476"/>
    <cellStyle name="Normal 63 3 3" xfId="45477"/>
    <cellStyle name="Normal 63 3 3 2" xfId="45478"/>
    <cellStyle name="Normal 63 3 4" xfId="45479"/>
    <cellStyle name="Normal 63 3 4 2" xfId="45480"/>
    <cellStyle name="Normal 63 3 5" xfId="45481"/>
    <cellStyle name="Normal 63 3 5 2" xfId="45482"/>
    <cellStyle name="Normal 63 3 6" xfId="45483"/>
    <cellStyle name="Normal 63 3 6 2" xfId="45484"/>
    <cellStyle name="Normal 63 3 7" xfId="45485"/>
    <cellStyle name="Normal 63 3 7 2" xfId="45486"/>
    <cellStyle name="Normal 63 3 8" xfId="45487"/>
    <cellStyle name="Normal 63 3 8 2" xfId="45488"/>
    <cellStyle name="Normal 63 3 9" xfId="45489"/>
    <cellStyle name="Normal 63 3 9 2" xfId="45490"/>
    <cellStyle name="Normal 63 3_Dakota Panel" xfId="45491"/>
    <cellStyle name="Normal 63 4" xfId="4589"/>
    <cellStyle name="Normal 63 4 2" xfId="4590"/>
    <cellStyle name="Normal 63 4 2 2" xfId="45492"/>
    <cellStyle name="Normal 63 4 3" xfId="45493"/>
    <cellStyle name="Normal 63 4 3 2" xfId="45494"/>
    <cellStyle name="Normal 63 4 4" xfId="45495"/>
    <cellStyle name="Normal 63 4 5" xfId="45496"/>
    <cellStyle name="Normal 63 5" xfId="4591"/>
    <cellStyle name="Normal 63 5 2" xfId="45497"/>
    <cellStyle name="Normal 63 6" xfId="45498"/>
    <cellStyle name="Normal 63 6 2" xfId="45499"/>
    <cellStyle name="Normal 63 7" xfId="45500"/>
    <cellStyle name="Normal 63 7 2" xfId="45501"/>
    <cellStyle name="Normal 63 8" xfId="45502"/>
    <cellStyle name="Normal 63 8 2" xfId="45503"/>
    <cellStyle name="Normal 63 9" xfId="45504"/>
    <cellStyle name="Normal 63 9 2" xfId="45505"/>
    <cellStyle name="Normal 63_Dakota Panel" xfId="45506"/>
    <cellStyle name="Normal 64" xfId="4592"/>
    <cellStyle name="Normal 64 10" xfId="45507"/>
    <cellStyle name="Normal 64 10 2" xfId="45508"/>
    <cellStyle name="Normal 64 11" xfId="45509"/>
    <cellStyle name="Normal 64 11 2" xfId="45510"/>
    <cellStyle name="Normal 64 12" xfId="45511"/>
    <cellStyle name="Normal 64 2" xfId="4593"/>
    <cellStyle name="Normal 64 2 2" xfId="45512"/>
    <cellStyle name="Normal 64 2 2 2" xfId="45513"/>
    <cellStyle name="Normal 64 2 3" xfId="45514"/>
    <cellStyle name="Normal 64 3" xfId="4594"/>
    <cellStyle name="Normal 64 3 2" xfId="4595"/>
    <cellStyle name="Normal 64 3 2 2" xfId="45515"/>
    <cellStyle name="Normal 64 3 3" xfId="45516"/>
    <cellStyle name="Normal 64 3 3 2" xfId="45517"/>
    <cellStyle name="Normal 64 3 4" xfId="45518"/>
    <cellStyle name="Normal 64 3 4 2" xfId="45519"/>
    <cellStyle name="Normal 64 3 5" xfId="45520"/>
    <cellStyle name="Normal 64 3 5 2" xfId="45521"/>
    <cellStyle name="Normal 64 3 6" xfId="45522"/>
    <cellStyle name="Normal 64 3 6 2" xfId="45523"/>
    <cellStyle name="Normal 64 3 7" xfId="45524"/>
    <cellStyle name="Normal 64 3 7 2" xfId="45525"/>
    <cellStyle name="Normal 64 3 8" xfId="45526"/>
    <cellStyle name="Normal 64 3 8 2" xfId="45527"/>
    <cellStyle name="Normal 64 3 9" xfId="45528"/>
    <cellStyle name="Normal 64 3 9 2" xfId="45529"/>
    <cellStyle name="Normal 64 3_Dakota Panel" xfId="45530"/>
    <cellStyle name="Normal 64 4" xfId="4596"/>
    <cellStyle name="Normal 64 4 2" xfId="45531"/>
    <cellStyle name="Normal 64 4 2 2" xfId="45532"/>
    <cellStyle name="Normal 64 4 3" xfId="45533"/>
    <cellStyle name="Normal 64 4 3 2" xfId="45534"/>
    <cellStyle name="Normal 64 4 4" xfId="45535"/>
    <cellStyle name="Normal 64 4 5" xfId="45536"/>
    <cellStyle name="Normal 64 5" xfId="45537"/>
    <cellStyle name="Normal 64 5 2" xfId="45538"/>
    <cellStyle name="Normal 64 6" xfId="45539"/>
    <cellStyle name="Normal 64 6 2" xfId="45540"/>
    <cellStyle name="Normal 64 7" xfId="45541"/>
    <cellStyle name="Normal 64 7 2" xfId="45542"/>
    <cellStyle name="Normal 64 8" xfId="45543"/>
    <cellStyle name="Normal 64 8 2" xfId="45544"/>
    <cellStyle name="Normal 64 9" xfId="45545"/>
    <cellStyle name="Normal 64 9 2" xfId="45546"/>
    <cellStyle name="Normal 64_Dakota Panel" xfId="45547"/>
    <cellStyle name="Normal 65" xfId="4597"/>
    <cellStyle name="Normal 65 10" xfId="45548"/>
    <cellStyle name="Normal 65 10 2" xfId="45549"/>
    <cellStyle name="Normal 65 11" xfId="45550"/>
    <cellStyle name="Normal 65 11 2" xfId="45551"/>
    <cellStyle name="Normal 65 12" xfId="45552"/>
    <cellStyle name="Normal 65 2" xfId="4598"/>
    <cellStyle name="Normal 65 2 2" xfId="45553"/>
    <cellStyle name="Normal 65 2 2 2" xfId="45554"/>
    <cellStyle name="Normal 65 2 3" xfId="45555"/>
    <cellStyle name="Normal 65 3" xfId="4599"/>
    <cellStyle name="Normal 65 3 2" xfId="4600"/>
    <cellStyle name="Normal 65 3 2 2" xfId="45556"/>
    <cellStyle name="Normal 65 3 3" xfId="45557"/>
    <cellStyle name="Normal 65 3 3 2" xfId="45558"/>
    <cellStyle name="Normal 65 3 4" xfId="45559"/>
    <cellStyle name="Normal 65 3 4 2" xfId="45560"/>
    <cellStyle name="Normal 65 3 5" xfId="45561"/>
    <cellStyle name="Normal 65 3 5 2" xfId="45562"/>
    <cellStyle name="Normal 65 3 6" xfId="45563"/>
    <cellStyle name="Normal 65 3 6 2" xfId="45564"/>
    <cellStyle name="Normal 65 3 7" xfId="45565"/>
    <cellStyle name="Normal 65 3 7 2" xfId="45566"/>
    <cellStyle name="Normal 65 3 8" xfId="45567"/>
    <cellStyle name="Normal 65 3 8 2" xfId="45568"/>
    <cellStyle name="Normal 65 3 9" xfId="45569"/>
    <cellStyle name="Normal 65 3 9 2" xfId="45570"/>
    <cellStyle name="Normal 65 3_Dakota Panel" xfId="45571"/>
    <cellStyle name="Normal 65 4" xfId="4601"/>
    <cellStyle name="Normal 65 4 2" xfId="45572"/>
    <cellStyle name="Normal 65 4 2 2" xfId="45573"/>
    <cellStyle name="Normal 65 4 3" xfId="45574"/>
    <cellStyle name="Normal 65 4 3 2" xfId="45575"/>
    <cellStyle name="Normal 65 4 4" xfId="45576"/>
    <cellStyle name="Normal 65 4 5" xfId="45577"/>
    <cellStyle name="Normal 65 5" xfId="45578"/>
    <cellStyle name="Normal 65 5 2" xfId="45579"/>
    <cellStyle name="Normal 65 6" xfId="45580"/>
    <cellStyle name="Normal 65 6 2" xfId="45581"/>
    <cellStyle name="Normal 65 7" xfId="45582"/>
    <cellStyle name="Normal 65 7 2" xfId="45583"/>
    <cellStyle name="Normal 65 8" xfId="45584"/>
    <cellStyle name="Normal 65 8 2" xfId="45585"/>
    <cellStyle name="Normal 65 9" xfId="45586"/>
    <cellStyle name="Normal 65 9 2" xfId="45587"/>
    <cellStyle name="Normal 65_Dakota Panel" xfId="45588"/>
    <cellStyle name="Normal 66" xfId="4602"/>
    <cellStyle name="Normal 66 10" xfId="45589"/>
    <cellStyle name="Normal 66 10 2" xfId="45590"/>
    <cellStyle name="Normal 66 11" xfId="45591"/>
    <cellStyle name="Normal 66 11 2" xfId="45592"/>
    <cellStyle name="Normal 66 12" xfId="45593"/>
    <cellStyle name="Normal 66 2" xfId="4603"/>
    <cellStyle name="Normal 66 2 2" xfId="45594"/>
    <cellStyle name="Normal 66 2 2 2" xfId="45595"/>
    <cellStyle name="Normal 66 2 3" xfId="45596"/>
    <cellStyle name="Normal 66 3" xfId="4604"/>
    <cellStyle name="Normal 66 3 2" xfId="4605"/>
    <cellStyle name="Normal 66 3 2 2" xfId="45597"/>
    <cellStyle name="Normal 66 3 3" xfId="45598"/>
    <cellStyle name="Normal 66 3 3 2" xfId="45599"/>
    <cellStyle name="Normal 66 3 4" xfId="45600"/>
    <cellStyle name="Normal 66 3 4 2" xfId="45601"/>
    <cellStyle name="Normal 66 3 5" xfId="45602"/>
    <cellStyle name="Normal 66 3 5 2" xfId="45603"/>
    <cellStyle name="Normal 66 3 6" xfId="45604"/>
    <cellStyle name="Normal 66 3 6 2" xfId="45605"/>
    <cellStyle name="Normal 66 3 7" xfId="45606"/>
    <cellStyle name="Normal 66 3 7 2" xfId="45607"/>
    <cellStyle name="Normal 66 3 8" xfId="45608"/>
    <cellStyle name="Normal 66 3 8 2" xfId="45609"/>
    <cellStyle name="Normal 66 3 9" xfId="45610"/>
    <cellStyle name="Normal 66 3 9 2" xfId="45611"/>
    <cellStyle name="Normal 66 3_Dakota Panel" xfId="45612"/>
    <cellStyle name="Normal 66 4" xfId="4606"/>
    <cellStyle name="Normal 66 4 2" xfId="4607"/>
    <cellStyle name="Normal 66 4 2 2" xfId="45613"/>
    <cellStyle name="Normal 66 4 3" xfId="45614"/>
    <cellStyle name="Normal 66 4 3 2" xfId="45615"/>
    <cellStyle name="Normal 66 4 4" xfId="45616"/>
    <cellStyle name="Normal 66 4 5" xfId="45617"/>
    <cellStyle name="Normal 66 5" xfId="4608"/>
    <cellStyle name="Normal 66 5 2" xfId="45618"/>
    <cellStyle name="Normal 66 6" xfId="45619"/>
    <cellStyle name="Normal 66 6 2" xfId="45620"/>
    <cellStyle name="Normal 66 7" xfId="45621"/>
    <cellStyle name="Normal 66 7 2" xfId="45622"/>
    <cellStyle name="Normal 66 8" xfId="45623"/>
    <cellStyle name="Normal 66 8 2" xfId="45624"/>
    <cellStyle name="Normal 66 9" xfId="45625"/>
    <cellStyle name="Normal 66 9 2" xfId="45626"/>
    <cellStyle name="Normal 66_Dakota Panel" xfId="45627"/>
    <cellStyle name="Normal 67" xfId="4609"/>
    <cellStyle name="Normal 67 10" xfId="45628"/>
    <cellStyle name="Normal 67 10 2" xfId="45629"/>
    <cellStyle name="Normal 67 11" xfId="45630"/>
    <cellStyle name="Normal 67 11 2" xfId="45631"/>
    <cellStyle name="Normal 67 12" xfId="45632"/>
    <cellStyle name="Normal 67 2" xfId="4610"/>
    <cellStyle name="Normal 67 2 2" xfId="4611"/>
    <cellStyle name="Normal 67 2 2 2" xfId="45633"/>
    <cellStyle name="Normal 67 2 3" xfId="45634"/>
    <cellStyle name="Normal 67 2_Dakota Panel" xfId="45635"/>
    <cellStyle name="Normal 67 3" xfId="45636"/>
    <cellStyle name="Normal 67 3 2" xfId="45637"/>
    <cellStyle name="Normal 67 3 2 2" xfId="45638"/>
    <cellStyle name="Normal 67 3 3" xfId="45639"/>
    <cellStyle name="Normal 67 3 3 2" xfId="45640"/>
    <cellStyle name="Normal 67 3 4" xfId="45641"/>
    <cellStyle name="Normal 67 3 4 2" xfId="45642"/>
    <cellStyle name="Normal 67 3 5" xfId="45643"/>
    <cellStyle name="Normal 67 3 5 2" xfId="45644"/>
    <cellStyle name="Normal 67 3 6" xfId="45645"/>
    <cellStyle name="Normal 67 3 6 2" xfId="45646"/>
    <cellStyle name="Normal 67 3 7" xfId="45647"/>
    <cellStyle name="Normal 67 3 7 2" xfId="45648"/>
    <cellStyle name="Normal 67 3 8" xfId="45649"/>
    <cellStyle name="Normal 67 3 8 2" xfId="45650"/>
    <cellStyle name="Normal 67 3 9" xfId="45651"/>
    <cellStyle name="Normal 67 3 9 2" xfId="45652"/>
    <cellStyle name="Normal 67 3_Dakota Panel" xfId="45653"/>
    <cellStyle name="Normal 67 4" xfId="45654"/>
    <cellStyle name="Normal 67 4 2" xfId="45655"/>
    <cellStyle name="Normal 67 4 2 2" xfId="45656"/>
    <cellStyle name="Normal 67 4 3" xfId="45657"/>
    <cellStyle name="Normal 67 4 3 2" xfId="45658"/>
    <cellStyle name="Normal 67 4 4" xfId="45659"/>
    <cellStyle name="Normal 67 4 5" xfId="45660"/>
    <cellStyle name="Normal 67 5" xfId="45661"/>
    <cellStyle name="Normal 67 5 2" xfId="45662"/>
    <cellStyle name="Normal 67 6" xfId="45663"/>
    <cellStyle name="Normal 67 6 2" xfId="45664"/>
    <cellStyle name="Normal 67 7" xfId="45665"/>
    <cellStyle name="Normal 67 7 2" xfId="45666"/>
    <cellStyle name="Normal 67 8" xfId="45667"/>
    <cellStyle name="Normal 67 8 2" xfId="45668"/>
    <cellStyle name="Normal 67 9" xfId="45669"/>
    <cellStyle name="Normal 67 9 2" xfId="45670"/>
    <cellStyle name="Normal 67_Dakota Panel" xfId="45671"/>
    <cellStyle name="Normal 68" xfId="4612"/>
    <cellStyle name="Normal 68 10" xfId="45672"/>
    <cellStyle name="Normal 68 10 2" xfId="45673"/>
    <cellStyle name="Normal 68 11" xfId="45674"/>
    <cellStyle name="Normal 68 11 2" xfId="45675"/>
    <cellStyle name="Normal 68 12" xfId="45676"/>
    <cellStyle name="Normal 68 2" xfId="4613"/>
    <cellStyle name="Normal 68 2 2" xfId="45677"/>
    <cellStyle name="Normal 68 2 2 2" xfId="45678"/>
    <cellStyle name="Normal 68 2 3" xfId="45679"/>
    <cellStyle name="Normal 68 3" xfId="4614"/>
    <cellStyle name="Normal 68 3 2" xfId="45680"/>
    <cellStyle name="Normal 68 3 2 2" xfId="45681"/>
    <cellStyle name="Normal 68 3 3" xfId="45682"/>
    <cellStyle name="Normal 68 3 3 2" xfId="45683"/>
    <cellStyle name="Normal 68 3 4" xfId="45684"/>
    <cellStyle name="Normal 68 3 4 2" xfId="45685"/>
    <cellStyle name="Normal 68 3 5" xfId="45686"/>
    <cellStyle name="Normal 68 3 5 2" xfId="45687"/>
    <cellStyle name="Normal 68 3 6" xfId="45688"/>
    <cellStyle name="Normal 68 3 6 2" xfId="45689"/>
    <cellStyle name="Normal 68 3 7" xfId="45690"/>
    <cellStyle name="Normal 68 3 7 2" xfId="45691"/>
    <cellStyle name="Normal 68 3 8" xfId="45692"/>
    <cellStyle name="Normal 68 3 8 2" xfId="45693"/>
    <cellStyle name="Normal 68 3 9" xfId="45694"/>
    <cellStyle name="Normal 68 3 9 2" xfId="45695"/>
    <cellStyle name="Normal 68 3_Dakota Panel" xfId="45696"/>
    <cellStyle name="Normal 68 4" xfId="45697"/>
    <cellStyle name="Normal 68 4 2" xfId="45698"/>
    <cellStyle name="Normal 68 4 2 2" xfId="45699"/>
    <cellStyle name="Normal 68 4 3" xfId="45700"/>
    <cellStyle name="Normal 68 4 3 2" xfId="45701"/>
    <cellStyle name="Normal 68 4 4" xfId="45702"/>
    <cellStyle name="Normal 68 4 5" xfId="45703"/>
    <cellStyle name="Normal 68 5" xfId="45704"/>
    <cellStyle name="Normal 68 5 2" xfId="45705"/>
    <cellStyle name="Normal 68 6" xfId="45706"/>
    <cellStyle name="Normal 68 6 2" xfId="45707"/>
    <cellStyle name="Normal 68 7" xfId="45708"/>
    <cellStyle name="Normal 68 7 2" xfId="45709"/>
    <cellStyle name="Normal 68 8" xfId="45710"/>
    <cellStyle name="Normal 68 8 2" xfId="45711"/>
    <cellStyle name="Normal 68 9" xfId="45712"/>
    <cellStyle name="Normal 68 9 2" xfId="45713"/>
    <cellStyle name="Normal 68_Dakota Panel" xfId="45714"/>
    <cellStyle name="Normal 69" xfId="4615"/>
    <cellStyle name="Normal 69 10" xfId="45715"/>
    <cellStyle name="Normal 69 10 2" xfId="45716"/>
    <cellStyle name="Normal 69 11" xfId="45717"/>
    <cellStyle name="Normal 69 11 2" xfId="45718"/>
    <cellStyle name="Normal 69 12" xfId="45719"/>
    <cellStyle name="Normal 69 2" xfId="4616"/>
    <cellStyle name="Normal 69 2 2" xfId="45720"/>
    <cellStyle name="Normal 69 2 2 2" xfId="45721"/>
    <cellStyle name="Normal 69 2 3" xfId="45722"/>
    <cellStyle name="Normal 69 3" xfId="4617"/>
    <cellStyle name="Normal 69 3 2" xfId="45723"/>
    <cellStyle name="Normal 69 3 2 2" xfId="45724"/>
    <cellStyle name="Normal 69 3 3" xfId="45725"/>
    <cellStyle name="Normal 69 3 3 2" xfId="45726"/>
    <cellStyle name="Normal 69 3 4" xfId="45727"/>
    <cellStyle name="Normal 69 3 4 2" xfId="45728"/>
    <cellStyle name="Normal 69 3 5" xfId="45729"/>
    <cellStyle name="Normal 69 3 5 2" xfId="45730"/>
    <cellStyle name="Normal 69 3 6" xfId="45731"/>
    <cellStyle name="Normal 69 3 6 2" xfId="45732"/>
    <cellStyle name="Normal 69 3 7" xfId="45733"/>
    <cellStyle name="Normal 69 3 7 2" xfId="45734"/>
    <cellStyle name="Normal 69 3 8" xfId="45735"/>
    <cellStyle name="Normal 69 3 8 2" xfId="45736"/>
    <cellStyle name="Normal 69 3 9" xfId="45737"/>
    <cellStyle name="Normal 69 3 9 2" xfId="45738"/>
    <cellStyle name="Normal 69 3_Dakota Panel" xfId="45739"/>
    <cellStyle name="Normal 69 4" xfId="45740"/>
    <cellStyle name="Normal 69 4 2" xfId="45741"/>
    <cellStyle name="Normal 69 4 2 2" xfId="45742"/>
    <cellStyle name="Normal 69 4 3" xfId="45743"/>
    <cellStyle name="Normal 69 4 3 2" xfId="45744"/>
    <cellStyle name="Normal 69 4 4" xfId="45745"/>
    <cellStyle name="Normal 69 4 5" xfId="45746"/>
    <cellStyle name="Normal 69 5" xfId="45747"/>
    <cellStyle name="Normal 69 5 2" xfId="45748"/>
    <cellStyle name="Normal 69 6" xfId="45749"/>
    <cellStyle name="Normal 69 6 2" xfId="45750"/>
    <cellStyle name="Normal 69 7" xfId="45751"/>
    <cellStyle name="Normal 69 7 2" xfId="45752"/>
    <cellStyle name="Normal 69 8" xfId="45753"/>
    <cellStyle name="Normal 69 8 2" xfId="45754"/>
    <cellStyle name="Normal 69 9" xfId="45755"/>
    <cellStyle name="Normal 69 9 2" xfId="45756"/>
    <cellStyle name="Normal 69_Dakota Panel" xfId="45757"/>
    <cellStyle name="Normal 7" xfId="6"/>
    <cellStyle name="Normal 7 10" xfId="45758"/>
    <cellStyle name="Normal 7 10 2" xfId="45759"/>
    <cellStyle name="Normal 7 11" xfId="45760"/>
    <cellStyle name="Normal 7 11 2" xfId="45761"/>
    <cellStyle name="Normal 7 12" xfId="45762"/>
    <cellStyle name="Normal 7 2" xfId="127"/>
    <cellStyle name="Normal 7 2 2" xfId="4618"/>
    <cellStyle name="Normal 7 2 2 2" xfId="4619"/>
    <cellStyle name="Normal 7 2 2 2 2" xfId="4620"/>
    <cellStyle name="Normal 7 2 2 3" xfId="4621"/>
    <cellStyle name="Normal 7 2 3" xfId="4622"/>
    <cellStyle name="Normal 7 2 3 2" xfId="4623"/>
    <cellStyle name="Normal 7 2 4" xfId="4624"/>
    <cellStyle name="Normal 7 2 4 2" xfId="4625"/>
    <cellStyle name="Normal 7 2 5" xfId="4626"/>
    <cellStyle name="Normal 7 2 5 2" xfId="45763"/>
    <cellStyle name="Normal 7 2 6" xfId="45764"/>
    <cellStyle name="Normal 7 2 7" xfId="45765"/>
    <cellStyle name="Normal 7 2 8" xfId="45766"/>
    <cellStyle name="Normal 7 3" xfId="4627"/>
    <cellStyle name="Normal 7 3 2" xfId="4628"/>
    <cellStyle name="Normal 7 3 2 2" xfId="4629"/>
    <cellStyle name="Normal 7 3 2 2 2" xfId="4630"/>
    <cellStyle name="Normal 7 3 2 3" xfId="4631"/>
    <cellStyle name="Normal 7 3 3" xfId="4632"/>
    <cellStyle name="Normal 7 3 3 2" xfId="4633"/>
    <cellStyle name="Normal 7 3 3 3" xfId="45767"/>
    <cellStyle name="Normal 7 3 4" xfId="4634"/>
    <cellStyle name="Normal 7 3 4 2" xfId="4635"/>
    <cellStyle name="Normal 7 3 5" xfId="4636"/>
    <cellStyle name="Normal 7 3_Dakota Panel" xfId="45768"/>
    <cellStyle name="Normal 7 4" xfId="4637"/>
    <cellStyle name="Normal 7 4 2" xfId="4638"/>
    <cellStyle name="Normal 7 4 2 2" xfId="4639"/>
    <cellStyle name="Normal 7 4 2 2 2" xfId="4640"/>
    <cellStyle name="Normal 7 4 2 3" xfId="4641"/>
    <cellStyle name="Normal 7 4 3" xfId="4642"/>
    <cellStyle name="Normal 7 4 3 2" xfId="4643"/>
    <cellStyle name="Normal 7 4 4" xfId="4644"/>
    <cellStyle name="Normal 7 4 4 2" xfId="4645"/>
    <cellStyle name="Normal 7 4 5" xfId="4646"/>
    <cellStyle name="Normal 7 5" xfId="4647"/>
    <cellStyle name="Normal 7 5 2" xfId="4648"/>
    <cellStyle name="Normal 7 5 2 2" xfId="4649"/>
    <cellStyle name="Normal 7 5 2 2 2" xfId="45769"/>
    <cellStyle name="Normal 7 5 3" xfId="4650"/>
    <cellStyle name="Normal 7 5 3 2" xfId="45770"/>
    <cellStyle name="Normal 7 5 4" xfId="45771"/>
    <cellStyle name="Normal 7 5 4 2" xfId="45772"/>
    <cellStyle name="Normal 7 5 5" xfId="45773"/>
    <cellStyle name="Normal 7 5 5 2" xfId="45774"/>
    <cellStyle name="Normal 7 5 6" xfId="45775"/>
    <cellStyle name="Normal 7 5 6 2" xfId="45776"/>
    <cellStyle name="Normal 7 5 7" xfId="45777"/>
    <cellStyle name="Normal 7 5 7 2" xfId="45778"/>
    <cellStyle name="Normal 7 5 8" xfId="45779"/>
    <cellStyle name="Normal 7 5 8 2" xfId="45780"/>
    <cellStyle name="Normal 7 5 9" xfId="45781"/>
    <cellStyle name="Normal 7 5 9 2" xfId="45782"/>
    <cellStyle name="Normal 7 5_Dakota Panel" xfId="45783"/>
    <cellStyle name="Normal 7 6" xfId="4651"/>
    <cellStyle name="Normal 7 6 2" xfId="4652"/>
    <cellStyle name="Normal 7 6 2 2" xfId="45784"/>
    <cellStyle name="Normal 7 7" xfId="4653"/>
    <cellStyle name="Normal 7 7 2" xfId="4654"/>
    <cellStyle name="Normal 7 7 2 2" xfId="45785"/>
    <cellStyle name="Normal 7 8" xfId="4655"/>
    <cellStyle name="Normal 7 8 2" xfId="45786"/>
    <cellStyle name="Normal 7 8 2 2" xfId="45787"/>
    <cellStyle name="Normal 7 8 3" xfId="45788"/>
    <cellStyle name="Normal 7 8 4" xfId="45789"/>
    <cellStyle name="Normal 7 9" xfId="45790"/>
    <cellStyle name="Normal 7 9 2" xfId="45791"/>
    <cellStyle name="Normal 7_Dakota Panel" xfId="45792"/>
    <cellStyle name="Normal 70" xfId="4656"/>
    <cellStyle name="Normal 70 10" xfId="45793"/>
    <cellStyle name="Normal 70 10 2" xfId="45794"/>
    <cellStyle name="Normal 70 11" xfId="45795"/>
    <cellStyle name="Normal 70 11 2" xfId="45796"/>
    <cellStyle name="Normal 70 12" xfId="45797"/>
    <cellStyle name="Normal 70 2" xfId="4657"/>
    <cellStyle name="Normal 70 2 2" xfId="45798"/>
    <cellStyle name="Normal 70 2 2 2" xfId="45799"/>
    <cellStyle name="Normal 70 2 3" xfId="45800"/>
    <cellStyle name="Normal 70 3" xfId="4658"/>
    <cellStyle name="Normal 70 3 2" xfId="45801"/>
    <cellStyle name="Normal 70 3 2 2" xfId="45802"/>
    <cellStyle name="Normal 70 3 3" xfId="45803"/>
    <cellStyle name="Normal 70 3 3 2" xfId="45804"/>
    <cellStyle name="Normal 70 3 4" xfId="45805"/>
    <cellStyle name="Normal 70 3 4 2" xfId="45806"/>
    <cellStyle name="Normal 70 3 5" xfId="45807"/>
    <cellStyle name="Normal 70 3 5 2" xfId="45808"/>
    <cellStyle name="Normal 70 3 6" xfId="45809"/>
    <cellStyle name="Normal 70 3 6 2" xfId="45810"/>
    <cellStyle name="Normal 70 3 7" xfId="45811"/>
    <cellStyle name="Normal 70 3 7 2" xfId="45812"/>
    <cellStyle name="Normal 70 3 8" xfId="45813"/>
    <cellStyle name="Normal 70 3 8 2" xfId="45814"/>
    <cellStyle name="Normal 70 3 9" xfId="45815"/>
    <cellStyle name="Normal 70 3 9 2" xfId="45816"/>
    <cellStyle name="Normal 70 3_Dakota Panel" xfId="45817"/>
    <cellStyle name="Normal 70 4" xfId="45818"/>
    <cellStyle name="Normal 70 4 2" xfId="45819"/>
    <cellStyle name="Normal 70 4 2 2" xfId="45820"/>
    <cellStyle name="Normal 70 4 3" xfId="45821"/>
    <cellStyle name="Normal 70 4 3 2" xfId="45822"/>
    <cellStyle name="Normal 70 4 4" xfId="45823"/>
    <cellStyle name="Normal 70 4 5" xfId="45824"/>
    <cellStyle name="Normal 70 5" xfId="45825"/>
    <cellStyle name="Normal 70 5 2" xfId="45826"/>
    <cellStyle name="Normal 70 6" xfId="45827"/>
    <cellStyle name="Normal 70 6 2" xfId="45828"/>
    <cellStyle name="Normal 70 7" xfId="45829"/>
    <cellStyle name="Normal 70 7 2" xfId="45830"/>
    <cellStyle name="Normal 70 8" xfId="45831"/>
    <cellStyle name="Normal 70 8 2" xfId="45832"/>
    <cellStyle name="Normal 70 9" xfId="45833"/>
    <cellStyle name="Normal 70 9 2" xfId="45834"/>
    <cellStyle name="Normal 70_Dakota Panel" xfId="45835"/>
    <cellStyle name="Normal 71" xfId="4659"/>
    <cellStyle name="Normal 71 10" xfId="45836"/>
    <cellStyle name="Normal 71 10 2" xfId="45837"/>
    <cellStyle name="Normal 71 11" xfId="45838"/>
    <cellStyle name="Normal 71 11 2" xfId="45839"/>
    <cellStyle name="Normal 71 12" xfId="45840"/>
    <cellStyle name="Normal 71 2" xfId="4660"/>
    <cellStyle name="Normal 71 2 2" xfId="45841"/>
    <cellStyle name="Normal 71 2 2 2" xfId="45842"/>
    <cellStyle name="Normal 71 2 3" xfId="45843"/>
    <cellStyle name="Normal 71 3" xfId="4661"/>
    <cellStyle name="Normal 71 3 2" xfId="4662"/>
    <cellStyle name="Normal 71 3 2 2" xfId="4663"/>
    <cellStyle name="Normal 71 3 2 2 2" xfId="4664"/>
    <cellStyle name="Normal 71 3 2 3" xfId="4665"/>
    <cellStyle name="Normal 71 3 3" xfId="4666"/>
    <cellStyle name="Normal 71 3 3 2" xfId="4667"/>
    <cellStyle name="Normal 71 3 4" xfId="4668"/>
    <cellStyle name="Normal 71 3 4 2" xfId="45844"/>
    <cellStyle name="Normal 71 3 5" xfId="45845"/>
    <cellStyle name="Normal 71 3 5 2" xfId="45846"/>
    <cellStyle name="Normal 71 3 6" xfId="45847"/>
    <cellStyle name="Normal 71 3 6 2" xfId="45848"/>
    <cellStyle name="Normal 71 3 7" xfId="45849"/>
    <cellStyle name="Normal 71 3 7 2" xfId="45850"/>
    <cellStyle name="Normal 71 3 8" xfId="45851"/>
    <cellStyle name="Normal 71 3 8 2" xfId="45852"/>
    <cellStyle name="Normal 71 3 9" xfId="45853"/>
    <cellStyle name="Normal 71 3 9 2" xfId="45854"/>
    <cellStyle name="Normal 71 3_Dakota Panel" xfId="45855"/>
    <cellStyle name="Normal 71 4" xfId="4669"/>
    <cellStyle name="Normal 71 4 2" xfId="45856"/>
    <cellStyle name="Normal 71 4 2 2" xfId="45857"/>
    <cellStyle name="Normal 71 4 3" xfId="45858"/>
    <cellStyle name="Normal 71 4 3 2" xfId="45859"/>
    <cellStyle name="Normal 71 4 4" xfId="45860"/>
    <cellStyle name="Normal 71 4 5" xfId="45861"/>
    <cellStyle name="Normal 71 5" xfId="45862"/>
    <cellStyle name="Normal 71 5 2" xfId="45863"/>
    <cellStyle name="Normal 71 6" xfId="45864"/>
    <cellStyle name="Normal 71 6 2" xfId="45865"/>
    <cellStyle name="Normal 71 7" xfId="45866"/>
    <cellStyle name="Normal 71 7 2" xfId="45867"/>
    <cellStyle name="Normal 71 8" xfId="45868"/>
    <cellStyle name="Normal 71 8 2" xfId="45869"/>
    <cellStyle name="Normal 71 9" xfId="45870"/>
    <cellStyle name="Normal 71 9 2" xfId="45871"/>
    <cellStyle name="Normal 71_Dakota Panel" xfId="45872"/>
    <cellStyle name="Normal 72" xfId="4670"/>
    <cellStyle name="Normal 72 10" xfId="45873"/>
    <cellStyle name="Normal 72 10 2" xfId="45874"/>
    <cellStyle name="Normal 72 11" xfId="45875"/>
    <cellStyle name="Normal 72 11 2" xfId="45876"/>
    <cellStyle name="Normal 72 12" xfId="45877"/>
    <cellStyle name="Normal 72 2" xfId="4671"/>
    <cellStyle name="Normal 72 2 2" xfId="4672"/>
    <cellStyle name="Normal 72 2 2 2" xfId="4673"/>
    <cellStyle name="Normal 72 2 3" xfId="4674"/>
    <cellStyle name="Normal 72 3" xfId="4675"/>
    <cellStyle name="Normal 72 3 2" xfId="4676"/>
    <cellStyle name="Normal 72 3 2 2" xfId="45878"/>
    <cellStyle name="Normal 72 3 3" xfId="45879"/>
    <cellStyle name="Normal 72 3 3 2" xfId="45880"/>
    <cellStyle name="Normal 72 3 4" xfId="45881"/>
    <cellStyle name="Normal 72 3 4 2" xfId="45882"/>
    <cellStyle name="Normal 72 3 5" xfId="45883"/>
    <cellStyle name="Normal 72 3 5 2" xfId="45884"/>
    <cellStyle name="Normal 72 3 6" xfId="45885"/>
    <cellStyle name="Normal 72 3 6 2" xfId="45886"/>
    <cellStyle name="Normal 72 3 7" xfId="45887"/>
    <cellStyle name="Normal 72 3 7 2" xfId="45888"/>
    <cellStyle name="Normal 72 3 8" xfId="45889"/>
    <cellStyle name="Normal 72 3 8 2" xfId="45890"/>
    <cellStyle name="Normal 72 3 9" xfId="45891"/>
    <cellStyle name="Normal 72 3 9 2" xfId="45892"/>
    <cellStyle name="Normal 72 3_Dakota Panel" xfId="45893"/>
    <cellStyle name="Normal 72 4" xfId="4677"/>
    <cellStyle name="Normal 72 4 2" xfId="45894"/>
    <cellStyle name="Normal 72 4 2 2" xfId="45895"/>
    <cellStyle name="Normal 72 4 3" xfId="45896"/>
    <cellStyle name="Normal 72 4 3 2" xfId="45897"/>
    <cellStyle name="Normal 72 4 4" xfId="45898"/>
    <cellStyle name="Normal 72 4 5" xfId="45899"/>
    <cellStyle name="Normal 72 5" xfId="45900"/>
    <cellStyle name="Normal 72 5 2" xfId="45901"/>
    <cellStyle name="Normal 72 6" xfId="45902"/>
    <cellStyle name="Normal 72 6 2" xfId="45903"/>
    <cellStyle name="Normal 72 7" xfId="45904"/>
    <cellStyle name="Normal 72 7 2" xfId="45905"/>
    <cellStyle name="Normal 72 8" xfId="45906"/>
    <cellStyle name="Normal 72 8 2" xfId="45907"/>
    <cellStyle name="Normal 72 9" xfId="45908"/>
    <cellStyle name="Normal 72 9 2" xfId="45909"/>
    <cellStyle name="Normal 72_Dakota Panel" xfId="45910"/>
    <cellStyle name="Normal 73" xfId="4678"/>
    <cellStyle name="Normal 73 10" xfId="45911"/>
    <cellStyle name="Normal 73 10 2" xfId="45912"/>
    <cellStyle name="Normal 73 11" xfId="45913"/>
    <cellStyle name="Normal 73 11 2" xfId="45914"/>
    <cellStyle name="Normal 73 12" xfId="45915"/>
    <cellStyle name="Normal 73 2" xfId="4679"/>
    <cellStyle name="Normal 73 2 2" xfId="45916"/>
    <cellStyle name="Normal 73 2 2 2" xfId="45917"/>
    <cellStyle name="Normal 73 2 3" xfId="45918"/>
    <cellStyle name="Normal 73 3" xfId="4680"/>
    <cellStyle name="Normal 73 3 2" xfId="4681"/>
    <cellStyle name="Normal 73 3 2 2" xfId="4682"/>
    <cellStyle name="Normal 73 3 2 2 2" xfId="4683"/>
    <cellStyle name="Normal 73 3 2 3" xfId="4684"/>
    <cellStyle name="Normal 73 3 3" xfId="4685"/>
    <cellStyle name="Normal 73 3 3 2" xfId="4686"/>
    <cellStyle name="Normal 73 3 4" xfId="4687"/>
    <cellStyle name="Normal 73 3 4 2" xfId="45919"/>
    <cellStyle name="Normal 73 3 5" xfId="45920"/>
    <cellStyle name="Normal 73 3 5 2" xfId="45921"/>
    <cellStyle name="Normal 73 3 6" xfId="45922"/>
    <cellStyle name="Normal 73 3 6 2" xfId="45923"/>
    <cellStyle name="Normal 73 3 7" xfId="45924"/>
    <cellStyle name="Normal 73 3 7 2" xfId="45925"/>
    <cellStyle name="Normal 73 3 8" xfId="45926"/>
    <cellStyle name="Normal 73 3 8 2" xfId="45927"/>
    <cellStyle name="Normal 73 3 9" xfId="45928"/>
    <cellStyle name="Normal 73 3 9 2" xfId="45929"/>
    <cellStyle name="Normal 73 3_Dakota Panel" xfId="45930"/>
    <cellStyle name="Normal 73 4" xfId="4688"/>
    <cellStyle name="Normal 73 4 2" xfId="45931"/>
    <cellStyle name="Normal 73 4 2 2" xfId="45932"/>
    <cellStyle name="Normal 73 4 3" xfId="45933"/>
    <cellStyle name="Normal 73 4 3 2" xfId="45934"/>
    <cellStyle name="Normal 73 4 4" xfId="45935"/>
    <cellStyle name="Normal 73 4 5" xfId="45936"/>
    <cellStyle name="Normal 73 5" xfId="45937"/>
    <cellStyle name="Normal 73 5 2" xfId="45938"/>
    <cellStyle name="Normal 73 6" xfId="45939"/>
    <cellStyle name="Normal 73 6 2" xfId="45940"/>
    <cellStyle name="Normal 73 7" xfId="45941"/>
    <cellStyle name="Normal 73 7 2" xfId="45942"/>
    <cellStyle name="Normal 73 8" xfId="45943"/>
    <cellStyle name="Normal 73 8 2" xfId="45944"/>
    <cellStyle name="Normal 73 9" xfId="45945"/>
    <cellStyle name="Normal 73 9 2" xfId="45946"/>
    <cellStyle name="Normal 73_Dakota Panel" xfId="45947"/>
    <cellStyle name="Normal 74" xfId="4689"/>
    <cellStyle name="Normal 74 10" xfId="45948"/>
    <cellStyle name="Normal 74 10 2" xfId="45949"/>
    <cellStyle name="Normal 74 11" xfId="45950"/>
    <cellStyle name="Normal 74 11 2" xfId="45951"/>
    <cellStyle name="Normal 74 12" xfId="45952"/>
    <cellStyle name="Normal 74 2" xfId="4690"/>
    <cellStyle name="Normal 74 2 2" xfId="45953"/>
    <cellStyle name="Normal 74 2 2 2" xfId="45954"/>
    <cellStyle name="Normal 74 2 3" xfId="45955"/>
    <cellStyle name="Normal 74 3" xfId="45956"/>
    <cellStyle name="Normal 74 3 2" xfId="45957"/>
    <cellStyle name="Normal 74 3 2 2" xfId="45958"/>
    <cellStyle name="Normal 74 3 3" xfId="45959"/>
    <cellStyle name="Normal 74 3 3 2" xfId="45960"/>
    <cellStyle name="Normal 74 3 4" xfId="45961"/>
    <cellStyle name="Normal 74 3 4 2" xfId="45962"/>
    <cellStyle name="Normal 74 3 5" xfId="45963"/>
    <cellStyle name="Normal 74 3 5 2" xfId="45964"/>
    <cellStyle name="Normal 74 3 6" xfId="45965"/>
    <cellStyle name="Normal 74 3 6 2" xfId="45966"/>
    <cellStyle name="Normal 74 3 7" xfId="45967"/>
    <cellStyle name="Normal 74 3 7 2" xfId="45968"/>
    <cellStyle name="Normal 74 3 8" xfId="45969"/>
    <cellStyle name="Normal 74 3 8 2" xfId="45970"/>
    <cellStyle name="Normal 74 3 9" xfId="45971"/>
    <cellStyle name="Normal 74 3 9 2" xfId="45972"/>
    <cellStyle name="Normal 74 3_Dakota Panel" xfId="45973"/>
    <cellStyle name="Normal 74 4" xfId="45974"/>
    <cellStyle name="Normal 74 4 2" xfId="45975"/>
    <cellStyle name="Normal 74 4 2 2" xfId="45976"/>
    <cellStyle name="Normal 74 4 3" xfId="45977"/>
    <cellStyle name="Normal 74 4 3 2" xfId="45978"/>
    <cellStyle name="Normal 74 4 4" xfId="45979"/>
    <cellStyle name="Normal 74 4 5" xfId="45980"/>
    <cellStyle name="Normal 74 5" xfId="45981"/>
    <cellStyle name="Normal 74 5 2" xfId="45982"/>
    <cellStyle name="Normal 74 6" xfId="45983"/>
    <cellStyle name="Normal 74 6 2" xfId="45984"/>
    <cellStyle name="Normal 74 7" xfId="45985"/>
    <cellStyle name="Normal 74 7 2" xfId="45986"/>
    <cellStyle name="Normal 74 8" xfId="45987"/>
    <cellStyle name="Normal 74 8 2" xfId="45988"/>
    <cellStyle name="Normal 74 9" xfId="45989"/>
    <cellStyle name="Normal 74 9 2" xfId="45990"/>
    <cellStyle name="Normal 74_Dakota Panel" xfId="45991"/>
    <cellStyle name="Normal 75" xfId="4691"/>
    <cellStyle name="Normal 75 10" xfId="45992"/>
    <cellStyle name="Normal 75 10 2" xfId="45993"/>
    <cellStyle name="Normal 75 11" xfId="45994"/>
    <cellStyle name="Normal 75 11 2" xfId="45995"/>
    <cellStyle name="Normal 75 12" xfId="45996"/>
    <cellStyle name="Normal 75 2" xfId="4692"/>
    <cellStyle name="Normal 75 2 2" xfId="45997"/>
    <cellStyle name="Normal 75 2 2 2" xfId="45998"/>
    <cellStyle name="Normal 75 2 3" xfId="45999"/>
    <cellStyle name="Normal 75 3" xfId="46000"/>
    <cellStyle name="Normal 75 3 2" xfId="46001"/>
    <cellStyle name="Normal 75 3 2 2" xfId="46002"/>
    <cellStyle name="Normal 75 3 3" xfId="46003"/>
    <cellStyle name="Normal 75 3 3 2" xfId="46004"/>
    <cellStyle name="Normal 75 3 4" xfId="46005"/>
    <cellStyle name="Normal 75 3 4 2" xfId="46006"/>
    <cellStyle name="Normal 75 3 5" xfId="46007"/>
    <cellStyle name="Normal 75 3 5 2" xfId="46008"/>
    <cellStyle name="Normal 75 3 6" xfId="46009"/>
    <cellStyle name="Normal 75 3 6 2" xfId="46010"/>
    <cellStyle name="Normal 75 3 7" xfId="46011"/>
    <cellStyle name="Normal 75 3 7 2" xfId="46012"/>
    <cellStyle name="Normal 75 3 8" xfId="46013"/>
    <cellStyle name="Normal 75 3 8 2" xfId="46014"/>
    <cellStyle name="Normal 75 3 9" xfId="46015"/>
    <cellStyle name="Normal 75 3 9 2" xfId="46016"/>
    <cellStyle name="Normal 75 3_Dakota Panel" xfId="46017"/>
    <cellStyle name="Normal 75 4" xfId="46018"/>
    <cellStyle name="Normal 75 4 2" xfId="46019"/>
    <cellStyle name="Normal 75 4 2 2" xfId="46020"/>
    <cellStyle name="Normal 75 4 3" xfId="46021"/>
    <cellStyle name="Normal 75 4 3 2" xfId="46022"/>
    <cellStyle name="Normal 75 4 4" xfId="46023"/>
    <cellStyle name="Normal 75 4 5" xfId="46024"/>
    <cellStyle name="Normal 75 5" xfId="46025"/>
    <cellStyle name="Normal 75 5 2" xfId="46026"/>
    <cellStyle name="Normal 75 6" xfId="46027"/>
    <cellStyle name="Normal 75 6 2" xfId="46028"/>
    <cellStyle name="Normal 75 7" xfId="46029"/>
    <cellStyle name="Normal 75 7 2" xfId="46030"/>
    <cellStyle name="Normal 75 8" xfId="46031"/>
    <cellStyle name="Normal 75 8 2" xfId="46032"/>
    <cellStyle name="Normal 75 9" xfId="46033"/>
    <cellStyle name="Normal 75 9 2" xfId="46034"/>
    <cellStyle name="Normal 75_Dakota Panel" xfId="46035"/>
    <cellStyle name="Normal 76" xfId="4693"/>
    <cellStyle name="Normal 76 10" xfId="46036"/>
    <cellStyle name="Normal 76 10 2" xfId="46037"/>
    <cellStyle name="Normal 76 11" xfId="46038"/>
    <cellStyle name="Normal 76 11 2" xfId="46039"/>
    <cellStyle name="Normal 76 12" xfId="46040"/>
    <cellStyle name="Normal 76 2" xfId="4694"/>
    <cellStyle name="Normal 76 2 2" xfId="46041"/>
    <cellStyle name="Normal 76 2 2 2" xfId="46042"/>
    <cellStyle name="Normal 76 2 3" xfId="46043"/>
    <cellStyle name="Normal 76 3" xfId="46044"/>
    <cellStyle name="Normal 76 3 2" xfId="46045"/>
    <cellStyle name="Normal 76 3 2 2" xfId="46046"/>
    <cellStyle name="Normal 76 3 3" xfId="46047"/>
    <cellStyle name="Normal 76 3 3 2" xfId="46048"/>
    <cellStyle name="Normal 76 3 4" xfId="46049"/>
    <cellStyle name="Normal 76 3 4 2" xfId="46050"/>
    <cellStyle name="Normal 76 3 5" xfId="46051"/>
    <cellStyle name="Normal 76 3 5 2" xfId="46052"/>
    <cellStyle name="Normal 76 3 6" xfId="46053"/>
    <cellStyle name="Normal 76 3 6 2" xfId="46054"/>
    <cellStyle name="Normal 76 3 7" xfId="46055"/>
    <cellStyle name="Normal 76 3 7 2" xfId="46056"/>
    <cellStyle name="Normal 76 3 8" xfId="46057"/>
    <cellStyle name="Normal 76 3 8 2" xfId="46058"/>
    <cellStyle name="Normal 76 3 9" xfId="46059"/>
    <cellStyle name="Normal 76 3 9 2" xfId="46060"/>
    <cellStyle name="Normal 76 3_Dakota Panel" xfId="46061"/>
    <cellStyle name="Normal 76 4" xfId="46062"/>
    <cellStyle name="Normal 76 4 2" xfId="46063"/>
    <cellStyle name="Normal 76 4 2 2" xfId="46064"/>
    <cellStyle name="Normal 76 4 3" xfId="46065"/>
    <cellStyle name="Normal 76 4 3 2" xfId="46066"/>
    <cellStyle name="Normal 76 4 4" xfId="46067"/>
    <cellStyle name="Normal 76 4 5" xfId="46068"/>
    <cellStyle name="Normal 76 5" xfId="46069"/>
    <cellStyle name="Normal 76 5 2" xfId="46070"/>
    <cellStyle name="Normal 76 6" xfId="46071"/>
    <cellStyle name="Normal 76 6 2" xfId="46072"/>
    <cellStyle name="Normal 76 7" xfId="46073"/>
    <cellStyle name="Normal 76 7 2" xfId="46074"/>
    <cellStyle name="Normal 76 8" xfId="46075"/>
    <cellStyle name="Normal 76 8 2" xfId="46076"/>
    <cellStyle name="Normal 76 9" xfId="46077"/>
    <cellStyle name="Normal 76 9 2" xfId="46078"/>
    <cellStyle name="Normal 76_Dakota Panel" xfId="46079"/>
    <cellStyle name="Normal 77" xfId="4695"/>
    <cellStyle name="Normal 77 10" xfId="46080"/>
    <cellStyle name="Normal 77 10 2" xfId="46081"/>
    <cellStyle name="Normal 77 11" xfId="46082"/>
    <cellStyle name="Normal 77 11 2" xfId="46083"/>
    <cellStyle name="Normal 77 12" xfId="46084"/>
    <cellStyle name="Normal 77 2" xfId="4696"/>
    <cellStyle name="Normal 77 2 2" xfId="46085"/>
    <cellStyle name="Normal 77 2 2 2" xfId="46086"/>
    <cellStyle name="Normal 77 2 3" xfId="46087"/>
    <cellStyle name="Normal 77 3" xfId="46088"/>
    <cellStyle name="Normal 77 3 2" xfId="46089"/>
    <cellStyle name="Normal 77 3 2 2" xfId="46090"/>
    <cellStyle name="Normal 77 3 3" xfId="46091"/>
    <cellStyle name="Normal 77 3 3 2" xfId="46092"/>
    <cellStyle name="Normal 77 3 4" xfId="46093"/>
    <cellStyle name="Normal 77 3 4 2" xfId="46094"/>
    <cellStyle name="Normal 77 3 5" xfId="46095"/>
    <cellStyle name="Normal 77 3 5 2" xfId="46096"/>
    <cellStyle name="Normal 77 3 6" xfId="46097"/>
    <cellStyle name="Normal 77 3 6 2" xfId="46098"/>
    <cellStyle name="Normal 77 3 7" xfId="46099"/>
    <cellStyle name="Normal 77 3 7 2" xfId="46100"/>
    <cellStyle name="Normal 77 3 8" xfId="46101"/>
    <cellStyle name="Normal 77 3 8 2" xfId="46102"/>
    <cellStyle name="Normal 77 3 9" xfId="46103"/>
    <cellStyle name="Normal 77 3 9 2" xfId="46104"/>
    <cellStyle name="Normal 77 3_Dakota Panel" xfId="46105"/>
    <cellStyle name="Normal 77 4" xfId="46106"/>
    <cellStyle name="Normal 77 4 2" xfId="46107"/>
    <cellStyle name="Normal 77 4 2 2" xfId="46108"/>
    <cellStyle name="Normal 77 4 3" xfId="46109"/>
    <cellStyle name="Normal 77 4 3 2" xfId="46110"/>
    <cellStyle name="Normal 77 4 4" xfId="46111"/>
    <cellStyle name="Normal 77 4 5" xfId="46112"/>
    <cellStyle name="Normal 77 5" xfId="46113"/>
    <cellStyle name="Normal 77 5 2" xfId="46114"/>
    <cellStyle name="Normal 77 6" xfId="46115"/>
    <cellStyle name="Normal 77 6 2" xfId="46116"/>
    <cellStyle name="Normal 77 7" xfId="46117"/>
    <cellStyle name="Normal 77 7 2" xfId="46118"/>
    <cellStyle name="Normal 77 8" xfId="46119"/>
    <cellStyle name="Normal 77 8 2" xfId="46120"/>
    <cellStyle name="Normal 77 9" xfId="46121"/>
    <cellStyle name="Normal 77 9 2" xfId="46122"/>
    <cellStyle name="Normal 77_Dakota Panel" xfId="46123"/>
    <cellStyle name="Normal 78" xfId="4697"/>
    <cellStyle name="Normal 78 10" xfId="46124"/>
    <cellStyle name="Normal 78 10 2" xfId="46125"/>
    <cellStyle name="Normal 78 11" xfId="46126"/>
    <cellStyle name="Normal 78 11 2" xfId="46127"/>
    <cellStyle name="Normal 78 12" xfId="46128"/>
    <cellStyle name="Normal 78 2" xfId="4698"/>
    <cellStyle name="Normal 78 2 2" xfId="46129"/>
    <cellStyle name="Normal 78 2 2 2" xfId="46130"/>
    <cellStyle name="Normal 78 2 3" xfId="46131"/>
    <cellStyle name="Normal 78 3" xfId="46132"/>
    <cellStyle name="Normal 78 3 2" xfId="46133"/>
    <cellStyle name="Normal 78 3 2 2" xfId="46134"/>
    <cellStyle name="Normal 78 3 3" xfId="46135"/>
    <cellStyle name="Normal 78 3 3 2" xfId="46136"/>
    <cellStyle name="Normal 78 3 4" xfId="46137"/>
    <cellStyle name="Normal 78 3 4 2" xfId="46138"/>
    <cellStyle name="Normal 78 3 5" xfId="46139"/>
    <cellStyle name="Normal 78 3 5 2" xfId="46140"/>
    <cellStyle name="Normal 78 3 6" xfId="46141"/>
    <cellStyle name="Normal 78 3 6 2" xfId="46142"/>
    <cellStyle name="Normal 78 3 7" xfId="46143"/>
    <cellStyle name="Normal 78 3 7 2" xfId="46144"/>
    <cellStyle name="Normal 78 3 8" xfId="46145"/>
    <cellStyle name="Normal 78 3 8 2" xfId="46146"/>
    <cellStyle name="Normal 78 3 9" xfId="46147"/>
    <cellStyle name="Normal 78 3 9 2" xfId="46148"/>
    <cellStyle name="Normal 78 3_Dakota Panel" xfId="46149"/>
    <cellStyle name="Normal 78 4" xfId="46150"/>
    <cellStyle name="Normal 78 4 2" xfId="46151"/>
    <cellStyle name="Normal 78 4 2 2" xfId="46152"/>
    <cellStyle name="Normal 78 4 3" xfId="46153"/>
    <cellStyle name="Normal 78 4 3 2" xfId="46154"/>
    <cellStyle name="Normal 78 4 4" xfId="46155"/>
    <cellStyle name="Normal 78 4 5" xfId="46156"/>
    <cellStyle name="Normal 78 5" xfId="46157"/>
    <cellStyle name="Normal 78 5 2" xfId="46158"/>
    <cellStyle name="Normal 78 6" xfId="46159"/>
    <cellStyle name="Normal 78 6 2" xfId="46160"/>
    <cellStyle name="Normal 78 7" xfId="46161"/>
    <cellStyle name="Normal 78 7 2" xfId="46162"/>
    <cellStyle name="Normal 78 8" xfId="46163"/>
    <cellStyle name="Normal 78 8 2" xfId="46164"/>
    <cellStyle name="Normal 78 9" xfId="46165"/>
    <cellStyle name="Normal 78 9 2" xfId="46166"/>
    <cellStyle name="Normal 78_Dakota Panel" xfId="46167"/>
    <cellStyle name="Normal 79" xfId="4699"/>
    <cellStyle name="Normal 79 10" xfId="46168"/>
    <cellStyle name="Normal 79 10 2" xfId="46169"/>
    <cellStyle name="Normal 79 11" xfId="46170"/>
    <cellStyle name="Normal 79 11 2" xfId="46171"/>
    <cellStyle name="Normal 79 12" xfId="46172"/>
    <cellStyle name="Normal 79 2" xfId="4700"/>
    <cellStyle name="Normal 79 2 2" xfId="46173"/>
    <cellStyle name="Normal 79 2 2 2" xfId="46174"/>
    <cellStyle name="Normal 79 2 3" xfId="46175"/>
    <cellStyle name="Normal 79 3" xfId="46176"/>
    <cellStyle name="Normal 79 3 2" xfId="46177"/>
    <cellStyle name="Normal 79 3 2 2" xfId="46178"/>
    <cellStyle name="Normal 79 3 3" xfId="46179"/>
    <cellStyle name="Normal 79 3 3 2" xfId="46180"/>
    <cellStyle name="Normal 79 3 4" xfId="46181"/>
    <cellStyle name="Normal 79 3 4 2" xfId="46182"/>
    <cellStyle name="Normal 79 3 5" xfId="46183"/>
    <cellStyle name="Normal 79 3 5 2" xfId="46184"/>
    <cellStyle name="Normal 79 3 6" xfId="46185"/>
    <cellStyle name="Normal 79 3 6 2" xfId="46186"/>
    <cellStyle name="Normal 79 3 7" xfId="46187"/>
    <cellStyle name="Normal 79 3 7 2" xfId="46188"/>
    <cellStyle name="Normal 79 3 8" xfId="46189"/>
    <cellStyle name="Normal 79 3 8 2" xfId="46190"/>
    <cellStyle name="Normal 79 3 9" xfId="46191"/>
    <cellStyle name="Normal 79 3 9 2" xfId="46192"/>
    <cellStyle name="Normal 79 3_Dakota Panel" xfId="46193"/>
    <cellStyle name="Normal 79 4" xfId="46194"/>
    <cellStyle name="Normal 79 4 2" xfId="46195"/>
    <cellStyle name="Normal 79 4 2 2" xfId="46196"/>
    <cellStyle name="Normal 79 4 3" xfId="46197"/>
    <cellStyle name="Normal 79 4 3 2" xfId="46198"/>
    <cellStyle name="Normal 79 4 4" xfId="46199"/>
    <cellStyle name="Normal 79 4 5" xfId="46200"/>
    <cellStyle name="Normal 79 5" xfId="46201"/>
    <cellStyle name="Normal 79 5 2" xfId="46202"/>
    <cellStyle name="Normal 79 6" xfId="46203"/>
    <cellStyle name="Normal 79 6 2" xfId="46204"/>
    <cellStyle name="Normal 79 7" xfId="46205"/>
    <cellStyle name="Normal 79 7 2" xfId="46206"/>
    <cellStyle name="Normal 79 8" xfId="46207"/>
    <cellStyle name="Normal 79 8 2" xfId="46208"/>
    <cellStyle name="Normal 79 9" xfId="46209"/>
    <cellStyle name="Normal 79 9 2" xfId="46210"/>
    <cellStyle name="Normal 79_Dakota Panel" xfId="46211"/>
    <cellStyle name="Normal 8" xfId="94"/>
    <cellStyle name="Normal 8 10" xfId="46212"/>
    <cellStyle name="Normal 8 10 2" xfId="46213"/>
    <cellStyle name="Normal 8 11" xfId="46214"/>
    <cellStyle name="Normal 8 11 2" xfId="46215"/>
    <cellStyle name="Normal 8 12" xfId="46216"/>
    <cellStyle name="Normal 8 2" xfId="116"/>
    <cellStyle name="Normal 8 2 2" xfId="4701"/>
    <cellStyle name="Normal 8 2 2 2" xfId="4702"/>
    <cellStyle name="Normal 8 2 2 3" xfId="46217"/>
    <cellStyle name="Normal 8 2 3" xfId="4703"/>
    <cellStyle name="Normal 8 2 3 2" xfId="46218"/>
    <cellStyle name="Normal 8 2 4" xfId="46219"/>
    <cellStyle name="Normal 8 2 4 2" xfId="46220"/>
    <cellStyle name="Normal 8 2 5" xfId="46221"/>
    <cellStyle name="Normal 8 2 6" xfId="46222"/>
    <cellStyle name="Normal 8 3" xfId="4704"/>
    <cellStyle name="Normal 8 3 2" xfId="4705"/>
    <cellStyle name="Normal 8 3 2 2" xfId="4706"/>
    <cellStyle name="Normal 8 3 3" xfId="4707"/>
    <cellStyle name="Normal 8 3 3 2" xfId="4708"/>
    <cellStyle name="Normal 8 3 4" xfId="4709"/>
    <cellStyle name="Normal 8 3_Dakota Panel" xfId="46223"/>
    <cellStyle name="Normal 8 4" xfId="4710"/>
    <cellStyle name="Normal 8 4 2" xfId="4711"/>
    <cellStyle name="Normal 8 4 2 2" xfId="46224"/>
    <cellStyle name="Normal 8 4 2 3" xfId="46225"/>
    <cellStyle name="Normal 8 4 3" xfId="46226"/>
    <cellStyle name="Normal 8 4 4" xfId="46227"/>
    <cellStyle name="Normal 8 4 5" xfId="46228"/>
    <cellStyle name="Normal 8 5" xfId="4712"/>
    <cellStyle name="Normal 8 5 2" xfId="46229"/>
    <cellStyle name="Normal 8 5 2 2" xfId="46230"/>
    <cellStyle name="Normal 8 5 2 2 2" xfId="46231"/>
    <cellStyle name="Normal 8 5 3" xfId="46232"/>
    <cellStyle name="Normal 8 5 3 2" xfId="46233"/>
    <cellStyle name="Normal 8 5 4" xfId="46234"/>
    <cellStyle name="Normal 8 5 4 2" xfId="46235"/>
    <cellStyle name="Normal 8 5 5" xfId="46236"/>
    <cellStyle name="Normal 8 5 5 2" xfId="46237"/>
    <cellStyle name="Normal 8 5 6" xfId="46238"/>
    <cellStyle name="Normal 8 5 6 2" xfId="46239"/>
    <cellStyle name="Normal 8 5 7" xfId="46240"/>
    <cellStyle name="Normal 8 5 7 2" xfId="46241"/>
    <cellStyle name="Normal 8 5 8" xfId="46242"/>
    <cellStyle name="Normal 8 5 8 2" xfId="46243"/>
    <cellStyle name="Normal 8 5 9" xfId="46244"/>
    <cellStyle name="Normal 8 5 9 2" xfId="46245"/>
    <cellStyle name="Normal 8 5_Dakota Panel" xfId="46246"/>
    <cellStyle name="Normal 8 6" xfId="46247"/>
    <cellStyle name="Normal 8 6 2" xfId="46248"/>
    <cellStyle name="Normal 8 6 2 2" xfId="46249"/>
    <cellStyle name="Normal 8 7" xfId="46250"/>
    <cellStyle name="Normal 8 7 2" xfId="46251"/>
    <cellStyle name="Normal 8 7 2 2" xfId="46252"/>
    <cellStyle name="Normal 8 8" xfId="46253"/>
    <cellStyle name="Normal 8 8 2" xfId="46254"/>
    <cellStyle name="Normal 8 8 2 2" xfId="46255"/>
    <cellStyle name="Normal 8 8 3" xfId="46256"/>
    <cellStyle name="Normal 8 8 4" xfId="46257"/>
    <cellStyle name="Normal 8 9" xfId="46258"/>
    <cellStyle name="Normal 8 9 2" xfId="46259"/>
    <cellStyle name="Normal 8_Dakota Panel" xfId="46260"/>
    <cellStyle name="Normal 80" xfId="4713"/>
    <cellStyle name="Normal 80 10" xfId="46261"/>
    <cellStyle name="Normal 80 10 2" xfId="46262"/>
    <cellStyle name="Normal 80 11" xfId="46263"/>
    <cellStyle name="Normal 80 11 2" xfId="46264"/>
    <cellStyle name="Normal 80 12" xfId="46265"/>
    <cellStyle name="Normal 80 2" xfId="4714"/>
    <cellStyle name="Normal 80 2 2" xfId="46266"/>
    <cellStyle name="Normal 80 2 2 2" xfId="46267"/>
    <cellStyle name="Normal 80 2 3" xfId="46268"/>
    <cellStyle name="Normal 80 3" xfId="46269"/>
    <cellStyle name="Normal 80 3 2" xfId="46270"/>
    <cellStyle name="Normal 80 3 2 2" xfId="46271"/>
    <cellStyle name="Normal 80 3 3" xfId="46272"/>
    <cellStyle name="Normal 80 3 3 2" xfId="46273"/>
    <cellStyle name="Normal 80 3 4" xfId="46274"/>
    <cellStyle name="Normal 80 3 4 2" xfId="46275"/>
    <cellStyle name="Normal 80 3 5" xfId="46276"/>
    <cellStyle name="Normal 80 3 5 2" xfId="46277"/>
    <cellStyle name="Normal 80 3 6" xfId="46278"/>
    <cellStyle name="Normal 80 3 6 2" xfId="46279"/>
    <cellStyle name="Normal 80 3 7" xfId="46280"/>
    <cellStyle name="Normal 80 3 7 2" xfId="46281"/>
    <cellStyle name="Normal 80 3 8" xfId="46282"/>
    <cellStyle name="Normal 80 3 8 2" xfId="46283"/>
    <cellStyle name="Normal 80 3 9" xfId="46284"/>
    <cellStyle name="Normal 80 3 9 2" xfId="46285"/>
    <cellStyle name="Normal 80 3_Dakota Panel" xfId="46286"/>
    <cellStyle name="Normal 80 4" xfId="46287"/>
    <cellStyle name="Normal 80 4 2" xfId="46288"/>
    <cellStyle name="Normal 80 4 2 2" xfId="46289"/>
    <cellStyle name="Normal 80 4 3" xfId="46290"/>
    <cellStyle name="Normal 80 4 3 2" xfId="46291"/>
    <cellStyle name="Normal 80 4 4" xfId="46292"/>
    <cellStyle name="Normal 80 4 5" xfId="46293"/>
    <cellStyle name="Normal 80 5" xfId="46294"/>
    <cellStyle name="Normal 80 5 2" xfId="46295"/>
    <cellStyle name="Normal 80 6" xfId="46296"/>
    <cellStyle name="Normal 80 6 2" xfId="46297"/>
    <cellStyle name="Normal 80 7" xfId="46298"/>
    <cellStyle name="Normal 80 7 2" xfId="46299"/>
    <cellStyle name="Normal 80 8" xfId="46300"/>
    <cellStyle name="Normal 80 8 2" xfId="46301"/>
    <cellStyle name="Normal 80 9" xfId="46302"/>
    <cellStyle name="Normal 80 9 2" xfId="46303"/>
    <cellStyle name="Normal 80_Dakota Panel" xfId="46304"/>
    <cellStyle name="Normal 81" xfId="4715"/>
    <cellStyle name="Normal 81 10" xfId="46305"/>
    <cellStyle name="Normal 81 10 2" xfId="46306"/>
    <cellStyle name="Normal 81 11" xfId="46307"/>
    <cellStyle name="Normal 81 11 2" xfId="46308"/>
    <cellStyle name="Normal 81 12" xfId="46309"/>
    <cellStyle name="Normal 81 2" xfId="4716"/>
    <cellStyle name="Normal 81 2 2" xfId="46310"/>
    <cellStyle name="Normal 81 2 2 2" xfId="46311"/>
    <cellStyle name="Normal 81 2 3" xfId="46312"/>
    <cellStyle name="Normal 81 3" xfId="46313"/>
    <cellStyle name="Normal 81 3 2" xfId="46314"/>
    <cellStyle name="Normal 81 3 2 2" xfId="46315"/>
    <cellStyle name="Normal 81 3 3" xfId="46316"/>
    <cellStyle name="Normal 81 3 3 2" xfId="46317"/>
    <cellStyle name="Normal 81 3 4" xfId="46318"/>
    <cellStyle name="Normal 81 3 4 2" xfId="46319"/>
    <cellStyle name="Normal 81 3 5" xfId="46320"/>
    <cellStyle name="Normal 81 3 5 2" xfId="46321"/>
    <cellStyle name="Normal 81 3 6" xfId="46322"/>
    <cellStyle name="Normal 81 3 6 2" xfId="46323"/>
    <cellStyle name="Normal 81 3 7" xfId="46324"/>
    <cellStyle name="Normal 81 3 7 2" xfId="46325"/>
    <cellStyle name="Normal 81 3 8" xfId="46326"/>
    <cellStyle name="Normal 81 3 8 2" xfId="46327"/>
    <cellStyle name="Normal 81 3 9" xfId="46328"/>
    <cellStyle name="Normal 81 3 9 2" xfId="46329"/>
    <cellStyle name="Normal 81 3_Dakota Panel" xfId="46330"/>
    <cellStyle name="Normal 81 4" xfId="46331"/>
    <cellStyle name="Normal 81 4 2" xfId="46332"/>
    <cellStyle name="Normal 81 4 2 2" xfId="46333"/>
    <cellStyle name="Normal 81 4 3" xfId="46334"/>
    <cellStyle name="Normal 81 4 3 2" xfId="46335"/>
    <cellStyle name="Normal 81 4 4" xfId="46336"/>
    <cellStyle name="Normal 81 4 5" xfId="46337"/>
    <cellStyle name="Normal 81 5" xfId="46338"/>
    <cellStyle name="Normal 81 5 2" xfId="46339"/>
    <cellStyle name="Normal 81 6" xfId="46340"/>
    <cellStyle name="Normal 81 6 2" xfId="46341"/>
    <cellStyle name="Normal 81 7" xfId="46342"/>
    <cellStyle name="Normal 81 7 2" xfId="46343"/>
    <cellStyle name="Normal 81 8" xfId="46344"/>
    <cellStyle name="Normal 81 8 2" xfId="46345"/>
    <cellStyle name="Normal 81 9" xfId="46346"/>
    <cellStyle name="Normal 81 9 2" xfId="46347"/>
    <cellStyle name="Normal 81_Dakota Panel" xfId="46348"/>
    <cellStyle name="Normal 82" xfId="4717"/>
    <cellStyle name="Normal 82 10" xfId="46349"/>
    <cellStyle name="Normal 82 10 2" xfId="46350"/>
    <cellStyle name="Normal 82 11" xfId="46351"/>
    <cellStyle name="Normal 82 11 2" xfId="46352"/>
    <cellStyle name="Normal 82 12" xfId="46353"/>
    <cellStyle name="Normal 82 2" xfId="4718"/>
    <cellStyle name="Normal 82 2 2" xfId="46354"/>
    <cellStyle name="Normal 82 2 2 2" xfId="46355"/>
    <cellStyle name="Normal 82 2 3" xfId="46356"/>
    <cellStyle name="Normal 82 3" xfId="46357"/>
    <cellStyle name="Normal 82 3 2" xfId="46358"/>
    <cellStyle name="Normal 82 3 2 2" xfId="46359"/>
    <cellStyle name="Normal 82 3 3" xfId="46360"/>
    <cellStyle name="Normal 82 3 3 2" xfId="46361"/>
    <cellStyle name="Normal 82 3 4" xfId="46362"/>
    <cellStyle name="Normal 82 3 4 2" xfId="46363"/>
    <cellStyle name="Normal 82 3 5" xfId="46364"/>
    <cellStyle name="Normal 82 3 5 2" xfId="46365"/>
    <cellStyle name="Normal 82 3 6" xfId="46366"/>
    <cellStyle name="Normal 82 3 6 2" xfId="46367"/>
    <cellStyle name="Normal 82 3 7" xfId="46368"/>
    <cellStyle name="Normal 82 3 7 2" xfId="46369"/>
    <cellStyle name="Normal 82 3 8" xfId="46370"/>
    <cellStyle name="Normal 82 3 8 2" xfId="46371"/>
    <cellStyle name="Normal 82 3 9" xfId="46372"/>
    <cellStyle name="Normal 82 3 9 2" xfId="46373"/>
    <cellStyle name="Normal 82 3_Dakota Panel" xfId="46374"/>
    <cellStyle name="Normal 82 4" xfId="46375"/>
    <cellStyle name="Normal 82 4 2" xfId="46376"/>
    <cellStyle name="Normal 82 4 2 2" xfId="46377"/>
    <cellStyle name="Normal 82 4 3" xfId="46378"/>
    <cellStyle name="Normal 82 4 3 2" xfId="46379"/>
    <cellStyle name="Normal 82 4 4" xfId="46380"/>
    <cellStyle name="Normal 82 4 5" xfId="46381"/>
    <cellStyle name="Normal 82 5" xfId="46382"/>
    <cellStyle name="Normal 82 5 2" xfId="46383"/>
    <cellStyle name="Normal 82 6" xfId="46384"/>
    <cellStyle name="Normal 82 6 2" xfId="46385"/>
    <cellStyle name="Normal 82 7" xfId="46386"/>
    <cellStyle name="Normal 82 7 2" xfId="46387"/>
    <cellStyle name="Normal 82 8" xfId="46388"/>
    <cellStyle name="Normal 82 8 2" xfId="46389"/>
    <cellStyle name="Normal 82 9" xfId="46390"/>
    <cellStyle name="Normal 82 9 2" xfId="46391"/>
    <cellStyle name="Normal 82_Dakota Panel" xfId="46392"/>
    <cellStyle name="Normal 83" xfId="4719"/>
    <cellStyle name="Normal 83 10" xfId="46393"/>
    <cellStyle name="Normal 83 10 2" xfId="46394"/>
    <cellStyle name="Normal 83 11" xfId="46395"/>
    <cellStyle name="Normal 83 11 2" xfId="46396"/>
    <cellStyle name="Normal 83 12" xfId="46397"/>
    <cellStyle name="Normal 83 2" xfId="4720"/>
    <cellStyle name="Normal 83 2 2" xfId="4721"/>
    <cellStyle name="Normal 83 2 2 2" xfId="46398"/>
    <cellStyle name="Normal 83 2 3" xfId="46399"/>
    <cellStyle name="Normal 83 3" xfId="4722"/>
    <cellStyle name="Normal 83 3 2" xfId="46400"/>
    <cellStyle name="Normal 83 3 2 2" xfId="46401"/>
    <cellStyle name="Normal 83 3 3" xfId="46402"/>
    <cellStyle name="Normal 83 3 3 2" xfId="46403"/>
    <cellStyle name="Normal 83 3 4" xfId="46404"/>
    <cellStyle name="Normal 83 3 4 2" xfId="46405"/>
    <cellStyle name="Normal 83 3 5" xfId="46406"/>
    <cellStyle name="Normal 83 3 5 2" xfId="46407"/>
    <cellStyle name="Normal 83 3 6" xfId="46408"/>
    <cellStyle name="Normal 83 3 6 2" xfId="46409"/>
    <cellStyle name="Normal 83 3 7" xfId="46410"/>
    <cellStyle name="Normal 83 3 7 2" xfId="46411"/>
    <cellStyle name="Normal 83 3 8" xfId="46412"/>
    <cellStyle name="Normal 83 3 8 2" xfId="46413"/>
    <cellStyle name="Normal 83 3 9" xfId="46414"/>
    <cellStyle name="Normal 83 3 9 2" xfId="46415"/>
    <cellStyle name="Normal 83 3_Dakota Panel" xfId="46416"/>
    <cellStyle name="Normal 83 4" xfId="46417"/>
    <cellStyle name="Normal 83 4 2" xfId="46418"/>
    <cellStyle name="Normal 83 4 2 2" xfId="46419"/>
    <cellStyle name="Normal 83 4 3" xfId="46420"/>
    <cellStyle name="Normal 83 4 3 2" xfId="46421"/>
    <cellStyle name="Normal 83 4 4" xfId="46422"/>
    <cellStyle name="Normal 83 4 5" xfId="46423"/>
    <cellStyle name="Normal 83 5" xfId="46424"/>
    <cellStyle name="Normal 83 5 2" xfId="46425"/>
    <cellStyle name="Normal 83 6" xfId="46426"/>
    <cellStyle name="Normal 83 6 2" xfId="46427"/>
    <cellStyle name="Normal 83 7" xfId="46428"/>
    <cellStyle name="Normal 83 7 2" xfId="46429"/>
    <cellStyle name="Normal 83 8" xfId="46430"/>
    <cellStyle name="Normal 83 8 2" xfId="46431"/>
    <cellStyle name="Normal 83 9" xfId="46432"/>
    <cellStyle name="Normal 83 9 2" xfId="46433"/>
    <cellStyle name="Normal 83_Dakota Panel" xfId="46434"/>
    <cellStyle name="Normal 84" xfId="4723"/>
    <cellStyle name="Normal 84 10" xfId="46435"/>
    <cellStyle name="Normal 84 10 2" xfId="46436"/>
    <cellStyle name="Normal 84 11" xfId="46437"/>
    <cellStyle name="Normal 84 11 2" xfId="46438"/>
    <cellStyle name="Normal 84 12" xfId="46439"/>
    <cellStyle name="Normal 84 2" xfId="4724"/>
    <cellStyle name="Normal 84 2 2" xfId="4725"/>
    <cellStyle name="Normal 84 2 2 2" xfId="46440"/>
    <cellStyle name="Normal 84 2 2_Dakota Panel" xfId="46441"/>
    <cellStyle name="Normal 84 2 3" xfId="46442"/>
    <cellStyle name="Normal 84 2 3 2" xfId="46443"/>
    <cellStyle name="Normal 84 2_Dakota Panel" xfId="46444"/>
    <cellStyle name="Normal 84 3" xfId="4726"/>
    <cellStyle name="Normal 84 3 2" xfId="46445"/>
    <cellStyle name="Normal 84 3 2 2" xfId="46446"/>
    <cellStyle name="Normal 84 3 3" xfId="46447"/>
    <cellStyle name="Normal 84 3 3 2" xfId="46448"/>
    <cellStyle name="Normal 84 3 4" xfId="46449"/>
    <cellStyle name="Normal 84 3 4 2" xfId="46450"/>
    <cellStyle name="Normal 84 3 5" xfId="46451"/>
    <cellStyle name="Normal 84 3 5 2" xfId="46452"/>
    <cellStyle name="Normal 84 3 6" xfId="46453"/>
    <cellStyle name="Normal 84 3 6 2" xfId="46454"/>
    <cellStyle name="Normal 84 3 7" xfId="46455"/>
    <cellStyle name="Normal 84 3 7 2" xfId="46456"/>
    <cellStyle name="Normal 84 3 8" xfId="46457"/>
    <cellStyle name="Normal 84 3 8 2" xfId="46458"/>
    <cellStyle name="Normal 84 3 9" xfId="46459"/>
    <cellStyle name="Normal 84 3 9 2" xfId="46460"/>
    <cellStyle name="Normal 84 3_Dakota Panel" xfId="46461"/>
    <cellStyle name="Normal 84 4" xfId="46462"/>
    <cellStyle name="Normal 84 4 2" xfId="46463"/>
    <cellStyle name="Normal 84 4 2 2" xfId="46464"/>
    <cellStyle name="Normal 84 4 3" xfId="46465"/>
    <cellStyle name="Normal 84 4 3 2" xfId="46466"/>
    <cellStyle name="Normal 84 4 4" xfId="46467"/>
    <cellStyle name="Normal 84 4 5" xfId="46468"/>
    <cellStyle name="Normal 84 5" xfId="46469"/>
    <cellStyle name="Normal 84 5 2" xfId="46470"/>
    <cellStyle name="Normal 84 6" xfId="46471"/>
    <cellStyle name="Normal 84 6 2" xfId="46472"/>
    <cellStyle name="Normal 84 7" xfId="46473"/>
    <cellStyle name="Normal 84 7 2" xfId="46474"/>
    <cellStyle name="Normal 84 8" xfId="46475"/>
    <cellStyle name="Normal 84 8 2" xfId="46476"/>
    <cellStyle name="Normal 84 9" xfId="46477"/>
    <cellStyle name="Normal 84 9 2" xfId="46478"/>
    <cellStyle name="Normal 84_Dakota Panel" xfId="46479"/>
    <cellStyle name="Normal 85" xfId="4727"/>
    <cellStyle name="Normal 85 10" xfId="46480"/>
    <cellStyle name="Normal 85 10 2" xfId="46481"/>
    <cellStyle name="Normal 85 11" xfId="46482"/>
    <cellStyle name="Normal 85 11 2" xfId="46483"/>
    <cellStyle name="Normal 85 12" xfId="46484"/>
    <cellStyle name="Normal 85 2" xfId="4728"/>
    <cellStyle name="Normal 85 2 2" xfId="4729"/>
    <cellStyle name="Normal 85 2 2 2" xfId="46485"/>
    <cellStyle name="Normal 85 2 3" xfId="46486"/>
    <cellStyle name="Normal 85 2 3 2" xfId="46487"/>
    <cellStyle name="Normal 85 2 4" xfId="46488"/>
    <cellStyle name="Normal 85 2 4 2" xfId="46489"/>
    <cellStyle name="Normal 85 2 5" xfId="46490"/>
    <cellStyle name="Normal 85 2 5 2" xfId="46491"/>
    <cellStyle name="Normal 85 2 6" xfId="46492"/>
    <cellStyle name="Normal 85 2 6 2" xfId="46493"/>
    <cellStyle name="Normal 85 2 7" xfId="46494"/>
    <cellStyle name="Normal 85 2 7 2" xfId="46495"/>
    <cellStyle name="Normal 85 2 8" xfId="46496"/>
    <cellStyle name="Normal 85 2 8 2" xfId="46497"/>
    <cellStyle name="Normal 85 2 9" xfId="46498"/>
    <cellStyle name="Normal 85 2 9 2" xfId="46499"/>
    <cellStyle name="Normal 85 2_Dakota Panel" xfId="46500"/>
    <cellStyle name="Normal 85 3" xfId="4730"/>
    <cellStyle name="Normal 85 3 2" xfId="46501"/>
    <cellStyle name="Normal 85 3 2 2" xfId="46502"/>
    <cellStyle name="Normal 85 3 3" xfId="46503"/>
    <cellStyle name="Normal 85 3 3 2" xfId="46504"/>
    <cellStyle name="Normal 85 3 4" xfId="46505"/>
    <cellStyle name="Normal 85 3 5" xfId="46506"/>
    <cellStyle name="Normal 85 4" xfId="46507"/>
    <cellStyle name="Normal 85 4 2" xfId="46508"/>
    <cellStyle name="Normal 85 5" xfId="46509"/>
    <cellStyle name="Normal 85 5 2" xfId="46510"/>
    <cellStyle name="Normal 85 6" xfId="46511"/>
    <cellStyle name="Normal 85 6 2" xfId="46512"/>
    <cellStyle name="Normal 85 7" xfId="46513"/>
    <cellStyle name="Normal 85 7 2" xfId="46514"/>
    <cellStyle name="Normal 85 8" xfId="46515"/>
    <cellStyle name="Normal 85 8 2" xfId="46516"/>
    <cellStyle name="Normal 85 9" xfId="46517"/>
    <cellStyle name="Normal 85 9 2" xfId="46518"/>
    <cellStyle name="Normal 85_Dakota Panel" xfId="46519"/>
    <cellStyle name="Normal 86" xfId="4731"/>
    <cellStyle name="Normal 86 10" xfId="46520"/>
    <cellStyle name="Normal 86 10 2" xfId="46521"/>
    <cellStyle name="Normal 86 11" xfId="46522"/>
    <cellStyle name="Normal 86 11 2" xfId="46523"/>
    <cellStyle name="Normal 86 12" xfId="46524"/>
    <cellStyle name="Normal 86 2" xfId="4732"/>
    <cellStyle name="Normal 86 2 2" xfId="4733"/>
    <cellStyle name="Normal 86 2 2 2" xfId="46525"/>
    <cellStyle name="Normal 86 2 3" xfId="46526"/>
    <cellStyle name="Normal 86 2 3 2" xfId="46527"/>
    <cellStyle name="Normal 86 2 4" xfId="46528"/>
    <cellStyle name="Normal 86 2 4 2" xfId="46529"/>
    <cellStyle name="Normal 86 2 5" xfId="46530"/>
    <cellStyle name="Normal 86 2 5 2" xfId="46531"/>
    <cellStyle name="Normal 86 2 6" xfId="46532"/>
    <cellStyle name="Normal 86 2 6 2" xfId="46533"/>
    <cellStyle name="Normal 86 2 7" xfId="46534"/>
    <cellStyle name="Normal 86 2 7 2" xfId="46535"/>
    <cellStyle name="Normal 86 2 8" xfId="46536"/>
    <cellStyle name="Normal 86 2 8 2" xfId="46537"/>
    <cellStyle name="Normal 86 2 9" xfId="46538"/>
    <cellStyle name="Normal 86 2 9 2" xfId="46539"/>
    <cellStyle name="Normal 86 2_Dakota Panel" xfId="46540"/>
    <cellStyle name="Normal 86 3" xfId="4734"/>
    <cellStyle name="Normal 86 3 2" xfId="46541"/>
    <cellStyle name="Normal 86 3 2 2" xfId="46542"/>
    <cellStyle name="Normal 86 3 3" xfId="46543"/>
    <cellStyle name="Normal 86 3 3 2" xfId="46544"/>
    <cellStyle name="Normal 86 3 4" xfId="46545"/>
    <cellStyle name="Normal 86 3 5" xfId="46546"/>
    <cellStyle name="Normal 86 4" xfId="46547"/>
    <cellStyle name="Normal 86 4 2" xfId="46548"/>
    <cellStyle name="Normal 86 5" xfId="46549"/>
    <cellStyle name="Normal 86 5 2" xfId="46550"/>
    <cellStyle name="Normal 86 6" xfId="46551"/>
    <cellStyle name="Normal 86 6 2" xfId="46552"/>
    <cellStyle name="Normal 86 7" xfId="46553"/>
    <cellStyle name="Normal 86 7 2" xfId="46554"/>
    <cellStyle name="Normal 86 8" xfId="46555"/>
    <cellStyle name="Normal 86 8 2" xfId="46556"/>
    <cellStyle name="Normal 86 9" xfId="46557"/>
    <cellStyle name="Normal 86 9 2" xfId="46558"/>
    <cellStyle name="Normal 86_Dakota Panel" xfId="46559"/>
    <cellStyle name="Normal 87" xfId="4735"/>
    <cellStyle name="Normal 87 10" xfId="46560"/>
    <cellStyle name="Normal 87 10 2" xfId="46561"/>
    <cellStyle name="Normal 87 11" xfId="46562"/>
    <cellStyle name="Normal 87 11 2" xfId="46563"/>
    <cellStyle name="Normal 87 12" xfId="46564"/>
    <cellStyle name="Normal 87 2" xfId="4736"/>
    <cellStyle name="Normal 87 2 2" xfId="4737"/>
    <cellStyle name="Normal 87 2 2 2" xfId="46565"/>
    <cellStyle name="Normal 87 2 3" xfId="46566"/>
    <cellStyle name="Normal 87 2 3 2" xfId="46567"/>
    <cellStyle name="Normal 87 2 4" xfId="46568"/>
    <cellStyle name="Normal 87 2 4 2" xfId="46569"/>
    <cellStyle name="Normal 87 2 5" xfId="46570"/>
    <cellStyle name="Normal 87 2 5 2" xfId="46571"/>
    <cellStyle name="Normal 87 2 6" xfId="46572"/>
    <cellStyle name="Normal 87 2 6 2" xfId="46573"/>
    <cellStyle name="Normal 87 2 7" xfId="46574"/>
    <cellStyle name="Normal 87 2 7 2" xfId="46575"/>
    <cellStyle name="Normal 87 2 8" xfId="46576"/>
    <cellStyle name="Normal 87 2 8 2" xfId="46577"/>
    <cellStyle name="Normal 87 2 9" xfId="46578"/>
    <cellStyle name="Normal 87 2 9 2" xfId="46579"/>
    <cellStyle name="Normal 87 2_Dakota Panel" xfId="46580"/>
    <cellStyle name="Normal 87 3" xfId="4738"/>
    <cellStyle name="Normal 87 3 2" xfId="46581"/>
    <cellStyle name="Normal 87 3 2 2" xfId="46582"/>
    <cellStyle name="Normal 87 3 3" xfId="46583"/>
    <cellStyle name="Normal 87 3 3 2" xfId="46584"/>
    <cellStyle name="Normal 87 3 4" xfId="46585"/>
    <cellStyle name="Normal 87 3 5" xfId="46586"/>
    <cellStyle name="Normal 87 4" xfId="46587"/>
    <cellStyle name="Normal 87 4 2" xfId="46588"/>
    <cellStyle name="Normal 87 5" xfId="46589"/>
    <cellStyle name="Normal 87 5 2" xfId="46590"/>
    <cellStyle name="Normal 87 6" xfId="46591"/>
    <cellStyle name="Normal 87 6 2" xfId="46592"/>
    <cellStyle name="Normal 87 7" xfId="46593"/>
    <cellStyle name="Normal 87 7 2" xfId="46594"/>
    <cellStyle name="Normal 87 8" xfId="46595"/>
    <cellStyle name="Normal 87 8 2" xfId="46596"/>
    <cellStyle name="Normal 87 9" xfId="46597"/>
    <cellStyle name="Normal 87 9 2" xfId="46598"/>
    <cellStyle name="Normal 87_Dakota Panel" xfId="46599"/>
    <cellStyle name="Normal 88" xfId="4739"/>
    <cellStyle name="Normal 88 10" xfId="46600"/>
    <cellStyle name="Normal 88 10 2" xfId="46601"/>
    <cellStyle name="Normal 88 11" xfId="46602"/>
    <cellStyle name="Normal 88 11 2" xfId="46603"/>
    <cellStyle name="Normal 88 12" xfId="46604"/>
    <cellStyle name="Normal 88 2" xfId="4740"/>
    <cellStyle name="Normal 88 2 2" xfId="4741"/>
    <cellStyle name="Normal 88 2 2 2" xfId="46605"/>
    <cellStyle name="Normal 88 2 3" xfId="46606"/>
    <cellStyle name="Normal 88 2 3 2" xfId="46607"/>
    <cellStyle name="Normal 88 2 4" xfId="46608"/>
    <cellStyle name="Normal 88 2 4 2" xfId="46609"/>
    <cellStyle name="Normal 88 2 5" xfId="46610"/>
    <cellStyle name="Normal 88 2 5 2" xfId="46611"/>
    <cellStyle name="Normal 88 2 6" xfId="46612"/>
    <cellStyle name="Normal 88 2 6 2" xfId="46613"/>
    <cellStyle name="Normal 88 2 7" xfId="46614"/>
    <cellStyle name="Normal 88 2 7 2" xfId="46615"/>
    <cellStyle name="Normal 88 2 8" xfId="46616"/>
    <cellStyle name="Normal 88 2 8 2" xfId="46617"/>
    <cellStyle name="Normal 88 2 9" xfId="46618"/>
    <cellStyle name="Normal 88 2 9 2" xfId="46619"/>
    <cellStyle name="Normal 88 2_Dakota Panel" xfId="46620"/>
    <cellStyle name="Normal 88 3" xfId="4742"/>
    <cellStyle name="Normal 88 3 2" xfId="46621"/>
    <cellStyle name="Normal 88 3 2 2" xfId="46622"/>
    <cellStyle name="Normal 88 3 3" xfId="46623"/>
    <cellStyle name="Normal 88 3 3 2" xfId="46624"/>
    <cellStyle name="Normal 88 3 4" xfId="46625"/>
    <cellStyle name="Normal 88 3 5" xfId="46626"/>
    <cellStyle name="Normal 88 4" xfId="46627"/>
    <cellStyle name="Normal 88 4 2" xfId="46628"/>
    <cellStyle name="Normal 88 5" xfId="46629"/>
    <cellStyle name="Normal 88 5 2" xfId="46630"/>
    <cellStyle name="Normal 88 6" xfId="46631"/>
    <cellStyle name="Normal 88 6 2" xfId="46632"/>
    <cellStyle name="Normal 88 7" xfId="46633"/>
    <cellStyle name="Normal 88 7 2" xfId="46634"/>
    <cellStyle name="Normal 88 8" xfId="46635"/>
    <cellStyle name="Normal 88 8 2" xfId="46636"/>
    <cellStyle name="Normal 88 9" xfId="46637"/>
    <cellStyle name="Normal 88 9 2" xfId="46638"/>
    <cellStyle name="Normal 88_Dakota Panel" xfId="46639"/>
    <cellStyle name="Normal 89" xfId="4743"/>
    <cellStyle name="Normal 89 10" xfId="46640"/>
    <cellStyle name="Normal 89 10 2" xfId="46641"/>
    <cellStyle name="Normal 89 11" xfId="46642"/>
    <cellStyle name="Normal 89 11 2" xfId="46643"/>
    <cellStyle name="Normal 89 12" xfId="46644"/>
    <cellStyle name="Normal 89 2" xfId="4744"/>
    <cellStyle name="Normal 89 2 2" xfId="4745"/>
    <cellStyle name="Normal 89 2 2 2" xfId="46645"/>
    <cellStyle name="Normal 89 2 3" xfId="46646"/>
    <cellStyle name="Normal 89 2 3 2" xfId="46647"/>
    <cellStyle name="Normal 89 2 4" xfId="46648"/>
    <cellStyle name="Normal 89 2 4 2" xfId="46649"/>
    <cellStyle name="Normal 89 2 5" xfId="46650"/>
    <cellStyle name="Normal 89 2 5 2" xfId="46651"/>
    <cellStyle name="Normal 89 2 6" xfId="46652"/>
    <cellStyle name="Normal 89 2 6 2" xfId="46653"/>
    <cellStyle name="Normal 89 2 7" xfId="46654"/>
    <cellStyle name="Normal 89 2 7 2" xfId="46655"/>
    <cellStyle name="Normal 89 2 8" xfId="46656"/>
    <cellStyle name="Normal 89 2 8 2" xfId="46657"/>
    <cellStyle name="Normal 89 2 9" xfId="46658"/>
    <cellStyle name="Normal 89 2 9 2" xfId="46659"/>
    <cellStyle name="Normal 89 2_Dakota Panel" xfId="46660"/>
    <cellStyle name="Normal 89 3" xfId="4746"/>
    <cellStyle name="Normal 89 3 2" xfId="46661"/>
    <cellStyle name="Normal 89 3 2 2" xfId="46662"/>
    <cellStyle name="Normal 89 3 3" xfId="46663"/>
    <cellStyle name="Normal 89 3 3 2" xfId="46664"/>
    <cellStyle name="Normal 89 3 4" xfId="46665"/>
    <cellStyle name="Normal 89 3 5" xfId="46666"/>
    <cellStyle name="Normal 89 4" xfId="46667"/>
    <cellStyle name="Normal 89 4 2" xfId="46668"/>
    <cellStyle name="Normal 89 5" xfId="46669"/>
    <cellStyle name="Normal 89 5 2" xfId="46670"/>
    <cellStyle name="Normal 89 6" xfId="46671"/>
    <cellStyle name="Normal 89 6 2" xfId="46672"/>
    <cellStyle name="Normal 89 7" xfId="46673"/>
    <cellStyle name="Normal 89 7 2" xfId="46674"/>
    <cellStyle name="Normal 89 8" xfId="46675"/>
    <cellStyle name="Normal 89 8 2" xfId="46676"/>
    <cellStyle name="Normal 89 9" xfId="46677"/>
    <cellStyle name="Normal 89 9 2" xfId="46678"/>
    <cellStyle name="Normal 89_Dakota Panel" xfId="46679"/>
    <cellStyle name="Normal 9" xfId="136"/>
    <cellStyle name="Normal 9 10" xfId="46680"/>
    <cellStyle name="Normal 9 10 2" xfId="46681"/>
    <cellStyle name="Normal 9 11" xfId="46682"/>
    <cellStyle name="Normal 9 11 2" xfId="46683"/>
    <cellStyle name="Normal 9 12" xfId="46684"/>
    <cellStyle name="Normal 9 2" xfId="4747"/>
    <cellStyle name="Normal 9 2 2" xfId="4748"/>
    <cellStyle name="Normal 9 2 2 2" xfId="46685"/>
    <cellStyle name="Normal 9 2 2 3" xfId="46686"/>
    <cellStyle name="Normal 9 2 3" xfId="46687"/>
    <cellStyle name="Normal 9 2 3 2" xfId="46688"/>
    <cellStyle name="Normal 9 2 4" xfId="46689"/>
    <cellStyle name="Normal 9 2 4 2" xfId="46690"/>
    <cellStyle name="Normal 9 2 4 3" xfId="46691"/>
    <cellStyle name="Normal 9 2 5" xfId="46692"/>
    <cellStyle name="Normal 9 2 5 2" xfId="46693"/>
    <cellStyle name="Normal 9 2 6" xfId="46694"/>
    <cellStyle name="Normal 9 2 7" xfId="46695"/>
    <cellStyle name="Normal 9 2 8" xfId="46696"/>
    <cellStyle name="Normal 9 2_Dakota Panel" xfId="46697"/>
    <cellStyle name="Normal 9 3" xfId="4749"/>
    <cellStyle name="Normal 9 3 2" xfId="4750"/>
    <cellStyle name="Normal 9 3 2 2" xfId="4751"/>
    <cellStyle name="Normal 9 3 2 3" xfId="46698"/>
    <cellStyle name="Normal 9 3 2 3 2" xfId="46699"/>
    <cellStyle name="Normal 9 3 3" xfId="4752"/>
    <cellStyle name="Normal 9 3 3 2" xfId="4753"/>
    <cellStyle name="Normal 9 3 3 2 2" xfId="46700"/>
    <cellStyle name="Normal 9 3 4" xfId="4754"/>
    <cellStyle name="Normal 9 3 4 2" xfId="46701"/>
    <cellStyle name="Normal 9 3 4 2 2" xfId="46702"/>
    <cellStyle name="Normal 9 3 5" xfId="46703"/>
    <cellStyle name="Normal 9 3 5 2" xfId="46704"/>
    <cellStyle name="Normal 9 3 6" xfId="46705"/>
    <cellStyle name="Normal 9 3 6 2" xfId="46706"/>
    <cellStyle name="Normal 9 3 7" xfId="46707"/>
    <cellStyle name="Normal 9 3 7 2" xfId="46708"/>
    <cellStyle name="Normal 9 3 8" xfId="46709"/>
    <cellStyle name="Normal 9 3 8 2" xfId="46710"/>
    <cellStyle name="Normal 9 3 9" xfId="46711"/>
    <cellStyle name="Normal 9 3 9 2" xfId="46712"/>
    <cellStyle name="Normal 9 3_Dakota Panel" xfId="46713"/>
    <cellStyle name="Normal 9 4" xfId="4755"/>
    <cellStyle name="Normal 9 4 2" xfId="46714"/>
    <cellStyle name="Normal 9 4 3" xfId="46715"/>
    <cellStyle name="Normal 9 4 3 2" xfId="46716"/>
    <cellStyle name="Normal 9 5" xfId="46717"/>
    <cellStyle name="Normal 9 5 2" xfId="46718"/>
    <cellStyle name="Normal 9 5 3" xfId="46719"/>
    <cellStyle name="Normal 9 5 4" xfId="46720"/>
    <cellStyle name="Normal 9 5 4 2" xfId="46721"/>
    <cellStyle name="Normal 9 6" xfId="46722"/>
    <cellStyle name="Normal 9 6 2" xfId="46723"/>
    <cellStyle name="Normal 9 6 3" xfId="46724"/>
    <cellStyle name="Normal 9 6 3 2" xfId="46725"/>
    <cellStyle name="Normal 9 7" xfId="46726"/>
    <cellStyle name="Normal 9 7 2" xfId="46727"/>
    <cellStyle name="Normal 9 7 2 2" xfId="46728"/>
    <cellStyle name="Normal 9 8" xfId="46729"/>
    <cellStyle name="Normal 9 8 2" xfId="46730"/>
    <cellStyle name="Normal 9 8 2 2" xfId="46731"/>
    <cellStyle name="Normal 9 9" xfId="46732"/>
    <cellStyle name="Normal 9 9 2" xfId="46733"/>
    <cellStyle name="Normal 9 9 2 2" xfId="46734"/>
    <cellStyle name="Normal 9 9 3" xfId="46735"/>
    <cellStyle name="Normal 9 9 4" xfId="46736"/>
    <cellStyle name="Normal 9_Dakota Panel" xfId="46737"/>
    <cellStyle name="Normal 90" xfId="4756"/>
    <cellStyle name="Normal 90 10" xfId="46738"/>
    <cellStyle name="Normal 90 10 2" xfId="46739"/>
    <cellStyle name="Normal 90 11" xfId="46740"/>
    <cellStyle name="Normal 90 11 2" xfId="46741"/>
    <cellStyle name="Normal 90 12" xfId="46742"/>
    <cellStyle name="Normal 90 2" xfId="46743"/>
    <cellStyle name="Normal 90 2 2" xfId="46744"/>
    <cellStyle name="Normal 90 2 2 2" xfId="46745"/>
    <cellStyle name="Normal 90 2 3" xfId="46746"/>
    <cellStyle name="Normal 90 2 3 2" xfId="46747"/>
    <cellStyle name="Normal 90 2 4" xfId="46748"/>
    <cellStyle name="Normal 90 2 4 2" xfId="46749"/>
    <cellStyle name="Normal 90 2 5" xfId="46750"/>
    <cellStyle name="Normal 90 2 5 2" xfId="46751"/>
    <cellStyle name="Normal 90 2 6" xfId="46752"/>
    <cellStyle name="Normal 90 2 6 2" xfId="46753"/>
    <cellStyle name="Normal 90 2 7" xfId="46754"/>
    <cellStyle name="Normal 90 2 7 2" xfId="46755"/>
    <cellStyle name="Normal 90 2 8" xfId="46756"/>
    <cellStyle name="Normal 90 2 8 2" xfId="46757"/>
    <cellStyle name="Normal 90 2 9" xfId="46758"/>
    <cellStyle name="Normal 90 2 9 2" xfId="46759"/>
    <cellStyle name="Normal 90 2_Dakota Panel" xfId="46760"/>
    <cellStyle name="Normal 90 3" xfId="46761"/>
    <cellStyle name="Normal 90 3 2" xfId="46762"/>
    <cellStyle name="Normal 90 3 2 2" xfId="46763"/>
    <cellStyle name="Normal 90 3 3" xfId="46764"/>
    <cellStyle name="Normal 90 3 3 2" xfId="46765"/>
    <cellStyle name="Normal 90 3 4" xfId="46766"/>
    <cellStyle name="Normal 90 3 5" xfId="46767"/>
    <cellStyle name="Normal 90 4" xfId="46768"/>
    <cellStyle name="Normal 90 4 2" xfId="46769"/>
    <cellStyle name="Normal 90 5" xfId="46770"/>
    <cellStyle name="Normal 90 5 2" xfId="46771"/>
    <cellStyle name="Normal 90 6" xfId="46772"/>
    <cellStyle name="Normal 90 6 2" xfId="46773"/>
    <cellStyle name="Normal 90 7" xfId="46774"/>
    <cellStyle name="Normal 90 7 2" xfId="46775"/>
    <cellStyle name="Normal 90 8" xfId="46776"/>
    <cellStyle name="Normal 90 8 2" xfId="46777"/>
    <cellStyle name="Normal 90 9" xfId="46778"/>
    <cellStyle name="Normal 90 9 2" xfId="46779"/>
    <cellStyle name="Normal 90_Dakota Panel" xfId="46780"/>
    <cellStyle name="Normal 91" xfId="4757"/>
    <cellStyle name="Normal 91 10" xfId="46781"/>
    <cellStyle name="Normal 91 10 2" xfId="46782"/>
    <cellStyle name="Normal 91 11" xfId="46783"/>
    <cellStyle name="Normal 91 11 2" xfId="46784"/>
    <cellStyle name="Normal 91 12" xfId="46785"/>
    <cellStyle name="Normal 91 2" xfId="46786"/>
    <cellStyle name="Normal 91 2 2" xfId="46787"/>
    <cellStyle name="Normal 91 2 2 2" xfId="46788"/>
    <cellStyle name="Normal 91 2 3" xfId="46789"/>
    <cellStyle name="Normal 91 2 3 2" xfId="46790"/>
    <cellStyle name="Normal 91 2 4" xfId="46791"/>
    <cellStyle name="Normal 91 2 4 2" xfId="46792"/>
    <cellStyle name="Normal 91 2 5" xfId="46793"/>
    <cellStyle name="Normal 91 2 5 2" xfId="46794"/>
    <cellStyle name="Normal 91 2 6" xfId="46795"/>
    <cellStyle name="Normal 91 2 6 2" xfId="46796"/>
    <cellStyle name="Normal 91 2 7" xfId="46797"/>
    <cellStyle name="Normal 91 2 7 2" xfId="46798"/>
    <cellStyle name="Normal 91 2 8" xfId="46799"/>
    <cellStyle name="Normal 91 2 8 2" xfId="46800"/>
    <cellStyle name="Normal 91 2 9" xfId="46801"/>
    <cellStyle name="Normal 91 2 9 2" xfId="46802"/>
    <cellStyle name="Normal 91 2_Dakota Panel" xfId="46803"/>
    <cellStyle name="Normal 91 3" xfId="46804"/>
    <cellStyle name="Normal 91 3 2" xfId="46805"/>
    <cellStyle name="Normal 91 3 2 2" xfId="46806"/>
    <cellStyle name="Normal 91 3 3" xfId="46807"/>
    <cellStyle name="Normal 91 3 3 2" xfId="46808"/>
    <cellStyle name="Normal 91 3 4" xfId="46809"/>
    <cellStyle name="Normal 91 3 5" xfId="46810"/>
    <cellStyle name="Normal 91 4" xfId="46811"/>
    <cellStyle name="Normal 91 4 2" xfId="46812"/>
    <cellStyle name="Normal 91 5" xfId="46813"/>
    <cellStyle name="Normal 91 5 2" xfId="46814"/>
    <cellStyle name="Normal 91 6" xfId="46815"/>
    <cellStyle name="Normal 91 6 2" xfId="46816"/>
    <cellStyle name="Normal 91 7" xfId="46817"/>
    <cellStyle name="Normal 91 7 2" xfId="46818"/>
    <cellStyle name="Normal 91 8" xfId="46819"/>
    <cellStyle name="Normal 91 8 2" xfId="46820"/>
    <cellStyle name="Normal 91 9" xfId="46821"/>
    <cellStyle name="Normal 91 9 2" xfId="46822"/>
    <cellStyle name="Normal 91_Dakota Panel" xfId="46823"/>
    <cellStyle name="Normal 92" xfId="4758"/>
    <cellStyle name="Normal 92 10" xfId="46824"/>
    <cellStyle name="Normal 92 10 2" xfId="46825"/>
    <cellStyle name="Normal 92 11" xfId="46826"/>
    <cellStyle name="Normal 92 11 2" xfId="46827"/>
    <cellStyle name="Normal 92 12" xfId="46828"/>
    <cellStyle name="Normal 92 2" xfId="46829"/>
    <cellStyle name="Normal 92 2 2" xfId="46830"/>
    <cellStyle name="Normal 92 2 2 2" xfId="46831"/>
    <cellStyle name="Normal 92 2 3" xfId="46832"/>
    <cellStyle name="Normal 92 2 3 2" xfId="46833"/>
    <cellStyle name="Normal 92 2 4" xfId="46834"/>
    <cellStyle name="Normal 92 2 4 2" xfId="46835"/>
    <cellStyle name="Normal 92 2 5" xfId="46836"/>
    <cellStyle name="Normal 92 2 5 2" xfId="46837"/>
    <cellStyle name="Normal 92 2 6" xfId="46838"/>
    <cellStyle name="Normal 92 2 6 2" xfId="46839"/>
    <cellStyle name="Normal 92 2 7" xfId="46840"/>
    <cellStyle name="Normal 92 2 7 2" xfId="46841"/>
    <cellStyle name="Normal 92 2 8" xfId="46842"/>
    <cellStyle name="Normal 92 2 8 2" xfId="46843"/>
    <cellStyle name="Normal 92 2 9" xfId="46844"/>
    <cellStyle name="Normal 92 2 9 2" xfId="46845"/>
    <cellStyle name="Normal 92 2_Dakota Panel" xfId="46846"/>
    <cellStyle name="Normal 92 3" xfId="46847"/>
    <cellStyle name="Normal 92 3 2" xfId="46848"/>
    <cellStyle name="Normal 92 3 2 2" xfId="46849"/>
    <cellStyle name="Normal 92 3 3" xfId="46850"/>
    <cellStyle name="Normal 92 3 3 2" xfId="46851"/>
    <cellStyle name="Normal 92 3 4" xfId="46852"/>
    <cellStyle name="Normal 92 3 5" xfId="46853"/>
    <cellStyle name="Normal 92 4" xfId="46854"/>
    <cellStyle name="Normal 92 4 2" xfId="46855"/>
    <cellStyle name="Normal 92 5" xfId="46856"/>
    <cellStyle name="Normal 92 5 2" xfId="46857"/>
    <cellStyle name="Normal 92 6" xfId="46858"/>
    <cellStyle name="Normal 92 6 2" xfId="46859"/>
    <cellStyle name="Normal 92 7" xfId="46860"/>
    <cellStyle name="Normal 92 7 2" xfId="46861"/>
    <cellStyle name="Normal 92 8" xfId="46862"/>
    <cellStyle name="Normal 92 8 2" xfId="46863"/>
    <cellStyle name="Normal 92 9" xfId="46864"/>
    <cellStyle name="Normal 92 9 2" xfId="46865"/>
    <cellStyle name="Normal 92_Dakota Panel" xfId="46866"/>
    <cellStyle name="Normal 93" xfId="4759"/>
    <cellStyle name="Normal 93 10" xfId="46867"/>
    <cellStyle name="Normal 93 10 2" xfId="46868"/>
    <cellStyle name="Normal 93 11" xfId="46869"/>
    <cellStyle name="Normal 93 11 2" xfId="46870"/>
    <cellStyle name="Normal 93 12" xfId="46871"/>
    <cellStyle name="Normal 93 2" xfId="46872"/>
    <cellStyle name="Normal 93 2 2" xfId="46873"/>
    <cellStyle name="Normal 93 2 2 2" xfId="46874"/>
    <cellStyle name="Normal 93 2 3" xfId="46875"/>
    <cellStyle name="Normal 93 2 3 2" xfId="46876"/>
    <cellStyle name="Normal 93 2 4" xfId="46877"/>
    <cellStyle name="Normal 93 2 4 2" xfId="46878"/>
    <cellStyle name="Normal 93 2 5" xfId="46879"/>
    <cellStyle name="Normal 93 2 5 2" xfId="46880"/>
    <cellStyle name="Normal 93 2 6" xfId="46881"/>
    <cellStyle name="Normal 93 2 6 2" xfId="46882"/>
    <cellStyle name="Normal 93 2 7" xfId="46883"/>
    <cellStyle name="Normal 93 2 7 2" xfId="46884"/>
    <cellStyle name="Normal 93 2 8" xfId="46885"/>
    <cellStyle name="Normal 93 2 8 2" xfId="46886"/>
    <cellStyle name="Normal 93 2 9" xfId="46887"/>
    <cellStyle name="Normal 93 2 9 2" xfId="46888"/>
    <cellStyle name="Normal 93 2_Dakota Panel" xfId="46889"/>
    <cellStyle name="Normal 93 3" xfId="46890"/>
    <cellStyle name="Normal 93 3 2" xfId="46891"/>
    <cellStyle name="Normal 93 3 2 2" xfId="46892"/>
    <cellStyle name="Normal 93 3 3" xfId="46893"/>
    <cellStyle name="Normal 93 3 3 2" xfId="46894"/>
    <cellStyle name="Normal 93 3 4" xfId="46895"/>
    <cellStyle name="Normal 93 3 5" xfId="46896"/>
    <cellStyle name="Normal 93 4" xfId="46897"/>
    <cellStyle name="Normal 93 4 2" xfId="46898"/>
    <cellStyle name="Normal 93 5" xfId="46899"/>
    <cellStyle name="Normal 93 5 2" xfId="46900"/>
    <cellStyle name="Normal 93 6" xfId="46901"/>
    <cellStyle name="Normal 93 6 2" xfId="46902"/>
    <cellStyle name="Normal 93 7" xfId="46903"/>
    <cellStyle name="Normal 93 7 2" xfId="46904"/>
    <cellStyle name="Normal 93 8" xfId="46905"/>
    <cellStyle name="Normal 93 8 2" xfId="46906"/>
    <cellStyle name="Normal 93 9" xfId="46907"/>
    <cellStyle name="Normal 93 9 2" xfId="46908"/>
    <cellStyle name="Normal 93_Dakota Panel" xfId="46909"/>
    <cellStyle name="Normal 94" xfId="4760"/>
    <cellStyle name="Normal 94 10" xfId="46910"/>
    <cellStyle name="Normal 94 10 2" xfId="46911"/>
    <cellStyle name="Normal 94 11" xfId="46912"/>
    <cellStyle name="Normal 94 11 2" xfId="46913"/>
    <cellStyle name="Normal 94 12" xfId="46914"/>
    <cellStyle name="Normal 94 2" xfId="46915"/>
    <cellStyle name="Normal 94 2 2" xfId="46916"/>
    <cellStyle name="Normal 94 2 2 2" xfId="46917"/>
    <cellStyle name="Normal 94 2 3" xfId="46918"/>
    <cellStyle name="Normal 94 2 3 2" xfId="46919"/>
    <cellStyle name="Normal 94 2 4" xfId="46920"/>
    <cellStyle name="Normal 94 2 4 2" xfId="46921"/>
    <cellStyle name="Normal 94 2 5" xfId="46922"/>
    <cellStyle name="Normal 94 2 5 2" xfId="46923"/>
    <cellStyle name="Normal 94 2 6" xfId="46924"/>
    <cellStyle name="Normal 94 2 6 2" xfId="46925"/>
    <cellStyle name="Normal 94 2 7" xfId="46926"/>
    <cellStyle name="Normal 94 2 7 2" xfId="46927"/>
    <cellStyle name="Normal 94 2 8" xfId="46928"/>
    <cellStyle name="Normal 94 2 8 2" xfId="46929"/>
    <cellStyle name="Normal 94 2 9" xfId="46930"/>
    <cellStyle name="Normal 94 2 9 2" xfId="46931"/>
    <cellStyle name="Normal 94 2_Dakota Panel" xfId="46932"/>
    <cellStyle name="Normal 94 3" xfId="46933"/>
    <cellStyle name="Normal 94 3 2" xfId="46934"/>
    <cellStyle name="Normal 94 3 2 2" xfId="46935"/>
    <cellStyle name="Normal 94 3 3" xfId="46936"/>
    <cellStyle name="Normal 94 3 3 2" xfId="46937"/>
    <cellStyle name="Normal 94 3 4" xfId="46938"/>
    <cellStyle name="Normal 94 3 5" xfId="46939"/>
    <cellStyle name="Normal 94 4" xfId="46940"/>
    <cellStyle name="Normal 94 4 2" xfId="46941"/>
    <cellStyle name="Normal 94 5" xfId="46942"/>
    <cellStyle name="Normal 94 5 2" xfId="46943"/>
    <cellStyle name="Normal 94 6" xfId="46944"/>
    <cellStyle name="Normal 94 6 2" xfId="46945"/>
    <cellStyle name="Normal 94 7" xfId="46946"/>
    <cellStyle name="Normal 94 7 2" xfId="46947"/>
    <cellStyle name="Normal 94 8" xfId="46948"/>
    <cellStyle name="Normal 94 8 2" xfId="46949"/>
    <cellStyle name="Normal 94 9" xfId="46950"/>
    <cellStyle name="Normal 94 9 2" xfId="46951"/>
    <cellStyle name="Normal 94_Dakota Panel" xfId="46952"/>
    <cellStyle name="Normal 95" xfId="4761"/>
    <cellStyle name="Normal 95 10" xfId="46953"/>
    <cellStyle name="Normal 95 10 2" xfId="46954"/>
    <cellStyle name="Normal 95 11" xfId="46955"/>
    <cellStyle name="Normal 95 11 2" xfId="46956"/>
    <cellStyle name="Normal 95 12" xfId="46957"/>
    <cellStyle name="Normal 95 2" xfId="46958"/>
    <cellStyle name="Normal 95 2 2" xfId="46959"/>
    <cellStyle name="Normal 95 2 2 2" xfId="46960"/>
    <cellStyle name="Normal 95 2 3" xfId="46961"/>
    <cellStyle name="Normal 95 2 3 2" xfId="46962"/>
    <cellStyle name="Normal 95 2 4" xfId="46963"/>
    <cellStyle name="Normal 95 2 4 2" xfId="46964"/>
    <cellStyle name="Normal 95 2 5" xfId="46965"/>
    <cellStyle name="Normal 95 2 5 2" xfId="46966"/>
    <cellStyle name="Normal 95 2 6" xfId="46967"/>
    <cellStyle name="Normal 95 2 6 2" xfId="46968"/>
    <cellStyle name="Normal 95 2 7" xfId="46969"/>
    <cellStyle name="Normal 95 2 7 2" xfId="46970"/>
    <cellStyle name="Normal 95 2 8" xfId="46971"/>
    <cellStyle name="Normal 95 2 8 2" xfId="46972"/>
    <cellStyle name="Normal 95 2 9" xfId="46973"/>
    <cellStyle name="Normal 95 2 9 2" xfId="46974"/>
    <cellStyle name="Normal 95 2_Dakota Panel" xfId="46975"/>
    <cellStyle name="Normal 95 3" xfId="46976"/>
    <cellStyle name="Normal 95 3 2" xfId="46977"/>
    <cellStyle name="Normal 95 3 2 2" xfId="46978"/>
    <cellStyle name="Normal 95 3 3" xfId="46979"/>
    <cellStyle name="Normal 95 3 3 2" xfId="46980"/>
    <cellStyle name="Normal 95 3 4" xfId="46981"/>
    <cellStyle name="Normal 95 3 5" xfId="46982"/>
    <cellStyle name="Normal 95 4" xfId="46983"/>
    <cellStyle name="Normal 95 4 2" xfId="46984"/>
    <cellStyle name="Normal 95 5" xfId="46985"/>
    <cellStyle name="Normal 95 5 2" xfId="46986"/>
    <cellStyle name="Normal 95 6" xfId="46987"/>
    <cellStyle name="Normal 95 6 2" xfId="46988"/>
    <cellStyle name="Normal 95 7" xfId="46989"/>
    <cellStyle name="Normal 95 7 2" xfId="46990"/>
    <cellStyle name="Normal 95 8" xfId="46991"/>
    <cellStyle name="Normal 95 8 2" xfId="46992"/>
    <cellStyle name="Normal 95 9" xfId="46993"/>
    <cellStyle name="Normal 95 9 2" xfId="46994"/>
    <cellStyle name="Normal 95_Dakota Panel" xfId="46995"/>
    <cellStyle name="Normal 96" xfId="4762"/>
    <cellStyle name="Normal 96 10" xfId="46996"/>
    <cellStyle name="Normal 96 10 2" xfId="46997"/>
    <cellStyle name="Normal 96 11" xfId="46998"/>
    <cellStyle name="Normal 96 11 2" xfId="46999"/>
    <cellStyle name="Normal 96 12" xfId="47000"/>
    <cellStyle name="Normal 96 2" xfId="47001"/>
    <cellStyle name="Normal 96 2 2" xfId="47002"/>
    <cellStyle name="Normal 96 2 2 2" xfId="47003"/>
    <cellStyle name="Normal 96 2 3" xfId="47004"/>
    <cellStyle name="Normal 96 2 3 2" xfId="47005"/>
    <cellStyle name="Normal 96 2 4" xfId="47006"/>
    <cellStyle name="Normal 96 2 4 2" xfId="47007"/>
    <cellStyle name="Normal 96 2 5" xfId="47008"/>
    <cellStyle name="Normal 96 2 5 2" xfId="47009"/>
    <cellStyle name="Normal 96 2 6" xfId="47010"/>
    <cellStyle name="Normal 96 2 6 2" xfId="47011"/>
    <cellStyle name="Normal 96 2 7" xfId="47012"/>
    <cellStyle name="Normal 96 2 7 2" xfId="47013"/>
    <cellStyle name="Normal 96 2 8" xfId="47014"/>
    <cellStyle name="Normal 96 2 8 2" xfId="47015"/>
    <cellStyle name="Normal 96 2 9" xfId="47016"/>
    <cellStyle name="Normal 96 2 9 2" xfId="47017"/>
    <cellStyle name="Normal 96 2_Dakota Panel" xfId="47018"/>
    <cellStyle name="Normal 96 3" xfId="47019"/>
    <cellStyle name="Normal 96 3 2" xfId="47020"/>
    <cellStyle name="Normal 96 3 2 2" xfId="47021"/>
    <cellStyle name="Normal 96 3 3" xfId="47022"/>
    <cellStyle name="Normal 96 3 3 2" xfId="47023"/>
    <cellStyle name="Normal 96 3 4" xfId="47024"/>
    <cellStyle name="Normal 96 3 5" xfId="47025"/>
    <cellStyle name="Normal 96 4" xfId="47026"/>
    <cellStyle name="Normal 96 4 2" xfId="47027"/>
    <cellStyle name="Normal 96 5" xfId="47028"/>
    <cellStyle name="Normal 96 5 2" xfId="47029"/>
    <cellStyle name="Normal 96 6" xfId="47030"/>
    <cellStyle name="Normal 96 6 2" xfId="47031"/>
    <cellStyle name="Normal 96 7" xfId="47032"/>
    <cellStyle name="Normal 96 7 2" xfId="47033"/>
    <cellStyle name="Normal 96 8" xfId="47034"/>
    <cellStyle name="Normal 96 8 2" xfId="47035"/>
    <cellStyle name="Normal 96 9" xfId="47036"/>
    <cellStyle name="Normal 96 9 2" xfId="47037"/>
    <cellStyle name="Normal 96_Dakota Panel" xfId="47038"/>
    <cellStyle name="Normal 97" xfId="4763"/>
    <cellStyle name="Normal 97 10" xfId="47039"/>
    <cellStyle name="Normal 97 10 2" xfId="47040"/>
    <cellStyle name="Normal 97 11" xfId="47041"/>
    <cellStyle name="Normal 97 11 2" xfId="47042"/>
    <cellStyle name="Normal 97 12" xfId="47043"/>
    <cellStyle name="Normal 97 2" xfId="47044"/>
    <cellStyle name="Normal 97 2 2" xfId="47045"/>
    <cellStyle name="Normal 97 2 2 2" xfId="47046"/>
    <cellStyle name="Normal 97 2 3" xfId="47047"/>
    <cellStyle name="Normal 97 2 3 2" xfId="47048"/>
    <cellStyle name="Normal 97 2 4" xfId="47049"/>
    <cellStyle name="Normal 97 2 4 2" xfId="47050"/>
    <cellStyle name="Normal 97 2 5" xfId="47051"/>
    <cellStyle name="Normal 97 2 5 2" xfId="47052"/>
    <cellStyle name="Normal 97 2 6" xfId="47053"/>
    <cellStyle name="Normal 97 2 6 2" xfId="47054"/>
    <cellStyle name="Normal 97 2 7" xfId="47055"/>
    <cellStyle name="Normal 97 2 7 2" xfId="47056"/>
    <cellStyle name="Normal 97 2 8" xfId="47057"/>
    <cellStyle name="Normal 97 2 8 2" xfId="47058"/>
    <cellStyle name="Normal 97 2 9" xfId="47059"/>
    <cellStyle name="Normal 97 2 9 2" xfId="47060"/>
    <cellStyle name="Normal 97 2_Dakota Panel" xfId="47061"/>
    <cellStyle name="Normal 97 3" xfId="47062"/>
    <cellStyle name="Normal 97 3 2" xfId="47063"/>
    <cellStyle name="Normal 97 3 2 2" xfId="47064"/>
    <cellStyle name="Normal 97 3 3" xfId="47065"/>
    <cellStyle name="Normal 97 3 3 2" xfId="47066"/>
    <cellStyle name="Normal 97 3 4" xfId="47067"/>
    <cellStyle name="Normal 97 3 5" xfId="47068"/>
    <cellStyle name="Normal 97 4" xfId="47069"/>
    <cellStyle name="Normal 97 4 2" xfId="47070"/>
    <cellStyle name="Normal 97 5" xfId="47071"/>
    <cellStyle name="Normal 97 5 2" xfId="47072"/>
    <cellStyle name="Normal 97 6" xfId="47073"/>
    <cellStyle name="Normal 97 6 2" xfId="47074"/>
    <cellStyle name="Normal 97 7" xfId="47075"/>
    <cellStyle name="Normal 97 7 2" xfId="47076"/>
    <cellStyle name="Normal 97 8" xfId="47077"/>
    <cellStyle name="Normal 97 8 2" xfId="47078"/>
    <cellStyle name="Normal 97 9" xfId="47079"/>
    <cellStyle name="Normal 97 9 2" xfId="47080"/>
    <cellStyle name="Normal 97_Dakota Panel" xfId="47081"/>
    <cellStyle name="Normal 98" xfId="4764"/>
    <cellStyle name="Normal 98 10" xfId="47082"/>
    <cellStyle name="Normal 98 10 2" xfId="47083"/>
    <cellStyle name="Normal 98 11" xfId="47084"/>
    <cellStyle name="Normal 98 11 2" xfId="47085"/>
    <cellStyle name="Normal 98 12" xfId="47086"/>
    <cellStyle name="Normal 98 2" xfId="47087"/>
    <cellStyle name="Normal 98 2 2" xfId="47088"/>
    <cellStyle name="Normal 98 2 2 2" xfId="47089"/>
    <cellStyle name="Normal 98 2 3" xfId="47090"/>
    <cellStyle name="Normal 98 2 3 2" xfId="47091"/>
    <cellStyle name="Normal 98 2 4" xfId="47092"/>
    <cellStyle name="Normal 98 2 4 2" xfId="47093"/>
    <cellStyle name="Normal 98 2 5" xfId="47094"/>
    <cellStyle name="Normal 98 2 5 2" xfId="47095"/>
    <cellStyle name="Normal 98 2 6" xfId="47096"/>
    <cellStyle name="Normal 98 2 6 2" xfId="47097"/>
    <cellStyle name="Normal 98 2 7" xfId="47098"/>
    <cellStyle name="Normal 98 2 7 2" xfId="47099"/>
    <cellStyle name="Normal 98 2 8" xfId="47100"/>
    <cellStyle name="Normal 98 2 8 2" xfId="47101"/>
    <cellStyle name="Normal 98 2 9" xfId="47102"/>
    <cellStyle name="Normal 98 2 9 2" xfId="47103"/>
    <cellStyle name="Normal 98 2_Dakota Panel" xfId="47104"/>
    <cellStyle name="Normal 98 3" xfId="47105"/>
    <cellStyle name="Normal 98 3 2" xfId="47106"/>
    <cellStyle name="Normal 98 3 2 2" xfId="47107"/>
    <cellStyle name="Normal 98 3 3" xfId="47108"/>
    <cellStyle name="Normal 98 3 3 2" xfId="47109"/>
    <cellStyle name="Normal 98 3 4" xfId="47110"/>
    <cellStyle name="Normal 98 3 5" xfId="47111"/>
    <cellStyle name="Normal 98 4" xfId="47112"/>
    <cellStyle name="Normal 98 4 2" xfId="47113"/>
    <cellStyle name="Normal 98 5" xfId="47114"/>
    <cellStyle name="Normal 98 5 2" xfId="47115"/>
    <cellStyle name="Normal 98 6" xfId="47116"/>
    <cellStyle name="Normal 98 6 2" xfId="47117"/>
    <cellStyle name="Normal 98 7" xfId="47118"/>
    <cellStyle name="Normal 98 7 2" xfId="47119"/>
    <cellStyle name="Normal 98 8" xfId="47120"/>
    <cellStyle name="Normal 98 8 2" xfId="47121"/>
    <cellStyle name="Normal 98 9" xfId="47122"/>
    <cellStyle name="Normal 98 9 2" xfId="47123"/>
    <cellStyle name="Normal 98_Dakota Panel" xfId="47124"/>
    <cellStyle name="Normal 99" xfId="4765"/>
    <cellStyle name="Normal 99 10" xfId="47125"/>
    <cellStyle name="Normal 99 10 2" xfId="47126"/>
    <cellStyle name="Normal 99 11" xfId="47127"/>
    <cellStyle name="Normal 99 11 2" xfId="47128"/>
    <cellStyle name="Normal 99 12" xfId="47129"/>
    <cellStyle name="Normal 99 2" xfId="47130"/>
    <cellStyle name="Normal 99 2 2" xfId="47131"/>
    <cellStyle name="Normal 99 2 2 2" xfId="47132"/>
    <cellStyle name="Normal 99 2 3" xfId="47133"/>
    <cellStyle name="Normal 99 2 3 2" xfId="47134"/>
    <cellStyle name="Normal 99 2 4" xfId="47135"/>
    <cellStyle name="Normal 99 2 4 2" xfId="47136"/>
    <cellStyle name="Normal 99 2 5" xfId="47137"/>
    <cellStyle name="Normal 99 2 5 2" xfId="47138"/>
    <cellStyle name="Normal 99 2 6" xfId="47139"/>
    <cellStyle name="Normal 99 2 6 2" xfId="47140"/>
    <cellStyle name="Normal 99 2 7" xfId="47141"/>
    <cellStyle name="Normal 99 2 7 2" xfId="47142"/>
    <cellStyle name="Normal 99 2 8" xfId="47143"/>
    <cellStyle name="Normal 99 2 8 2" xfId="47144"/>
    <cellStyle name="Normal 99 2 9" xfId="47145"/>
    <cellStyle name="Normal 99 2 9 2" xfId="47146"/>
    <cellStyle name="Normal 99 2_Dakota Panel" xfId="47147"/>
    <cellStyle name="Normal 99 3" xfId="47148"/>
    <cellStyle name="Normal 99 3 2" xfId="47149"/>
    <cellStyle name="Normal 99 3 2 2" xfId="47150"/>
    <cellStyle name="Normal 99 3 3" xfId="47151"/>
    <cellStyle name="Normal 99 3 3 2" xfId="47152"/>
    <cellStyle name="Normal 99 3 4" xfId="47153"/>
    <cellStyle name="Normal 99 3 5" xfId="47154"/>
    <cellStyle name="Normal 99 4" xfId="47155"/>
    <cellStyle name="Normal 99 4 2" xfId="47156"/>
    <cellStyle name="Normal 99 5" xfId="47157"/>
    <cellStyle name="Normal 99 5 2" xfId="47158"/>
    <cellStyle name="Normal 99 6" xfId="47159"/>
    <cellStyle name="Normal 99 6 2" xfId="47160"/>
    <cellStyle name="Normal 99 7" xfId="47161"/>
    <cellStyle name="Normal 99 7 2" xfId="47162"/>
    <cellStyle name="Normal 99 8" xfId="47163"/>
    <cellStyle name="Normal 99 8 2" xfId="47164"/>
    <cellStyle name="Normal 99 9" xfId="47165"/>
    <cellStyle name="Normal 99 9 2" xfId="47166"/>
    <cellStyle name="Normal 99_Dakota Panel" xfId="47167"/>
    <cellStyle name="Normal_Estimate" xfId="50293"/>
    <cellStyle name="Normal_Res Calcs" xfId="129"/>
    <cellStyle name="Normal_Residential" xfId="131"/>
    <cellStyle name="Normal_Residential Measures" xfId="50294"/>
    <cellStyle name="Normal_Section 3 Pg1 2" xfId="5709"/>
    <cellStyle name="Not Implemented" xfId="4766"/>
    <cellStyle name="Note 10" xfId="47168"/>
    <cellStyle name="Note 10 2" xfId="47169"/>
    <cellStyle name="Note 10 2 2" xfId="47170"/>
    <cellStyle name="Note 10 2 3" xfId="47171"/>
    <cellStyle name="Note 10 3" xfId="47172"/>
    <cellStyle name="Note 10 3 2" xfId="47173"/>
    <cellStyle name="Note 10 4" xfId="47174"/>
    <cellStyle name="Note 11" xfId="47175"/>
    <cellStyle name="Note 11 2" xfId="47176"/>
    <cellStyle name="Note 11 2 2" xfId="47177"/>
    <cellStyle name="Note 11 2 3" xfId="47178"/>
    <cellStyle name="Note 11 3" xfId="47179"/>
    <cellStyle name="Note 11 3 2" xfId="47180"/>
    <cellStyle name="Note 11 4" xfId="47181"/>
    <cellStyle name="Note 12" xfId="47182"/>
    <cellStyle name="Note 12 2" xfId="47183"/>
    <cellStyle name="Note 12 2 2" xfId="47184"/>
    <cellStyle name="Note 12 3" xfId="47185"/>
    <cellStyle name="Note 13" xfId="47186"/>
    <cellStyle name="Note 13 2" xfId="47187"/>
    <cellStyle name="Note 13 2 2" xfId="47188"/>
    <cellStyle name="Note 13 3" xfId="47189"/>
    <cellStyle name="Note 14" xfId="47190"/>
    <cellStyle name="Note 14 2" xfId="47191"/>
    <cellStyle name="Note 14 2 2" xfId="47192"/>
    <cellStyle name="Note 14 3" xfId="47193"/>
    <cellStyle name="Note 15" xfId="47194"/>
    <cellStyle name="Note 15 2" xfId="47195"/>
    <cellStyle name="Note 15 2 2" xfId="47196"/>
    <cellStyle name="Note 15 2 3" xfId="47197"/>
    <cellStyle name="Note 15 3" xfId="47198"/>
    <cellStyle name="Note 15 3 2" xfId="47199"/>
    <cellStyle name="Note 15 4" xfId="47200"/>
    <cellStyle name="Note 16" xfId="47201"/>
    <cellStyle name="Note 16 2" xfId="47202"/>
    <cellStyle name="Note 16 2 2" xfId="47203"/>
    <cellStyle name="Note 16 2 3" xfId="47204"/>
    <cellStyle name="Note 16 3" xfId="47205"/>
    <cellStyle name="Note 16 3 2" xfId="47206"/>
    <cellStyle name="Note 16 4" xfId="47207"/>
    <cellStyle name="Note 17" xfId="47208"/>
    <cellStyle name="Note 17 2" xfId="47209"/>
    <cellStyle name="Note 17 3" xfId="47210"/>
    <cellStyle name="Note 18" xfId="47211"/>
    <cellStyle name="Note 18 2" xfId="47212"/>
    <cellStyle name="Note 19" xfId="47213"/>
    <cellStyle name="Note 19 2" xfId="47214"/>
    <cellStyle name="Note 19 2 2" xfId="47215"/>
    <cellStyle name="Note 19 2 2 2" xfId="47216"/>
    <cellStyle name="Note 19 2 2 3" xfId="47217"/>
    <cellStyle name="Note 19 2 3" xfId="47218"/>
    <cellStyle name="Note 19 2 3 2" xfId="47219"/>
    <cellStyle name="Note 19 2 4" xfId="47220"/>
    <cellStyle name="Note 19 2 5" xfId="47221"/>
    <cellStyle name="Note 19 3" xfId="47222"/>
    <cellStyle name="Note 19 3 2" xfId="47223"/>
    <cellStyle name="Note 19 3 2 2" xfId="47224"/>
    <cellStyle name="Note 19 3 3" xfId="47225"/>
    <cellStyle name="Note 19 3 4" xfId="47226"/>
    <cellStyle name="Note 19 4" xfId="47227"/>
    <cellStyle name="Note 19 4 2" xfId="47228"/>
    <cellStyle name="Note 19 4 2 2" xfId="47229"/>
    <cellStyle name="Note 19 4 3" xfId="47230"/>
    <cellStyle name="Note 19 4 4" xfId="47231"/>
    <cellStyle name="Note 19 5" xfId="47232"/>
    <cellStyle name="Note 19 5 2" xfId="47233"/>
    <cellStyle name="Note 19 6" xfId="47234"/>
    <cellStyle name="Note 19 7" xfId="47235"/>
    <cellStyle name="Note 19 8" xfId="47236"/>
    <cellStyle name="Note 2" xfId="88"/>
    <cellStyle name="Note 2 10" xfId="47237"/>
    <cellStyle name="Note 2 10 2" xfId="47238"/>
    <cellStyle name="Note 2 10 3" xfId="47239"/>
    <cellStyle name="Note 2 11" xfId="47240"/>
    <cellStyle name="Note 2 11 2" xfId="47241"/>
    <cellStyle name="Note 2 12" xfId="47242"/>
    <cellStyle name="Note 2 12 2" xfId="47243"/>
    <cellStyle name="Note 2 12 2 2" xfId="47244"/>
    <cellStyle name="Note 2 12 2 2 2" xfId="47245"/>
    <cellStyle name="Note 2 12 2 2 3" xfId="47246"/>
    <cellStyle name="Note 2 12 2 3" xfId="47247"/>
    <cellStyle name="Note 2 12 2 3 2" xfId="47248"/>
    <cellStyle name="Note 2 12 2 4" xfId="47249"/>
    <cellStyle name="Note 2 12 2 5" xfId="47250"/>
    <cellStyle name="Note 2 12 3" xfId="47251"/>
    <cellStyle name="Note 2 12 3 2" xfId="47252"/>
    <cellStyle name="Note 2 12 3 2 2" xfId="47253"/>
    <cellStyle name="Note 2 12 3 3" xfId="47254"/>
    <cellStyle name="Note 2 12 3 4" xfId="47255"/>
    <cellStyle name="Note 2 12 4" xfId="47256"/>
    <cellStyle name="Note 2 12 4 2" xfId="47257"/>
    <cellStyle name="Note 2 12 4 2 2" xfId="47258"/>
    <cellStyle name="Note 2 12 4 3" xfId="47259"/>
    <cellStyle name="Note 2 12 4 4" xfId="47260"/>
    <cellStyle name="Note 2 12 5" xfId="47261"/>
    <cellStyle name="Note 2 12 5 2" xfId="47262"/>
    <cellStyle name="Note 2 12 6" xfId="47263"/>
    <cellStyle name="Note 2 12 7" xfId="47264"/>
    <cellStyle name="Note 2 12 8" xfId="47265"/>
    <cellStyle name="Note 2 13" xfId="47266"/>
    <cellStyle name="Note 2 13 2" xfId="47267"/>
    <cellStyle name="Note 2 13 2 2" xfId="47268"/>
    <cellStyle name="Note 2 13 2 2 2" xfId="47269"/>
    <cellStyle name="Note 2 13 2 2 3" xfId="47270"/>
    <cellStyle name="Note 2 13 2 3" xfId="47271"/>
    <cellStyle name="Note 2 13 2 3 2" xfId="47272"/>
    <cellStyle name="Note 2 13 2 4" xfId="47273"/>
    <cellStyle name="Note 2 13 2 5" xfId="47274"/>
    <cellStyle name="Note 2 13 3" xfId="47275"/>
    <cellStyle name="Note 2 13 3 2" xfId="47276"/>
    <cellStyle name="Note 2 13 3 2 2" xfId="47277"/>
    <cellStyle name="Note 2 13 3 3" xfId="47278"/>
    <cellStyle name="Note 2 13 3 4" xfId="47279"/>
    <cellStyle name="Note 2 13 4" xfId="47280"/>
    <cellStyle name="Note 2 13 4 2" xfId="47281"/>
    <cellStyle name="Note 2 13 4 2 2" xfId="47282"/>
    <cellStyle name="Note 2 13 4 3" xfId="47283"/>
    <cellStyle name="Note 2 13 4 4" xfId="47284"/>
    <cellStyle name="Note 2 13 5" xfId="47285"/>
    <cellStyle name="Note 2 13 5 2" xfId="47286"/>
    <cellStyle name="Note 2 13 6" xfId="47287"/>
    <cellStyle name="Note 2 13 7" xfId="47288"/>
    <cellStyle name="Note 2 13 8" xfId="47289"/>
    <cellStyle name="Note 2 14" xfId="47290"/>
    <cellStyle name="Note 2 14 2" xfId="47291"/>
    <cellStyle name="Note 2 14 2 2" xfId="47292"/>
    <cellStyle name="Note 2 14 2 2 2" xfId="47293"/>
    <cellStyle name="Note 2 14 2 2 3" xfId="47294"/>
    <cellStyle name="Note 2 14 2 3" xfId="47295"/>
    <cellStyle name="Note 2 14 2 3 2" xfId="47296"/>
    <cellStyle name="Note 2 14 2 4" xfId="47297"/>
    <cellStyle name="Note 2 14 2 5" xfId="47298"/>
    <cellStyle name="Note 2 14 3" xfId="47299"/>
    <cellStyle name="Note 2 14 3 2" xfId="47300"/>
    <cellStyle name="Note 2 14 3 2 2" xfId="47301"/>
    <cellStyle name="Note 2 14 3 3" xfId="47302"/>
    <cellStyle name="Note 2 14 3 4" xfId="47303"/>
    <cellStyle name="Note 2 14 4" xfId="47304"/>
    <cellStyle name="Note 2 14 4 2" xfId="47305"/>
    <cellStyle name="Note 2 14 4 2 2" xfId="47306"/>
    <cellStyle name="Note 2 14 4 3" xfId="47307"/>
    <cellStyle name="Note 2 14 4 4" xfId="47308"/>
    <cellStyle name="Note 2 14 5" xfId="47309"/>
    <cellStyle name="Note 2 14 5 2" xfId="47310"/>
    <cellStyle name="Note 2 14 6" xfId="47311"/>
    <cellStyle name="Note 2 14 7" xfId="47312"/>
    <cellStyle name="Note 2 14 8" xfId="47313"/>
    <cellStyle name="Note 2 15" xfId="47314"/>
    <cellStyle name="Note 2 16" xfId="47315"/>
    <cellStyle name="Note 2 2" xfId="4767"/>
    <cellStyle name="Note 2 2 10" xfId="47316"/>
    <cellStyle name="Note 2 2 10 2" xfId="47317"/>
    <cellStyle name="Note 2 2 10 3" xfId="47318"/>
    <cellStyle name="Note 2 2 11" xfId="47319"/>
    <cellStyle name="Note 2 2 11 2" xfId="47320"/>
    <cellStyle name="Note 2 2 11 3" xfId="47321"/>
    <cellStyle name="Note 2 2 12" xfId="47322"/>
    <cellStyle name="Note 2 2 12 2" xfId="47323"/>
    <cellStyle name="Note 2 2 12 3" xfId="47324"/>
    <cellStyle name="Note 2 2 13" xfId="47325"/>
    <cellStyle name="Note 2 2 13 2" xfId="47326"/>
    <cellStyle name="Note 2 2 14" xfId="47327"/>
    <cellStyle name="Note 2 2 14 2" xfId="47328"/>
    <cellStyle name="Note 2 2 14 3" xfId="47329"/>
    <cellStyle name="Note 2 2 15" xfId="47330"/>
    <cellStyle name="Note 2 2 15 2" xfId="47331"/>
    <cellStyle name="Note 2 2 16" xfId="47332"/>
    <cellStyle name="Note 2 2 16 2" xfId="47333"/>
    <cellStyle name="Note 2 2 16 2 2" xfId="47334"/>
    <cellStyle name="Note 2 2 16 2 2 2" xfId="47335"/>
    <cellStyle name="Note 2 2 16 2 2 3" xfId="47336"/>
    <cellStyle name="Note 2 2 16 2 3" xfId="47337"/>
    <cellStyle name="Note 2 2 16 2 3 2" xfId="47338"/>
    <cellStyle name="Note 2 2 16 2 4" xfId="47339"/>
    <cellStyle name="Note 2 2 16 2 5" xfId="47340"/>
    <cellStyle name="Note 2 2 16 3" xfId="47341"/>
    <cellStyle name="Note 2 2 16 3 2" xfId="47342"/>
    <cellStyle name="Note 2 2 16 3 2 2" xfId="47343"/>
    <cellStyle name="Note 2 2 16 3 3" xfId="47344"/>
    <cellStyle name="Note 2 2 16 3 4" xfId="47345"/>
    <cellStyle name="Note 2 2 16 4" xfId="47346"/>
    <cellStyle name="Note 2 2 16 4 2" xfId="47347"/>
    <cellStyle name="Note 2 2 16 4 2 2" xfId="47348"/>
    <cellStyle name="Note 2 2 16 4 3" xfId="47349"/>
    <cellStyle name="Note 2 2 16 4 4" xfId="47350"/>
    <cellStyle name="Note 2 2 16 5" xfId="47351"/>
    <cellStyle name="Note 2 2 16 5 2" xfId="47352"/>
    <cellStyle name="Note 2 2 16 6" xfId="47353"/>
    <cellStyle name="Note 2 2 16 7" xfId="47354"/>
    <cellStyle name="Note 2 2 16 8" xfId="47355"/>
    <cellStyle name="Note 2 2 17" xfId="47356"/>
    <cellStyle name="Note 2 2 17 2" xfId="47357"/>
    <cellStyle name="Note 2 2 17 2 2" xfId="47358"/>
    <cellStyle name="Note 2 2 17 2 2 2" xfId="47359"/>
    <cellStyle name="Note 2 2 17 2 2 3" xfId="47360"/>
    <cellStyle name="Note 2 2 17 2 3" xfId="47361"/>
    <cellStyle name="Note 2 2 17 2 3 2" xfId="47362"/>
    <cellStyle name="Note 2 2 17 2 4" xfId="47363"/>
    <cellStyle name="Note 2 2 17 2 5" xfId="47364"/>
    <cellStyle name="Note 2 2 17 3" xfId="47365"/>
    <cellStyle name="Note 2 2 17 3 2" xfId="47366"/>
    <cellStyle name="Note 2 2 17 3 2 2" xfId="47367"/>
    <cellStyle name="Note 2 2 17 3 3" xfId="47368"/>
    <cellStyle name="Note 2 2 17 3 4" xfId="47369"/>
    <cellStyle name="Note 2 2 17 4" xfId="47370"/>
    <cellStyle name="Note 2 2 17 4 2" xfId="47371"/>
    <cellStyle name="Note 2 2 17 4 2 2" xfId="47372"/>
    <cellStyle name="Note 2 2 17 4 3" xfId="47373"/>
    <cellStyle name="Note 2 2 17 4 4" xfId="47374"/>
    <cellStyle name="Note 2 2 17 5" xfId="47375"/>
    <cellStyle name="Note 2 2 17 5 2" xfId="47376"/>
    <cellStyle name="Note 2 2 17 6" xfId="47377"/>
    <cellStyle name="Note 2 2 17 7" xfId="47378"/>
    <cellStyle name="Note 2 2 17 8" xfId="47379"/>
    <cellStyle name="Note 2 2 18" xfId="47380"/>
    <cellStyle name="Note 2 2 18 2" xfId="47381"/>
    <cellStyle name="Note 2 2 18 2 2" xfId="47382"/>
    <cellStyle name="Note 2 2 18 2 2 2" xfId="47383"/>
    <cellStyle name="Note 2 2 18 2 2 3" xfId="47384"/>
    <cellStyle name="Note 2 2 18 2 3" xfId="47385"/>
    <cellStyle name="Note 2 2 18 2 3 2" xfId="47386"/>
    <cellStyle name="Note 2 2 18 2 4" xfId="47387"/>
    <cellStyle name="Note 2 2 18 2 5" xfId="47388"/>
    <cellStyle name="Note 2 2 18 3" xfId="47389"/>
    <cellStyle name="Note 2 2 18 3 2" xfId="47390"/>
    <cellStyle name="Note 2 2 18 3 2 2" xfId="47391"/>
    <cellStyle name="Note 2 2 18 3 3" xfId="47392"/>
    <cellStyle name="Note 2 2 18 3 4" xfId="47393"/>
    <cellStyle name="Note 2 2 18 4" xfId="47394"/>
    <cellStyle name="Note 2 2 18 4 2" xfId="47395"/>
    <cellStyle name="Note 2 2 18 4 2 2" xfId="47396"/>
    <cellStyle name="Note 2 2 18 4 3" xfId="47397"/>
    <cellStyle name="Note 2 2 18 4 4" xfId="47398"/>
    <cellStyle name="Note 2 2 18 5" xfId="47399"/>
    <cellStyle name="Note 2 2 18 5 2" xfId="47400"/>
    <cellStyle name="Note 2 2 18 6" xfId="47401"/>
    <cellStyle name="Note 2 2 18 7" xfId="47402"/>
    <cellStyle name="Note 2 2 18 8" xfId="47403"/>
    <cellStyle name="Note 2 2 19" xfId="47404"/>
    <cellStyle name="Note 2 2 2" xfId="4768"/>
    <cellStyle name="Note 2 2 2 10" xfId="47405"/>
    <cellStyle name="Note 2 2 2 10 2" xfId="47406"/>
    <cellStyle name="Note 2 2 2 10 2 2" xfId="47407"/>
    <cellStyle name="Note 2 2 2 10 2 3" xfId="47408"/>
    <cellStyle name="Note 2 2 2 10 3" xfId="47409"/>
    <cellStyle name="Note 2 2 2 10 3 2" xfId="47410"/>
    <cellStyle name="Note 2 2 2 10 3 3" xfId="47411"/>
    <cellStyle name="Note 2 2 2 10 4" xfId="47412"/>
    <cellStyle name="Note 2 2 2 10 5" xfId="47413"/>
    <cellStyle name="Note 2 2 2 11" xfId="47414"/>
    <cellStyle name="Note 2 2 2 11 2" xfId="47415"/>
    <cellStyle name="Note 2 2 2 11 3" xfId="47416"/>
    <cellStyle name="Note 2 2 2 12" xfId="47417"/>
    <cellStyle name="Note 2 2 2 12 2" xfId="47418"/>
    <cellStyle name="Note 2 2 2 13" xfId="47419"/>
    <cellStyle name="Note 2 2 2 13 2" xfId="47420"/>
    <cellStyle name="Note 2 2 2 13 3" xfId="47421"/>
    <cellStyle name="Note 2 2 2 14" xfId="47422"/>
    <cellStyle name="Note 2 2 2 14 2" xfId="47423"/>
    <cellStyle name="Note 2 2 2 14 2 2" xfId="47424"/>
    <cellStyle name="Note 2 2 2 14 2 2 2" xfId="47425"/>
    <cellStyle name="Note 2 2 2 14 2 2 3" xfId="47426"/>
    <cellStyle name="Note 2 2 2 14 2 3" xfId="47427"/>
    <cellStyle name="Note 2 2 2 14 2 3 2" xfId="47428"/>
    <cellStyle name="Note 2 2 2 14 2 4" xfId="47429"/>
    <cellStyle name="Note 2 2 2 14 2 5" xfId="47430"/>
    <cellStyle name="Note 2 2 2 14 3" xfId="47431"/>
    <cellStyle name="Note 2 2 2 14 3 2" xfId="47432"/>
    <cellStyle name="Note 2 2 2 14 3 2 2" xfId="47433"/>
    <cellStyle name="Note 2 2 2 14 3 3" xfId="47434"/>
    <cellStyle name="Note 2 2 2 14 3 4" xfId="47435"/>
    <cellStyle name="Note 2 2 2 14 4" xfId="47436"/>
    <cellStyle name="Note 2 2 2 14 4 2" xfId="47437"/>
    <cellStyle name="Note 2 2 2 14 4 2 2" xfId="47438"/>
    <cellStyle name="Note 2 2 2 14 4 3" xfId="47439"/>
    <cellStyle name="Note 2 2 2 14 4 4" xfId="47440"/>
    <cellStyle name="Note 2 2 2 14 5" xfId="47441"/>
    <cellStyle name="Note 2 2 2 14 5 2" xfId="47442"/>
    <cellStyle name="Note 2 2 2 14 6" xfId="47443"/>
    <cellStyle name="Note 2 2 2 14 7" xfId="47444"/>
    <cellStyle name="Note 2 2 2 14 8" xfId="47445"/>
    <cellStyle name="Note 2 2 2 15" xfId="47446"/>
    <cellStyle name="Note 2 2 2 15 2" xfId="47447"/>
    <cellStyle name="Note 2 2 2 15 2 2" xfId="47448"/>
    <cellStyle name="Note 2 2 2 15 2 2 2" xfId="47449"/>
    <cellStyle name="Note 2 2 2 15 2 2 3" xfId="47450"/>
    <cellStyle name="Note 2 2 2 15 2 3" xfId="47451"/>
    <cellStyle name="Note 2 2 2 15 2 3 2" xfId="47452"/>
    <cellStyle name="Note 2 2 2 15 2 4" xfId="47453"/>
    <cellStyle name="Note 2 2 2 15 2 5" xfId="47454"/>
    <cellStyle name="Note 2 2 2 15 3" xfId="47455"/>
    <cellStyle name="Note 2 2 2 15 3 2" xfId="47456"/>
    <cellStyle name="Note 2 2 2 15 3 2 2" xfId="47457"/>
    <cellStyle name="Note 2 2 2 15 3 3" xfId="47458"/>
    <cellStyle name="Note 2 2 2 15 3 4" xfId="47459"/>
    <cellStyle name="Note 2 2 2 15 4" xfId="47460"/>
    <cellStyle name="Note 2 2 2 15 4 2" xfId="47461"/>
    <cellStyle name="Note 2 2 2 15 4 2 2" xfId="47462"/>
    <cellStyle name="Note 2 2 2 15 4 3" xfId="47463"/>
    <cellStyle name="Note 2 2 2 15 4 4" xfId="47464"/>
    <cellStyle name="Note 2 2 2 15 5" xfId="47465"/>
    <cellStyle name="Note 2 2 2 15 5 2" xfId="47466"/>
    <cellStyle name="Note 2 2 2 15 6" xfId="47467"/>
    <cellStyle name="Note 2 2 2 15 7" xfId="47468"/>
    <cellStyle name="Note 2 2 2 15 8" xfId="47469"/>
    <cellStyle name="Note 2 2 2 16" xfId="47470"/>
    <cellStyle name="Note 2 2 2 16 2" xfId="47471"/>
    <cellStyle name="Note 2 2 2 16 2 2" xfId="47472"/>
    <cellStyle name="Note 2 2 2 16 2 2 2" xfId="47473"/>
    <cellStyle name="Note 2 2 2 16 2 2 3" xfId="47474"/>
    <cellStyle name="Note 2 2 2 16 2 3" xfId="47475"/>
    <cellStyle name="Note 2 2 2 16 2 3 2" xfId="47476"/>
    <cellStyle name="Note 2 2 2 16 2 4" xfId="47477"/>
    <cellStyle name="Note 2 2 2 16 2 5" xfId="47478"/>
    <cellStyle name="Note 2 2 2 16 3" xfId="47479"/>
    <cellStyle name="Note 2 2 2 16 3 2" xfId="47480"/>
    <cellStyle name="Note 2 2 2 16 3 2 2" xfId="47481"/>
    <cellStyle name="Note 2 2 2 16 3 3" xfId="47482"/>
    <cellStyle name="Note 2 2 2 16 3 4" xfId="47483"/>
    <cellStyle name="Note 2 2 2 16 4" xfId="47484"/>
    <cellStyle name="Note 2 2 2 16 4 2" xfId="47485"/>
    <cellStyle name="Note 2 2 2 16 4 2 2" xfId="47486"/>
    <cellStyle name="Note 2 2 2 16 4 3" xfId="47487"/>
    <cellStyle name="Note 2 2 2 16 4 4" xfId="47488"/>
    <cellStyle name="Note 2 2 2 16 5" xfId="47489"/>
    <cellStyle name="Note 2 2 2 16 5 2" xfId="47490"/>
    <cellStyle name="Note 2 2 2 16 6" xfId="47491"/>
    <cellStyle name="Note 2 2 2 16 7" xfId="47492"/>
    <cellStyle name="Note 2 2 2 16 8" xfId="47493"/>
    <cellStyle name="Note 2 2 2 2" xfId="4769"/>
    <cellStyle name="Note 2 2 2 2 2" xfId="4770"/>
    <cellStyle name="Note 2 2 2 2 2 2" xfId="4771"/>
    <cellStyle name="Note 2 2 2 2 2 3" xfId="4772"/>
    <cellStyle name="Note 2 2 2 2 3" xfId="4773"/>
    <cellStyle name="Note 2 2 2 2 3 2" xfId="4774"/>
    <cellStyle name="Note 2 2 2 2 3 3" xfId="4775"/>
    <cellStyle name="Note 2 2 2 2 4" xfId="4776"/>
    <cellStyle name="Note 2 2 2 2 4 2" xfId="4777"/>
    <cellStyle name="Note 2 2 2 2 4 3" xfId="4778"/>
    <cellStyle name="Note 2 2 2 2 5" xfId="4779"/>
    <cellStyle name="Note 2 2 2 2 5 2" xfId="4780"/>
    <cellStyle name="Note 2 2 2 2 5 3" xfId="4781"/>
    <cellStyle name="Note 2 2 2 2 6" xfId="4782"/>
    <cellStyle name="Note 2 2 2 2 7" xfId="4783"/>
    <cellStyle name="Note 2 2 2 3" xfId="4784"/>
    <cellStyle name="Note 2 2 2 3 2" xfId="4785"/>
    <cellStyle name="Note 2 2 2 3 2 2" xfId="47494"/>
    <cellStyle name="Note 2 2 2 3 2 3" xfId="47495"/>
    <cellStyle name="Note 2 2 2 3 3" xfId="4786"/>
    <cellStyle name="Note 2 2 2 3 3 2" xfId="47496"/>
    <cellStyle name="Note 2 2 2 3 3 3" xfId="47497"/>
    <cellStyle name="Note 2 2 2 3 4" xfId="47498"/>
    <cellStyle name="Note 2 2 2 3 5" xfId="47499"/>
    <cellStyle name="Note 2 2 2 4" xfId="4787"/>
    <cellStyle name="Note 2 2 2 4 2" xfId="4788"/>
    <cellStyle name="Note 2 2 2 4 2 2" xfId="47500"/>
    <cellStyle name="Note 2 2 2 4 2 3" xfId="47501"/>
    <cellStyle name="Note 2 2 2 4 3" xfId="4789"/>
    <cellStyle name="Note 2 2 2 4 3 2" xfId="47502"/>
    <cellStyle name="Note 2 2 2 4 3 3" xfId="47503"/>
    <cellStyle name="Note 2 2 2 4 4" xfId="47504"/>
    <cellStyle name="Note 2 2 2 4 5" xfId="47505"/>
    <cellStyle name="Note 2 2 2 5" xfId="4790"/>
    <cellStyle name="Note 2 2 2 5 2" xfId="4791"/>
    <cellStyle name="Note 2 2 2 5 2 2" xfId="47506"/>
    <cellStyle name="Note 2 2 2 5 2 3" xfId="47507"/>
    <cellStyle name="Note 2 2 2 5 3" xfId="4792"/>
    <cellStyle name="Note 2 2 2 5 3 2" xfId="47508"/>
    <cellStyle name="Note 2 2 2 5 3 3" xfId="47509"/>
    <cellStyle name="Note 2 2 2 5 4" xfId="47510"/>
    <cellStyle name="Note 2 2 2 5 5" xfId="47511"/>
    <cellStyle name="Note 2 2 2 6" xfId="4793"/>
    <cellStyle name="Note 2 2 2 6 2" xfId="4794"/>
    <cellStyle name="Note 2 2 2 6 2 2" xfId="47512"/>
    <cellStyle name="Note 2 2 2 6 2 3" xfId="47513"/>
    <cellStyle name="Note 2 2 2 6 3" xfId="4795"/>
    <cellStyle name="Note 2 2 2 6 3 2" xfId="47514"/>
    <cellStyle name="Note 2 2 2 6 3 3" xfId="47515"/>
    <cellStyle name="Note 2 2 2 6 4" xfId="47516"/>
    <cellStyle name="Note 2 2 2 6 5" xfId="47517"/>
    <cellStyle name="Note 2 2 2 7" xfId="4796"/>
    <cellStyle name="Note 2 2 2 7 2" xfId="4797"/>
    <cellStyle name="Note 2 2 2 7 2 2" xfId="47518"/>
    <cellStyle name="Note 2 2 2 7 2 3" xfId="47519"/>
    <cellStyle name="Note 2 2 2 7 3" xfId="4798"/>
    <cellStyle name="Note 2 2 2 7 3 2" xfId="47520"/>
    <cellStyle name="Note 2 2 2 7 3 3" xfId="47521"/>
    <cellStyle name="Note 2 2 2 7 4" xfId="47522"/>
    <cellStyle name="Note 2 2 2 7 5" xfId="47523"/>
    <cellStyle name="Note 2 2 2 8" xfId="4799"/>
    <cellStyle name="Note 2 2 2 8 2" xfId="47524"/>
    <cellStyle name="Note 2 2 2 8 2 2" xfId="47525"/>
    <cellStyle name="Note 2 2 2 8 2 3" xfId="47526"/>
    <cellStyle name="Note 2 2 2 8 3" xfId="47527"/>
    <cellStyle name="Note 2 2 2 8 3 2" xfId="47528"/>
    <cellStyle name="Note 2 2 2 8 3 3" xfId="47529"/>
    <cellStyle name="Note 2 2 2 8 4" xfId="47530"/>
    <cellStyle name="Note 2 2 2 8 5" xfId="47531"/>
    <cellStyle name="Note 2 2 2 9" xfId="4800"/>
    <cellStyle name="Note 2 2 2 9 2" xfId="47532"/>
    <cellStyle name="Note 2 2 2 9 2 2" xfId="47533"/>
    <cellStyle name="Note 2 2 2 9 2 3" xfId="47534"/>
    <cellStyle name="Note 2 2 2 9 3" xfId="47535"/>
    <cellStyle name="Note 2 2 2 9 3 2" xfId="47536"/>
    <cellStyle name="Note 2 2 2 9 3 3" xfId="47537"/>
    <cellStyle name="Note 2 2 2 9 4" xfId="47538"/>
    <cellStyle name="Note 2 2 2 9 5" xfId="47539"/>
    <cellStyle name="Note 2 2 2_BHP 4Q 2010 Ops Review Senior Managment " xfId="47540"/>
    <cellStyle name="Note 2 2 3" xfId="4801"/>
    <cellStyle name="Note 2 2 3 2" xfId="4802"/>
    <cellStyle name="Note 2 2 3 2 2" xfId="47541"/>
    <cellStyle name="Note 2 2 3 2 3" xfId="47542"/>
    <cellStyle name="Note 2 2 3 3" xfId="4803"/>
    <cellStyle name="Note 2 2 3 3 2" xfId="47543"/>
    <cellStyle name="Note 2 2 3 4" xfId="47544"/>
    <cellStyle name="Note 2 2 3 5" xfId="47545"/>
    <cellStyle name="Note 2 2 4" xfId="4804"/>
    <cellStyle name="Note 2 2 4 2" xfId="4805"/>
    <cellStyle name="Note 2 2 4 2 2" xfId="47546"/>
    <cellStyle name="Note 2 2 4 2 3" xfId="47547"/>
    <cellStyle name="Note 2 2 4 3" xfId="4806"/>
    <cellStyle name="Note 2 2 4 3 2" xfId="47548"/>
    <cellStyle name="Note 2 2 4 4" xfId="47549"/>
    <cellStyle name="Note 2 2 5" xfId="47550"/>
    <cellStyle name="Note 2 2 5 2" xfId="47551"/>
    <cellStyle name="Note 2 2 5 2 2" xfId="47552"/>
    <cellStyle name="Note 2 2 5 2 3" xfId="47553"/>
    <cellStyle name="Note 2 2 5 3" xfId="47554"/>
    <cellStyle name="Note 2 2 5 3 2" xfId="47555"/>
    <cellStyle name="Note 2 2 5 4" xfId="47556"/>
    <cellStyle name="Note 2 2 6" xfId="47557"/>
    <cellStyle name="Note 2 2 6 2" xfId="47558"/>
    <cellStyle name="Note 2 2 6 2 2" xfId="47559"/>
    <cellStyle name="Note 2 2 6 2 3" xfId="47560"/>
    <cellStyle name="Note 2 2 6 3" xfId="47561"/>
    <cellStyle name="Note 2 2 6 3 2" xfId="47562"/>
    <cellStyle name="Note 2 2 6 4" xfId="47563"/>
    <cellStyle name="Note 2 2 7" xfId="47564"/>
    <cellStyle name="Note 2 2 7 2" xfId="47565"/>
    <cellStyle name="Note 2 2 7 3" xfId="47566"/>
    <cellStyle name="Note 2 2 8" xfId="47567"/>
    <cellStyle name="Note 2 2 8 2" xfId="47568"/>
    <cellStyle name="Note 2 2 8 3" xfId="47569"/>
    <cellStyle name="Note 2 2 9" xfId="47570"/>
    <cellStyle name="Note 2 2 9 2" xfId="47571"/>
    <cellStyle name="Note 2 2 9 3" xfId="47572"/>
    <cellStyle name="Note 2 2_BHP 4Q 2010 Ops Review Senior Managment " xfId="47573"/>
    <cellStyle name="Note 2 3" xfId="4807"/>
    <cellStyle name="Note 2 3 2" xfId="4808"/>
    <cellStyle name="Note 2 3 2 2" xfId="4809"/>
    <cellStyle name="Note 2 3 2 2 2" xfId="4810"/>
    <cellStyle name="Note 2 3 2 3" xfId="4811"/>
    <cellStyle name="Note 2 3 3" xfId="4812"/>
    <cellStyle name="Note 2 3 3 2" xfId="4813"/>
    <cellStyle name="Note 2 3 3 3" xfId="47574"/>
    <cellStyle name="Note 2 3 4" xfId="4814"/>
    <cellStyle name="Note 2 3 4 2" xfId="47575"/>
    <cellStyle name="Note 2 3 4 2 2" xfId="47576"/>
    <cellStyle name="Note 2 3 4 2 2 2" xfId="47577"/>
    <cellStyle name="Note 2 3 4 2 2 3" xfId="47578"/>
    <cellStyle name="Note 2 3 4 2 3" xfId="47579"/>
    <cellStyle name="Note 2 3 4 2 3 2" xfId="47580"/>
    <cellStyle name="Note 2 3 4 2 4" xfId="47581"/>
    <cellStyle name="Note 2 3 4 2 5" xfId="47582"/>
    <cellStyle name="Note 2 3 4 3" xfId="47583"/>
    <cellStyle name="Note 2 3 4 3 2" xfId="47584"/>
    <cellStyle name="Note 2 3 4 3 2 2" xfId="47585"/>
    <cellStyle name="Note 2 3 4 3 3" xfId="47586"/>
    <cellStyle name="Note 2 3 4 3 4" xfId="47587"/>
    <cellStyle name="Note 2 3 4 4" xfId="47588"/>
    <cellStyle name="Note 2 3 4 4 2" xfId="47589"/>
    <cellStyle name="Note 2 3 4 4 2 2" xfId="47590"/>
    <cellStyle name="Note 2 3 4 4 3" xfId="47591"/>
    <cellStyle name="Note 2 3 4 4 4" xfId="47592"/>
    <cellStyle name="Note 2 3 4 5" xfId="47593"/>
    <cellStyle name="Note 2 3 4 5 2" xfId="47594"/>
    <cellStyle name="Note 2 3 4 6" xfId="47595"/>
    <cellStyle name="Note 2 3 4 7" xfId="47596"/>
    <cellStyle name="Note 2 3 4 8" xfId="47597"/>
    <cellStyle name="Note 2 3 5" xfId="47598"/>
    <cellStyle name="Note 2 3 5 2" xfId="47599"/>
    <cellStyle name="Note 2 3 5 2 2" xfId="47600"/>
    <cellStyle name="Note 2 3 5 2 2 2" xfId="47601"/>
    <cellStyle name="Note 2 3 5 2 2 3" xfId="47602"/>
    <cellStyle name="Note 2 3 5 2 3" xfId="47603"/>
    <cellStyle name="Note 2 3 5 2 3 2" xfId="47604"/>
    <cellStyle name="Note 2 3 5 2 4" xfId="47605"/>
    <cellStyle name="Note 2 3 5 2 5" xfId="47606"/>
    <cellStyle name="Note 2 3 5 3" xfId="47607"/>
    <cellStyle name="Note 2 3 5 3 2" xfId="47608"/>
    <cellStyle name="Note 2 3 5 3 2 2" xfId="47609"/>
    <cellStyle name="Note 2 3 5 3 3" xfId="47610"/>
    <cellStyle name="Note 2 3 5 3 4" xfId="47611"/>
    <cellStyle name="Note 2 3 5 4" xfId="47612"/>
    <cellStyle name="Note 2 3 5 4 2" xfId="47613"/>
    <cellStyle name="Note 2 3 5 4 2 2" xfId="47614"/>
    <cellStyle name="Note 2 3 5 4 3" xfId="47615"/>
    <cellStyle name="Note 2 3 5 4 4" xfId="47616"/>
    <cellStyle name="Note 2 3 5 5" xfId="47617"/>
    <cellStyle name="Note 2 3 5 5 2" xfId="47618"/>
    <cellStyle name="Note 2 3 5 6" xfId="47619"/>
    <cellStyle name="Note 2 3 5 7" xfId="47620"/>
    <cellStyle name="Note 2 3 5 8" xfId="47621"/>
    <cellStyle name="Note 2 3 6" xfId="47622"/>
    <cellStyle name="Note 2 3 6 2" xfId="47623"/>
    <cellStyle name="Note 2 3 6 2 2" xfId="47624"/>
    <cellStyle name="Note 2 3 6 2 2 2" xfId="47625"/>
    <cellStyle name="Note 2 3 6 2 2 3" xfId="47626"/>
    <cellStyle name="Note 2 3 6 2 3" xfId="47627"/>
    <cellStyle name="Note 2 3 6 2 3 2" xfId="47628"/>
    <cellStyle name="Note 2 3 6 2 4" xfId="47629"/>
    <cellStyle name="Note 2 3 6 2 5" xfId="47630"/>
    <cellStyle name="Note 2 3 6 3" xfId="47631"/>
    <cellStyle name="Note 2 3 6 3 2" xfId="47632"/>
    <cellStyle name="Note 2 3 6 3 2 2" xfId="47633"/>
    <cellStyle name="Note 2 3 6 3 3" xfId="47634"/>
    <cellStyle name="Note 2 3 6 3 4" xfId="47635"/>
    <cellStyle name="Note 2 3 6 4" xfId="47636"/>
    <cellStyle name="Note 2 3 6 4 2" xfId="47637"/>
    <cellStyle name="Note 2 3 6 4 2 2" xfId="47638"/>
    <cellStyle name="Note 2 3 6 4 3" xfId="47639"/>
    <cellStyle name="Note 2 3 6 4 4" xfId="47640"/>
    <cellStyle name="Note 2 3 6 5" xfId="47641"/>
    <cellStyle name="Note 2 3 6 5 2" xfId="47642"/>
    <cellStyle name="Note 2 3 6 6" xfId="47643"/>
    <cellStyle name="Note 2 3 6 7" xfId="47644"/>
    <cellStyle name="Note 2 3 6 8" xfId="47645"/>
    <cellStyle name="Note 2 3 7" xfId="47646"/>
    <cellStyle name="Note 2 4" xfId="4815"/>
    <cellStyle name="Note 2 4 2" xfId="4816"/>
    <cellStyle name="Note 2 4 2 2" xfId="4817"/>
    <cellStyle name="Note 2 4 3" xfId="4818"/>
    <cellStyle name="Note 2 5" xfId="4819"/>
    <cellStyle name="Note 2 5 2" xfId="4820"/>
    <cellStyle name="Note 2 5 2 2" xfId="47647"/>
    <cellStyle name="Note 2 5 3" xfId="47648"/>
    <cellStyle name="Note 2 6" xfId="4821"/>
    <cellStyle name="Note 2 6 2" xfId="47649"/>
    <cellStyle name="Note 2 6 2 2" xfId="47650"/>
    <cellStyle name="Note 2 6 3" xfId="47651"/>
    <cellStyle name="Note 2 7" xfId="47652"/>
    <cellStyle name="Note 2 7 2" xfId="47653"/>
    <cellStyle name="Note 2 7 2 2" xfId="47654"/>
    <cellStyle name="Note 2 7 3" xfId="47655"/>
    <cellStyle name="Note 2 8" xfId="47656"/>
    <cellStyle name="Note 2 8 2" xfId="47657"/>
    <cellStyle name="Note 2 9" xfId="47658"/>
    <cellStyle name="Note 2 9 2" xfId="47659"/>
    <cellStyle name="Note 2_BHP 4Q 2010 Ops Review Senior Managment " xfId="47660"/>
    <cellStyle name="Note 20" xfId="47661"/>
    <cellStyle name="Note 20 2" xfId="47662"/>
    <cellStyle name="Note 20 2 2" xfId="47663"/>
    <cellStyle name="Note 20 2 2 2" xfId="47664"/>
    <cellStyle name="Note 20 2 2 3" xfId="47665"/>
    <cellStyle name="Note 20 2 3" xfId="47666"/>
    <cellStyle name="Note 20 2 3 2" xfId="47667"/>
    <cellStyle name="Note 20 2 4" xfId="47668"/>
    <cellStyle name="Note 20 2 5" xfId="47669"/>
    <cellStyle name="Note 20 3" xfId="47670"/>
    <cellStyle name="Note 20 3 2" xfId="47671"/>
    <cellStyle name="Note 20 3 2 2" xfId="47672"/>
    <cellStyle name="Note 20 3 3" xfId="47673"/>
    <cellStyle name="Note 20 3 4" xfId="47674"/>
    <cellStyle name="Note 20 4" xfId="47675"/>
    <cellStyle name="Note 20 4 2" xfId="47676"/>
    <cellStyle name="Note 20 4 2 2" xfId="47677"/>
    <cellStyle name="Note 20 4 3" xfId="47678"/>
    <cellStyle name="Note 20 4 4" xfId="47679"/>
    <cellStyle name="Note 20 5" xfId="47680"/>
    <cellStyle name="Note 20 5 2" xfId="47681"/>
    <cellStyle name="Note 20 6" xfId="47682"/>
    <cellStyle name="Note 20 7" xfId="47683"/>
    <cellStyle name="Note 20 8" xfId="47684"/>
    <cellStyle name="Note 21" xfId="47685"/>
    <cellStyle name="Note 21 2" xfId="47686"/>
    <cellStyle name="Note 21 2 2" xfId="47687"/>
    <cellStyle name="Note 21 2 2 2" xfId="47688"/>
    <cellStyle name="Note 21 2 2 3" xfId="47689"/>
    <cellStyle name="Note 21 2 3" xfId="47690"/>
    <cellStyle name="Note 21 2 3 2" xfId="47691"/>
    <cellStyle name="Note 21 2 4" xfId="47692"/>
    <cellStyle name="Note 21 2 5" xfId="47693"/>
    <cellStyle name="Note 21 3" xfId="47694"/>
    <cellStyle name="Note 21 3 2" xfId="47695"/>
    <cellStyle name="Note 21 3 2 2" xfId="47696"/>
    <cellStyle name="Note 21 3 3" xfId="47697"/>
    <cellStyle name="Note 21 3 4" xfId="47698"/>
    <cellStyle name="Note 21 4" xfId="47699"/>
    <cellStyle name="Note 21 4 2" xfId="47700"/>
    <cellStyle name="Note 21 4 2 2" xfId="47701"/>
    <cellStyle name="Note 21 4 3" xfId="47702"/>
    <cellStyle name="Note 21 4 4" xfId="47703"/>
    <cellStyle name="Note 21 5" xfId="47704"/>
    <cellStyle name="Note 21 5 2" xfId="47705"/>
    <cellStyle name="Note 21 6" xfId="47706"/>
    <cellStyle name="Note 21 7" xfId="47707"/>
    <cellStyle name="Note 21 8" xfId="47708"/>
    <cellStyle name="Note 3" xfId="4822"/>
    <cellStyle name="Note 3 10" xfId="47709"/>
    <cellStyle name="Note 3 10 2" xfId="47710"/>
    <cellStyle name="Note 3 10 2 2" xfId="47711"/>
    <cellStyle name="Note 3 10 2 2 2" xfId="47712"/>
    <cellStyle name="Note 3 10 2 2 3" xfId="47713"/>
    <cellStyle name="Note 3 10 2 3" xfId="47714"/>
    <cellStyle name="Note 3 10 2 3 2" xfId="47715"/>
    <cellStyle name="Note 3 10 2 4" xfId="47716"/>
    <cellStyle name="Note 3 10 2 5" xfId="47717"/>
    <cellStyle name="Note 3 10 3" xfId="47718"/>
    <cellStyle name="Note 3 10 3 2" xfId="47719"/>
    <cellStyle name="Note 3 10 3 2 2" xfId="47720"/>
    <cellStyle name="Note 3 10 3 3" xfId="47721"/>
    <cellStyle name="Note 3 10 3 4" xfId="47722"/>
    <cellStyle name="Note 3 10 4" xfId="47723"/>
    <cellStyle name="Note 3 10 4 2" xfId="47724"/>
    <cellStyle name="Note 3 10 4 2 2" xfId="47725"/>
    <cellStyle name="Note 3 10 4 3" xfId="47726"/>
    <cellStyle name="Note 3 10 4 4" xfId="47727"/>
    <cellStyle name="Note 3 10 5" xfId="47728"/>
    <cellStyle name="Note 3 10 5 2" xfId="47729"/>
    <cellStyle name="Note 3 10 6" xfId="47730"/>
    <cellStyle name="Note 3 10 7" xfId="47731"/>
    <cellStyle name="Note 3 10 8" xfId="47732"/>
    <cellStyle name="Note 3 11" xfId="47733"/>
    <cellStyle name="Note 3 2" xfId="4823"/>
    <cellStyle name="Note 3 2 10" xfId="47734"/>
    <cellStyle name="Note 3 2 10 2" xfId="47735"/>
    <cellStyle name="Note 3 2 10 3" xfId="47736"/>
    <cellStyle name="Note 3 2 11" xfId="47737"/>
    <cellStyle name="Note 3 2 11 2" xfId="47738"/>
    <cellStyle name="Note 3 2 11 2 2" xfId="47739"/>
    <cellStyle name="Note 3 2 11 2 2 2" xfId="47740"/>
    <cellStyle name="Note 3 2 11 2 2 3" xfId="47741"/>
    <cellStyle name="Note 3 2 11 2 3" xfId="47742"/>
    <cellStyle name="Note 3 2 11 2 3 2" xfId="47743"/>
    <cellStyle name="Note 3 2 11 2 4" xfId="47744"/>
    <cellStyle name="Note 3 2 11 2 5" xfId="47745"/>
    <cellStyle name="Note 3 2 11 3" xfId="47746"/>
    <cellStyle name="Note 3 2 11 3 2" xfId="47747"/>
    <cellStyle name="Note 3 2 11 3 2 2" xfId="47748"/>
    <cellStyle name="Note 3 2 11 3 3" xfId="47749"/>
    <cellStyle name="Note 3 2 11 3 4" xfId="47750"/>
    <cellStyle name="Note 3 2 11 4" xfId="47751"/>
    <cellStyle name="Note 3 2 11 4 2" xfId="47752"/>
    <cellStyle name="Note 3 2 11 4 2 2" xfId="47753"/>
    <cellStyle name="Note 3 2 11 4 3" xfId="47754"/>
    <cellStyle name="Note 3 2 11 4 4" xfId="47755"/>
    <cellStyle name="Note 3 2 11 5" xfId="47756"/>
    <cellStyle name="Note 3 2 11 5 2" xfId="47757"/>
    <cellStyle name="Note 3 2 11 6" xfId="47758"/>
    <cellStyle name="Note 3 2 11 7" xfId="47759"/>
    <cellStyle name="Note 3 2 11 8" xfId="47760"/>
    <cellStyle name="Note 3 2 12" xfId="47761"/>
    <cellStyle name="Note 3 2 12 2" xfId="47762"/>
    <cellStyle name="Note 3 2 12 2 2" xfId="47763"/>
    <cellStyle name="Note 3 2 12 2 2 2" xfId="47764"/>
    <cellStyle name="Note 3 2 12 2 2 3" xfId="47765"/>
    <cellStyle name="Note 3 2 12 2 3" xfId="47766"/>
    <cellStyle name="Note 3 2 12 2 3 2" xfId="47767"/>
    <cellStyle name="Note 3 2 12 2 4" xfId="47768"/>
    <cellStyle name="Note 3 2 12 2 5" xfId="47769"/>
    <cellStyle name="Note 3 2 12 3" xfId="47770"/>
    <cellStyle name="Note 3 2 12 3 2" xfId="47771"/>
    <cellStyle name="Note 3 2 12 3 2 2" xfId="47772"/>
    <cellStyle name="Note 3 2 12 3 3" xfId="47773"/>
    <cellStyle name="Note 3 2 12 3 4" xfId="47774"/>
    <cellStyle name="Note 3 2 12 4" xfId="47775"/>
    <cellStyle name="Note 3 2 12 4 2" xfId="47776"/>
    <cellStyle name="Note 3 2 12 4 2 2" xfId="47777"/>
    <cellStyle name="Note 3 2 12 4 3" xfId="47778"/>
    <cellStyle name="Note 3 2 12 4 4" xfId="47779"/>
    <cellStyle name="Note 3 2 12 5" xfId="47780"/>
    <cellStyle name="Note 3 2 12 5 2" xfId="47781"/>
    <cellStyle name="Note 3 2 12 6" xfId="47782"/>
    <cellStyle name="Note 3 2 12 7" xfId="47783"/>
    <cellStyle name="Note 3 2 12 8" xfId="47784"/>
    <cellStyle name="Note 3 2 13" xfId="47785"/>
    <cellStyle name="Note 3 2 13 2" xfId="47786"/>
    <cellStyle name="Note 3 2 13 2 2" xfId="47787"/>
    <cellStyle name="Note 3 2 13 2 2 2" xfId="47788"/>
    <cellStyle name="Note 3 2 13 2 2 3" xfId="47789"/>
    <cellStyle name="Note 3 2 13 2 3" xfId="47790"/>
    <cellStyle name="Note 3 2 13 2 3 2" xfId="47791"/>
    <cellStyle name="Note 3 2 13 2 4" xfId="47792"/>
    <cellStyle name="Note 3 2 13 2 5" xfId="47793"/>
    <cellStyle name="Note 3 2 13 3" xfId="47794"/>
    <cellStyle name="Note 3 2 13 3 2" xfId="47795"/>
    <cellStyle name="Note 3 2 13 3 2 2" xfId="47796"/>
    <cellStyle name="Note 3 2 13 3 3" xfId="47797"/>
    <cellStyle name="Note 3 2 13 3 4" xfId="47798"/>
    <cellStyle name="Note 3 2 13 4" xfId="47799"/>
    <cellStyle name="Note 3 2 13 4 2" xfId="47800"/>
    <cellStyle name="Note 3 2 13 4 2 2" xfId="47801"/>
    <cellStyle name="Note 3 2 13 4 3" xfId="47802"/>
    <cellStyle name="Note 3 2 13 4 4" xfId="47803"/>
    <cellStyle name="Note 3 2 13 5" xfId="47804"/>
    <cellStyle name="Note 3 2 13 5 2" xfId="47805"/>
    <cellStyle name="Note 3 2 13 6" xfId="47806"/>
    <cellStyle name="Note 3 2 13 7" xfId="47807"/>
    <cellStyle name="Note 3 2 13 8" xfId="47808"/>
    <cellStyle name="Note 3 2 2" xfId="4824"/>
    <cellStyle name="Note 3 2 2 2" xfId="4825"/>
    <cellStyle name="Note 3 2 2 2 2" xfId="4826"/>
    <cellStyle name="Note 3 2 2 2 3" xfId="4827"/>
    <cellStyle name="Note 3 2 2 3" xfId="4828"/>
    <cellStyle name="Note 3 2 2 3 2" xfId="4829"/>
    <cellStyle name="Note 3 2 2 3 3" xfId="4830"/>
    <cellStyle name="Note 3 2 2 4" xfId="4831"/>
    <cellStyle name="Note 3 2 2 4 2" xfId="4832"/>
    <cellStyle name="Note 3 2 2 4 3" xfId="4833"/>
    <cellStyle name="Note 3 2 2 5" xfId="4834"/>
    <cellStyle name="Note 3 2 2 5 2" xfId="4835"/>
    <cellStyle name="Note 3 2 2 5 3" xfId="4836"/>
    <cellStyle name="Note 3 2 2 6" xfId="4837"/>
    <cellStyle name="Note 3 2 2 7" xfId="4838"/>
    <cellStyle name="Note 3 2 3" xfId="4839"/>
    <cellStyle name="Note 3 2 3 2" xfId="4840"/>
    <cellStyle name="Note 3 2 3 2 2" xfId="47809"/>
    <cellStyle name="Note 3 2 3 3" xfId="4841"/>
    <cellStyle name="Note 3 2 4" xfId="4842"/>
    <cellStyle name="Note 3 2 4 2" xfId="4843"/>
    <cellStyle name="Note 3 2 4 2 2" xfId="47810"/>
    <cellStyle name="Note 3 2 4 3" xfId="4844"/>
    <cellStyle name="Note 3 2 5" xfId="4845"/>
    <cellStyle name="Note 3 2 5 2" xfId="4846"/>
    <cellStyle name="Note 3 2 5 2 2" xfId="47811"/>
    <cellStyle name="Note 3 2 5 3" xfId="4847"/>
    <cellStyle name="Note 3 2 6" xfId="4848"/>
    <cellStyle name="Note 3 2 6 2" xfId="4849"/>
    <cellStyle name="Note 3 2 6 2 2" xfId="47812"/>
    <cellStyle name="Note 3 2 6 3" xfId="4850"/>
    <cellStyle name="Note 3 2 7" xfId="4851"/>
    <cellStyle name="Note 3 2 7 2" xfId="4852"/>
    <cellStyle name="Note 3 2 7 3" xfId="4853"/>
    <cellStyle name="Note 3 2 8" xfId="4854"/>
    <cellStyle name="Note 3 2 8 2" xfId="47813"/>
    <cellStyle name="Note 3 2 8 3" xfId="47814"/>
    <cellStyle name="Note 3 2 9" xfId="4855"/>
    <cellStyle name="Note 3 2 9 2" xfId="47815"/>
    <cellStyle name="Note 3 2_CLFP Executive Summary - 2009 December" xfId="47816"/>
    <cellStyle name="Note 3 3" xfId="4856"/>
    <cellStyle name="Note 3 3 2" xfId="4857"/>
    <cellStyle name="Note 3 3 2 2" xfId="47817"/>
    <cellStyle name="Note 3 3 3" xfId="4858"/>
    <cellStyle name="Note 3 3 4" xfId="47818"/>
    <cellStyle name="Note 3 4" xfId="4859"/>
    <cellStyle name="Note 3 4 2" xfId="4860"/>
    <cellStyle name="Note 3 4 3" xfId="4861"/>
    <cellStyle name="Note 3 5" xfId="47819"/>
    <cellStyle name="Note 3 5 2" xfId="47820"/>
    <cellStyle name="Note 3 6" xfId="47821"/>
    <cellStyle name="Note 3 6 2" xfId="47822"/>
    <cellStyle name="Note 3 6 3" xfId="47823"/>
    <cellStyle name="Note 3 7" xfId="47824"/>
    <cellStyle name="Note 3 7 2" xfId="47825"/>
    <cellStyle name="Note 3 8" xfId="47826"/>
    <cellStyle name="Note 3 8 2" xfId="47827"/>
    <cellStyle name="Note 3 8 2 2" xfId="47828"/>
    <cellStyle name="Note 3 8 2 2 2" xfId="47829"/>
    <cellStyle name="Note 3 8 2 2 3" xfId="47830"/>
    <cellStyle name="Note 3 8 2 3" xfId="47831"/>
    <cellStyle name="Note 3 8 2 3 2" xfId="47832"/>
    <cellStyle name="Note 3 8 2 4" xfId="47833"/>
    <cellStyle name="Note 3 8 2 5" xfId="47834"/>
    <cellStyle name="Note 3 8 3" xfId="47835"/>
    <cellStyle name="Note 3 8 3 2" xfId="47836"/>
    <cellStyle name="Note 3 8 3 2 2" xfId="47837"/>
    <cellStyle name="Note 3 8 3 3" xfId="47838"/>
    <cellStyle name="Note 3 8 3 4" xfId="47839"/>
    <cellStyle name="Note 3 8 4" xfId="47840"/>
    <cellStyle name="Note 3 8 4 2" xfId="47841"/>
    <cellStyle name="Note 3 8 4 2 2" xfId="47842"/>
    <cellStyle name="Note 3 8 4 3" xfId="47843"/>
    <cellStyle name="Note 3 8 4 4" xfId="47844"/>
    <cellStyle name="Note 3 8 5" xfId="47845"/>
    <cellStyle name="Note 3 8 5 2" xfId="47846"/>
    <cellStyle name="Note 3 8 6" xfId="47847"/>
    <cellStyle name="Note 3 8 7" xfId="47848"/>
    <cellStyle name="Note 3 8 8" xfId="47849"/>
    <cellStyle name="Note 3 9" xfId="47850"/>
    <cellStyle name="Note 3 9 2" xfId="47851"/>
    <cellStyle name="Note 3 9 2 2" xfId="47852"/>
    <cellStyle name="Note 3 9 2 2 2" xfId="47853"/>
    <cellStyle name="Note 3 9 2 2 3" xfId="47854"/>
    <cellStyle name="Note 3 9 2 3" xfId="47855"/>
    <cellStyle name="Note 3 9 2 3 2" xfId="47856"/>
    <cellStyle name="Note 3 9 2 4" xfId="47857"/>
    <cellStyle name="Note 3 9 2 5" xfId="47858"/>
    <cellStyle name="Note 3 9 3" xfId="47859"/>
    <cellStyle name="Note 3 9 3 2" xfId="47860"/>
    <cellStyle name="Note 3 9 3 2 2" xfId="47861"/>
    <cellStyle name="Note 3 9 3 3" xfId="47862"/>
    <cellStyle name="Note 3 9 3 4" xfId="47863"/>
    <cellStyle name="Note 3 9 4" xfId="47864"/>
    <cellStyle name="Note 3 9 4 2" xfId="47865"/>
    <cellStyle name="Note 3 9 4 2 2" xfId="47866"/>
    <cellStyle name="Note 3 9 4 3" xfId="47867"/>
    <cellStyle name="Note 3 9 4 4" xfId="47868"/>
    <cellStyle name="Note 3 9 5" xfId="47869"/>
    <cellStyle name="Note 3 9 5 2" xfId="47870"/>
    <cellStyle name="Note 3 9 6" xfId="47871"/>
    <cellStyle name="Note 3 9 7" xfId="47872"/>
    <cellStyle name="Note 3 9 8" xfId="47873"/>
    <cellStyle name="Note 3_BHP 4Q 2010 Ops Review Senior Managment " xfId="47874"/>
    <cellStyle name="Note 4" xfId="4862"/>
    <cellStyle name="Note 4 10" xfId="47875"/>
    <cellStyle name="Note 4 10 2" xfId="47876"/>
    <cellStyle name="Note 4 10 2 2" xfId="47877"/>
    <cellStyle name="Note 4 10 2 2 2" xfId="47878"/>
    <cellStyle name="Note 4 10 2 2 3" xfId="47879"/>
    <cellStyle name="Note 4 10 2 3" xfId="47880"/>
    <cellStyle name="Note 4 10 2 3 2" xfId="47881"/>
    <cellStyle name="Note 4 10 2 4" xfId="47882"/>
    <cellStyle name="Note 4 10 2 5" xfId="47883"/>
    <cellStyle name="Note 4 10 3" xfId="47884"/>
    <cellStyle name="Note 4 10 3 2" xfId="47885"/>
    <cellStyle name="Note 4 10 3 2 2" xfId="47886"/>
    <cellStyle name="Note 4 10 3 3" xfId="47887"/>
    <cellStyle name="Note 4 10 3 4" xfId="47888"/>
    <cellStyle name="Note 4 10 4" xfId="47889"/>
    <cellStyle name="Note 4 10 4 2" xfId="47890"/>
    <cellStyle name="Note 4 10 4 2 2" xfId="47891"/>
    <cellStyle name="Note 4 10 4 3" xfId="47892"/>
    <cellStyle name="Note 4 10 4 4" xfId="47893"/>
    <cellStyle name="Note 4 10 5" xfId="47894"/>
    <cellStyle name="Note 4 10 5 2" xfId="47895"/>
    <cellStyle name="Note 4 10 6" xfId="47896"/>
    <cellStyle name="Note 4 10 7" xfId="47897"/>
    <cellStyle name="Note 4 10 8" xfId="47898"/>
    <cellStyle name="Note 4 11" xfId="47899"/>
    <cellStyle name="Note 4 11 2" xfId="47900"/>
    <cellStyle name="Note 4 11 2 2" xfId="47901"/>
    <cellStyle name="Note 4 11 2 2 2" xfId="47902"/>
    <cellStyle name="Note 4 11 2 2 3" xfId="47903"/>
    <cellStyle name="Note 4 11 2 3" xfId="47904"/>
    <cellStyle name="Note 4 11 2 3 2" xfId="47905"/>
    <cellStyle name="Note 4 11 2 4" xfId="47906"/>
    <cellStyle name="Note 4 11 2 5" xfId="47907"/>
    <cellStyle name="Note 4 11 3" xfId="47908"/>
    <cellStyle name="Note 4 11 3 2" xfId="47909"/>
    <cellStyle name="Note 4 11 3 2 2" xfId="47910"/>
    <cellStyle name="Note 4 11 3 3" xfId="47911"/>
    <cellStyle name="Note 4 11 3 4" xfId="47912"/>
    <cellStyle name="Note 4 11 4" xfId="47913"/>
    <cellStyle name="Note 4 11 4 2" xfId="47914"/>
    <cellStyle name="Note 4 11 4 2 2" xfId="47915"/>
    <cellStyle name="Note 4 11 4 3" xfId="47916"/>
    <cellStyle name="Note 4 11 4 4" xfId="47917"/>
    <cellStyle name="Note 4 11 5" xfId="47918"/>
    <cellStyle name="Note 4 11 5 2" xfId="47919"/>
    <cellStyle name="Note 4 11 6" xfId="47920"/>
    <cellStyle name="Note 4 11 7" xfId="47921"/>
    <cellStyle name="Note 4 11 8" xfId="47922"/>
    <cellStyle name="Note 4 12" xfId="47923"/>
    <cellStyle name="Note 4 12 2" xfId="47924"/>
    <cellStyle name="Note 4 12 2 2" xfId="47925"/>
    <cellStyle name="Note 4 12 2 2 2" xfId="47926"/>
    <cellStyle name="Note 4 12 2 2 3" xfId="47927"/>
    <cellStyle name="Note 4 12 2 3" xfId="47928"/>
    <cellStyle name="Note 4 12 2 3 2" xfId="47929"/>
    <cellStyle name="Note 4 12 2 4" xfId="47930"/>
    <cellStyle name="Note 4 12 2 5" xfId="47931"/>
    <cellStyle name="Note 4 12 3" xfId="47932"/>
    <cellStyle name="Note 4 12 3 2" xfId="47933"/>
    <cellStyle name="Note 4 12 3 2 2" xfId="47934"/>
    <cellStyle name="Note 4 12 3 3" xfId="47935"/>
    <cellStyle name="Note 4 12 3 4" xfId="47936"/>
    <cellStyle name="Note 4 12 4" xfId="47937"/>
    <cellStyle name="Note 4 12 4 2" xfId="47938"/>
    <cellStyle name="Note 4 12 4 2 2" xfId="47939"/>
    <cellStyle name="Note 4 12 4 3" xfId="47940"/>
    <cellStyle name="Note 4 12 4 4" xfId="47941"/>
    <cellStyle name="Note 4 12 5" xfId="47942"/>
    <cellStyle name="Note 4 12 5 2" xfId="47943"/>
    <cellStyle name="Note 4 12 6" xfId="47944"/>
    <cellStyle name="Note 4 12 7" xfId="47945"/>
    <cellStyle name="Note 4 12 8" xfId="47946"/>
    <cellStyle name="Note 4 2" xfId="4863"/>
    <cellStyle name="Note 4 2 10" xfId="47947"/>
    <cellStyle name="Note 4 2 2" xfId="4864"/>
    <cellStyle name="Note 4 2 2 2" xfId="4865"/>
    <cellStyle name="Note 4 2 2 2 2" xfId="4866"/>
    <cellStyle name="Note 4 2 2 2 3" xfId="4867"/>
    <cellStyle name="Note 4 2 2 3" xfId="4868"/>
    <cellStyle name="Note 4 2 2 3 2" xfId="4869"/>
    <cellStyle name="Note 4 2 2 3 3" xfId="4870"/>
    <cellStyle name="Note 4 2 2 4" xfId="4871"/>
    <cellStyle name="Note 4 2 2 4 2" xfId="4872"/>
    <cellStyle name="Note 4 2 2 4 3" xfId="4873"/>
    <cellStyle name="Note 4 2 2 5" xfId="4874"/>
    <cellStyle name="Note 4 2 2 5 2" xfId="4875"/>
    <cellStyle name="Note 4 2 2 5 3" xfId="4876"/>
    <cellStyle name="Note 4 2 2 6" xfId="4877"/>
    <cellStyle name="Note 4 2 2 7" xfId="4878"/>
    <cellStyle name="Note 4 2 3" xfId="4879"/>
    <cellStyle name="Note 4 2 3 2" xfId="4880"/>
    <cellStyle name="Note 4 2 3 2 2" xfId="47948"/>
    <cellStyle name="Note 4 2 3 3" xfId="4881"/>
    <cellStyle name="Note 4 2 4" xfId="4882"/>
    <cellStyle name="Note 4 2 4 2" xfId="4883"/>
    <cellStyle name="Note 4 2 4 2 2" xfId="47949"/>
    <cellStyle name="Note 4 2 4 3" xfId="4884"/>
    <cellStyle name="Note 4 2 5" xfId="4885"/>
    <cellStyle name="Note 4 2 5 2" xfId="4886"/>
    <cellStyle name="Note 4 2 5 2 2" xfId="47950"/>
    <cellStyle name="Note 4 2 5 3" xfId="4887"/>
    <cellStyle name="Note 4 2 6" xfId="4888"/>
    <cellStyle name="Note 4 2 6 2" xfId="4889"/>
    <cellStyle name="Note 4 2 6 2 2" xfId="47951"/>
    <cellStyle name="Note 4 2 6 3" xfId="4890"/>
    <cellStyle name="Note 4 2 7" xfId="4891"/>
    <cellStyle name="Note 4 2 7 2" xfId="4892"/>
    <cellStyle name="Note 4 2 7 3" xfId="4893"/>
    <cellStyle name="Note 4 2 8" xfId="4894"/>
    <cellStyle name="Note 4 2 8 2" xfId="47952"/>
    <cellStyle name="Note 4 2 8 3" xfId="47953"/>
    <cellStyle name="Note 4 2 9" xfId="4895"/>
    <cellStyle name="Note 4 2 9 2" xfId="47954"/>
    <cellStyle name="Note 4 2_CLFP Executive Summary - 2009 December" xfId="47955"/>
    <cellStyle name="Note 4 3" xfId="4896"/>
    <cellStyle name="Note 4 3 2" xfId="4897"/>
    <cellStyle name="Note 4 3 2 2" xfId="47956"/>
    <cellStyle name="Note 4 3 3" xfId="4898"/>
    <cellStyle name="Note 4 4" xfId="4899"/>
    <cellStyle name="Note 4 4 2" xfId="4900"/>
    <cellStyle name="Note 4 4 3" xfId="4901"/>
    <cellStyle name="Note 4 5" xfId="47957"/>
    <cellStyle name="Note 4 5 2" xfId="47958"/>
    <cellStyle name="Note 4 6" xfId="47959"/>
    <cellStyle name="Note 4 6 2" xfId="47960"/>
    <cellStyle name="Note 4 6 3" xfId="47961"/>
    <cellStyle name="Note 4 7" xfId="47962"/>
    <cellStyle name="Note 4 7 2" xfId="47963"/>
    <cellStyle name="Note 4 7 2 2" xfId="47964"/>
    <cellStyle name="Note 4 7 2 2 2" xfId="47965"/>
    <cellStyle name="Note 4 7 2 2 3" xfId="47966"/>
    <cellStyle name="Note 4 7 2 3" xfId="47967"/>
    <cellStyle name="Note 4 7 2 3 2" xfId="47968"/>
    <cellStyle name="Note 4 7 2 4" xfId="47969"/>
    <cellStyle name="Note 4 7 2 5" xfId="47970"/>
    <cellStyle name="Note 4 7 3" xfId="47971"/>
    <cellStyle name="Note 4 7 3 2" xfId="47972"/>
    <cellStyle name="Note 4 7 3 2 2" xfId="47973"/>
    <cellStyle name="Note 4 7 3 3" xfId="47974"/>
    <cellStyle name="Note 4 7 3 4" xfId="47975"/>
    <cellStyle name="Note 4 7 4" xfId="47976"/>
    <cellStyle name="Note 4 7 4 2" xfId="47977"/>
    <cellStyle name="Note 4 7 4 2 2" xfId="47978"/>
    <cellStyle name="Note 4 7 4 3" xfId="47979"/>
    <cellStyle name="Note 4 7 4 4" xfId="47980"/>
    <cellStyle name="Note 4 7 5" xfId="47981"/>
    <cellStyle name="Note 4 7 5 2" xfId="47982"/>
    <cellStyle name="Note 4 7 6" xfId="47983"/>
    <cellStyle name="Note 4 7 7" xfId="47984"/>
    <cellStyle name="Note 4 7 8" xfId="47985"/>
    <cellStyle name="Note 4 8" xfId="47986"/>
    <cellStyle name="Note 4 8 2" xfId="47987"/>
    <cellStyle name="Note 4 8 2 2" xfId="47988"/>
    <cellStyle name="Note 4 8 2 2 2" xfId="47989"/>
    <cellStyle name="Note 4 8 2 2 3" xfId="47990"/>
    <cellStyle name="Note 4 8 2 3" xfId="47991"/>
    <cellStyle name="Note 4 8 2 3 2" xfId="47992"/>
    <cellStyle name="Note 4 8 2 4" xfId="47993"/>
    <cellStyle name="Note 4 8 2 5" xfId="47994"/>
    <cellStyle name="Note 4 8 3" xfId="47995"/>
    <cellStyle name="Note 4 8 3 2" xfId="47996"/>
    <cellStyle name="Note 4 8 3 2 2" xfId="47997"/>
    <cellStyle name="Note 4 8 3 3" xfId="47998"/>
    <cellStyle name="Note 4 8 3 4" xfId="47999"/>
    <cellStyle name="Note 4 8 4" xfId="48000"/>
    <cellStyle name="Note 4 8 4 2" xfId="48001"/>
    <cellStyle name="Note 4 8 4 2 2" xfId="48002"/>
    <cellStyle name="Note 4 8 4 3" xfId="48003"/>
    <cellStyle name="Note 4 8 4 4" xfId="48004"/>
    <cellStyle name="Note 4 8 5" xfId="48005"/>
    <cellStyle name="Note 4 8 5 2" xfId="48006"/>
    <cellStyle name="Note 4 8 6" xfId="48007"/>
    <cellStyle name="Note 4 8 7" xfId="48008"/>
    <cellStyle name="Note 4 8 8" xfId="48009"/>
    <cellStyle name="Note 4 9" xfId="48010"/>
    <cellStyle name="Note 4 9 2" xfId="48011"/>
    <cellStyle name="Note 4 9 2 2" xfId="48012"/>
    <cellStyle name="Note 4 9 2 2 2" xfId="48013"/>
    <cellStyle name="Note 4 9 2 2 3" xfId="48014"/>
    <cellStyle name="Note 4 9 2 3" xfId="48015"/>
    <cellStyle name="Note 4 9 2 3 2" xfId="48016"/>
    <cellStyle name="Note 4 9 2 4" xfId="48017"/>
    <cellStyle name="Note 4 9 2 5" xfId="48018"/>
    <cellStyle name="Note 4 9 3" xfId="48019"/>
    <cellStyle name="Note 4 9 3 2" xfId="48020"/>
    <cellStyle name="Note 4 9 3 2 2" xfId="48021"/>
    <cellStyle name="Note 4 9 3 3" xfId="48022"/>
    <cellStyle name="Note 4 9 3 4" xfId="48023"/>
    <cellStyle name="Note 4 9 4" xfId="48024"/>
    <cellStyle name="Note 4 9 4 2" xfId="48025"/>
    <cellStyle name="Note 4 9 4 2 2" xfId="48026"/>
    <cellStyle name="Note 4 9 4 3" xfId="48027"/>
    <cellStyle name="Note 4 9 4 4" xfId="48028"/>
    <cellStyle name="Note 4 9 5" xfId="48029"/>
    <cellStyle name="Note 4 9 5 2" xfId="48030"/>
    <cellStyle name="Note 4 9 6" xfId="48031"/>
    <cellStyle name="Note 4 9 7" xfId="48032"/>
    <cellStyle name="Note 4 9 8" xfId="48033"/>
    <cellStyle name="Note 4_BHP 4Q 2010 Ops Review Senior Managment " xfId="48034"/>
    <cellStyle name="Note 5" xfId="48035"/>
    <cellStyle name="Note 5 2" xfId="48036"/>
    <cellStyle name="Note 5 2 10" xfId="48037"/>
    <cellStyle name="Note 5 2 2" xfId="48038"/>
    <cellStyle name="Note 5 2 2 2" xfId="48039"/>
    <cellStyle name="Note 5 2 2 2 2" xfId="48040"/>
    <cellStyle name="Note 5 2 2 3" xfId="48041"/>
    <cellStyle name="Note 5 2 3" xfId="48042"/>
    <cellStyle name="Note 5 2 3 2" xfId="48043"/>
    <cellStyle name="Note 5 2 3 2 2" xfId="48044"/>
    <cellStyle name="Note 5 2 3 3" xfId="48045"/>
    <cellStyle name="Note 5 2 4" xfId="48046"/>
    <cellStyle name="Note 5 2 4 2" xfId="48047"/>
    <cellStyle name="Note 5 2 4 2 2" xfId="48048"/>
    <cellStyle name="Note 5 2 4 3" xfId="48049"/>
    <cellStyle name="Note 5 2 5" xfId="48050"/>
    <cellStyle name="Note 5 2 5 2" xfId="48051"/>
    <cellStyle name="Note 5 2 5 2 2" xfId="48052"/>
    <cellStyle name="Note 5 2 5 3" xfId="48053"/>
    <cellStyle name="Note 5 2 6" xfId="48054"/>
    <cellStyle name="Note 5 2 6 2" xfId="48055"/>
    <cellStyle name="Note 5 2 6 2 2" xfId="48056"/>
    <cellStyle name="Note 5 2 6 3" xfId="48057"/>
    <cellStyle name="Note 5 2 7" xfId="48058"/>
    <cellStyle name="Note 5 2 7 2" xfId="48059"/>
    <cellStyle name="Note 5 2 7 3" xfId="48060"/>
    <cellStyle name="Note 5 2 8" xfId="48061"/>
    <cellStyle name="Note 5 2 8 2" xfId="48062"/>
    <cellStyle name="Note 5 2 8 3" xfId="48063"/>
    <cellStyle name="Note 5 2 9" xfId="48064"/>
    <cellStyle name="Note 5 2 9 2" xfId="48065"/>
    <cellStyle name="Note 5 2_CLFP Executive Summary - 2009 December" xfId="48066"/>
    <cellStyle name="Note 5 3" xfId="48067"/>
    <cellStyle name="Note 5 3 2" xfId="48068"/>
    <cellStyle name="Note 5 3 2 2" xfId="48069"/>
    <cellStyle name="Note 5 3 3" xfId="48070"/>
    <cellStyle name="Note 5 4" xfId="48071"/>
    <cellStyle name="Note 5 4 2" xfId="48072"/>
    <cellStyle name="Note 5 4 3" xfId="48073"/>
    <cellStyle name="Note 5 5" xfId="48074"/>
    <cellStyle name="Note 5 5 2" xfId="48075"/>
    <cellStyle name="Note 5 6" xfId="48076"/>
    <cellStyle name="Note 5 7" xfId="48077"/>
    <cellStyle name="Note 5 7 2" xfId="48078"/>
    <cellStyle name="Note 5 7 2 2" xfId="48079"/>
    <cellStyle name="Note 5 7 2 2 2" xfId="48080"/>
    <cellStyle name="Note 5 7 2 2 3" xfId="48081"/>
    <cellStyle name="Note 5 7 2 3" xfId="48082"/>
    <cellStyle name="Note 5 7 2 3 2" xfId="48083"/>
    <cellStyle name="Note 5 7 2 4" xfId="48084"/>
    <cellStyle name="Note 5 7 2 5" xfId="48085"/>
    <cellStyle name="Note 5 7 3" xfId="48086"/>
    <cellStyle name="Note 5 7 3 2" xfId="48087"/>
    <cellStyle name="Note 5 7 3 2 2" xfId="48088"/>
    <cellStyle name="Note 5 7 3 3" xfId="48089"/>
    <cellStyle name="Note 5 7 3 4" xfId="48090"/>
    <cellStyle name="Note 5 7 4" xfId="48091"/>
    <cellStyle name="Note 5 7 4 2" xfId="48092"/>
    <cellStyle name="Note 5 7 4 2 2" xfId="48093"/>
    <cellStyle name="Note 5 7 4 3" xfId="48094"/>
    <cellStyle name="Note 5 7 4 4" xfId="48095"/>
    <cellStyle name="Note 5 7 5" xfId="48096"/>
    <cellStyle name="Note 5 7 5 2" xfId="48097"/>
    <cellStyle name="Note 5 7 6" xfId="48098"/>
    <cellStyle name="Note 5 7 7" xfId="48099"/>
    <cellStyle name="Note 5 7 8" xfId="48100"/>
    <cellStyle name="Note 5 8" xfId="48101"/>
    <cellStyle name="Note 5 8 2" xfId="48102"/>
    <cellStyle name="Note 5 8 2 2" xfId="48103"/>
    <cellStyle name="Note 5 8 2 2 2" xfId="48104"/>
    <cellStyle name="Note 5 8 2 2 3" xfId="48105"/>
    <cellStyle name="Note 5 8 2 3" xfId="48106"/>
    <cellStyle name="Note 5 8 2 3 2" xfId="48107"/>
    <cellStyle name="Note 5 8 2 4" xfId="48108"/>
    <cellStyle name="Note 5 8 2 5" xfId="48109"/>
    <cellStyle name="Note 5 8 3" xfId="48110"/>
    <cellStyle name="Note 5 8 3 2" xfId="48111"/>
    <cellStyle name="Note 5 8 3 2 2" xfId="48112"/>
    <cellStyle name="Note 5 8 3 3" xfId="48113"/>
    <cellStyle name="Note 5 8 3 4" xfId="48114"/>
    <cellStyle name="Note 5 8 4" xfId="48115"/>
    <cellStyle name="Note 5 8 4 2" xfId="48116"/>
    <cellStyle name="Note 5 8 4 2 2" xfId="48117"/>
    <cellStyle name="Note 5 8 4 3" xfId="48118"/>
    <cellStyle name="Note 5 8 4 4" xfId="48119"/>
    <cellStyle name="Note 5 8 5" xfId="48120"/>
    <cellStyle name="Note 5 8 5 2" xfId="48121"/>
    <cellStyle name="Note 5 8 6" xfId="48122"/>
    <cellStyle name="Note 5 8 7" xfId="48123"/>
    <cellStyle name="Note 5 8 8" xfId="48124"/>
    <cellStyle name="Note 5_1-10 BHU IS" xfId="48125"/>
    <cellStyle name="Note 6" xfId="48126"/>
    <cellStyle name="Note 6 2" xfId="48127"/>
    <cellStyle name="Note 6 2 2" xfId="48128"/>
    <cellStyle name="Note 6 2 2 2" xfId="48129"/>
    <cellStyle name="Note 6 2 3" xfId="48130"/>
    <cellStyle name="Note 6 3" xfId="48131"/>
    <cellStyle name="Note 6 3 2" xfId="48132"/>
    <cellStyle name="Note 6 4" xfId="48133"/>
    <cellStyle name="Note 6 4 2" xfId="48134"/>
    <cellStyle name="Note 6 5" xfId="48135"/>
    <cellStyle name="Note 7" xfId="48136"/>
    <cellStyle name="Note 7 2" xfId="48137"/>
    <cellStyle name="Note 7 2 2" xfId="48138"/>
    <cellStyle name="Note 7 2 3" xfId="48139"/>
    <cellStyle name="Note 7 3" xfId="48140"/>
    <cellStyle name="Note 7 3 2" xfId="48141"/>
    <cellStyle name="Note 7 4" xfId="48142"/>
    <cellStyle name="Note 8" xfId="48143"/>
    <cellStyle name="Note 8 2" xfId="48144"/>
    <cellStyle name="Note 8 2 2" xfId="48145"/>
    <cellStyle name="Note 8 2 3" xfId="48146"/>
    <cellStyle name="Note 8 3" xfId="48147"/>
    <cellStyle name="Note 8 3 2" xfId="48148"/>
    <cellStyle name="Note 8 4" xfId="48149"/>
    <cellStyle name="Note 9" xfId="48150"/>
    <cellStyle name="Note 9 2" xfId="48151"/>
    <cellStyle name="Note 9 2 2" xfId="48152"/>
    <cellStyle name="Note 9 2 3" xfId="48153"/>
    <cellStyle name="Note 9 3" xfId="48154"/>
    <cellStyle name="Note 9 3 2" xfId="48155"/>
    <cellStyle name="Note 9 4" xfId="48156"/>
    <cellStyle name="Number_A" xfId="4902"/>
    <cellStyle name="numbtext" xfId="4903"/>
    <cellStyle name="NumColmHd" xfId="114"/>
    <cellStyle name="Output 10" xfId="48157"/>
    <cellStyle name="Output 10 2" xfId="48158"/>
    <cellStyle name="Output 10 2 2" xfId="48159"/>
    <cellStyle name="Output 10 2 3" xfId="48160"/>
    <cellStyle name="Output 10 3" xfId="48161"/>
    <cellStyle name="Output 10 3 2" xfId="48162"/>
    <cellStyle name="Output 10 4" xfId="48163"/>
    <cellStyle name="Output 11" xfId="48164"/>
    <cellStyle name="Output 11 2" xfId="48165"/>
    <cellStyle name="Output 11 2 2" xfId="48166"/>
    <cellStyle name="Output 11 2 3" xfId="48167"/>
    <cellStyle name="Output 11 3" xfId="48168"/>
    <cellStyle name="Output 11 3 2" xfId="48169"/>
    <cellStyle name="Output 11 4" xfId="48170"/>
    <cellStyle name="Output 12" xfId="48171"/>
    <cellStyle name="Output 12 2" xfId="48172"/>
    <cellStyle name="Output 12 2 2" xfId="48173"/>
    <cellStyle name="Output 12 3" xfId="48174"/>
    <cellStyle name="Output 13" xfId="48175"/>
    <cellStyle name="Output 13 2" xfId="48176"/>
    <cellStyle name="Output 13 2 2" xfId="48177"/>
    <cellStyle name="Output 13 3" xfId="48178"/>
    <cellStyle name="Output 14" xfId="48179"/>
    <cellStyle name="Output 14 2" xfId="48180"/>
    <cellStyle name="Output 14 2 2" xfId="48181"/>
    <cellStyle name="Output 14 3" xfId="48182"/>
    <cellStyle name="Output 15" xfId="48183"/>
    <cellStyle name="Output 15 2" xfId="48184"/>
    <cellStyle name="Output 15 2 2" xfId="48185"/>
    <cellStyle name="Output 15 3" xfId="48186"/>
    <cellStyle name="Output 16" xfId="48187"/>
    <cellStyle name="Output 16 2" xfId="48188"/>
    <cellStyle name="Output 16 3" xfId="48189"/>
    <cellStyle name="Output 17" xfId="48190"/>
    <cellStyle name="Output 18" xfId="48191"/>
    <cellStyle name="Output 2" xfId="89"/>
    <cellStyle name="Output 2 10" xfId="48192"/>
    <cellStyle name="Output 2 10 2" xfId="48193"/>
    <cellStyle name="Output 2 10 3" xfId="48194"/>
    <cellStyle name="Output 2 11" xfId="48195"/>
    <cellStyle name="Output 2 11 2" xfId="48196"/>
    <cellStyle name="Output 2 11 3" xfId="48197"/>
    <cellStyle name="Output 2 12" xfId="48198"/>
    <cellStyle name="Output 2 12 2" xfId="48199"/>
    <cellStyle name="Output 2 12 3" xfId="48200"/>
    <cellStyle name="Output 2 13" xfId="48201"/>
    <cellStyle name="Output 2 13 2" xfId="48202"/>
    <cellStyle name="Output 2 14" xfId="48203"/>
    <cellStyle name="Output 2 14 2" xfId="48204"/>
    <cellStyle name="Output 2 15" xfId="48205"/>
    <cellStyle name="Output 2 16" xfId="48206"/>
    <cellStyle name="Output 2 17" xfId="48207"/>
    <cellStyle name="Output 2 2" xfId="4904"/>
    <cellStyle name="Output 2 2 10" xfId="48208"/>
    <cellStyle name="Output 2 2 10 2" xfId="48209"/>
    <cellStyle name="Output 2 2 10 3" xfId="48210"/>
    <cellStyle name="Output 2 2 11" xfId="48211"/>
    <cellStyle name="Output 2 2 11 2" xfId="48212"/>
    <cellStyle name="Output 2 2 12" xfId="48213"/>
    <cellStyle name="Output 2 2 13" xfId="48214"/>
    <cellStyle name="Output 2 2 2" xfId="4905"/>
    <cellStyle name="Output 2 2 2 10" xfId="48215"/>
    <cellStyle name="Output 2 2 2 10 2" xfId="48216"/>
    <cellStyle name="Output 2 2 2 10 3" xfId="48217"/>
    <cellStyle name="Output 2 2 2 11" xfId="48218"/>
    <cellStyle name="Output 2 2 2 12" xfId="48219"/>
    <cellStyle name="Output 2 2 2 13" xfId="48220"/>
    <cellStyle name="Output 2 2 2 2" xfId="4906"/>
    <cellStyle name="Output 2 2 2 2 2" xfId="4907"/>
    <cellStyle name="Output 2 2 2 2 2 2" xfId="4908"/>
    <cellStyle name="Output 2 2 2 2 2 3" xfId="4909"/>
    <cellStyle name="Output 2 2 2 2 3" xfId="4910"/>
    <cellStyle name="Output 2 2 2 2 4" xfId="4911"/>
    <cellStyle name="Output 2 2 2 3" xfId="4912"/>
    <cellStyle name="Output 2 2 2 3 2" xfId="4913"/>
    <cellStyle name="Output 2 2 2 3 3" xfId="4914"/>
    <cellStyle name="Output 2 2 2 4" xfId="4915"/>
    <cellStyle name="Output 2 2 2 4 2" xfId="4916"/>
    <cellStyle name="Output 2 2 2 4 3" xfId="4917"/>
    <cellStyle name="Output 2 2 2 5" xfId="4918"/>
    <cellStyle name="Output 2 2 2 5 2" xfId="4919"/>
    <cellStyle name="Output 2 2 2 5 3" xfId="4920"/>
    <cellStyle name="Output 2 2 2 6" xfId="4921"/>
    <cellStyle name="Output 2 2 2 6 2" xfId="4922"/>
    <cellStyle name="Output 2 2 2 6 3" xfId="4923"/>
    <cellStyle name="Output 2 2 2 7" xfId="4924"/>
    <cellStyle name="Output 2 2 2 7 2" xfId="4925"/>
    <cellStyle name="Output 2 2 2 7 3" xfId="4926"/>
    <cellStyle name="Output 2 2 2 8" xfId="4927"/>
    <cellStyle name="Output 2 2 2 8 2" xfId="48221"/>
    <cellStyle name="Output 2 2 2 8 3" xfId="48222"/>
    <cellStyle name="Output 2 2 2 9" xfId="4928"/>
    <cellStyle name="Output 2 2 2 9 2" xfId="48223"/>
    <cellStyle name="Output 2 2 2 9 3" xfId="48224"/>
    <cellStyle name="Output 2 2 2_BHP 4Q 2010 Ops Review Senior Managment " xfId="48225"/>
    <cellStyle name="Output 2 2 3" xfId="48226"/>
    <cellStyle name="Output 2 2 3 2" xfId="48227"/>
    <cellStyle name="Output 2 2 3 3" xfId="48228"/>
    <cellStyle name="Output 2 2 4" xfId="48229"/>
    <cellStyle name="Output 2 2 4 2" xfId="48230"/>
    <cellStyle name="Output 2 2 4 3" xfId="48231"/>
    <cellStyle name="Output 2 2 5" xfId="48232"/>
    <cellStyle name="Output 2 2 5 2" xfId="48233"/>
    <cellStyle name="Output 2 2 5 3" xfId="48234"/>
    <cellStyle name="Output 2 2 6" xfId="48235"/>
    <cellStyle name="Output 2 2 6 2" xfId="48236"/>
    <cellStyle name="Output 2 2 6 3" xfId="48237"/>
    <cellStyle name="Output 2 2 7" xfId="48238"/>
    <cellStyle name="Output 2 2 7 2" xfId="48239"/>
    <cellStyle name="Output 2 2 7 3" xfId="48240"/>
    <cellStyle name="Output 2 2 8" xfId="48241"/>
    <cellStyle name="Output 2 2 8 2" xfId="48242"/>
    <cellStyle name="Output 2 2 8 3" xfId="48243"/>
    <cellStyle name="Output 2 2 9" xfId="48244"/>
    <cellStyle name="Output 2 2 9 2" xfId="48245"/>
    <cellStyle name="Output 2 2 9 3" xfId="48246"/>
    <cellStyle name="Output 2 2_BHP 4Q 2010 Ops Review Senior Managment " xfId="48247"/>
    <cellStyle name="Output 2 3" xfId="4929"/>
    <cellStyle name="Output 2 3 2" xfId="4930"/>
    <cellStyle name="Output 2 3 2 2" xfId="4931"/>
    <cellStyle name="Output 2 3 2 2 2" xfId="4932"/>
    <cellStyle name="Output 2 3 2 2 3" xfId="4933"/>
    <cellStyle name="Output 2 3 2 3" xfId="4934"/>
    <cellStyle name="Output 2 3 2 4" xfId="4935"/>
    <cellStyle name="Output 2 3 3" xfId="4936"/>
    <cellStyle name="Output 2 3 3 2" xfId="4937"/>
    <cellStyle name="Output 2 3 3 3" xfId="4938"/>
    <cellStyle name="Output 2 3 4" xfId="4939"/>
    <cellStyle name="Output 2 3 4 2" xfId="4940"/>
    <cellStyle name="Output 2 3 4 3" xfId="4941"/>
    <cellStyle name="Output 2 3 5" xfId="4942"/>
    <cellStyle name="Output 2 3 5 2" xfId="4943"/>
    <cellStyle name="Output 2 3 5 3" xfId="4944"/>
    <cellStyle name="Output 2 3 6" xfId="4945"/>
    <cellStyle name="Output 2 3 6 2" xfId="4946"/>
    <cellStyle name="Output 2 3 6 3" xfId="4947"/>
    <cellStyle name="Output 2 3 7" xfId="4948"/>
    <cellStyle name="Output 2 3 7 2" xfId="4949"/>
    <cellStyle name="Output 2 3 7 3" xfId="4950"/>
    <cellStyle name="Output 2 3 8" xfId="4951"/>
    <cellStyle name="Output 2 3 9" xfId="4952"/>
    <cellStyle name="Output 2 4" xfId="48248"/>
    <cellStyle name="Output 2 4 2" xfId="48249"/>
    <cellStyle name="Output 2 4 2 2" xfId="48250"/>
    <cellStyle name="Output 2 4 3" xfId="48251"/>
    <cellStyle name="Output 2 5" xfId="48252"/>
    <cellStyle name="Output 2 5 2" xfId="48253"/>
    <cellStyle name="Output 2 5 2 2" xfId="48254"/>
    <cellStyle name="Output 2 5 3" xfId="48255"/>
    <cellStyle name="Output 2 6" xfId="48256"/>
    <cellStyle name="Output 2 6 2" xfId="48257"/>
    <cellStyle name="Output 2 6 2 2" xfId="48258"/>
    <cellStyle name="Output 2 6 3" xfId="48259"/>
    <cellStyle name="Output 2 7" xfId="48260"/>
    <cellStyle name="Output 2 7 2" xfId="48261"/>
    <cellStyle name="Output 2 7 2 2" xfId="48262"/>
    <cellStyle name="Output 2 7 3" xfId="48263"/>
    <cellStyle name="Output 2 8" xfId="48264"/>
    <cellStyle name="Output 2 8 2" xfId="48265"/>
    <cellStyle name="Output 2 8 3" xfId="48266"/>
    <cellStyle name="Output 2 9" xfId="48267"/>
    <cellStyle name="Output 2 9 2" xfId="48268"/>
    <cellStyle name="Output 2 9 3" xfId="48269"/>
    <cellStyle name="Output 2_1-10 BHU IS" xfId="48270"/>
    <cellStyle name="Output 3" xfId="4953"/>
    <cellStyle name="Output 3 2" xfId="4954"/>
    <cellStyle name="Output 3 2 2" xfId="4955"/>
    <cellStyle name="Output 3 2 2 2" xfId="4956"/>
    <cellStyle name="Output 3 2 2 2 2" xfId="4957"/>
    <cellStyle name="Output 3 2 2 2 3" xfId="4958"/>
    <cellStyle name="Output 3 2 2 3" xfId="4959"/>
    <cellStyle name="Output 3 2 2 4" xfId="4960"/>
    <cellStyle name="Output 3 2 3" xfId="4961"/>
    <cellStyle name="Output 3 2 3 2" xfId="4962"/>
    <cellStyle name="Output 3 2 3 3" xfId="4963"/>
    <cellStyle name="Output 3 2 4" xfId="4964"/>
    <cellStyle name="Output 3 2 4 2" xfId="4965"/>
    <cellStyle name="Output 3 2 4 3" xfId="4966"/>
    <cellStyle name="Output 3 2 5" xfId="4967"/>
    <cellStyle name="Output 3 2 5 2" xfId="4968"/>
    <cellStyle name="Output 3 2 5 3" xfId="4969"/>
    <cellStyle name="Output 3 2 6" xfId="4970"/>
    <cellStyle name="Output 3 2 6 2" xfId="4971"/>
    <cellStyle name="Output 3 2 6 3" xfId="4972"/>
    <cellStyle name="Output 3 2 7" xfId="4973"/>
    <cellStyle name="Output 3 2 7 2" xfId="4974"/>
    <cellStyle name="Output 3 2 7 3" xfId="4975"/>
    <cellStyle name="Output 3 2 8" xfId="4976"/>
    <cellStyle name="Output 3 2 9" xfId="4977"/>
    <cellStyle name="Output 3 2_Dakota Panel" xfId="48271"/>
    <cellStyle name="Output 3 3" xfId="48272"/>
    <cellStyle name="Output 3 3 2" xfId="48273"/>
    <cellStyle name="Output 3 3 3" xfId="48274"/>
    <cellStyle name="Output 3 4" xfId="48275"/>
    <cellStyle name="Output 3 5" xfId="48276"/>
    <cellStyle name="Output 3_1-10 BHU IS" xfId="48277"/>
    <cellStyle name="Output 4" xfId="4978"/>
    <cellStyle name="Output 4 2" xfId="4979"/>
    <cellStyle name="Output 4 2 2" xfId="4980"/>
    <cellStyle name="Output 4 2 2 2" xfId="4981"/>
    <cellStyle name="Output 4 2 2 2 2" xfId="4982"/>
    <cellStyle name="Output 4 2 2 2 3" xfId="4983"/>
    <cellStyle name="Output 4 2 2 3" xfId="4984"/>
    <cellStyle name="Output 4 2 2 4" xfId="4985"/>
    <cellStyle name="Output 4 2 3" xfId="4986"/>
    <cellStyle name="Output 4 2 3 2" xfId="4987"/>
    <cellStyle name="Output 4 2 3 3" xfId="4988"/>
    <cellStyle name="Output 4 2 4" xfId="4989"/>
    <cellStyle name="Output 4 2 4 2" xfId="4990"/>
    <cellStyle name="Output 4 2 4 3" xfId="4991"/>
    <cellStyle name="Output 4 2 5" xfId="4992"/>
    <cellStyle name="Output 4 2 5 2" xfId="4993"/>
    <cellStyle name="Output 4 2 5 3" xfId="4994"/>
    <cellStyle name="Output 4 2 6" xfId="4995"/>
    <cellStyle name="Output 4 2 6 2" xfId="4996"/>
    <cellStyle name="Output 4 2 6 3" xfId="4997"/>
    <cellStyle name="Output 4 2 7" xfId="4998"/>
    <cellStyle name="Output 4 2 7 2" xfId="4999"/>
    <cellStyle name="Output 4 2 7 3" xfId="5000"/>
    <cellStyle name="Output 4 2 8" xfId="5001"/>
    <cellStyle name="Output 4 2 9" xfId="5002"/>
    <cellStyle name="Output 4 3" xfId="48278"/>
    <cellStyle name="Output 4 3 2" xfId="48279"/>
    <cellStyle name="Output 4 4" xfId="48280"/>
    <cellStyle name="Output 4_1-10 BHU IS" xfId="48281"/>
    <cellStyle name="Output 5" xfId="48282"/>
    <cellStyle name="Output 5 2" xfId="48283"/>
    <cellStyle name="Output 5 2 2" xfId="48284"/>
    <cellStyle name="Output 5 2 2 2" xfId="48285"/>
    <cellStyle name="Output 5 2 3" xfId="48286"/>
    <cellStyle name="Output 5 3" xfId="48287"/>
    <cellStyle name="Output 5 3 2" xfId="48288"/>
    <cellStyle name="Output 5 4" xfId="48289"/>
    <cellStyle name="Output 5_1-10 BHU IS" xfId="48290"/>
    <cellStyle name="Output 6" xfId="48291"/>
    <cellStyle name="Output 6 2" xfId="48292"/>
    <cellStyle name="Output 6 2 2" xfId="48293"/>
    <cellStyle name="Output 6 2 3" xfId="48294"/>
    <cellStyle name="Output 6 3" xfId="48295"/>
    <cellStyle name="Output 6 3 2" xfId="48296"/>
    <cellStyle name="Output 6 4" xfId="48297"/>
    <cellStyle name="Output 7" xfId="48298"/>
    <cellStyle name="Output 7 2" xfId="48299"/>
    <cellStyle name="Output 7 2 2" xfId="48300"/>
    <cellStyle name="Output 7 2 3" xfId="48301"/>
    <cellStyle name="Output 7 3" xfId="48302"/>
    <cellStyle name="Output 7 3 2" xfId="48303"/>
    <cellStyle name="Output 7 4" xfId="48304"/>
    <cellStyle name="Output 8" xfId="48305"/>
    <cellStyle name="Output 8 2" xfId="48306"/>
    <cellStyle name="Output 8 2 2" xfId="48307"/>
    <cellStyle name="Output 8 2 3" xfId="48308"/>
    <cellStyle name="Output 8 3" xfId="48309"/>
    <cellStyle name="Output 8 3 2" xfId="48310"/>
    <cellStyle name="Output 8 4" xfId="48311"/>
    <cellStyle name="Output 9" xfId="48312"/>
    <cellStyle name="Output 9 2" xfId="48313"/>
    <cellStyle name="Output 9 2 2" xfId="48314"/>
    <cellStyle name="Output 9 2 3" xfId="48315"/>
    <cellStyle name="Output 9 3" xfId="48316"/>
    <cellStyle name="Output 9 3 2" xfId="48317"/>
    <cellStyle name="Output 9 4" xfId="48318"/>
    <cellStyle name="per.style" xfId="5003"/>
    <cellStyle name="Percent" xfId="2" builtinId="5"/>
    <cellStyle name="Percent (0.0)" xfId="5004"/>
    <cellStyle name="Percent (0.0) 2" xfId="5005"/>
    <cellStyle name="Percent [0 Decimal]" xfId="48319"/>
    <cellStyle name="Percent [0 Decimal] 2" xfId="48320"/>
    <cellStyle name="Percent [0 Decimal] 2 2" xfId="48321"/>
    <cellStyle name="Percent [0 Decimal] 2 2 2" xfId="48322"/>
    <cellStyle name="Percent [0 Decimal] 2 3" xfId="48323"/>
    <cellStyle name="Percent [0 Decimal] 3" xfId="48324"/>
    <cellStyle name="Percent [0 Decimal] 4" xfId="48325"/>
    <cellStyle name="Percent [0 Decimal]_Dakota Panel" xfId="48326"/>
    <cellStyle name="Percent [0]" xfId="5006"/>
    <cellStyle name="Percent [00]" xfId="5007"/>
    <cellStyle name="Percent [00] 2" xfId="5008"/>
    <cellStyle name="Percent [2 Decimal]" xfId="48327"/>
    <cellStyle name="Percent [2 Decimal] 2" xfId="48328"/>
    <cellStyle name="Percent [2 Decimal] 2 2" xfId="48329"/>
    <cellStyle name="Percent [2 Decimal] 2 2 2" xfId="48330"/>
    <cellStyle name="Percent [2 Decimal] 2 3" xfId="48331"/>
    <cellStyle name="Percent [2 Decimal] 3" xfId="48332"/>
    <cellStyle name="Percent [2 Decimal] 4" xfId="48333"/>
    <cellStyle name="Percent [2 Decimal]_Dakota Panel" xfId="48334"/>
    <cellStyle name="Percent [2]" xfId="5009"/>
    <cellStyle name="Percent [2] 10" xfId="5010"/>
    <cellStyle name="Percent [2] 10 2" xfId="5011"/>
    <cellStyle name="Percent [2] 2" xfId="5012"/>
    <cellStyle name="Percent [2] 2 2" xfId="5013"/>
    <cellStyle name="Percent [2] 2 2 2" xfId="48335"/>
    <cellStyle name="Percent [2] 2 2 3" xfId="48336"/>
    <cellStyle name="Percent [2] 2 3" xfId="48337"/>
    <cellStyle name="Percent [2] 2 4" xfId="48338"/>
    <cellStyle name="Percent [2] 2_Dakota Panel" xfId="48339"/>
    <cellStyle name="Percent [2] 3" xfId="5014"/>
    <cellStyle name="Percent [2] 3 2" xfId="5015"/>
    <cellStyle name="Percent [2] 3 2 2" xfId="48340"/>
    <cellStyle name="Percent [2] 3 3" xfId="48341"/>
    <cellStyle name="Percent [2] 4" xfId="5016"/>
    <cellStyle name="Percent [2] 4 2" xfId="5017"/>
    <cellStyle name="Percent [2] 5" xfId="5018"/>
    <cellStyle name="Percent [2] 5 2" xfId="5019"/>
    <cellStyle name="Percent [2] 6" xfId="5020"/>
    <cellStyle name="Percent [2] 6 2" xfId="5021"/>
    <cellStyle name="Percent [2] 7" xfId="5022"/>
    <cellStyle name="Percent [2] 7 2" xfId="5023"/>
    <cellStyle name="Percent [2] 8" xfId="5024"/>
    <cellStyle name="Percent [2] 8 2" xfId="5025"/>
    <cellStyle name="Percent [2] 9" xfId="5026"/>
    <cellStyle name="Percent [2] 9 2" xfId="5027"/>
    <cellStyle name="Percent [2]_Dakota Panel" xfId="48342"/>
    <cellStyle name="Percent 10" xfId="107"/>
    <cellStyle name="Percent 10 2" xfId="5028"/>
    <cellStyle name="Percent 10 2 2" xfId="48343"/>
    <cellStyle name="Percent 10 2 3" xfId="48344"/>
    <cellStyle name="Percent 10 3" xfId="5029"/>
    <cellStyle name="Percent 10 3 2" xfId="48345"/>
    <cellStyle name="Percent 10 3 3" xfId="48346"/>
    <cellStyle name="Percent 10 4" xfId="5030"/>
    <cellStyle name="Percent 10 4 2" xfId="48347"/>
    <cellStyle name="Percent 10 5" xfId="48348"/>
    <cellStyle name="Percent 10 5 2" xfId="48349"/>
    <cellStyle name="Percent 10 6" xfId="48350"/>
    <cellStyle name="Percent 10 7" xfId="48351"/>
    <cellStyle name="Percent 10_Dakota Panel" xfId="48352"/>
    <cellStyle name="Percent 100" xfId="48353"/>
    <cellStyle name="Percent 100 2" xfId="48354"/>
    <cellStyle name="Percent 100_Dakota Panel" xfId="48355"/>
    <cellStyle name="Percent 101" xfId="48356"/>
    <cellStyle name="Percent 101 2" xfId="48357"/>
    <cellStyle name="Percent 101_Dakota Panel" xfId="48358"/>
    <cellStyle name="Percent 102" xfId="48359"/>
    <cellStyle name="Percent 102 2" xfId="48360"/>
    <cellStyle name="Percent 102_Dakota Panel" xfId="48361"/>
    <cellStyle name="Percent 103" xfId="48362"/>
    <cellStyle name="Percent 103 2" xfId="48363"/>
    <cellStyle name="Percent 103_Dakota Panel" xfId="48364"/>
    <cellStyle name="Percent 104" xfId="48365"/>
    <cellStyle name="Percent 104 2" xfId="48366"/>
    <cellStyle name="Percent 104_Dakota Panel" xfId="48367"/>
    <cellStyle name="Percent 105" xfId="48368"/>
    <cellStyle name="Percent 105 2" xfId="48369"/>
    <cellStyle name="Percent 105_Dakota Panel" xfId="48370"/>
    <cellStyle name="Percent 106" xfId="48371"/>
    <cellStyle name="Percent 106 2" xfId="48372"/>
    <cellStyle name="Percent 106_Dakota Panel" xfId="48373"/>
    <cellStyle name="Percent 107" xfId="48374"/>
    <cellStyle name="Percent 107 2" xfId="48375"/>
    <cellStyle name="Percent 107_Dakota Panel" xfId="48376"/>
    <cellStyle name="Percent 108" xfId="48377"/>
    <cellStyle name="Percent 108 2" xfId="48378"/>
    <cellStyle name="Percent 108_Dakota Panel" xfId="48379"/>
    <cellStyle name="Percent 109" xfId="48380"/>
    <cellStyle name="Percent 109 2" xfId="48381"/>
    <cellStyle name="Percent 109_Dakota Panel" xfId="48382"/>
    <cellStyle name="Percent 11" xfId="137"/>
    <cellStyle name="Percent 11 2" xfId="5031"/>
    <cellStyle name="Percent 11 2 2" xfId="48383"/>
    <cellStyle name="Percent 11 2 3" xfId="48384"/>
    <cellStyle name="Percent 11 3" xfId="48385"/>
    <cellStyle name="Percent 11 3 2" xfId="48386"/>
    <cellStyle name="Percent 11 3 3" xfId="48387"/>
    <cellStyle name="Percent 11 4" xfId="48388"/>
    <cellStyle name="Percent 11 4 2" xfId="48389"/>
    <cellStyle name="Percent 11 5" xfId="48390"/>
    <cellStyle name="Percent 11 5 2" xfId="48391"/>
    <cellStyle name="Percent 11 6" xfId="48392"/>
    <cellStyle name="Percent 11 7" xfId="48393"/>
    <cellStyle name="Percent 11_Dakota Panel" xfId="48394"/>
    <cellStyle name="Percent 110" xfId="48395"/>
    <cellStyle name="Percent 110 2" xfId="48396"/>
    <cellStyle name="Percent 110_Dakota Panel" xfId="48397"/>
    <cellStyle name="Percent 111" xfId="48398"/>
    <cellStyle name="Percent 111 2" xfId="48399"/>
    <cellStyle name="Percent 111_Dakota Panel" xfId="48400"/>
    <cellStyle name="Percent 112" xfId="48401"/>
    <cellStyle name="Percent 112 2" xfId="48402"/>
    <cellStyle name="Percent 112_Dakota Panel" xfId="48403"/>
    <cellStyle name="Percent 113" xfId="48404"/>
    <cellStyle name="Percent 113 2" xfId="48405"/>
    <cellStyle name="Percent 113_Dakota Panel" xfId="48406"/>
    <cellStyle name="Percent 114" xfId="48407"/>
    <cellStyle name="Percent 114 2" xfId="48408"/>
    <cellStyle name="Percent 114_Dakota Panel" xfId="48409"/>
    <cellStyle name="Percent 115" xfId="48410"/>
    <cellStyle name="Percent 115 2" xfId="48411"/>
    <cellStyle name="Percent 115_Dakota Panel" xfId="48412"/>
    <cellStyle name="Percent 116" xfId="48413"/>
    <cellStyle name="Percent 116 2" xfId="48414"/>
    <cellStyle name="Percent 116_Dakota Panel" xfId="48415"/>
    <cellStyle name="Percent 117" xfId="48416"/>
    <cellStyle name="Percent 117 2" xfId="48417"/>
    <cellStyle name="Percent 117_Dakota Panel" xfId="48418"/>
    <cellStyle name="Percent 118" xfId="48419"/>
    <cellStyle name="Percent 118 2" xfId="48420"/>
    <cellStyle name="Percent 118_Dakota Panel" xfId="48421"/>
    <cellStyle name="Percent 119" xfId="48422"/>
    <cellStyle name="Percent 119 2" xfId="48423"/>
    <cellStyle name="Percent 119_Dakota Panel" xfId="48424"/>
    <cellStyle name="Percent 12" xfId="5032"/>
    <cellStyle name="Percent 12 2" xfId="5033"/>
    <cellStyle name="Percent 12 2 2" xfId="48425"/>
    <cellStyle name="Percent 12 2 3" xfId="48426"/>
    <cellStyle name="Percent 12 3" xfId="48427"/>
    <cellStyle name="Percent 12 3 2" xfId="48428"/>
    <cellStyle name="Percent 12 3 3" xfId="48429"/>
    <cellStyle name="Percent 12 4" xfId="48430"/>
    <cellStyle name="Percent 12 4 2" xfId="48431"/>
    <cellStyle name="Percent 12 4 3" xfId="48432"/>
    <cellStyle name="Percent 12 5" xfId="48433"/>
    <cellStyle name="Percent 12 5 2" xfId="48434"/>
    <cellStyle name="Percent 12 6" xfId="48435"/>
    <cellStyle name="Percent 12 6 2" xfId="48436"/>
    <cellStyle name="Percent 12 7" xfId="48437"/>
    <cellStyle name="Percent 12 8" xfId="48438"/>
    <cellStyle name="Percent 12_Dakota Panel" xfId="48439"/>
    <cellStyle name="Percent 120" xfId="48440"/>
    <cellStyle name="Percent 120 2" xfId="48441"/>
    <cellStyle name="Percent 120_Dakota Panel" xfId="48442"/>
    <cellStyle name="Percent 121" xfId="48443"/>
    <cellStyle name="Percent 121 2" xfId="48444"/>
    <cellStyle name="Percent 121_Dakota Panel" xfId="48445"/>
    <cellStyle name="Percent 122" xfId="48446"/>
    <cellStyle name="Percent 122 2" xfId="48447"/>
    <cellStyle name="Percent 122_Dakota Panel" xfId="48448"/>
    <cellStyle name="Percent 123" xfId="48449"/>
    <cellStyle name="Percent 123 2" xfId="48450"/>
    <cellStyle name="Percent 123_Dakota Panel" xfId="48451"/>
    <cellStyle name="Percent 124" xfId="48452"/>
    <cellStyle name="Percent 124 2" xfId="48453"/>
    <cellStyle name="Percent 124_Dakota Panel" xfId="48454"/>
    <cellStyle name="Percent 125" xfId="48455"/>
    <cellStyle name="Percent 125 2" xfId="48456"/>
    <cellStyle name="Percent 125_Dakota Panel" xfId="48457"/>
    <cellStyle name="Percent 126" xfId="48458"/>
    <cellStyle name="Percent 126 2" xfId="48459"/>
    <cellStyle name="Percent 126_Dakota Panel" xfId="48460"/>
    <cellStyle name="Percent 127" xfId="48461"/>
    <cellStyle name="Percent 127 2" xfId="48462"/>
    <cellStyle name="Percent 127_Dakota Panel" xfId="48463"/>
    <cellStyle name="Percent 128" xfId="48464"/>
    <cellStyle name="Percent 128 2" xfId="48465"/>
    <cellStyle name="Percent 128_Dakota Panel" xfId="48466"/>
    <cellStyle name="Percent 129" xfId="48467"/>
    <cellStyle name="Percent 129 2" xfId="48468"/>
    <cellStyle name="Percent 129_Dakota Panel" xfId="48469"/>
    <cellStyle name="Percent 13" xfId="5034"/>
    <cellStyle name="Percent 13 2" xfId="5035"/>
    <cellStyle name="Percent 13 2 2" xfId="48470"/>
    <cellStyle name="Percent 13 2 3" xfId="48471"/>
    <cellStyle name="Percent 13 3" xfId="48472"/>
    <cellStyle name="Percent 13 3 2" xfId="48473"/>
    <cellStyle name="Percent 13 3 3" xfId="48474"/>
    <cellStyle name="Percent 13 4" xfId="48475"/>
    <cellStyle name="Percent 13 4 2" xfId="48476"/>
    <cellStyle name="Percent 13 4 3" xfId="48477"/>
    <cellStyle name="Percent 13 5" xfId="48478"/>
    <cellStyle name="Percent 13 5 2" xfId="48479"/>
    <cellStyle name="Percent 13 6" xfId="48480"/>
    <cellStyle name="Percent 13 6 2" xfId="48481"/>
    <cellStyle name="Percent 13 7" xfId="48482"/>
    <cellStyle name="Percent 13 8" xfId="48483"/>
    <cellStyle name="Percent 13_Dakota Panel" xfId="48484"/>
    <cellStyle name="Percent 130" xfId="48485"/>
    <cellStyle name="Percent 130 2" xfId="48486"/>
    <cellStyle name="Percent 130_Dakota Panel" xfId="48487"/>
    <cellStyle name="Percent 131" xfId="48488"/>
    <cellStyle name="Percent 131 2" xfId="48489"/>
    <cellStyle name="Percent 131_Dakota Panel" xfId="48490"/>
    <cellStyle name="Percent 132" xfId="48491"/>
    <cellStyle name="Percent 132 2" xfId="48492"/>
    <cellStyle name="Percent 132_Dakota Panel" xfId="48493"/>
    <cellStyle name="Percent 133" xfId="48494"/>
    <cellStyle name="Percent 133 2" xfId="48495"/>
    <cellStyle name="Percent 133_Dakota Panel" xfId="48496"/>
    <cellStyle name="Percent 134" xfId="48497"/>
    <cellStyle name="Percent 134 2" xfId="48498"/>
    <cellStyle name="Percent 134_Dakota Panel" xfId="48499"/>
    <cellStyle name="Percent 135" xfId="48500"/>
    <cellStyle name="Percent 135 2" xfId="48501"/>
    <cellStyle name="Percent 135_Dakota Panel" xfId="48502"/>
    <cellStyle name="Percent 136" xfId="48503"/>
    <cellStyle name="Percent 136 2" xfId="48504"/>
    <cellStyle name="Percent 136_Dakota Panel" xfId="48505"/>
    <cellStyle name="Percent 137" xfId="48506"/>
    <cellStyle name="Percent 137 2" xfId="48507"/>
    <cellStyle name="Percent 137_Dakota Panel" xfId="48508"/>
    <cellStyle name="Percent 138" xfId="48509"/>
    <cellStyle name="Percent 138 2" xfId="48510"/>
    <cellStyle name="Percent 138_Dakota Panel" xfId="48511"/>
    <cellStyle name="Percent 139" xfId="48512"/>
    <cellStyle name="Percent 139 2" xfId="48513"/>
    <cellStyle name="Percent 139_Dakota Panel" xfId="48514"/>
    <cellStyle name="Percent 14" xfId="5036"/>
    <cellStyle name="Percent 14 2" xfId="5037"/>
    <cellStyle name="Percent 14 2 2" xfId="48515"/>
    <cellStyle name="Percent 14 2 3" xfId="48516"/>
    <cellStyle name="Percent 14 3" xfId="5038"/>
    <cellStyle name="Percent 14 3 2" xfId="5039"/>
    <cellStyle name="Percent 14 3 2 2" xfId="5040"/>
    <cellStyle name="Percent 14 3 2 2 2" xfId="5041"/>
    <cellStyle name="Percent 14 3 2 3" xfId="5042"/>
    <cellStyle name="Percent 14 3 3" xfId="5043"/>
    <cellStyle name="Percent 14 3 3 2" xfId="5044"/>
    <cellStyle name="Percent 14 3 4" xfId="5045"/>
    <cellStyle name="Percent 14 4" xfId="5046"/>
    <cellStyle name="Percent 14 4 2" xfId="5047"/>
    <cellStyle name="Percent 14 4 2 2" xfId="5048"/>
    <cellStyle name="Percent 14 4 3" xfId="5049"/>
    <cellStyle name="Percent 14 5" xfId="5050"/>
    <cellStyle name="Percent 14 5 2" xfId="5051"/>
    <cellStyle name="Percent 14 6" xfId="5052"/>
    <cellStyle name="Percent 14_Dakota Panel" xfId="48517"/>
    <cellStyle name="Percent 140" xfId="48518"/>
    <cellStyle name="Percent 140 2" xfId="48519"/>
    <cellStyle name="Percent 140_Dakota Panel" xfId="48520"/>
    <cellStyle name="Percent 141" xfId="48521"/>
    <cellStyle name="Percent 141 2" xfId="48522"/>
    <cellStyle name="Percent 141_Dakota Panel" xfId="48523"/>
    <cellStyle name="Percent 142" xfId="48524"/>
    <cellStyle name="Percent 142 2" xfId="48525"/>
    <cellStyle name="Percent 142_Dakota Panel" xfId="48526"/>
    <cellStyle name="Percent 143" xfId="48527"/>
    <cellStyle name="Percent 143 2" xfId="48528"/>
    <cellStyle name="Percent 143_Dakota Panel" xfId="48529"/>
    <cellStyle name="Percent 144" xfId="48530"/>
    <cellStyle name="Percent 144 2" xfId="48531"/>
    <cellStyle name="Percent 144_Dakota Panel" xfId="48532"/>
    <cellStyle name="Percent 145" xfId="48533"/>
    <cellStyle name="Percent 145 2" xfId="48534"/>
    <cellStyle name="Percent 145_Dakota Panel" xfId="48535"/>
    <cellStyle name="Percent 146" xfId="48536"/>
    <cellStyle name="Percent 146 2" xfId="48537"/>
    <cellStyle name="Percent 146_Dakota Panel" xfId="48538"/>
    <cellStyle name="Percent 147" xfId="48539"/>
    <cellStyle name="Percent 147 2" xfId="48540"/>
    <cellStyle name="Percent 147_Dakota Panel" xfId="48541"/>
    <cellStyle name="Percent 148" xfId="48542"/>
    <cellStyle name="Percent 148 2" xfId="48543"/>
    <cellStyle name="Percent 148_Dakota Panel" xfId="48544"/>
    <cellStyle name="Percent 149" xfId="48545"/>
    <cellStyle name="Percent 149 2" xfId="48546"/>
    <cellStyle name="Percent 149_Dakota Panel" xfId="48547"/>
    <cellStyle name="Percent 15" xfId="5053"/>
    <cellStyle name="Percent 15 2" xfId="5054"/>
    <cellStyle name="Percent 15 2 2" xfId="5055"/>
    <cellStyle name="Percent 15 2 3" xfId="48548"/>
    <cellStyle name="Percent 15 3" xfId="5056"/>
    <cellStyle name="Percent 15 3 2" xfId="48549"/>
    <cellStyle name="Percent 15 4" xfId="5057"/>
    <cellStyle name="Percent 15 5" xfId="48550"/>
    <cellStyle name="Percent 15 6" xfId="48551"/>
    <cellStyle name="Percent 15_Dakota Panel" xfId="48552"/>
    <cellStyle name="Percent 150" xfId="48553"/>
    <cellStyle name="Percent 150 2" xfId="48554"/>
    <cellStyle name="Percent 150_Dakota Panel" xfId="48555"/>
    <cellStyle name="Percent 151" xfId="48556"/>
    <cellStyle name="Percent 151 2" xfId="48557"/>
    <cellStyle name="Percent 151_Dakota Panel" xfId="48558"/>
    <cellStyle name="Percent 152" xfId="48559"/>
    <cellStyle name="Percent 152 2" xfId="48560"/>
    <cellStyle name="Percent 152_Dakota Panel" xfId="48561"/>
    <cellStyle name="Percent 153" xfId="48562"/>
    <cellStyle name="Percent 153 2" xfId="48563"/>
    <cellStyle name="Percent 153_Dakota Panel" xfId="48564"/>
    <cellStyle name="Percent 154" xfId="48565"/>
    <cellStyle name="Percent 154 2" xfId="48566"/>
    <cellStyle name="Percent 154_Dakota Panel" xfId="48567"/>
    <cellStyle name="Percent 155" xfId="48568"/>
    <cellStyle name="Percent 155 2" xfId="48569"/>
    <cellStyle name="Percent 155_Dakota Panel" xfId="48570"/>
    <cellStyle name="Percent 156" xfId="48571"/>
    <cellStyle name="Percent 156 2" xfId="48572"/>
    <cellStyle name="Percent 156_Dakota Panel" xfId="48573"/>
    <cellStyle name="Percent 157" xfId="48574"/>
    <cellStyle name="Percent 157 2" xfId="48575"/>
    <cellStyle name="Percent 157_Dakota Panel" xfId="48576"/>
    <cellStyle name="Percent 158" xfId="48577"/>
    <cellStyle name="Percent 158 2" xfId="48578"/>
    <cellStyle name="Percent 158_Dakota Panel" xfId="48579"/>
    <cellStyle name="Percent 159" xfId="48580"/>
    <cellStyle name="Percent 159 2" xfId="48581"/>
    <cellStyle name="Percent 159_Dakota Panel" xfId="48582"/>
    <cellStyle name="Percent 16" xfId="5058"/>
    <cellStyle name="Percent 16 2" xfId="5059"/>
    <cellStyle name="Percent 16 2 2" xfId="48583"/>
    <cellStyle name="Percent 16 2 3" xfId="48584"/>
    <cellStyle name="Percent 16 3" xfId="5060"/>
    <cellStyle name="Percent 16 3 2" xfId="48585"/>
    <cellStyle name="Percent 16 4" xfId="48586"/>
    <cellStyle name="Percent 16 5" xfId="48587"/>
    <cellStyle name="Percent 16 6" xfId="48588"/>
    <cellStyle name="Percent 16_Dakota Panel" xfId="48589"/>
    <cellStyle name="Percent 160" xfId="48590"/>
    <cellStyle name="Percent 160 2" xfId="48591"/>
    <cellStyle name="Percent 160_Dakota Panel" xfId="48592"/>
    <cellStyle name="Percent 161" xfId="48593"/>
    <cellStyle name="Percent 161 2" xfId="48594"/>
    <cellStyle name="Percent 161_Dakota Panel" xfId="48595"/>
    <cellStyle name="Percent 162" xfId="48596"/>
    <cellStyle name="Percent 162 2" xfId="48597"/>
    <cellStyle name="Percent 162_Dakota Panel" xfId="48598"/>
    <cellStyle name="Percent 163" xfId="48599"/>
    <cellStyle name="Percent 163 2" xfId="48600"/>
    <cellStyle name="Percent 163_Dakota Panel" xfId="48601"/>
    <cellStyle name="Percent 164" xfId="48602"/>
    <cellStyle name="Percent 164 2" xfId="48603"/>
    <cellStyle name="Percent 165" xfId="48604"/>
    <cellStyle name="Percent 165 2" xfId="48605"/>
    <cellStyle name="Percent 166" xfId="48606"/>
    <cellStyle name="Percent 166 2" xfId="48607"/>
    <cellStyle name="Percent 167" xfId="48608"/>
    <cellStyle name="Percent 168" xfId="48609"/>
    <cellStyle name="Percent 169" xfId="48610"/>
    <cellStyle name="Percent 17" xfId="5061"/>
    <cellStyle name="Percent 17 2" xfId="5062"/>
    <cellStyle name="Percent 17 2 2" xfId="48611"/>
    <cellStyle name="Percent 17 2 3" xfId="48612"/>
    <cellStyle name="Percent 17 3" xfId="48613"/>
    <cellStyle name="Percent 17 3 2" xfId="48614"/>
    <cellStyle name="Percent 17 4" xfId="48615"/>
    <cellStyle name="Percent 17 5" xfId="48616"/>
    <cellStyle name="Percent 17 6" xfId="48617"/>
    <cellStyle name="Percent 17_Dakota Panel" xfId="48618"/>
    <cellStyle name="Percent 170" xfId="48619"/>
    <cellStyle name="Percent 171" xfId="48620"/>
    <cellStyle name="Percent 172" xfId="48621"/>
    <cellStyle name="Percent 173" xfId="48622"/>
    <cellStyle name="Percent 174" xfId="48623"/>
    <cellStyle name="Percent 175" xfId="48624"/>
    <cellStyle name="Percent 176" xfId="48625"/>
    <cellStyle name="Percent 177" xfId="48626"/>
    <cellStyle name="Percent 178" xfId="48627"/>
    <cellStyle name="Percent 179" xfId="48628"/>
    <cellStyle name="Percent 18" xfId="5063"/>
    <cellStyle name="Percent 18 2" xfId="5064"/>
    <cellStyle name="Percent 18 2 2" xfId="48629"/>
    <cellStyle name="Percent 18 2 3" xfId="48630"/>
    <cellStyle name="Percent 18 3" xfId="48631"/>
    <cellStyle name="Percent 18 3 2" xfId="48632"/>
    <cellStyle name="Percent 18 4" xfId="48633"/>
    <cellStyle name="Percent 18 5" xfId="48634"/>
    <cellStyle name="Percent 18 6" xfId="48635"/>
    <cellStyle name="Percent 18_Dakota Panel" xfId="48636"/>
    <cellStyle name="Percent 180" xfId="48637"/>
    <cellStyle name="Percent 181" xfId="48638"/>
    <cellStyle name="Percent 182" xfId="48639"/>
    <cellStyle name="Percent 183" xfId="48640"/>
    <cellStyle name="Percent 184" xfId="48641"/>
    <cellStyle name="Percent 185" xfId="48642"/>
    <cellStyle name="Percent 186" xfId="48643"/>
    <cellStyle name="Percent 187" xfId="48644"/>
    <cellStyle name="Percent 188" xfId="48645"/>
    <cellStyle name="Percent 189" xfId="48646"/>
    <cellStyle name="Percent 19" xfId="5065"/>
    <cellStyle name="Percent 19 2" xfId="5066"/>
    <cellStyle name="Percent 19 2 2" xfId="48647"/>
    <cellStyle name="Percent 19 3" xfId="48648"/>
    <cellStyle name="Percent 19 4" xfId="48649"/>
    <cellStyle name="Percent 19 5" xfId="48650"/>
    <cellStyle name="Percent 190" xfId="48651"/>
    <cellStyle name="Percent 191" xfId="48652"/>
    <cellStyle name="Percent 192" xfId="48653"/>
    <cellStyle name="Percent 193" xfId="48654"/>
    <cellStyle name="Percent 194" xfId="48655"/>
    <cellStyle name="Percent 195" xfId="48656"/>
    <cellStyle name="Percent 196" xfId="48657"/>
    <cellStyle name="Percent 2" xfId="30"/>
    <cellStyle name="Percent 2 10" xfId="48658"/>
    <cellStyle name="Percent 2 10 2" xfId="48659"/>
    <cellStyle name="Percent 2 10 3" xfId="48660"/>
    <cellStyle name="Percent 2 11" xfId="48661"/>
    <cellStyle name="Percent 2 12" xfId="48662"/>
    <cellStyle name="Percent 2 2" xfId="31"/>
    <cellStyle name="Percent 2 2 10" xfId="48663"/>
    <cellStyle name="Percent 2 2 10 2" xfId="48664"/>
    <cellStyle name="Percent 2 2 10 3" xfId="48665"/>
    <cellStyle name="Percent 2 2 11" xfId="48666"/>
    <cellStyle name="Percent 2 2 11 2" xfId="48667"/>
    <cellStyle name="Percent 2 2 12" xfId="48668"/>
    <cellStyle name="Percent 2 2 13" xfId="48669"/>
    <cellStyle name="Percent 2 2 14" xfId="48670"/>
    <cellStyle name="Percent 2 2 2" xfId="128"/>
    <cellStyle name="Percent 2 2 2 2" xfId="48671"/>
    <cellStyle name="Percent 2 2 2 2 2" xfId="48672"/>
    <cellStyle name="Percent 2 2 2 3" xfId="48673"/>
    <cellStyle name="Percent 2 2 3" xfId="48674"/>
    <cellStyle name="Percent 2 2 3 2" xfId="48675"/>
    <cellStyle name="Percent 2 2 3 2 2" xfId="48676"/>
    <cellStyle name="Percent 2 2 3 3" xfId="48677"/>
    <cellStyle name="Percent 2 2 4" xfId="48678"/>
    <cellStyle name="Percent 2 2 4 2" xfId="48679"/>
    <cellStyle name="Percent 2 2 4 2 2" xfId="48680"/>
    <cellStyle name="Percent 2 2 4 3" xfId="48681"/>
    <cellStyle name="Percent 2 2 5" xfId="48682"/>
    <cellStyle name="Percent 2 2 5 2" xfId="48683"/>
    <cellStyle name="Percent 2 2 5 2 2" xfId="48684"/>
    <cellStyle name="Percent 2 2 5 3" xfId="48685"/>
    <cellStyle name="Percent 2 2 6" xfId="48686"/>
    <cellStyle name="Percent 2 2 6 2" xfId="48687"/>
    <cellStyle name="Percent 2 2 6 2 2" xfId="48688"/>
    <cellStyle name="Percent 2 2 6 3" xfId="48689"/>
    <cellStyle name="Percent 2 2 7" xfId="48690"/>
    <cellStyle name="Percent 2 2 7 2" xfId="48691"/>
    <cellStyle name="Percent 2 2 7 3" xfId="48692"/>
    <cellStyle name="Percent 2 2 8" xfId="48693"/>
    <cellStyle name="Percent 2 2 8 2" xfId="48694"/>
    <cellStyle name="Percent 2 2 8 3" xfId="48695"/>
    <cellStyle name="Percent 2 2 9" xfId="48696"/>
    <cellStyle name="Percent 2 2 9 2" xfId="48697"/>
    <cellStyle name="Percent 2 3" xfId="32"/>
    <cellStyle name="Percent 2 3 2" xfId="48698"/>
    <cellStyle name="Percent 2 3 2 2" xfId="48699"/>
    <cellStyle name="Percent 2 3 2 3" xfId="48700"/>
    <cellStyle name="Percent 2 3 3" xfId="48701"/>
    <cellStyle name="Percent 2 3 4" xfId="48702"/>
    <cellStyle name="Percent 2 3_Dakota Panel" xfId="48703"/>
    <cellStyle name="Percent 2 4" xfId="33"/>
    <cellStyle name="Percent 2 4 2" xfId="34"/>
    <cellStyle name="Percent 2 4 2 2" xfId="48704"/>
    <cellStyle name="Percent 2 4 3" xfId="48705"/>
    <cellStyle name="Percent 2 4 3 2" xfId="48706"/>
    <cellStyle name="Percent 2 4 4" xfId="48707"/>
    <cellStyle name="Percent 2 5" xfId="5067"/>
    <cellStyle name="Percent 2 5 2" xfId="48708"/>
    <cellStyle name="Percent 2 5 2 2" xfId="48709"/>
    <cellStyle name="Percent 2 5 3" xfId="48710"/>
    <cellStyle name="Percent 2 6" xfId="5068"/>
    <cellStyle name="Percent 2 6 2" xfId="5069"/>
    <cellStyle name="Percent 2 6 2 2" xfId="5070"/>
    <cellStyle name="Percent 2 6 2 2 2" xfId="5071"/>
    <cellStyle name="Percent 2 6 2 3" xfId="5072"/>
    <cellStyle name="Percent 2 6 3" xfId="5073"/>
    <cellStyle name="Percent 2 6 3 2" xfId="5074"/>
    <cellStyle name="Percent 2 6 4" xfId="5075"/>
    <cellStyle name="Percent 2 7" xfId="5076"/>
    <cellStyle name="Percent 2 7 2" xfId="5077"/>
    <cellStyle name="Percent 2 7 2 2" xfId="5078"/>
    <cellStyle name="Percent 2 7 3" xfId="5079"/>
    <cellStyle name="Percent 2 8" xfId="5080"/>
    <cellStyle name="Percent 2 8 2" xfId="5081"/>
    <cellStyle name="Percent 2 8 3" xfId="48711"/>
    <cellStyle name="Percent 2 9" xfId="5082"/>
    <cellStyle name="Percent 2 9 2" xfId="48712"/>
    <cellStyle name="Percent 2_Dakota Panel" xfId="48713"/>
    <cellStyle name="Percent 20" xfId="5083"/>
    <cellStyle name="Percent 20 2" xfId="5084"/>
    <cellStyle name="Percent 20 2 2" xfId="48714"/>
    <cellStyle name="Percent 20 3" xfId="48715"/>
    <cellStyle name="Percent 20 4" xfId="48716"/>
    <cellStyle name="Percent 20 5" xfId="48717"/>
    <cellStyle name="Percent 21" xfId="5085"/>
    <cellStyle name="Percent 21 2" xfId="5086"/>
    <cellStyle name="Percent 21 2 2" xfId="5087"/>
    <cellStyle name="Percent 21 2 2 2" xfId="5088"/>
    <cellStyle name="Percent 21 2 2 2 2" xfId="5089"/>
    <cellStyle name="Percent 21 2 2 3" xfId="5090"/>
    <cellStyle name="Percent 21 2 3" xfId="5091"/>
    <cellStyle name="Percent 21 2 3 2" xfId="5092"/>
    <cellStyle name="Percent 21 2 4" xfId="5093"/>
    <cellStyle name="Percent 21 3" xfId="5094"/>
    <cellStyle name="Percent 21 3 2" xfId="5095"/>
    <cellStyle name="Percent 21 3 2 2" xfId="5096"/>
    <cellStyle name="Percent 21 3 3" xfId="5097"/>
    <cellStyle name="Percent 21 4" xfId="5098"/>
    <cellStyle name="Percent 21 4 2" xfId="5099"/>
    <cellStyle name="Percent 21 5" xfId="5100"/>
    <cellStyle name="Percent 22" xfId="5101"/>
    <cellStyle name="Percent 22 2" xfId="48718"/>
    <cellStyle name="Percent 22 2 2" xfId="48719"/>
    <cellStyle name="Percent 22 3" xfId="48720"/>
    <cellStyle name="Percent 22 4" xfId="48721"/>
    <cellStyle name="Percent 22 5" xfId="48722"/>
    <cellStyle name="Percent 23" xfId="5102"/>
    <cellStyle name="Percent 23 2" xfId="48723"/>
    <cellStyle name="Percent 23 2 2" xfId="48724"/>
    <cellStyle name="Percent 23 2 3" xfId="48725"/>
    <cellStyle name="Percent 23 3" xfId="48726"/>
    <cellStyle name="Percent 23 3 2" xfId="48727"/>
    <cellStyle name="Percent 23 3 3" xfId="48728"/>
    <cellStyle name="Percent 23 4" xfId="48729"/>
    <cellStyle name="Percent 23 4 2" xfId="48730"/>
    <cellStyle name="Percent 23 5" xfId="48731"/>
    <cellStyle name="Percent 23 6" xfId="48732"/>
    <cellStyle name="Percent 23 7" xfId="48733"/>
    <cellStyle name="Percent 23 8" xfId="48734"/>
    <cellStyle name="Percent 23_Dakota Panel" xfId="48735"/>
    <cellStyle name="Percent 24" xfId="5103"/>
    <cellStyle name="Percent 24 2" xfId="48736"/>
    <cellStyle name="Percent 24 2 2" xfId="48737"/>
    <cellStyle name="Percent 24 2 3" xfId="48738"/>
    <cellStyle name="Percent 24 3" xfId="48739"/>
    <cellStyle name="Percent 24 3 2" xfId="48740"/>
    <cellStyle name="Percent 24 4" xfId="48741"/>
    <cellStyle name="Percent 24 5" xfId="48742"/>
    <cellStyle name="Percent 24 6" xfId="48743"/>
    <cellStyle name="Percent 24 7" xfId="48744"/>
    <cellStyle name="Percent 24_Dakota Panel" xfId="48745"/>
    <cellStyle name="Percent 25" xfId="5104"/>
    <cellStyle name="Percent 25 2" xfId="48746"/>
    <cellStyle name="Percent 25 2 2" xfId="48747"/>
    <cellStyle name="Percent 25 2 3" xfId="48748"/>
    <cellStyle name="Percent 25 3" xfId="48749"/>
    <cellStyle name="Percent 25 3 2" xfId="48750"/>
    <cellStyle name="Percent 25 4" xfId="48751"/>
    <cellStyle name="Percent 25 5" xfId="48752"/>
    <cellStyle name="Percent 25 6" xfId="48753"/>
    <cellStyle name="Percent 25 7" xfId="48754"/>
    <cellStyle name="Percent 25_Dakota Panel" xfId="48755"/>
    <cellStyle name="Percent 26" xfId="5105"/>
    <cellStyle name="Percent 26 2" xfId="48756"/>
    <cellStyle name="Percent 26 2 2" xfId="48757"/>
    <cellStyle name="Percent 26 2 3" xfId="48758"/>
    <cellStyle name="Percent 26 3" xfId="48759"/>
    <cellStyle name="Percent 26 3 2" xfId="48760"/>
    <cellStyle name="Percent 26 4" xfId="48761"/>
    <cellStyle name="Percent 26 5" xfId="48762"/>
    <cellStyle name="Percent 26 6" xfId="48763"/>
    <cellStyle name="Percent 26 7" xfId="48764"/>
    <cellStyle name="Percent 26_Dakota Panel" xfId="48765"/>
    <cellStyle name="Percent 27" xfId="5106"/>
    <cellStyle name="Percent 27 2" xfId="48766"/>
    <cellStyle name="Percent 27 2 2" xfId="48767"/>
    <cellStyle name="Percent 27 2 3" xfId="48768"/>
    <cellStyle name="Percent 27 3" xfId="48769"/>
    <cellStyle name="Percent 27 4" xfId="48770"/>
    <cellStyle name="Percent 27_Dakota Panel" xfId="48771"/>
    <cellStyle name="Percent 28" xfId="5107"/>
    <cellStyle name="Percent 28 2" xfId="48772"/>
    <cellStyle name="Percent 28 2 2" xfId="48773"/>
    <cellStyle name="Percent 28 2 3" xfId="48774"/>
    <cellStyle name="Percent 28 3" xfId="48775"/>
    <cellStyle name="Percent 28 4" xfId="48776"/>
    <cellStyle name="Percent 28_Dakota Panel" xfId="48777"/>
    <cellStyle name="Percent 29" xfId="5108"/>
    <cellStyle name="Percent 29 2" xfId="48778"/>
    <cellStyle name="Percent 29 2 2" xfId="48779"/>
    <cellStyle name="Percent 29 2 3" xfId="48780"/>
    <cellStyle name="Percent 29 3" xfId="48781"/>
    <cellStyle name="Percent 29 4" xfId="48782"/>
    <cellStyle name="Percent 29_Dakota Panel" xfId="48783"/>
    <cellStyle name="Percent 3" xfId="35"/>
    <cellStyle name="Percent 3 10" xfId="48784"/>
    <cellStyle name="Percent 3 2" xfId="36"/>
    <cellStyle name="Percent 3 2 2" xfId="5109"/>
    <cellStyle name="Percent 3 2 2 2" xfId="48785"/>
    <cellStyle name="Percent 3 2 3" xfId="5110"/>
    <cellStyle name="Percent 3 2 4" xfId="5111"/>
    <cellStyle name="Percent 3 3" xfId="37"/>
    <cellStyle name="Percent 3 3 2" xfId="5112"/>
    <cellStyle name="Percent 3 3 2 2" xfId="48786"/>
    <cellStyle name="Percent 3 3 2 3" xfId="48787"/>
    <cellStyle name="Percent 3 3 3" xfId="48788"/>
    <cellStyle name="Percent 3 3 4" xfId="48789"/>
    <cellStyle name="Percent 3 3 5" xfId="48790"/>
    <cellStyle name="Percent 3 3_Dakota Panel" xfId="48791"/>
    <cellStyle name="Percent 3 4" xfId="5113"/>
    <cellStyle name="Percent 3 4 2" xfId="5114"/>
    <cellStyle name="Percent 3 4 3" xfId="48792"/>
    <cellStyle name="Percent 3 5" xfId="5115"/>
    <cellStyle name="Percent 3 5 2" xfId="48793"/>
    <cellStyle name="Percent 3 5 3" xfId="48794"/>
    <cellStyle name="Percent 3 6" xfId="5116"/>
    <cellStyle name="Percent 3 6 2" xfId="48795"/>
    <cellStyle name="Percent 3 7" xfId="48796"/>
    <cellStyle name="Percent 3 7 2" xfId="48797"/>
    <cellStyle name="Percent 3 8" xfId="48798"/>
    <cellStyle name="Percent 3 9" xfId="48799"/>
    <cellStyle name="Percent 3_Dakota Panel" xfId="48800"/>
    <cellStyle name="Percent 30" xfId="5117"/>
    <cellStyle name="Percent 30 2" xfId="48801"/>
    <cellStyle name="Percent 30 3" xfId="48802"/>
    <cellStyle name="Percent 31" xfId="5118"/>
    <cellStyle name="Percent 31 2" xfId="48803"/>
    <cellStyle name="Percent 31 3" xfId="48804"/>
    <cellStyle name="Percent 32" xfId="5119"/>
    <cellStyle name="Percent 32 2" xfId="48805"/>
    <cellStyle name="Percent 32 3" xfId="48806"/>
    <cellStyle name="Percent 33" xfId="5120"/>
    <cellStyle name="Percent 33 2" xfId="48807"/>
    <cellStyle name="Percent 33 3" xfId="48808"/>
    <cellStyle name="Percent 34" xfId="5121"/>
    <cellStyle name="Percent 34 2" xfId="48809"/>
    <cellStyle name="Percent 34 3" xfId="48810"/>
    <cellStyle name="Percent 35" xfId="5122"/>
    <cellStyle name="Percent 35 2" xfId="48811"/>
    <cellStyle name="Percent 35 3" xfId="48812"/>
    <cellStyle name="Percent 36" xfId="5123"/>
    <cellStyle name="Percent 36 2" xfId="48813"/>
    <cellStyle name="Percent 36 2 2" xfId="48814"/>
    <cellStyle name="Percent 36 2 3" xfId="48815"/>
    <cellStyle name="Percent 36 3" xfId="48816"/>
    <cellStyle name="Percent 36 4" xfId="48817"/>
    <cellStyle name="Percent 36_Dakota Panel" xfId="48818"/>
    <cellStyle name="Percent 37" xfId="48819"/>
    <cellStyle name="Percent 37 2" xfId="48820"/>
    <cellStyle name="Percent 37 2 2" xfId="48821"/>
    <cellStyle name="Percent 37 2 3" xfId="48822"/>
    <cellStyle name="Percent 37 3" xfId="48823"/>
    <cellStyle name="Percent 37 4" xfId="48824"/>
    <cellStyle name="Percent 37_Dakota Panel" xfId="48825"/>
    <cellStyle name="Percent 38" xfId="48826"/>
    <cellStyle name="Percent 38 2" xfId="48827"/>
    <cellStyle name="Percent 38 2 2" xfId="48828"/>
    <cellStyle name="Percent 38 2 3" xfId="48829"/>
    <cellStyle name="Percent 38 3" xfId="48830"/>
    <cellStyle name="Percent 38 4" xfId="48831"/>
    <cellStyle name="Percent 38_Dakota Panel" xfId="48832"/>
    <cellStyle name="Percent 39" xfId="48833"/>
    <cellStyle name="Percent 39 2" xfId="48834"/>
    <cellStyle name="Percent 39 2 2" xfId="48835"/>
    <cellStyle name="Percent 39 2 3" xfId="48836"/>
    <cellStyle name="Percent 39 3" xfId="48837"/>
    <cellStyle name="Percent 39 4" xfId="48838"/>
    <cellStyle name="Percent 39_Dakota Panel" xfId="48839"/>
    <cellStyle name="Percent 4" xfId="38"/>
    <cellStyle name="Percent 4 2" xfId="5124"/>
    <cellStyle name="Percent 4 2 2" xfId="5125"/>
    <cellStyle name="Percent 4 2 2 2" xfId="48840"/>
    <cellStyle name="Percent 4 2 3" xfId="5126"/>
    <cellStyle name="Percent 4 2 4" xfId="48841"/>
    <cellStyle name="Percent 4 2 5" xfId="48842"/>
    <cellStyle name="Percent 4 3" xfId="5127"/>
    <cellStyle name="Percent 4 3 2" xfId="48843"/>
    <cellStyle name="Percent 4 3 3" xfId="48844"/>
    <cellStyle name="Percent 4 4" xfId="5128"/>
    <cellStyle name="Percent 4 4 2" xfId="48845"/>
    <cellStyle name="Percent 4 4 3" xfId="48846"/>
    <cellStyle name="Percent 4 5" xfId="48847"/>
    <cellStyle name="Percent 4 6" xfId="48848"/>
    <cellStyle name="Percent 4 6 2" xfId="48849"/>
    <cellStyle name="Percent 4 7" xfId="48850"/>
    <cellStyle name="Percent 4 8" xfId="48851"/>
    <cellStyle name="Percent 4_Dakota Panel" xfId="48852"/>
    <cellStyle name="Percent 40" xfId="48853"/>
    <cellStyle name="Percent 40 2" xfId="48854"/>
    <cellStyle name="Percent 40 3" xfId="48855"/>
    <cellStyle name="Percent 41" xfId="48856"/>
    <cellStyle name="Percent 41 2" xfId="48857"/>
    <cellStyle name="Percent 41 3" xfId="48858"/>
    <cellStyle name="Percent 42" xfId="48859"/>
    <cellStyle name="Percent 42 2" xfId="48860"/>
    <cellStyle name="Percent 42 3" xfId="48861"/>
    <cellStyle name="Percent 43" xfId="48862"/>
    <cellStyle name="Percent 43 2" xfId="48863"/>
    <cellStyle name="Percent 43 3" xfId="48864"/>
    <cellStyle name="Percent 44" xfId="48865"/>
    <cellStyle name="Percent 44 2" xfId="48866"/>
    <cellStyle name="Percent 44 3" xfId="48867"/>
    <cellStyle name="Percent 45" xfId="48868"/>
    <cellStyle name="Percent 45 2" xfId="48869"/>
    <cellStyle name="Percent 45 3" xfId="48870"/>
    <cellStyle name="Percent 46" xfId="48871"/>
    <cellStyle name="Percent 46 2" xfId="48872"/>
    <cellStyle name="Percent 46 2 2" xfId="48873"/>
    <cellStyle name="Percent 46 3" xfId="48874"/>
    <cellStyle name="Percent 47" xfId="48875"/>
    <cellStyle name="Percent 47 2" xfId="48876"/>
    <cellStyle name="Percent 47 2 2" xfId="48877"/>
    <cellStyle name="Percent 47 3" xfId="48878"/>
    <cellStyle name="Percent 48" xfId="48879"/>
    <cellStyle name="Percent 48 2" xfId="48880"/>
    <cellStyle name="Percent 48 2 2" xfId="48881"/>
    <cellStyle name="Percent 48 3" xfId="48882"/>
    <cellStyle name="Percent 48_Dakota Panel" xfId="48883"/>
    <cellStyle name="Percent 49" xfId="48884"/>
    <cellStyle name="Percent 49 2" xfId="48885"/>
    <cellStyle name="Percent 49 2 2" xfId="48886"/>
    <cellStyle name="Percent 49 3" xfId="48887"/>
    <cellStyle name="Percent 49_Dakota Panel" xfId="48888"/>
    <cellStyle name="Percent 5" xfId="39"/>
    <cellStyle name="Percent 5 2" xfId="101"/>
    <cellStyle name="Percent 5 2 2" xfId="48889"/>
    <cellStyle name="Percent 5 2 2 2" xfId="48890"/>
    <cellStyle name="Percent 5 2 3" xfId="48891"/>
    <cellStyle name="Percent 5 2 4" xfId="48892"/>
    <cellStyle name="Percent 5 2 5" xfId="48893"/>
    <cellStyle name="Percent 5 3" xfId="5129"/>
    <cellStyle name="Percent 5 3 2" xfId="48894"/>
    <cellStyle name="Percent 5 3 3" xfId="48895"/>
    <cellStyle name="Percent 5 4" xfId="48896"/>
    <cellStyle name="Percent 5 5" xfId="48897"/>
    <cellStyle name="Percent 5 5 2" xfId="48898"/>
    <cellStyle name="Percent 5 6" xfId="48899"/>
    <cellStyle name="Percent 5 7" xfId="48900"/>
    <cellStyle name="Percent 5 8" xfId="48901"/>
    <cellStyle name="Percent 5_Dakota Panel" xfId="48902"/>
    <cellStyle name="Percent 50" xfId="48903"/>
    <cellStyle name="Percent 50 2" xfId="48904"/>
    <cellStyle name="Percent 50 2 2" xfId="48905"/>
    <cellStyle name="Percent 50 3" xfId="48906"/>
    <cellStyle name="Percent 50_Dakota Panel" xfId="48907"/>
    <cellStyle name="Percent 51" xfId="48908"/>
    <cellStyle name="Percent 51 2" xfId="48909"/>
    <cellStyle name="Percent 51 2 2" xfId="48910"/>
    <cellStyle name="Percent 51 3" xfId="48911"/>
    <cellStyle name="Percent 51_Dakota Panel" xfId="48912"/>
    <cellStyle name="Percent 52" xfId="48913"/>
    <cellStyle name="Percent 52 2" xfId="48914"/>
    <cellStyle name="Percent 52 2 2" xfId="48915"/>
    <cellStyle name="Percent 52 3" xfId="48916"/>
    <cellStyle name="Percent 52_Dakota Panel" xfId="48917"/>
    <cellStyle name="Percent 53" xfId="48918"/>
    <cellStyle name="Percent 53 2" xfId="48919"/>
    <cellStyle name="Percent 53 2 2" xfId="48920"/>
    <cellStyle name="Percent 53 3" xfId="48921"/>
    <cellStyle name="Percent 53_Dakota Panel" xfId="48922"/>
    <cellStyle name="Percent 54" xfId="48923"/>
    <cellStyle name="Percent 54 2" xfId="48924"/>
    <cellStyle name="Percent 54 3" xfId="48925"/>
    <cellStyle name="Percent 55" xfId="48926"/>
    <cellStyle name="Percent 55 2" xfId="48927"/>
    <cellStyle name="Percent 55 3" xfId="48928"/>
    <cellStyle name="Percent 56" xfId="48929"/>
    <cellStyle name="Percent 56 2" xfId="48930"/>
    <cellStyle name="Percent 56 3" xfId="48931"/>
    <cellStyle name="Percent 57" xfId="48932"/>
    <cellStyle name="Percent 57 2" xfId="48933"/>
    <cellStyle name="Percent 57 2 2" xfId="48934"/>
    <cellStyle name="Percent 57 3" xfId="48935"/>
    <cellStyle name="Percent 57_Dakota Panel" xfId="48936"/>
    <cellStyle name="Percent 58" xfId="48937"/>
    <cellStyle name="Percent 58 10" xfId="48938"/>
    <cellStyle name="Percent 58 2" xfId="48939"/>
    <cellStyle name="Percent 58 2 2" xfId="48940"/>
    <cellStyle name="Percent 58 2 2 2" xfId="48941"/>
    <cellStyle name="Percent 58 2 3" xfId="48942"/>
    <cellStyle name="Percent 58 2 3 2" xfId="48943"/>
    <cellStyle name="Percent 58 2_Dakota Panel" xfId="48944"/>
    <cellStyle name="Percent 58 3" xfId="48945"/>
    <cellStyle name="Percent 58 3 2" xfId="48946"/>
    <cellStyle name="Percent 58 3 2 2" xfId="48947"/>
    <cellStyle name="Percent 58 3 3" xfId="48948"/>
    <cellStyle name="Percent 58 3 4" xfId="48949"/>
    <cellStyle name="Percent 58 4" xfId="48950"/>
    <cellStyle name="Percent 58 4 2" xfId="48951"/>
    <cellStyle name="Percent 58 5" xfId="48952"/>
    <cellStyle name="Percent 58 5 2" xfId="48953"/>
    <cellStyle name="Percent 58 6" xfId="48954"/>
    <cellStyle name="Percent 58 6 2" xfId="48955"/>
    <cellStyle name="Percent 58 7" xfId="48956"/>
    <cellStyle name="Percent 58 7 2" xfId="48957"/>
    <cellStyle name="Percent 58 8" xfId="48958"/>
    <cellStyle name="Percent 58 9" xfId="48959"/>
    <cellStyle name="Percent 58_Dakota Panel" xfId="48960"/>
    <cellStyle name="Percent 59" xfId="48961"/>
    <cellStyle name="Percent 59 10" xfId="48962"/>
    <cellStyle name="Percent 59 2" xfId="48963"/>
    <cellStyle name="Percent 59 2 2" xfId="48964"/>
    <cellStyle name="Percent 59 2 2 2" xfId="48965"/>
    <cellStyle name="Percent 59 2 3" xfId="48966"/>
    <cellStyle name="Percent 59 2 3 2" xfId="48967"/>
    <cellStyle name="Percent 59 2_Dakota Panel" xfId="48968"/>
    <cellStyle name="Percent 59 3" xfId="48969"/>
    <cellStyle name="Percent 59 3 2" xfId="48970"/>
    <cellStyle name="Percent 59 3 2 2" xfId="48971"/>
    <cellStyle name="Percent 59 3 3" xfId="48972"/>
    <cellStyle name="Percent 59 3 4" xfId="48973"/>
    <cellStyle name="Percent 59 4" xfId="48974"/>
    <cellStyle name="Percent 59 4 2" xfId="48975"/>
    <cellStyle name="Percent 59 5" xfId="48976"/>
    <cellStyle name="Percent 59 5 2" xfId="48977"/>
    <cellStyle name="Percent 59 6" xfId="48978"/>
    <cellStyle name="Percent 59 6 2" xfId="48979"/>
    <cellStyle name="Percent 59 7" xfId="48980"/>
    <cellStyle name="Percent 59 7 2" xfId="48981"/>
    <cellStyle name="Percent 59 8" xfId="48982"/>
    <cellStyle name="Percent 59 9" xfId="48983"/>
    <cellStyle name="Percent 59_Dakota Panel" xfId="48984"/>
    <cellStyle name="Percent 6" xfId="40"/>
    <cellStyle name="Percent 6 2" xfId="102"/>
    <cellStyle name="Percent 6 2 2" xfId="48985"/>
    <cellStyle name="Percent 6 2 2 2" xfId="48986"/>
    <cellStyle name="Percent 6 2 3" xfId="48987"/>
    <cellStyle name="Percent 6 2 3 2" xfId="48988"/>
    <cellStyle name="Percent 6 2 4" xfId="48989"/>
    <cellStyle name="Percent 6 2 5" xfId="48990"/>
    <cellStyle name="Percent 6 2 6" xfId="48991"/>
    <cellStyle name="Percent 6 3" xfId="48992"/>
    <cellStyle name="Percent 6 3 2" xfId="48993"/>
    <cellStyle name="Percent 6 3 2 2" xfId="48994"/>
    <cellStyle name="Percent 6 3 3" xfId="48995"/>
    <cellStyle name="Percent 6 4" xfId="48996"/>
    <cellStyle name="Percent 6 4 2" xfId="48997"/>
    <cellStyle name="Percent 6 4 2 2" xfId="48998"/>
    <cellStyle name="Percent 6 4 3" xfId="48999"/>
    <cellStyle name="Percent 6 5" xfId="49000"/>
    <cellStyle name="Percent 6 5 2" xfId="49001"/>
    <cellStyle name="Percent 6 5 2 2" xfId="49002"/>
    <cellStyle name="Percent 6 5 3" xfId="49003"/>
    <cellStyle name="Percent 6 6" xfId="49004"/>
    <cellStyle name="Percent 6 6 2" xfId="49005"/>
    <cellStyle name="Percent 6 6 2 2" xfId="49006"/>
    <cellStyle name="Percent 6 6 3" xfId="49007"/>
    <cellStyle name="Percent 6 7" xfId="49008"/>
    <cellStyle name="Percent 6 7 2" xfId="49009"/>
    <cellStyle name="Percent 6 7 3" xfId="49010"/>
    <cellStyle name="Percent 6 8" xfId="49011"/>
    <cellStyle name="Percent 6 9" xfId="49012"/>
    <cellStyle name="Percent 6_Dakota Panel" xfId="49013"/>
    <cellStyle name="Percent 60" xfId="49014"/>
    <cellStyle name="Percent 60 10" xfId="49015"/>
    <cellStyle name="Percent 60 2" xfId="49016"/>
    <cellStyle name="Percent 60 2 2" xfId="49017"/>
    <cellStyle name="Percent 60 2 2 2" xfId="49018"/>
    <cellStyle name="Percent 60 2 3" xfId="49019"/>
    <cellStyle name="Percent 60 2 3 2" xfId="49020"/>
    <cellStyle name="Percent 60 2_Dakota Panel" xfId="49021"/>
    <cellStyle name="Percent 60 3" xfId="49022"/>
    <cellStyle name="Percent 60 3 2" xfId="49023"/>
    <cellStyle name="Percent 60 3 2 2" xfId="49024"/>
    <cellStyle name="Percent 60 3 3" xfId="49025"/>
    <cellStyle name="Percent 60 3 4" xfId="49026"/>
    <cellStyle name="Percent 60 4" xfId="49027"/>
    <cellStyle name="Percent 60 4 2" xfId="49028"/>
    <cellStyle name="Percent 60 5" xfId="49029"/>
    <cellStyle name="Percent 60 5 2" xfId="49030"/>
    <cellStyle name="Percent 60 6" xfId="49031"/>
    <cellStyle name="Percent 60 6 2" xfId="49032"/>
    <cellStyle name="Percent 60 7" xfId="49033"/>
    <cellStyle name="Percent 60 7 2" xfId="49034"/>
    <cellStyle name="Percent 60 8" xfId="49035"/>
    <cellStyle name="Percent 60 9" xfId="49036"/>
    <cellStyle name="Percent 60_Dakota Panel" xfId="49037"/>
    <cellStyle name="Percent 61" xfId="49038"/>
    <cellStyle name="Percent 61 10" xfId="49039"/>
    <cellStyle name="Percent 61 2" xfId="49040"/>
    <cellStyle name="Percent 61 2 2" xfId="49041"/>
    <cellStyle name="Percent 61 2 2 2" xfId="49042"/>
    <cellStyle name="Percent 61 2 3" xfId="49043"/>
    <cellStyle name="Percent 61 2 3 2" xfId="49044"/>
    <cellStyle name="Percent 61 2_Dakota Panel" xfId="49045"/>
    <cellStyle name="Percent 61 3" xfId="49046"/>
    <cellStyle name="Percent 61 3 2" xfId="49047"/>
    <cellStyle name="Percent 61 3 2 2" xfId="49048"/>
    <cellStyle name="Percent 61 3 3" xfId="49049"/>
    <cellStyle name="Percent 61 3 4" xfId="49050"/>
    <cellStyle name="Percent 61 4" xfId="49051"/>
    <cellStyle name="Percent 61 4 2" xfId="49052"/>
    <cellStyle name="Percent 61 5" xfId="49053"/>
    <cellStyle name="Percent 61 5 2" xfId="49054"/>
    <cellStyle name="Percent 61 6" xfId="49055"/>
    <cellStyle name="Percent 61 6 2" xfId="49056"/>
    <cellStyle name="Percent 61 7" xfId="49057"/>
    <cellStyle name="Percent 61 7 2" xfId="49058"/>
    <cellStyle name="Percent 61 8" xfId="49059"/>
    <cellStyle name="Percent 61 9" xfId="49060"/>
    <cellStyle name="Percent 61_Dakota Panel" xfId="49061"/>
    <cellStyle name="Percent 62" xfId="49062"/>
    <cellStyle name="Percent 62 10" xfId="49063"/>
    <cellStyle name="Percent 62 2" xfId="49064"/>
    <cellStyle name="Percent 62 2 2" xfId="49065"/>
    <cellStyle name="Percent 62 2 2 2" xfId="49066"/>
    <cellStyle name="Percent 62 2 3" xfId="49067"/>
    <cellStyle name="Percent 62 2 3 2" xfId="49068"/>
    <cellStyle name="Percent 62 2_Dakota Panel" xfId="49069"/>
    <cellStyle name="Percent 62 3" xfId="49070"/>
    <cellStyle name="Percent 62 3 2" xfId="49071"/>
    <cellStyle name="Percent 62 3 2 2" xfId="49072"/>
    <cellStyle name="Percent 62 3 3" xfId="49073"/>
    <cellStyle name="Percent 62 3 4" xfId="49074"/>
    <cellStyle name="Percent 62 4" xfId="49075"/>
    <cellStyle name="Percent 62 4 2" xfId="49076"/>
    <cellStyle name="Percent 62 5" xfId="49077"/>
    <cellStyle name="Percent 62 5 2" xfId="49078"/>
    <cellStyle name="Percent 62 6" xfId="49079"/>
    <cellStyle name="Percent 62 6 2" xfId="49080"/>
    <cellStyle name="Percent 62 7" xfId="49081"/>
    <cellStyle name="Percent 62 7 2" xfId="49082"/>
    <cellStyle name="Percent 62 8" xfId="49083"/>
    <cellStyle name="Percent 62 9" xfId="49084"/>
    <cellStyle name="Percent 62_Dakota Panel" xfId="49085"/>
    <cellStyle name="Percent 63" xfId="49086"/>
    <cellStyle name="Percent 63 2" xfId="49087"/>
    <cellStyle name="Percent 63 2 2" xfId="49088"/>
    <cellStyle name="Percent 63 3" xfId="49089"/>
    <cellStyle name="Percent 63 4" xfId="49090"/>
    <cellStyle name="Percent 63_Dakota Panel" xfId="49091"/>
    <cellStyle name="Percent 64" xfId="49092"/>
    <cellStyle name="Percent 64 2" xfId="49093"/>
    <cellStyle name="Percent 64 2 2" xfId="49094"/>
    <cellStyle name="Percent 64 3" xfId="49095"/>
    <cellStyle name="Percent 64 4" xfId="49096"/>
    <cellStyle name="Percent 64_Dakota Panel" xfId="49097"/>
    <cellStyle name="Percent 65" xfId="49098"/>
    <cellStyle name="Percent 65 2" xfId="49099"/>
    <cellStyle name="Percent 65 2 2" xfId="49100"/>
    <cellStyle name="Percent 65 2 2 2" xfId="49101"/>
    <cellStyle name="Percent 65 2 2 2 2" xfId="49102"/>
    <cellStyle name="Percent 65 2 2 3" xfId="49103"/>
    <cellStyle name="Percent 65 2 3" xfId="49104"/>
    <cellStyle name="Percent 65 2 3 2" xfId="49105"/>
    <cellStyle name="Percent 65 2 4" xfId="49106"/>
    <cellStyle name="Percent 65 2 5" xfId="49107"/>
    <cellStyle name="Percent 65 3" xfId="49108"/>
    <cellStyle name="Percent 65 3 2" xfId="49109"/>
    <cellStyle name="Percent 65 3 3" xfId="49110"/>
    <cellStyle name="Percent 65 3 3 2" xfId="49111"/>
    <cellStyle name="Percent 65 3 4" xfId="49112"/>
    <cellStyle name="Percent 65 3 5" xfId="49113"/>
    <cellStyle name="Percent 65 4" xfId="49114"/>
    <cellStyle name="Percent 65 4 2" xfId="49115"/>
    <cellStyle name="Percent 65 4 2 2" xfId="49116"/>
    <cellStyle name="Percent 65 4 3" xfId="49117"/>
    <cellStyle name="Percent 65 4 4" xfId="49118"/>
    <cellStyle name="Percent 65 5" xfId="49119"/>
    <cellStyle name="Percent 65 6" xfId="49120"/>
    <cellStyle name="Percent 65 6 2" xfId="49121"/>
    <cellStyle name="Percent 65 7" xfId="49122"/>
    <cellStyle name="Percent 65 8" xfId="49123"/>
    <cellStyle name="Percent 65 9" xfId="49124"/>
    <cellStyle name="Percent 65_Dakota Panel" xfId="49125"/>
    <cellStyle name="Percent 66" xfId="49126"/>
    <cellStyle name="Percent 66 2" xfId="49127"/>
    <cellStyle name="Percent 66 3" xfId="49128"/>
    <cellStyle name="Percent 66 4" xfId="49129"/>
    <cellStyle name="Percent 66_Dakota Panel" xfId="49130"/>
    <cellStyle name="Percent 67" xfId="49131"/>
    <cellStyle name="Percent 67 2" xfId="49132"/>
    <cellStyle name="Percent 67 3" xfId="49133"/>
    <cellStyle name="Percent 67 4" xfId="49134"/>
    <cellStyle name="Percent 67_Dakota Panel" xfId="49135"/>
    <cellStyle name="Percent 68" xfId="49136"/>
    <cellStyle name="Percent 68 2" xfId="49137"/>
    <cellStyle name="Percent 68 2 2" xfId="49138"/>
    <cellStyle name="Percent 68 2 2 2" xfId="49139"/>
    <cellStyle name="Percent 68 2 2 2 2" xfId="49140"/>
    <cellStyle name="Percent 68 2 2 3" xfId="49141"/>
    <cellStyle name="Percent 68 2 3" xfId="49142"/>
    <cellStyle name="Percent 68 2 3 2" xfId="49143"/>
    <cellStyle name="Percent 68 2 4" xfId="49144"/>
    <cellStyle name="Percent 68 2 5" xfId="49145"/>
    <cellStyle name="Percent 68 3" xfId="49146"/>
    <cellStyle name="Percent 68 3 2" xfId="49147"/>
    <cellStyle name="Percent 68 3 3" xfId="49148"/>
    <cellStyle name="Percent 68 3 3 2" xfId="49149"/>
    <cellStyle name="Percent 68 3 4" xfId="49150"/>
    <cellStyle name="Percent 68 3 5" xfId="49151"/>
    <cellStyle name="Percent 68 4" xfId="49152"/>
    <cellStyle name="Percent 68 4 2" xfId="49153"/>
    <cellStyle name="Percent 68 4 2 2" xfId="49154"/>
    <cellStyle name="Percent 68 4 3" xfId="49155"/>
    <cellStyle name="Percent 68 4 4" xfId="49156"/>
    <cellStyle name="Percent 68 5" xfId="49157"/>
    <cellStyle name="Percent 68 6" xfId="49158"/>
    <cellStyle name="Percent 68 6 2" xfId="49159"/>
    <cellStyle name="Percent 68 7" xfId="49160"/>
    <cellStyle name="Percent 68 8" xfId="49161"/>
    <cellStyle name="Percent 68 9" xfId="49162"/>
    <cellStyle name="Percent 68_Dakota Panel" xfId="49163"/>
    <cellStyle name="Percent 69" xfId="49164"/>
    <cellStyle name="Percent 69 2" xfId="49165"/>
    <cellStyle name="Percent 69 2 2" xfId="49166"/>
    <cellStyle name="Percent 69 2 2 2" xfId="49167"/>
    <cellStyle name="Percent 69 2 2 2 2" xfId="49168"/>
    <cellStyle name="Percent 69 2 2 3" xfId="49169"/>
    <cellStyle name="Percent 69 2 3" xfId="49170"/>
    <cellStyle name="Percent 69 2 3 2" xfId="49171"/>
    <cellStyle name="Percent 69 2 4" xfId="49172"/>
    <cellStyle name="Percent 69 2 5" xfId="49173"/>
    <cellStyle name="Percent 69 3" xfId="49174"/>
    <cellStyle name="Percent 69 3 2" xfId="49175"/>
    <cellStyle name="Percent 69 3 3" xfId="49176"/>
    <cellStyle name="Percent 69 3 3 2" xfId="49177"/>
    <cellStyle name="Percent 69 3 4" xfId="49178"/>
    <cellStyle name="Percent 69 3 5" xfId="49179"/>
    <cellStyle name="Percent 69 4" xfId="49180"/>
    <cellStyle name="Percent 69 4 2" xfId="49181"/>
    <cellStyle name="Percent 69 4 2 2" xfId="49182"/>
    <cellStyle name="Percent 69 4 3" xfId="49183"/>
    <cellStyle name="Percent 69 4 4" xfId="49184"/>
    <cellStyle name="Percent 69 5" xfId="49185"/>
    <cellStyle name="Percent 69 6" xfId="49186"/>
    <cellStyle name="Percent 69 6 2" xfId="49187"/>
    <cellStyle name="Percent 69 7" xfId="49188"/>
    <cellStyle name="Percent 69 8" xfId="49189"/>
    <cellStyle name="Percent 69 9" xfId="49190"/>
    <cellStyle name="Percent 69_Dakota Panel" xfId="49191"/>
    <cellStyle name="Percent 7" xfId="95"/>
    <cellStyle name="Percent 7 2" xfId="5130"/>
    <cellStyle name="Percent 7 2 2" xfId="49192"/>
    <cellStyle name="Percent 7 2 2 2" xfId="49193"/>
    <cellStyle name="Percent 7 2 3" xfId="49194"/>
    <cellStyle name="Percent 7 2 4" xfId="49195"/>
    <cellStyle name="Percent 7 2 5" xfId="49196"/>
    <cellStyle name="Percent 7 3" xfId="49197"/>
    <cellStyle name="Percent 7 4" xfId="49198"/>
    <cellStyle name="Percent 7 4 2" xfId="49199"/>
    <cellStyle name="Percent 7 5" xfId="49200"/>
    <cellStyle name="Percent 7 6" xfId="49201"/>
    <cellStyle name="Percent 7 7" xfId="49202"/>
    <cellStyle name="Percent 7 8" xfId="49203"/>
    <cellStyle name="Percent 7_Dakota Panel" xfId="49204"/>
    <cellStyle name="Percent 70" xfId="49205"/>
    <cellStyle name="Percent 70 2" xfId="49206"/>
    <cellStyle name="Percent 70 2 2" xfId="49207"/>
    <cellStyle name="Percent 70 2 2 2" xfId="49208"/>
    <cellStyle name="Percent 70 2 2 2 2" xfId="49209"/>
    <cellStyle name="Percent 70 2 2 3" xfId="49210"/>
    <cellStyle name="Percent 70 2 3" xfId="49211"/>
    <cellStyle name="Percent 70 2 3 2" xfId="49212"/>
    <cellStyle name="Percent 70 2 4" xfId="49213"/>
    <cellStyle name="Percent 70 2 5" xfId="49214"/>
    <cellStyle name="Percent 70 3" xfId="49215"/>
    <cellStyle name="Percent 70 3 2" xfId="49216"/>
    <cellStyle name="Percent 70 3 3" xfId="49217"/>
    <cellStyle name="Percent 70 3 3 2" xfId="49218"/>
    <cellStyle name="Percent 70 3 4" xfId="49219"/>
    <cellStyle name="Percent 70 3 5" xfId="49220"/>
    <cellStyle name="Percent 70 4" xfId="49221"/>
    <cellStyle name="Percent 70 4 2" xfId="49222"/>
    <cellStyle name="Percent 70 4 2 2" xfId="49223"/>
    <cellStyle name="Percent 70 4 3" xfId="49224"/>
    <cellStyle name="Percent 70 4 4" xfId="49225"/>
    <cellStyle name="Percent 70 5" xfId="49226"/>
    <cellStyle name="Percent 70 6" xfId="49227"/>
    <cellStyle name="Percent 70 6 2" xfId="49228"/>
    <cellStyle name="Percent 70 7" xfId="49229"/>
    <cellStyle name="Percent 70 8" xfId="49230"/>
    <cellStyle name="Percent 70 9" xfId="49231"/>
    <cellStyle name="Percent 70_Dakota Panel" xfId="49232"/>
    <cellStyle name="Percent 71" xfId="49233"/>
    <cellStyle name="Percent 71 2" xfId="49234"/>
    <cellStyle name="Percent 71 2 2" xfId="49235"/>
    <cellStyle name="Percent 71 2 2 2" xfId="49236"/>
    <cellStyle name="Percent 71 2 2 2 2" xfId="49237"/>
    <cellStyle name="Percent 71 2 2 3" xfId="49238"/>
    <cellStyle name="Percent 71 2 3" xfId="49239"/>
    <cellStyle name="Percent 71 2 3 2" xfId="49240"/>
    <cellStyle name="Percent 71 2 4" xfId="49241"/>
    <cellStyle name="Percent 71 2 5" xfId="49242"/>
    <cellStyle name="Percent 71 3" xfId="49243"/>
    <cellStyle name="Percent 71 3 2" xfId="49244"/>
    <cellStyle name="Percent 71 3 3" xfId="49245"/>
    <cellStyle name="Percent 71 3 3 2" xfId="49246"/>
    <cellStyle name="Percent 71 3 4" xfId="49247"/>
    <cellStyle name="Percent 71 3 5" xfId="49248"/>
    <cellStyle name="Percent 71 4" xfId="49249"/>
    <cellStyle name="Percent 71 4 2" xfId="49250"/>
    <cellStyle name="Percent 71 4 2 2" xfId="49251"/>
    <cellStyle name="Percent 71 4 3" xfId="49252"/>
    <cellStyle name="Percent 71 4 4" xfId="49253"/>
    <cellStyle name="Percent 71 5" xfId="49254"/>
    <cellStyle name="Percent 71 6" xfId="49255"/>
    <cellStyle name="Percent 71 6 2" xfId="49256"/>
    <cellStyle name="Percent 71 7" xfId="49257"/>
    <cellStyle name="Percent 71 8" xfId="49258"/>
    <cellStyle name="Percent 71 9" xfId="49259"/>
    <cellStyle name="Percent 71_Dakota Panel" xfId="49260"/>
    <cellStyle name="Percent 72" xfId="49261"/>
    <cellStyle name="Percent 72 2" xfId="49262"/>
    <cellStyle name="Percent 72 2 2" xfId="49263"/>
    <cellStyle name="Percent 72 2 2 2" xfId="49264"/>
    <cellStyle name="Percent 72 2 2 2 2" xfId="49265"/>
    <cellStyle name="Percent 72 2 2 3" xfId="49266"/>
    <cellStyle name="Percent 72 2 3" xfId="49267"/>
    <cellStyle name="Percent 72 2 3 2" xfId="49268"/>
    <cellStyle name="Percent 72 2 4" xfId="49269"/>
    <cellStyle name="Percent 72 2 5" xfId="49270"/>
    <cellStyle name="Percent 72 3" xfId="49271"/>
    <cellStyle name="Percent 72 3 2" xfId="49272"/>
    <cellStyle name="Percent 72 3 3" xfId="49273"/>
    <cellStyle name="Percent 72 3 3 2" xfId="49274"/>
    <cellStyle name="Percent 72 3 4" xfId="49275"/>
    <cellStyle name="Percent 72 3 5" xfId="49276"/>
    <cellStyle name="Percent 72 4" xfId="49277"/>
    <cellStyle name="Percent 72 4 2" xfId="49278"/>
    <cellStyle name="Percent 72 4 2 2" xfId="49279"/>
    <cellStyle name="Percent 72 4 3" xfId="49280"/>
    <cellStyle name="Percent 72 4 4" xfId="49281"/>
    <cellStyle name="Percent 72 5" xfId="49282"/>
    <cellStyle name="Percent 72 6" xfId="49283"/>
    <cellStyle name="Percent 72 6 2" xfId="49284"/>
    <cellStyle name="Percent 72 7" xfId="49285"/>
    <cellStyle name="Percent 72 8" xfId="49286"/>
    <cellStyle name="Percent 72 9" xfId="49287"/>
    <cellStyle name="Percent 72_Dakota Panel" xfId="49288"/>
    <cellStyle name="Percent 73" xfId="49289"/>
    <cellStyle name="Percent 73 2" xfId="49290"/>
    <cellStyle name="Percent 73 2 2" xfId="49291"/>
    <cellStyle name="Percent 73 2 2 2" xfId="49292"/>
    <cellStyle name="Percent 73 2 2 2 2" xfId="49293"/>
    <cellStyle name="Percent 73 2 2 3" xfId="49294"/>
    <cellStyle name="Percent 73 2 3" xfId="49295"/>
    <cellStyle name="Percent 73 2 3 2" xfId="49296"/>
    <cellStyle name="Percent 73 2 4" xfId="49297"/>
    <cellStyle name="Percent 73 2 5" xfId="49298"/>
    <cellStyle name="Percent 73 3" xfId="49299"/>
    <cellStyle name="Percent 73 3 2" xfId="49300"/>
    <cellStyle name="Percent 73 3 3" xfId="49301"/>
    <cellStyle name="Percent 73 3 3 2" xfId="49302"/>
    <cellStyle name="Percent 73 3 4" xfId="49303"/>
    <cellStyle name="Percent 73 3 5" xfId="49304"/>
    <cellStyle name="Percent 73 4" xfId="49305"/>
    <cellStyle name="Percent 73 4 2" xfId="49306"/>
    <cellStyle name="Percent 73 4 2 2" xfId="49307"/>
    <cellStyle name="Percent 73 4 3" xfId="49308"/>
    <cellStyle name="Percent 73 4 4" xfId="49309"/>
    <cellStyle name="Percent 73 5" xfId="49310"/>
    <cellStyle name="Percent 73 6" xfId="49311"/>
    <cellStyle name="Percent 73 6 2" xfId="49312"/>
    <cellStyle name="Percent 73 7" xfId="49313"/>
    <cellStyle name="Percent 73 8" xfId="49314"/>
    <cellStyle name="Percent 73 9" xfId="49315"/>
    <cellStyle name="Percent 73_Dakota Panel" xfId="49316"/>
    <cellStyle name="Percent 74" xfId="49317"/>
    <cellStyle name="Percent 74 2" xfId="49318"/>
    <cellStyle name="Percent 74 3" xfId="49319"/>
    <cellStyle name="Percent 74_Dakota Panel" xfId="49320"/>
    <cellStyle name="Percent 75" xfId="49321"/>
    <cellStyle name="Percent 75 2" xfId="49322"/>
    <cellStyle name="Percent 75_Dakota Panel" xfId="49323"/>
    <cellStyle name="Percent 76" xfId="49324"/>
    <cellStyle name="Percent 76 2" xfId="49325"/>
    <cellStyle name="Percent 76_Dakota Panel" xfId="49326"/>
    <cellStyle name="Percent 77" xfId="49327"/>
    <cellStyle name="Percent 77 2" xfId="49328"/>
    <cellStyle name="Percent 77_Dakota Panel" xfId="49329"/>
    <cellStyle name="Percent 78" xfId="49330"/>
    <cellStyle name="Percent 78 2" xfId="49331"/>
    <cellStyle name="Percent 78_Dakota Panel" xfId="49332"/>
    <cellStyle name="Percent 79" xfId="49333"/>
    <cellStyle name="Percent 79 2" xfId="49334"/>
    <cellStyle name="Percent 79_Dakota Panel" xfId="49335"/>
    <cellStyle name="Percent 8" xfId="108"/>
    <cellStyle name="Percent 8 2" xfId="5131"/>
    <cellStyle name="Percent 8 2 2" xfId="49336"/>
    <cellStyle name="Percent 8 2 3" xfId="49337"/>
    <cellStyle name="Percent 8 3" xfId="49338"/>
    <cellStyle name="Percent 8 3 2" xfId="49339"/>
    <cellStyle name="Percent 8 3 3" xfId="49340"/>
    <cellStyle name="Percent 8 4" xfId="49341"/>
    <cellStyle name="Percent 8 4 2" xfId="49342"/>
    <cellStyle name="Percent 8 5" xfId="49343"/>
    <cellStyle name="Percent 8 5 2" xfId="49344"/>
    <cellStyle name="Percent 8 6" xfId="49345"/>
    <cellStyle name="Percent 8 7" xfId="49346"/>
    <cellStyle name="Percent 8 8" xfId="49347"/>
    <cellStyle name="Percent 8_Dakota Panel" xfId="49348"/>
    <cellStyle name="Percent 80" xfId="49349"/>
    <cellStyle name="Percent 80 2" xfId="49350"/>
    <cellStyle name="Percent 80_Dakota Panel" xfId="49351"/>
    <cellStyle name="Percent 81" xfId="49352"/>
    <cellStyle name="Percent 81 2" xfId="49353"/>
    <cellStyle name="Percent 81_Dakota Panel" xfId="49354"/>
    <cellStyle name="Percent 82" xfId="49355"/>
    <cellStyle name="Percent 82 2" xfId="49356"/>
    <cellStyle name="Percent 82_Dakota Panel" xfId="49357"/>
    <cellStyle name="Percent 83" xfId="49358"/>
    <cellStyle name="Percent 83 2" xfId="49359"/>
    <cellStyle name="Percent 83_Dakota Panel" xfId="49360"/>
    <cellStyle name="Percent 84" xfId="49361"/>
    <cellStyle name="Percent 84 2" xfId="49362"/>
    <cellStyle name="Percent 84_Dakota Panel" xfId="49363"/>
    <cellStyle name="Percent 85" xfId="49364"/>
    <cellStyle name="Percent 85 2" xfId="49365"/>
    <cellStyle name="Percent 85_Dakota Panel" xfId="49366"/>
    <cellStyle name="Percent 86" xfId="49367"/>
    <cellStyle name="Percent 86 2" xfId="49368"/>
    <cellStyle name="Percent 86_Dakota Panel" xfId="49369"/>
    <cellStyle name="Percent 87" xfId="49370"/>
    <cellStyle name="Percent 87 2" xfId="49371"/>
    <cellStyle name="Percent 87_Dakota Panel" xfId="49372"/>
    <cellStyle name="Percent 88" xfId="49373"/>
    <cellStyle name="Percent 88 2" xfId="49374"/>
    <cellStyle name="Percent 88_Dakota Panel" xfId="49375"/>
    <cellStyle name="Percent 89" xfId="49376"/>
    <cellStyle name="Percent 89 2" xfId="49377"/>
    <cellStyle name="Percent 89_Dakota Panel" xfId="49378"/>
    <cellStyle name="Percent 9" xfId="109"/>
    <cellStyle name="Percent 9 2" xfId="5132"/>
    <cellStyle name="Percent 9 2 2" xfId="49379"/>
    <cellStyle name="Percent 9 2 3" xfId="49380"/>
    <cellStyle name="Percent 9 3" xfId="49381"/>
    <cellStyle name="Percent 9 3 2" xfId="49382"/>
    <cellStyle name="Percent 9 3 3" xfId="49383"/>
    <cellStyle name="Percent 9 4" xfId="49384"/>
    <cellStyle name="Percent 9 4 2" xfId="49385"/>
    <cellStyle name="Percent 9 5" xfId="49386"/>
    <cellStyle name="Percent 9 5 2" xfId="49387"/>
    <cellStyle name="Percent 9 6" xfId="49388"/>
    <cellStyle name="Percent 9 7" xfId="49389"/>
    <cellStyle name="Percent 9 8" xfId="49390"/>
    <cellStyle name="Percent 9_Dakota Panel" xfId="49391"/>
    <cellStyle name="Percent 90" xfId="49392"/>
    <cellStyle name="Percent 90 2" xfId="49393"/>
    <cellStyle name="Percent 90_Dakota Panel" xfId="49394"/>
    <cellStyle name="Percent 91" xfId="49395"/>
    <cellStyle name="Percent 91 2" xfId="49396"/>
    <cellStyle name="Percent 91_Dakota Panel" xfId="49397"/>
    <cellStyle name="Percent 92" xfId="49398"/>
    <cellStyle name="Percent 92 2" xfId="49399"/>
    <cellStyle name="Percent 92_Dakota Panel" xfId="49400"/>
    <cellStyle name="Percent 93" xfId="49401"/>
    <cellStyle name="Percent 93 2" xfId="49402"/>
    <cellStyle name="Percent 93_Dakota Panel" xfId="49403"/>
    <cellStyle name="Percent 94" xfId="49404"/>
    <cellStyle name="Percent 94 2" xfId="49405"/>
    <cellStyle name="Percent 94_Dakota Panel" xfId="49406"/>
    <cellStyle name="Percent 95" xfId="49407"/>
    <cellStyle name="Percent 95 2" xfId="49408"/>
    <cellStyle name="Percent 95_Dakota Panel" xfId="49409"/>
    <cellStyle name="Percent 96" xfId="49410"/>
    <cellStyle name="Percent 96 2" xfId="49411"/>
    <cellStyle name="Percent 96_Dakota Panel" xfId="49412"/>
    <cellStyle name="Percent 97" xfId="49413"/>
    <cellStyle name="Percent 97 2" xfId="49414"/>
    <cellStyle name="Percent 97_Dakota Panel" xfId="49415"/>
    <cellStyle name="Percent 98" xfId="49416"/>
    <cellStyle name="Percent 98 2" xfId="49417"/>
    <cellStyle name="Percent 98_Dakota Panel" xfId="49418"/>
    <cellStyle name="Percent 99" xfId="49419"/>
    <cellStyle name="Percent 99 2" xfId="49420"/>
    <cellStyle name="Percent 99_Dakota Panel" xfId="49421"/>
    <cellStyle name="Percent(1)" xfId="49422"/>
    <cellStyle name="Percent(1) 2" xfId="49423"/>
    <cellStyle name="Percent(1) 2 2" xfId="49424"/>
    <cellStyle name="Percent(1) 3" xfId="49425"/>
    <cellStyle name="Period" xfId="5133"/>
    <cellStyle name="PrePop Currency (0)" xfId="5134"/>
    <cellStyle name="PrePop Currency (2)" xfId="5135"/>
    <cellStyle name="PrePop Units (0)" xfId="5136"/>
    <cellStyle name="PrePop Units (1)" xfId="5137"/>
    <cellStyle name="PrePop Units (2)" xfId="5138"/>
    <cellStyle name="Price" xfId="5139"/>
    <cellStyle name="Price  .00" xfId="5140"/>
    <cellStyle name="Price 10" xfId="5141"/>
    <cellStyle name="Price 11" xfId="5142"/>
    <cellStyle name="Price 12" xfId="5143"/>
    <cellStyle name="Price 13" xfId="5144"/>
    <cellStyle name="Price 14" xfId="5145"/>
    <cellStyle name="Price 15" xfId="5146"/>
    <cellStyle name="Price 16" xfId="5147"/>
    <cellStyle name="Price 17" xfId="5148"/>
    <cellStyle name="Price 18" xfId="5149"/>
    <cellStyle name="Price 2" xfId="5150"/>
    <cellStyle name="Price 3" xfId="5151"/>
    <cellStyle name="Price 4" xfId="5152"/>
    <cellStyle name="Price 5" xfId="5153"/>
    <cellStyle name="Price 6" xfId="5154"/>
    <cellStyle name="Price 7" xfId="5155"/>
    <cellStyle name="Price 8" xfId="5156"/>
    <cellStyle name="Price 9" xfId="5157"/>
    <cellStyle name="PROJ_NUM" xfId="5158"/>
    <cellStyle name="PSChar" xfId="5159"/>
    <cellStyle name="PSChar 10" xfId="5160"/>
    <cellStyle name="PSChar 10 2" xfId="5161"/>
    <cellStyle name="PSChar 2" xfId="5162"/>
    <cellStyle name="PSChar 2 2" xfId="5163"/>
    <cellStyle name="PSChar 2 2 2" xfId="49426"/>
    <cellStyle name="PSChar 2 2 2 2" xfId="49427"/>
    <cellStyle name="PSChar 2 2 3" xfId="49428"/>
    <cellStyle name="PSChar 2 3" xfId="49429"/>
    <cellStyle name="PSChar 2 3 2" xfId="49430"/>
    <cellStyle name="PSChar 2 4" xfId="49431"/>
    <cellStyle name="PSChar 2 4 2" xfId="49432"/>
    <cellStyle name="PSChar 2 5" xfId="49433"/>
    <cellStyle name="PSChar 2 6" xfId="49434"/>
    <cellStyle name="PSChar 2 7" xfId="49435"/>
    <cellStyle name="PSChar 2_Dakota Panel" xfId="49436"/>
    <cellStyle name="PSChar 3" xfId="5164"/>
    <cellStyle name="PSChar 3 2" xfId="5165"/>
    <cellStyle name="PSChar 3 2 2" xfId="49437"/>
    <cellStyle name="PSChar 3 3" xfId="49438"/>
    <cellStyle name="PSChar 3 3 2" xfId="49439"/>
    <cellStyle name="PSChar 3 4" xfId="49440"/>
    <cellStyle name="PSChar 3 5" xfId="49441"/>
    <cellStyle name="PSChar 4" xfId="5166"/>
    <cellStyle name="PSChar 4 2" xfId="5167"/>
    <cellStyle name="PSChar 4 2 2" xfId="49442"/>
    <cellStyle name="PSChar 4 3" xfId="49443"/>
    <cellStyle name="PSChar 4 3 2" xfId="49444"/>
    <cellStyle name="PSChar 4 4" xfId="49445"/>
    <cellStyle name="PSChar 5" xfId="5168"/>
    <cellStyle name="PSChar 5 2" xfId="5169"/>
    <cellStyle name="PSChar 6" xfId="5170"/>
    <cellStyle name="PSChar 6 2" xfId="5171"/>
    <cellStyle name="PSChar 7" xfId="5172"/>
    <cellStyle name="PSChar 7 2" xfId="5173"/>
    <cellStyle name="PSChar 8" xfId="5174"/>
    <cellStyle name="PSChar 8 2" xfId="5175"/>
    <cellStyle name="PSChar 9" xfId="5176"/>
    <cellStyle name="PSChar 9 2" xfId="5177"/>
    <cellStyle name="PSChar_Dakota Panel" xfId="49446"/>
    <cellStyle name="PSDate" xfId="5178"/>
    <cellStyle name="PSDate 10" xfId="5179"/>
    <cellStyle name="PSDate 10 2" xfId="5180"/>
    <cellStyle name="PSDate 2" xfId="5181"/>
    <cellStyle name="PSDate 2 2" xfId="5182"/>
    <cellStyle name="PSDate 2 2 2" xfId="49447"/>
    <cellStyle name="PSDate 2 2 3" xfId="49448"/>
    <cellStyle name="PSDate 2 3" xfId="49449"/>
    <cellStyle name="PSDate 2 3 2" xfId="49450"/>
    <cellStyle name="PSDate 2 4" xfId="49451"/>
    <cellStyle name="PSDate 2 4 2" xfId="49452"/>
    <cellStyle name="PSDate 2 5" xfId="49453"/>
    <cellStyle name="PSDate 2 6" xfId="49454"/>
    <cellStyle name="PSDate 2 7" xfId="49455"/>
    <cellStyle name="PSDate 3" xfId="5183"/>
    <cellStyle name="PSDate 3 2" xfId="5184"/>
    <cellStyle name="PSDate 3 2 2" xfId="49456"/>
    <cellStyle name="PSDate 3 3" xfId="49457"/>
    <cellStyle name="PSDate 3 3 2" xfId="49458"/>
    <cellStyle name="PSDate 3 4" xfId="49459"/>
    <cellStyle name="PSDate 4" xfId="5185"/>
    <cellStyle name="PSDate 4 2" xfId="5186"/>
    <cellStyle name="PSDate 4 2 2" xfId="49460"/>
    <cellStyle name="PSDate 4 3" xfId="49461"/>
    <cellStyle name="PSDate 4 3 2" xfId="49462"/>
    <cellStyle name="PSDate 4 4" xfId="49463"/>
    <cellStyle name="PSDate 5" xfId="5187"/>
    <cellStyle name="PSDate 5 2" xfId="5188"/>
    <cellStyle name="PSDate 6" xfId="5189"/>
    <cellStyle name="PSDate 6 2" xfId="5190"/>
    <cellStyle name="PSDate 7" xfId="5191"/>
    <cellStyle name="PSDate 7 2" xfId="5192"/>
    <cellStyle name="PSDate 8" xfId="5193"/>
    <cellStyle name="PSDate 8 2" xfId="5194"/>
    <cellStyle name="PSDate 9" xfId="5195"/>
    <cellStyle name="PSDate 9 2" xfId="5196"/>
    <cellStyle name="PSDate_Dakota Panel" xfId="49464"/>
    <cellStyle name="PSDec" xfId="5197"/>
    <cellStyle name="PSDec 10" xfId="5198"/>
    <cellStyle name="PSDec 10 2" xfId="5199"/>
    <cellStyle name="PSDec 2" xfId="5200"/>
    <cellStyle name="PSDec 2 2" xfId="5201"/>
    <cellStyle name="PSDec 2 2 2" xfId="49465"/>
    <cellStyle name="PSDec 2 2 3" xfId="49466"/>
    <cellStyle name="PSDec 2 3" xfId="49467"/>
    <cellStyle name="PSDec 2 3 2" xfId="49468"/>
    <cellStyle name="PSDec 2 4" xfId="49469"/>
    <cellStyle name="PSDec 2 4 2" xfId="49470"/>
    <cellStyle name="PSDec 2 5" xfId="49471"/>
    <cellStyle name="PSDec 2 6" xfId="49472"/>
    <cellStyle name="PSDec 2 7" xfId="49473"/>
    <cellStyle name="PSDec 3" xfId="5202"/>
    <cellStyle name="PSDec 3 2" xfId="5203"/>
    <cellStyle name="PSDec 3 2 2" xfId="49474"/>
    <cellStyle name="PSDec 3 3" xfId="49475"/>
    <cellStyle name="PSDec 3 3 2" xfId="49476"/>
    <cellStyle name="PSDec 3 4" xfId="49477"/>
    <cellStyle name="PSDec 4" xfId="5204"/>
    <cellStyle name="PSDec 4 2" xfId="5205"/>
    <cellStyle name="PSDec 4 2 2" xfId="49478"/>
    <cellStyle name="PSDec 4 3" xfId="49479"/>
    <cellStyle name="PSDec 4 3 2" xfId="49480"/>
    <cellStyle name="PSDec 4 4" xfId="49481"/>
    <cellStyle name="PSDec 5" xfId="5206"/>
    <cellStyle name="PSDec 5 2" xfId="5207"/>
    <cellStyle name="PSDec 6" xfId="5208"/>
    <cellStyle name="PSDec 6 2" xfId="5209"/>
    <cellStyle name="PSDec 7" xfId="5210"/>
    <cellStyle name="PSDec 7 2" xfId="5211"/>
    <cellStyle name="PSDec 8" xfId="5212"/>
    <cellStyle name="PSDec 8 2" xfId="5213"/>
    <cellStyle name="PSDec 9" xfId="5214"/>
    <cellStyle name="PSDec 9 2" xfId="5215"/>
    <cellStyle name="PSDec_Dakota Panel" xfId="49482"/>
    <cellStyle name="PSHeading" xfId="5216"/>
    <cellStyle name="PSHeading 10" xfId="5217"/>
    <cellStyle name="PSHeading 10 2" xfId="5218"/>
    <cellStyle name="PSHeading 2" xfId="5219"/>
    <cellStyle name="PSHeading 2 10" xfId="49483"/>
    <cellStyle name="PSHeading 2 11" xfId="49484"/>
    <cellStyle name="PSHeading 2 2" xfId="5220"/>
    <cellStyle name="PSHeading 2 2 2" xfId="49485"/>
    <cellStyle name="PSHeading 2 2 2 2" xfId="49486"/>
    <cellStyle name="PSHeading 2 2 2 3" xfId="49487"/>
    <cellStyle name="PSHeading 2 2 3" xfId="49488"/>
    <cellStyle name="PSHeading 2 2 3 2" xfId="49489"/>
    <cellStyle name="PSHeading 2 2 3 3" xfId="49490"/>
    <cellStyle name="PSHeading 2 2 4" xfId="49491"/>
    <cellStyle name="PSHeading 2 2 4 2" xfId="49492"/>
    <cellStyle name="PSHeading 2 2 4 3" xfId="49493"/>
    <cellStyle name="PSHeading 2 2 5" xfId="49494"/>
    <cellStyle name="PSHeading 2 2 6" xfId="49495"/>
    <cellStyle name="PSHeading 2 2_Dakota Panel" xfId="49496"/>
    <cellStyle name="PSHeading 2 3" xfId="49497"/>
    <cellStyle name="PSHeading 2 3 2" xfId="49498"/>
    <cellStyle name="PSHeading 2 3 2 2" xfId="49499"/>
    <cellStyle name="PSHeading 2 3 3" xfId="49500"/>
    <cellStyle name="PSHeading 2 3 3 2" xfId="49501"/>
    <cellStyle name="PSHeading 2 3 4" xfId="49502"/>
    <cellStyle name="PSHeading 2 3 4 2" xfId="49503"/>
    <cellStyle name="PSHeading 2 3 5" xfId="49504"/>
    <cellStyle name="PSHeading 2 4" xfId="49505"/>
    <cellStyle name="PSHeading 2 4 2" xfId="49506"/>
    <cellStyle name="PSHeading 2 4 2 2" xfId="49507"/>
    <cellStyle name="PSHeading 2 4 3" xfId="49508"/>
    <cellStyle name="PSHeading 2 4 3 2" xfId="49509"/>
    <cellStyle name="PSHeading 2 4 4" xfId="49510"/>
    <cellStyle name="PSHeading 2 4 4 2" xfId="49511"/>
    <cellStyle name="PSHeading 2 4 5" xfId="49512"/>
    <cellStyle name="PSHeading 2 5" xfId="49513"/>
    <cellStyle name="PSHeading 2 5 2" xfId="49514"/>
    <cellStyle name="PSHeading 2 5 2 2" xfId="49515"/>
    <cellStyle name="PSHeading 2 5 3" xfId="49516"/>
    <cellStyle name="PSHeading 2 5 3 2" xfId="49517"/>
    <cellStyle name="PSHeading 2 5 4" xfId="49518"/>
    <cellStyle name="PSHeading 2 5 4 2" xfId="49519"/>
    <cellStyle name="PSHeading 2 5 5" xfId="49520"/>
    <cellStyle name="PSHeading 2 6" xfId="49521"/>
    <cellStyle name="PSHeading 2 6 2" xfId="49522"/>
    <cellStyle name="PSHeading 2 6 2 2" xfId="49523"/>
    <cellStyle name="PSHeading 2 6 3" xfId="49524"/>
    <cellStyle name="PSHeading 2 6 3 2" xfId="49525"/>
    <cellStyle name="PSHeading 2 6 4" xfId="49526"/>
    <cellStyle name="PSHeading 2 6 4 2" xfId="49527"/>
    <cellStyle name="PSHeading 2 6 5" xfId="49528"/>
    <cellStyle name="PSHeading 2 7" xfId="49529"/>
    <cellStyle name="PSHeading 2 7 2" xfId="49530"/>
    <cellStyle name="PSHeading 2 8" xfId="49531"/>
    <cellStyle name="PSHeading 2 8 2" xfId="49532"/>
    <cellStyle name="PSHeading 2 9" xfId="49533"/>
    <cellStyle name="PSHeading 2 9 2" xfId="49534"/>
    <cellStyle name="PSHeading 2_Dakota Panel" xfId="49535"/>
    <cellStyle name="PSHeading 3" xfId="5221"/>
    <cellStyle name="PSHeading 3 2" xfId="5222"/>
    <cellStyle name="PSHeading 3 2 2" xfId="49536"/>
    <cellStyle name="PSHeading 3 2 3" xfId="49537"/>
    <cellStyle name="PSHeading 3 3" xfId="49538"/>
    <cellStyle name="PSHeading 3 3 2" xfId="49539"/>
    <cellStyle name="PSHeading 3 4" xfId="49540"/>
    <cellStyle name="PSHeading 3 4 2" xfId="49541"/>
    <cellStyle name="PSHeading 3 5" xfId="49542"/>
    <cellStyle name="PSHeading 3 6" xfId="49543"/>
    <cellStyle name="PSHeading 3_Dakota Panel" xfId="49544"/>
    <cellStyle name="PSHeading 4" xfId="5223"/>
    <cellStyle name="PSHeading 4 2" xfId="5224"/>
    <cellStyle name="PSHeading 4 2 2" xfId="49545"/>
    <cellStyle name="PSHeading 4 3" xfId="49546"/>
    <cellStyle name="PSHeading 4 3 2" xfId="49547"/>
    <cellStyle name="PSHeading 4 4" xfId="49548"/>
    <cellStyle name="PSHeading 4 4 2" xfId="49549"/>
    <cellStyle name="PSHeading 4 5" xfId="49550"/>
    <cellStyle name="PSHeading 5" xfId="5225"/>
    <cellStyle name="PSHeading 5 2" xfId="5226"/>
    <cellStyle name="PSHeading 5 2 2" xfId="49551"/>
    <cellStyle name="PSHeading 5 3" xfId="49552"/>
    <cellStyle name="PSHeading 5 3 2" xfId="49553"/>
    <cellStyle name="PSHeading 5 4" xfId="49554"/>
    <cellStyle name="PSHeading 5 4 2" xfId="49555"/>
    <cellStyle name="PSHeading 5 5" xfId="49556"/>
    <cellStyle name="PSHeading 6" xfId="5227"/>
    <cellStyle name="PSHeading 6 2" xfId="5228"/>
    <cellStyle name="PSHeading 6 3" xfId="49557"/>
    <cellStyle name="PSHeading 7" xfId="5229"/>
    <cellStyle name="PSHeading 7 2" xfId="5230"/>
    <cellStyle name="PSHeading 8" xfId="5231"/>
    <cellStyle name="PSHeading 8 2" xfId="5232"/>
    <cellStyle name="PSHeading 9" xfId="5233"/>
    <cellStyle name="PSHeading 9 2" xfId="5234"/>
    <cellStyle name="PSHeading_BH Electric Utilities 2010 Strategic Plan" xfId="49558"/>
    <cellStyle name="PSInt" xfId="5235"/>
    <cellStyle name="PSInt 10" xfId="5236"/>
    <cellStyle name="PSInt 10 2" xfId="5237"/>
    <cellStyle name="PSInt 2" xfId="5238"/>
    <cellStyle name="PSInt 2 2" xfId="5239"/>
    <cellStyle name="PSInt 2 2 2" xfId="49559"/>
    <cellStyle name="PSInt 2 2 3" xfId="49560"/>
    <cellStyle name="PSInt 2 3" xfId="49561"/>
    <cellStyle name="PSInt 2 3 2" xfId="49562"/>
    <cellStyle name="PSInt 2 4" xfId="49563"/>
    <cellStyle name="PSInt 2 4 2" xfId="49564"/>
    <cellStyle name="PSInt 2 5" xfId="49565"/>
    <cellStyle name="PSInt 2 6" xfId="49566"/>
    <cellStyle name="PSInt 2 7" xfId="49567"/>
    <cellStyle name="PSInt 3" xfId="5240"/>
    <cellStyle name="PSInt 3 2" xfId="5241"/>
    <cellStyle name="PSInt 3 2 2" xfId="49568"/>
    <cellStyle name="PSInt 3 3" xfId="49569"/>
    <cellStyle name="PSInt 3 3 2" xfId="49570"/>
    <cellStyle name="PSInt 3 4" xfId="49571"/>
    <cellStyle name="PSInt 4" xfId="5242"/>
    <cellStyle name="PSInt 4 2" xfId="5243"/>
    <cellStyle name="PSInt 4 2 2" xfId="49572"/>
    <cellStyle name="PSInt 4 3" xfId="49573"/>
    <cellStyle name="PSInt 4 3 2" xfId="49574"/>
    <cellStyle name="PSInt 4 4" xfId="49575"/>
    <cellStyle name="PSInt 5" xfId="5244"/>
    <cellStyle name="PSInt 5 2" xfId="5245"/>
    <cellStyle name="PSInt 6" xfId="5246"/>
    <cellStyle name="PSInt 6 2" xfId="5247"/>
    <cellStyle name="PSInt 7" xfId="5248"/>
    <cellStyle name="PSInt 7 2" xfId="5249"/>
    <cellStyle name="PSInt 8" xfId="5250"/>
    <cellStyle name="PSInt 8 2" xfId="5251"/>
    <cellStyle name="PSInt 9" xfId="5252"/>
    <cellStyle name="PSInt 9 2" xfId="5253"/>
    <cellStyle name="PSInt_Dakota Panel" xfId="49576"/>
    <cellStyle name="PSSpacer" xfId="5254"/>
    <cellStyle name="PSSpacer 10" xfId="5255"/>
    <cellStyle name="PSSpacer 10 2" xfId="5256"/>
    <cellStyle name="PSSpacer 2" xfId="5257"/>
    <cellStyle name="PSSpacer 2 2" xfId="5258"/>
    <cellStyle name="PSSpacer 2 2 2" xfId="49577"/>
    <cellStyle name="PSSpacer 2 2 2 2" xfId="49578"/>
    <cellStyle name="PSSpacer 2 2 3" xfId="49579"/>
    <cellStyle name="PSSpacer 2 3" xfId="49580"/>
    <cellStyle name="PSSpacer 2 3 2" xfId="49581"/>
    <cellStyle name="PSSpacer 2 4" xfId="49582"/>
    <cellStyle name="PSSpacer 2 4 2" xfId="49583"/>
    <cellStyle name="PSSpacer 2 5" xfId="49584"/>
    <cellStyle name="PSSpacer 2 6" xfId="49585"/>
    <cellStyle name="PSSpacer 2 7" xfId="49586"/>
    <cellStyle name="PSSpacer 2_Dakota Panel" xfId="49587"/>
    <cellStyle name="PSSpacer 3" xfId="5259"/>
    <cellStyle name="PSSpacer 3 2" xfId="5260"/>
    <cellStyle name="PSSpacer 3 2 2" xfId="49588"/>
    <cellStyle name="PSSpacer 3 3" xfId="49589"/>
    <cellStyle name="PSSpacer 3 3 2" xfId="49590"/>
    <cellStyle name="PSSpacer 3 4" xfId="49591"/>
    <cellStyle name="PSSpacer 3 5" xfId="49592"/>
    <cellStyle name="PSSpacer 4" xfId="5261"/>
    <cellStyle name="PSSpacer 4 2" xfId="5262"/>
    <cellStyle name="PSSpacer 4 2 2" xfId="49593"/>
    <cellStyle name="PSSpacer 4 3" xfId="49594"/>
    <cellStyle name="PSSpacer 4 3 2" xfId="49595"/>
    <cellStyle name="PSSpacer 4 4" xfId="49596"/>
    <cellStyle name="PSSpacer 5" xfId="5263"/>
    <cellStyle name="PSSpacer 5 2" xfId="5264"/>
    <cellStyle name="PSSpacer 6" xfId="5265"/>
    <cellStyle name="PSSpacer 6 2" xfId="5266"/>
    <cellStyle name="PSSpacer 7" xfId="5267"/>
    <cellStyle name="PSSpacer 7 2" xfId="5268"/>
    <cellStyle name="PSSpacer 8" xfId="5269"/>
    <cellStyle name="PSSpacer 8 2" xfId="5270"/>
    <cellStyle name="PSSpacer 9" xfId="5271"/>
    <cellStyle name="PSSpacer 9 2" xfId="5272"/>
    <cellStyle name="PSSpacer_Dakota Panel" xfId="49597"/>
    <cellStyle name="Qty" xfId="5273"/>
    <cellStyle name="Qty 2" xfId="5274"/>
    <cellStyle name="regstoresfromspecstores" xfId="5275"/>
    <cellStyle name="Resource Detail" xfId="49598"/>
    <cellStyle name="Resource Detail 2" xfId="49599"/>
    <cellStyle name="Resource Detail 2 2" xfId="49600"/>
    <cellStyle name="Resource Detail 3" xfId="49601"/>
    <cellStyle name="RevList" xfId="5276"/>
    <cellStyle name="RM" xfId="5277"/>
    <cellStyle name="RowLabel" xfId="115"/>
    <cellStyle name="RowLabels" xfId="5278"/>
    <cellStyle name="Shade" xfId="49602"/>
    <cellStyle name="Shade 2" xfId="49603"/>
    <cellStyle name="Shade 2 2" xfId="49604"/>
    <cellStyle name="Shade 2 2 2" xfId="49605"/>
    <cellStyle name="Shade 2 2 3" xfId="49606"/>
    <cellStyle name="Shade 2 3" xfId="49607"/>
    <cellStyle name="Shade 2 4" xfId="49608"/>
    <cellStyle name="Shade 2_Dakota Panel" xfId="49609"/>
    <cellStyle name="Shade 3" xfId="49610"/>
    <cellStyle name="Shade 3 2" xfId="49611"/>
    <cellStyle name="Shade 3 2 2" xfId="49612"/>
    <cellStyle name="Shade 3 3" xfId="49613"/>
    <cellStyle name="Shade 4" xfId="49614"/>
    <cellStyle name="Shade 4 2" xfId="49615"/>
    <cellStyle name="Shade 5" xfId="49616"/>
    <cellStyle name="Shade 6" xfId="49617"/>
    <cellStyle name="Shade_Dakota Panel" xfId="49618"/>
    <cellStyle name="SHADEDSTORES" xfId="5279"/>
    <cellStyle name="SHADEDSTORES 2" xfId="5280"/>
    <cellStyle name="SHADEDSTORES 2 2" xfId="5281"/>
    <cellStyle name="SHADEDSTORES 2 2 2" xfId="5282"/>
    <cellStyle name="SHADEDSTORES 2 2 2 2" xfId="5283"/>
    <cellStyle name="SHADEDSTORES 2 2 2 3" xfId="5284"/>
    <cellStyle name="SHADEDSTORES 2 2 3" xfId="5285"/>
    <cellStyle name="SHADEDSTORES 2 2 3 2" xfId="5286"/>
    <cellStyle name="SHADEDSTORES 2 2 3 3" xfId="5287"/>
    <cellStyle name="SHADEDSTORES 2 2 4" xfId="5288"/>
    <cellStyle name="SHADEDSTORES 2 2 4 2" xfId="5289"/>
    <cellStyle name="SHADEDSTORES 2 2 4 3" xfId="5290"/>
    <cellStyle name="SHADEDSTORES 2 2 5" xfId="5291"/>
    <cellStyle name="SHADEDSTORES 2 2 5 2" xfId="5292"/>
    <cellStyle name="SHADEDSTORES 2 2 5 3" xfId="5293"/>
    <cellStyle name="SHADEDSTORES 2 2 6" xfId="5294"/>
    <cellStyle name="SHADEDSTORES 2 2 6 2" xfId="5295"/>
    <cellStyle name="SHADEDSTORES 2 2 6 3" xfId="5296"/>
    <cellStyle name="SHADEDSTORES 2 2 7" xfId="5297"/>
    <cellStyle name="SHADEDSTORES 2 2 8" xfId="5298"/>
    <cellStyle name="SHADEDSTORES 2 3" xfId="5299"/>
    <cellStyle name="SHADEDSTORES 2 3 2" xfId="5300"/>
    <cellStyle name="SHADEDSTORES 2 3 3" xfId="5301"/>
    <cellStyle name="SHADEDSTORES 2 4" xfId="5302"/>
    <cellStyle name="SHADEDSTORES 2 4 2" xfId="5303"/>
    <cellStyle name="SHADEDSTORES 2 4 3" xfId="5304"/>
    <cellStyle name="SHADEDSTORES 2 5" xfId="5305"/>
    <cellStyle name="SHADEDSTORES 2 5 2" xfId="5306"/>
    <cellStyle name="SHADEDSTORES 2 5 3" xfId="5307"/>
    <cellStyle name="SHADEDSTORES 2 6" xfId="5308"/>
    <cellStyle name="SHADEDSTORES 2 6 2" xfId="5309"/>
    <cellStyle name="SHADEDSTORES 2 6 3" xfId="5310"/>
    <cellStyle name="SHADEDSTORES 2 7" xfId="5311"/>
    <cellStyle name="SHADEDSTORES 2 7 2" xfId="5312"/>
    <cellStyle name="SHADEDSTORES 2 7 3" xfId="5313"/>
    <cellStyle name="SHADEDSTORES 2 8" xfId="5314"/>
    <cellStyle name="SHADEDSTORES 2 9" xfId="5315"/>
    <cellStyle name="SHADEDSTORES 3" xfId="5316"/>
    <cellStyle name="SHADEDSTORES 3 2" xfId="5317"/>
    <cellStyle name="SHADEDSTORES 3 2 2" xfId="5318"/>
    <cellStyle name="SHADEDSTORES 3 2 3" xfId="5319"/>
    <cellStyle name="SHADEDSTORES 3 3" xfId="5320"/>
    <cellStyle name="SHADEDSTORES 3 3 2" xfId="5321"/>
    <cellStyle name="SHADEDSTORES 3 3 3" xfId="5322"/>
    <cellStyle name="SHADEDSTORES 3 4" xfId="5323"/>
    <cellStyle name="SHADEDSTORES 3 4 2" xfId="5324"/>
    <cellStyle name="SHADEDSTORES 3 4 3" xfId="5325"/>
    <cellStyle name="SHADEDSTORES 3 5" xfId="5326"/>
    <cellStyle name="SHADEDSTORES 3 5 2" xfId="5327"/>
    <cellStyle name="SHADEDSTORES 3 5 3" xfId="5328"/>
    <cellStyle name="SHADEDSTORES 3 6" xfId="5329"/>
    <cellStyle name="SHADEDSTORES 3 6 2" xfId="5330"/>
    <cellStyle name="SHADEDSTORES 3 6 3" xfId="5331"/>
    <cellStyle name="SHADEDSTORES 3 7" xfId="5332"/>
    <cellStyle name="SHADEDSTORES 3 8" xfId="5333"/>
    <cellStyle name="SHADEDSTORES 4" xfId="5334"/>
    <cellStyle name="SHADEDSTORES 4 2" xfId="5335"/>
    <cellStyle name="SHADEDSTORES 4 2 2" xfId="5336"/>
    <cellStyle name="SHADEDSTORES 4 2 3" xfId="5337"/>
    <cellStyle name="SHADEDSTORES 4 3" xfId="5338"/>
    <cellStyle name="SHADEDSTORES 4 3 2" xfId="5339"/>
    <cellStyle name="SHADEDSTORES 4 3 3" xfId="5340"/>
    <cellStyle name="SHADEDSTORES 4 4" xfId="5341"/>
    <cellStyle name="SHADEDSTORES 4 4 2" xfId="5342"/>
    <cellStyle name="SHADEDSTORES 4 4 3" xfId="5343"/>
    <cellStyle name="SHADEDSTORES 4 5" xfId="5344"/>
    <cellStyle name="SHADEDSTORES 4 5 2" xfId="5345"/>
    <cellStyle name="SHADEDSTORES 4 5 3" xfId="5346"/>
    <cellStyle name="SHADEDSTORES 4 6" xfId="5347"/>
    <cellStyle name="SHADEDSTORES 4 6 2" xfId="5348"/>
    <cellStyle name="SHADEDSTORES 4 6 3" xfId="5349"/>
    <cellStyle name="SHADEDSTORES 4 7" xfId="5350"/>
    <cellStyle name="SHADEDSTORES 4 8" xfId="5351"/>
    <cellStyle name="SHADEDSTORES 5" xfId="5352"/>
    <cellStyle name="SHADEDSTORES 5 2" xfId="5353"/>
    <cellStyle name="SHADEDSTORES 5 3" xfId="5354"/>
    <cellStyle name="SHADEDSTORES 6" xfId="5355"/>
    <cellStyle name="SHADEDSTORES 6 2" xfId="5356"/>
    <cellStyle name="SHADEDSTORES 6 3" xfId="5357"/>
    <cellStyle name="SHADEDSTORES 7" xfId="5358"/>
    <cellStyle name="SHADEDSTORES 7 2" xfId="5359"/>
    <cellStyle name="SHADEDSTORES 7 3" xfId="5360"/>
    <cellStyle name="SHADEDSTORES 8" xfId="5361"/>
    <cellStyle name="SHADEDSTORES 9" xfId="5362"/>
    <cellStyle name="Sheet Header" xfId="5363"/>
    <cellStyle name="Small Page Heading" xfId="49619"/>
    <cellStyle name="Small Page Heading 2" xfId="49620"/>
    <cellStyle name="Small Page Heading 2 2" xfId="49621"/>
    <cellStyle name="Small Page Heading 3" xfId="49622"/>
    <cellStyle name="specstores" xfId="5364"/>
    <cellStyle name="Standard_Anpassen der Amortisation" xfId="5365"/>
    <cellStyle name="Structure" xfId="5366"/>
    <cellStyle name="Structure 2" xfId="5367"/>
    <cellStyle name="Structure 2 2" xfId="5368"/>
    <cellStyle name="Structure 2 2 2" xfId="5369"/>
    <cellStyle name="Structure 2 2 2 2" xfId="5370"/>
    <cellStyle name="Structure 2 2 2 3" xfId="5371"/>
    <cellStyle name="Structure 2 2 3" xfId="5372"/>
    <cellStyle name="Structure 2 2 3 2" xfId="5373"/>
    <cellStyle name="Structure 2 2 3 3" xfId="5374"/>
    <cellStyle name="Structure 2 2 4" xfId="5375"/>
    <cellStyle name="Structure 2 2 4 2" xfId="5376"/>
    <cellStyle name="Structure 2 2 4 3" xfId="5377"/>
    <cellStyle name="Structure 2 2 5" xfId="5378"/>
    <cellStyle name="Structure 2 2 5 2" xfId="5379"/>
    <cellStyle name="Structure 2 2 5 3" xfId="5380"/>
    <cellStyle name="Structure 2 2 6" xfId="5381"/>
    <cellStyle name="Structure 2 2 6 2" xfId="5382"/>
    <cellStyle name="Structure 2 2 6 3" xfId="5383"/>
    <cellStyle name="Structure 2 2 7" xfId="5384"/>
    <cellStyle name="Structure 2 2 8" xfId="5385"/>
    <cellStyle name="Structure 2 3" xfId="5386"/>
    <cellStyle name="Structure 2 3 2" xfId="5387"/>
    <cellStyle name="Structure 2 3 3" xfId="5388"/>
    <cellStyle name="Structure 2 4" xfId="5389"/>
    <cellStyle name="Structure 2 4 2" xfId="5390"/>
    <cellStyle name="Structure 2 4 3" xfId="5391"/>
    <cellStyle name="Structure 2 5" xfId="5392"/>
    <cellStyle name="Structure 2 5 2" xfId="5393"/>
    <cellStyle name="Structure 2 5 3" xfId="5394"/>
    <cellStyle name="Structure 2 6" xfId="5395"/>
    <cellStyle name="Structure 2 6 2" xfId="5396"/>
    <cellStyle name="Structure 2 6 3" xfId="5397"/>
    <cellStyle name="Structure 2 7" xfId="5398"/>
    <cellStyle name="Structure 2 7 2" xfId="5399"/>
    <cellStyle name="Structure 2 7 3" xfId="5400"/>
    <cellStyle name="Structure 2 8" xfId="5401"/>
    <cellStyle name="Structure 2 9" xfId="5402"/>
    <cellStyle name="Structure 3" xfId="5403"/>
    <cellStyle name="Structure 3 2" xfId="5404"/>
    <cellStyle name="Structure 3 2 2" xfId="5405"/>
    <cellStyle name="Structure 3 2 3" xfId="5406"/>
    <cellStyle name="Structure 3 3" xfId="5407"/>
    <cellStyle name="Structure 3 3 2" xfId="5408"/>
    <cellStyle name="Structure 3 3 3" xfId="5409"/>
    <cellStyle name="Structure 3 4" xfId="5410"/>
    <cellStyle name="Structure 3 4 2" xfId="5411"/>
    <cellStyle name="Structure 3 4 3" xfId="5412"/>
    <cellStyle name="Structure 3 5" xfId="5413"/>
    <cellStyle name="Structure 3 5 2" xfId="5414"/>
    <cellStyle name="Structure 3 5 3" xfId="5415"/>
    <cellStyle name="Structure 3 6" xfId="5416"/>
    <cellStyle name="Structure 3 6 2" xfId="5417"/>
    <cellStyle name="Structure 3 6 3" xfId="5418"/>
    <cellStyle name="Structure 3 7" xfId="5419"/>
    <cellStyle name="Structure 3 8" xfId="5420"/>
    <cellStyle name="Structure 4" xfId="5421"/>
    <cellStyle name="Structure 4 2" xfId="5422"/>
    <cellStyle name="Structure 4 3" xfId="5423"/>
    <cellStyle name="Structure 5" xfId="5424"/>
    <cellStyle name="Structure 5 2" xfId="5425"/>
    <cellStyle name="Structure 5 3" xfId="5426"/>
    <cellStyle name="Structure 6" xfId="5427"/>
    <cellStyle name="Structure 6 2" xfId="5428"/>
    <cellStyle name="Structure 6 3" xfId="5429"/>
    <cellStyle name="Structure 7" xfId="5430"/>
    <cellStyle name="Structure 8" xfId="5431"/>
    <cellStyle name="style" xfId="5432"/>
    <cellStyle name="Style 1" xfId="5433"/>
    <cellStyle name="Style 1 10" xfId="5434"/>
    <cellStyle name="Style 1 10 2" xfId="5435"/>
    <cellStyle name="Style 1 11" xfId="5436"/>
    <cellStyle name="Style 1 2" xfId="5437"/>
    <cellStyle name="Style 1 2 2" xfId="5438"/>
    <cellStyle name="Style 1 2 2 2" xfId="49623"/>
    <cellStyle name="Style 1 2 2 3" xfId="49624"/>
    <cellStyle name="Style 1 2 3" xfId="49625"/>
    <cellStyle name="Style 1 2 3 2" xfId="49626"/>
    <cellStyle name="Style 1 2 4" xfId="49627"/>
    <cellStyle name="Style 1 2 5" xfId="49628"/>
    <cellStyle name="Style 1 2 6" xfId="49629"/>
    <cellStyle name="Style 1 3" xfId="5439"/>
    <cellStyle name="Style 1 3 2" xfId="5440"/>
    <cellStyle name="Style 1 3 2 2" xfId="49630"/>
    <cellStyle name="Style 1 3 3" xfId="49631"/>
    <cellStyle name="Style 1 4" xfId="5441"/>
    <cellStyle name="Style 1 4 2" xfId="5442"/>
    <cellStyle name="Style 1 5" xfId="5443"/>
    <cellStyle name="Style 1 5 2" xfId="5444"/>
    <cellStyle name="Style 1 6" xfId="5445"/>
    <cellStyle name="Style 1 6 2" xfId="5446"/>
    <cellStyle name="Style 1 6 3" xfId="49632"/>
    <cellStyle name="Style 1 7" xfId="5447"/>
    <cellStyle name="Style 1 7 2" xfId="5448"/>
    <cellStyle name="Style 1 8" xfId="5449"/>
    <cellStyle name="Style 1 8 2" xfId="5450"/>
    <cellStyle name="Style 1 9" xfId="5451"/>
    <cellStyle name="Style 1 9 2" xfId="5452"/>
    <cellStyle name="Style 1_Dakota Panel" xfId="49633"/>
    <cellStyle name="Style 2" xfId="5453"/>
    <cellStyle name="Style 2 2" xfId="49634"/>
    <cellStyle name="Style 2 2 2" xfId="49635"/>
    <cellStyle name="Style 2 3" xfId="49636"/>
    <cellStyle name="Style 3" xfId="5454"/>
    <cellStyle name="Style 3 2" xfId="49637"/>
    <cellStyle name="Style 3 2 2" xfId="49638"/>
    <cellStyle name="Style 3 2 2 2" xfId="49639"/>
    <cellStyle name="Style 3 2 3" xfId="49640"/>
    <cellStyle name="Style 3 2 3 2" xfId="49641"/>
    <cellStyle name="Style 3 2 4" xfId="49642"/>
    <cellStyle name="Style 3 3" xfId="49643"/>
    <cellStyle name="Style 3 3 2" xfId="49644"/>
    <cellStyle name="Style 3 3 2 2" xfId="49645"/>
    <cellStyle name="Style 3 3 3" xfId="49646"/>
    <cellStyle name="Style 3 3 3 2" xfId="49647"/>
    <cellStyle name="Style 3 3 4" xfId="49648"/>
    <cellStyle name="Style 3 4" xfId="49649"/>
    <cellStyle name="Style 3 4 2" xfId="49650"/>
    <cellStyle name="Style 3 4 2 2" xfId="49651"/>
    <cellStyle name="Style 3 4 3" xfId="49652"/>
    <cellStyle name="Style 3 4 3 2" xfId="49653"/>
    <cellStyle name="Style 3 4 4" xfId="49654"/>
    <cellStyle name="Style 3 5" xfId="49655"/>
    <cellStyle name="Style 3 5 2" xfId="49656"/>
    <cellStyle name="Style 3 6" xfId="49657"/>
    <cellStyle name="Style 4" xfId="5455"/>
    <cellStyle name="Style 4 2" xfId="49658"/>
    <cellStyle name="Style 4 2 2" xfId="49659"/>
    <cellStyle name="Style 4 2 2 2" xfId="49660"/>
    <cellStyle name="Style 4 2 3" xfId="49661"/>
    <cellStyle name="Style 4 2 3 2" xfId="49662"/>
    <cellStyle name="Style 4 2 4" xfId="49663"/>
    <cellStyle name="Style 4 3" xfId="49664"/>
    <cellStyle name="Style 4 3 2" xfId="49665"/>
    <cellStyle name="Style 4 3 2 2" xfId="49666"/>
    <cellStyle name="Style 4 3 3" xfId="49667"/>
    <cellStyle name="Style 4 3 3 2" xfId="49668"/>
    <cellStyle name="Style 4 3 4" xfId="49669"/>
    <cellStyle name="Style 4 4" xfId="49670"/>
    <cellStyle name="Style 4 4 2" xfId="49671"/>
    <cellStyle name="Style 4 4 2 2" xfId="49672"/>
    <cellStyle name="Style 4 4 3" xfId="49673"/>
    <cellStyle name="Style 4 4 3 2" xfId="49674"/>
    <cellStyle name="Style 4 4 4" xfId="49675"/>
    <cellStyle name="Style 4 5" xfId="49676"/>
    <cellStyle name="Style 4 5 2" xfId="49677"/>
    <cellStyle name="Style 4 6" xfId="49678"/>
    <cellStyle name="Style 5" xfId="5456"/>
    <cellStyle name="Style 5 2" xfId="49679"/>
    <cellStyle name="Style 5 2 2" xfId="49680"/>
    <cellStyle name="Style 5 2 2 2" xfId="49681"/>
    <cellStyle name="Style 5 2 3" xfId="49682"/>
    <cellStyle name="Style 5 2 3 2" xfId="49683"/>
    <cellStyle name="Style 5 2 4" xfId="49684"/>
    <cellStyle name="Style 5 3" xfId="49685"/>
    <cellStyle name="Style 5 3 2" xfId="49686"/>
    <cellStyle name="Style 5 3 2 2" xfId="49687"/>
    <cellStyle name="Style 5 3 3" xfId="49688"/>
    <cellStyle name="Style 5 3 3 2" xfId="49689"/>
    <cellStyle name="Style 5 3 4" xfId="49690"/>
    <cellStyle name="Style 5 4" xfId="49691"/>
    <cellStyle name="Style 5 4 2" xfId="49692"/>
    <cellStyle name="Style 5 5" xfId="49693"/>
    <cellStyle name="Style 5 5 2" xfId="49694"/>
    <cellStyle name="Style 5 6" xfId="49695"/>
    <cellStyle name="Style 6" xfId="5457"/>
    <cellStyle name="Style 6 2" xfId="49696"/>
    <cellStyle name="Style 6 2 2" xfId="49697"/>
    <cellStyle name="Style 6 3" xfId="49698"/>
    <cellStyle name="style1" xfId="5458"/>
    <cellStyle name="style2" xfId="5459"/>
    <cellStyle name="SubRoutine" xfId="5460"/>
    <cellStyle name="Subtotal" xfId="5461"/>
    <cellStyle name="Summe" xfId="5462"/>
    <cellStyle name="Table Sub Heading" xfId="49699"/>
    <cellStyle name="Table Sub Heading 2" xfId="49700"/>
    <cellStyle name="Table Sub Heading 2 2" xfId="49701"/>
    <cellStyle name="Table Sub Heading 3" xfId="49702"/>
    <cellStyle name="Table Title" xfId="49703"/>
    <cellStyle name="Table Title 2" xfId="49704"/>
    <cellStyle name="Table Title 2 2" xfId="49705"/>
    <cellStyle name="Table Title 3" xfId="49706"/>
    <cellStyle name="Table Units" xfId="49707"/>
    <cellStyle name="Table Units 2" xfId="49708"/>
    <cellStyle name="Table Units 2 2" xfId="49709"/>
    <cellStyle name="Table Units 3" xfId="49710"/>
    <cellStyle name="TableHead" xfId="5463"/>
    <cellStyle name="Test" xfId="49711"/>
    <cellStyle name="Test 2" xfId="49712"/>
    <cellStyle name="Test 2 2" xfId="49713"/>
    <cellStyle name="Test 3" xfId="49714"/>
    <cellStyle name="Test 3 2" xfId="49715"/>
    <cellStyle name="Test 4" xfId="49716"/>
    <cellStyle name="Text" xfId="5464"/>
    <cellStyle name="Text 2" xfId="5465"/>
    <cellStyle name="Text 2 2" xfId="5466"/>
    <cellStyle name="Text 2 2 2" xfId="5467"/>
    <cellStyle name="Text 2 2 2 2" xfId="5468"/>
    <cellStyle name="Text 2 2 2 3" xfId="5469"/>
    <cellStyle name="Text 2 2 3" xfId="5470"/>
    <cellStyle name="Text 2 2 3 2" xfId="5471"/>
    <cellStyle name="Text 2 2 3 3" xfId="5472"/>
    <cellStyle name="Text 2 2 4" xfId="5473"/>
    <cellStyle name="Text 2 2 4 2" xfId="5474"/>
    <cellStyle name="Text 2 2 4 3" xfId="5475"/>
    <cellStyle name="Text 2 2 5" xfId="5476"/>
    <cellStyle name="Text 2 2 5 2" xfId="5477"/>
    <cellStyle name="Text 2 2 5 3" xfId="5478"/>
    <cellStyle name="Text 2 2 6" xfId="5479"/>
    <cellStyle name="Text 2 2 6 2" xfId="5480"/>
    <cellStyle name="Text 2 2 6 3" xfId="5481"/>
    <cellStyle name="Text 2 2 7" xfId="5482"/>
    <cellStyle name="Text 2 2 8" xfId="5483"/>
    <cellStyle name="Text 2 3" xfId="5484"/>
    <cellStyle name="Text 2 3 2" xfId="5485"/>
    <cellStyle name="Text 2 3 3" xfId="5486"/>
    <cellStyle name="Text 2 4" xfId="5487"/>
    <cellStyle name="Text 2 4 2" xfId="5488"/>
    <cellStyle name="Text 2 4 3" xfId="5489"/>
    <cellStyle name="Text 2 5" xfId="5490"/>
    <cellStyle name="Text 2 5 2" xfId="5491"/>
    <cellStyle name="Text 2 5 3" xfId="5492"/>
    <cellStyle name="Text 2 6" xfId="5493"/>
    <cellStyle name="Text 2 6 2" xfId="5494"/>
    <cellStyle name="Text 2 6 3" xfId="5495"/>
    <cellStyle name="Text 2 7" xfId="5496"/>
    <cellStyle name="Text 2 7 2" xfId="5497"/>
    <cellStyle name="Text 2 7 3" xfId="5498"/>
    <cellStyle name="Text 2 8" xfId="5499"/>
    <cellStyle name="Text 2 9" xfId="5500"/>
    <cellStyle name="Text 3" xfId="5501"/>
    <cellStyle name="Text 3 2" xfId="5502"/>
    <cellStyle name="Text 3 2 2" xfId="5503"/>
    <cellStyle name="Text 3 2 3" xfId="5504"/>
    <cellStyle name="Text 3 3" xfId="5505"/>
    <cellStyle name="Text 3 3 2" xfId="5506"/>
    <cellStyle name="Text 3 3 3" xfId="5507"/>
    <cellStyle name="Text 3 4" xfId="5508"/>
    <cellStyle name="Text 3 4 2" xfId="5509"/>
    <cellStyle name="Text 3 4 3" xfId="5510"/>
    <cellStyle name="Text 3 5" xfId="5511"/>
    <cellStyle name="Text 3 5 2" xfId="5512"/>
    <cellStyle name="Text 3 5 3" xfId="5513"/>
    <cellStyle name="Text 3 6" xfId="5514"/>
    <cellStyle name="Text 3 6 2" xfId="5515"/>
    <cellStyle name="Text 3 6 3" xfId="5516"/>
    <cellStyle name="Text 3 7" xfId="5517"/>
    <cellStyle name="Text 3 8" xfId="5518"/>
    <cellStyle name="Text 4" xfId="5519"/>
    <cellStyle name="Text 4 2" xfId="5520"/>
    <cellStyle name="Text 4 3" xfId="5521"/>
    <cellStyle name="Text 5" xfId="5522"/>
    <cellStyle name="Text 5 2" xfId="5523"/>
    <cellStyle name="Text 5 3" xfId="5524"/>
    <cellStyle name="Text 6" xfId="5525"/>
    <cellStyle name="Text 6 2" xfId="5526"/>
    <cellStyle name="Text 6 3" xfId="5527"/>
    <cellStyle name="Text 7" xfId="5528"/>
    <cellStyle name="Text 8" xfId="5529"/>
    <cellStyle name="Text Indent A" xfId="5530"/>
    <cellStyle name="Text Indent B" xfId="5531"/>
    <cellStyle name="Text Indent C" xfId="5532"/>
    <cellStyle name="þ_x001d_ð &amp;ý&amp;†ýG_x0008__x0009_X_x000a__x0007__x0001__x0001_" xfId="5533"/>
    <cellStyle name="Thou" xfId="49717"/>
    <cellStyle name="Thou 2" xfId="49718"/>
    <cellStyle name="Thou 2 2" xfId="49719"/>
    <cellStyle name="Thou 3" xfId="49720"/>
    <cellStyle name="Thous" xfId="49721"/>
    <cellStyle name="Thous 2" xfId="49722"/>
    <cellStyle name="Thous 2 2" xfId="49723"/>
    <cellStyle name="Thous 2 2 2" xfId="49724"/>
    <cellStyle name="Thous 2 3" xfId="49725"/>
    <cellStyle name="Thous 3" xfId="49726"/>
    <cellStyle name="Thous 3 2" xfId="49727"/>
    <cellStyle name="Thous 3 2 2" xfId="49728"/>
    <cellStyle name="Thous 3 3" xfId="49729"/>
    <cellStyle name="Thous 4" xfId="49730"/>
    <cellStyle name="Thous 4 2" xfId="49731"/>
    <cellStyle name="Thous 5" xfId="49732"/>
    <cellStyle name="Thousand" xfId="49733"/>
    <cellStyle name="Thousand 2" xfId="49734"/>
    <cellStyle name="Thousand 2 2" xfId="49735"/>
    <cellStyle name="Thousand 2 2 2" xfId="49736"/>
    <cellStyle name="Thousand 2 3" xfId="49737"/>
    <cellStyle name="Thousand 3" xfId="49738"/>
    <cellStyle name="Thousand 3 2" xfId="49739"/>
    <cellStyle name="Thousand 3 2 2" xfId="49740"/>
    <cellStyle name="Thousand 3 3" xfId="49741"/>
    <cellStyle name="Thousand 4" xfId="49742"/>
    <cellStyle name="Thousand 4 2" xfId="49743"/>
    <cellStyle name="Thousand 5" xfId="49744"/>
    <cellStyle name="Time" xfId="5534"/>
    <cellStyle name="Time 2" xfId="5535"/>
    <cellStyle name="Time 2 2" xfId="5536"/>
    <cellStyle name="Time 2 2 2" xfId="5537"/>
    <cellStyle name="Time 2 2 2 2" xfId="5538"/>
    <cellStyle name="Time 2 2 2 3" xfId="5539"/>
    <cellStyle name="Time 2 2 3" xfId="5540"/>
    <cellStyle name="Time 2 2 3 2" xfId="5541"/>
    <cellStyle name="Time 2 2 3 3" xfId="5542"/>
    <cellStyle name="Time 2 2 4" xfId="5543"/>
    <cellStyle name="Time 2 2 4 2" xfId="5544"/>
    <cellStyle name="Time 2 2 4 3" xfId="5545"/>
    <cellStyle name="Time 2 2 5" xfId="5546"/>
    <cellStyle name="Time 2 2 5 2" xfId="5547"/>
    <cellStyle name="Time 2 2 5 3" xfId="5548"/>
    <cellStyle name="Time 2 2 6" xfId="5549"/>
    <cellStyle name="Time 2 2 6 2" xfId="5550"/>
    <cellStyle name="Time 2 2 6 3" xfId="5551"/>
    <cellStyle name="Time 2 2 7" xfId="5552"/>
    <cellStyle name="Time 2 2 8" xfId="5553"/>
    <cellStyle name="Time 2 3" xfId="5554"/>
    <cellStyle name="Time 2 3 2" xfId="5555"/>
    <cellStyle name="Time 2 3 3" xfId="5556"/>
    <cellStyle name="Time 2 4" xfId="5557"/>
    <cellStyle name="Time 2 4 2" xfId="5558"/>
    <cellStyle name="Time 2 4 3" xfId="5559"/>
    <cellStyle name="Time 2 5" xfId="5560"/>
    <cellStyle name="Time 2 5 2" xfId="5561"/>
    <cellStyle name="Time 2 5 3" xfId="5562"/>
    <cellStyle name="Time 2 6" xfId="5563"/>
    <cellStyle name="Time 2 6 2" xfId="5564"/>
    <cellStyle name="Time 2 6 3" xfId="5565"/>
    <cellStyle name="Time 2 7" xfId="5566"/>
    <cellStyle name="Time 2 7 2" xfId="5567"/>
    <cellStyle name="Time 2 7 3" xfId="5568"/>
    <cellStyle name="Time 2 8" xfId="5569"/>
    <cellStyle name="Time 2 9" xfId="5570"/>
    <cellStyle name="Time 3" xfId="5571"/>
    <cellStyle name="Time 3 2" xfId="5572"/>
    <cellStyle name="Time 3 2 2" xfId="5573"/>
    <cellStyle name="Time 3 2 3" xfId="5574"/>
    <cellStyle name="Time 3 3" xfId="5575"/>
    <cellStyle name="Time 3 3 2" xfId="5576"/>
    <cellStyle name="Time 3 3 3" xfId="5577"/>
    <cellStyle name="Time 3 4" xfId="5578"/>
    <cellStyle name="Time 3 4 2" xfId="5579"/>
    <cellStyle name="Time 3 4 3" xfId="5580"/>
    <cellStyle name="Time 3 5" xfId="5581"/>
    <cellStyle name="Time 3 5 2" xfId="5582"/>
    <cellStyle name="Time 3 5 3" xfId="5583"/>
    <cellStyle name="Time 3 6" xfId="5584"/>
    <cellStyle name="Time 3 6 2" xfId="5585"/>
    <cellStyle name="Time 3 6 3" xfId="5586"/>
    <cellStyle name="Time 3 7" xfId="5587"/>
    <cellStyle name="Time 3 8" xfId="5588"/>
    <cellStyle name="Time 4" xfId="5589"/>
    <cellStyle name="Time 4 2" xfId="5590"/>
    <cellStyle name="Time 4 3" xfId="5591"/>
    <cellStyle name="Time 5" xfId="5592"/>
    <cellStyle name="Time 5 2" xfId="5593"/>
    <cellStyle name="Time 5 3" xfId="5594"/>
    <cellStyle name="Time 6" xfId="5595"/>
    <cellStyle name="Time 6 2" xfId="5596"/>
    <cellStyle name="Time 6 3" xfId="5597"/>
    <cellStyle name="Time 7" xfId="5598"/>
    <cellStyle name="Time 8" xfId="5599"/>
    <cellStyle name="Times New Roman" xfId="5600"/>
    <cellStyle name="Title 10" xfId="49745"/>
    <cellStyle name="Title 10 2" xfId="49746"/>
    <cellStyle name="Title 10 2 2" xfId="49747"/>
    <cellStyle name="Title 10 2 3" xfId="49748"/>
    <cellStyle name="Title 10 3" xfId="49749"/>
    <cellStyle name="Title 10 3 2" xfId="49750"/>
    <cellStyle name="Title 10 4" xfId="49751"/>
    <cellStyle name="Title 11" xfId="49752"/>
    <cellStyle name="Title 11 2" xfId="49753"/>
    <cellStyle name="Title 11 2 2" xfId="49754"/>
    <cellStyle name="Title 11 2 3" xfId="49755"/>
    <cellStyle name="Title 11 3" xfId="49756"/>
    <cellStyle name="Title 11 3 2" xfId="49757"/>
    <cellStyle name="Title 11 4" xfId="49758"/>
    <cellStyle name="Title 12" xfId="49759"/>
    <cellStyle name="Title 12 2" xfId="49760"/>
    <cellStyle name="Title 12 2 2" xfId="49761"/>
    <cellStyle name="Title 12 3" xfId="49762"/>
    <cellStyle name="Title 13" xfId="49763"/>
    <cellStyle name="Title 13 2" xfId="49764"/>
    <cellStyle name="Title 13 2 2" xfId="49765"/>
    <cellStyle name="Title 13 3" xfId="49766"/>
    <cellStyle name="Title 14" xfId="49767"/>
    <cellStyle name="Title 14 2" xfId="49768"/>
    <cellStyle name="Title 14 2 2" xfId="49769"/>
    <cellStyle name="Title 14 3" xfId="49770"/>
    <cellStyle name="Title 15" xfId="49771"/>
    <cellStyle name="Title 15 2" xfId="49772"/>
    <cellStyle name="Title 15 2 2" xfId="49773"/>
    <cellStyle name="Title 15 3" xfId="49774"/>
    <cellStyle name="Title 16" xfId="49775"/>
    <cellStyle name="Title 16 2" xfId="49776"/>
    <cellStyle name="Title 16 3" xfId="49777"/>
    <cellStyle name="Title 17" xfId="49778"/>
    <cellStyle name="Title 18" xfId="49779"/>
    <cellStyle name="Title 2" xfId="90"/>
    <cellStyle name="Title 2 10" xfId="49780"/>
    <cellStyle name="Title 2 10 2" xfId="49781"/>
    <cellStyle name="Title 2 10 3" xfId="49782"/>
    <cellStyle name="Title 2 11" xfId="49783"/>
    <cellStyle name="Title 2 11 2" xfId="49784"/>
    <cellStyle name="Title 2 11 3" xfId="49785"/>
    <cellStyle name="Title 2 12" xfId="49786"/>
    <cellStyle name="Title 2 12 2" xfId="49787"/>
    <cellStyle name="Title 2 12 3" xfId="49788"/>
    <cellStyle name="Title 2 13" xfId="49789"/>
    <cellStyle name="Title 2 13 2" xfId="49790"/>
    <cellStyle name="Title 2 14" xfId="49791"/>
    <cellStyle name="Title 2 14 2" xfId="49792"/>
    <cellStyle name="Title 2 15" xfId="49793"/>
    <cellStyle name="Title 2 16" xfId="49794"/>
    <cellStyle name="Title 2 2" xfId="49795"/>
    <cellStyle name="Title 2 2 10" xfId="49796"/>
    <cellStyle name="Title 2 2 10 2" xfId="49797"/>
    <cellStyle name="Title 2 2 10 3" xfId="49798"/>
    <cellStyle name="Title 2 2 11" xfId="49799"/>
    <cellStyle name="Title 2 2 11 2" xfId="49800"/>
    <cellStyle name="Title 2 2 12" xfId="49801"/>
    <cellStyle name="Title 2 2 13" xfId="49802"/>
    <cellStyle name="Title 2 2 2" xfId="49803"/>
    <cellStyle name="Title 2 2 2 10" xfId="49804"/>
    <cellStyle name="Title 2 2 2 10 2" xfId="49805"/>
    <cellStyle name="Title 2 2 2 10 3" xfId="49806"/>
    <cellStyle name="Title 2 2 2 11" xfId="49807"/>
    <cellStyle name="Title 2 2 2 12" xfId="49808"/>
    <cellStyle name="Title 2 2 2 2" xfId="49809"/>
    <cellStyle name="Title 2 2 2 2 2" xfId="49810"/>
    <cellStyle name="Title 2 2 2 2 3" xfId="49811"/>
    <cellStyle name="Title 2 2 2 3" xfId="49812"/>
    <cellStyle name="Title 2 2 2 3 2" xfId="49813"/>
    <cellStyle name="Title 2 2 2 3 3" xfId="49814"/>
    <cellStyle name="Title 2 2 2 4" xfId="49815"/>
    <cellStyle name="Title 2 2 2 4 2" xfId="49816"/>
    <cellStyle name="Title 2 2 2 4 3" xfId="49817"/>
    <cellStyle name="Title 2 2 2 5" xfId="49818"/>
    <cellStyle name="Title 2 2 2 5 2" xfId="49819"/>
    <cellStyle name="Title 2 2 2 5 3" xfId="49820"/>
    <cellStyle name="Title 2 2 2 6" xfId="49821"/>
    <cellStyle name="Title 2 2 2 6 2" xfId="49822"/>
    <cellStyle name="Title 2 2 2 6 3" xfId="49823"/>
    <cellStyle name="Title 2 2 2 7" xfId="49824"/>
    <cellStyle name="Title 2 2 2 7 2" xfId="49825"/>
    <cellStyle name="Title 2 2 2 7 3" xfId="49826"/>
    <cellStyle name="Title 2 2 2 8" xfId="49827"/>
    <cellStyle name="Title 2 2 2 8 2" xfId="49828"/>
    <cellStyle name="Title 2 2 2 8 3" xfId="49829"/>
    <cellStyle name="Title 2 2 2 9" xfId="49830"/>
    <cellStyle name="Title 2 2 2 9 2" xfId="49831"/>
    <cellStyle name="Title 2 2 2 9 3" xfId="49832"/>
    <cellStyle name="Title 2 2 3" xfId="49833"/>
    <cellStyle name="Title 2 2 3 2" xfId="49834"/>
    <cellStyle name="Title 2 2 3 3" xfId="49835"/>
    <cellStyle name="Title 2 2 4" xfId="49836"/>
    <cellStyle name="Title 2 2 4 2" xfId="49837"/>
    <cellStyle name="Title 2 2 4 3" xfId="49838"/>
    <cellStyle name="Title 2 2 5" xfId="49839"/>
    <cellStyle name="Title 2 2 5 2" xfId="49840"/>
    <cellStyle name="Title 2 2 5 3" xfId="49841"/>
    <cellStyle name="Title 2 2 6" xfId="49842"/>
    <cellStyle name="Title 2 2 6 2" xfId="49843"/>
    <cellStyle name="Title 2 2 6 3" xfId="49844"/>
    <cellStyle name="Title 2 2 7" xfId="49845"/>
    <cellStyle name="Title 2 2 7 2" xfId="49846"/>
    <cellStyle name="Title 2 2 7 3" xfId="49847"/>
    <cellStyle name="Title 2 2 8" xfId="49848"/>
    <cellStyle name="Title 2 2 8 2" xfId="49849"/>
    <cellStyle name="Title 2 2 8 3" xfId="49850"/>
    <cellStyle name="Title 2 2 9" xfId="49851"/>
    <cellStyle name="Title 2 2 9 2" xfId="49852"/>
    <cellStyle name="Title 2 2 9 3" xfId="49853"/>
    <cellStyle name="Title 2 3" xfId="49854"/>
    <cellStyle name="Title 2 3 2" xfId="49855"/>
    <cellStyle name="Title 2 3 2 2" xfId="49856"/>
    <cellStyle name="Title 2 3 3" xfId="49857"/>
    <cellStyle name="Title 2 4" xfId="49858"/>
    <cellStyle name="Title 2 4 2" xfId="49859"/>
    <cellStyle name="Title 2 4 2 2" xfId="49860"/>
    <cellStyle name="Title 2 4 3" xfId="49861"/>
    <cellStyle name="Title 2 5" xfId="49862"/>
    <cellStyle name="Title 2 5 2" xfId="49863"/>
    <cellStyle name="Title 2 5 2 2" xfId="49864"/>
    <cellStyle name="Title 2 5 3" xfId="49865"/>
    <cellStyle name="Title 2 6" xfId="49866"/>
    <cellStyle name="Title 2 6 2" xfId="49867"/>
    <cellStyle name="Title 2 6 2 2" xfId="49868"/>
    <cellStyle name="Title 2 6 3" xfId="49869"/>
    <cellStyle name="Title 2 7" xfId="49870"/>
    <cellStyle name="Title 2 7 2" xfId="49871"/>
    <cellStyle name="Title 2 7 2 2" xfId="49872"/>
    <cellStyle name="Title 2 7 3" xfId="49873"/>
    <cellStyle name="Title 2 8" xfId="49874"/>
    <cellStyle name="Title 2 8 2" xfId="49875"/>
    <cellStyle name="Title 2 8 3" xfId="49876"/>
    <cellStyle name="Title 2 9" xfId="49877"/>
    <cellStyle name="Title 2 9 2" xfId="49878"/>
    <cellStyle name="Title 2 9 3" xfId="49879"/>
    <cellStyle name="Title 2_1-10 BHU IS" xfId="49880"/>
    <cellStyle name="Title 3" xfId="5601"/>
    <cellStyle name="Title 3 2" xfId="49881"/>
    <cellStyle name="Title 3 2 2" xfId="49882"/>
    <cellStyle name="Title 3 2 2 2" xfId="49883"/>
    <cellStyle name="Title 3 2 2 3" xfId="49884"/>
    <cellStyle name="Title 3 2 3" xfId="49885"/>
    <cellStyle name="Title 3 2 4" xfId="49886"/>
    <cellStyle name="Title 3 2_Dakota Panel" xfId="49887"/>
    <cellStyle name="Title 3 3" xfId="49888"/>
    <cellStyle name="Title 3 3 2" xfId="49889"/>
    <cellStyle name="Title 3 3 2 2" xfId="49890"/>
    <cellStyle name="Title 3 3 2 3" xfId="49891"/>
    <cellStyle name="Title 3 3 3" xfId="49892"/>
    <cellStyle name="Title 3 3 4" xfId="49893"/>
    <cellStyle name="Title 3 3 5" xfId="49894"/>
    <cellStyle name="Title 3 3_Dakota Panel" xfId="49895"/>
    <cellStyle name="Title 3 4" xfId="49896"/>
    <cellStyle name="Title 3 4 2" xfId="49897"/>
    <cellStyle name="Title 3 5" xfId="49898"/>
    <cellStyle name="Title 3 5 2" xfId="49899"/>
    <cellStyle name="Title 3 6" xfId="49900"/>
    <cellStyle name="Title 3 7" xfId="49901"/>
    <cellStyle name="Title 3_Dakota Panel" xfId="49902"/>
    <cellStyle name="Title 4" xfId="5602"/>
    <cellStyle name="Title 4 2" xfId="49903"/>
    <cellStyle name="Title 4 2 2" xfId="49904"/>
    <cellStyle name="Title 4 2 2 2" xfId="49905"/>
    <cellStyle name="Title 4 2 3" xfId="49906"/>
    <cellStyle name="Title 4 3" xfId="49907"/>
    <cellStyle name="Title 4 3 2" xfId="49908"/>
    <cellStyle name="Title 4 4" xfId="49909"/>
    <cellStyle name="Title 5" xfId="49910"/>
    <cellStyle name="Title 5 2" xfId="49911"/>
    <cellStyle name="Title 5 2 2" xfId="49912"/>
    <cellStyle name="Title 5 2 2 2" xfId="49913"/>
    <cellStyle name="Title 5 2 3" xfId="49914"/>
    <cellStyle name="Title 5 3" xfId="49915"/>
    <cellStyle name="Title 5 3 2" xfId="49916"/>
    <cellStyle name="Title 5 4" xfId="49917"/>
    <cellStyle name="Title 6" xfId="49918"/>
    <cellStyle name="Title 6 2" xfId="49919"/>
    <cellStyle name="Title 6 2 2" xfId="49920"/>
    <cellStyle name="Title 6 2 3" xfId="49921"/>
    <cellStyle name="Title 6 3" xfId="49922"/>
    <cellStyle name="Title 6 3 2" xfId="49923"/>
    <cellStyle name="Title 6 4" xfId="49924"/>
    <cellStyle name="Title 7" xfId="49925"/>
    <cellStyle name="Title 7 2" xfId="49926"/>
    <cellStyle name="Title 7 2 2" xfId="49927"/>
    <cellStyle name="Title 7 2 3" xfId="49928"/>
    <cellStyle name="Title 7 3" xfId="49929"/>
    <cellStyle name="Title 7 3 2" xfId="49930"/>
    <cellStyle name="Title 7 4" xfId="49931"/>
    <cellStyle name="Title 8" xfId="49932"/>
    <cellStyle name="Title 8 2" xfId="49933"/>
    <cellStyle name="Title 8 2 2" xfId="49934"/>
    <cellStyle name="Title 8 2 3" xfId="49935"/>
    <cellStyle name="Title 8 3" xfId="49936"/>
    <cellStyle name="Title 8 3 2" xfId="49937"/>
    <cellStyle name="Title 8 4" xfId="49938"/>
    <cellStyle name="Title 9" xfId="49939"/>
    <cellStyle name="Title 9 2" xfId="49940"/>
    <cellStyle name="Title 9 2 2" xfId="49941"/>
    <cellStyle name="Title 9 2 3" xfId="49942"/>
    <cellStyle name="Title 9 3" xfId="49943"/>
    <cellStyle name="Title 9 3 2" xfId="49944"/>
    <cellStyle name="Title 9 4" xfId="49945"/>
    <cellStyle name="Titles" xfId="5603"/>
    <cellStyle name="Total 10" xfId="49946"/>
    <cellStyle name="Total 10 2" xfId="49947"/>
    <cellStyle name="Total 10 2 2" xfId="49948"/>
    <cellStyle name="Total 10 2 3" xfId="49949"/>
    <cellStyle name="Total 10 3" xfId="49950"/>
    <cellStyle name="Total 10 3 2" xfId="49951"/>
    <cellStyle name="Total 10 4" xfId="49952"/>
    <cellStyle name="Total 11" xfId="49953"/>
    <cellStyle name="Total 11 2" xfId="49954"/>
    <cellStyle name="Total 11 2 2" xfId="49955"/>
    <cellStyle name="Total 11 2 3" xfId="49956"/>
    <cellStyle name="Total 11 3" xfId="49957"/>
    <cellStyle name="Total 11 3 2" xfId="49958"/>
    <cellStyle name="Total 11 4" xfId="49959"/>
    <cellStyle name="Total 12" xfId="49960"/>
    <cellStyle name="Total 12 2" xfId="49961"/>
    <cellStyle name="Total 12 2 2" xfId="49962"/>
    <cellStyle name="Total 12 3" xfId="49963"/>
    <cellStyle name="Total 13" xfId="49964"/>
    <cellStyle name="Total 13 2" xfId="49965"/>
    <cellStyle name="Total 13 2 2" xfId="49966"/>
    <cellStyle name="Total 13 3" xfId="49967"/>
    <cellStyle name="Total 14" xfId="49968"/>
    <cellStyle name="Total 14 2" xfId="49969"/>
    <cellStyle name="Total 14 2 2" xfId="49970"/>
    <cellStyle name="Total 14 3" xfId="49971"/>
    <cellStyle name="Total 15" xfId="49972"/>
    <cellStyle name="Total 15 2" xfId="49973"/>
    <cellStyle name="Total 15 2 2" xfId="49974"/>
    <cellStyle name="Total 15 3" xfId="49975"/>
    <cellStyle name="Total 16" xfId="49976"/>
    <cellStyle name="Total 16 2" xfId="49977"/>
    <cellStyle name="Total 16 3" xfId="49978"/>
    <cellStyle name="Total 17" xfId="49979"/>
    <cellStyle name="Total 18" xfId="49980"/>
    <cellStyle name="Total 2" xfId="91"/>
    <cellStyle name="Total 2 10" xfId="49981"/>
    <cellStyle name="Total 2 10 2" xfId="49982"/>
    <cellStyle name="Total 2 10 3" xfId="49983"/>
    <cellStyle name="Total 2 11" xfId="49984"/>
    <cellStyle name="Total 2 11 2" xfId="49985"/>
    <cellStyle name="Total 2 11 3" xfId="49986"/>
    <cellStyle name="Total 2 12" xfId="49987"/>
    <cellStyle name="Total 2 12 2" xfId="49988"/>
    <cellStyle name="Total 2 12 3" xfId="49989"/>
    <cellStyle name="Total 2 13" xfId="49990"/>
    <cellStyle name="Total 2 13 2" xfId="49991"/>
    <cellStyle name="Total 2 14" xfId="49992"/>
    <cellStyle name="Total 2 14 2" xfId="49993"/>
    <cellStyle name="Total 2 15" xfId="49994"/>
    <cellStyle name="Total 2 16" xfId="49995"/>
    <cellStyle name="Total 2 17" xfId="49996"/>
    <cellStyle name="Total 2 2" xfId="5604"/>
    <cellStyle name="Total 2 2 10" xfId="49997"/>
    <cellStyle name="Total 2 2 10 2" xfId="49998"/>
    <cellStyle name="Total 2 2 10 3" xfId="49999"/>
    <cellStyle name="Total 2 2 11" xfId="50000"/>
    <cellStyle name="Total 2 2 11 2" xfId="50001"/>
    <cellStyle name="Total 2 2 12" xfId="50002"/>
    <cellStyle name="Total 2 2 13" xfId="50003"/>
    <cellStyle name="Total 2 2 2" xfId="50004"/>
    <cellStyle name="Total 2 2 2 10" xfId="50005"/>
    <cellStyle name="Total 2 2 2 10 2" xfId="50006"/>
    <cellStyle name="Total 2 2 2 10 3" xfId="50007"/>
    <cellStyle name="Total 2 2 2 11" xfId="50008"/>
    <cellStyle name="Total 2 2 2 12" xfId="50009"/>
    <cellStyle name="Total 2 2 2 13" xfId="50010"/>
    <cellStyle name="Total 2 2 2 2" xfId="50011"/>
    <cellStyle name="Total 2 2 2 2 2" xfId="50012"/>
    <cellStyle name="Total 2 2 2 2 3" xfId="50013"/>
    <cellStyle name="Total 2 2 2 3" xfId="50014"/>
    <cellStyle name="Total 2 2 2 3 2" xfId="50015"/>
    <cellStyle name="Total 2 2 2 3 3" xfId="50016"/>
    <cellStyle name="Total 2 2 2 4" xfId="50017"/>
    <cellStyle name="Total 2 2 2 4 2" xfId="50018"/>
    <cellStyle name="Total 2 2 2 4 3" xfId="50019"/>
    <cellStyle name="Total 2 2 2 5" xfId="50020"/>
    <cellStyle name="Total 2 2 2 5 2" xfId="50021"/>
    <cellStyle name="Total 2 2 2 5 3" xfId="50022"/>
    <cellStyle name="Total 2 2 2 6" xfId="50023"/>
    <cellStyle name="Total 2 2 2 6 2" xfId="50024"/>
    <cellStyle name="Total 2 2 2 6 3" xfId="50025"/>
    <cellStyle name="Total 2 2 2 7" xfId="50026"/>
    <cellStyle name="Total 2 2 2 7 2" xfId="50027"/>
    <cellStyle name="Total 2 2 2 7 3" xfId="50028"/>
    <cellStyle name="Total 2 2 2 8" xfId="50029"/>
    <cellStyle name="Total 2 2 2 8 2" xfId="50030"/>
    <cellStyle name="Total 2 2 2 8 3" xfId="50031"/>
    <cellStyle name="Total 2 2 2 9" xfId="50032"/>
    <cellStyle name="Total 2 2 2 9 2" xfId="50033"/>
    <cellStyle name="Total 2 2 2 9 3" xfId="50034"/>
    <cellStyle name="Total 2 2 3" xfId="50035"/>
    <cellStyle name="Total 2 2 3 2" xfId="50036"/>
    <cellStyle name="Total 2 2 3 3" xfId="50037"/>
    <cellStyle name="Total 2 2 4" xfId="50038"/>
    <cellStyle name="Total 2 2 4 2" xfId="50039"/>
    <cellStyle name="Total 2 2 4 3" xfId="50040"/>
    <cellStyle name="Total 2 2 5" xfId="50041"/>
    <cellStyle name="Total 2 2 5 2" xfId="50042"/>
    <cellStyle name="Total 2 2 5 3" xfId="50043"/>
    <cellStyle name="Total 2 2 6" xfId="50044"/>
    <cellStyle name="Total 2 2 6 2" xfId="50045"/>
    <cellStyle name="Total 2 2 6 3" xfId="50046"/>
    <cellStyle name="Total 2 2 7" xfId="50047"/>
    <cellStyle name="Total 2 2 7 2" xfId="50048"/>
    <cellStyle name="Total 2 2 7 3" xfId="50049"/>
    <cellStyle name="Total 2 2 8" xfId="50050"/>
    <cellStyle name="Total 2 2 8 2" xfId="50051"/>
    <cellStyle name="Total 2 2 8 3" xfId="50052"/>
    <cellStyle name="Total 2 2 9" xfId="50053"/>
    <cellStyle name="Total 2 2 9 2" xfId="50054"/>
    <cellStyle name="Total 2 2 9 3" xfId="50055"/>
    <cellStyle name="Total 2 2_BHP 4Q 2010 Ops Review Senior Managment " xfId="50056"/>
    <cellStyle name="Total 2 3" xfId="5605"/>
    <cellStyle name="Total 2 3 2" xfId="5606"/>
    <cellStyle name="Total 2 3 2 2" xfId="5607"/>
    <cellStyle name="Total 2 3 2 2 2" xfId="5608"/>
    <cellStyle name="Total 2 3 2 2 2 2" xfId="5609"/>
    <cellStyle name="Total 2 3 2 2 2 3" xfId="5610"/>
    <cellStyle name="Total 2 3 2 2 3" xfId="5611"/>
    <cellStyle name="Total 2 3 2 2 3 2" xfId="5612"/>
    <cellStyle name="Total 2 3 2 2 3 3" xfId="5613"/>
    <cellStyle name="Total 2 3 2 2 4" xfId="5614"/>
    <cellStyle name="Total 2 3 2 2 4 2" xfId="5615"/>
    <cellStyle name="Total 2 3 2 2 4 3" xfId="5616"/>
    <cellStyle name="Total 2 3 2 2 5" xfId="5617"/>
    <cellStyle name="Total 2 3 2 2 5 2" xfId="5618"/>
    <cellStyle name="Total 2 3 2 2 5 3" xfId="5619"/>
    <cellStyle name="Total 2 3 2 2 6" xfId="5620"/>
    <cellStyle name="Total 2 3 2 2 6 2" xfId="5621"/>
    <cellStyle name="Total 2 3 2 2 6 3" xfId="5622"/>
    <cellStyle name="Total 2 3 2 2 7" xfId="5623"/>
    <cellStyle name="Total 2 3 2 2 8" xfId="5624"/>
    <cellStyle name="Total 2 3 3" xfId="5625"/>
    <cellStyle name="Total 2 3 3 2" xfId="5626"/>
    <cellStyle name="Total 2 3 3 2 2" xfId="5627"/>
    <cellStyle name="Total 2 3 3 2 3" xfId="5628"/>
    <cellStyle name="Total 2 3 3 3" xfId="5629"/>
    <cellStyle name="Total 2 3 3 3 2" xfId="5630"/>
    <cellStyle name="Total 2 3 3 3 3" xfId="5631"/>
    <cellStyle name="Total 2 3 3 4" xfId="5632"/>
    <cellStyle name="Total 2 3 3 5" xfId="5633"/>
    <cellStyle name="Total 2 3 4" xfId="50057"/>
    <cellStyle name="Total 2 4" xfId="5634"/>
    <cellStyle name="Total 2 4 2" xfId="5635"/>
    <cellStyle name="Total 2 4 2 2" xfId="5636"/>
    <cellStyle name="Total 2 4 2 2 2" xfId="5637"/>
    <cellStyle name="Total 2 4 2 2 3" xfId="5638"/>
    <cellStyle name="Total 2 4 2 3" xfId="5639"/>
    <cellStyle name="Total 2 4 2 3 2" xfId="5640"/>
    <cellStyle name="Total 2 4 2 3 3" xfId="5641"/>
    <cellStyle name="Total 2 4 2 4" xfId="5642"/>
    <cellStyle name="Total 2 4 2 4 2" xfId="5643"/>
    <cellStyle name="Total 2 4 2 4 3" xfId="5644"/>
    <cellStyle name="Total 2 4 2 5" xfId="5645"/>
    <cellStyle name="Total 2 4 2 5 2" xfId="5646"/>
    <cellStyle name="Total 2 4 2 5 3" xfId="5647"/>
    <cellStyle name="Total 2 4 2 6" xfId="5648"/>
    <cellStyle name="Total 2 4 2 6 2" xfId="5649"/>
    <cellStyle name="Total 2 4 2 6 3" xfId="5650"/>
    <cellStyle name="Total 2 4 2 7" xfId="5651"/>
    <cellStyle name="Total 2 4 2 8" xfId="5652"/>
    <cellStyle name="Total 2 4 3" xfId="50058"/>
    <cellStyle name="Total 2 5" xfId="5653"/>
    <cellStyle name="Total 2 5 2" xfId="5654"/>
    <cellStyle name="Total 2 5 2 2" xfId="5655"/>
    <cellStyle name="Total 2 5 2 3" xfId="5656"/>
    <cellStyle name="Total 2 5 3" xfId="5657"/>
    <cellStyle name="Total 2 5 3 2" xfId="5658"/>
    <cellStyle name="Total 2 5 3 3" xfId="5659"/>
    <cellStyle name="Total 2 5 4" xfId="5660"/>
    <cellStyle name="Total 2 5 5" xfId="5661"/>
    <cellStyle name="Total 2 6" xfId="50059"/>
    <cellStyle name="Total 2 6 2" xfId="50060"/>
    <cellStyle name="Total 2 6 2 2" xfId="50061"/>
    <cellStyle name="Total 2 6 3" xfId="50062"/>
    <cellStyle name="Total 2 7" xfId="50063"/>
    <cellStyle name="Total 2 7 2" xfId="50064"/>
    <cellStyle name="Total 2 7 2 2" xfId="50065"/>
    <cellStyle name="Total 2 7 3" xfId="50066"/>
    <cellStyle name="Total 2 8" xfId="50067"/>
    <cellStyle name="Total 2 8 2" xfId="50068"/>
    <cellStyle name="Total 2 8 3" xfId="50069"/>
    <cellStyle name="Total 2 9" xfId="50070"/>
    <cellStyle name="Total 2 9 2" xfId="50071"/>
    <cellStyle name="Total 2 9 3" xfId="50072"/>
    <cellStyle name="Total 2_1-10 BHU IS" xfId="50073"/>
    <cellStyle name="Total 3" xfId="5662"/>
    <cellStyle name="Total 3 2" xfId="5663"/>
    <cellStyle name="Total 3 2 2" xfId="50074"/>
    <cellStyle name="Total 3 2 2 2" xfId="50075"/>
    <cellStyle name="Total 3 2 2 3" xfId="50076"/>
    <cellStyle name="Total 3 2 3" xfId="50077"/>
    <cellStyle name="Total 3 2 3 2" xfId="50078"/>
    <cellStyle name="Total 3 2 4" xfId="50079"/>
    <cellStyle name="Total 3 2 5" xfId="50080"/>
    <cellStyle name="Total 3 2 6" xfId="50081"/>
    <cellStyle name="Total 3 2_Dakota Panel" xfId="50082"/>
    <cellStyle name="Total 3 3" xfId="5664"/>
    <cellStyle name="Total 3 3 2" xfId="5665"/>
    <cellStyle name="Total 3 3 2 2" xfId="5666"/>
    <cellStyle name="Total 3 3 2 2 2" xfId="5667"/>
    <cellStyle name="Total 3 3 2 2 2 2" xfId="5668"/>
    <cellStyle name="Total 3 3 2 2 2 3" xfId="5669"/>
    <cellStyle name="Total 3 3 2 2 3" xfId="5670"/>
    <cellStyle name="Total 3 3 2 2 3 2" xfId="5671"/>
    <cellStyle name="Total 3 3 2 2 3 3" xfId="5672"/>
    <cellStyle name="Total 3 3 2 2 4" xfId="5673"/>
    <cellStyle name="Total 3 3 2 2 4 2" xfId="5674"/>
    <cellStyle name="Total 3 3 2 2 4 3" xfId="5675"/>
    <cellStyle name="Total 3 3 2 2 5" xfId="5676"/>
    <cellStyle name="Total 3 3 2 2 5 2" xfId="5677"/>
    <cellStyle name="Total 3 3 2 2 5 3" xfId="5678"/>
    <cellStyle name="Total 3 3 2 2 6" xfId="5679"/>
    <cellStyle name="Total 3 3 2 2 6 2" xfId="5680"/>
    <cellStyle name="Total 3 3 2 2 6 3" xfId="5681"/>
    <cellStyle name="Total 3 3 2 2 7" xfId="5682"/>
    <cellStyle name="Total 3 3 2 2 8" xfId="5683"/>
    <cellStyle name="Total 3 3 3" xfId="5684"/>
    <cellStyle name="Total 3 3 3 2" xfId="5685"/>
    <cellStyle name="Total 3 3 3 2 2" xfId="5686"/>
    <cellStyle name="Total 3 3 3 2 3" xfId="5687"/>
    <cellStyle name="Total 3 3 3 3" xfId="5688"/>
    <cellStyle name="Total 3 3 3 3 2" xfId="5689"/>
    <cellStyle name="Total 3 3 3 3 3" xfId="5690"/>
    <cellStyle name="Total 3 3 3 4" xfId="5691"/>
    <cellStyle name="Total 3 3 3 5" xfId="5692"/>
    <cellStyle name="Total 3 4" xfId="50083"/>
    <cellStyle name="Total 3 5" xfId="50084"/>
    <cellStyle name="Total 3_1-10 BHU IS" xfId="50085"/>
    <cellStyle name="Total 4" xfId="5693"/>
    <cellStyle name="Total 4 2" xfId="50086"/>
    <cellStyle name="Total 4 2 2" xfId="50087"/>
    <cellStyle name="Total 4 2 2 2" xfId="50088"/>
    <cellStyle name="Total 4 2 3" xfId="50089"/>
    <cellStyle name="Total 4 3" xfId="50090"/>
    <cellStyle name="Total 4 3 2" xfId="50091"/>
    <cellStyle name="Total 4 4" xfId="50092"/>
    <cellStyle name="Total 4_1-10 BHU IS" xfId="50093"/>
    <cellStyle name="Total 5" xfId="5694"/>
    <cellStyle name="Total 5 2" xfId="50094"/>
    <cellStyle name="Total 5 2 2" xfId="50095"/>
    <cellStyle name="Total 5 2 2 2" xfId="50096"/>
    <cellStyle name="Total 5 2 3" xfId="50097"/>
    <cellStyle name="Total 5 3" xfId="50098"/>
    <cellStyle name="Total 5 3 2" xfId="50099"/>
    <cellStyle name="Total 5 4" xfId="50100"/>
    <cellStyle name="Total 5_1-10 BHU IS" xfId="50101"/>
    <cellStyle name="Total 6" xfId="5695"/>
    <cellStyle name="Total 6 2" xfId="50102"/>
    <cellStyle name="Total 6 2 2" xfId="50103"/>
    <cellStyle name="Total 6 2 3" xfId="50104"/>
    <cellStyle name="Total 6 3" xfId="50105"/>
    <cellStyle name="Total 6 3 2" xfId="50106"/>
    <cellStyle name="Total 6 4" xfId="50107"/>
    <cellStyle name="Total 7" xfId="5696"/>
    <cellStyle name="Total 7 2" xfId="50108"/>
    <cellStyle name="Total 7 2 2" xfId="50109"/>
    <cellStyle name="Total 7 2 3" xfId="50110"/>
    <cellStyle name="Total 7 3" xfId="50111"/>
    <cellStyle name="Total 7 3 2" xfId="50112"/>
    <cellStyle name="Total 7 4" xfId="50113"/>
    <cellStyle name="Total 8" xfId="50114"/>
    <cellStyle name="Total 8 2" xfId="50115"/>
    <cellStyle name="Total 8 2 2" xfId="50116"/>
    <cellStyle name="Total 8 2 3" xfId="50117"/>
    <cellStyle name="Total 8 3" xfId="50118"/>
    <cellStyle name="Total 8 3 2" xfId="50119"/>
    <cellStyle name="Total 8 4" xfId="50120"/>
    <cellStyle name="Total 9" xfId="50121"/>
    <cellStyle name="Total 9 2" xfId="50122"/>
    <cellStyle name="Total 9 2 2" xfId="50123"/>
    <cellStyle name="Total 9 2 3" xfId="50124"/>
    <cellStyle name="Total 9 3" xfId="50125"/>
    <cellStyle name="Total 9 3 2" xfId="50126"/>
    <cellStyle name="Total 9 4" xfId="50127"/>
    <cellStyle name="Tusental (0)_pldt" xfId="5697"/>
    <cellStyle name="Tusental_pldt" xfId="5698"/>
    <cellStyle name="Unit" xfId="5699"/>
    <cellStyle name="Valuta (0)_pldt" xfId="5700"/>
    <cellStyle name="Valuta_pldt" xfId="5701"/>
    <cellStyle name="Währung [0]_Compiling Utility Macros" xfId="5702"/>
    <cellStyle name="Währung_Compiling Utility Macros" xfId="5703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92"/>
    <cellStyle name="Warning Text 2 10" xfId="50157"/>
    <cellStyle name="Warning Text 2 10 2" xfId="50158"/>
    <cellStyle name="Warning Text 2 10 3" xfId="50159"/>
    <cellStyle name="Warning Text 2 11" xfId="50160"/>
    <cellStyle name="Warning Text 2 11 2" xfId="50161"/>
    <cellStyle name="Warning Text 2 11 3" xfId="50162"/>
    <cellStyle name="Warning Text 2 12" xfId="50163"/>
    <cellStyle name="Warning Text 2 12 2" xfId="50164"/>
    <cellStyle name="Warning Text 2 12 3" xfId="50165"/>
    <cellStyle name="Warning Text 2 13" xfId="50166"/>
    <cellStyle name="Warning Text 2 13 2" xfId="50167"/>
    <cellStyle name="Warning Text 2 14" xfId="50168"/>
    <cellStyle name="Warning Text 2 15" xfId="50169"/>
    <cellStyle name="Warning Text 2 2" xfId="5704"/>
    <cellStyle name="Warning Text 2 2 10" xfId="50170"/>
    <cellStyle name="Warning Text 2 2 10 2" xfId="50171"/>
    <cellStyle name="Warning Text 2 2 10 3" xfId="50172"/>
    <cellStyle name="Warning Text 2 2 11" xfId="50173"/>
    <cellStyle name="Warning Text 2 2 11 2" xfId="50174"/>
    <cellStyle name="Warning Text 2 2 12" xfId="50175"/>
    <cellStyle name="Warning Text 2 2 13" xfId="50176"/>
    <cellStyle name="Warning Text 2 2 2" xfId="50177"/>
    <cellStyle name="Warning Text 2 2 2 10" xfId="50178"/>
    <cellStyle name="Warning Text 2 2 2 10 2" xfId="50179"/>
    <cellStyle name="Warning Text 2 2 2 10 3" xfId="50180"/>
    <cellStyle name="Warning Text 2 2 2 11" xfId="50181"/>
    <cellStyle name="Warning Text 2 2 2 12" xfId="50182"/>
    <cellStyle name="Warning Text 2 2 2 2" xfId="50183"/>
    <cellStyle name="Warning Text 2 2 2 2 2" xfId="50184"/>
    <cellStyle name="Warning Text 2 2 2 2 3" xfId="50185"/>
    <cellStyle name="Warning Text 2 2 2 3" xfId="50186"/>
    <cellStyle name="Warning Text 2 2 2 3 2" xfId="50187"/>
    <cellStyle name="Warning Text 2 2 2 3 3" xfId="50188"/>
    <cellStyle name="Warning Text 2 2 2 4" xfId="50189"/>
    <cellStyle name="Warning Text 2 2 2 4 2" xfId="50190"/>
    <cellStyle name="Warning Text 2 2 2 4 3" xfId="50191"/>
    <cellStyle name="Warning Text 2 2 2 5" xfId="50192"/>
    <cellStyle name="Warning Text 2 2 2 5 2" xfId="50193"/>
    <cellStyle name="Warning Text 2 2 2 5 3" xfId="50194"/>
    <cellStyle name="Warning Text 2 2 2 6" xfId="50195"/>
    <cellStyle name="Warning Text 2 2 2 6 2" xfId="50196"/>
    <cellStyle name="Warning Text 2 2 2 6 3" xfId="50197"/>
    <cellStyle name="Warning Text 2 2 2 7" xfId="50198"/>
    <cellStyle name="Warning Text 2 2 2 7 2" xfId="50199"/>
    <cellStyle name="Warning Text 2 2 2 7 3" xfId="50200"/>
    <cellStyle name="Warning Text 2 2 2 8" xfId="50201"/>
    <cellStyle name="Warning Text 2 2 2 8 2" xfId="50202"/>
    <cellStyle name="Warning Text 2 2 2 8 3" xfId="50203"/>
    <cellStyle name="Warning Text 2 2 2 9" xfId="50204"/>
    <cellStyle name="Warning Text 2 2 2 9 2" xfId="50205"/>
    <cellStyle name="Warning Text 2 2 2 9 3" xfId="50206"/>
    <cellStyle name="Warning Text 2 2 3" xfId="50207"/>
    <cellStyle name="Warning Text 2 2 3 2" xfId="50208"/>
    <cellStyle name="Warning Text 2 2 3 3" xfId="50209"/>
    <cellStyle name="Warning Text 2 2 4" xfId="50210"/>
    <cellStyle name="Warning Text 2 2 4 2" xfId="50211"/>
    <cellStyle name="Warning Text 2 2 4 3" xfId="50212"/>
    <cellStyle name="Warning Text 2 2 5" xfId="50213"/>
    <cellStyle name="Warning Text 2 2 5 2" xfId="50214"/>
    <cellStyle name="Warning Text 2 2 5 3" xfId="50215"/>
    <cellStyle name="Warning Text 2 2 6" xfId="50216"/>
    <cellStyle name="Warning Text 2 2 6 2" xfId="50217"/>
    <cellStyle name="Warning Text 2 2 6 3" xfId="50218"/>
    <cellStyle name="Warning Text 2 2 7" xfId="50219"/>
    <cellStyle name="Warning Text 2 2 7 2" xfId="50220"/>
    <cellStyle name="Warning Text 2 2 7 3" xfId="50221"/>
    <cellStyle name="Warning Text 2 2 8" xfId="50222"/>
    <cellStyle name="Warning Text 2 2 8 2" xfId="50223"/>
    <cellStyle name="Warning Text 2 2 8 3" xfId="50224"/>
    <cellStyle name="Warning Text 2 2 9" xfId="50225"/>
    <cellStyle name="Warning Text 2 2 9 2" xfId="50226"/>
    <cellStyle name="Warning Text 2 2 9 3" xfId="50227"/>
    <cellStyle name="Warning Text 2 3" xfId="50228"/>
    <cellStyle name="Warning Text 2 3 2" xfId="50229"/>
    <cellStyle name="Warning Text 2 3 2 2" xfId="50230"/>
    <cellStyle name="Warning Text 2 3 3" xfId="50231"/>
    <cellStyle name="Warning Text 2 4" xfId="50232"/>
    <cellStyle name="Warning Text 2 4 2" xfId="50233"/>
    <cellStyle name="Warning Text 2 4 2 2" xfId="50234"/>
    <cellStyle name="Warning Text 2 4 3" xfId="50235"/>
    <cellStyle name="Warning Text 2 5" xfId="50236"/>
    <cellStyle name="Warning Text 2 5 2" xfId="50237"/>
    <cellStyle name="Warning Text 2 5 2 2" xfId="50238"/>
    <cellStyle name="Warning Text 2 5 3" xfId="50239"/>
    <cellStyle name="Warning Text 2 6" xfId="50240"/>
    <cellStyle name="Warning Text 2 6 2" xfId="50241"/>
    <cellStyle name="Warning Text 2 6 2 2" xfId="50242"/>
    <cellStyle name="Warning Text 2 6 3" xfId="50243"/>
    <cellStyle name="Warning Text 2 7" xfId="50244"/>
    <cellStyle name="Warning Text 2 7 2" xfId="50245"/>
    <cellStyle name="Warning Text 2 7 3" xfId="50246"/>
    <cellStyle name="Warning Text 2 8" xfId="50247"/>
    <cellStyle name="Warning Text 2 8 2" xfId="50248"/>
    <cellStyle name="Warning Text 2 8 3" xfId="50249"/>
    <cellStyle name="Warning Text 2 9" xfId="50250"/>
    <cellStyle name="Warning Text 2 9 2" xfId="50251"/>
    <cellStyle name="Warning Text 2 9 3" xfId="50252"/>
    <cellStyle name="Warning Text 2_Dakota Panel" xfId="50253"/>
    <cellStyle name="Warning Text 3" xfId="5705"/>
    <cellStyle name="Warning Text 3 2" xfId="50254"/>
    <cellStyle name="Warning Text 3 2 2" xfId="50255"/>
    <cellStyle name="Warning Text 3 2 2 2" xfId="50256"/>
    <cellStyle name="Warning Text 3 2 3" xfId="50257"/>
    <cellStyle name="Warning Text 3 3" xfId="50258"/>
    <cellStyle name="Warning Text 3 3 2" xfId="50259"/>
    <cellStyle name="Warning Text 3 4" xfId="50260"/>
    <cellStyle name="Warning Text 3 5" xfId="50261"/>
    <cellStyle name="Warning Text 4" xfId="5706"/>
    <cellStyle name="Warning Text 4 2" xfId="50262"/>
    <cellStyle name="Warning Text 4 2 2" xfId="50263"/>
    <cellStyle name="Warning Text 4 2 2 2" xfId="50264"/>
    <cellStyle name="Warning Text 4 2 3" xfId="50265"/>
    <cellStyle name="Warning Text 4 3" xfId="50266"/>
    <cellStyle name="Warning Text 4 3 2" xfId="50267"/>
    <cellStyle name="Warning Text 4 4" xfId="50268"/>
    <cellStyle name="Warning Text 5" xfId="50269"/>
    <cellStyle name="Warning Text 5 2" xfId="50270"/>
    <cellStyle name="Warning Text 5 2 2" xfId="50271"/>
    <cellStyle name="Warning Text 5 2 2 2" xfId="50272"/>
    <cellStyle name="Warning Text 5 2 3" xfId="50273"/>
    <cellStyle name="Warning Text 5 3" xfId="50274"/>
    <cellStyle name="Warning Text 5 3 2" xfId="50275"/>
    <cellStyle name="Warning Text 5 4" xfId="50276"/>
    <cellStyle name="Warning Text 6" xfId="50277"/>
    <cellStyle name="Warning Text 6 2" xfId="50278"/>
    <cellStyle name="Warning Text 6 2 2" xfId="50279"/>
    <cellStyle name="Warning Text 6 3" xfId="50280"/>
    <cellStyle name="Warning Text 7" xfId="50281"/>
    <cellStyle name="Warning Text 7 2" xfId="50282"/>
    <cellStyle name="Warning Text 7 2 2" xfId="50283"/>
    <cellStyle name="Warning Text 7 3" xfId="50284"/>
    <cellStyle name="Warning Text 8" xfId="50285"/>
    <cellStyle name="Warning Text 8 2" xfId="50286"/>
    <cellStyle name="Warning Text 8 2 2" xfId="50287"/>
    <cellStyle name="Warning Text 8 3" xfId="50288"/>
    <cellStyle name="Warning Text 9" xfId="50289"/>
    <cellStyle name="Warning Text 9 2" xfId="50290"/>
    <cellStyle name="Warning Text 9 2 2" xfId="50291"/>
    <cellStyle name="Warning Text 9 3" xfId="50292"/>
    <cellStyle name="Wrap" xfId="5707"/>
    <cellStyle name="Year" xfId="93"/>
    <cellStyle name="Zip Code" xfId="5708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workbookViewId="0">
      <selection activeCell="D24" sqref="D24"/>
    </sheetView>
  </sheetViews>
  <sheetFormatPr defaultColWidth="8.88671875" defaultRowHeight="15.6"/>
  <cols>
    <col min="1" max="1" width="5" style="652" customWidth="1"/>
    <col min="2" max="2" width="5.6640625" style="652" customWidth="1"/>
    <col min="3" max="3" width="18.88671875" style="652" bestFit="1" customWidth="1"/>
    <col min="4" max="4" width="43.6640625" style="652" bestFit="1" customWidth="1"/>
    <col min="5" max="5" width="5.6640625" style="652" customWidth="1"/>
    <col min="6" max="6" width="16.88671875" style="652" bestFit="1" customWidth="1"/>
    <col min="7" max="7" width="19.109375" style="652" bestFit="1" customWidth="1"/>
    <col min="8" max="11" width="8.88671875" style="652"/>
    <col min="12" max="12" width="14.88671875" style="652" bestFit="1" customWidth="1"/>
    <col min="13" max="16384" width="8.88671875" style="652"/>
  </cols>
  <sheetData>
    <row r="1" spans="1:7" ht="21">
      <c r="A1" s="651" t="s">
        <v>543</v>
      </c>
    </row>
    <row r="2" spans="1:7" ht="18">
      <c r="A2" s="653" t="s">
        <v>544</v>
      </c>
    </row>
    <row r="4" spans="1:7">
      <c r="A4" s="652" t="s">
        <v>545</v>
      </c>
    </row>
    <row r="7" spans="1:7">
      <c r="A7" s="654" t="s">
        <v>546</v>
      </c>
    </row>
    <row r="8" spans="1:7">
      <c r="A8" s="655">
        <v>1</v>
      </c>
      <c r="B8" s="652" t="s">
        <v>547</v>
      </c>
    </row>
    <row r="10" spans="1:7">
      <c r="A10" s="655">
        <v>2</v>
      </c>
      <c r="C10" s="652" t="s">
        <v>548</v>
      </c>
      <c r="D10" s="652" t="s">
        <v>549</v>
      </c>
      <c r="F10" s="656">
        <v>1041029</v>
      </c>
    </row>
    <row r="11" spans="1:7">
      <c r="F11" s="657"/>
    </row>
    <row r="12" spans="1:7">
      <c r="A12" s="655">
        <v>3</v>
      </c>
      <c r="C12" s="652" t="s">
        <v>550</v>
      </c>
      <c r="D12" s="652" t="s">
        <v>551</v>
      </c>
      <c r="F12" s="656">
        <f>41*30000</f>
        <v>1230000</v>
      </c>
    </row>
    <row r="13" spans="1:7">
      <c r="D13" s="652" t="s">
        <v>552</v>
      </c>
      <c r="F13" s="658"/>
    </row>
    <row r="14" spans="1:7" ht="16.2" thickBot="1">
      <c r="F14" s="659"/>
    </row>
    <row r="15" spans="1:7" ht="16.2" thickTop="1">
      <c r="A15" s="655">
        <v>4</v>
      </c>
      <c r="D15" s="652" t="s">
        <v>553</v>
      </c>
      <c r="F15" s="660">
        <f>+F10+F12</f>
        <v>2271029</v>
      </c>
      <c r="G15" s="652" t="s">
        <v>554</v>
      </c>
    </row>
    <row r="19" spans="1:13">
      <c r="A19" s="655">
        <v>5</v>
      </c>
      <c r="B19" s="652" t="s">
        <v>555</v>
      </c>
      <c r="L19" s="658">
        <f>4000*5</f>
        <v>20000</v>
      </c>
      <c r="M19" s="652" t="s">
        <v>556</v>
      </c>
    </row>
    <row r="20" spans="1:13">
      <c r="L20" s="658">
        <v>15000</v>
      </c>
      <c r="M20" s="652" t="s">
        <v>265</v>
      </c>
    </row>
    <row r="21" spans="1:13">
      <c r="C21" s="652" t="s">
        <v>557</v>
      </c>
      <c r="L21" s="658">
        <v>90440</v>
      </c>
      <c r="M21" s="652" t="s">
        <v>558</v>
      </c>
    </row>
    <row r="22" spans="1:13">
      <c r="A22" s="655">
        <v>6</v>
      </c>
      <c r="D22" s="652" t="s">
        <v>559</v>
      </c>
      <c r="F22" s="656">
        <v>200000</v>
      </c>
      <c r="L22" s="658">
        <v>50000</v>
      </c>
      <c r="M22" s="652" t="s">
        <v>560</v>
      </c>
    </row>
    <row r="23" spans="1:13">
      <c r="L23" s="661">
        <v>13500</v>
      </c>
      <c r="M23" s="652" t="s">
        <v>561</v>
      </c>
    </row>
    <row r="24" spans="1:13">
      <c r="A24" s="655">
        <v>7</v>
      </c>
      <c r="C24" s="652" t="s">
        <v>562</v>
      </c>
      <c r="F24" s="656">
        <v>50000</v>
      </c>
      <c r="L24" s="662">
        <f>SUM(L19:L23)</f>
        <v>188940</v>
      </c>
    </row>
    <row r="26" spans="1:13">
      <c r="C26" s="652" t="s">
        <v>563</v>
      </c>
    </row>
    <row r="27" spans="1:13">
      <c r="A27" s="655">
        <v>8</v>
      </c>
      <c r="D27" s="652" t="s">
        <v>564</v>
      </c>
      <c r="F27" s="656">
        <f>+Tables!E3</f>
        <v>407058.53</v>
      </c>
    </row>
    <row r="28" spans="1:13">
      <c r="A28" s="655">
        <v>9</v>
      </c>
      <c r="D28" s="652" t="s">
        <v>565</v>
      </c>
      <c r="F28" s="656">
        <f>+Tables!E4</f>
        <v>776230.17249999999</v>
      </c>
    </row>
    <row r="29" spans="1:13" ht="16.2" thickBot="1">
      <c r="A29" s="655">
        <v>10</v>
      </c>
      <c r="D29" s="652" t="s">
        <v>566</v>
      </c>
      <c r="F29" s="663">
        <f>+Tables!E5</f>
        <v>918681.19000000006</v>
      </c>
    </row>
    <row r="30" spans="1:13" ht="16.2" thickTop="1">
      <c r="A30" s="655">
        <v>11</v>
      </c>
      <c r="D30" s="664" t="s">
        <v>567</v>
      </c>
      <c r="F30" s="660">
        <f>SUM(F27:F29)</f>
        <v>2101969.8925000001</v>
      </c>
      <c r="G30" s="652" t="s">
        <v>568</v>
      </c>
    </row>
    <row r="31" spans="1:13">
      <c r="F31" s="667"/>
    </row>
    <row r="32" spans="1:13">
      <c r="A32" s="655">
        <v>12</v>
      </c>
      <c r="C32" s="652" t="s">
        <v>574</v>
      </c>
      <c r="F32" s="669">
        <f>+F22+F24+F30</f>
        <v>2351969.8925000001</v>
      </c>
      <c r="G32" s="652" t="s">
        <v>570</v>
      </c>
    </row>
    <row r="33" spans="1:7">
      <c r="F33" s="667"/>
    </row>
    <row r="34" spans="1:7">
      <c r="A34" s="655">
        <v>13</v>
      </c>
      <c r="C34" s="652" t="s">
        <v>573</v>
      </c>
      <c r="F34" s="660">
        <f>ROUND(+F32*0.3,0)</f>
        <v>705591</v>
      </c>
      <c r="G34" s="652" t="s">
        <v>575</v>
      </c>
    </row>
    <row r="35" spans="1:7">
      <c r="F35" s="667"/>
    </row>
    <row r="36" spans="1:7">
      <c r="A36" s="655">
        <v>14</v>
      </c>
      <c r="D36" s="652" t="s">
        <v>569</v>
      </c>
      <c r="F36" s="660">
        <f>+F32+F34</f>
        <v>3057560.8925000001</v>
      </c>
      <c r="G36" s="652" t="s">
        <v>576</v>
      </c>
    </row>
  </sheetData>
  <pageMargins left="0.7" right="0.7" top="0.75" bottom="0.75" header="0.3" footer="0.3"/>
  <pageSetup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O157"/>
  <sheetViews>
    <sheetView showGridLines="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Q83" sqref="Q83"/>
    </sheetView>
  </sheetViews>
  <sheetFormatPr defaultColWidth="9.109375" defaultRowHeight="10.199999999999999"/>
  <cols>
    <col min="1" max="1" width="9.6640625" style="211" hidden="1" customWidth="1"/>
    <col min="2" max="2" width="36.88671875" style="1" bestFit="1" customWidth="1"/>
    <col min="3" max="3" width="10.6640625" style="1" bestFit="1" customWidth="1"/>
    <col min="4" max="4" width="8.44140625" style="195" bestFit="1" customWidth="1"/>
    <col min="5" max="5" width="9.88671875" style="195" customWidth="1"/>
    <col min="6" max="6" width="2.5546875" style="2" customWidth="1"/>
    <col min="7" max="7" width="11.109375" style="196" bestFit="1" customWidth="1"/>
    <col min="8" max="8" width="8.33203125" style="196" bestFit="1" customWidth="1"/>
    <col min="9" max="9" width="8.109375" style="506" bestFit="1" customWidth="1"/>
    <col min="10" max="10" width="7.33203125" style="506" customWidth="1"/>
    <col min="11" max="11" width="1.88671875" style="2" customWidth="1"/>
    <col min="12" max="12" width="12.33203125" style="210" bestFit="1" customWidth="1"/>
    <col min="13" max="13" width="12.33203125" style="210" customWidth="1"/>
    <col min="14" max="14" width="9.109375" style="212" bestFit="1" customWidth="1"/>
    <col min="15" max="15" width="8" style="209" bestFit="1" customWidth="1"/>
    <col min="16" max="16" width="1.88671875" style="2" customWidth="1"/>
    <col min="17" max="17" width="6" style="195" bestFit="1" customWidth="1"/>
    <col min="18" max="18" width="6" style="211" bestFit="1" customWidth="1"/>
    <col min="19" max="19" width="7.109375" style="211" bestFit="1" customWidth="1"/>
    <col min="20" max="20" width="9.33203125" style="211" bestFit="1" customWidth="1"/>
    <col min="21" max="21" width="13.88671875" style="211" hidden="1" customWidth="1"/>
    <col min="22" max="22" width="5.109375" style="211" bestFit="1" customWidth="1"/>
    <col min="23" max="23" width="13.88671875" style="211" hidden="1" customWidth="1"/>
    <col min="24" max="24" width="1.88671875" style="2" customWidth="1"/>
    <col min="25" max="25" width="17.6640625" style="210" hidden="1" customWidth="1"/>
    <col min="26" max="26" width="24.6640625" style="209" hidden="1" customWidth="1"/>
    <col min="27" max="28" width="8.6640625" style="195" hidden="1" customWidth="1"/>
    <col min="29" max="29" width="20" style="195" hidden="1" customWidth="1"/>
    <col min="30" max="30" width="18.109375" style="209" hidden="1" customWidth="1"/>
    <col min="31" max="31" width="14.6640625" style="209" hidden="1" customWidth="1"/>
    <col min="32" max="32" width="1.88671875" style="2" customWidth="1"/>
    <col min="33" max="33" width="7.44140625" style="195" hidden="1" customWidth="1"/>
    <col min="34" max="47" width="7.44140625" style="194" hidden="1" customWidth="1"/>
    <col min="48" max="50" width="6.5546875" style="194" hidden="1" customWidth="1"/>
    <col min="51" max="52" width="4.44140625" style="194" hidden="1" customWidth="1"/>
    <col min="53" max="53" width="1.88671875" style="2" hidden="1" customWidth="1"/>
    <col min="54" max="68" width="6.5546875" style="2" hidden="1" customWidth="1"/>
    <col min="69" max="71" width="5.6640625" style="2" hidden="1" customWidth="1"/>
    <col min="72" max="73" width="4.44140625" style="2" hidden="1" customWidth="1"/>
    <col min="74" max="74" width="1.88671875" style="2" hidden="1" customWidth="1"/>
    <col min="75" max="89" width="7.44140625" style="2" hidden="1" customWidth="1"/>
    <col min="90" max="92" width="6.5546875" style="2" hidden="1" customWidth="1"/>
    <col min="93" max="94" width="4.44140625" style="2" hidden="1" customWidth="1"/>
    <col min="95" max="95" width="1.88671875" style="2" hidden="1" customWidth="1"/>
    <col min="96" max="110" width="7.44140625" style="2" hidden="1" customWidth="1"/>
    <col min="111" max="113" width="6.5546875" style="2" hidden="1" customWidth="1"/>
    <col min="114" max="115" width="4.44140625" style="2" hidden="1" customWidth="1"/>
    <col min="116" max="116" width="1.88671875" style="2" hidden="1" customWidth="1"/>
    <col min="117" max="117" width="7.44140625" style="2" hidden="1" customWidth="1"/>
    <col min="118" max="122" width="4.44140625" style="2" hidden="1" customWidth="1"/>
    <col min="123" max="123" width="7.109375" style="2" hidden="1" customWidth="1"/>
    <col min="124" max="124" width="4.44140625" style="2" hidden="1" customWidth="1"/>
    <col min="125" max="125" width="7.109375" style="2" hidden="1" customWidth="1"/>
    <col min="126" max="127" width="4.44140625" style="2" hidden="1" customWidth="1"/>
    <col min="128" max="129" width="1.88671875" style="2" customWidth="1"/>
    <col min="130" max="130" width="7" style="2" bestFit="1" customWidth="1"/>
    <col min="131" max="171" width="9.109375" style="2"/>
    <col min="172" max="16384" width="9.109375" style="195"/>
  </cols>
  <sheetData>
    <row r="1" spans="1:171">
      <c r="B1" s="225" t="s">
        <v>225</v>
      </c>
      <c r="C1" s="224">
        <v>2015</v>
      </c>
      <c r="G1" s="345"/>
      <c r="H1" s="345"/>
      <c r="I1" s="345"/>
      <c r="J1" s="345"/>
      <c r="Q1" s="209"/>
      <c r="Y1" s="781" t="s">
        <v>223</v>
      </c>
      <c r="Z1" s="782"/>
      <c r="AA1" s="782"/>
      <c r="AB1" s="782"/>
      <c r="AC1" s="782"/>
      <c r="AD1" s="782"/>
      <c r="AE1" s="783"/>
      <c r="AG1" s="209"/>
      <c r="AH1" s="223"/>
    </row>
    <row r="2" spans="1:171">
      <c r="C2" s="195"/>
      <c r="D2" s="196"/>
      <c r="E2" s="196"/>
      <c r="G2" s="778" t="s">
        <v>416</v>
      </c>
      <c r="H2" s="779"/>
      <c r="I2" s="779"/>
      <c r="J2" s="780"/>
      <c r="N2" s="789" t="s">
        <v>277</v>
      </c>
      <c r="O2" s="789"/>
      <c r="Q2" s="788" t="s">
        <v>224</v>
      </c>
      <c r="R2" s="788"/>
      <c r="S2" s="788"/>
      <c r="T2" s="788"/>
      <c r="U2" s="788"/>
      <c r="V2" s="788"/>
      <c r="W2" s="788"/>
      <c r="Y2" s="786" t="s">
        <v>217</v>
      </c>
      <c r="Z2" s="786" t="s">
        <v>216</v>
      </c>
      <c r="AA2" s="786" t="s">
        <v>454</v>
      </c>
      <c r="AB2" s="786"/>
      <c r="AC2" s="787" t="s">
        <v>213</v>
      </c>
      <c r="AD2" s="787" t="s">
        <v>214</v>
      </c>
      <c r="AE2" s="786" t="s">
        <v>7</v>
      </c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FO2" s="195"/>
    </row>
    <row r="3" spans="1:171" s="218" customFormat="1" ht="20.399999999999999">
      <c r="A3" s="344" t="s">
        <v>90</v>
      </c>
      <c r="B3" s="222" t="s">
        <v>212</v>
      </c>
      <c r="C3" s="221" t="s">
        <v>222</v>
      </c>
      <c r="D3" s="502" t="s">
        <v>2</v>
      </c>
      <c r="E3" s="220" t="s">
        <v>427</v>
      </c>
      <c r="F3" s="219"/>
      <c r="G3" s="220" t="s">
        <v>240</v>
      </c>
      <c r="H3" s="220" t="s">
        <v>429</v>
      </c>
      <c r="I3" s="507" t="s">
        <v>282</v>
      </c>
      <c r="J3" s="507" t="s">
        <v>431</v>
      </c>
      <c r="K3" s="219"/>
      <c r="L3" s="347" t="s">
        <v>415</v>
      </c>
      <c r="M3" s="347" t="s">
        <v>426</v>
      </c>
      <c r="N3" s="648" t="s">
        <v>276</v>
      </c>
      <c r="O3" s="648" t="s">
        <v>3</v>
      </c>
      <c r="P3" s="219"/>
      <c r="Q3" s="649" t="s">
        <v>210</v>
      </c>
      <c r="R3" s="649" t="s">
        <v>220</v>
      </c>
      <c r="S3" s="649" t="s">
        <v>219</v>
      </c>
      <c r="T3" s="649" t="s">
        <v>218</v>
      </c>
      <c r="U3" s="649" t="s">
        <v>402</v>
      </c>
      <c r="V3" s="649" t="s">
        <v>221</v>
      </c>
      <c r="W3" s="649" t="s">
        <v>403</v>
      </c>
      <c r="X3" s="219"/>
      <c r="Y3" s="786"/>
      <c r="Z3" s="786"/>
      <c r="AA3" s="647" t="s">
        <v>400</v>
      </c>
      <c r="AB3" s="647" t="s">
        <v>399</v>
      </c>
      <c r="AC3" s="787"/>
      <c r="AD3" s="787"/>
      <c r="AE3" s="786"/>
      <c r="AF3" s="219"/>
      <c r="AG3" s="775" t="s">
        <v>283</v>
      </c>
      <c r="AH3" s="776"/>
      <c r="AI3" s="776"/>
      <c r="AJ3" s="776"/>
      <c r="AK3" s="776"/>
      <c r="AL3" s="776"/>
      <c r="AM3" s="776"/>
      <c r="AN3" s="776"/>
      <c r="AO3" s="776"/>
      <c r="AP3" s="776"/>
      <c r="AQ3" s="776"/>
      <c r="AR3" s="776"/>
      <c r="AS3" s="776"/>
      <c r="AT3" s="776"/>
      <c r="AU3" s="776"/>
      <c r="AV3" s="776"/>
      <c r="AW3" s="776"/>
      <c r="AX3" s="776"/>
      <c r="AY3" s="776"/>
      <c r="AZ3" s="776"/>
      <c r="BA3" s="219"/>
      <c r="BB3" s="784" t="s">
        <v>216</v>
      </c>
      <c r="BC3" s="785"/>
      <c r="BD3" s="785"/>
      <c r="BE3" s="785"/>
      <c r="BF3" s="785"/>
      <c r="BG3" s="785"/>
      <c r="BH3" s="785"/>
      <c r="BI3" s="785"/>
      <c r="BJ3" s="785"/>
      <c r="BK3" s="785"/>
      <c r="BL3" s="785"/>
      <c r="BM3" s="785"/>
      <c r="BN3" s="785"/>
      <c r="BO3" s="785"/>
      <c r="BP3" s="785"/>
      <c r="BQ3" s="785"/>
      <c r="BR3" s="785"/>
      <c r="BS3" s="785"/>
      <c r="BT3" s="785"/>
      <c r="BU3" s="785"/>
      <c r="BV3" s="219"/>
      <c r="BW3" s="777" t="s">
        <v>215</v>
      </c>
      <c r="BX3" s="777"/>
      <c r="BY3" s="777"/>
      <c r="BZ3" s="777"/>
      <c r="CA3" s="777"/>
      <c r="CB3" s="777"/>
      <c r="CC3" s="777"/>
      <c r="CD3" s="777"/>
      <c r="CE3" s="777"/>
      <c r="CF3" s="777"/>
      <c r="CG3" s="777"/>
      <c r="CH3" s="777"/>
      <c r="CI3" s="777"/>
      <c r="CJ3" s="777"/>
      <c r="CK3" s="777"/>
      <c r="CL3" s="777"/>
      <c r="CM3" s="777"/>
      <c r="CN3" s="777"/>
      <c r="CO3" s="777"/>
      <c r="CP3" s="777"/>
      <c r="CQ3" s="219"/>
      <c r="CR3" s="777" t="s">
        <v>401</v>
      </c>
      <c r="CS3" s="777"/>
      <c r="CT3" s="777"/>
      <c r="CU3" s="777"/>
      <c r="CV3" s="777"/>
      <c r="CW3" s="777"/>
      <c r="CX3" s="777"/>
      <c r="CY3" s="777"/>
      <c r="CZ3" s="777"/>
      <c r="DA3" s="777"/>
      <c r="DB3" s="777"/>
      <c r="DC3" s="777"/>
      <c r="DD3" s="777"/>
      <c r="DE3" s="777"/>
      <c r="DF3" s="777"/>
      <c r="DG3" s="777"/>
      <c r="DH3" s="777"/>
      <c r="DI3" s="777"/>
      <c r="DJ3" s="777"/>
      <c r="DK3" s="777"/>
      <c r="DL3" s="219"/>
      <c r="DM3" s="777" t="s">
        <v>7</v>
      </c>
      <c r="DN3" s="777"/>
      <c r="DO3" s="777"/>
      <c r="DP3" s="777"/>
      <c r="DQ3" s="777"/>
      <c r="DR3" s="777"/>
      <c r="DS3" s="777"/>
      <c r="DT3" s="777"/>
      <c r="DU3" s="777"/>
      <c r="DV3" s="777"/>
      <c r="DW3" s="777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</row>
    <row r="4" spans="1:171">
      <c r="A4" s="1"/>
      <c r="C4" s="195"/>
      <c r="E4" s="196"/>
      <c r="L4" s="348"/>
      <c r="M4" s="348"/>
      <c r="O4" s="212"/>
      <c r="Q4" s="209"/>
      <c r="R4" s="209"/>
      <c r="S4" s="209"/>
      <c r="T4" s="209"/>
      <c r="U4" s="209"/>
      <c r="V4" s="209"/>
      <c r="W4" s="209"/>
      <c r="Y4" s="209"/>
      <c r="AA4" s="209"/>
      <c r="AB4" s="209"/>
      <c r="AC4" s="209"/>
      <c r="AG4" s="646">
        <v>2014</v>
      </c>
      <c r="AH4" s="646">
        <v>2015</v>
      </c>
      <c r="AI4" s="646">
        <v>2016</v>
      </c>
      <c r="AJ4" s="646">
        <v>2017</v>
      </c>
      <c r="AK4" s="646">
        <v>2018</v>
      </c>
      <c r="AL4" s="646">
        <v>2019</v>
      </c>
      <c r="AM4" s="646">
        <v>2020</v>
      </c>
      <c r="AN4" s="646">
        <v>2021</v>
      </c>
      <c r="AO4" s="646">
        <v>2022</v>
      </c>
      <c r="AP4" s="646">
        <v>2023</v>
      </c>
      <c r="AQ4" s="646">
        <v>2024</v>
      </c>
      <c r="AR4" s="646">
        <v>2025</v>
      </c>
      <c r="AS4" s="646">
        <v>2026</v>
      </c>
      <c r="AT4" s="646">
        <v>2027</v>
      </c>
      <c r="AU4" s="646">
        <v>2028</v>
      </c>
      <c r="AV4" s="646">
        <v>2029</v>
      </c>
      <c r="AW4" s="646">
        <v>2030</v>
      </c>
      <c r="AX4" s="646">
        <v>2031</v>
      </c>
      <c r="AY4" s="646">
        <v>2032</v>
      </c>
      <c r="AZ4" s="646">
        <v>2033</v>
      </c>
      <c r="BB4" s="646">
        <v>2014</v>
      </c>
      <c r="BC4" s="646">
        <v>2015</v>
      </c>
      <c r="BD4" s="646">
        <v>2016</v>
      </c>
      <c r="BE4" s="646">
        <v>2017</v>
      </c>
      <c r="BF4" s="646">
        <v>2018</v>
      </c>
      <c r="BG4" s="646">
        <v>2019</v>
      </c>
      <c r="BH4" s="646">
        <v>2020</v>
      </c>
      <c r="BI4" s="646">
        <v>2021</v>
      </c>
      <c r="BJ4" s="646">
        <v>2022</v>
      </c>
      <c r="BK4" s="646">
        <v>2023</v>
      </c>
      <c r="BL4" s="646">
        <v>2024</v>
      </c>
      <c r="BM4" s="646">
        <v>2025</v>
      </c>
      <c r="BN4" s="646">
        <v>2026</v>
      </c>
      <c r="BO4" s="646">
        <v>2027</v>
      </c>
      <c r="BP4" s="646">
        <v>2028</v>
      </c>
      <c r="BQ4" s="646">
        <v>2029</v>
      </c>
      <c r="BR4" s="646">
        <v>2030</v>
      </c>
      <c r="BS4" s="646">
        <v>2031</v>
      </c>
      <c r="BT4" s="646">
        <v>2032</v>
      </c>
      <c r="BU4" s="646">
        <v>2033</v>
      </c>
      <c r="BW4" s="646">
        <v>2014</v>
      </c>
      <c r="BX4" s="646">
        <v>2015</v>
      </c>
      <c r="BY4" s="646">
        <v>2016</v>
      </c>
      <c r="BZ4" s="646">
        <v>2017</v>
      </c>
      <c r="CA4" s="646">
        <v>2018</v>
      </c>
      <c r="CB4" s="646">
        <v>2019</v>
      </c>
      <c r="CC4" s="646">
        <v>2020</v>
      </c>
      <c r="CD4" s="646">
        <v>2021</v>
      </c>
      <c r="CE4" s="646">
        <v>2022</v>
      </c>
      <c r="CF4" s="646">
        <v>2023</v>
      </c>
      <c r="CG4" s="646">
        <v>2024</v>
      </c>
      <c r="CH4" s="646">
        <v>2025</v>
      </c>
      <c r="CI4" s="646">
        <v>2026</v>
      </c>
      <c r="CJ4" s="646">
        <v>2027</v>
      </c>
      <c r="CK4" s="646">
        <v>2028</v>
      </c>
      <c r="CL4" s="646">
        <v>2029</v>
      </c>
      <c r="CM4" s="646">
        <v>2030</v>
      </c>
      <c r="CN4" s="646">
        <v>2031</v>
      </c>
      <c r="CO4" s="646">
        <v>2032</v>
      </c>
      <c r="CP4" s="646">
        <v>2033</v>
      </c>
      <c r="CR4" s="646">
        <v>2014</v>
      </c>
      <c r="CS4" s="646">
        <v>2015</v>
      </c>
      <c r="CT4" s="646">
        <v>2016</v>
      </c>
      <c r="CU4" s="646">
        <v>2017</v>
      </c>
      <c r="CV4" s="646">
        <v>2018</v>
      </c>
      <c r="CW4" s="646">
        <v>2019</v>
      </c>
      <c r="CX4" s="646">
        <v>2020</v>
      </c>
      <c r="CY4" s="646">
        <v>2021</v>
      </c>
      <c r="CZ4" s="646">
        <v>2022</v>
      </c>
      <c r="DA4" s="646">
        <v>2023</v>
      </c>
      <c r="DB4" s="646">
        <v>2024</v>
      </c>
      <c r="DC4" s="646">
        <v>2025</v>
      </c>
      <c r="DD4" s="646">
        <v>2026</v>
      </c>
      <c r="DE4" s="646">
        <v>2027</v>
      </c>
      <c r="DF4" s="646">
        <v>2028</v>
      </c>
      <c r="DG4" s="646">
        <v>2029</v>
      </c>
      <c r="DH4" s="646">
        <v>2030</v>
      </c>
      <c r="DI4" s="646">
        <v>2031</v>
      </c>
      <c r="DJ4" s="646">
        <v>2032</v>
      </c>
      <c r="DK4" s="646">
        <v>2033</v>
      </c>
      <c r="DM4" s="646">
        <v>2014</v>
      </c>
      <c r="DN4" s="646">
        <v>2015</v>
      </c>
      <c r="DO4" s="646">
        <v>2016</v>
      </c>
      <c r="DP4" s="646">
        <v>2017</v>
      </c>
      <c r="DQ4" s="646">
        <v>2018</v>
      </c>
      <c r="DR4" s="646">
        <v>2019</v>
      </c>
      <c r="DS4" s="646">
        <v>2020</v>
      </c>
      <c r="DT4" s="646">
        <v>2021</v>
      </c>
      <c r="DU4" s="646">
        <v>2022</v>
      </c>
      <c r="DV4" s="646">
        <v>2023</v>
      </c>
      <c r="DW4" s="646">
        <v>2024</v>
      </c>
      <c r="DY4" s="219"/>
      <c r="DZ4" s="219"/>
      <c r="EA4" s="219"/>
      <c r="EB4" s="219"/>
      <c r="EC4" s="219"/>
      <c r="ED4" s="219"/>
      <c r="EE4" s="219"/>
      <c r="EF4" s="219"/>
      <c r="FO4" s="195"/>
    </row>
    <row r="5" spans="1:171">
      <c r="A5" s="343"/>
      <c r="B5" s="340" t="str">
        <f>'Portfolio Inputs'!A4</f>
        <v>Total Portfolio</v>
      </c>
      <c r="C5" s="350"/>
      <c r="D5" s="350"/>
      <c r="E5" s="350"/>
      <c r="G5" s="351"/>
      <c r="H5" s="351"/>
      <c r="I5" s="508"/>
      <c r="J5" s="517"/>
      <c r="L5" s="440"/>
      <c r="M5" s="440"/>
      <c r="N5" s="352"/>
      <c r="O5" s="352"/>
      <c r="Q5" s="353">
        <f t="shared" ref="Q5:Q20" si="0">IF(OR(AE5&gt;0,AC5&gt;0),Y5/(AC5+AE5),"n/a")</f>
        <v>1.4347952497019012</v>
      </c>
      <c r="R5" s="354">
        <f t="shared" ref="R5:R20" si="1">IF(OR(AC5&gt;0,AD5&gt;0),Y5/((AD5+AC5)),"n/a")</f>
        <v>2.0654089001538054</v>
      </c>
      <c r="S5" s="354">
        <f t="shared" ref="S5:S20" si="2">IF(OR(AC5&gt;0,AE5&gt;0),(Y5+Z5)/(AC5+AE5),"n/a")</f>
        <v>1.7880775977454744</v>
      </c>
      <c r="T5" s="354">
        <f t="shared" ref="T5:T20" si="3">IF(AE5&gt;0,(AD5+AA5)/AE5,"n/a")</f>
        <v>7.73621541071486</v>
      </c>
      <c r="U5" s="354">
        <f>IF(AE5&gt;0,(AD5+AB5)/AE5,"n/a")</f>
        <v>6.8077286862129611</v>
      </c>
      <c r="V5" s="354">
        <f>IF((AA5+AC5+AD5)&gt;0,Y5/(AA5+AC5+AD5),"n/a")</f>
        <v>0.29430548512097654</v>
      </c>
      <c r="W5" s="354">
        <f>IF((AB5+AC5+AD5)&gt;0,Y5/(AB5+AC5+AD5),"n/a")</f>
        <v>0.33051777744521371</v>
      </c>
      <c r="Y5" s="645">
        <f t="shared" ref="Y5:Y68" si="4">AG5+NPV(DiscountRate,AH5:AZ5)</f>
        <v>1473017.9225003892</v>
      </c>
      <c r="Z5" s="645">
        <f t="shared" ref="Z5:Z68" si="5">BB5+NPV(DiscountRate,BC5:BU5)</f>
        <v>362693.72266134998</v>
      </c>
      <c r="AA5" s="645">
        <f t="shared" ref="AA5:AA68" si="6">BW5+NPV(DiscountRate,BX5:CP5)</f>
        <v>4291879.8055480123</v>
      </c>
      <c r="AB5" s="645">
        <f t="shared" ref="AB5:AB68" si="7">CR5+NPV(DiscountRate,CS5:DK5)</f>
        <v>3743513.3650246593</v>
      </c>
      <c r="AC5" s="352">
        <f>AC6+AC41</f>
        <v>436037.46095185593</v>
      </c>
      <c r="AD5" s="352">
        <f>AD6+AD41</f>
        <v>277147.18853362731</v>
      </c>
      <c r="AE5" s="645">
        <f t="shared" ref="AE5:AE68" si="8">DM5+NPV(DiscountRate,DN5:DW5)</f>
        <v>590602.34901854186</v>
      </c>
      <c r="AG5" s="355">
        <f t="shared" ref="AG5:AZ5" si="9">AG6+AG41</f>
        <v>0</v>
      </c>
      <c r="AH5" s="355">
        <f t="shared" si="9"/>
        <v>188779.01536967722</v>
      </c>
      <c r="AI5" s="355">
        <f t="shared" si="9"/>
        <v>191610.70060022236</v>
      </c>
      <c r="AJ5" s="355">
        <f t="shared" si="9"/>
        <v>193950.71549645645</v>
      </c>
      <c r="AK5" s="355">
        <f t="shared" si="9"/>
        <v>196859.97622890328</v>
      </c>
      <c r="AL5" s="355">
        <f t="shared" si="9"/>
        <v>199812.87587233685</v>
      </c>
      <c r="AM5" s="355">
        <f t="shared" si="9"/>
        <v>176762.58475863127</v>
      </c>
      <c r="AN5" s="355">
        <f t="shared" si="9"/>
        <v>177574.08337809175</v>
      </c>
      <c r="AO5" s="355">
        <f t="shared" si="9"/>
        <v>180237.69462876313</v>
      </c>
      <c r="AP5" s="355">
        <f t="shared" si="9"/>
        <v>155707.26079418461</v>
      </c>
      <c r="AQ5" s="355">
        <f t="shared" si="9"/>
        <v>157612.82477303949</v>
      </c>
      <c r="AR5" s="355">
        <f t="shared" si="9"/>
        <v>156020.05122314612</v>
      </c>
      <c r="AS5" s="355">
        <f t="shared" si="9"/>
        <v>158065.45087567132</v>
      </c>
      <c r="AT5" s="355">
        <f t="shared" si="9"/>
        <v>160436.43263880635</v>
      </c>
      <c r="AU5" s="355">
        <f t="shared" si="9"/>
        <v>162842.97912838846</v>
      </c>
      <c r="AV5" s="355">
        <f t="shared" si="9"/>
        <v>162476.68248720802</v>
      </c>
      <c r="AW5" s="355">
        <f t="shared" si="9"/>
        <v>17713.575620016592</v>
      </c>
      <c r="AX5" s="355">
        <f t="shared" si="9"/>
        <v>17884.709224111641</v>
      </c>
      <c r="AY5" s="355">
        <f t="shared" si="9"/>
        <v>18152.979862473316</v>
      </c>
      <c r="AZ5" s="355">
        <f t="shared" si="9"/>
        <v>0</v>
      </c>
      <c r="BB5" s="355">
        <f t="shared" ref="BB5:BU5" si="10">BB6+BB41</f>
        <v>0</v>
      </c>
      <c r="BC5" s="355">
        <f t="shared" si="10"/>
        <v>50287.762588696911</v>
      </c>
      <c r="BD5" s="355">
        <f t="shared" si="10"/>
        <v>50287.762588696911</v>
      </c>
      <c r="BE5" s="355">
        <f t="shared" si="10"/>
        <v>50147.512164376909</v>
      </c>
      <c r="BF5" s="355">
        <f t="shared" si="10"/>
        <v>50147.512164376909</v>
      </c>
      <c r="BG5" s="355">
        <f t="shared" si="10"/>
        <v>50147.512164376909</v>
      </c>
      <c r="BH5" s="355">
        <f t="shared" si="10"/>
        <v>43555.354739942195</v>
      </c>
      <c r="BI5" s="355">
        <f t="shared" si="10"/>
        <v>43104.026308512577</v>
      </c>
      <c r="BJ5" s="355">
        <f t="shared" si="10"/>
        <v>43104.026308512577</v>
      </c>
      <c r="BK5" s="355">
        <f t="shared" si="10"/>
        <v>36664.677381436573</v>
      </c>
      <c r="BL5" s="355">
        <f t="shared" si="10"/>
        <v>36562.848157913373</v>
      </c>
      <c r="BM5" s="355">
        <f t="shared" si="10"/>
        <v>35640.347376670972</v>
      </c>
      <c r="BN5" s="355">
        <f t="shared" si="10"/>
        <v>35573.602022013023</v>
      </c>
      <c r="BO5" s="355">
        <f t="shared" si="10"/>
        <v>35573.602022013023</v>
      </c>
      <c r="BP5" s="355">
        <f t="shared" si="10"/>
        <v>35573.602022013023</v>
      </c>
      <c r="BQ5" s="355">
        <f t="shared" si="10"/>
        <v>34956.74794221302</v>
      </c>
      <c r="BR5" s="355">
        <f t="shared" si="10"/>
        <v>3483.7745059525223</v>
      </c>
      <c r="BS5" s="355">
        <f t="shared" si="10"/>
        <v>3463.9058748775224</v>
      </c>
      <c r="BT5" s="355">
        <f t="shared" si="10"/>
        <v>3463.9058748775224</v>
      </c>
      <c r="BU5" s="355">
        <f t="shared" si="10"/>
        <v>0</v>
      </c>
      <c r="BW5" s="355">
        <f t="shared" ref="BW5:CP5" si="11">BW6+BW41</f>
        <v>0</v>
      </c>
      <c r="BX5" s="355">
        <f t="shared" si="11"/>
        <v>557395.71466127131</v>
      </c>
      <c r="BY5" s="355">
        <f t="shared" si="11"/>
        <v>565756.65038119047</v>
      </c>
      <c r="BZ5" s="355">
        <f t="shared" si="11"/>
        <v>572516.17558081506</v>
      </c>
      <c r="CA5" s="355">
        <f t="shared" si="11"/>
        <v>581103.91821452719</v>
      </c>
      <c r="CB5" s="355">
        <f t="shared" si="11"/>
        <v>589820.47698774503</v>
      </c>
      <c r="CC5" s="355">
        <f t="shared" si="11"/>
        <v>513794.74987884692</v>
      </c>
      <c r="CD5" s="355">
        <f t="shared" si="11"/>
        <v>515617.15715686907</v>
      </c>
      <c r="CE5" s="355">
        <f t="shared" si="11"/>
        <v>523351.41451422195</v>
      </c>
      <c r="CF5" s="355">
        <f t="shared" si="11"/>
        <v>444580.55141190405</v>
      </c>
      <c r="CG5" s="355">
        <f t="shared" si="11"/>
        <v>449857.77394348651</v>
      </c>
      <c r="CH5" s="355">
        <f t="shared" si="11"/>
        <v>444594.6469452749</v>
      </c>
      <c r="CI5" s="355">
        <f t="shared" si="11"/>
        <v>450532.28075624676</v>
      </c>
      <c r="CJ5" s="355">
        <f t="shared" si="11"/>
        <v>457290.26496759034</v>
      </c>
      <c r="CK5" s="355">
        <f t="shared" si="11"/>
        <v>464149.61894210416</v>
      </c>
      <c r="CL5" s="355">
        <f t="shared" si="11"/>
        <v>462031.17049518618</v>
      </c>
      <c r="CM5" s="355">
        <f t="shared" si="11"/>
        <v>50227.780971790766</v>
      </c>
      <c r="CN5" s="355">
        <f t="shared" si="11"/>
        <v>50746.686098249396</v>
      </c>
      <c r="CO5" s="355">
        <f t="shared" si="11"/>
        <v>51507.886389723135</v>
      </c>
      <c r="CP5" s="355">
        <f t="shared" si="11"/>
        <v>0</v>
      </c>
      <c r="CR5" s="355">
        <f t="shared" ref="CR5:DK5" si="12">CR6+CR41</f>
        <v>0</v>
      </c>
      <c r="CS5" s="355">
        <f t="shared" si="12"/>
        <v>481987.74913761916</v>
      </c>
      <c r="CT5" s="355">
        <f t="shared" si="12"/>
        <v>489217.56537468347</v>
      </c>
      <c r="CU5" s="355">
        <f t="shared" si="12"/>
        <v>495151.04278112215</v>
      </c>
      <c r="CV5" s="355">
        <f t="shared" si="12"/>
        <v>502578.30842283904</v>
      </c>
      <c r="CW5" s="355">
        <f t="shared" si="12"/>
        <v>510116.98304918146</v>
      </c>
      <c r="CX5" s="355">
        <f t="shared" si="12"/>
        <v>448723.82168778568</v>
      </c>
      <c r="CY5" s="355">
        <f t="shared" si="12"/>
        <v>450658.78511182696</v>
      </c>
      <c r="CZ5" s="355">
        <f t="shared" si="12"/>
        <v>457418.66688850429</v>
      </c>
      <c r="DA5" s="355">
        <f t="shared" si="12"/>
        <v>393766.12962457997</v>
      </c>
      <c r="DB5" s="355">
        <f t="shared" si="12"/>
        <v>398540.63639853318</v>
      </c>
      <c r="DC5" s="355">
        <f t="shared" si="12"/>
        <v>394234.54146025644</v>
      </c>
      <c r="DD5" s="355">
        <f t="shared" si="12"/>
        <v>399416.77368895308</v>
      </c>
      <c r="DE5" s="355">
        <f t="shared" si="12"/>
        <v>405408.0252942873</v>
      </c>
      <c r="DF5" s="355">
        <f t="shared" si="12"/>
        <v>411489.14567370154</v>
      </c>
      <c r="DG5" s="355">
        <f t="shared" si="12"/>
        <v>410274.26413558028</v>
      </c>
      <c r="DH5" s="355">
        <f t="shared" si="12"/>
        <v>42055.980902648502</v>
      </c>
      <c r="DI5" s="355">
        <f t="shared" si="12"/>
        <v>42452.309028069998</v>
      </c>
      <c r="DJ5" s="355">
        <f t="shared" si="12"/>
        <v>43089.093663491047</v>
      </c>
      <c r="DK5" s="355">
        <f t="shared" si="12"/>
        <v>0</v>
      </c>
      <c r="DM5" s="355">
        <f t="shared" ref="DM5:DW5" si="13">DM6+DM41</f>
        <v>0</v>
      </c>
      <c r="DN5" s="355">
        <f t="shared" si="13"/>
        <v>679142.78448317293</v>
      </c>
      <c r="DO5" s="355">
        <f t="shared" si="13"/>
        <v>0</v>
      </c>
      <c r="DP5" s="355">
        <f t="shared" si="13"/>
        <v>0</v>
      </c>
      <c r="DQ5" s="355">
        <f t="shared" si="13"/>
        <v>0</v>
      </c>
      <c r="DR5" s="355">
        <f t="shared" si="13"/>
        <v>0</v>
      </c>
      <c r="DS5" s="355">
        <f t="shared" si="13"/>
        <v>0</v>
      </c>
      <c r="DT5" s="355">
        <f t="shared" si="13"/>
        <v>-14256</v>
      </c>
      <c r="DU5" s="355">
        <f t="shared" si="13"/>
        <v>0</v>
      </c>
      <c r="DV5" s="355">
        <f t="shared" si="13"/>
        <v>-54658.547274505807</v>
      </c>
      <c r="DW5" s="355">
        <f t="shared" si="13"/>
        <v>0</v>
      </c>
      <c r="DX5" s="219"/>
      <c r="DY5" s="219"/>
      <c r="DZ5" s="219"/>
      <c r="EA5" s="219"/>
      <c r="EB5" s="219"/>
      <c r="EC5" s="219"/>
      <c r="ED5" s="219"/>
      <c r="EE5" s="219"/>
      <c r="EF5" s="219"/>
      <c r="FO5" s="195"/>
    </row>
    <row r="6" spans="1:171">
      <c r="A6" s="343"/>
      <c r="B6" s="340" t="str">
        <f>'Portfolio Inputs'!A5</f>
        <v>Residential Programs</v>
      </c>
      <c r="C6" s="350"/>
      <c r="D6" s="350"/>
      <c r="E6" s="350"/>
      <c r="G6" s="351"/>
      <c r="H6" s="351"/>
      <c r="I6" s="508"/>
      <c r="J6" s="517"/>
      <c r="L6" s="440"/>
      <c r="M6" s="440"/>
      <c r="N6" s="352"/>
      <c r="O6" s="352"/>
      <c r="Q6" s="353">
        <f t="shared" si="0"/>
        <v>1.2512654865713042</v>
      </c>
      <c r="R6" s="354">
        <f t="shared" si="1"/>
        <v>1.7960181784028528</v>
      </c>
      <c r="S6" s="354">
        <f t="shared" si="2"/>
        <v>1.5598901298330814</v>
      </c>
      <c r="T6" s="354">
        <f t="shared" si="3"/>
        <v>6.6151578228103851</v>
      </c>
      <c r="U6" s="354">
        <f>IF(AE6&gt;0,(AD6+AB6)/AE6,"n/a")</f>
        <v>5.4801947767258659</v>
      </c>
      <c r="V6" s="354">
        <f>IF((AA6+AC6+AD6)&gt;0,Y6/(AA6+AC6+AD6),"n/a")</f>
        <v>0.2709377765448584</v>
      </c>
      <c r="W6" s="354">
        <f>IF((AB6+AC6+AD6)&gt;0,Y6/(AB6+AC6+AD6),"n/a")</f>
        <v>0.32191592092827337</v>
      </c>
      <c r="Y6" s="645">
        <f t="shared" si="4"/>
        <v>488839.5685646286</v>
      </c>
      <c r="Z6" s="645">
        <f t="shared" si="5"/>
        <v>120572.28388349878</v>
      </c>
      <c r="AA6" s="645">
        <f t="shared" si="6"/>
        <v>1532070.6816397959</v>
      </c>
      <c r="AB6" s="645">
        <f t="shared" si="7"/>
        <v>1246352.1847862529</v>
      </c>
      <c r="AC6" s="352">
        <f>AC7+AC13+AC16+AC24+AC33+AC34+AC35</f>
        <v>138933.58370084525</v>
      </c>
      <c r="AD6" s="352">
        <f>AD7+AD13+AD16+AD24+AD33+AD34+AD35</f>
        <v>133246.04924660051</v>
      </c>
      <c r="AE6" s="645">
        <f t="shared" si="8"/>
        <v>251742.55482523059</v>
      </c>
      <c r="AG6" s="355">
        <f t="shared" ref="AG6:AZ6" si="14">AG7+AG13+AG16+AG24+AG33+AG34+AG35</f>
        <v>0</v>
      </c>
      <c r="AH6" s="355">
        <f t="shared" si="14"/>
        <v>77400.597745038525</v>
      </c>
      <c r="AI6" s="355">
        <f t="shared" si="14"/>
        <v>78561.606711214088</v>
      </c>
      <c r="AJ6" s="355">
        <f t="shared" si="14"/>
        <v>79205.88519911308</v>
      </c>
      <c r="AK6" s="355">
        <f t="shared" si="14"/>
        <v>80393.973477099775</v>
      </c>
      <c r="AL6" s="355">
        <f t="shared" si="14"/>
        <v>81599.883079256295</v>
      </c>
      <c r="AM6" s="355">
        <f t="shared" si="14"/>
        <v>56776.397073654523</v>
      </c>
      <c r="AN6" s="355">
        <f t="shared" si="14"/>
        <v>55807.116720270897</v>
      </c>
      <c r="AO6" s="355">
        <f t="shared" si="14"/>
        <v>56644.223471074962</v>
      </c>
      <c r="AP6" s="355">
        <f t="shared" si="14"/>
        <v>30356.6881161659</v>
      </c>
      <c r="AQ6" s="355">
        <f t="shared" si="14"/>
        <v>30381.99350485051</v>
      </c>
      <c r="AR6" s="355">
        <f t="shared" si="14"/>
        <v>27990.402153877836</v>
      </c>
      <c r="AS6" s="355">
        <f t="shared" si="14"/>
        <v>28410.258186186005</v>
      </c>
      <c r="AT6" s="355">
        <f t="shared" si="14"/>
        <v>28836.412058978793</v>
      </c>
      <c r="AU6" s="355">
        <f t="shared" si="14"/>
        <v>29268.958239863467</v>
      </c>
      <c r="AV6" s="355">
        <f t="shared" si="14"/>
        <v>26899.051285355185</v>
      </c>
      <c r="AW6" s="355">
        <f t="shared" si="14"/>
        <v>15128.972035886294</v>
      </c>
      <c r="AX6" s="355">
        <f t="shared" si="14"/>
        <v>15355.906616424589</v>
      </c>
      <c r="AY6" s="355">
        <f t="shared" si="14"/>
        <v>15586.245215670955</v>
      </c>
      <c r="AZ6" s="355">
        <f t="shared" si="14"/>
        <v>0</v>
      </c>
      <c r="BB6" s="355">
        <f t="shared" ref="BB6:BU6" si="15">BB7+BB13+BB16+BB24+BB33+BB34+BB35</f>
        <v>0</v>
      </c>
      <c r="BC6" s="355">
        <f t="shared" si="15"/>
        <v>20508.144405475159</v>
      </c>
      <c r="BD6" s="355">
        <f t="shared" si="15"/>
        <v>20508.144405475159</v>
      </c>
      <c r="BE6" s="355">
        <f t="shared" si="15"/>
        <v>20367.893981155157</v>
      </c>
      <c r="BF6" s="355">
        <f t="shared" si="15"/>
        <v>20367.893981155157</v>
      </c>
      <c r="BG6" s="355">
        <f t="shared" si="15"/>
        <v>20367.893981155157</v>
      </c>
      <c r="BH6" s="355">
        <f t="shared" si="15"/>
        <v>13775.73655672044</v>
      </c>
      <c r="BI6" s="355">
        <f t="shared" si="15"/>
        <v>13329.044139208327</v>
      </c>
      <c r="BJ6" s="355">
        <f t="shared" si="15"/>
        <v>13329.044139208327</v>
      </c>
      <c r="BK6" s="355">
        <f t="shared" si="15"/>
        <v>6913.6496465843265</v>
      </c>
      <c r="BL6" s="355">
        <f t="shared" si="15"/>
        <v>6811.82042306112</v>
      </c>
      <c r="BM6" s="355">
        <f t="shared" si="15"/>
        <v>6144.234178510972</v>
      </c>
      <c r="BN6" s="355">
        <f t="shared" si="15"/>
        <v>6144.234178510972</v>
      </c>
      <c r="BO6" s="355">
        <f t="shared" si="15"/>
        <v>6144.234178510972</v>
      </c>
      <c r="BP6" s="355">
        <f t="shared" si="15"/>
        <v>6144.234178510972</v>
      </c>
      <c r="BQ6" s="355">
        <f t="shared" si="15"/>
        <v>5527.3800987109717</v>
      </c>
      <c r="BR6" s="355">
        <f t="shared" si="15"/>
        <v>2932.6186799320221</v>
      </c>
      <c r="BS6" s="355">
        <f t="shared" si="15"/>
        <v>2932.6186799320221</v>
      </c>
      <c r="BT6" s="355">
        <f t="shared" si="15"/>
        <v>2932.6186799320221</v>
      </c>
      <c r="BU6" s="355">
        <f t="shared" si="15"/>
        <v>0</v>
      </c>
      <c r="BW6" s="355">
        <f t="shared" ref="BW6:CP6" si="16">BW7+BW13+BW16+BW24+BW33+BW34+BW35</f>
        <v>0</v>
      </c>
      <c r="BX6" s="355">
        <f t="shared" si="16"/>
        <v>245097.17992052803</v>
      </c>
      <c r="BY6" s="355">
        <f t="shared" si="16"/>
        <v>248773.6376193359</v>
      </c>
      <c r="BZ6" s="355">
        <f t="shared" si="16"/>
        <v>250778.41762753282</v>
      </c>
      <c r="CA6" s="355">
        <f t="shared" si="16"/>
        <v>254540.09389194575</v>
      </c>
      <c r="CB6" s="355">
        <f t="shared" si="16"/>
        <v>258358.19530032491</v>
      </c>
      <c r="CC6" s="355">
        <f t="shared" si="16"/>
        <v>177360.53396611559</v>
      </c>
      <c r="CD6" s="355">
        <f t="shared" si="16"/>
        <v>174183.57789399949</v>
      </c>
      <c r="CE6" s="355">
        <f t="shared" si="16"/>
        <v>176796.33156240941</v>
      </c>
      <c r="CF6" s="355">
        <f t="shared" si="16"/>
        <v>93078.130786796421</v>
      </c>
      <c r="CG6" s="355">
        <f t="shared" si="16"/>
        <v>93082.817009002218</v>
      </c>
      <c r="CH6" s="355">
        <f t="shared" si="16"/>
        <v>85219.725276229161</v>
      </c>
      <c r="CI6" s="355">
        <f t="shared" si="16"/>
        <v>86498.021155372582</v>
      </c>
      <c r="CJ6" s="355">
        <f t="shared" si="16"/>
        <v>87795.491472703143</v>
      </c>
      <c r="CK6" s="355">
        <f t="shared" si="16"/>
        <v>89112.42384479368</v>
      </c>
      <c r="CL6" s="355">
        <f t="shared" si="16"/>
        <v>81368.417471416062</v>
      </c>
      <c r="CM6" s="355">
        <f t="shared" si="16"/>
        <v>43818.567716224716</v>
      </c>
      <c r="CN6" s="355">
        <f t="shared" si="16"/>
        <v>44475.846231968077</v>
      </c>
      <c r="CO6" s="355">
        <f t="shared" si="16"/>
        <v>45142.983925447596</v>
      </c>
      <c r="CP6" s="355">
        <f t="shared" si="16"/>
        <v>0</v>
      </c>
      <c r="CR6" s="355">
        <f t="shared" ref="CR6:DK6" si="17">CR7+CR13+CR16+CR24+CR33+CR34+CR35</f>
        <v>0</v>
      </c>
      <c r="CS6" s="355">
        <f t="shared" si="17"/>
        <v>199388.58522633091</v>
      </c>
      <c r="CT6" s="355">
        <f t="shared" si="17"/>
        <v>202379.41400472584</v>
      </c>
      <c r="CU6" s="355">
        <f t="shared" si="17"/>
        <v>204010.31914061526</v>
      </c>
      <c r="CV6" s="355">
        <f t="shared" si="17"/>
        <v>207070.4739277245</v>
      </c>
      <c r="CW6" s="355">
        <f t="shared" si="17"/>
        <v>210176.53103664034</v>
      </c>
      <c r="CX6" s="355">
        <f t="shared" si="17"/>
        <v>144284.26289505637</v>
      </c>
      <c r="CY6" s="355">
        <f t="shared" si="17"/>
        <v>141699.78282575964</v>
      </c>
      <c r="CZ6" s="355">
        <f t="shared" si="17"/>
        <v>143825.27956814601</v>
      </c>
      <c r="DA6" s="355">
        <f t="shared" si="17"/>
        <v>75719.830065398302</v>
      </c>
      <c r="DB6" s="355">
        <f t="shared" si="17"/>
        <v>75723.642345963788</v>
      </c>
      <c r="DC6" s="355">
        <f t="shared" si="17"/>
        <v>69326.95211635431</v>
      </c>
      <c r="DD6" s="355">
        <f t="shared" si="17"/>
        <v>70366.856398099611</v>
      </c>
      <c r="DE6" s="355">
        <f t="shared" si="17"/>
        <v>71422.359244071107</v>
      </c>
      <c r="DF6" s="355">
        <f t="shared" si="17"/>
        <v>72493.694632732164</v>
      </c>
      <c r="DG6" s="355">
        <f t="shared" si="17"/>
        <v>66193.881328996402</v>
      </c>
      <c r="DH6" s="355">
        <f t="shared" si="17"/>
        <v>35646.767647082444</v>
      </c>
      <c r="DI6" s="355">
        <f t="shared" si="17"/>
        <v>36181.469161788678</v>
      </c>
      <c r="DJ6" s="355">
        <f t="shared" si="17"/>
        <v>36724.191199215507</v>
      </c>
      <c r="DK6" s="355">
        <f t="shared" si="17"/>
        <v>0</v>
      </c>
      <c r="DM6" s="355">
        <f t="shared" ref="DM6:DW6" si="18">DM7+DM13+DM16+DM24+DM33+DM34+DM35</f>
        <v>0</v>
      </c>
      <c r="DN6" s="355">
        <f t="shared" si="18"/>
        <v>310327.78448317293</v>
      </c>
      <c r="DO6" s="355">
        <f t="shared" si="18"/>
        <v>0</v>
      </c>
      <c r="DP6" s="355">
        <f t="shared" si="18"/>
        <v>0</v>
      </c>
      <c r="DQ6" s="355">
        <f t="shared" si="18"/>
        <v>0</v>
      </c>
      <c r="DR6" s="355">
        <f t="shared" si="18"/>
        <v>0</v>
      </c>
      <c r="DS6" s="355">
        <f t="shared" si="18"/>
        <v>0</v>
      </c>
      <c r="DT6" s="355">
        <f t="shared" si="18"/>
        <v>-14256</v>
      </c>
      <c r="DU6" s="355">
        <f t="shared" si="18"/>
        <v>0</v>
      </c>
      <c r="DV6" s="355">
        <f t="shared" si="18"/>
        <v>-54658.547274505807</v>
      </c>
      <c r="DW6" s="355">
        <f t="shared" si="18"/>
        <v>0</v>
      </c>
      <c r="DY6" s="219"/>
      <c r="DZ6" s="219"/>
      <c r="EA6" s="219"/>
      <c r="EB6" s="219"/>
      <c r="EC6" s="219"/>
      <c r="ED6" s="219"/>
      <c r="EE6" s="219"/>
      <c r="EF6" s="219"/>
      <c r="FO6" s="195"/>
    </row>
    <row r="7" spans="1:171">
      <c r="A7" s="441" t="s">
        <v>12</v>
      </c>
      <c r="B7" s="426" t="str">
        <f>'Portfolio Inputs'!A6</f>
        <v>Residential Lighting &amp; Appliances</v>
      </c>
      <c r="C7" s="356">
        <f>IF($C$1=2014,'Portfolio Inputs'!$C6,IF($C$1=2015,'Portfolio Inputs'!$D6,'Portfolio Inputs'!$E6))</f>
        <v>14190</v>
      </c>
      <c r="D7" s="503"/>
      <c r="E7" s="503"/>
      <c r="G7" s="513">
        <f t="shared" ref="G7:I7" si="19">SUM(G8:G12)</f>
        <v>531285.65062049998</v>
      </c>
      <c r="H7" s="513"/>
      <c r="I7" s="509">
        <f t="shared" si="19"/>
        <v>47.065074619203507</v>
      </c>
      <c r="J7" s="509"/>
      <c r="L7" s="453"/>
      <c r="M7" s="453"/>
      <c r="N7" s="453">
        <f>IF($C$1=2014,'Portfolio Inputs'!$W6,IF($C$1=2015,'Portfolio Inputs'!$X6,'Portfolio Inputs'!$Y6))</f>
        <v>42900</v>
      </c>
      <c r="O7" s="453">
        <f>IF($C$1=2014,'Portfolio Inputs'!$AA6,IF($C$1=2015,'Portfolio Inputs'!$AB6,'Portfolio Inputs'!$AC6))</f>
        <v>0</v>
      </c>
      <c r="Q7" s="442">
        <f t="shared" si="0"/>
        <v>1.8927575668454002</v>
      </c>
      <c r="R7" s="443">
        <f t="shared" si="1"/>
        <v>2.7067756812579327</v>
      </c>
      <c r="S7" s="443">
        <f t="shared" si="2"/>
        <v>2.38844153787963</v>
      </c>
      <c r="T7" s="443">
        <f t="shared" si="3"/>
        <v>6.872546557030776</v>
      </c>
      <c r="U7" s="443">
        <f>IF(AE7&gt;0,(AD7+AB7)/AE7,"n/a")</f>
        <v>5.7212809407374809</v>
      </c>
      <c r="V7" s="522">
        <f>IF((AA7+AC7+AD7)&gt;0,Y7/(AA7+AC7+AD7),"n/a")</f>
        <v>0.27540847503012766</v>
      </c>
      <c r="W7" s="522">
        <f>IF((AB7+AC7+AD7)&gt;0,Y7/(AB7+AC7+AD7),"n/a")</f>
        <v>0.33082758676790675</v>
      </c>
      <c r="Y7" s="444">
        <f t="shared" si="4"/>
        <v>106689.33914550285</v>
      </c>
      <c r="Z7" s="444">
        <f t="shared" si="5"/>
        <v>27940.289988009914</v>
      </c>
      <c r="AA7" s="444">
        <f t="shared" si="6"/>
        <v>347970.16838831134</v>
      </c>
      <c r="AB7" s="444">
        <f t="shared" si="7"/>
        <v>283076.61311488831</v>
      </c>
      <c r="AC7" s="445">
        <f t="shared" ref="AC7:AC91" si="20">O7/((1+DiscountRate)^(IF($C$1=2015,1,IF($C$1=2016,2,0))))</f>
        <v>0</v>
      </c>
      <c r="AD7" s="445">
        <f t="shared" ref="AD7:AD91" si="21">N7/((1+DiscountRate)^(IF($C$1=2015,1,IF($C$1=2016,2,0))))</f>
        <v>39415.656008820282</v>
      </c>
      <c r="AE7" s="526">
        <f t="shared" si="8"/>
        <v>56367.144432194043</v>
      </c>
      <c r="AG7" s="446">
        <f>SUM(AG8:AG12)</f>
        <v>0</v>
      </c>
      <c r="AH7" s="446">
        <f t="shared" ref="AH7:AZ7" si="22">SUM(AH8:AH12)</f>
        <v>22184.28840189358</v>
      </c>
      <c r="AI7" s="446">
        <f t="shared" si="22"/>
        <v>22517.052727921986</v>
      </c>
      <c r="AJ7" s="446">
        <f t="shared" si="22"/>
        <v>22854.808518840808</v>
      </c>
      <c r="AK7" s="446">
        <f t="shared" si="22"/>
        <v>23197.630646623416</v>
      </c>
      <c r="AL7" s="446">
        <f t="shared" si="22"/>
        <v>23545.595106322769</v>
      </c>
      <c r="AM7" s="446">
        <f t="shared" si="22"/>
        <v>5837.4241913302312</v>
      </c>
      <c r="AN7" s="446">
        <f t="shared" si="22"/>
        <v>5924.9855542001842</v>
      </c>
      <c r="AO7" s="446">
        <f t="shared" si="22"/>
        <v>6013.8603375131861</v>
      </c>
      <c r="AP7" s="446">
        <f t="shared" si="22"/>
        <v>4458.7855214095071</v>
      </c>
      <c r="AQ7" s="446">
        <f t="shared" si="22"/>
        <v>4525.6673042306502</v>
      </c>
      <c r="AR7" s="446">
        <f t="shared" si="22"/>
        <v>2646.5402231423432</v>
      </c>
      <c r="AS7" s="446">
        <f t="shared" si="22"/>
        <v>2686.2383264894784</v>
      </c>
      <c r="AT7" s="446">
        <f t="shared" si="22"/>
        <v>2726.5319013868202</v>
      </c>
      <c r="AU7" s="446">
        <f t="shared" si="22"/>
        <v>2767.4298799076228</v>
      </c>
      <c r="AV7" s="446">
        <f t="shared" si="22"/>
        <v>0</v>
      </c>
      <c r="AW7" s="446">
        <f t="shared" si="22"/>
        <v>0</v>
      </c>
      <c r="AX7" s="446">
        <f t="shared" si="22"/>
        <v>0</v>
      </c>
      <c r="AY7" s="446">
        <f t="shared" si="22"/>
        <v>0</v>
      </c>
      <c r="AZ7" s="446">
        <f t="shared" si="22"/>
        <v>0</v>
      </c>
      <c r="BB7" s="446">
        <f>SUM(BB8:BB12)</f>
        <v>0</v>
      </c>
      <c r="BC7" s="446">
        <f t="shared" ref="BC7:BU7" si="23">SUM(BC8:BC12)</f>
        <v>6056.6564170737001</v>
      </c>
      <c r="BD7" s="446">
        <f t="shared" si="23"/>
        <v>6056.6564170737001</v>
      </c>
      <c r="BE7" s="446">
        <f t="shared" si="23"/>
        <v>6056.6564170737001</v>
      </c>
      <c r="BF7" s="446">
        <f t="shared" si="23"/>
        <v>6056.6564170737001</v>
      </c>
      <c r="BG7" s="446">
        <f t="shared" si="23"/>
        <v>6056.6564170737001</v>
      </c>
      <c r="BH7" s="446">
        <f t="shared" si="23"/>
        <v>1483.1432718912001</v>
      </c>
      <c r="BI7" s="446">
        <f t="shared" si="23"/>
        <v>1483.1432718912001</v>
      </c>
      <c r="BJ7" s="446">
        <f t="shared" si="23"/>
        <v>1483.1432718912001</v>
      </c>
      <c r="BK7" s="446">
        <f t="shared" si="23"/>
        <v>1071.4476903912</v>
      </c>
      <c r="BL7" s="446">
        <f t="shared" si="23"/>
        <v>1071.4476903912</v>
      </c>
      <c r="BM7" s="446">
        <f t="shared" si="23"/>
        <v>616.85407980000014</v>
      </c>
      <c r="BN7" s="446">
        <f t="shared" si="23"/>
        <v>616.85407980000014</v>
      </c>
      <c r="BO7" s="446">
        <f t="shared" si="23"/>
        <v>616.85407980000014</v>
      </c>
      <c r="BP7" s="446">
        <f t="shared" si="23"/>
        <v>616.85407980000014</v>
      </c>
      <c r="BQ7" s="446">
        <f t="shared" si="23"/>
        <v>0</v>
      </c>
      <c r="BR7" s="446">
        <f t="shared" si="23"/>
        <v>0</v>
      </c>
      <c r="BS7" s="446">
        <f t="shared" si="23"/>
        <v>0</v>
      </c>
      <c r="BT7" s="446">
        <f t="shared" si="23"/>
        <v>0</v>
      </c>
      <c r="BU7" s="446">
        <f t="shared" si="23"/>
        <v>0</v>
      </c>
      <c r="BW7" s="446">
        <f>SUM(BW8:BW12)</f>
        <v>0</v>
      </c>
      <c r="BX7" s="446">
        <f t="shared" ref="BX7:CP7" si="24">SUM(BX8:BX12)</f>
        <v>72384.384380286385</v>
      </c>
      <c r="BY7" s="446">
        <f t="shared" si="24"/>
        <v>73470.150145990672</v>
      </c>
      <c r="BZ7" s="446">
        <f t="shared" si="24"/>
        <v>74572.202398180525</v>
      </c>
      <c r="CA7" s="446">
        <f t="shared" si="24"/>
        <v>75690.785434153222</v>
      </c>
      <c r="CB7" s="446">
        <f t="shared" si="24"/>
        <v>76826.147215665522</v>
      </c>
      <c r="CC7" s="446">
        <f t="shared" si="24"/>
        <v>19095.246309900322</v>
      </c>
      <c r="CD7" s="446">
        <f t="shared" si="24"/>
        <v>19381.67500454883</v>
      </c>
      <c r="CE7" s="446">
        <f t="shared" si="24"/>
        <v>19672.400129617057</v>
      </c>
      <c r="CF7" s="446">
        <f t="shared" si="24"/>
        <v>14424.848431061828</v>
      </c>
      <c r="CG7" s="446">
        <f t="shared" si="24"/>
        <v>14641.221157527754</v>
      </c>
      <c r="CH7" s="446">
        <f t="shared" si="24"/>
        <v>8555.6854912741619</v>
      </c>
      <c r="CI7" s="446">
        <f t="shared" si="24"/>
        <v>8684.0207736432749</v>
      </c>
      <c r="CJ7" s="446">
        <f t="shared" si="24"/>
        <v>8814.2810852479215</v>
      </c>
      <c r="CK7" s="446">
        <f t="shared" si="24"/>
        <v>8946.4953015266401</v>
      </c>
      <c r="CL7" s="446">
        <f t="shared" si="24"/>
        <v>0</v>
      </c>
      <c r="CM7" s="446">
        <f t="shared" si="24"/>
        <v>0</v>
      </c>
      <c r="CN7" s="446">
        <f t="shared" si="24"/>
        <v>0</v>
      </c>
      <c r="CO7" s="446">
        <f t="shared" si="24"/>
        <v>0</v>
      </c>
      <c r="CP7" s="446">
        <f t="shared" si="24"/>
        <v>0</v>
      </c>
      <c r="CR7" s="446">
        <f>SUM(CR8:CR12)</f>
        <v>0</v>
      </c>
      <c r="CS7" s="446">
        <f t="shared" ref="CS7:DK7" si="25">SUM(CS8:CS12)</f>
        <v>58885.296023169089</v>
      </c>
      <c r="CT7" s="446">
        <f t="shared" si="25"/>
        <v>59768.575463516609</v>
      </c>
      <c r="CU7" s="446">
        <f t="shared" si="25"/>
        <v>60665.104095469353</v>
      </c>
      <c r="CV7" s="446">
        <f t="shared" si="25"/>
        <v>61575.080656901388</v>
      </c>
      <c r="CW7" s="446">
        <f t="shared" si="25"/>
        <v>62498.70686675491</v>
      </c>
      <c r="CX7" s="446">
        <f t="shared" si="25"/>
        <v>15534.140978341205</v>
      </c>
      <c r="CY7" s="446">
        <f t="shared" si="25"/>
        <v>15767.153093016321</v>
      </c>
      <c r="CZ7" s="446">
        <f t="shared" si="25"/>
        <v>16003.660389411565</v>
      </c>
      <c r="DA7" s="446">
        <f t="shared" si="25"/>
        <v>11734.733633843767</v>
      </c>
      <c r="DB7" s="446">
        <f t="shared" si="25"/>
        <v>11910.75463835142</v>
      </c>
      <c r="DC7" s="446">
        <f t="shared" si="25"/>
        <v>6960.120986703052</v>
      </c>
      <c r="DD7" s="446">
        <f t="shared" si="25"/>
        <v>7064.5228015035982</v>
      </c>
      <c r="DE7" s="446">
        <f t="shared" si="25"/>
        <v>7170.4906435261519</v>
      </c>
      <c r="DF7" s="446">
        <f t="shared" si="25"/>
        <v>7278.048003179043</v>
      </c>
      <c r="DG7" s="446">
        <f t="shared" si="25"/>
        <v>0</v>
      </c>
      <c r="DH7" s="446">
        <f t="shared" si="25"/>
        <v>0</v>
      </c>
      <c r="DI7" s="446">
        <f t="shared" si="25"/>
        <v>0</v>
      </c>
      <c r="DJ7" s="446">
        <f t="shared" si="25"/>
        <v>0</v>
      </c>
      <c r="DK7" s="446">
        <f t="shared" si="25"/>
        <v>0</v>
      </c>
      <c r="DM7" s="446">
        <f t="shared" ref="DM7:DW7" si="26">SUM(DM8:DM12)</f>
        <v>0</v>
      </c>
      <c r="DN7" s="446">
        <f t="shared" si="26"/>
        <v>61350</v>
      </c>
      <c r="DO7" s="446">
        <f t="shared" si="26"/>
        <v>0</v>
      </c>
      <c r="DP7" s="446">
        <f t="shared" si="26"/>
        <v>0</v>
      </c>
      <c r="DQ7" s="446">
        <f t="shared" si="26"/>
        <v>0</v>
      </c>
      <c r="DR7" s="446">
        <f t="shared" si="26"/>
        <v>0</v>
      </c>
      <c r="DS7" s="446">
        <f t="shared" si="26"/>
        <v>0</v>
      </c>
      <c r="DT7" s="446">
        <f t="shared" si="26"/>
        <v>0</v>
      </c>
      <c r="DU7" s="446">
        <f t="shared" si="26"/>
        <v>0</v>
      </c>
      <c r="DV7" s="446">
        <f t="shared" si="26"/>
        <v>0</v>
      </c>
      <c r="DW7" s="446">
        <f t="shared" si="26"/>
        <v>0</v>
      </c>
      <c r="DY7" s="219"/>
      <c r="DZ7" s="650"/>
      <c r="EA7" s="219"/>
      <c r="EB7" s="219"/>
      <c r="EC7" s="219"/>
      <c r="ED7" s="219"/>
      <c r="EE7" s="219"/>
      <c r="EF7" s="219"/>
      <c r="FO7" s="195"/>
    </row>
    <row r="8" spans="1:171">
      <c r="A8" s="341" t="s">
        <v>12</v>
      </c>
      <c r="B8" s="427" t="str">
        <f>'Portfolio Inputs'!A7</f>
        <v>CFL</v>
      </c>
      <c r="C8" s="217">
        <f>IF($C$1=2014,'Portfolio Inputs'!$C7,IF($C$1=2015,'Portfolio Inputs'!$D7,'Portfolio Inputs'!$E7))</f>
        <v>12500</v>
      </c>
      <c r="D8" s="504">
        <f>VLOOKUP(B8,Sources!$B$4:$J$104,2,FALSE)</f>
        <v>5</v>
      </c>
      <c r="E8" s="504">
        <f>VLOOKUP(B8,Sources!$B$4:$J$104,3,FALSE)</f>
        <v>0</v>
      </c>
      <c r="G8" s="504">
        <f>IF($C$1=2014,'Portfolio Inputs'!$G7,IF($C$1=2015,'Portfolio Inputs'!$H7,'Portfolio Inputs'!$I7))*EnergyLineLoss</f>
        <v>401185.36361250002</v>
      </c>
      <c r="H8" s="504"/>
      <c r="I8" s="504">
        <f>IF($C$1=2014,'Portfolio Inputs'!$K7,IF($C$1=2015,'Portfolio Inputs'!$L7,'Portfolio Inputs'!$M7))*PeakLineLoss</f>
        <v>36.447830268749996</v>
      </c>
      <c r="J8" s="510"/>
      <c r="L8" s="606">
        <f>IF($C$1=2014,'Portfolio Inputs'!$O7,IF($C$1=2015,'Portfolio Inputs'!$P7,'Portfolio Inputs'!$Q7))</f>
        <v>1.5</v>
      </c>
      <c r="M8" s="518">
        <f>VLOOKUP($B8,Sources!$B$4:$K$104,10,FALSE)</f>
        <v>0</v>
      </c>
      <c r="N8" s="419">
        <f>IF($C$1=2014,'Portfolio Inputs'!$W7,IF($C$1=2015,'Portfolio Inputs'!$X7,'Portfolio Inputs'!$Y7))</f>
        <v>12500</v>
      </c>
      <c r="O8" s="419"/>
      <c r="Q8" s="438">
        <f t="shared" si="0"/>
        <v>3.9071380143682126</v>
      </c>
      <c r="R8" s="439">
        <f t="shared" si="1"/>
        <v>5.8607070215523196</v>
      </c>
      <c r="S8" s="439">
        <f t="shared" si="2"/>
        <v>4.9440766979817798</v>
      </c>
      <c r="T8" s="439">
        <f t="shared" si="3"/>
        <v>13.404645348484983</v>
      </c>
      <c r="U8" s="439">
        <f>IF(AE8&gt;0,(AD8+AB8)/AE8,"n/a")</f>
        <v>11.029117792519855</v>
      </c>
      <c r="V8" s="439">
        <f>IF((AA8+AC8+AD8)&gt;0,Y8/(AA8+AC8+AD8),"n/a")</f>
        <v>0.2914764182709097</v>
      </c>
      <c r="W8" s="439">
        <f>IF((AB8+AC8+AD8)&gt;0,Y8/(AB8+AC8+AD8),"n/a")</f>
        <v>0.35425662214053999</v>
      </c>
      <c r="X8" s="194"/>
      <c r="Y8" s="215">
        <f t="shared" si="4"/>
        <v>67308.7447348438</v>
      </c>
      <c r="Z8" s="215">
        <f t="shared" si="5"/>
        <v>17863.469604698985</v>
      </c>
      <c r="AA8" s="215">
        <f t="shared" si="6"/>
        <v>219438.71764433431</v>
      </c>
      <c r="AB8" s="215">
        <f t="shared" si="7"/>
        <v>178515.21371715114</v>
      </c>
      <c r="AC8" s="216">
        <f t="shared" si="20"/>
        <v>0</v>
      </c>
      <c r="AD8" s="216">
        <f t="shared" si="21"/>
        <v>11484.748254318265</v>
      </c>
      <c r="AE8" s="215">
        <f t="shared" si="8"/>
        <v>17227.122381477398</v>
      </c>
      <c r="AG8" s="214">
        <f>IF(AND(($E8+$C$1)&gt;AG$4,AG$4&gt;=$C$1),'General Inputs'!D$9*$H8,IF(AND(($D8+$C$1)&gt;AG$4,AG$4&gt;=$C$1),'General Inputs'!D$9*$G8,0))+IF(AND(($E8+$C$1)&gt;AG$4,AG$4&gt;=$C$1),'General Inputs'!D$10*$J8,IF(AND(($D8+$C$1)&gt;AG$4,AG$4&gt;=$C$1),'General Inputs'!D$10*$I8,0))</f>
        <v>0</v>
      </c>
      <c r="AH8" s="214">
        <f>IF(AND(($E8+$C$1)&gt;AH$4,AH$4&gt;=$C$1),'General Inputs'!E$9*$H8,IF(AND(($D8+$C$1)&gt;AH$4,AH$4&gt;=$C$1),'General Inputs'!E$9*$G8,0))+IF(AND(($E8+$C$1)&gt;AH$4,AH$4&gt;=$C$1),'General Inputs'!E$10*$J8,IF(AND(($D8+$C$1)&gt;AH$4,AH$4&gt;=$C$1),'General Inputs'!E$10*$I8,0))</f>
        <v>16765.639122518627</v>
      </c>
      <c r="AI8" s="214">
        <f>IF(AND(($E8+$C$1)&gt;AI$4,AI$4&gt;=$C$1),'General Inputs'!F$9*$H8,IF(AND(($D8+$C$1)&gt;AI$4,AI$4&gt;=$C$1),'General Inputs'!F$9*$G8,0))+IF(AND(($E8+$C$1)&gt;AI$4,AI$4&gt;=$C$1),'General Inputs'!F$10*$J8,IF(AND(($D8+$C$1)&gt;AI$4,AI$4&gt;=$C$1),'General Inputs'!F$10*$I8,0))</f>
        <v>17017.123709356405</v>
      </c>
      <c r="AJ8" s="214">
        <f>IF(AND(($E8+$C$1)&gt;AJ$4,AJ$4&gt;=$C$1),'General Inputs'!G$9*$H8,IF(AND(($D8+$C$1)&gt;AJ$4,AJ$4&gt;=$C$1),'General Inputs'!G$9*$G8,0))+IF(AND(($E8+$C$1)&gt;AJ$4,AJ$4&gt;=$C$1),'General Inputs'!G$10*$J8,IF(AND(($D8+$C$1)&gt;AJ$4,AJ$4&gt;=$C$1),'General Inputs'!G$10*$I8,0))</f>
        <v>17272.380564996747</v>
      </c>
      <c r="AK8" s="214">
        <f>IF(AND(($E8+$C$1)&gt;AK$4,AK$4&gt;=$C$1),'General Inputs'!H$9*$H8,IF(AND(($D8+$C$1)&gt;AK$4,AK$4&gt;=$C$1),'General Inputs'!H$9*$G8,0))+IF(AND(($E8+$C$1)&gt;AK$4,AK$4&gt;=$C$1),'General Inputs'!H$10*$J8,IF(AND(($D8+$C$1)&gt;AK$4,AK$4&gt;=$C$1),'General Inputs'!H$10*$I8,0))</f>
        <v>17531.466273471699</v>
      </c>
      <c r="AL8" s="214">
        <f>IF(AND(($E8+$C$1)&gt;AL$4,AL$4&gt;=$C$1),'General Inputs'!I$9*$H8,IF(AND(($D8+$C$1)&gt;AL$4,AL$4&gt;=$C$1),'General Inputs'!I$9*$G8,0))+IF(AND(($E8+$C$1)&gt;AL$4,AL$4&gt;=$C$1),'General Inputs'!I$10*$J8,IF(AND(($D8+$C$1)&gt;AL$4,AL$4&gt;=$C$1),'General Inputs'!I$10*$I8,0))</f>
        <v>17794.438267573772</v>
      </c>
      <c r="AM8" s="214">
        <f>IF(AND(($E8+$C$1)&gt;AM$4,AM$4&gt;=$C$1),'General Inputs'!J$9*$H8,IF(AND(($D8+$C$1)&gt;AM$4,AM$4&gt;=$C$1),'General Inputs'!J$9*$G8,0))+IF(AND(($E8+$C$1)&gt;AM$4,AM$4&gt;=$C$1),'General Inputs'!J$10*$J8,IF(AND(($D8+$C$1)&gt;AM$4,AM$4&gt;=$C$1),'General Inputs'!J$10*$I8,0))</f>
        <v>0</v>
      </c>
      <c r="AN8" s="214">
        <f>IF(AND(($E8+$C$1)&gt;AN$4,AN$4&gt;=$C$1),'General Inputs'!K$9*$H8,IF(AND(($D8+$C$1)&gt;AN$4,AN$4&gt;=$C$1),'General Inputs'!K$9*$G8,0))+IF(AND(($E8+$C$1)&gt;AN$4,AN$4&gt;=$C$1),'General Inputs'!K$10*$J8,IF(AND(($D8+$C$1)&gt;AN$4,AN$4&gt;=$C$1),'General Inputs'!K$10*$I8,0))</f>
        <v>0</v>
      </c>
      <c r="AO8" s="214">
        <f>IF(AND(($E8+$C$1)&gt;AO$4,AO$4&gt;=$C$1),'General Inputs'!L$9*$H8,IF(AND(($D8+$C$1)&gt;AO$4,AO$4&gt;=$C$1),'General Inputs'!L$9*$G8,0))+IF(AND(($E8+$C$1)&gt;AO$4,AO$4&gt;=$C$1),'General Inputs'!L$10*$J8,IF(AND(($D8+$C$1)&gt;AO$4,AO$4&gt;=$C$1),'General Inputs'!L$10*$I8,0))</f>
        <v>0</v>
      </c>
      <c r="AP8" s="214">
        <f>IF(AND(($E8+$C$1)&gt;AP$4,AP$4&gt;=$C$1),'General Inputs'!M$9*$H8,IF(AND(($D8+$C$1)&gt;AP$4,AP$4&gt;=$C$1),'General Inputs'!M$9*$G8,0))+IF(AND(($E8+$C$1)&gt;AP$4,AP$4&gt;=$C$1),'General Inputs'!M$10*$J8,IF(AND(($D8+$C$1)&gt;AP$4,AP$4&gt;=$C$1),'General Inputs'!M$10*$I8,0))</f>
        <v>0</v>
      </c>
      <c r="AQ8" s="214">
        <f>IF(AND(($E8+$C$1)&gt;AQ$4,AQ$4&gt;=$C$1),'General Inputs'!N$9*$H8,IF(AND(($D8+$C$1)&gt;AQ$4,AQ$4&gt;=$C$1),'General Inputs'!N$9*$G8,0))+IF(AND(($E8+$C$1)&gt;AQ$4,AQ$4&gt;=$C$1),'General Inputs'!N$10*$J8,IF(AND(($D8+$C$1)&gt;AQ$4,AQ$4&gt;=$C$1),'General Inputs'!N$10*$I8,0))</f>
        <v>0</v>
      </c>
      <c r="AR8" s="214">
        <f>IF(AND(($E8+$C$1)&gt;AR$4,AR$4&gt;=$C$1),'General Inputs'!O$9*$H8,IF(AND(($D8+$C$1)&gt;AR$4,AR$4&gt;=$C$1),'General Inputs'!O$9*$G8,0))+IF(AND(($E8+$C$1)&gt;AR$4,AR$4&gt;=$C$1),'General Inputs'!O$10*$J8,IF(AND(($D8+$C$1)&gt;AR$4,AR$4&gt;=$C$1),'General Inputs'!O$10*$I8,0))</f>
        <v>0</v>
      </c>
      <c r="AS8" s="214">
        <f>IF(AND(($E8+$C$1)&gt;AS$4,AS$4&gt;=$C$1),'General Inputs'!P$9*$H8,IF(AND(($D8+$C$1)&gt;AS$4,AS$4&gt;=$C$1),'General Inputs'!P$9*$G8,0))+IF(AND(($E8+$C$1)&gt;AS$4,AS$4&gt;=$C$1),'General Inputs'!P$10*$J8,IF(AND(($D8+$C$1)&gt;AS$4,AS$4&gt;=$C$1),'General Inputs'!P$10*$I8,0))</f>
        <v>0</v>
      </c>
      <c r="AT8" s="214">
        <f>IF(AND(($E8+$C$1)&gt;AT$4,AT$4&gt;=$C$1),'General Inputs'!Q$9*$H8,IF(AND(($D8+$C$1)&gt;AT$4,AT$4&gt;=$C$1),'General Inputs'!Q$9*$G8,0))+IF(AND(($E8+$C$1)&gt;AT$4,AT$4&gt;=$C$1),'General Inputs'!Q$10*$J8,IF(AND(($D8+$C$1)&gt;AT$4,AT$4&gt;=$C$1),'General Inputs'!Q$10*$I8,0))</f>
        <v>0</v>
      </c>
      <c r="AU8" s="214">
        <f>IF(AND(($E8+$C$1)&gt;AU$4,AU$4&gt;=$C$1),'General Inputs'!R$9*$H8,IF(AND(($D8+$C$1)&gt;AU$4,AU$4&gt;=$C$1),'General Inputs'!R$9*$G8,0))+IF(AND(($E8+$C$1)&gt;AU$4,AU$4&gt;=$C$1),'General Inputs'!R$10*$J8,IF(AND(($D8+$C$1)&gt;AU$4,AU$4&gt;=$C$1),'General Inputs'!R$10*$I8,0))</f>
        <v>0</v>
      </c>
      <c r="AV8" s="214">
        <f>IF(AND(($E8+$C$1)&gt;AV$4,AV$4&gt;=$C$1),'General Inputs'!S$9*$H8,IF(AND(($D8+$C$1)&gt;AV$4,AV$4&gt;=$C$1),'General Inputs'!S$9*$G8,0))+IF(AND(($E8+$C$1)&gt;AV$4,AV$4&gt;=$C$1),'General Inputs'!S$10*$J8,IF(AND(($D8+$C$1)&gt;AV$4,AV$4&gt;=$C$1),'General Inputs'!S$10*$I8,0))</f>
        <v>0</v>
      </c>
      <c r="AW8" s="214">
        <f>IF(AND(($E8+$C$1)&gt;AW$4,AW$4&gt;=$C$1),'General Inputs'!T$9*$H8,IF(AND(($D8+$C$1)&gt;AW$4,AW$4&gt;=$C$1),'General Inputs'!T$9*$G8,0))+IF(AND(($E8+$C$1)&gt;AW$4,AW$4&gt;=$C$1),'General Inputs'!T$10*$J8,IF(AND(($D8+$C$1)&gt;AW$4,AW$4&gt;=$C$1),'General Inputs'!T$10*$I8,0))</f>
        <v>0</v>
      </c>
      <c r="AX8" s="214">
        <f>IF(AND(($E8+$C$1)&gt;AX$4,AX$4&gt;=$C$1),'General Inputs'!U$9*$H8,IF(AND(($D8+$C$1)&gt;AX$4,AX$4&gt;=$C$1),'General Inputs'!U$9*$G8,0))+IF(AND(($E8+$C$1)&gt;AX$4,AX$4&gt;=$C$1),'General Inputs'!U$10*$J8,IF(AND(($D8+$C$1)&gt;AX$4,AX$4&gt;=$C$1),'General Inputs'!U$10*$I8,0))</f>
        <v>0</v>
      </c>
      <c r="AY8" s="214">
        <f>IF(AND(($E8+$C$1)&gt;AY$4,AY$4&gt;=$C$1),'General Inputs'!V$9*$H8,IF(AND(($D8+$C$1)&gt;AY$4,AY$4&gt;=$C$1),'General Inputs'!V$9*$G8,0))+IF(AND(($E8+$C$1)&gt;AY$4,AY$4&gt;=$C$1),'General Inputs'!V$10*$J8,IF(AND(($D8+$C$1)&gt;AY$4,AY$4&gt;=$C$1),'General Inputs'!V$10*$I8,0))</f>
        <v>0</v>
      </c>
      <c r="AZ8" s="214">
        <f>IF(AND(($E8+$C$1)&gt;AZ$4,AZ$4&gt;=$C$1),'General Inputs'!W$9*$H8,IF(AND(($D8+$C$1)&gt;AZ$4,AZ$4&gt;=$C$1),'General Inputs'!W$9*$G8,0))+IF(AND(($E8+$C$1)&gt;AZ$4,AZ$4&gt;=$C$1),'General Inputs'!W$10*$J8,IF(AND(($D8+$C$1)&gt;AZ$4,AZ$4&gt;=$C$1),'General Inputs'!W$10*$I8,0))</f>
        <v>0</v>
      </c>
      <c r="BB8" s="214">
        <f>IF(AND(($E8+$C$1)&gt;BB$4,BB$4&gt;=$C$1),'General Inputs'!D$11*$H8,IF(AND(($D8+$C$1)&gt;BB$4,BB$4&gt;=$C$1),'General Inputs'!D$11*$G8,0))</f>
        <v>0</v>
      </c>
      <c r="BC8" s="214">
        <f>IF(AND(($E8+$C$1)&gt;BC$4,BC$4&gt;=$C$1),'General Inputs'!E$11*$H8,IF(AND(($D8+$C$1)&gt;BC$4,BC$4&gt;=$C$1),'General Inputs'!E$11*$G8,0))</f>
        <v>4573.5131451825</v>
      </c>
      <c r="BD8" s="214">
        <f>IF(AND(($E8+$C$1)&gt;BD$4,BD$4&gt;=$C$1),'General Inputs'!F$11*$H8,IF(AND(($D8+$C$1)&gt;BD$4,BD$4&gt;=$C$1),'General Inputs'!F$11*$G8,0))</f>
        <v>4573.5131451825</v>
      </c>
      <c r="BE8" s="214">
        <f>IF(AND(($E8+$C$1)&gt;BE$4,BE$4&gt;=$C$1),'General Inputs'!G$11*$H8,IF(AND(($D8+$C$1)&gt;BE$4,BE$4&gt;=$C$1),'General Inputs'!G$11*$G8,0))</f>
        <v>4573.5131451825</v>
      </c>
      <c r="BF8" s="214">
        <f>IF(AND(($E8+$C$1)&gt;BF$4,BF$4&gt;=$C$1),'General Inputs'!H$11*$H8,IF(AND(($D8+$C$1)&gt;BF$4,BF$4&gt;=$C$1),'General Inputs'!H$11*$G8,0))</f>
        <v>4573.5131451825</v>
      </c>
      <c r="BG8" s="214">
        <f>IF(AND(($E8+$C$1)&gt;BG$4,BG$4&gt;=$C$1),'General Inputs'!I$11*$H8,IF(AND(($D8+$C$1)&gt;BG$4,BG$4&gt;=$C$1),'General Inputs'!I$11*$G8,0))</f>
        <v>4573.5131451825</v>
      </c>
      <c r="BH8" s="214">
        <f>IF(AND(($E8+$C$1)&gt;BH$4,BH$4&gt;=$C$1),'General Inputs'!J$11*$H8,IF(AND(($D8+$C$1)&gt;BH$4,BH$4&gt;=$C$1),'General Inputs'!J$11*$G8,0))</f>
        <v>0</v>
      </c>
      <c r="BI8" s="214">
        <f>IF(AND(($E8+$C$1)&gt;BI$4,BI$4&gt;=$C$1),'General Inputs'!K$11*$H8,IF(AND(($D8+$C$1)&gt;BI$4,BI$4&gt;=$C$1),'General Inputs'!K$11*$G8,0))</f>
        <v>0</v>
      </c>
      <c r="BJ8" s="214">
        <f>IF(AND(($E8+$C$1)&gt;BJ$4,BJ$4&gt;=$C$1),'General Inputs'!L$11*$H8,IF(AND(($D8+$C$1)&gt;BJ$4,BJ$4&gt;=$C$1),'General Inputs'!L$11*$G8,0))</f>
        <v>0</v>
      </c>
      <c r="BK8" s="214">
        <f>IF(AND(($E8+$C$1)&gt;BK$4,BK$4&gt;=$C$1),'General Inputs'!M$11*$H8,IF(AND(($D8+$C$1)&gt;BK$4,BK$4&gt;=$C$1),'General Inputs'!M$11*$G8,0))</f>
        <v>0</v>
      </c>
      <c r="BL8" s="214">
        <f>IF(AND(($E8+$C$1)&gt;BL$4,BL$4&gt;=$C$1),'General Inputs'!N$11*$H8,IF(AND(($D8+$C$1)&gt;BL$4,BL$4&gt;=$C$1),'General Inputs'!N$11*$G8,0))</f>
        <v>0</v>
      </c>
      <c r="BM8" s="214">
        <f>IF(AND(($E8+$C$1)&gt;BM$4,BM$4&gt;=$C$1),'General Inputs'!O$11*$H8,IF(AND(($D8+$C$1)&gt;BM$4,BM$4&gt;=$C$1),'General Inputs'!O$11*$G8,0))</f>
        <v>0</v>
      </c>
      <c r="BN8" s="214">
        <f>IF(AND(($E8+$C$1)&gt;BN$4,BN$4&gt;=$C$1),'General Inputs'!P$11*$H8,IF(AND(($D8+$C$1)&gt;BN$4,BN$4&gt;=$C$1),'General Inputs'!P$11*$G8,0))</f>
        <v>0</v>
      </c>
      <c r="BO8" s="214">
        <f>IF(AND(($E8+$C$1)&gt;BO$4,BO$4&gt;=$C$1),'General Inputs'!Q$11*$H8,IF(AND(($D8+$C$1)&gt;BO$4,BO$4&gt;=$C$1),'General Inputs'!Q$11*$G8,0))</f>
        <v>0</v>
      </c>
      <c r="BP8" s="214">
        <f>IF(AND(($E8+$C$1)&gt;BP$4,BP$4&gt;=$C$1),'General Inputs'!R$11*$H8,IF(AND(($D8+$C$1)&gt;BP$4,BP$4&gt;=$C$1),'General Inputs'!R$11*$G8,0))</f>
        <v>0</v>
      </c>
      <c r="BQ8" s="214">
        <f>IF(AND(($E8+$C$1)&gt;BQ$4,BQ$4&gt;=$C$1),'General Inputs'!S$11*$H8,IF(AND(($D8+$C$1)&gt;BQ$4,BQ$4&gt;=$C$1),'General Inputs'!S$11*$G8,0))</f>
        <v>0</v>
      </c>
      <c r="BR8" s="214">
        <f>IF(AND(($E8+$C$1)&gt;BR$4,BR$4&gt;=$C$1),'General Inputs'!T$11*$H8,IF(AND(($D8+$C$1)&gt;BR$4,BR$4&gt;=$C$1),'General Inputs'!T$11*$G8,0))</f>
        <v>0</v>
      </c>
      <c r="BS8" s="214">
        <f>IF(AND(($E8+$C$1)&gt;BS$4,BS$4&gt;=$C$1),'General Inputs'!U$11*$H8,IF(AND(($D8+$C$1)&gt;BS$4,BS$4&gt;=$C$1),'General Inputs'!U$11*$G8,0))</f>
        <v>0</v>
      </c>
      <c r="BT8" s="214">
        <f>IF(AND(($E8+$C$1)&gt;BT$4,BT$4&gt;=$C$1),'General Inputs'!V$11*$H8,IF(AND(($D8+$C$1)&gt;BT$4,BT$4&gt;=$C$1),'General Inputs'!V$11*$G8,0))</f>
        <v>0</v>
      </c>
      <c r="BU8" s="214">
        <f>IF(AND(($E8+$C$1)&gt;BU$4,BU$4&gt;=$C$1),'General Inputs'!W$11*$H8,IF(AND(($D8+$C$1)&gt;BU$4,BU$4&gt;=$C$1),'General Inputs'!W$11*$G8,0))</f>
        <v>0</v>
      </c>
      <c r="BW8" s="214">
        <f>IF(AND(($E8+$C$1)&gt;BW$4,BW$4&gt;=$C$1),$H8,IF(AND(($D8+$C$1)&gt;BW$4,BW$4&gt;=$C$1),$G8,0))*IF($A8="Residential",'General Inputs'!D$14,'General Inputs'!D$19)</f>
        <v>0</v>
      </c>
      <c r="BX8" s="214">
        <f>IF(AND(($E8+$C$1)&gt;BX$4,BX$4&gt;=$C$1),$H8,IF(AND(($D8+$C$1)&gt;BX$4,BX$4&gt;=$C$1),$G8,0))*IF($A8="Residential",'General Inputs'!E$14,'General Inputs'!E$19)</f>
        <v>54659.024826957473</v>
      </c>
      <c r="BY8" s="214">
        <f>IF(AND(($E8+$C$1)&gt;BY$4,BY$4&gt;=$C$1),$H8,IF(AND(($D8+$C$1)&gt;BY$4,BY$4&gt;=$C$1),$G8,0))*IF($A8="Residential",'General Inputs'!F$14,'General Inputs'!F$19)</f>
        <v>55478.910199361824</v>
      </c>
      <c r="BZ8" s="214">
        <f>IF(AND(($E8+$C$1)&gt;BZ$4,BZ$4&gt;=$C$1),$H8,IF(AND(($D8+$C$1)&gt;BZ$4,BZ$4&gt;=$C$1),$G8,0))*IF($A8="Residential",'General Inputs'!G$14,'General Inputs'!G$19)</f>
        <v>56311.093852352242</v>
      </c>
      <c r="CA8" s="214">
        <f>IF(AND(($E8+$C$1)&gt;CA$4,CA$4&gt;=$C$1),$H8,IF(AND(($D8+$C$1)&gt;CA$4,CA$4&gt;=$C$1),$G8,0))*IF($A8="Residential",'General Inputs'!H$14,'General Inputs'!H$19)</f>
        <v>57155.760260137518</v>
      </c>
      <c r="CB8" s="214">
        <f>IF(AND(($E8+$C$1)&gt;CB$4,CB$4&gt;=$C$1),$H8,IF(AND(($D8+$C$1)&gt;CB$4,CB$4&gt;=$C$1),$G8,0))*IF($A8="Residential",'General Inputs'!I$14,'General Inputs'!I$19)</f>
        <v>58013.096664039578</v>
      </c>
      <c r="CC8" s="214">
        <f>IF(AND(($E8+$C$1)&gt;CC$4,CC$4&gt;=$C$1),$H8,IF(AND(($D8+$C$1)&gt;CC$4,CC$4&gt;=$C$1),$G8,0))*IF($A8="Residential",'General Inputs'!J$14,'General Inputs'!J$19)</f>
        <v>0</v>
      </c>
      <c r="CD8" s="214">
        <f>IF(AND(($E8+$C$1)&gt;CD$4,CD$4&gt;=$C$1),$H8,IF(AND(($D8+$C$1)&gt;CD$4,CD$4&gt;=$C$1),$G8,0))*IF($A8="Residential",'General Inputs'!K$14,'General Inputs'!K$19)</f>
        <v>0</v>
      </c>
      <c r="CE8" s="214">
        <f>IF(AND(($E8+$C$1)&gt;CE$4,CE$4&gt;=$C$1),$H8,IF(AND(($D8+$C$1)&gt;CE$4,CE$4&gt;=$C$1),$G8,0))*IF($A8="Residential",'General Inputs'!L$14,'General Inputs'!L$19)</f>
        <v>0</v>
      </c>
      <c r="CF8" s="214">
        <f>IF(AND(($E8+$C$1)&gt;CF$4,CF$4&gt;=$C$1),$H8,IF(AND(($D8+$C$1)&gt;CF$4,CF$4&gt;=$C$1),$G8,0))*IF($A8="Residential",'General Inputs'!M$14,'General Inputs'!M$19)</f>
        <v>0</v>
      </c>
      <c r="CG8" s="214">
        <f>IF(AND(($E8+$C$1)&gt;CG$4,CG$4&gt;=$C$1),$H8,IF(AND(($D8+$C$1)&gt;CG$4,CG$4&gt;=$C$1),$G8,0))*IF($A8="Residential",'General Inputs'!N$14,'General Inputs'!N$19)</f>
        <v>0</v>
      </c>
      <c r="CH8" s="214">
        <f>IF(AND(($E8+$C$1)&gt;CH$4,CH$4&gt;=$C$1),$H8,IF(AND(($D8+$C$1)&gt;CH$4,CH$4&gt;=$C$1),$G8,0))*IF($A8="Residential",'General Inputs'!O$14,'General Inputs'!O$19)</f>
        <v>0</v>
      </c>
      <c r="CI8" s="214">
        <f>IF(AND(($E8+$C$1)&gt;CI$4,CI$4&gt;=$C$1),$H8,IF(AND(($D8+$C$1)&gt;CI$4,CI$4&gt;=$C$1),$G8,0))*IF($A8="Residential",'General Inputs'!P$14,'General Inputs'!P$19)</f>
        <v>0</v>
      </c>
      <c r="CJ8" s="214">
        <f>IF(AND(($E8+$C$1)&gt;CJ$4,CJ$4&gt;=$C$1),$H8,IF(AND(($D8+$C$1)&gt;CJ$4,CJ$4&gt;=$C$1),$G8,0))*IF($A8="Residential",'General Inputs'!Q$14,'General Inputs'!Q$19)</f>
        <v>0</v>
      </c>
      <c r="CK8" s="214">
        <f>IF(AND(($E8+$C$1)&gt;CK$4,CK$4&gt;=$C$1),$H8,IF(AND(($D8+$C$1)&gt;CK$4,CK$4&gt;=$C$1),$G8,0))*IF($A8="Residential",'General Inputs'!R$14,'General Inputs'!R$19)</f>
        <v>0</v>
      </c>
      <c r="CL8" s="214">
        <f>IF(AND(($E8+$C$1)&gt;CL$4,CL$4&gt;=$C$1),$H8,IF(AND(($D8+$C$1)&gt;CL$4,CL$4&gt;=$C$1),$G8,0))*IF($A8="Residential",'General Inputs'!S$14,'General Inputs'!S$19)</f>
        <v>0</v>
      </c>
      <c r="CM8" s="214">
        <f>IF(AND(($E8+$C$1)&gt;CM$4,CM$4&gt;=$C$1),$H8,IF(AND(($D8+$C$1)&gt;CM$4,CM$4&gt;=$C$1),$G8,0))*IF($A8="Residential",'General Inputs'!T$14,'General Inputs'!T$19)</f>
        <v>0</v>
      </c>
      <c r="CN8" s="214">
        <f>IF(AND(($E8+$C$1)&gt;CN$4,CN$4&gt;=$C$1),$H8,IF(AND(($D8+$C$1)&gt;CN$4,CN$4&gt;=$C$1),$G8,0))*IF($A8="Residential",'General Inputs'!U$14,'General Inputs'!U$19)</f>
        <v>0</v>
      </c>
      <c r="CO8" s="214">
        <f>IF(AND(($E8+$C$1)&gt;CO$4,CO$4&gt;=$C$1),$H8,IF(AND(($D8+$C$1)&gt;CO$4,CO$4&gt;=$C$1),$G8,0))*IF($A8="Residential",'General Inputs'!V$14,'General Inputs'!V$19)</f>
        <v>0</v>
      </c>
      <c r="CP8" s="214">
        <f>IF(AND(($E8+$C$1)&gt;CP$4,CP$4&gt;=$C$1),$H8,IF(AND(($D8+$C$1)&gt;CP$4,CP$4&gt;=$C$1),$G8,0))*IF($A8="Residential",'General Inputs'!W$14,'General Inputs'!W$19)</f>
        <v>0</v>
      </c>
      <c r="CR8" s="214">
        <f>IF(AND(($E8+$C$1)&gt;CR$4,CR$4&gt;=$C$1),$H8,IF(AND(($D8+$C$1)&gt;CR$4,CR$4&gt;=$C$1),$G8,0))*IF($A8="Residential",'General Inputs'!D$15,'General Inputs'!D$19)</f>
        <v>0</v>
      </c>
      <c r="CS8" s="214">
        <f>IF(AND(($E8+$C$1)&gt;CS$4,CS$4&gt;=$C$1),$H8,IF(AND(($D8+$C$1)&gt;CS$4,CS$4&gt;=$C$1),$G8,0))*IF($A8="Residential",'General Inputs'!E$15,'General Inputs'!E$19)</f>
        <v>44465.569263716992</v>
      </c>
      <c r="CT8" s="214">
        <f>IF(AND(($E8+$C$1)&gt;CT$4,CT$4&gt;=$C$1),$H8,IF(AND(($D8+$C$1)&gt;CT$4,CT$4&gt;=$C$1),$G8,0))*IF($A8="Residential",'General Inputs'!F$15,'General Inputs'!F$19)</f>
        <v>45132.552802672741</v>
      </c>
      <c r="CU8" s="214">
        <f>IF(AND(($E8+$C$1)&gt;CU$4,CU$4&gt;=$C$1),$H8,IF(AND(($D8+$C$1)&gt;CU$4,CU$4&gt;=$C$1),$G8,0))*IF($A8="Residential",'General Inputs'!G$15,'General Inputs'!G$19)</f>
        <v>45809.541094712826</v>
      </c>
      <c r="CV8" s="214">
        <f>IF(AND(($E8+$C$1)&gt;CV$4,CV$4&gt;=$C$1),$H8,IF(AND(($D8+$C$1)&gt;CV$4,CV$4&gt;=$C$1),$G8,0))*IF($A8="Residential",'General Inputs'!H$15,'General Inputs'!H$19)</f>
        <v>46496.684211133514</v>
      </c>
      <c r="CW8" s="214">
        <f>IF(AND(($E8+$C$1)&gt;CW$4,CW$4&gt;=$C$1),$H8,IF(AND(($D8+$C$1)&gt;CW$4,CW$4&gt;=$C$1),$G8,0))*IF($A8="Residential",'General Inputs'!I$15,'General Inputs'!I$19)</f>
        <v>47194.134474300517</v>
      </c>
      <c r="CX8" s="214">
        <f>IF(AND(($E8+$C$1)&gt;CX$4,CX$4&gt;=$C$1),$H8,IF(AND(($D8+$C$1)&gt;CX$4,CX$4&gt;=$C$1),$G8,0))*IF($A8="Residential",'General Inputs'!J$15,'General Inputs'!J$19)</f>
        <v>0</v>
      </c>
      <c r="CY8" s="214">
        <f>IF(AND(($E8+$C$1)&gt;CY$4,CY$4&gt;=$C$1),$H8,IF(AND(($D8+$C$1)&gt;CY$4,CY$4&gt;=$C$1),$G8,0))*IF($A8="Residential",'General Inputs'!K$15,'General Inputs'!K$19)</f>
        <v>0</v>
      </c>
      <c r="CZ8" s="214">
        <f>IF(AND(($E8+$C$1)&gt;CZ$4,CZ$4&gt;=$C$1),$H8,IF(AND(($D8+$C$1)&gt;CZ$4,CZ$4&gt;=$C$1),$G8,0))*IF($A8="Residential",'General Inputs'!L$15,'General Inputs'!L$19)</f>
        <v>0</v>
      </c>
      <c r="DA8" s="214">
        <f>IF(AND(($E8+$C$1)&gt;DA$4,DA$4&gt;=$C$1),$H8,IF(AND(($D8+$C$1)&gt;DA$4,DA$4&gt;=$C$1),$G8,0))*IF($A8="Residential",'General Inputs'!M$15,'General Inputs'!M$19)</f>
        <v>0</v>
      </c>
      <c r="DB8" s="214">
        <f>IF(AND(($E8+$C$1)&gt;DB$4,DB$4&gt;=$C$1),$H8,IF(AND(($D8+$C$1)&gt;DB$4,DB$4&gt;=$C$1),$G8,0))*IF($A8="Residential",'General Inputs'!N$15,'General Inputs'!N$19)</f>
        <v>0</v>
      </c>
      <c r="DC8" s="214">
        <f>IF(AND(($E8+$C$1)&gt;DC$4,DC$4&gt;=$C$1),$H8,IF(AND(($D8+$C$1)&gt;DC$4,DC$4&gt;=$C$1),$G8,0))*IF($A8="Residential",'General Inputs'!O$15,'General Inputs'!O$19)</f>
        <v>0</v>
      </c>
      <c r="DD8" s="214">
        <f>IF(AND(($E8+$C$1)&gt;DD$4,DD$4&gt;=$C$1),$H8,IF(AND(($D8+$C$1)&gt;DD$4,DD$4&gt;=$C$1),$G8,0))*IF($A8="Residential",'General Inputs'!P$15,'General Inputs'!P$19)</f>
        <v>0</v>
      </c>
      <c r="DE8" s="214">
        <f>IF(AND(($E8+$C$1)&gt;DE$4,DE$4&gt;=$C$1),$H8,IF(AND(($D8+$C$1)&gt;DE$4,DE$4&gt;=$C$1),$G8,0))*IF($A8="Residential",'General Inputs'!Q$15,'General Inputs'!Q$19)</f>
        <v>0</v>
      </c>
      <c r="DF8" s="214">
        <f>IF(AND(($E8+$C$1)&gt;DF$4,DF$4&gt;=$C$1),$H8,IF(AND(($D8+$C$1)&gt;DF$4,DF$4&gt;=$C$1),$G8,0))*IF($A8="Residential",'General Inputs'!R$15,'General Inputs'!R$19)</f>
        <v>0</v>
      </c>
      <c r="DG8" s="214">
        <f>IF(AND(($E8+$C$1)&gt;DG$4,DG$4&gt;=$C$1),$H8,IF(AND(($D8+$C$1)&gt;DG$4,DG$4&gt;=$C$1),$G8,0))*IF($A8="Residential",'General Inputs'!S$15,'General Inputs'!S$19)</f>
        <v>0</v>
      </c>
      <c r="DH8" s="214">
        <f>IF(AND(($E8+$C$1)&gt;DH$4,DH$4&gt;=$C$1),$H8,IF(AND(($D8+$C$1)&gt;DH$4,DH$4&gt;=$C$1),$G8,0))*IF($A8="Residential",'General Inputs'!T$15,'General Inputs'!T$19)</f>
        <v>0</v>
      </c>
      <c r="DI8" s="214">
        <f>IF(AND(($E8+$C$1)&gt;DI$4,DI$4&gt;=$C$1),$H8,IF(AND(($D8+$C$1)&gt;DI$4,DI$4&gt;=$C$1),$G8,0))*IF($A8="Residential",'General Inputs'!U$15,'General Inputs'!U$19)</f>
        <v>0</v>
      </c>
      <c r="DJ8" s="214">
        <f>IF(AND(($E8+$C$1)&gt;DJ$4,DJ$4&gt;=$C$1),$H8,IF(AND(($D8+$C$1)&gt;DJ$4,DJ$4&gt;=$C$1),$G8,0))*IF($A8="Residential",'General Inputs'!V$15,'General Inputs'!V$19)</f>
        <v>0</v>
      </c>
      <c r="DK8" s="214">
        <f>IF(AND(($E8+$C$1)&gt;DK$4,DK$4&gt;=$C$1),$H8,IF(AND(($D8+$C$1)&gt;DK$4,DK$4&gt;=$C$1),$G8,0))*IF($A8="Residential",'General Inputs'!W$15,'General Inputs'!W$19)</f>
        <v>0</v>
      </c>
      <c r="DM8" s="214">
        <f>IF($C$1=DM$4,$L8*$C8,IF($E8+$C$1=DM$4,-$M8*$C8,0))</f>
        <v>0</v>
      </c>
      <c r="DN8" s="214">
        <f t="shared" ref="DN8:DW28" si="27">IF($C$1=DN$4,$L8*$C8,IF($E8+$C$1=DN$4,-$M8*$C8,0))</f>
        <v>18750</v>
      </c>
      <c r="DO8" s="214">
        <f t="shared" si="27"/>
        <v>0</v>
      </c>
      <c r="DP8" s="214">
        <f t="shared" si="27"/>
        <v>0</v>
      </c>
      <c r="DQ8" s="214">
        <f t="shared" si="27"/>
        <v>0</v>
      </c>
      <c r="DR8" s="214">
        <f t="shared" si="27"/>
        <v>0</v>
      </c>
      <c r="DS8" s="214">
        <f t="shared" si="27"/>
        <v>0</v>
      </c>
      <c r="DT8" s="214">
        <f t="shared" si="27"/>
        <v>0</v>
      </c>
      <c r="DU8" s="214">
        <f t="shared" si="27"/>
        <v>0</v>
      </c>
      <c r="DV8" s="214">
        <f t="shared" si="27"/>
        <v>0</v>
      </c>
      <c r="DW8" s="214">
        <f t="shared" si="27"/>
        <v>0</v>
      </c>
      <c r="DY8" s="219"/>
      <c r="DZ8" s="650"/>
      <c r="EA8" s="219"/>
      <c r="EB8" s="219"/>
      <c r="EC8" s="219"/>
      <c r="ED8" s="219"/>
      <c r="EE8" s="219"/>
      <c r="EF8" s="219"/>
      <c r="FI8" s="195"/>
      <c r="FJ8" s="195"/>
      <c r="FK8" s="195"/>
      <c r="FL8" s="195"/>
      <c r="FM8" s="195"/>
      <c r="FN8" s="195"/>
      <c r="FO8" s="195"/>
    </row>
    <row r="9" spans="1:171">
      <c r="A9" s="341" t="s">
        <v>12</v>
      </c>
      <c r="B9" s="427" t="str">
        <f>'Portfolio Inputs'!A8</f>
        <v>LED</v>
      </c>
      <c r="C9" s="217">
        <f>IF($C$1=2014,'Portfolio Inputs'!$C8,IF($C$1=2015,'Portfolio Inputs'!$D8,'Portfolio Inputs'!$E8))</f>
        <v>600</v>
      </c>
      <c r="D9" s="504">
        <f>VLOOKUP(B9,Sources!$B$4:$J$104,2,FALSE)</f>
        <v>10</v>
      </c>
      <c r="E9" s="504">
        <f>VLOOKUP(B9,Sources!$B$4:$J$104,3,FALSE)</f>
        <v>0</v>
      </c>
      <c r="G9" s="504">
        <f>IF($C$1=2014,'Portfolio Inputs'!$G8,IF($C$1=2015,'Portfolio Inputs'!$H8,'Portfolio Inputs'!$I8))*EnergyLineLoss</f>
        <v>24936.989507999995</v>
      </c>
      <c r="H9" s="504"/>
      <c r="I9" s="504">
        <f>IF($C$1=2014,'Portfolio Inputs'!$K8,IF($C$1=2015,'Portfolio Inputs'!$L8,'Portfolio Inputs'!$M8))*PeakLineLoss</f>
        <v>2.2655341979999992</v>
      </c>
      <c r="J9" s="510"/>
      <c r="L9" s="606">
        <f>IF($C$1=2014,'Portfolio Inputs'!$O8,IF($C$1=2015,'Portfolio Inputs'!$P8,'Portfolio Inputs'!$Q8))</f>
        <v>20</v>
      </c>
      <c r="M9" s="518">
        <f>VLOOKUP($B9,Sources!$B$4:$K$104,10,FALSE)</f>
        <v>0</v>
      </c>
      <c r="N9" s="419">
        <f>IF($C$1=2014,'Portfolio Inputs'!$W8,IF($C$1=2015,'Portfolio Inputs'!$X8,'Portfolio Inputs'!$Y8))</f>
        <v>4500</v>
      </c>
      <c r="O9" s="419"/>
      <c r="Q9" s="438">
        <f t="shared" si="0"/>
        <v>0.64711901769142666</v>
      </c>
      <c r="R9" s="439">
        <f t="shared" si="1"/>
        <v>1.7256507138438044</v>
      </c>
      <c r="S9" s="439">
        <f t="shared" si="2"/>
        <v>0.81376591950138055</v>
      </c>
      <c r="T9" s="439">
        <f t="shared" si="3"/>
        <v>2.4847253850874012</v>
      </c>
      <c r="U9" s="439">
        <f>IF(AE9&gt;0,(AD9+AB9)/AE9,"n/a")</f>
        <v>2.0912790689189045</v>
      </c>
      <c r="V9" s="439">
        <f>IF((AA9+AC9+AD9)&gt;0,Y9/(AA9+AC9+AD9),"n/a")</f>
        <v>0.2604388483231373</v>
      </c>
      <c r="W9" s="439">
        <f>IF((AB9+AC9+AD9)&gt;0,Y9/(AB9+AC9+AD9),"n/a")</f>
        <v>0.30943695048119885</v>
      </c>
      <c r="Y9" s="215">
        <f t="shared" si="4"/>
        <v>7134.7190484170524</v>
      </c>
      <c r="Z9" s="215">
        <f t="shared" si="5"/>
        <v>1837.3418060634383</v>
      </c>
      <c r="AA9" s="215">
        <f t="shared" si="6"/>
        <v>23260.478336134522</v>
      </c>
      <c r="AB9" s="215">
        <f t="shared" si="7"/>
        <v>18922.591719061791</v>
      </c>
      <c r="AC9" s="216">
        <f t="shared" si="20"/>
        <v>0</v>
      </c>
      <c r="AD9" s="216">
        <f t="shared" si="21"/>
        <v>4134.5093715545754</v>
      </c>
      <c r="AE9" s="215">
        <f t="shared" si="8"/>
        <v>11025.358324145534</v>
      </c>
      <c r="AG9" s="214">
        <f>IF(AND(($E9+$C$1)&gt;AG$4,AG$4&gt;=$C$1),'General Inputs'!D$9*$H9,IF(AND(($D9+$C$1)&gt;AG$4,AG$4&gt;=$C$1),'General Inputs'!D$9*$G9,0))+IF(AND(($E9+$C$1)&gt;AG$4,AG$4&gt;=$C$1),'General Inputs'!D$10*$J9,IF(AND(($D9+$C$1)&gt;AG$4,AG$4&gt;=$C$1),'General Inputs'!D$10*$I9,0))</f>
        <v>0</v>
      </c>
      <c r="AH9" s="214">
        <f>IF(AND(($E9+$C$1)&gt;AH$4,AH$4&gt;=$C$1),'General Inputs'!E$9*$H9,IF(AND(($D9+$C$1)&gt;AH$4,AH$4&gt;=$C$1),'General Inputs'!E$9*$G9,0))+IF(AND(($E9+$C$1)&gt;AH$4,AH$4&gt;=$C$1),'General Inputs'!E$10*$J9,IF(AND(($D9+$C$1)&gt;AH$4,AH$4&gt;=$C$1),'General Inputs'!E$10*$I9,0))</f>
        <v>1042.1231799896468</v>
      </c>
      <c r="AI9" s="214">
        <f>IF(AND(($E9+$C$1)&gt;AI$4,AI$4&gt;=$C$1),'General Inputs'!F$9*$H9,IF(AND(($D9+$C$1)&gt;AI$4,AI$4&gt;=$C$1),'General Inputs'!F$9*$G9,0))+IF(AND(($E9+$C$1)&gt;AI$4,AI$4&gt;=$C$1),'General Inputs'!F$10*$J9,IF(AND(($D9+$C$1)&gt;AI$4,AI$4&gt;=$C$1),'General Inputs'!F$10*$I9,0))</f>
        <v>1057.7550276894913</v>
      </c>
      <c r="AJ9" s="214">
        <f>IF(AND(($E9+$C$1)&gt;AJ$4,AJ$4&gt;=$C$1),'General Inputs'!G$9*$H9,IF(AND(($D9+$C$1)&gt;AJ$4,AJ$4&gt;=$C$1),'General Inputs'!G$9*$G9,0))+IF(AND(($E9+$C$1)&gt;AJ$4,AJ$4&gt;=$C$1),'General Inputs'!G$10*$J9,IF(AND(($D9+$C$1)&gt;AJ$4,AJ$4&gt;=$C$1),'General Inputs'!G$10*$I9,0))</f>
        <v>1073.6213531048338</v>
      </c>
      <c r="AK9" s="214">
        <f>IF(AND(($E9+$C$1)&gt;AK$4,AK$4&gt;=$C$1),'General Inputs'!H$9*$H9,IF(AND(($D9+$C$1)&gt;AK$4,AK$4&gt;=$C$1),'General Inputs'!H$9*$G9,0))+IF(AND(($E9+$C$1)&gt;AK$4,AK$4&gt;=$C$1),'General Inputs'!H$10*$J9,IF(AND(($D9+$C$1)&gt;AK$4,AK$4&gt;=$C$1),'General Inputs'!H$10*$I9,0))</f>
        <v>1089.7256734014061</v>
      </c>
      <c r="AL9" s="214">
        <f>IF(AND(($E9+$C$1)&gt;AL$4,AL$4&gt;=$C$1),'General Inputs'!I$9*$H9,IF(AND(($D9+$C$1)&gt;AL$4,AL$4&gt;=$C$1),'General Inputs'!I$9*$G9,0))+IF(AND(($E9+$C$1)&gt;AL$4,AL$4&gt;=$C$1),'General Inputs'!I$10*$J9,IF(AND(($D9+$C$1)&gt;AL$4,AL$4&gt;=$C$1),'General Inputs'!I$10*$I9,0))</f>
        <v>1106.071558502427</v>
      </c>
      <c r="AM9" s="214">
        <f>IF(AND(($E9+$C$1)&gt;AM$4,AM$4&gt;=$C$1),'General Inputs'!J$9*$H9,IF(AND(($D9+$C$1)&gt;AM$4,AM$4&gt;=$C$1),'General Inputs'!J$9*$G9,0))+IF(AND(($E9+$C$1)&gt;AM$4,AM$4&gt;=$C$1),'General Inputs'!J$10*$J9,IF(AND(($D9+$C$1)&gt;AM$4,AM$4&gt;=$C$1),'General Inputs'!J$10*$I9,0))</f>
        <v>1122.6626318799633</v>
      </c>
      <c r="AN9" s="214">
        <f>IF(AND(($E9+$C$1)&gt;AN$4,AN$4&gt;=$C$1),'General Inputs'!K$9*$H9,IF(AND(($D9+$C$1)&gt;AN$4,AN$4&gt;=$C$1),'General Inputs'!K$9*$G9,0))+IF(AND(($E9+$C$1)&gt;AN$4,AN$4&gt;=$C$1),'General Inputs'!K$10*$J9,IF(AND(($D9+$C$1)&gt;AN$4,AN$4&gt;=$C$1),'General Inputs'!K$10*$I9,0))</f>
        <v>1139.5025713581624</v>
      </c>
      <c r="AO9" s="214">
        <f>IF(AND(($E9+$C$1)&gt;AO$4,AO$4&gt;=$C$1),'General Inputs'!L$9*$H9,IF(AND(($D9+$C$1)&gt;AO$4,AO$4&gt;=$C$1),'General Inputs'!L$9*$G9,0))+IF(AND(($E9+$C$1)&gt;AO$4,AO$4&gt;=$C$1),'General Inputs'!L$10*$J9,IF(AND(($D9+$C$1)&gt;AO$4,AO$4&gt;=$C$1),'General Inputs'!L$10*$I9,0))</f>
        <v>1156.5951099285348</v>
      </c>
      <c r="AP9" s="214">
        <f>IF(AND(($E9+$C$1)&gt;AP$4,AP$4&gt;=$C$1),'General Inputs'!M$9*$H9,IF(AND(($D9+$C$1)&gt;AP$4,AP$4&gt;=$C$1),'General Inputs'!M$9*$G9,0))+IF(AND(($E9+$C$1)&gt;AP$4,AP$4&gt;=$C$1),'General Inputs'!M$10*$J9,IF(AND(($D9+$C$1)&gt;AP$4,AP$4&gt;=$C$1),'General Inputs'!M$10*$I9,0))</f>
        <v>1173.9440365774626</v>
      </c>
      <c r="AQ9" s="214">
        <f>IF(AND(($E9+$C$1)&gt;AQ$4,AQ$4&gt;=$C$1),'General Inputs'!N$9*$H9,IF(AND(($D9+$C$1)&gt;AQ$4,AQ$4&gt;=$C$1),'General Inputs'!N$9*$G9,0))+IF(AND(($E9+$C$1)&gt;AQ$4,AQ$4&gt;=$C$1),'General Inputs'!N$10*$J9,IF(AND(($D9+$C$1)&gt;AQ$4,AQ$4&gt;=$C$1),'General Inputs'!N$10*$I9,0))</f>
        <v>1191.5531971261246</v>
      </c>
      <c r="AR9" s="214">
        <f>IF(AND(($E9+$C$1)&gt;AR$4,AR$4&gt;=$C$1),'General Inputs'!O$9*$H9,IF(AND(($D9+$C$1)&gt;AR$4,AR$4&gt;=$C$1),'General Inputs'!O$9*$G9,0))+IF(AND(($E9+$C$1)&gt;AR$4,AR$4&gt;=$C$1),'General Inputs'!O$10*$J9,IF(AND(($D9+$C$1)&gt;AR$4,AR$4&gt;=$C$1),'General Inputs'!O$10*$I9,0))</f>
        <v>0</v>
      </c>
      <c r="AS9" s="214">
        <f>IF(AND(($E9+$C$1)&gt;AS$4,AS$4&gt;=$C$1),'General Inputs'!P$9*$H9,IF(AND(($D9+$C$1)&gt;AS$4,AS$4&gt;=$C$1),'General Inputs'!P$9*$G9,0))+IF(AND(($E9+$C$1)&gt;AS$4,AS$4&gt;=$C$1),'General Inputs'!P$10*$J9,IF(AND(($D9+$C$1)&gt;AS$4,AS$4&gt;=$C$1),'General Inputs'!P$10*$I9,0))</f>
        <v>0</v>
      </c>
      <c r="AT9" s="214">
        <f>IF(AND(($E9+$C$1)&gt;AT$4,AT$4&gt;=$C$1),'General Inputs'!Q$9*$H9,IF(AND(($D9+$C$1)&gt;AT$4,AT$4&gt;=$C$1),'General Inputs'!Q$9*$G9,0))+IF(AND(($E9+$C$1)&gt;AT$4,AT$4&gt;=$C$1),'General Inputs'!Q$10*$J9,IF(AND(($D9+$C$1)&gt;AT$4,AT$4&gt;=$C$1),'General Inputs'!Q$10*$I9,0))</f>
        <v>0</v>
      </c>
      <c r="AU9" s="214">
        <f>IF(AND(($E9+$C$1)&gt;AU$4,AU$4&gt;=$C$1),'General Inputs'!R$9*$H9,IF(AND(($D9+$C$1)&gt;AU$4,AU$4&gt;=$C$1),'General Inputs'!R$9*$G9,0))+IF(AND(($E9+$C$1)&gt;AU$4,AU$4&gt;=$C$1),'General Inputs'!R$10*$J9,IF(AND(($D9+$C$1)&gt;AU$4,AU$4&gt;=$C$1),'General Inputs'!R$10*$I9,0))</f>
        <v>0</v>
      </c>
      <c r="AV9" s="214">
        <f>IF(AND(($E9+$C$1)&gt;AV$4,AV$4&gt;=$C$1),'General Inputs'!S$9*$H9,IF(AND(($D9+$C$1)&gt;AV$4,AV$4&gt;=$C$1),'General Inputs'!S$9*$G9,0))+IF(AND(($E9+$C$1)&gt;AV$4,AV$4&gt;=$C$1),'General Inputs'!S$10*$J9,IF(AND(($D9+$C$1)&gt;AV$4,AV$4&gt;=$C$1),'General Inputs'!S$10*$I9,0))</f>
        <v>0</v>
      </c>
      <c r="AW9" s="214">
        <f>IF(AND(($E9+$C$1)&gt;AW$4,AW$4&gt;=$C$1),'General Inputs'!T$9*$H9,IF(AND(($D9+$C$1)&gt;AW$4,AW$4&gt;=$C$1),'General Inputs'!T$9*$G9,0))+IF(AND(($E9+$C$1)&gt;AW$4,AW$4&gt;=$C$1),'General Inputs'!T$10*$J9,IF(AND(($D9+$C$1)&gt;AW$4,AW$4&gt;=$C$1),'General Inputs'!T$10*$I9,0))</f>
        <v>0</v>
      </c>
      <c r="AX9" s="214">
        <f>IF(AND(($E9+$C$1)&gt;AX$4,AX$4&gt;=$C$1),'General Inputs'!U$9*$H9,IF(AND(($D9+$C$1)&gt;AX$4,AX$4&gt;=$C$1),'General Inputs'!U$9*$G9,0))+IF(AND(($E9+$C$1)&gt;AX$4,AX$4&gt;=$C$1),'General Inputs'!U$10*$J9,IF(AND(($D9+$C$1)&gt;AX$4,AX$4&gt;=$C$1),'General Inputs'!U$10*$I9,0))</f>
        <v>0</v>
      </c>
      <c r="AY9" s="214">
        <f>IF(AND(($E9+$C$1)&gt;AY$4,AY$4&gt;=$C$1),'General Inputs'!V$9*$H9,IF(AND(($D9+$C$1)&gt;AY$4,AY$4&gt;=$C$1),'General Inputs'!V$9*$G9,0))+IF(AND(($E9+$C$1)&gt;AY$4,AY$4&gt;=$C$1),'General Inputs'!V$10*$J9,IF(AND(($D9+$C$1)&gt;AY$4,AY$4&gt;=$C$1),'General Inputs'!V$10*$I9,0))</f>
        <v>0</v>
      </c>
      <c r="AZ9" s="214">
        <f>IF(AND(($E9+$C$1)&gt;AZ$4,AZ$4&gt;=$C$1),'General Inputs'!W$9*$H9,IF(AND(($D9+$C$1)&gt;AZ$4,AZ$4&gt;=$C$1),'General Inputs'!W$9*$G9,0))+IF(AND(($E9+$C$1)&gt;AZ$4,AZ$4&gt;=$C$1),'General Inputs'!W$10*$J9,IF(AND(($D9+$C$1)&gt;AZ$4,AZ$4&gt;=$C$1),'General Inputs'!W$10*$I9,0))</f>
        <v>0</v>
      </c>
      <c r="BB9" s="214">
        <f>IF(AND(($E9+$C$1)&gt;BB$4,BB$4&gt;=$C$1),'General Inputs'!D$11*$H9,IF(AND(($D9+$C$1)&gt;BB$4,BB$4&gt;=$C$1),'General Inputs'!D$11*$G9,0))</f>
        <v>0</v>
      </c>
      <c r="BC9" s="214">
        <f>IF(AND(($E9+$C$1)&gt;BC$4,BC$4&gt;=$C$1),'General Inputs'!E$11*$H9,IF(AND(($D9+$C$1)&gt;BC$4,BC$4&gt;=$C$1),'General Inputs'!E$11*$G9,0))</f>
        <v>284.28168039119993</v>
      </c>
      <c r="BD9" s="214">
        <f>IF(AND(($E9+$C$1)&gt;BD$4,BD$4&gt;=$C$1),'General Inputs'!F$11*$H9,IF(AND(($D9+$C$1)&gt;BD$4,BD$4&gt;=$C$1),'General Inputs'!F$11*$G9,0))</f>
        <v>284.28168039119993</v>
      </c>
      <c r="BE9" s="214">
        <f>IF(AND(($E9+$C$1)&gt;BE$4,BE$4&gt;=$C$1),'General Inputs'!G$11*$H9,IF(AND(($D9+$C$1)&gt;BE$4,BE$4&gt;=$C$1),'General Inputs'!G$11*$G9,0))</f>
        <v>284.28168039119993</v>
      </c>
      <c r="BF9" s="214">
        <f>IF(AND(($E9+$C$1)&gt;BF$4,BF$4&gt;=$C$1),'General Inputs'!H$11*$H9,IF(AND(($D9+$C$1)&gt;BF$4,BF$4&gt;=$C$1),'General Inputs'!H$11*$G9,0))</f>
        <v>284.28168039119993</v>
      </c>
      <c r="BG9" s="214">
        <f>IF(AND(($E9+$C$1)&gt;BG$4,BG$4&gt;=$C$1),'General Inputs'!I$11*$H9,IF(AND(($D9+$C$1)&gt;BG$4,BG$4&gt;=$C$1),'General Inputs'!I$11*$G9,0))</f>
        <v>284.28168039119993</v>
      </c>
      <c r="BH9" s="214">
        <f>IF(AND(($E9+$C$1)&gt;BH$4,BH$4&gt;=$C$1),'General Inputs'!J$11*$H9,IF(AND(($D9+$C$1)&gt;BH$4,BH$4&gt;=$C$1),'General Inputs'!J$11*$G9,0))</f>
        <v>284.28168039119993</v>
      </c>
      <c r="BI9" s="214">
        <f>IF(AND(($E9+$C$1)&gt;BI$4,BI$4&gt;=$C$1),'General Inputs'!K$11*$H9,IF(AND(($D9+$C$1)&gt;BI$4,BI$4&gt;=$C$1),'General Inputs'!K$11*$G9,0))</f>
        <v>284.28168039119993</v>
      </c>
      <c r="BJ9" s="214">
        <f>IF(AND(($E9+$C$1)&gt;BJ$4,BJ$4&gt;=$C$1),'General Inputs'!L$11*$H9,IF(AND(($D9+$C$1)&gt;BJ$4,BJ$4&gt;=$C$1),'General Inputs'!L$11*$G9,0))</f>
        <v>284.28168039119993</v>
      </c>
      <c r="BK9" s="214">
        <f>IF(AND(($E9+$C$1)&gt;BK$4,BK$4&gt;=$C$1),'General Inputs'!M$11*$H9,IF(AND(($D9+$C$1)&gt;BK$4,BK$4&gt;=$C$1),'General Inputs'!M$11*$G9,0))</f>
        <v>284.28168039119993</v>
      </c>
      <c r="BL9" s="214">
        <f>IF(AND(($E9+$C$1)&gt;BL$4,BL$4&gt;=$C$1),'General Inputs'!N$11*$H9,IF(AND(($D9+$C$1)&gt;BL$4,BL$4&gt;=$C$1),'General Inputs'!N$11*$G9,0))</f>
        <v>284.28168039119993</v>
      </c>
      <c r="BM9" s="214">
        <f>IF(AND(($E9+$C$1)&gt;BM$4,BM$4&gt;=$C$1),'General Inputs'!O$11*$H9,IF(AND(($D9+$C$1)&gt;BM$4,BM$4&gt;=$C$1),'General Inputs'!O$11*$G9,0))</f>
        <v>0</v>
      </c>
      <c r="BN9" s="214">
        <f>IF(AND(($E9+$C$1)&gt;BN$4,BN$4&gt;=$C$1),'General Inputs'!P$11*$H9,IF(AND(($D9+$C$1)&gt;BN$4,BN$4&gt;=$C$1),'General Inputs'!P$11*$G9,0))</f>
        <v>0</v>
      </c>
      <c r="BO9" s="214">
        <f>IF(AND(($E9+$C$1)&gt;BO$4,BO$4&gt;=$C$1),'General Inputs'!Q$11*$H9,IF(AND(($D9+$C$1)&gt;BO$4,BO$4&gt;=$C$1),'General Inputs'!Q$11*$G9,0))</f>
        <v>0</v>
      </c>
      <c r="BP9" s="214">
        <f>IF(AND(($E9+$C$1)&gt;BP$4,BP$4&gt;=$C$1),'General Inputs'!R$11*$H9,IF(AND(($D9+$C$1)&gt;BP$4,BP$4&gt;=$C$1),'General Inputs'!R$11*$G9,0))</f>
        <v>0</v>
      </c>
      <c r="BQ9" s="214">
        <f>IF(AND(($E9+$C$1)&gt;BQ$4,BQ$4&gt;=$C$1),'General Inputs'!S$11*$H9,IF(AND(($D9+$C$1)&gt;BQ$4,BQ$4&gt;=$C$1),'General Inputs'!S$11*$G9,0))</f>
        <v>0</v>
      </c>
      <c r="BR9" s="214">
        <f>IF(AND(($E9+$C$1)&gt;BR$4,BR$4&gt;=$C$1),'General Inputs'!T$11*$H9,IF(AND(($D9+$C$1)&gt;BR$4,BR$4&gt;=$C$1),'General Inputs'!T$11*$G9,0))</f>
        <v>0</v>
      </c>
      <c r="BS9" s="214">
        <f>IF(AND(($E9+$C$1)&gt;BS$4,BS$4&gt;=$C$1),'General Inputs'!U$11*$H9,IF(AND(($D9+$C$1)&gt;BS$4,BS$4&gt;=$C$1),'General Inputs'!U$11*$G9,0))</f>
        <v>0</v>
      </c>
      <c r="BT9" s="214">
        <f>IF(AND(($E9+$C$1)&gt;BT$4,BT$4&gt;=$C$1),'General Inputs'!V$11*$H9,IF(AND(($D9+$C$1)&gt;BT$4,BT$4&gt;=$C$1),'General Inputs'!V$11*$G9,0))</f>
        <v>0</v>
      </c>
      <c r="BU9" s="214">
        <f>IF(AND(($E9+$C$1)&gt;BU$4,BU$4&gt;=$C$1),'General Inputs'!W$11*$H9,IF(AND(($D9+$C$1)&gt;BU$4,BU$4&gt;=$C$1),'General Inputs'!W$11*$G9,0))</f>
        <v>0</v>
      </c>
      <c r="BW9" s="214">
        <f>IF(AND(($E9+$C$1)&gt;BW$4,BW$4&gt;=$C$1),$H9,IF(AND(($D9+$C$1)&gt;BW$4,BW$4&gt;=$C$1),$G9,0))*IF($A9="Residential",'General Inputs'!D$14,'General Inputs'!D$19)</f>
        <v>0</v>
      </c>
      <c r="BX9" s="214">
        <f>IF(AND(($E9+$C$1)&gt;BX$4,BX$4&gt;=$C$1),$H9,IF(AND(($D9+$C$1)&gt;BX$4,BX$4&gt;=$C$1),$G9,0))*IF($A9="Residential",'General Inputs'!E$14,'General Inputs'!E$19)</f>
        <v>3397.5106079490101</v>
      </c>
      <c r="BY9" s="214">
        <f>IF(AND(($E9+$C$1)&gt;BY$4,BY$4&gt;=$C$1),$H9,IF(AND(($D9+$C$1)&gt;BY$4,BY$4&gt;=$C$1),$G9,0))*IF($A9="Residential",'General Inputs'!F$14,'General Inputs'!F$19)</f>
        <v>3448.4732670682447</v>
      </c>
      <c r="BZ9" s="214">
        <f>IF(AND(($E9+$C$1)&gt;BZ$4,BZ$4&gt;=$C$1),$H9,IF(AND(($D9+$C$1)&gt;BZ$4,BZ$4&gt;=$C$1),$G9,0))*IF($A9="Residential",'General Inputs'!G$14,'General Inputs'!G$19)</f>
        <v>3500.200366074268</v>
      </c>
      <c r="CA9" s="214">
        <f>IF(AND(($E9+$C$1)&gt;CA$4,CA$4&gt;=$C$1),$H9,IF(AND(($D9+$C$1)&gt;CA$4,CA$4&gt;=$C$1),$G9,0))*IF($A9="Residential",'General Inputs'!H$14,'General Inputs'!H$19)</f>
        <v>3552.7033715653815</v>
      </c>
      <c r="CB9" s="214">
        <f>IF(AND(($E9+$C$1)&gt;CB$4,CB$4&gt;=$C$1),$H9,IF(AND(($D9+$C$1)&gt;CB$4,CB$4&gt;=$C$1),$G9,0))*IF($A9="Residential",'General Inputs'!I$14,'General Inputs'!I$19)</f>
        <v>3605.9939221388622</v>
      </c>
      <c r="CC9" s="214">
        <f>IF(AND(($E9+$C$1)&gt;CC$4,CC$4&gt;=$C$1),$H9,IF(AND(($D9+$C$1)&gt;CC$4,CC$4&gt;=$C$1),$G9,0))*IF($A9="Residential",'General Inputs'!J$14,'General Inputs'!J$19)</f>
        <v>3660.0838309709443</v>
      </c>
      <c r="CD9" s="214">
        <f>IF(AND(($E9+$C$1)&gt;CD$4,CD$4&gt;=$C$1),$H9,IF(AND(($D9+$C$1)&gt;CD$4,CD$4&gt;=$C$1),$G9,0))*IF($A9="Residential",'General Inputs'!K$14,'General Inputs'!K$19)</f>
        <v>3714.9850884355078</v>
      </c>
      <c r="CE9" s="214">
        <f>IF(AND(($E9+$C$1)&gt;CE$4,CE$4&gt;=$C$1),$H9,IF(AND(($D9+$C$1)&gt;CE$4,CE$4&gt;=$C$1),$G9,0))*IF($A9="Residential",'General Inputs'!L$14,'General Inputs'!L$19)</f>
        <v>3770.7098647620401</v>
      </c>
      <c r="CF9" s="214">
        <f>IF(AND(($E9+$C$1)&gt;CF$4,CF$4&gt;=$C$1),$H9,IF(AND(($D9+$C$1)&gt;CF$4,CF$4&gt;=$C$1),$G9,0))*IF($A9="Residential",'General Inputs'!M$14,'General Inputs'!M$19)</f>
        <v>3827.2705127334702</v>
      </c>
      <c r="CG9" s="214">
        <f>IF(AND(($E9+$C$1)&gt;CG$4,CG$4&gt;=$C$1),$H9,IF(AND(($D9+$C$1)&gt;CG$4,CG$4&gt;=$C$1),$G9,0))*IF($A9="Residential",'General Inputs'!N$14,'General Inputs'!N$19)</f>
        <v>3884.6795704244719</v>
      </c>
      <c r="CH9" s="214">
        <f>IF(AND(($E9+$C$1)&gt;CH$4,CH$4&gt;=$C$1),$H9,IF(AND(($D9+$C$1)&gt;CH$4,CH$4&gt;=$C$1),$G9,0))*IF($A9="Residential",'General Inputs'!O$14,'General Inputs'!O$19)</f>
        <v>0</v>
      </c>
      <c r="CI9" s="214">
        <f>IF(AND(($E9+$C$1)&gt;CI$4,CI$4&gt;=$C$1),$H9,IF(AND(($D9+$C$1)&gt;CI$4,CI$4&gt;=$C$1),$G9,0))*IF($A9="Residential",'General Inputs'!P$14,'General Inputs'!P$19)</f>
        <v>0</v>
      </c>
      <c r="CJ9" s="214">
        <f>IF(AND(($E9+$C$1)&gt;CJ$4,CJ$4&gt;=$C$1),$H9,IF(AND(($D9+$C$1)&gt;CJ$4,CJ$4&gt;=$C$1),$G9,0))*IF($A9="Residential",'General Inputs'!Q$14,'General Inputs'!Q$19)</f>
        <v>0</v>
      </c>
      <c r="CK9" s="214">
        <f>IF(AND(($E9+$C$1)&gt;CK$4,CK$4&gt;=$C$1),$H9,IF(AND(($D9+$C$1)&gt;CK$4,CK$4&gt;=$C$1),$G9,0))*IF($A9="Residential",'General Inputs'!R$14,'General Inputs'!R$19)</f>
        <v>0</v>
      </c>
      <c r="CL9" s="214">
        <f>IF(AND(($E9+$C$1)&gt;CL$4,CL$4&gt;=$C$1),$H9,IF(AND(($D9+$C$1)&gt;CL$4,CL$4&gt;=$C$1),$G9,0))*IF($A9="Residential",'General Inputs'!S$14,'General Inputs'!S$19)</f>
        <v>0</v>
      </c>
      <c r="CM9" s="214">
        <f>IF(AND(($E9+$C$1)&gt;CM$4,CM$4&gt;=$C$1),$H9,IF(AND(($D9+$C$1)&gt;CM$4,CM$4&gt;=$C$1),$G9,0))*IF($A9="Residential",'General Inputs'!T$14,'General Inputs'!T$19)</f>
        <v>0</v>
      </c>
      <c r="CN9" s="214">
        <f>IF(AND(($E9+$C$1)&gt;CN$4,CN$4&gt;=$C$1),$H9,IF(AND(($D9+$C$1)&gt;CN$4,CN$4&gt;=$C$1),$G9,0))*IF($A9="Residential",'General Inputs'!U$14,'General Inputs'!U$19)</f>
        <v>0</v>
      </c>
      <c r="CO9" s="214">
        <f>IF(AND(($E9+$C$1)&gt;CO$4,CO$4&gt;=$C$1),$H9,IF(AND(($D9+$C$1)&gt;CO$4,CO$4&gt;=$C$1),$G9,0))*IF($A9="Residential",'General Inputs'!V$14,'General Inputs'!V$19)</f>
        <v>0</v>
      </c>
      <c r="CP9" s="214">
        <f>IF(AND(($E9+$C$1)&gt;CP$4,CP$4&gt;=$C$1),$H9,IF(AND(($D9+$C$1)&gt;CP$4,CP$4&gt;=$C$1),$G9,0))*IF($A9="Residential",'General Inputs'!W$14,'General Inputs'!W$19)</f>
        <v>0</v>
      </c>
      <c r="CR9" s="214">
        <f>IF(AND(($E9+$C$1)&gt;CR$4,CR$4&gt;=$C$1),$H9,IF(AND(($D9+$C$1)&gt;CR$4,CR$4&gt;=$C$1),$G9,0))*IF($A9="Residential",'General Inputs'!D$15,'General Inputs'!D$19)</f>
        <v>0</v>
      </c>
      <c r="CS9" s="214">
        <f>IF(AND(($E9+$C$1)&gt;CS$4,CS$4&gt;=$C$1),$H9,IF(AND(($D9+$C$1)&gt;CS$4,CS$4&gt;=$C$1),$G9,0))*IF($A9="Residential",'General Inputs'!E$15,'General Inputs'!E$19)</f>
        <v>2763.9030103490268</v>
      </c>
      <c r="CT9" s="214">
        <f>IF(AND(($E9+$C$1)&gt;CT$4,CT$4&gt;=$C$1),$H9,IF(AND(($D9+$C$1)&gt;CT$4,CT$4&gt;=$C$1),$G9,0))*IF($A9="Residential",'General Inputs'!F$15,'General Inputs'!F$19)</f>
        <v>2805.361555504262</v>
      </c>
      <c r="CU9" s="214">
        <f>IF(AND(($E9+$C$1)&gt;CU$4,CU$4&gt;=$C$1),$H9,IF(AND(($D9+$C$1)&gt;CU$4,CU$4&gt;=$C$1),$G9,0))*IF($A9="Residential",'General Inputs'!G$15,'General Inputs'!G$19)</f>
        <v>2847.4419788368255</v>
      </c>
      <c r="CV9" s="214">
        <f>IF(AND(($E9+$C$1)&gt;CV$4,CV$4&gt;=$C$1),$H9,IF(AND(($D9+$C$1)&gt;CV$4,CV$4&gt;=$C$1),$G9,0))*IF($A9="Residential",'General Inputs'!H$15,'General Inputs'!H$19)</f>
        <v>2890.1536085193775</v>
      </c>
      <c r="CW9" s="214">
        <f>IF(AND(($E9+$C$1)&gt;CW$4,CW$4&gt;=$C$1),$H9,IF(AND(($D9+$C$1)&gt;CW$4,CW$4&gt;=$C$1),$G9,0))*IF($A9="Residential",'General Inputs'!I$15,'General Inputs'!I$19)</f>
        <v>2933.5059126471679</v>
      </c>
      <c r="CX9" s="214">
        <f>IF(AND(($E9+$C$1)&gt;CX$4,CX$4&gt;=$C$1),$H9,IF(AND(($D9+$C$1)&gt;CX$4,CX$4&gt;=$C$1),$G9,0))*IF($A9="Residential",'General Inputs'!J$15,'General Inputs'!J$19)</f>
        <v>2977.5085013368753</v>
      </c>
      <c r="CY9" s="214">
        <f>IF(AND(($E9+$C$1)&gt;CY$4,CY$4&gt;=$C$1),$H9,IF(AND(($D9+$C$1)&gt;CY$4,CY$4&gt;=$C$1),$G9,0))*IF($A9="Residential",'General Inputs'!K$15,'General Inputs'!K$19)</f>
        <v>3022.1711288569281</v>
      </c>
      <c r="CZ9" s="214">
        <f>IF(AND(($E9+$C$1)&gt;CZ$4,CZ$4&gt;=$C$1),$H9,IF(AND(($D9+$C$1)&gt;CZ$4,CZ$4&gt;=$C$1),$G9,0))*IF($A9="Residential",'General Inputs'!L$15,'General Inputs'!L$19)</f>
        <v>3067.5036957897814</v>
      </c>
      <c r="DA9" s="214">
        <f>IF(AND(($E9+$C$1)&gt;DA$4,DA$4&gt;=$C$1),$H9,IF(AND(($D9+$C$1)&gt;DA$4,DA$4&gt;=$C$1),$G9,0))*IF($A9="Residential",'General Inputs'!M$15,'General Inputs'!M$19)</f>
        <v>3113.5162512266279</v>
      </c>
      <c r="DB9" s="214">
        <f>IF(AND(($E9+$C$1)&gt;DB$4,DB$4&gt;=$C$1),$H9,IF(AND(($D9+$C$1)&gt;DB$4,DB$4&gt;=$C$1),$G9,0))*IF($A9="Residential",'General Inputs'!N$15,'General Inputs'!N$19)</f>
        <v>3160.2189949950271</v>
      </c>
      <c r="DC9" s="214">
        <f>IF(AND(($E9+$C$1)&gt;DC$4,DC$4&gt;=$C$1),$H9,IF(AND(($D9+$C$1)&gt;DC$4,DC$4&gt;=$C$1),$G9,0))*IF($A9="Residential",'General Inputs'!O$15,'General Inputs'!O$19)</f>
        <v>0</v>
      </c>
      <c r="DD9" s="214">
        <f>IF(AND(($E9+$C$1)&gt;DD$4,DD$4&gt;=$C$1),$H9,IF(AND(($D9+$C$1)&gt;DD$4,DD$4&gt;=$C$1),$G9,0))*IF($A9="Residential",'General Inputs'!P$15,'General Inputs'!P$19)</f>
        <v>0</v>
      </c>
      <c r="DE9" s="214">
        <f>IF(AND(($E9+$C$1)&gt;DE$4,DE$4&gt;=$C$1),$H9,IF(AND(($D9+$C$1)&gt;DE$4,DE$4&gt;=$C$1),$G9,0))*IF($A9="Residential",'General Inputs'!Q$15,'General Inputs'!Q$19)</f>
        <v>0</v>
      </c>
      <c r="DF9" s="214">
        <f>IF(AND(($E9+$C$1)&gt;DF$4,DF$4&gt;=$C$1),$H9,IF(AND(($D9+$C$1)&gt;DF$4,DF$4&gt;=$C$1),$G9,0))*IF($A9="Residential",'General Inputs'!R$15,'General Inputs'!R$19)</f>
        <v>0</v>
      </c>
      <c r="DG9" s="214">
        <f>IF(AND(($E9+$C$1)&gt;DG$4,DG$4&gt;=$C$1),$H9,IF(AND(($D9+$C$1)&gt;DG$4,DG$4&gt;=$C$1),$G9,0))*IF($A9="Residential",'General Inputs'!S$15,'General Inputs'!S$19)</f>
        <v>0</v>
      </c>
      <c r="DH9" s="214">
        <f>IF(AND(($E9+$C$1)&gt;DH$4,DH$4&gt;=$C$1),$H9,IF(AND(($D9+$C$1)&gt;DH$4,DH$4&gt;=$C$1),$G9,0))*IF($A9="Residential",'General Inputs'!T$15,'General Inputs'!T$19)</f>
        <v>0</v>
      </c>
      <c r="DI9" s="214">
        <f>IF(AND(($E9+$C$1)&gt;DI$4,DI$4&gt;=$C$1),$H9,IF(AND(($D9+$C$1)&gt;DI$4,DI$4&gt;=$C$1),$G9,0))*IF($A9="Residential",'General Inputs'!U$15,'General Inputs'!U$19)</f>
        <v>0</v>
      </c>
      <c r="DJ9" s="214">
        <f>IF(AND(($E9+$C$1)&gt;DJ$4,DJ$4&gt;=$C$1),$H9,IF(AND(($D9+$C$1)&gt;DJ$4,DJ$4&gt;=$C$1),$G9,0))*IF($A9="Residential",'General Inputs'!V$15,'General Inputs'!V$19)</f>
        <v>0</v>
      </c>
      <c r="DK9" s="214">
        <f>IF(AND(($E9+$C$1)&gt;DK$4,DK$4&gt;=$C$1),$H9,IF(AND(($D9+$C$1)&gt;DK$4,DK$4&gt;=$C$1),$G9,0))*IF($A9="Residential",'General Inputs'!W$15,'General Inputs'!W$19)</f>
        <v>0</v>
      </c>
      <c r="DM9" s="214">
        <f>IF($C$1=DM$4,$L9*$C9,IF($E9+$C$1=DM$4,-$M9*$C9,0))</f>
        <v>0</v>
      </c>
      <c r="DN9" s="214">
        <f t="shared" si="27"/>
        <v>12000</v>
      </c>
      <c r="DO9" s="214">
        <f t="shared" si="27"/>
        <v>0</v>
      </c>
      <c r="DP9" s="214">
        <f t="shared" si="27"/>
        <v>0</v>
      </c>
      <c r="DQ9" s="214">
        <f t="shared" si="27"/>
        <v>0</v>
      </c>
      <c r="DR9" s="214">
        <f t="shared" si="27"/>
        <v>0</v>
      </c>
      <c r="DS9" s="214">
        <f t="shared" si="27"/>
        <v>0</v>
      </c>
      <c r="DT9" s="214">
        <f t="shared" si="27"/>
        <v>0</v>
      </c>
      <c r="DU9" s="214">
        <f t="shared" si="27"/>
        <v>0</v>
      </c>
      <c r="DV9" s="214">
        <f t="shared" si="27"/>
        <v>0</v>
      </c>
      <c r="DW9" s="214">
        <f t="shared" si="27"/>
        <v>0</v>
      </c>
      <c r="DY9" s="219"/>
      <c r="DZ9" s="650"/>
      <c r="EA9" s="219"/>
      <c r="EB9" s="219"/>
      <c r="EC9" s="219"/>
      <c r="ED9" s="219"/>
      <c r="EE9" s="219"/>
      <c r="EF9" s="219"/>
      <c r="FI9" s="195"/>
      <c r="FJ9" s="195"/>
      <c r="FK9" s="195"/>
      <c r="FL9" s="195"/>
      <c r="FM9" s="195"/>
      <c r="FN9" s="195"/>
      <c r="FO9" s="195"/>
    </row>
    <row r="10" spans="1:171">
      <c r="A10" s="342" t="s">
        <v>12</v>
      </c>
      <c r="B10" s="427" t="str">
        <f>'Portfolio Inputs'!A9</f>
        <v>ENERGY STAR Refrigerator</v>
      </c>
      <c r="C10" s="217">
        <f>IF($C$1=2014,'Portfolio Inputs'!$C9,IF($C$1=2015,'Portfolio Inputs'!$D9,'Portfolio Inputs'!$E9))</f>
        <v>500</v>
      </c>
      <c r="D10" s="504">
        <f>VLOOKUP(B10,Sources!$B$4:$J$104,2,FALSE)</f>
        <v>14</v>
      </c>
      <c r="E10" s="504">
        <f>VLOOKUP(B10,Sources!$B$4:$J$104,3,FALSE)</f>
        <v>0</v>
      </c>
      <c r="G10" s="504">
        <f>IF($C$1=2014,'Portfolio Inputs'!$G9,IF($C$1=2015,'Portfolio Inputs'!$H9,'Portfolio Inputs'!$I9))*EnergyLineLoss</f>
        <v>54110.007000000012</v>
      </c>
      <c r="H10" s="504"/>
      <c r="I10" s="504">
        <f>IF($C$1=2014,'Portfolio Inputs'!$K9,IF($C$1=2015,'Portfolio Inputs'!$L9,'Portfolio Inputs'!$M9))*PeakLineLoss</f>
        <v>6.1769414383561649</v>
      </c>
      <c r="J10" s="510"/>
      <c r="L10" s="606">
        <f>IF($C$1=2014,'Portfolio Inputs'!$O9,IF($C$1=2015,'Portfolio Inputs'!$P9,'Portfolio Inputs'!$Q9))</f>
        <v>40</v>
      </c>
      <c r="M10" s="518">
        <f>VLOOKUP($B10,Sources!$B$4:$K$104,10,FALSE)</f>
        <v>0</v>
      </c>
      <c r="N10" s="419">
        <f>IF($C$1=2014,'Portfolio Inputs'!$W9,IF($C$1=2015,'Portfolio Inputs'!$X9,'Portfolio Inputs'!$Y9))</f>
        <v>20000</v>
      </c>
      <c r="O10" s="419"/>
      <c r="Q10" s="438">
        <f t="shared" si="0"/>
        <v>1.0545954986020265</v>
      </c>
      <c r="R10" s="439">
        <f t="shared" si="1"/>
        <v>1.0545954986020265</v>
      </c>
      <c r="S10" s="439">
        <f t="shared" si="2"/>
        <v>1.3183399031175771</v>
      </c>
      <c r="T10" s="439">
        <f t="shared" si="3"/>
        <v>4.4092765066080437</v>
      </c>
      <c r="U10" s="439">
        <f t="shared" ref="U10:U12" si="28">IF(AE10&gt;0,(AD10+AB10)/AE10,"n/a")</f>
        <v>3.7734746663276955</v>
      </c>
      <c r="V10" s="439">
        <f t="shared" ref="V10:V12" si="29">IF((AA10+AC10+AD10)&gt;0,Y10/(AA10+AC10+AD10),"n/a")</f>
        <v>0.23917653996557883</v>
      </c>
      <c r="W10" s="439">
        <f t="shared" ref="W10:W12" si="30">IF((AB10+AC10+AD10)&gt;0,Y10/(AB10+AC10+AD10),"n/a")</f>
        <v>0.27947597157935805</v>
      </c>
      <c r="Y10" s="215">
        <f t="shared" si="4"/>
        <v>19378.82209853044</v>
      </c>
      <c r="Z10" s="215">
        <f t="shared" si="5"/>
        <v>4846.4609429538887</v>
      </c>
      <c r="AA10" s="215">
        <f t="shared" si="6"/>
        <v>62647.491852407991</v>
      </c>
      <c r="AB10" s="215">
        <f t="shared" si="7"/>
        <v>50964.253332004686</v>
      </c>
      <c r="AC10" s="216">
        <f t="shared" si="20"/>
        <v>0</v>
      </c>
      <c r="AD10" s="216">
        <f t="shared" si="21"/>
        <v>18375.597206909224</v>
      </c>
      <c r="AE10" s="215">
        <f t="shared" si="8"/>
        <v>18375.597206909224</v>
      </c>
      <c r="AG10" s="214">
        <f>IF(AND(($E10+$C$1)&gt;AG$4,AG$4&gt;=$C$1),'General Inputs'!D$9*$H10,IF(AND(($D10+$C$1)&gt;AG$4,AG$4&gt;=$C$1),'General Inputs'!D$9*$G10,0))+IF(AND(($E10+$C$1)&gt;AG$4,AG$4&gt;=$C$1),'General Inputs'!D$10*$J10,IF(AND(($D10+$C$1)&gt;AG$4,AG$4&gt;=$C$1),'General Inputs'!D$10*$I10,0))</f>
        <v>0</v>
      </c>
      <c r="AH10" s="214">
        <f>IF(AND(($E10+$C$1)&gt;AH$4,AH$4&gt;=$C$1),'General Inputs'!E$9*$H10,IF(AND(($D10+$C$1)&gt;AH$4,AH$4&gt;=$C$1),'General Inputs'!E$9*$G10,0))+IF(AND(($E10+$C$1)&gt;AH$4,AH$4&gt;=$C$1),'General Inputs'!E$10*$J10,IF(AND(($D10+$C$1)&gt;AH$4,AH$4&gt;=$C$1),'General Inputs'!E$10*$I10,0))</f>
        <v>2280.4369877164759</v>
      </c>
      <c r="AI10" s="214">
        <f>IF(AND(($E10+$C$1)&gt;AI$4,AI$4&gt;=$C$1),'General Inputs'!F$9*$H10,IF(AND(($D10+$C$1)&gt;AI$4,AI$4&gt;=$C$1),'General Inputs'!F$9*$G10,0))+IF(AND(($E10+$C$1)&gt;AI$4,AI$4&gt;=$C$1),'General Inputs'!F$10*$J10,IF(AND(($D10+$C$1)&gt;AI$4,AI$4&gt;=$C$1),'General Inputs'!F$10*$I10,0))</f>
        <v>2314.6435425322225</v>
      </c>
      <c r="AJ10" s="214">
        <f>IF(AND(($E10+$C$1)&gt;AJ$4,AJ$4&gt;=$C$1),'General Inputs'!G$9*$H10,IF(AND(($D10+$C$1)&gt;AJ$4,AJ$4&gt;=$C$1),'General Inputs'!G$9*$G10,0))+IF(AND(($E10+$C$1)&gt;AJ$4,AJ$4&gt;=$C$1),'General Inputs'!G$10*$J10,IF(AND(($D10+$C$1)&gt;AJ$4,AJ$4&gt;=$C$1),'General Inputs'!G$10*$I10,0))</f>
        <v>2349.3631956702052</v>
      </c>
      <c r="AK10" s="214">
        <f>IF(AND(($E10+$C$1)&gt;AK$4,AK$4&gt;=$C$1),'General Inputs'!H$9*$H10,IF(AND(($D10+$C$1)&gt;AK$4,AK$4&gt;=$C$1),'General Inputs'!H$9*$G10,0))+IF(AND(($E10+$C$1)&gt;AK$4,AK$4&gt;=$C$1),'General Inputs'!H$10*$J10,IF(AND(($D10+$C$1)&gt;AK$4,AK$4&gt;=$C$1),'General Inputs'!H$10*$I10,0))</f>
        <v>2384.6036436052582</v>
      </c>
      <c r="AL10" s="214">
        <f>IF(AND(($E10+$C$1)&gt;AL$4,AL$4&gt;=$C$1),'General Inputs'!I$9*$H10,IF(AND(($D10+$C$1)&gt;AL$4,AL$4&gt;=$C$1),'General Inputs'!I$9*$G10,0))+IF(AND(($E10+$C$1)&gt;AL$4,AL$4&gt;=$C$1),'General Inputs'!I$10*$J10,IF(AND(($D10+$C$1)&gt;AL$4,AL$4&gt;=$C$1),'General Inputs'!I$10*$I10,0))</f>
        <v>2420.3726982593371</v>
      </c>
      <c r="AM10" s="214">
        <f>IF(AND(($E10+$C$1)&gt;AM$4,AM$4&gt;=$C$1),'General Inputs'!J$9*$H10,IF(AND(($D10+$C$1)&gt;AM$4,AM$4&gt;=$C$1),'General Inputs'!J$9*$G10,0))+IF(AND(($E10+$C$1)&gt;AM$4,AM$4&gt;=$C$1),'General Inputs'!J$10*$J10,IF(AND(($D10+$C$1)&gt;AM$4,AM$4&gt;=$C$1),'General Inputs'!J$10*$I10,0))</f>
        <v>2456.6782887332265</v>
      </c>
      <c r="AN10" s="214">
        <f>IF(AND(($E10+$C$1)&gt;AN$4,AN$4&gt;=$C$1),'General Inputs'!K$9*$H10,IF(AND(($D10+$C$1)&gt;AN$4,AN$4&gt;=$C$1),'General Inputs'!K$9*$G10,0))+IF(AND(($E10+$C$1)&gt;AN$4,AN$4&gt;=$C$1),'General Inputs'!K$10*$J10,IF(AND(($D10+$C$1)&gt;AN$4,AN$4&gt;=$C$1),'General Inputs'!K$10*$I10,0))</f>
        <v>2493.5284630642245</v>
      </c>
      <c r="AO10" s="214">
        <f>IF(AND(($E10+$C$1)&gt;AO$4,AO$4&gt;=$C$1),'General Inputs'!L$9*$H10,IF(AND(($D10+$C$1)&gt;AO$4,AO$4&gt;=$C$1),'General Inputs'!L$9*$G10,0))+IF(AND(($E10+$C$1)&gt;AO$4,AO$4&gt;=$C$1),'General Inputs'!L$10*$J10,IF(AND(($D10+$C$1)&gt;AO$4,AO$4&gt;=$C$1),'General Inputs'!L$10*$I10,0))</f>
        <v>2530.9313900101879</v>
      </c>
      <c r="AP10" s="214">
        <f>IF(AND(($E10+$C$1)&gt;AP$4,AP$4&gt;=$C$1),'General Inputs'!M$9*$H10,IF(AND(($D10+$C$1)&gt;AP$4,AP$4&gt;=$C$1),'General Inputs'!M$9*$G10,0))+IF(AND(($E10+$C$1)&gt;AP$4,AP$4&gt;=$C$1),'General Inputs'!M$10*$J10,IF(AND(($D10+$C$1)&gt;AP$4,AP$4&gt;=$C$1),'General Inputs'!M$10*$I10,0))</f>
        <v>2568.8953608603401</v>
      </c>
      <c r="AQ10" s="214">
        <f>IF(AND(($E10+$C$1)&gt;AQ$4,AQ$4&gt;=$C$1),'General Inputs'!N$9*$H10,IF(AND(($D10+$C$1)&gt;AQ$4,AQ$4&gt;=$C$1),'General Inputs'!N$9*$G10,0))+IF(AND(($E10+$C$1)&gt;AQ$4,AQ$4&gt;=$C$1),'General Inputs'!N$10*$J10,IF(AND(($D10+$C$1)&gt;AQ$4,AQ$4&gt;=$C$1),'General Inputs'!N$10*$I10,0))</f>
        <v>2607.4287912732452</v>
      </c>
      <c r="AR10" s="214">
        <f>IF(AND(($E10+$C$1)&gt;AR$4,AR$4&gt;=$C$1),'General Inputs'!O$9*$H10,IF(AND(($D10+$C$1)&gt;AR$4,AR$4&gt;=$C$1),'General Inputs'!O$9*$G10,0))+IF(AND(($E10+$C$1)&gt;AR$4,AR$4&gt;=$C$1),'General Inputs'!O$10*$J10,IF(AND(($D10+$C$1)&gt;AR$4,AR$4&gt;=$C$1),'General Inputs'!O$10*$I10,0))</f>
        <v>2646.5402231423432</v>
      </c>
      <c r="AS10" s="214">
        <f>IF(AND(($E10+$C$1)&gt;AS$4,AS$4&gt;=$C$1),'General Inputs'!P$9*$H10,IF(AND(($D10+$C$1)&gt;AS$4,AS$4&gt;=$C$1),'General Inputs'!P$9*$G10,0))+IF(AND(($E10+$C$1)&gt;AS$4,AS$4&gt;=$C$1),'General Inputs'!P$10*$J10,IF(AND(($D10+$C$1)&gt;AS$4,AS$4&gt;=$C$1),'General Inputs'!P$10*$I10,0))</f>
        <v>2686.2383264894784</v>
      </c>
      <c r="AT10" s="214">
        <f>IF(AND(($E10+$C$1)&gt;AT$4,AT$4&gt;=$C$1),'General Inputs'!Q$9*$H10,IF(AND(($D10+$C$1)&gt;AT$4,AT$4&gt;=$C$1),'General Inputs'!Q$9*$G10,0))+IF(AND(($E10+$C$1)&gt;AT$4,AT$4&gt;=$C$1),'General Inputs'!Q$10*$J10,IF(AND(($D10+$C$1)&gt;AT$4,AT$4&gt;=$C$1),'General Inputs'!Q$10*$I10,0))</f>
        <v>2726.5319013868202</v>
      </c>
      <c r="AU10" s="214">
        <f>IF(AND(($E10+$C$1)&gt;AU$4,AU$4&gt;=$C$1),'General Inputs'!R$9*$H10,IF(AND(($D10+$C$1)&gt;AU$4,AU$4&gt;=$C$1),'General Inputs'!R$9*$G10,0))+IF(AND(($E10+$C$1)&gt;AU$4,AU$4&gt;=$C$1),'General Inputs'!R$10*$J10,IF(AND(($D10+$C$1)&gt;AU$4,AU$4&gt;=$C$1),'General Inputs'!R$10*$I10,0))</f>
        <v>2767.4298799076228</v>
      </c>
      <c r="AV10" s="214">
        <f>IF(AND(($E10+$C$1)&gt;AV$4,AV$4&gt;=$C$1),'General Inputs'!S$9*$H10,IF(AND(($D10+$C$1)&gt;AV$4,AV$4&gt;=$C$1),'General Inputs'!S$9*$G10,0))+IF(AND(($E10+$C$1)&gt;AV$4,AV$4&gt;=$C$1),'General Inputs'!S$10*$J10,IF(AND(($D10+$C$1)&gt;AV$4,AV$4&gt;=$C$1),'General Inputs'!S$10*$I10,0))</f>
        <v>0</v>
      </c>
      <c r="AW10" s="214">
        <f>IF(AND(($E10+$C$1)&gt;AW$4,AW$4&gt;=$C$1),'General Inputs'!T$9*$H10,IF(AND(($D10+$C$1)&gt;AW$4,AW$4&gt;=$C$1),'General Inputs'!T$9*$G10,0))+IF(AND(($E10+$C$1)&gt;AW$4,AW$4&gt;=$C$1),'General Inputs'!T$10*$J10,IF(AND(($D10+$C$1)&gt;AW$4,AW$4&gt;=$C$1),'General Inputs'!T$10*$I10,0))</f>
        <v>0</v>
      </c>
      <c r="AX10" s="214">
        <f>IF(AND(($E10+$C$1)&gt;AX$4,AX$4&gt;=$C$1),'General Inputs'!U$9*$H10,IF(AND(($D10+$C$1)&gt;AX$4,AX$4&gt;=$C$1),'General Inputs'!U$9*$G10,0))+IF(AND(($E10+$C$1)&gt;AX$4,AX$4&gt;=$C$1),'General Inputs'!U$10*$J10,IF(AND(($D10+$C$1)&gt;AX$4,AX$4&gt;=$C$1),'General Inputs'!U$10*$I10,0))</f>
        <v>0</v>
      </c>
      <c r="AY10" s="214">
        <f>IF(AND(($E10+$C$1)&gt;AY$4,AY$4&gt;=$C$1),'General Inputs'!V$9*$H10,IF(AND(($D10+$C$1)&gt;AY$4,AY$4&gt;=$C$1),'General Inputs'!V$9*$G10,0))+IF(AND(($E10+$C$1)&gt;AY$4,AY$4&gt;=$C$1),'General Inputs'!V$10*$J10,IF(AND(($D10+$C$1)&gt;AY$4,AY$4&gt;=$C$1),'General Inputs'!V$10*$I10,0))</f>
        <v>0</v>
      </c>
      <c r="AZ10" s="214">
        <f>IF(AND(($E10+$C$1)&gt;AZ$4,AZ$4&gt;=$C$1),'General Inputs'!W$9*$H10,IF(AND(($D10+$C$1)&gt;AZ$4,AZ$4&gt;=$C$1),'General Inputs'!W$9*$G10,0))+IF(AND(($E10+$C$1)&gt;AZ$4,AZ$4&gt;=$C$1),'General Inputs'!W$10*$J10,IF(AND(($D10+$C$1)&gt;AZ$4,AZ$4&gt;=$C$1),'General Inputs'!W$10*$I10,0))</f>
        <v>0</v>
      </c>
      <c r="BB10" s="214">
        <f>IF(AND(($E10+$C$1)&gt;BB$4,BB$4&gt;=$C$1),'General Inputs'!D$11*$H10,IF(AND(($D10+$C$1)&gt;BB$4,BB$4&gt;=$C$1),'General Inputs'!D$11*$G10,0))</f>
        <v>0</v>
      </c>
      <c r="BC10" s="214">
        <f>IF(AND(($E10+$C$1)&gt;BC$4,BC$4&gt;=$C$1),'General Inputs'!E$11*$H10,IF(AND(($D10+$C$1)&gt;BC$4,BC$4&gt;=$C$1),'General Inputs'!E$11*$G10,0))</f>
        <v>616.85407980000014</v>
      </c>
      <c r="BD10" s="214">
        <f>IF(AND(($E10+$C$1)&gt;BD$4,BD$4&gt;=$C$1),'General Inputs'!F$11*$H10,IF(AND(($D10+$C$1)&gt;BD$4,BD$4&gt;=$C$1),'General Inputs'!F$11*$G10,0))</f>
        <v>616.85407980000014</v>
      </c>
      <c r="BE10" s="214">
        <f>IF(AND(($E10+$C$1)&gt;BE$4,BE$4&gt;=$C$1),'General Inputs'!G$11*$H10,IF(AND(($D10+$C$1)&gt;BE$4,BE$4&gt;=$C$1),'General Inputs'!G$11*$G10,0))</f>
        <v>616.85407980000014</v>
      </c>
      <c r="BF10" s="214">
        <f>IF(AND(($E10+$C$1)&gt;BF$4,BF$4&gt;=$C$1),'General Inputs'!H$11*$H10,IF(AND(($D10+$C$1)&gt;BF$4,BF$4&gt;=$C$1),'General Inputs'!H$11*$G10,0))</f>
        <v>616.85407980000014</v>
      </c>
      <c r="BG10" s="214">
        <f>IF(AND(($E10+$C$1)&gt;BG$4,BG$4&gt;=$C$1),'General Inputs'!I$11*$H10,IF(AND(($D10+$C$1)&gt;BG$4,BG$4&gt;=$C$1),'General Inputs'!I$11*$G10,0))</f>
        <v>616.85407980000014</v>
      </c>
      <c r="BH10" s="214">
        <f>IF(AND(($E10+$C$1)&gt;BH$4,BH$4&gt;=$C$1),'General Inputs'!J$11*$H10,IF(AND(($D10+$C$1)&gt;BH$4,BH$4&gt;=$C$1),'General Inputs'!J$11*$G10,0))</f>
        <v>616.85407980000014</v>
      </c>
      <c r="BI10" s="214">
        <f>IF(AND(($E10+$C$1)&gt;BI$4,BI$4&gt;=$C$1),'General Inputs'!K$11*$H10,IF(AND(($D10+$C$1)&gt;BI$4,BI$4&gt;=$C$1),'General Inputs'!K$11*$G10,0))</f>
        <v>616.85407980000014</v>
      </c>
      <c r="BJ10" s="214">
        <f>IF(AND(($E10+$C$1)&gt;BJ$4,BJ$4&gt;=$C$1),'General Inputs'!L$11*$H10,IF(AND(($D10+$C$1)&gt;BJ$4,BJ$4&gt;=$C$1),'General Inputs'!L$11*$G10,0))</f>
        <v>616.85407980000014</v>
      </c>
      <c r="BK10" s="214">
        <f>IF(AND(($E10+$C$1)&gt;BK$4,BK$4&gt;=$C$1),'General Inputs'!M$11*$H10,IF(AND(($D10+$C$1)&gt;BK$4,BK$4&gt;=$C$1),'General Inputs'!M$11*$G10,0))</f>
        <v>616.85407980000014</v>
      </c>
      <c r="BL10" s="214">
        <f>IF(AND(($E10+$C$1)&gt;BL$4,BL$4&gt;=$C$1),'General Inputs'!N$11*$H10,IF(AND(($D10+$C$1)&gt;BL$4,BL$4&gt;=$C$1),'General Inputs'!N$11*$G10,0))</f>
        <v>616.85407980000014</v>
      </c>
      <c r="BM10" s="214">
        <f>IF(AND(($E10+$C$1)&gt;BM$4,BM$4&gt;=$C$1),'General Inputs'!O$11*$H10,IF(AND(($D10+$C$1)&gt;BM$4,BM$4&gt;=$C$1),'General Inputs'!O$11*$G10,0))</f>
        <v>616.85407980000014</v>
      </c>
      <c r="BN10" s="214">
        <f>IF(AND(($E10+$C$1)&gt;BN$4,BN$4&gt;=$C$1),'General Inputs'!P$11*$H10,IF(AND(($D10+$C$1)&gt;BN$4,BN$4&gt;=$C$1),'General Inputs'!P$11*$G10,0))</f>
        <v>616.85407980000014</v>
      </c>
      <c r="BO10" s="214">
        <f>IF(AND(($E10+$C$1)&gt;BO$4,BO$4&gt;=$C$1),'General Inputs'!Q$11*$H10,IF(AND(($D10+$C$1)&gt;BO$4,BO$4&gt;=$C$1),'General Inputs'!Q$11*$G10,0))</f>
        <v>616.85407980000014</v>
      </c>
      <c r="BP10" s="214">
        <f>IF(AND(($E10+$C$1)&gt;BP$4,BP$4&gt;=$C$1),'General Inputs'!R$11*$H10,IF(AND(($D10+$C$1)&gt;BP$4,BP$4&gt;=$C$1),'General Inputs'!R$11*$G10,0))</f>
        <v>616.85407980000014</v>
      </c>
      <c r="BQ10" s="214">
        <f>IF(AND(($E10+$C$1)&gt;BQ$4,BQ$4&gt;=$C$1),'General Inputs'!S$11*$H10,IF(AND(($D10+$C$1)&gt;BQ$4,BQ$4&gt;=$C$1),'General Inputs'!S$11*$G10,0))</f>
        <v>0</v>
      </c>
      <c r="BR10" s="214">
        <f>IF(AND(($E10+$C$1)&gt;BR$4,BR$4&gt;=$C$1),'General Inputs'!T$11*$H10,IF(AND(($D10+$C$1)&gt;BR$4,BR$4&gt;=$C$1),'General Inputs'!T$11*$G10,0))</f>
        <v>0</v>
      </c>
      <c r="BS10" s="214">
        <f>IF(AND(($E10+$C$1)&gt;BS$4,BS$4&gt;=$C$1),'General Inputs'!U$11*$H10,IF(AND(($D10+$C$1)&gt;BS$4,BS$4&gt;=$C$1),'General Inputs'!U$11*$G10,0))</f>
        <v>0</v>
      </c>
      <c r="BT10" s="214">
        <f>IF(AND(($E10+$C$1)&gt;BT$4,BT$4&gt;=$C$1),'General Inputs'!V$11*$H10,IF(AND(($D10+$C$1)&gt;BT$4,BT$4&gt;=$C$1),'General Inputs'!V$11*$G10,0))</f>
        <v>0</v>
      </c>
      <c r="BU10" s="214">
        <f>IF(AND(($E10+$C$1)&gt;BU$4,BU$4&gt;=$C$1),'General Inputs'!W$11*$H10,IF(AND(($D10+$C$1)&gt;BU$4,BU$4&gt;=$C$1),'General Inputs'!W$11*$G10,0))</f>
        <v>0</v>
      </c>
      <c r="BW10" s="214">
        <f>IF(AND(($E10+$C$1)&gt;BW$4,BW$4&gt;=$C$1),$H10,IF(AND(($D10+$C$1)&gt;BW$4,BW$4&gt;=$C$1),$G10,0))*IF($A10="Residential",'General Inputs'!D$14,'General Inputs'!D$19)</f>
        <v>0</v>
      </c>
      <c r="BX10" s="214">
        <f>IF(AND(($E10+$C$1)&gt;BX$4,BX$4&gt;=$C$1),$H10,IF(AND(($D10+$C$1)&gt;BX$4,BX$4&gt;=$C$1),$G10,0))*IF($A10="Residential",'General Inputs'!E$14,'General Inputs'!E$19)</f>
        <v>7372.1538327518665</v>
      </c>
      <c r="BY10" s="214">
        <f>IF(AND(($E10+$C$1)&gt;BY$4,BY$4&gt;=$C$1),$H10,IF(AND(($D10+$C$1)&gt;BY$4,BY$4&gt;=$C$1),$G10,0))*IF($A10="Residential",'General Inputs'!F$14,'General Inputs'!F$19)</f>
        <v>7482.7361402431434</v>
      </c>
      <c r="BZ10" s="214">
        <f>IF(AND(($E10+$C$1)&gt;BZ$4,BZ$4&gt;=$C$1),$H10,IF(AND(($D10+$C$1)&gt;BZ$4,BZ$4&gt;=$C$1),$G10,0))*IF($A10="Residential",'General Inputs'!G$14,'General Inputs'!G$19)</f>
        <v>7594.977182346789</v>
      </c>
      <c r="CA10" s="214">
        <f>IF(AND(($E10+$C$1)&gt;CA$4,CA$4&gt;=$C$1),$H10,IF(AND(($D10+$C$1)&gt;CA$4,CA$4&gt;=$C$1),$G10,0))*IF($A10="Residential",'General Inputs'!H$14,'General Inputs'!H$19)</f>
        <v>7708.9018400819896</v>
      </c>
      <c r="CB10" s="214">
        <f>IF(AND(($E10+$C$1)&gt;CB$4,CB$4&gt;=$C$1),$H10,IF(AND(($D10+$C$1)&gt;CB$4,CB$4&gt;=$C$1),$G10,0))*IF($A10="Residential",'General Inputs'!I$14,'General Inputs'!I$19)</f>
        <v>7824.5353676832192</v>
      </c>
      <c r="CC10" s="214">
        <f>IF(AND(($E10+$C$1)&gt;CC$4,CC$4&gt;=$C$1),$H10,IF(AND(($D10+$C$1)&gt;CC$4,CC$4&gt;=$C$1),$G10,0))*IF($A10="Residential",'General Inputs'!J$14,'General Inputs'!J$19)</f>
        <v>7941.9033981984658</v>
      </c>
      <c r="CD10" s="214">
        <f>IF(AND(($E10+$C$1)&gt;CD$4,CD$4&gt;=$C$1),$H10,IF(AND(($D10+$C$1)&gt;CD$4,CD$4&gt;=$C$1),$G10,0))*IF($A10="Residential",'General Inputs'!K$14,'General Inputs'!K$19)</f>
        <v>8061.0319491714417</v>
      </c>
      <c r="CE10" s="214">
        <f>IF(AND(($E10+$C$1)&gt;CE$4,CE$4&gt;=$C$1),$H10,IF(AND(($D10+$C$1)&gt;CE$4,CE$4&gt;=$C$1),$G10,0))*IF($A10="Residential",'General Inputs'!L$14,'General Inputs'!L$19)</f>
        <v>8181.947428409012</v>
      </c>
      <c r="CF10" s="214">
        <f>IF(AND(($E10+$C$1)&gt;CF$4,CF$4&gt;=$C$1),$H10,IF(AND(($D10+$C$1)&gt;CF$4,CF$4&gt;=$C$1),$G10,0))*IF($A10="Residential",'General Inputs'!M$14,'General Inputs'!M$19)</f>
        <v>8304.6766398351465</v>
      </c>
      <c r="CG10" s="214">
        <f>IF(AND(($E10+$C$1)&gt;CG$4,CG$4&gt;=$C$1),$H10,IF(AND(($D10+$C$1)&gt;CG$4,CG$4&gt;=$C$1),$G10,0))*IF($A10="Residential",'General Inputs'!N$14,'General Inputs'!N$19)</f>
        <v>8429.2467894326728</v>
      </c>
      <c r="CH10" s="214">
        <f>IF(AND(($E10+$C$1)&gt;CH$4,CH$4&gt;=$C$1),$H10,IF(AND(($D10+$C$1)&gt;CH$4,CH$4&gt;=$C$1),$G10,0))*IF($A10="Residential",'General Inputs'!O$14,'General Inputs'!O$19)</f>
        <v>8555.6854912741619</v>
      </c>
      <c r="CI10" s="214">
        <f>IF(AND(($E10+$C$1)&gt;CI$4,CI$4&gt;=$C$1),$H10,IF(AND(($D10+$C$1)&gt;CI$4,CI$4&gt;=$C$1),$G10,0))*IF($A10="Residential",'General Inputs'!P$14,'General Inputs'!P$19)</f>
        <v>8684.0207736432749</v>
      </c>
      <c r="CJ10" s="214">
        <f>IF(AND(($E10+$C$1)&gt;CJ$4,CJ$4&gt;=$C$1),$H10,IF(AND(($D10+$C$1)&gt;CJ$4,CJ$4&gt;=$C$1),$G10,0))*IF($A10="Residential",'General Inputs'!Q$14,'General Inputs'!Q$19)</f>
        <v>8814.2810852479215</v>
      </c>
      <c r="CK10" s="214">
        <f>IF(AND(($E10+$C$1)&gt;CK$4,CK$4&gt;=$C$1),$H10,IF(AND(($D10+$C$1)&gt;CK$4,CK$4&gt;=$C$1),$G10,0))*IF($A10="Residential",'General Inputs'!R$14,'General Inputs'!R$19)</f>
        <v>8946.4953015266401</v>
      </c>
      <c r="CL10" s="214">
        <f>IF(AND(($E10+$C$1)&gt;CL$4,CL$4&gt;=$C$1),$H10,IF(AND(($D10+$C$1)&gt;CL$4,CL$4&gt;=$C$1),$G10,0))*IF($A10="Residential",'General Inputs'!S$14,'General Inputs'!S$19)</f>
        <v>0</v>
      </c>
      <c r="CM10" s="214">
        <f>IF(AND(($E10+$C$1)&gt;CM$4,CM$4&gt;=$C$1),$H10,IF(AND(($D10+$C$1)&gt;CM$4,CM$4&gt;=$C$1),$G10,0))*IF($A10="Residential",'General Inputs'!T$14,'General Inputs'!T$19)</f>
        <v>0</v>
      </c>
      <c r="CN10" s="214">
        <f>IF(AND(($E10+$C$1)&gt;CN$4,CN$4&gt;=$C$1),$H10,IF(AND(($D10+$C$1)&gt;CN$4,CN$4&gt;=$C$1),$G10,0))*IF($A10="Residential",'General Inputs'!U$14,'General Inputs'!U$19)</f>
        <v>0</v>
      </c>
      <c r="CO10" s="214">
        <f>IF(AND(($E10+$C$1)&gt;CO$4,CO$4&gt;=$C$1),$H10,IF(AND(($D10+$C$1)&gt;CO$4,CO$4&gt;=$C$1),$G10,0))*IF($A10="Residential",'General Inputs'!V$14,'General Inputs'!V$19)</f>
        <v>0</v>
      </c>
      <c r="CP10" s="214">
        <f>IF(AND(($E10+$C$1)&gt;CP$4,CP$4&gt;=$C$1),$H10,IF(AND(($D10+$C$1)&gt;CP$4,CP$4&gt;=$C$1),$G10,0))*IF($A10="Residential",'General Inputs'!W$14,'General Inputs'!W$19)</f>
        <v>0</v>
      </c>
      <c r="CR10" s="214">
        <f>IF(AND(($E10+$C$1)&gt;CR$4,CR$4&gt;=$C$1),$H10,IF(AND(($D10+$C$1)&gt;CR$4,CR$4&gt;=$C$1),$G10,0))*IF($A10="Residential",'General Inputs'!D$15,'General Inputs'!D$19)</f>
        <v>0</v>
      </c>
      <c r="CS10" s="214">
        <f>IF(AND(($E10+$C$1)&gt;CS$4,CS$4&gt;=$C$1),$H10,IF(AND(($D10+$C$1)&gt;CS$4,CS$4&gt;=$C$1),$G10,0))*IF($A10="Residential",'General Inputs'!E$15,'General Inputs'!E$19)</f>
        <v>5997.3081830638985</v>
      </c>
      <c r="CT10" s="214">
        <f>IF(AND(($E10+$C$1)&gt;CT$4,CT$4&gt;=$C$1),$H10,IF(AND(($D10+$C$1)&gt;CT$4,CT$4&gt;=$C$1),$G10,0))*IF($A10="Residential",'General Inputs'!F$15,'General Inputs'!F$19)</f>
        <v>6087.2678058098563</v>
      </c>
      <c r="CU10" s="214">
        <f>IF(AND(($E10+$C$1)&gt;CU$4,CU$4&gt;=$C$1),$H10,IF(AND(($D10+$C$1)&gt;CU$4,CU$4&gt;=$C$1),$G10,0))*IF($A10="Residential",'General Inputs'!G$15,'General Inputs'!G$19)</f>
        <v>6178.5768228970028</v>
      </c>
      <c r="CV10" s="214">
        <f>IF(AND(($E10+$C$1)&gt;CV$4,CV$4&gt;=$C$1),$H10,IF(AND(($D10+$C$1)&gt;CV$4,CV$4&gt;=$C$1),$G10,0))*IF($A10="Residential",'General Inputs'!H$15,'General Inputs'!H$19)</f>
        <v>6271.2554752404576</v>
      </c>
      <c r="CW10" s="214">
        <f>IF(AND(($E10+$C$1)&gt;CW$4,CW$4&gt;=$C$1),$H10,IF(AND(($D10+$C$1)&gt;CW$4,CW$4&gt;=$C$1),$G10,0))*IF($A10="Residential",'General Inputs'!I$15,'General Inputs'!I$19)</f>
        <v>6365.3243073690637</v>
      </c>
      <c r="CX10" s="214">
        <f>IF(AND(($E10+$C$1)&gt;CX$4,CX$4&gt;=$C$1),$H10,IF(AND(($D10+$C$1)&gt;CX$4,CX$4&gt;=$C$1),$G10,0))*IF($A10="Residential",'General Inputs'!J$15,'General Inputs'!J$19)</f>
        <v>6460.8041719795992</v>
      </c>
      <c r="CY10" s="214">
        <f>IF(AND(($E10+$C$1)&gt;CY$4,CY$4&gt;=$C$1),$H10,IF(AND(($D10+$C$1)&gt;CY$4,CY$4&gt;=$C$1),$G10,0))*IF($A10="Residential",'General Inputs'!K$15,'General Inputs'!K$19)</f>
        <v>6557.7162345592924</v>
      </c>
      <c r="CZ10" s="214">
        <f>IF(AND(($E10+$C$1)&gt;CZ$4,CZ$4&gt;=$C$1),$H10,IF(AND(($D10+$C$1)&gt;CZ$4,CZ$4&gt;=$C$1),$G10,0))*IF($A10="Residential",'General Inputs'!L$15,'General Inputs'!L$19)</f>
        <v>6656.081978077681</v>
      </c>
      <c r="DA10" s="214">
        <f>IF(AND(($E10+$C$1)&gt;DA$4,DA$4&gt;=$C$1),$H10,IF(AND(($D10+$C$1)&gt;DA$4,DA$4&gt;=$C$1),$G10,0))*IF($A10="Residential",'General Inputs'!M$15,'General Inputs'!M$19)</f>
        <v>6755.9232077488459</v>
      </c>
      <c r="DB10" s="214">
        <f>IF(AND(($E10+$C$1)&gt;DB$4,DB$4&gt;=$C$1),$H10,IF(AND(($D10+$C$1)&gt;DB$4,DB$4&gt;=$C$1),$G10,0))*IF($A10="Residential",'General Inputs'!N$15,'General Inputs'!N$19)</f>
        <v>6857.2620558650769</v>
      </c>
      <c r="DC10" s="214">
        <f>IF(AND(($E10+$C$1)&gt;DC$4,DC$4&gt;=$C$1),$H10,IF(AND(($D10+$C$1)&gt;DC$4,DC$4&gt;=$C$1),$G10,0))*IF($A10="Residential",'General Inputs'!O$15,'General Inputs'!O$19)</f>
        <v>6960.120986703052</v>
      </c>
      <c r="DD10" s="214">
        <f>IF(AND(($E10+$C$1)&gt;DD$4,DD$4&gt;=$C$1),$H10,IF(AND(($D10+$C$1)&gt;DD$4,DD$4&gt;=$C$1),$G10,0))*IF($A10="Residential",'General Inputs'!P$15,'General Inputs'!P$19)</f>
        <v>7064.5228015035982</v>
      </c>
      <c r="DE10" s="214">
        <f>IF(AND(($E10+$C$1)&gt;DE$4,DE$4&gt;=$C$1),$H10,IF(AND(($D10+$C$1)&gt;DE$4,DE$4&gt;=$C$1),$G10,0))*IF($A10="Residential",'General Inputs'!Q$15,'General Inputs'!Q$19)</f>
        <v>7170.4906435261519</v>
      </c>
      <c r="DF10" s="214">
        <f>IF(AND(($E10+$C$1)&gt;DF$4,DF$4&gt;=$C$1),$H10,IF(AND(($D10+$C$1)&gt;DF$4,DF$4&gt;=$C$1),$G10,0))*IF($A10="Residential",'General Inputs'!R$15,'General Inputs'!R$19)</f>
        <v>7278.048003179043</v>
      </c>
      <c r="DG10" s="214">
        <f>IF(AND(($E10+$C$1)&gt;DG$4,DG$4&gt;=$C$1),$H10,IF(AND(($D10+$C$1)&gt;DG$4,DG$4&gt;=$C$1),$G10,0))*IF($A10="Residential",'General Inputs'!S$15,'General Inputs'!S$19)</f>
        <v>0</v>
      </c>
      <c r="DH10" s="214">
        <f>IF(AND(($E10+$C$1)&gt;DH$4,DH$4&gt;=$C$1),$H10,IF(AND(($D10+$C$1)&gt;DH$4,DH$4&gt;=$C$1),$G10,0))*IF($A10="Residential",'General Inputs'!T$15,'General Inputs'!T$19)</f>
        <v>0</v>
      </c>
      <c r="DI10" s="214">
        <f>IF(AND(($E10+$C$1)&gt;DI$4,DI$4&gt;=$C$1),$H10,IF(AND(($D10+$C$1)&gt;DI$4,DI$4&gt;=$C$1),$G10,0))*IF($A10="Residential",'General Inputs'!U$15,'General Inputs'!U$19)</f>
        <v>0</v>
      </c>
      <c r="DJ10" s="214">
        <f>IF(AND(($E10+$C$1)&gt;DJ$4,DJ$4&gt;=$C$1),$H10,IF(AND(($D10+$C$1)&gt;DJ$4,DJ$4&gt;=$C$1),$G10,0))*IF($A10="Residential",'General Inputs'!V$15,'General Inputs'!V$19)</f>
        <v>0</v>
      </c>
      <c r="DK10" s="214">
        <f>IF(AND(($E10+$C$1)&gt;DK$4,DK$4&gt;=$C$1),$H10,IF(AND(($D10+$C$1)&gt;DK$4,DK$4&gt;=$C$1),$G10,0))*IF($A10="Residential",'General Inputs'!W$15,'General Inputs'!W$19)</f>
        <v>0</v>
      </c>
      <c r="DM10" s="214">
        <f t="shared" ref="DM10:DM12" si="31">IF($C$1=DM$4,$L10*$C10,IF($E10+$C$1=DM$4,-$M10*$C10,0))</f>
        <v>0</v>
      </c>
      <c r="DN10" s="214">
        <f t="shared" si="27"/>
        <v>20000</v>
      </c>
      <c r="DO10" s="214">
        <f t="shared" si="27"/>
        <v>0</v>
      </c>
      <c r="DP10" s="214">
        <f t="shared" si="27"/>
        <v>0</v>
      </c>
      <c r="DQ10" s="214">
        <f t="shared" si="27"/>
        <v>0</v>
      </c>
      <c r="DR10" s="214">
        <f t="shared" si="27"/>
        <v>0</v>
      </c>
      <c r="DS10" s="214">
        <f t="shared" si="27"/>
        <v>0</v>
      </c>
      <c r="DT10" s="214">
        <f t="shared" si="27"/>
        <v>0</v>
      </c>
      <c r="DU10" s="214">
        <f t="shared" si="27"/>
        <v>0</v>
      </c>
      <c r="DV10" s="214">
        <f t="shared" si="27"/>
        <v>0</v>
      </c>
      <c r="DW10" s="214">
        <f t="shared" si="27"/>
        <v>0</v>
      </c>
      <c r="DY10" s="219"/>
      <c r="DZ10" s="650"/>
      <c r="EA10" s="219"/>
      <c r="EB10" s="219"/>
      <c r="EC10" s="219"/>
      <c r="ED10" s="219"/>
      <c r="EE10" s="219"/>
      <c r="EF10" s="219"/>
      <c r="FI10" s="195"/>
      <c r="FJ10" s="195"/>
      <c r="FK10" s="195"/>
      <c r="FL10" s="195"/>
      <c r="FM10" s="195"/>
      <c r="FN10" s="195"/>
      <c r="FO10" s="195"/>
    </row>
    <row r="11" spans="1:171">
      <c r="A11" s="341" t="s">
        <v>12</v>
      </c>
      <c r="B11" s="427" t="str">
        <f>'Portfolio Inputs'!A10</f>
        <v>ENERGY STAR Fixture</v>
      </c>
      <c r="C11" s="217">
        <f>IF($C$1=2014,'Portfolio Inputs'!$C10,IF($C$1=2015,'Portfolio Inputs'!$D10,'Portfolio Inputs'!$E10))</f>
        <v>400</v>
      </c>
      <c r="D11" s="504">
        <f>VLOOKUP(B11,Sources!$B$4:$J$104,2,FALSE)</f>
        <v>8</v>
      </c>
      <c r="E11" s="504">
        <f>VLOOKUP(B11,Sources!$B$4:$J$104,3,FALSE)</f>
        <v>0</v>
      </c>
      <c r="G11" s="504">
        <f>IF($C$1=2014,'Portfolio Inputs'!$G10,IF($C$1=2015,'Portfolio Inputs'!$H10,'Portfolio Inputs'!$I10))*EnergyLineLoss</f>
        <v>36113.647499999999</v>
      </c>
      <c r="H11" s="504"/>
      <c r="I11" s="504">
        <f>IF($C$1=2014,'Portfolio Inputs'!$K10,IF($C$1=2015,'Portfolio Inputs'!$L10,'Portfolio Inputs'!$M10))*PeakLineLoss</f>
        <v>7.9153199999999993E-2</v>
      </c>
      <c r="J11" s="510"/>
      <c r="L11" s="606">
        <f>IF($C$1=2014,'Portfolio Inputs'!$O10,IF($C$1=2015,'Portfolio Inputs'!$P10,'Portfolio Inputs'!$Q10))</f>
        <v>17</v>
      </c>
      <c r="M11" s="518">
        <f>VLOOKUP($B11,Sources!$B$4:$K$104,10,FALSE)</f>
        <v>0</v>
      </c>
      <c r="N11" s="419">
        <f>IF($C$1=2014,'Portfolio Inputs'!$W10,IF($C$1=2015,'Portfolio Inputs'!$X10,'Portfolio Inputs'!$Y10))</f>
        <v>4000</v>
      </c>
      <c r="O11" s="419"/>
      <c r="Q11" s="438">
        <f t="shared" si="0"/>
        <v>1.363036206331496</v>
      </c>
      <c r="R11" s="439">
        <f t="shared" si="1"/>
        <v>2.3171615507635432</v>
      </c>
      <c r="S11" s="439">
        <f t="shared" si="2"/>
        <v>1.7299348975820661</v>
      </c>
      <c r="T11" s="439">
        <f t="shared" si="3"/>
        <v>5.1800393452797318</v>
      </c>
      <c r="U11" s="439">
        <f t="shared" si="28"/>
        <v>4.323705909057435</v>
      </c>
      <c r="V11" s="439">
        <f t="shared" si="29"/>
        <v>0.26313240411456557</v>
      </c>
      <c r="W11" s="439">
        <f t="shared" si="30"/>
        <v>0.31524720575378745</v>
      </c>
      <c r="Y11" s="215">
        <f t="shared" si="4"/>
        <v>8515.8454640336022</v>
      </c>
      <c r="Z11" s="215">
        <f t="shared" si="5"/>
        <v>2292.2740724952928</v>
      </c>
      <c r="AA11" s="215">
        <f t="shared" si="6"/>
        <v>28688.228177050874</v>
      </c>
      <c r="AB11" s="215">
        <f t="shared" si="7"/>
        <v>23338.111155448878</v>
      </c>
      <c r="AC11" s="216">
        <f t="shared" si="20"/>
        <v>0</v>
      </c>
      <c r="AD11" s="216">
        <f t="shared" si="21"/>
        <v>3675.1194413818448</v>
      </c>
      <c r="AE11" s="215">
        <f t="shared" si="8"/>
        <v>6247.703050349136</v>
      </c>
      <c r="AG11" s="214">
        <f>IF(AND(($E11+$C$1)&gt;AG$4,AG$4&gt;=$C$1),'General Inputs'!D$9*$H11,IF(AND(($D11+$C$1)&gt;AG$4,AG$4&gt;=$C$1),'General Inputs'!D$9*$G11,0))+IF(AND(($E11+$C$1)&gt;AG$4,AG$4&gt;=$C$1),'General Inputs'!D$10*$J11,IF(AND(($D11+$C$1)&gt;AG$4,AG$4&gt;=$C$1),'General Inputs'!D$10*$I11,0))</f>
        <v>0</v>
      </c>
      <c r="AH11" s="214">
        <f>IF(AND(($E11+$C$1)&gt;AH$4,AH$4&gt;=$C$1),'General Inputs'!E$9*$H11,IF(AND(($D11+$C$1)&gt;AH$4,AH$4&gt;=$C$1),'General Inputs'!E$9*$G11,0))+IF(AND(($E11+$C$1)&gt;AH$4,AH$4&gt;=$C$1),'General Inputs'!E$10*$J11,IF(AND(($D11+$C$1)&gt;AH$4,AH$4&gt;=$C$1),'General Inputs'!E$10*$I11,0))</f>
        <v>1460.5357733769497</v>
      </c>
      <c r="AI11" s="214">
        <f>IF(AND(($E11+$C$1)&gt;AI$4,AI$4&gt;=$C$1),'General Inputs'!F$9*$H11,IF(AND(($D11+$C$1)&gt;AI$4,AI$4&gt;=$C$1),'General Inputs'!F$9*$G11,0))+IF(AND(($E11+$C$1)&gt;AI$4,AI$4&gt;=$C$1),'General Inputs'!F$10*$J11,IF(AND(($D11+$C$1)&gt;AI$4,AI$4&gt;=$C$1),'General Inputs'!F$10*$I11,0))</f>
        <v>1482.4438099776037</v>
      </c>
      <c r="AJ11" s="214">
        <f>IF(AND(($E11+$C$1)&gt;AJ$4,AJ$4&gt;=$C$1),'General Inputs'!G$9*$H11,IF(AND(($D11+$C$1)&gt;AJ$4,AJ$4&gt;=$C$1),'General Inputs'!G$9*$G11,0))+IF(AND(($E11+$C$1)&gt;AJ$4,AJ$4&gt;=$C$1),'General Inputs'!G$10*$J11,IF(AND(($D11+$C$1)&gt;AJ$4,AJ$4&gt;=$C$1),'General Inputs'!G$10*$I11,0))</f>
        <v>1504.6804671272675</v>
      </c>
      <c r="AK11" s="214">
        <f>IF(AND(($E11+$C$1)&gt;AK$4,AK$4&gt;=$C$1),'General Inputs'!H$9*$H11,IF(AND(($D11+$C$1)&gt;AK$4,AK$4&gt;=$C$1),'General Inputs'!H$9*$G11,0))+IF(AND(($E11+$C$1)&gt;AK$4,AK$4&gt;=$C$1),'General Inputs'!H$10*$J11,IF(AND(($D11+$C$1)&gt;AK$4,AK$4&gt;=$C$1),'General Inputs'!H$10*$I11,0))</f>
        <v>1527.2506741341763</v>
      </c>
      <c r="AL11" s="214">
        <f>IF(AND(($E11+$C$1)&gt;AL$4,AL$4&gt;=$C$1),'General Inputs'!I$9*$H11,IF(AND(($D11+$C$1)&gt;AL$4,AL$4&gt;=$C$1),'General Inputs'!I$9*$G11,0))+IF(AND(($E11+$C$1)&gt;AL$4,AL$4&gt;=$C$1),'General Inputs'!I$10*$J11,IF(AND(($D11+$C$1)&gt;AL$4,AL$4&gt;=$C$1),'General Inputs'!I$10*$I11,0))</f>
        <v>1550.1594342461888</v>
      </c>
      <c r="AM11" s="214">
        <f>IF(AND(($E11+$C$1)&gt;AM$4,AM$4&gt;=$C$1),'General Inputs'!J$9*$H11,IF(AND(($D11+$C$1)&gt;AM$4,AM$4&gt;=$C$1),'General Inputs'!J$9*$G11,0))+IF(AND(($E11+$C$1)&gt;AM$4,AM$4&gt;=$C$1),'General Inputs'!J$10*$J11,IF(AND(($D11+$C$1)&gt;AM$4,AM$4&gt;=$C$1),'General Inputs'!J$10*$I11,0))</f>
        <v>1573.4118257598816</v>
      </c>
      <c r="AN11" s="214">
        <f>IF(AND(($E11+$C$1)&gt;AN$4,AN$4&gt;=$C$1),'General Inputs'!K$9*$H11,IF(AND(($D11+$C$1)&gt;AN$4,AN$4&gt;=$C$1),'General Inputs'!K$9*$G11,0))+IF(AND(($E11+$C$1)&gt;AN$4,AN$4&gt;=$C$1),'General Inputs'!K$10*$J11,IF(AND(($D11+$C$1)&gt;AN$4,AN$4&gt;=$C$1),'General Inputs'!K$10*$I11,0))</f>
        <v>1597.0130031462795</v>
      </c>
      <c r="AO11" s="214">
        <f>IF(AND(($E11+$C$1)&gt;AO$4,AO$4&gt;=$C$1),'General Inputs'!L$9*$H11,IF(AND(($D11+$C$1)&gt;AO$4,AO$4&gt;=$C$1),'General Inputs'!L$9*$G11,0))+IF(AND(($E11+$C$1)&gt;AO$4,AO$4&gt;=$C$1),'General Inputs'!L$10*$J11,IF(AND(($D11+$C$1)&gt;AO$4,AO$4&gt;=$C$1),'General Inputs'!L$10*$I11,0))</f>
        <v>1620.9681981934737</v>
      </c>
      <c r="AP11" s="214">
        <f>IF(AND(($E11+$C$1)&gt;AP$4,AP$4&gt;=$C$1),'General Inputs'!M$9*$H11,IF(AND(($D11+$C$1)&gt;AP$4,AP$4&gt;=$C$1),'General Inputs'!M$9*$G11,0))+IF(AND(($E11+$C$1)&gt;AP$4,AP$4&gt;=$C$1),'General Inputs'!M$10*$J11,IF(AND(($D11+$C$1)&gt;AP$4,AP$4&gt;=$C$1),'General Inputs'!M$10*$I11,0))</f>
        <v>0</v>
      </c>
      <c r="AQ11" s="214">
        <f>IF(AND(($E11+$C$1)&gt;AQ$4,AQ$4&gt;=$C$1),'General Inputs'!N$9*$H11,IF(AND(($D11+$C$1)&gt;AQ$4,AQ$4&gt;=$C$1),'General Inputs'!N$9*$G11,0))+IF(AND(($E11+$C$1)&gt;AQ$4,AQ$4&gt;=$C$1),'General Inputs'!N$10*$J11,IF(AND(($D11+$C$1)&gt;AQ$4,AQ$4&gt;=$C$1),'General Inputs'!N$10*$I11,0))</f>
        <v>0</v>
      </c>
      <c r="AR11" s="214">
        <f>IF(AND(($E11+$C$1)&gt;AR$4,AR$4&gt;=$C$1),'General Inputs'!O$9*$H11,IF(AND(($D11+$C$1)&gt;AR$4,AR$4&gt;=$C$1),'General Inputs'!O$9*$G11,0))+IF(AND(($E11+$C$1)&gt;AR$4,AR$4&gt;=$C$1),'General Inputs'!O$10*$J11,IF(AND(($D11+$C$1)&gt;AR$4,AR$4&gt;=$C$1),'General Inputs'!O$10*$I11,0))</f>
        <v>0</v>
      </c>
      <c r="AS11" s="214">
        <f>IF(AND(($E11+$C$1)&gt;AS$4,AS$4&gt;=$C$1),'General Inputs'!P$9*$H11,IF(AND(($D11+$C$1)&gt;AS$4,AS$4&gt;=$C$1),'General Inputs'!P$9*$G11,0))+IF(AND(($E11+$C$1)&gt;AS$4,AS$4&gt;=$C$1),'General Inputs'!P$10*$J11,IF(AND(($D11+$C$1)&gt;AS$4,AS$4&gt;=$C$1),'General Inputs'!P$10*$I11,0))</f>
        <v>0</v>
      </c>
      <c r="AT11" s="214">
        <f>IF(AND(($E11+$C$1)&gt;AT$4,AT$4&gt;=$C$1),'General Inputs'!Q$9*$H11,IF(AND(($D11+$C$1)&gt;AT$4,AT$4&gt;=$C$1),'General Inputs'!Q$9*$G11,0))+IF(AND(($E11+$C$1)&gt;AT$4,AT$4&gt;=$C$1),'General Inputs'!Q$10*$J11,IF(AND(($D11+$C$1)&gt;AT$4,AT$4&gt;=$C$1),'General Inputs'!Q$10*$I11,0))</f>
        <v>0</v>
      </c>
      <c r="AU11" s="214">
        <f>IF(AND(($E11+$C$1)&gt;AU$4,AU$4&gt;=$C$1),'General Inputs'!R$9*$H11,IF(AND(($D11+$C$1)&gt;AU$4,AU$4&gt;=$C$1),'General Inputs'!R$9*$G11,0))+IF(AND(($E11+$C$1)&gt;AU$4,AU$4&gt;=$C$1),'General Inputs'!R$10*$J11,IF(AND(($D11+$C$1)&gt;AU$4,AU$4&gt;=$C$1),'General Inputs'!R$10*$I11,0))</f>
        <v>0</v>
      </c>
      <c r="AV11" s="214">
        <f>IF(AND(($E11+$C$1)&gt;AV$4,AV$4&gt;=$C$1),'General Inputs'!S$9*$H11,IF(AND(($D11+$C$1)&gt;AV$4,AV$4&gt;=$C$1),'General Inputs'!S$9*$G11,0))+IF(AND(($E11+$C$1)&gt;AV$4,AV$4&gt;=$C$1),'General Inputs'!S$10*$J11,IF(AND(($D11+$C$1)&gt;AV$4,AV$4&gt;=$C$1),'General Inputs'!S$10*$I11,0))</f>
        <v>0</v>
      </c>
      <c r="AW11" s="214">
        <f>IF(AND(($E11+$C$1)&gt;AW$4,AW$4&gt;=$C$1),'General Inputs'!T$9*$H11,IF(AND(($D11+$C$1)&gt;AW$4,AW$4&gt;=$C$1),'General Inputs'!T$9*$G11,0))+IF(AND(($E11+$C$1)&gt;AW$4,AW$4&gt;=$C$1),'General Inputs'!T$10*$J11,IF(AND(($D11+$C$1)&gt;AW$4,AW$4&gt;=$C$1),'General Inputs'!T$10*$I11,0))</f>
        <v>0</v>
      </c>
      <c r="AX11" s="214">
        <f>IF(AND(($E11+$C$1)&gt;AX$4,AX$4&gt;=$C$1),'General Inputs'!U$9*$H11,IF(AND(($D11+$C$1)&gt;AX$4,AX$4&gt;=$C$1),'General Inputs'!U$9*$G11,0))+IF(AND(($E11+$C$1)&gt;AX$4,AX$4&gt;=$C$1),'General Inputs'!U$10*$J11,IF(AND(($D11+$C$1)&gt;AX$4,AX$4&gt;=$C$1),'General Inputs'!U$10*$I11,0))</f>
        <v>0</v>
      </c>
      <c r="AY11" s="214">
        <f>IF(AND(($E11+$C$1)&gt;AY$4,AY$4&gt;=$C$1),'General Inputs'!V$9*$H11,IF(AND(($D11+$C$1)&gt;AY$4,AY$4&gt;=$C$1),'General Inputs'!V$9*$G11,0))+IF(AND(($E11+$C$1)&gt;AY$4,AY$4&gt;=$C$1),'General Inputs'!V$10*$J11,IF(AND(($D11+$C$1)&gt;AY$4,AY$4&gt;=$C$1),'General Inputs'!V$10*$I11,0))</f>
        <v>0</v>
      </c>
      <c r="AZ11" s="214">
        <f>IF(AND(($E11+$C$1)&gt;AZ$4,AZ$4&gt;=$C$1),'General Inputs'!W$9*$H11,IF(AND(($D11+$C$1)&gt;AZ$4,AZ$4&gt;=$C$1),'General Inputs'!W$9*$G11,0))+IF(AND(($E11+$C$1)&gt;AZ$4,AZ$4&gt;=$C$1),'General Inputs'!W$10*$J11,IF(AND(($D11+$C$1)&gt;AZ$4,AZ$4&gt;=$C$1),'General Inputs'!W$10*$I11,0))</f>
        <v>0</v>
      </c>
      <c r="BB11" s="214">
        <f>IF(AND(($E11+$C$1)&gt;BB$4,BB$4&gt;=$C$1),'General Inputs'!D$11*$H11,IF(AND(($D11+$C$1)&gt;BB$4,BB$4&gt;=$C$1),'General Inputs'!D$11*$G11,0))</f>
        <v>0</v>
      </c>
      <c r="BC11" s="214">
        <f>IF(AND(($E11+$C$1)&gt;BC$4,BC$4&gt;=$C$1),'General Inputs'!E$11*$H11,IF(AND(($D11+$C$1)&gt;BC$4,BC$4&gt;=$C$1),'General Inputs'!E$11*$G11,0))</f>
        <v>411.6955815</v>
      </c>
      <c r="BD11" s="214">
        <f>IF(AND(($E11+$C$1)&gt;BD$4,BD$4&gt;=$C$1),'General Inputs'!F$11*$H11,IF(AND(($D11+$C$1)&gt;BD$4,BD$4&gt;=$C$1),'General Inputs'!F$11*$G11,0))</f>
        <v>411.6955815</v>
      </c>
      <c r="BE11" s="214">
        <f>IF(AND(($E11+$C$1)&gt;BE$4,BE$4&gt;=$C$1),'General Inputs'!G$11*$H11,IF(AND(($D11+$C$1)&gt;BE$4,BE$4&gt;=$C$1),'General Inputs'!G$11*$G11,0))</f>
        <v>411.6955815</v>
      </c>
      <c r="BF11" s="214">
        <f>IF(AND(($E11+$C$1)&gt;BF$4,BF$4&gt;=$C$1),'General Inputs'!H$11*$H11,IF(AND(($D11+$C$1)&gt;BF$4,BF$4&gt;=$C$1),'General Inputs'!H$11*$G11,0))</f>
        <v>411.6955815</v>
      </c>
      <c r="BG11" s="214">
        <f>IF(AND(($E11+$C$1)&gt;BG$4,BG$4&gt;=$C$1),'General Inputs'!I$11*$H11,IF(AND(($D11+$C$1)&gt;BG$4,BG$4&gt;=$C$1),'General Inputs'!I$11*$G11,0))</f>
        <v>411.6955815</v>
      </c>
      <c r="BH11" s="214">
        <f>IF(AND(($E11+$C$1)&gt;BH$4,BH$4&gt;=$C$1),'General Inputs'!J$11*$H11,IF(AND(($D11+$C$1)&gt;BH$4,BH$4&gt;=$C$1),'General Inputs'!J$11*$G11,0))</f>
        <v>411.6955815</v>
      </c>
      <c r="BI11" s="214">
        <f>IF(AND(($E11+$C$1)&gt;BI$4,BI$4&gt;=$C$1),'General Inputs'!K$11*$H11,IF(AND(($D11+$C$1)&gt;BI$4,BI$4&gt;=$C$1),'General Inputs'!K$11*$G11,0))</f>
        <v>411.6955815</v>
      </c>
      <c r="BJ11" s="214">
        <f>IF(AND(($E11+$C$1)&gt;BJ$4,BJ$4&gt;=$C$1),'General Inputs'!L$11*$H11,IF(AND(($D11+$C$1)&gt;BJ$4,BJ$4&gt;=$C$1),'General Inputs'!L$11*$G11,0))</f>
        <v>411.6955815</v>
      </c>
      <c r="BK11" s="214">
        <f>IF(AND(($E11+$C$1)&gt;BK$4,BK$4&gt;=$C$1),'General Inputs'!M$11*$H11,IF(AND(($D11+$C$1)&gt;BK$4,BK$4&gt;=$C$1),'General Inputs'!M$11*$G11,0))</f>
        <v>0</v>
      </c>
      <c r="BL11" s="214">
        <f>IF(AND(($E11+$C$1)&gt;BL$4,BL$4&gt;=$C$1),'General Inputs'!N$11*$H11,IF(AND(($D11+$C$1)&gt;BL$4,BL$4&gt;=$C$1),'General Inputs'!N$11*$G11,0))</f>
        <v>0</v>
      </c>
      <c r="BM11" s="214">
        <f>IF(AND(($E11+$C$1)&gt;BM$4,BM$4&gt;=$C$1),'General Inputs'!O$11*$H11,IF(AND(($D11+$C$1)&gt;BM$4,BM$4&gt;=$C$1),'General Inputs'!O$11*$G11,0))</f>
        <v>0</v>
      </c>
      <c r="BN11" s="214">
        <f>IF(AND(($E11+$C$1)&gt;BN$4,BN$4&gt;=$C$1),'General Inputs'!P$11*$H11,IF(AND(($D11+$C$1)&gt;BN$4,BN$4&gt;=$C$1),'General Inputs'!P$11*$G11,0))</f>
        <v>0</v>
      </c>
      <c r="BO11" s="214">
        <f>IF(AND(($E11+$C$1)&gt;BO$4,BO$4&gt;=$C$1),'General Inputs'!Q$11*$H11,IF(AND(($D11+$C$1)&gt;BO$4,BO$4&gt;=$C$1),'General Inputs'!Q$11*$G11,0))</f>
        <v>0</v>
      </c>
      <c r="BP11" s="214">
        <f>IF(AND(($E11+$C$1)&gt;BP$4,BP$4&gt;=$C$1),'General Inputs'!R$11*$H11,IF(AND(($D11+$C$1)&gt;BP$4,BP$4&gt;=$C$1),'General Inputs'!R$11*$G11,0))</f>
        <v>0</v>
      </c>
      <c r="BQ11" s="214">
        <f>IF(AND(($E11+$C$1)&gt;BQ$4,BQ$4&gt;=$C$1),'General Inputs'!S$11*$H11,IF(AND(($D11+$C$1)&gt;BQ$4,BQ$4&gt;=$C$1),'General Inputs'!S$11*$G11,0))</f>
        <v>0</v>
      </c>
      <c r="BR11" s="214">
        <f>IF(AND(($E11+$C$1)&gt;BR$4,BR$4&gt;=$C$1),'General Inputs'!T$11*$H11,IF(AND(($D11+$C$1)&gt;BR$4,BR$4&gt;=$C$1),'General Inputs'!T$11*$G11,0))</f>
        <v>0</v>
      </c>
      <c r="BS11" s="214">
        <f>IF(AND(($E11+$C$1)&gt;BS$4,BS$4&gt;=$C$1),'General Inputs'!U$11*$H11,IF(AND(($D11+$C$1)&gt;BS$4,BS$4&gt;=$C$1),'General Inputs'!U$11*$G11,0))</f>
        <v>0</v>
      </c>
      <c r="BT11" s="214">
        <f>IF(AND(($E11+$C$1)&gt;BT$4,BT$4&gt;=$C$1),'General Inputs'!V$11*$H11,IF(AND(($D11+$C$1)&gt;BT$4,BT$4&gt;=$C$1),'General Inputs'!V$11*$G11,0))</f>
        <v>0</v>
      </c>
      <c r="BU11" s="214">
        <f>IF(AND(($E11+$C$1)&gt;BU$4,BU$4&gt;=$C$1),'General Inputs'!W$11*$H11,IF(AND(($D11+$C$1)&gt;BU$4,BU$4&gt;=$C$1),'General Inputs'!W$11*$G11,0))</f>
        <v>0</v>
      </c>
      <c r="BW11" s="214">
        <f>IF(AND(($E11+$C$1)&gt;BW$4,BW$4&gt;=$C$1),$H11,IF(AND(($D11+$C$1)&gt;BW$4,BW$4&gt;=$C$1),$G11,0))*IF($A11="Residential",'General Inputs'!D$14,'General Inputs'!D$19)</f>
        <v>0</v>
      </c>
      <c r="BX11" s="214">
        <f>IF(AND(($E11+$C$1)&gt;BX$4,BX$4&gt;=$C$1),$H11,IF(AND(($D11+$C$1)&gt;BX$4,BX$4&gt;=$C$1),$G11,0))*IF($A11="Residential",'General Inputs'!E$14,'General Inputs'!E$19)</f>
        <v>4920.2611419321165</v>
      </c>
      <c r="BY11" s="214">
        <f>IF(AND(($E11+$C$1)&gt;BY$4,BY$4&gt;=$C$1),$H11,IF(AND(($D11+$C$1)&gt;BY$4,BY$4&gt;=$C$1),$G11,0))*IF($A11="Residential",'General Inputs'!F$14,'General Inputs'!F$19)</f>
        <v>4994.0650590610967</v>
      </c>
      <c r="BZ11" s="214">
        <f>IF(AND(($E11+$C$1)&gt;BZ$4,BZ$4&gt;=$C$1),$H11,IF(AND(($D11+$C$1)&gt;BZ$4,BZ$4&gt;=$C$1),$G11,0))*IF($A11="Residential",'General Inputs'!G$14,'General Inputs'!G$19)</f>
        <v>5068.9760349470125</v>
      </c>
      <c r="CA11" s="214">
        <f>IF(AND(($E11+$C$1)&gt;CA$4,CA$4&gt;=$C$1),$H11,IF(AND(($D11+$C$1)&gt;CA$4,CA$4&gt;=$C$1),$G11,0))*IF($A11="Residential",'General Inputs'!H$14,'General Inputs'!H$19)</f>
        <v>5145.0106754712169</v>
      </c>
      <c r="CB11" s="214">
        <f>IF(AND(($E11+$C$1)&gt;CB$4,CB$4&gt;=$C$1),$H11,IF(AND(($D11+$C$1)&gt;CB$4,CB$4&gt;=$C$1),$G11,0))*IF($A11="Residential",'General Inputs'!I$14,'General Inputs'!I$19)</f>
        <v>5222.1858356032853</v>
      </c>
      <c r="CC11" s="214">
        <f>IF(AND(($E11+$C$1)&gt;CC$4,CC$4&gt;=$C$1),$H11,IF(AND(($D11+$C$1)&gt;CC$4,CC$4&gt;=$C$1),$G11,0))*IF($A11="Residential",'General Inputs'!J$14,'General Inputs'!J$19)</f>
        <v>5300.5186231373336</v>
      </c>
      <c r="CD11" s="214">
        <f>IF(AND(($E11+$C$1)&gt;CD$4,CD$4&gt;=$C$1),$H11,IF(AND(($D11+$C$1)&gt;CD$4,CD$4&gt;=$C$1),$G11,0))*IF($A11="Residential",'General Inputs'!K$14,'General Inputs'!K$19)</f>
        <v>5380.0264024843927</v>
      </c>
      <c r="CE11" s="214">
        <f>IF(AND(($E11+$C$1)&gt;CE$4,CE$4&gt;=$C$1),$H11,IF(AND(($D11+$C$1)&gt;CE$4,CE$4&gt;=$C$1),$G11,0))*IF($A11="Residential",'General Inputs'!L$14,'General Inputs'!L$19)</f>
        <v>5460.7267985216577</v>
      </c>
      <c r="CF11" s="214">
        <f>IF(AND(($E11+$C$1)&gt;CF$4,CF$4&gt;=$C$1),$H11,IF(AND(($D11+$C$1)&gt;CF$4,CF$4&gt;=$C$1),$G11,0))*IF($A11="Residential",'General Inputs'!M$14,'General Inputs'!M$19)</f>
        <v>0</v>
      </c>
      <c r="CG11" s="214">
        <f>IF(AND(($E11+$C$1)&gt;CG$4,CG$4&gt;=$C$1),$H11,IF(AND(($D11+$C$1)&gt;CG$4,CG$4&gt;=$C$1),$G11,0))*IF($A11="Residential",'General Inputs'!N$14,'General Inputs'!N$19)</f>
        <v>0</v>
      </c>
      <c r="CH11" s="214">
        <f>IF(AND(($E11+$C$1)&gt;CH$4,CH$4&gt;=$C$1),$H11,IF(AND(($D11+$C$1)&gt;CH$4,CH$4&gt;=$C$1),$G11,0))*IF($A11="Residential",'General Inputs'!O$14,'General Inputs'!O$19)</f>
        <v>0</v>
      </c>
      <c r="CI11" s="214">
        <f>IF(AND(($E11+$C$1)&gt;CI$4,CI$4&gt;=$C$1),$H11,IF(AND(($D11+$C$1)&gt;CI$4,CI$4&gt;=$C$1),$G11,0))*IF($A11="Residential",'General Inputs'!P$14,'General Inputs'!P$19)</f>
        <v>0</v>
      </c>
      <c r="CJ11" s="214">
        <f>IF(AND(($E11+$C$1)&gt;CJ$4,CJ$4&gt;=$C$1),$H11,IF(AND(($D11+$C$1)&gt;CJ$4,CJ$4&gt;=$C$1),$G11,0))*IF($A11="Residential",'General Inputs'!Q$14,'General Inputs'!Q$19)</f>
        <v>0</v>
      </c>
      <c r="CK11" s="214">
        <f>IF(AND(($E11+$C$1)&gt;CK$4,CK$4&gt;=$C$1),$H11,IF(AND(($D11+$C$1)&gt;CK$4,CK$4&gt;=$C$1),$G11,0))*IF($A11="Residential",'General Inputs'!R$14,'General Inputs'!R$19)</f>
        <v>0</v>
      </c>
      <c r="CL11" s="214">
        <f>IF(AND(($E11+$C$1)&gt;CL$4,CL$4&gt;=$C$1),$H11,IF(AND(($D11+$C$1)&gt;CL$4,CL$4&gt;=$C$1),$G11,0))*IF($A11="Residential",'General Inputs'!S$14,'General Inputs'!S$19)</f>
        <v>0</v>
      </c>
      <c r="CM11" s="214">
        <f>IF(AND(($E11+$C$1)&gt;CM$4,CM$4&gt;=$C$1),$H11,IF(AND(($D11+$C$1)&gt;CM$4,CM$4&gt;=$C$1),$G11,0))*IF($A11="Residential",'General Inputs'!T$14,'General Inputs'!T$19)</f>
        <v>0</v>
      </c>
      <c r="CN11" s="214">
        <f>IF(AND(($E11+$C$1)&gt;CN$4,CN$4&gt;=$C$1),$H11,IF(AND(($D11+$C$1)&gt;CN$4,CN$4&gt;=$C$1),$G11,0))*IF($A11="Residential",'General Inputs'!U$14,'General Inputs'!U$19)</f>
        <v>0</v>
      </c>
      <c r="CO11" s="214">
        <f>IF(AND(($E11+$C$1)&gt;CO$4,CO$4&gt;=$C$1),$H11,IF(AND(($D11+$C$1)&gt;CO$4,CO$4&gt;=$C$1),$G11,0))*IF($A11="Residential",'General Inputs'!V$14,'General Inputs'!V$19)</f>
        <v>0</v>
      </c>
      <c r="CP11" s="214">
        <f>IF(AND(($E11+$C$1)&gt;CP$4,CP$4&gt;=$C$1),$H11,IF(AND(($D11+$C$1)&gt;CP$4,CP$4&gt;=$C$1),$G11,0))*IF($A11="Residential",'General Inputs'!W$14,'General Inputs'!W$19)</f>
        <v>0</v>
      </c>
      <c r="CR11" s="214">
        <f>IF(AND(($E11+$C$1)&gt;CR$4,CR$4&gt;=$C$1),$H11,IF(AND(($D11+$C$1)&gt;CR$4,CR$4&gt;=$C$1),$G11,0))*IF($A11="Residential",'General Inputs'!D$15,'General Inputs'!D$19)</f>
        <v>0</v>
      </c>
      <c r="CS11" s="214">
        <f>IF(AND(($E11+$C$1)&gt;CS$4,CS$4&gt;=$C$1),$H11,IF(AND(($D11+$C$1)&gt;CS$4,CS$4&gt;=$C$1),$G11,0))*IF($A11="Residential",'General Inputs'!E$15,'General Inputs'!E$19)</f>
        <v>4002.6731778473995</v>
      </c>
      <c r="CT11" s="214">
        <f>IF(AND(($E11+$C$1)&gt;CT$4,CT$4&gt;=$C$1),$H11,IF(AND(($D11+$C$1)&gt;CT$4,CT$4&gt;=$C$1),$G11,0))*IF($A11="Residential",'General Inputs'!F$15,'General Inputs'!F$19)</f>
        <v>4062.7132755151101</v>
      </c>
      <c r="CU11" s="214">
        <f>IF(AND(($E11+$C$1)&gt;CU$4,CU$4&gt;=$C$1),$H11,IF(AND(($D11+$C$1)&gt;CU$4,CU$4&gt;=$C$1),$G11,0))*IF($A11="Residential",'General Inputs'!G$15,'General Inputs'!G$19)</f>
        <v>4123.6539746478365</v>
      </c>
      <c r="CV11" s="214">
        <f>IF(AND(($E11+$C$1)&gt;CV$4,CV$4&gt;=$C$1),$H11,IF(AND(($D11+$C$1)&gt;CV$4,CV$4&gt;=$C$1),$G11,0))*IF($A11="Residential",'General Inputs'!H$15,'General Inputs'!H$19)</f>
        <v>4185.5087842675539</v>
      </c>
      <c r="CW11" s="214">
        <f>IF(AND(($E11+$C$1)&gt;CW$4,CW$4&gt;=$C$1),$H11,IF(AND(($D11+$C$1)&gt;CW$4,CW$4&gt;=$C$1),$G11,0))*IF($A11="Residential",'General Inputs'!I$15,'General Inputs'!I$19)</f>
        <v>4248.2914160315668</v>
      </c>
      <c r="CX11" s="214">
        <f>IF(AND(($E11+$C$1)&gt;CX$4,CX$4&gt;=$C$1),$H11,IF(AND(($D11+$C$1)&gt;CX$4,CX$4&gt;=$C$1),$G11,0))*IF($A11="Residential",'General Inputs'!J$15,'General Inputs'!J$19)</f>
        <v>4312.0157872720392</v>
      </c>
      <c r="CY11" s="214">
        <f>IF(AND(($E11+$C$1)&gt;CY$4,CY$4&gt;=$C$1),$H11,IF(AND(($D11+$C$1)&gt;CY$4,CY$4&gt;=$C$1),$G11,0))*IF($A11="Residential",'General Inputs'!K$15,'General Inputs'!K$19)</f>
        <v>4376.6960240811195</v>
      </c>
      <c r="CZ11" s="214">
        <f>IF(AND(($E11+$C$1)&gt;CZ$4,CZ$4&gt;=$C$1),$H11,IF(AND(($D11+$C$1)&gt;CZ$4,CZ$4&gt;=$C$1),$G11,0))*IF($A11="Residential",'General Inputs'!L$15,'General Inputs'!L$19)</f>
        <v>4442.3464644423357</v>
      </c>
      <c r="DA11" s="214">
        <f>IF(AND(($E11+$C$1)&gt;DA$4,DA$4&gt;=$C$1),$H11,IF(AND(($D11+$C$1)&gt;DA$4,DA$4&gt;=$C$1),$G11,0))*IF($A11="Residential",'General Inputs'!M$15,'General Inputs'!M$19)</f>
        <v>0</v>
      </c>
      <c r="DB11" s="214">
        <f>IF(AND(($E11+$C$1)&gt;DB$4,DB$4&gt;=$C$1),$H11,IF(AND(($D11+$C$1)&gt;DB$4,DB$4&gt;=$C$1),$G11,0))*IF($A11="Residential",'General Inputs'!N$15,'General Inputs'!N$19)</f>
        <v>0</v>
      </c>
      <c r="DC11" s="214">
        <f>IF(AND(($E11+$C$1)&gt;DC$4,DC$4&gt;=$C$1),$H11,IF(AND(($D11+$C$1)&gt;DC$4,DC$4&gt;=$C$1),$G11,0))*IF($A11="Residential",'General Inputs'!O$15,'General Inputs'!O$19)</f>
        <v>0</v>
      </c>
      <c r="DD11" s="214">
        <f>IF(AND(($E11+$C$1)&gt;DD$4,DD$4&gt;=$C$1),$H11,IF(AND(($D11+$C$1)&gt;DD$4,DD$4&gt;=$C$1),$G11,0))*IF($A11="Residential",'General Inputs'!P$15,'General Inputs'!P$19)</f>
        <v>0</v>
      </c>
      <c r="DE11" s="214">
        <f>IF(AND(($E11+$C$1)&gt;DE$4,DE$4&gt;=$C$1),$H11,IF(AND(($D11+$C$1)&gt;DE$4,DE$4&gt;=$C$1),$G11,0))*IF($A11="Residential",'General Inputs'!Q$15,'General Inputs'!Q$19)</f>
        <v>0</v>
      </c>
      <c r="DF11" s="214">
        <f>IF(AND(($E11+$C$1)&gt;DF$4,DF$4&gt;=$C$1),$H11,IF(AND(($D11+$C$1)&gt;DF$4,DF$4&gt;=$C$1),$G11,0))*IF($A11="Residential",'General Inputs'!R$15,'General Inputs'!R$19)</f>
        <v>0</v>
      </c>
      <c r="DG11" s="214">
        <f>IF(AND(($E11+$C$1)&gt;DG$4,DG$4&gt;=$C$1),$H11,IF(AND(($D11+$C$1)&gt;DG$4,DG$4&gt;=$C$1),$G11,0))*IF($A11="Residential",'General Inputs'!S$15,'General Inputs'!S$19)</f>
        <v>0</v>
      </c>
      <c r="DH11" s="214">
        <f>IF(AND(($E11+$C$1)&gt;DH$4,DH$4&gt;=$C$1),$H11,IF(AND(($D11+$C$1)&gt;DH$4,DH$4&gt;=$C$1),$G11,0))*IF($A11="Residential",'General Inputs'!T$15,'General Inputs'!T$19)</f>
        <v>0</v>
      </c>
      <c r="DI11" s="214">
        <f>IF(AND(($E11+$C$1)&gt;DI$4,DI$4&gt;=$C$1),$H11,IF(AND(($D11+$C$1)&gt;DI$4,DI$4&gt;=$C$1),$G11,0))*IF($A11="Residential",'General Inputs'!U$15,'General Inputs'!U$19)</f>
        <v>0</v>
      </c>
      <c r="DJ11" s="214">
        <f>IF(AND(($E11+$C$1)&gt;DJ$4,DJ$4&gt;=$C$1),$H11,IF(AND(($D11+$C$1)&gt;DJ$4,DJ$4&gt;=$C$1),$G11,0))*IF($A11="Residential",'General Inputs'!V$15,'General Inputs'!V$19)</f>
        <v>0</v>
      </c>
      <c r="DK11" s="214">
        <f>IF(AND(($E11+$C$1)&gt;DK$4,DK$4&gt;=$C$1),$H11,IF(AND(($D11+$C$1)&gt;DK$4,DK$4&gt;=$C$1),$G11,0))*IF($A11="Residential",'General Inputs'!W$15,'General Inputs'!W$19)</f>
        <v>0</v>
      </c>
      <c r="DM11" s="214">
        <f t="shared" si="31"/>
        <v>0</v>
      </c>
      <c r="DN11" s="214">
        <f t="shared" si="27"/>
        <v>6800</v>
      </c>
      <c r="DO11" s="214">
        <f t="shared" si="27"/>
        <v>0</v>
      </c>
      <c r="DP11" s="214">
        <f t="shared" si="27"/>
        <v>0</v>
      </c>
      <c r="DQ11" s="214">
        <f t="shared" si="27"/>
        <v>0</v>
      </c>
      <c r="DR11" s="214">
        <f t="shared" si="27"/>
        <v>0</v>
      </c>
      <c r="DS11" s="214">
        <f t="shared" si="27"/>
        <v>0</v>
      </c>
      <c r="DT11" s="214">
        <f t="shared" si="27"/>
        <v>0</v>
      </c>
      <c r="DU11" s="214">
        <f t="shared" si="27"/>
        <v>0</v>
      </c>
      <c r="DV11" s="214">
        <f t="shared" si="27"/>
        <v>0</v>
      </c>
      <c r="DW11" s="214">
        <f t="shared" si="27"/>
        <v>0</v>
      </c>
      <c r="DY11" s="219"/>
      <c r="DZ11" s="650"/>
      <c r="EA11" s="219"/>
      <c r="EB11" s="219"/>
      <c r="EC11" s="219"/>
      <c r="ED11" s="219"/>
      <c r="EE11" s="219"/>
      <c r="EF11" s="219"/>
      <c r="FI11" s="195"/>
      <c r="FJ11" s="195"/>
      <c r="FK11" s="195"/>
      <c r="FL11" s="195"/>
      <c r="FM11" s="195"/>
      <c r="FN11" s="195"/>
      <c r="FO11" s="195"/>
    </row>
    <row r="12" spans="1:171">
      <c r="A12" s="342" t="s">
        <v>12</v>
      </c>
      <c r="B12" s="427" t="str">
        <f>'Portfolio Inputs'!A11</f>
        <v>Advanced Power Strip</v>
      </c>
      <c r="C12" s="217">
        <f>IF($C$1=2014,'Portfolio Inputs'!$C11,IF($C$1=2015,'Portfolio Inputs'!$D11,'Portfolio Inputs'!$E11))</f>
        <v>190</v>
      </c>
      <c r="D12" s="504">
        <f>VLOOKUP(B12,Sources!$B$4:$J$104,2,FALSE)</f>
        <v>10</v>
      </c>
      <c r="E12" s="504">
        <f>VLOOKUP(B12,Sources!$B$4:$J$104,3,FALSE)</f>
        <v>0</v>
      </c>
      <c r="G12" s="504">
        <f>IF($C$1=2014,'Portfolio Inputs'!$G11,IF($C$1=2015,'Portfolio Inputs'!$H11,'Portfolio Inputs'!$I11))*EnergyLineLoss</f>
        <v>14939.642999999996</v>
      </c>
      <c r="H12" s="504"/>
      <c r="I12" s="504">
        <f>IF($C$1=2014,'Portfolio Inputs'!$K11,IF($C$1=2015,'Portfolio Inputs'!$L11,'Portfolio Inputs'!$M11))*PeakLineLoss</f>
        <v>2.0956155140973483</v>
      </c>
      <c r="J12" s="510"/>
      <c r="L12" s="606">
        <f>IF($C$1=2014,'Portfolio Inputs'!$O11,IF($C$1=2015,'Portfolio Inputs'!$P11,'Portfolio Inputs'!$Q11))</f>
        <v>20</v>
      </c>
      <c r="M12" s="518">
        <f>VLOOKUP($B12,Sources!$B$4:$K$104,10,FALSE)</f>
        <v>0</v>
      </c>
      <c r="N12" s="419">
        <f>IF($C$1=2014,'Portfolio Inputs'!$W11,IF($C$1=2015,'Portfolio Inputs'!$X11,'Portfolio Inputs'!$Y11))</f>
        <v>1900</v>
      </c>
      <c r="O12" s="419"/>
      <c r="Q12" s="438">
        <f t="shared" si="0"/>
        <v>1.2462775182024963</v>
      </c>
      <c r="R12" s="439">
        <f t="shared" si="1"/>
        <v>2.4925550364049927</v>
      </c>
      <c r="S12" s="439">
        <f t="shared" si="2"/>
        <v>1.5615536478502019</v>
      </c>
      <c r="T12" s="439">
        <f t="shared" si="3"/>
        <v>4.4913496549033436</v>
      </c>
      <c r="U12" s="439">
        <f t="shared" si="28"/>
        <v>3.7469959919278835</v>
      </c>
      <c r="V12" s="439">
        <f t="shared" si="29"/>
        <v>0.27748396672743947</v>
      </c>
      <c r="W12" s="439">
        <f t="shared" si="30"/>
        <v>0.33260711270771032</v>
      </c>
      <c r="Y12" s="215">
        <f t="shared" si="4"/>
        <v>4351.2077996779544</v>
      </c>
      <c r="Z12" s="215">
        <f t="shared" si="5"/>
        <v>1100.7435617983103</v>
      </c>
      <c r="AA12" s="215">
        <f t="shared" si="6"/>
        <v>13935.252378383595</v>
      </c>
      <c r="AB12" s="215">
        <f t="shared" si="7"/>
        <v>11336.443191221937</v>
      </c>
      <c r="AC12" s="216">
        <f t="shared" si="20"/>
        <v>0</v>
      </c>
      <c r="AD12" s="216">
        <f t="shared" si="21"/>
        <v>1745.6817346563762</v>
      </c>
      <c r="AE12" s="215">
        <f t="shared" si="8"/>
        <v>3491.3634693127524</v>
      </c>
      <c r="AG12" s="214">
        <f>IF(AND(($E12+$C$1)&gt;AG$4,AG$4&gt;=$C$1),'General Inputs'!D$9*$H12,IF(AND(($D12+$C$1)&gt;AG$4,AG$4&gt;=$C$1),'General Inputs'!D$9*$G12,0))+IF(AND(($E12+$C$1)&gt;AG$4,AG$4&gt;=$C$1),'General Inputs'!D$10*$J12,IF(AND(($D12+$C$1)&gt;AG$4,AG$4&gt;=$C$1),'General Inputs'!D$10*$I12,0))</f>
        <v>0</v>
      </c>
      <c r="AH12" s="214">
        <f>IF(AND(($E12+$C$1)&gt;AH$4,AH$4&gt;=$C$1),'General Inputs'!E$9*$H12,IF(AND(($D12+$C$1)&gt;AH$4,AH$4&gt;=$C$1),'General Inputs'!E$9*$G12,0))+IF(AND(($E12+$C$1)&gt;AH$4,AH$4&gt;=$C$1),'General Inputs'!E$10*$J12,IF(AND(($D12+$C$1)&gt;AH$4,AH$4&gt;=$C$1),'General Inputs'!E$10*$I12,0))</f>
        <v>635.55333829188305</v>
      </c>
      <c r="AI12" s="214">
        <f>IF(AND(($E12+$C$1)&gt;AI$4,AI$4&gt;=$C$1),'General Inputs'!F$9*$H12,IF(AND(($D12+$C$1)&gt;AI$4,AI$4&gt;=$C$1),'General Inputs'!F$9*$G12,0))+IF(AND(($E12+$C$1)&gt;AI$4,AI$4&gt;=$C$1),'General Inputs'!F$10*$J12,IF(AND(($D12+$C$1)&gt;AI$4,AI$4&gt;=$C$1),'General Inputs'!F$10*$I12,0))</f>
        <v>645.08663836626113</v>
      </c>
      <c r="AJ12" s="214">
        <f>IF(AND(($E12+$C$1)&gt;AJ$4,AJ$4&gt;=$C$1),'General Inputs'!G$9*$H12,IF(AND(($D12+$C$1)&gt;AJ$4,AJ$4&gt;=$C$1),'General Inputs'!G$9*$G12,0))+IF(AND(($E12+$C$1)&gt;AJ$4,AJ$4&gt;=$C$1),'General Inputs'!G$10*$J12,IF(AND(($D12+$C$1)&gt;AJ$4,AJ$4&gt;=$C$1),'General Inputs'!G$10*$I12,0))</f>
        <v>654.76293794175501</v>
      </c>
      <c r="AK12" s="214">
        <f>IF(AND(($E12+$C$1)&gt;AK$4,AK$4&gt;=$C$1),'General Inputs'!H$9*$H12,IF(AND(($D12+$C$1)&gt;AK$4,AK$4&gt;=$C$1),'General Inputs'!H$9*$G12,0))+IF(AND(($E12+$C$1)&gt;AK$4,AK$4&gt;=$C$1),'General Inputs'!H$10*$J12,IF(AND(($D12+$C$1)&gt;AK$4,AK$4&gt;=$C$1),'General Inputs'!H$10*$I12,0))</f>
        <v>664.58438201088131</v>
      </c>
      <c r="AL12" s="214">
        <f>IF(AND(($E12+$C$1)&gt;AL$4,AL$4&gt;=$C$1),'General Inputs'!I$9*$H12,IF(AND(($D12+$C$1)&gt;AL$4,AL$4&gt;=$C$1),'General Inputs'!I$9*$G12,0))+IF(AND(($E12+$C$1)&gt;AL$4,AL$4&gt;=$C$1),'General Inputs'!I$10*$J12,IF(AND(($D12+$C$1)&gt;AL$4,AL$4&gt;=$C$1),'General Inputs'!I$10*$I12,0))</f>
        <v>674.55314774104454</v>
      </c>
      <c r="AM12" s="214">
        <f>IF(AND(($E12+$C$1)&gt;AM$4,AM$4&gt;=$C$1),'General Inputs'!J$9*$H12,IF(AND(($D12+$C$1)&gt;AM$4,AM$4&gt;=$C$1),'General Inputs'!J$9*$G12,0))+IF(AND(($E12+$C$1)&gt;AM$4,AM$4&gt;=$C$1),'General Inputs'!J$10*$J12,IF(AND(($D12+$C$1)&gt;AM$4,AM$4&gt;=$C$1),'General Inputs'!J$10*$I12,0))</f>
        <v>684.67144495716002</v>
      </c>
      <c r="AN12" s="214">
        <f>IF(AND(($E12+$C$1)&gt;AN$4,AN$4&gt;=$C$1),'General Inputs'!K$9*$H12,IF(AND(($D12+$C$1)&gt;AN$4,AN$4&gt;=$C$1),'General Inputs'!K$9*$G12,0))+IF(AND(($E12+$C$1)&gt;AN$4,AN$4&gt;=$C$1),'General Inputs'!K$10*$J12,IF(AND(($D12+$C$1)&gt;AN$4,AN$4&gt;=$C$1),'General Inputs'!K$10*$I12,0))</f>
        <v>694.94151663151729</v>
      </c>
      <c r="AO12" s="214">
        <f>IF(AND(($E12+$C$1)&gt;AO$4,AO$4&gt;=$C$1),'General Inputs'!L$9*$H12,IF(AND(($D12+$C$1)&gt;AO$4,AO$4&gt;=$C$1),'General Inputs'!L$9*$G12,0))+IF(AND(($E12+$C$1)&gt;AO$4,AO$4&gt;=$C$1),'General Inputs'!L$10*$J12,IF(AND(($D12+$C$1)&gt;AO$4,AO$4&gt;=$C$1),'General Inputs'!L$10*$I12,0))</f>
        <v>705.36563938098993</v>
      </c>
      <c r="AP12" s="214">
        <f>IF(AND(($E12+$C$1)&gt;AP$4,AP$4&gt;=$C$1),'General Inputs'!M$9*$H12,IF(AND(($D12+$C$1)&gt;AP$4,AP$4&gt;=$C$1),'General Inputs'!M$9*$G12,0))+IF(AND(($E12+$C$1)&gt;AP$4,AP$4&gt;=$C$1),'General Inputs'!M$10*$J12,IF(AND(($D12+$C$1)&gt;AP$4,AP$4&gt;=$C$1),'General Inputs'!M$10*$I12,0))</f>
        <v>715.94612397170476</v>
      </c>
      <c r="AQ12" s="214">
        <f>IF(AND(($E12+$C$1)&gt;AQ$4,AQ$4&gt;=$C$1),'General Inputs'!N$9*$H12,IF(AND(($D12+$C$1)&gt;AQ$4,AQ$4&gt;=$C$1),'General Inputs'!N$9*$G12,0))+IF(AND(($E12+$C$1)&gt;AQ$4,AQ$4&gt;=$C$1),'General Inputs'!N$10*$J12,IF(AND(($D12+$C$1)&gt;AQ$4,AQ$4&gt;=$C$1),'General Inputs'!N$10*$I12,0))</f>
        <v>726.68531583128038</v>
      </c>
      <c r="AR12" s="214">
        <f>IF(AND(($E12+$C$1)&gt;AR$4,AR$4&gt;=$C$1),'General Inputs'!O$9*$H12,IF(AND(($D12+$C$1)&gt;AR$4,AR$4&gt;=$C$1),'General Inputs'!O$9*$G12,0))+IF(AND(($E12+$C$1)&gt;AR$4,AR$4&gt;=$C$1),'General Inputs'!O$10*$J12,IF(AND(($D12+$C$1)&gt;AR$4,AR$4&gt;=$C$1),'General Inputs'!O$10*$I12,0))</f>
        <v>0</v>
      </c>
      <c r="AS12" s="214">
        <f>IF(AND(($E12+$C$1)&gt;AS$4,AS$4&gt;=$C$1),'General Inputs'!P$9*$H12,IF(AND(($D12+$C$1)&gt;AS$4,AS$4&gt;=$C$1),'General Inputs'!P$9*$G12,0))+IF(AND(($E12+$C$1)&gt;AS$4,AS$4&gt;=$C$1),'General Inputs'!P$10*$J12,IF(AND(($D12+$C$1)&gt;AS$4,AS$4&gt;=$C$1),'General Inputs'!P$10*$I12,0))</f>
        <v>0</v>
      </c>
      <c r="AT12" s="214">
        <f>IF(AND(($E12+$C$1)&gt;AT$4,AT$4&gt;=$C$1),'General Inputs'!Q$9*$H12,IF(AND(($D12+$C$1)&gt;AT$4,AT$4&gt;=$C$1),'General Inputs'!Q$9*$G12,0))+IF(AND(($E12+$C$1)&gt;AT$4,AT$4&gt;=$C$1),'General Inputs'!Q$10*$J12,IF(AND(($D12+$C$1)&gt;AT$4,AT$4&gt;=$C$1),'General Inputs'!Q$10*$I12,0))</f>
        <v>0</v>
      </c>
      <c r="AU12" s="214">
        <f>IF(AND(($E12+$C$1)&gt;AU$4,AU$4&gt;=$C$1),'General Inputs'!R$9*$H12,IF(AND(($D12+$C$1)&gt;AU$4,AU$4&gt;=$C$1),'General Inputs'!R$9*$G12,0))+IF(AND(($E12+$C$1)&gt;AU$4,AU$4&gt;=$C$1),'General Inputs'!R$10*$J12,IF(AND(($D12+$C$1)&gt;AU$4,AU$4&gt;=$C$1),'General Inputs'!R$10*$I12,0))</f>
        <v>0</v>
      </c>
      <c r="AV12" s="214">
        <f>IF(AND(($E12+$C$1)&gt;AV$4,AV$4&gt;=$C$1),'General Inputs'!S$9*$H12,IF(AND(($D12+$C$1)&gt;AV$4,AV$4&gt;=$C$1),'General Inputs'!S$9*$G12,0))+IF(AND(($E12+$C$1)&gt;AV$4,AV$4&gt;=$C$1),'General Inputs'!S$10*$J12,IF(AND(($D12+$C$1)&gt;AV$4,AV$4&gt;=$C$1),'General Inputs'!S$10*$I12,0))</f>
        <v>0</v>
      </c>
      <c r="AW12" s="214">
        <f>IF(AND(($E12+$C$1)&gt;AW$4,AW$4&gt;=$C$1),'General Inputs'!T$9*$H12,IF(AND(($D12+$C$1)&gt;AW$4,AW$4&gt;=$C$1),'General Inputs'!T$9*$G12,0))+IF(AND(($E12+$C$1)&gt;AW$4,AW$4&gt;=$C$1),'General Inputs'!T$10*$J12,IF(AND(($D12+$C$1)&gt;AW$4,AW$4&gt;=$C$1),'General Inputs'!T$10*$I12,0))</f>
        <v>0</v>
      </c>
      <c r="AX12" s="214">
        <f>IF(AND(($E12+$C$1)&gt;AX$4,AX$4&gt;=$C$1),'General Inputs'!U$9*$H12,IF(AND(($D12+$C$1)&gt;AX$4,AX$4&gt;=$C$1),'General Inputs'!U$9*$G12,0))+IF(AND(($E12+$C$1)&gt;AX$4,AX$4&gt;=$C$1),'General Inputs'!U$10*$J12,IF(AND(($D12+$C$1)&gt;AX$4,AX$4&gt;=$C$1),'General Inputs'!U$10*$I12,0))</f>
        <v>0</v>
      </c>
      <c r="AY12" s="214">
        <f>IF(AND(($E12+$C$1)&gt;AY$4,AY$4&gt;=$C$1),'General Inputs'!V$9*$H12,IF(AND(($D12+$C$1)&gt;AY$4,AY$4&gt;=$C$1),'General Inputs'!V$9*$G12,0))+IF(AND(($E12+$C$1)&gt;AY$4,AY$4&gt;=$C$1),'General Inputs'!V$10*$J12,IF(AND(($D12+$C$1)&gt;AY$4,AY$4&gt;=$C$1),'General Inputs'!V$10*$I12,0))</f>
        <v>0</v>
      </c>
      <c r="AZ12" s="214">
        <f>IF(AND(($E12+$C$1)&gt;AZ$4,AZ$4&gt;=$C$1),'General Inputs'!W$9*$H12,IF(AND(($D12+$C$1)&gt;AZ$4,AZ$4&gt;=$C$1),'General Inputs'!W$9*$G12,0))+IF(AND(($E12+$C$1)&gt;AZ$4,AZ$4&gt;=$C$1),'General Inputs'!W$10*$J12,IF(AND(($D12+$C$1)&gt;AZ$4,AZ$4&gt;=$C$1),'General Inputs'!W$10*$I12,0))</f>
        <v>0</v>
      </c>
      <c r="BB12" s="214">
        <f>IF(AND(($E12+$C$1)&gt;BB$4,BB$4&gt;=$C$1),'General Inputs'!D$11*$H12,IF(AND(($D12+$C$1)&gt;BB$4,BB$4&gt;=$C$1),'General Inputs'!D$11*$G12,0))</f>
        <v>0</v>
      </c>
      <c r="BC12" s="214">
        <f>IF(AND(($E12+$C$1)&gt;BC$4,BC$4&gt;=$C$1),'General Inputs'!E$11*$H12,IF(AND(($D12+$C$1)&gt;BC$4,BC$4&gt;=$C$1),'General Inputs'!E$11*$G12,0))</f>
        <v>170.31193019999998</v>
      </c>
      <c r="BD12" s="214">
        <f>IF(AND(($E12+$C$1)&gt;BD$4,BD$4&gt;=$C$1),'General Inputs'!F$11*$H12,IF(AND(($D12+$C$1)&gt;BD$4,BD$4&gt;=$C$1),'General Inputs'!F$11*$G12,0))</f>
        <v>170.31193019999998</v>
      </c>
      <c r="BE12" s="214">
        <f>IF(AND(($E12+$C$1)&gt;BE$4,BE$4&gt;=$C$1),'General Inputs'!G$11*$H12,IF(AND(($D12+$C$1)&gt;BE$4,BE$4&gt;=$C$1),'General Inputs'!G$11*$G12,0))</f>
        <v>170.31193019999998</v>
      </c>
      <c r="BF12" s="214">
        <f>IF(AND(($E12+$C$1)&gt;BF$4,BF$4&gt;=$C$1),'General Inputs'!H$11*$H12,IF(AND(($D12+$C$1)&gt;BF$4,BF$4&gt;=$C$1),'General Inputs'!H$11*$G12,0))</f>
        <v>170.31193019999998</v>
      </c>
      <c r="BG12" s="214">
        <f>IF(AND(($E12+$C$1)&gt;BG$4,BG$4&gt;=$C$1),'General Inputs'!I$11*$H12,IF(AND(($D12+$C$1)&gt;BG$4,BG$4&gt;=$C$1),'General Inputs'!I$11*$G12,0))</f>
        <v>170.31193019999998</v>
      </c>
      <c r="BH12" s="214">
        <f>IF(AND(($E12+$C$1)&gt;BH$4,BH$4&gt;=$C$1),'General Inputs'!J$11*$H12,IF(AND(($D12+$C$1)&gt;BH$4,BH$4&gt;=$C$1),'General Inputs'!J$11*$G12,0))</f>
        <v>170.31193019999998</v>
      </c>
      <c r="BI12" s="214">
        <f>IF(AND(($E12+$C$1)&gt;BI$4,BI$4&gt;=$C$1),'General Inputs'!K$11*$H12,IF(AND(($D12+$C$1)&gt;BI$4,BI$4&gt;=$C$1),'General Inputs'!K$11*$G12,0))</f>
        <v>170.31193019999998</v>
      </c>
      <c r="BJ12" s="214">
        <f>IF(AND(($E12+$C$1)&gt;BJ$4,BJ$4&gt;=$C$1),'General Inputs'!L$11*$H12,IF(AND(($D12+$C$1)&gt;BJ$4,BJ$4&gt;=$C$1),'General Inputs'!L$11*$G12,0))</f>
        <v>170.31193019999998</v>
      </c>
      <c r="BK12" s="214">
        <f>IF(AND(($E12+$C$1)&gt;BK$4,BK$4&gt;=$C$1),'General Inputs'!M$11*$H12,IF(AND(($D12+$C$1)&gt;BK$4,BK$4&gt;=$C$1),'General Inputs'!M$11*$G12,0))</f>
        <v>170.31193019999998</v>
      </c>
      <c r="BL12" s="214">
        <f>IF(AND(($E12+$C$1)&gt;BL$4,BL$4&gt;=$C$1),'General Inputs'!N$11*$H12,IF(AND(($D12+$C$1)&gt;BL$4,BL$4&gt;=$C$1),'General Inputs'!N$11*$G12,0))</f>
        <v>170.31193019999998</v>
      </c>
      <c r="BM12" s="214">
        <f>IF(AND(($E12+$C$1)&gt;BM$4,BM$4&gt;=$C$1),'General Inputs'!O$11*$H12,IF(AND(($D12+$C$1)&gt;BM$4,BM$4&gt;=$C$1),'General Inputs'!O$11*$G12,0))</f>
        <v>0</v>
      </c>
      <c r="BN12" s="214">
        <f>IF(AND(($E12+$C$1)&gt;BN$4,BN$4&gt;=$C$1),'General Inputs'!P$11*$H12,IF(AND(($D12+$C$1)&gt;BN$4,BN$4&gt;=$C$1),'General Inputs'!P$11*$G12,0))</f>
        <v>0</v>
      </c>
      <c r="BO12" s="214">
        <f>IF(AND(($E12+$C$1)&gt;BO$4,BO$4&gt;=$C$1),'General Inputs'!Q$11*$H12,IF(AND(($D12+$C$1)&gt;BO$4,BO$4&gt;=$C$1),'General Inputs'!Q$11*$G12,0))</f>
        <v>0</v>
      </c>
      <c r="BP12" s="214">
        <f>IF(AND(($E12+$C$1)&gt;BP$4,BP$4&gt;=$C$1),'General Inputs'!R$11*$H12,IF(AND(($D12+$C$1)&gt;BP$4,BP$4&gt;=$C$1),'General Inputs'!R$11*$G12,0))</f>
        <v>0</v>
      </c>
      <c r="BQ12" s="214">
        <f>IF(AND(($E12+$C$1)&gt;BQ$4,BQ$4&gt;=$C$1),'General Inputs'!S$11*$H12,IF(AND(($D12+$C$1)&gt;BQ$4,BQ$4&gt;=$C$1),'General Inputs'!S$11*$G12,0))</f>
        <v>0</v>
      </c>
      <c r="BR12" s="214">
        <f>IF(AND(($E12+$C$1)&gt;BR$4,BR$4&gt;=$C$1),'General Inputs'!T$11*$H12,IF(AND(($D12+$C$1)&gt;BR$4,BR$4&gt;=$C$1),'General Inputs'!T$11*$G12,0))</f>
        <v>0</v>
      </c>
      <c r="BS12" s="214">
        <f>IF(AND(($E12+$C$1)&gt;BS$4,BS$4&gt;=$C$1),'General Inputs'!U$11*$H12,IF(AND(($D12+$C$1)&gt;BS$4,BS$4&gt;=$C$1),'General Inputs'!U$11*$G12,0))</f>
        <v>0</v>
      </c>
      <c r="BT12" s="214">
        <f>IF(AND(($E12+$C$1)&gt;BT$4,BT$4&gt;=$C$1),'General Inputs'!V$11*$H12,IF(AND(($D12+$C$1)&gt;BT$4,BT$4&gt;=$C$1),'General Inputs'!V$11*$G12,0))</f>
        <v>0</v>
      </c>
      <c r="BU12" s="214">
        <f>IF(AND(($E12+$C$1)&gt;BU$4,BU$4&gt;=$C$1),'General Inputs'!W$11*$H12,IF(AND(($D12+$C$1)&gt;BU$4,BU$4&gt;=$C$1),'General Inputs'!W$11*$G12,0))</f>
        <v>0</v>
      </c>
      <c r="BW12" s="214">
        <f>IF(AND(($E12+$C$1)&gt;BW$4,BW$4&gt;=$C$1),$H12,IF(AND(($D12+$C$1)&gt;BW$4,BW$4&gt;=$C$1),$G12,0))*IF($A12="Residential",'General Inputs'!D$14,'General Inputs'!D$19)</f>
        <v>0</v>
      </c>
      <c r="BX12" s="214">
        <f>IF(AND(($E12+$C$1)&gt;BX$4,BX$4&gt;=$C$1),$H12,IF(AND(($D12+$C$1)&gt;BX$4,BX$4&gt;=$C$1),$G12,0))*IF($A12="Residential",'General Inputs'!E$14,'General Inputs'!E$19)</f>
        <v>2035.4339706959295</v>
      </c>
      <c r="BY12" s="214">
        <f>IF(AND(($E12+$C$1)&gt;BY$4,BY$4&gt;=$C$1),$H12,IF(AND(($D12+$C$1)&gt;BY$4,BY$4&gt;=$C$1),$G12,0))*IF($A12="Residential",'General Inputs'!F$14,'General Inputs'!F$19)</f>
        <v>2065.9654802563682</v>
      </c>
      <c r="BZ12" s="214">
        <f>IF(AND(($E12+$C$1)&gt;BZ$4,BZ$4&gt;=$C$1),$H12,IF(AND(($D12+$C$1)&gt;BZ$4,BZ$4&gt;=$C$1),$G12,0))*IF($A12="Residential",'General Inputs'!G$14,'General Inputs'!G$19)</f>
        <v>2096.9549624602132</v>
      </c>
      <c r="CA12" s="214">
        <f>IF(AND(($E12+$C$1)&gt;CA$4,CA$4&gt;=$C$1),$H12,IF(AND(($D12+$C$1)&gt;CA$4,CA$4&gt;=$C$1),$G12,0))*IF($A12="Residential",'General Inputs'!H$14,'General Inputs'!H$19)</f>
        <v>2128.4092868971161</v>
      </c>
      <c r="CB12" s="214">
        <f>IF(AND(($E12+$C$1)&gt;CB$4,CB$4&gt;=$C$1),$H12,IF(AND(($D12+$C$1)&gt;CB$4,CB$4&gt;=$C$1),$G12,0))*IF($A12="Residential",'General Inputs'!I$14,'General Inputs'!I$19)</f>
        <v>2160.3354262005728</v>
      </c>
      <c r="CC12" s="214">
        <f>IF(AND(($E12+$C$1)&gt;CC$4,CC$4&gt;=$C$1),$H12,IF(AND(($D12+$C$1)&gt;CC$4,CC$4&gt;=$C$1),$G12,0))*IF($A12="Residential",'General Inputs'!J$14,'General Inputs'!J$19)</f>
        <v>2192.7404575935811</v>
      </c>
      <c r="CD12" s="214">
        <f>IF(AND(($E12+$C$1)&gt;CD$4,CD$4&gt;=$C$1),$H12,IF(AND(($D12+$C$1)&gt;CD$4,CD$4&gt;=$C$1),$G12,0))*IF($A12="Residential",'General Inputs'!K$14,'General Inputs'!K$19)</f>
        <v>2225.6315644574843</v>
      </c>
      <c r="CE12" s="214">
        <f>IF(AND(($E12+$C$1)&gt;CE$4,CE$4&gt;=$C$1),$H12,IF(AND(($D12+$C$1)&gt;CE$4,CE$4&gt;=$C$1),$G12,0))*IF($A12="Residential",'General Inputs'!L$14,'General Inputs'!L$19)</f>
        <v>2259.0160379243462</v>
      </c>
      <c r="CF12" s="214">
        <f>IF(AND(($E12+$C$1)&gt;CF$4,CF$4&gt;=$C$1),$H12,IF(AND(($D12+$C$1)&gt;CF$4,CF$4&gt;=$C$1),$G12,0))*IF($A12="Residential",'General Inputs'!M$14,'General Inputs'!M$19)</f>
        <v>2292.9012784932115</v>
      </c>
      <c r="CG12" s="214">
        <f>IF(AND(($E12+$C$1)&gt;CG$4,CG$4&gt;=$C$1),$H12,IF(AND(($D12+$C$1)&gt;CG$4,CG$4&gt;=$C$1),$G12,0))*IF($A12="Residential",'General Inputs'!N$14,'General Inputs'!N$19)</f>
        <v>2327.2947976706096</v>
      </c>
      <c r="CH12" s="214">
        <f>IF(AND(($E12+$C$1)&gt;CH$4,CH$4&gt;=$C$1),$H12,IF(AND(($D12+$C$1)&gt;CH$4,CH$4&gt;=$C$1),$G12,0))*IF($A12="Residential",'General Inputs'!O$14,'General Inputs'!O$19)</f>
        <v>0</v>
      </c>
      <c r="CI12" s="214">
        <f>IF(AND(($E12+$C$1)&gt;CI$4,CI$4&gt;=$C$1),$H12,IF(AND(($D12+$C$1)&gt;CI$4,CI$4&gt;=$C$1),$G12,0))*IF($A12="Residential",'General Inputs'!P$14,'General Inputs'!P$19)</f>
        <v>0</v>
      </c>
      <c r="CJ12" s="214">
        <f>IF(AND(($E12+$C$1)&gt;CJ$4,CJ$4&gt;=$C$1),$H12,IF(AND(($D12+$C$1)&gt;CJ$4,CJ$4&gt;=$C$1),$G12,0))*IF($A12="Residential",'General Inputs'!Q$14,'General Inputs'!Q$19)</f>
        <v>0</v>
      </c>
      <c r="CK12" s="214">
        <f>IF(AND(($E12+$C$1)&gt;CK$4,CK$4&gt;=$C$1),$H12,IF(AND(($D12+$C$1)&gt;CK$4,CK$4&gt;=$C$1),$G12,0))*IF($A12="Residential",'General Inputs'!R$14,'General Inputs'!R$19)</f>
        <v>0</v>
      </c>
      <c r="CL12" s="214">
        <f>IF(AND(($E12+$C$1)&gt;CL$4,CL$4&gt;=$C$1),$H12,IF(AND(($D12+$C$1)&gt;CL$4,CL$4&gt;=$C$1),$G12,0))*IF($A12="Residential",'General Inputs'!S$14,'General Inputs'!S$19)</f>
        <v>0</v>
      </c>
      <c r="CM12" s="214">
        <f>IF(AND(($E12+$C$1)&gt;CM$4,CM$4&gt;=$C$1),$H12,IF(AND(($D12+$C$1)&gt;CM$4,CM$4&gt;=$C$1),$G12,0))*IF($A12="Residential",'General Inputs'!T$14,'General Inputs'!T$19)</f>
        <v>0</v>
      </c>
      <c r="CN12" s="214">
        <f>IF(AND(($E12+$C$1)&gt;CN$4,CN$4&gt;=$C$1),$H12,IF(AND(($D12+$C$1)&gt;CN$4,CN$4&gt;=$C$1),$G12,0))*IF($A12="Residential",'General Inputs'!U$14,'General Inputs'!U$19)</f>
        <v>0</v>
      </c>
      <c r="CO12" s="214">
        <f>IF(AND(($E12+$C$1)&gt;CO$4,CO$4&gt;=$C$1),$H12,IF(AND(($D12+$C$1)&gt;CO$4,CO$4&gt;=$C$1),$G12,0))*IF($A12="Residential",'General Inputs'!V$14,'General Inputs'!V$19)</f>
        <v>0</v>
      </c>
      <c r="CP12" s="214">
        <f>IF(AND(($E12+$C$1)&gt;CP$4,CP$4&gt;=$C$1),$H12,IF(AND(($D12+$C$1)&gt;CP$4,CP$4&gt;=$C$1),$G12,0))*IF($A12="Residential",'General Inputs'!W$14,'General Inputs'!W$19)</f>
        <v>0</v>
      </c>
      <c r="CR12" s="214">
        <f>IF(AND(($E12+$C$1)&gt;CR$4,CR$4&gt;=$C$1),$H12,IF(AND(($D12+$C$1)&gt;CR$4,CR$4&gt;=$C$1),$G12,0))*IF($A12="Residential",'General Inputs'!D$15,'General Inputs'!D$19)</f>
        <v>0</v>
      </c>
      <c r="CS12" s="214">
        <f>IF(AND(($E12+$C$1)&gt;CS$4,CS$4&gt;=$C$1),$H12,IF(AND(($D12+$C$1)&gt;CS$4,CS$4&gt;=$C$1),$G12,0))*IF($A12="Residential",'General Inputs'!E$15,'General Inputs'!E$19)</f>
        <v>1655.8423881917672</v>
      </c>
      <c r="CT12" s="214">
        <f>IF(AND(($E12+$C$1)&gt;CT$4,CT$4&gt;=$C$1),$H12,IF(AND(($D12+$C$1)&gt;CT$4,CT$4&gt;=$C$1),$G12,0))*IF($A12="Residential",'General Inputs'!F$15,'General Inputs'!F$19)</f>
        <v>1680.6800240146435</v>
      </c>
      <c r="CU12" s="214">
        <f>IF(AND(($E12+$C$1)&gt;CU$4,CU$4&gt;=$C$1),$H12,IF(AND(($D12+$C$1)&gt;CU$4,CU$4&gt;=$C$1),$G12,0))*IF($A12="Residential",'General Inputs'!G$15,'General Inputs'!G$19)</f>
        <v>1705.890224374863</v>
      </c>
      <c r="CV12" s="214">
        <f>IF(AND(($E12+$C$1)&gt;CV$4,CV$4&gt;=$C$1),$H12,IF(AND(($D12+$C$1)&gt;CV$4,CV$4&gt;=$C$1),$G12,0))*IF($A12="Residential",'General Inputs'!H$15,'General Inputs'!H$19)</f>
        <v>1731.4785777404859</v>
      </c>
      <c r="CW12" s="214">
        <f>IF(AND(($E12+$C$1)&gt;CW$4,CW$4&gt;=$C$1),$H12,IF(AND(($D12+$C$1)&gt;CW$4,CW$4&gt;=$C$1),$G12,0))*IF($A12="Residential",'General Inputs'!I$15,'General Inputs'!I$19)</f>
        <v>1757.450756406593</v>
      </c>
      <c r="CX12" s="214">
        <f>IF(AND(($E12+$C$1)&gt;CX$4,CX$4&gt;=$C$1),$H12,IF(AND(($D12+$C$1)&gt;CX$4,CX$4&gt;=$C$1),$G12,0))*IF($A12="Residential",'General Inputs'!J$15,'General Inputs'!J$19)</f>
        <v>1783.8125177526915</v>
      </c>
      <c r="CY12" s="214">
        <f>IF(AND(($E12+$C$1)&gt;CY$4,CY$4&gt;=$C$1),$H12,IF(AND(($D12+$C$1)&gt;CY$4,CY$4&gt;=$C$1),$G12,0))*IF($A12="Residential",'General Inputs'!K$15,'General Inputs'!K$19)</f>
        <v>1810.5697055189819</v>
      </c>
      <c r="CZ12" s="214">
        <f>IF(AND(($E12+$C$1)&gt;CZ$4,CZ$4&gt;=$C$1),$H12,IF(AND(($D12+$C$1)&gt;CZ$4,CZ$4&gt;=$C$1),$G12,0))*IF($A12="Residential",'General Inputs'!L$15,'General Inputs'!L$19)</f>
        <v>1837.7282511017663</v>
      </c>
      <c r="DA12" s="214">
        <f>IF(AND(($E12+$C$1)&gt;DA$4,DA$4&gt;=$C$1),$H12,IF(AND(($D12+$C$1)&gt;DA$4,DA$4&gt;=$C$1),$G12,0))*IF($A12="Residential",'General Inputs'!M$15,'General Inputs'!M$19)</f>
        <v>1865.2941748682927</v>
      </c>
      <c r="DB12" s="214">
        <f>IF(AND(($E12+$C$1)&gt;DB$4,DB$4&gt;=$C$1),$H12,IF(AND(($D12+$C$1)&gt;DB$4,DB$4&gt;=$C$1),$G12,0))*IF($A12="Residential",'General Inputs'!N$15,'General Inputs'!N$19)</f>
        <v>1893.2735874913167</v>
      </c>
      <c r="DC12" s="214">
        <f>IF(AND(($E12+$C$1)&gt;DC$4,DC$4&gt;=$C$1),$H12,IF(AND(($D12+$C$1)&gt;DC$4,DC$4&gt;=$C$1),$G12,0))*IF($A12="Residential",'General Inputs'!O$15,'General Inputs'!O$19)</f>
        <v>0</v>
      </c>
      <c r="DD12" s="214">
        <f>IF(AND(($E12+$C$1)&gt;DD$4,DD$4&gt;=$C$1),$H12,IF(AND(($D12+$C$1)&gt;DD$4,DD$4&gt;=$C$1),$G12,0))*IF($A12="Residential",'General Inputs'!P$15,'General Inputs'!P$19)</f>
        <v>0</v>
      </c>
      <c r="DE12" s="214">
        <f>IF(AND(($E12+$C$1)&gt;DE$4,DE$4&gt;=$C$1),$H12,IF(AND(($D12+$C$1)&gt;DE$4,DE$4&gt;=$C$1),$G12,0))*IF($A12="Residential",'General Inputs'!Q$15,'General Inputs'!Q$19)</f>
        <v>0</v>
      </c>
      <c r="DF12" s="214">
        <f>IF(AND(($E12+$C$1)&gt;DF$4,DF$4&gt;=$C$1),$H12,IF(AND(($D12+$C$1)&gt;DF$4,DF$4&gt;=$C$1),$G12,0))*IF($A12="Residential",'General Inputs'!R$15,'General Inputs'!R$19)</f>
        <v>0</v>
      </c>
      <c r="DG12" s="214">
        <f>IF(AND(($E12+$C$1)&gt;DG$4,DG$4&gt;=$C$1),$H12,IF(AND(($D12+$C$1)&gt;DG$4,DG$4&gt;=$C$1),$G12,0))*IF($A12="Residential",'General Inputs'!S$15,'General Inputs'!S$19)</f>
        <v>0</v>
      </c>
      <c r="DH12" s="214">
        <f>IF(AND(($E12+$C$1)&gt;DH$4,DH$4&gt;=$C$1),$H12,IF(AND(($D12+$C$1)&gt;DH$4,DH$4&gt;=$C$1),$G12,0))*IF($A12="Residential",'General Inputs'!T$15,'General Inputs'!T$19)</f>
        <v>0</v>
      </c>
      <c r="DI12" s="214">
        <f>IF(AND(($E12+$C$1)&gt;DI$4,DI$4&gt;=$C$1),$H12,IF(AND(($D12+$C$1)&gt;DI$4,DI$4&gt;=$C$1),$G12,0))*IF($A12="Residential",'General Inputs'!U$15,'General Inputs'!U$19)</f>
        <v>0</v>
      </c>
      <c r="DJ12" s="214">
        <f>IF(AND(($E12+$C$1)&gt;DJ$4,DJ$4&gt;=$C$1),$H12,IF(AND(($D12+$C$1)&gt;DJ$4,DJ$4&gt;=$C$1),$G12,0))*IF($A12="Residential",'General Inputs'!V$15,'General Inputs'!V$19)</f>
        <v>0</v>
      </c>
      <c r="DK12" s="214">
        <f>IF(AND(($E12+$C$1)&gt;DK$4,DK$4&gt;=$C$1),$H12,IF(AND(($D12+$C$1)&gt;DK$4,DK$4&gt;=$C$1),$G12,0))*IF($A12="Residential",'General Inputs'!W$15,'General Inputs'!W$19)</f>
        <v>0</v>
      </c>
      <c r="DM12" s="214">
        <f t="shared" si="31"/>
        <v>0</v>
      </c>
      <c r="DN12" s="214">
        <f t="shared" si="27"/>
        <v>3800</v>
      </c>
      <c r="DO12" s="214">
        <f t="shared" si="27"/>
        <v>0</v>
      </c>
      <c r="DP12" s="214">
        <f t="shared" si="27"/>
        <v>0</v>
      </c>
      <c r="DQ12" s="214">
        <f t="shared" si="27"/>
        <v>0</v>
      </c>
      <c r="DR12" s="214">
        <f t="shared" si="27"/>
        <v>0</v>
      </c>
      <c r="DS12" s="214">
        <f t="shared" si="27"/>
        <v>0</v>
      </c>
      <c r="DT12" s="214">
        <f t="shared" si="27"/>
        <v>0</v>
      </c>
      <c r="DU12" s="214">
        <f t="shared" si="27"/>
        <v>0</v>
      </c>
      <c r="DV12" s="214">
        <f t="shared" si="27"/>
        <v>0</v>
      </c>
      <c r="DW12" s="214">
        <f t="shared" si="27"/>
        <v>0</v>
      </c>
      <c r="DY12" s="219"/>
      <c r="DZ12" s="650"/>
      <c r="EA12" s="219"/>
      <c r="EB12" s="219"/>
      <c r="EC12" s="219"/>
      <c r="ED12" s="219"/>
      <c r="EE12" s="219"/>
      <c r="EF12" s="219"/>
      <c r="FI12" s="195"/>
      <c r="FJ12" s="195"/>
      <c r="FK12" s="195"/>
      <c r="FL12" s="195"/>
      <c r="FM12" s="195"/>
      <c r="FN12" s="195"/>
      <c r="FO12" s="195"/>
    </row>
    <row r="13" spans="1:171">
      <c r="A13" s="441" t="s">
        <v>12</v>
      </c>
      <c r="B13" s="426" t="str">
        <f>'Portfolio Inputs'!A12</f>
        <v>Appliance Recycling</v>
      </c>
      <c r="C13" s="356">
        <f>IF($C$1=2014,'Portfolio Inputs'!$C12,IF($C$1=2015,'Portfolio Inputs'!$D12,'Portfolio Inputs'!$E12))</f>
        <v>350</v>
      </c>
      <c r="D13" s="503"/>
      <c r="E13" s="503"/>
      <c r="G13" s="513">
        <f t="shared" ref="G13:I13" si="32">SUM(G14:G15)</f>
        <v>453089.25</v>
      </c>
      <c r="H13" s="513"/>
      <c r="I13" s="509">
        <f t="shared" si="32"/>
        <v>51.722517123287673</v>
      </c>
      <c r="J13" s="509"/>
      <c r="L13" s="453"/>
      <c r="M13" s="453"/>
      <c r="N13" s="453">
        <f>IF($C$1=2014,'Portfolio Inputs'!$W12,IF($C$1=2015,'Portfolio Inputs'!$X12,'Portfolio Inputs'!$Y12))</f>
        <v>17500</v>
      </c>
      <c r="O13" s="453">
        <f>IF($C$1=2014,'Portfolio Inputs'!$AA12,IF($C$1=2015,'Portfolio Inputs'!$AB12,'Portfolio Inputs'!$AC12))</f>
        <v>58756.25</v>
      </c>
      <c r="Q13" s="442">
        <f t="shared" si="0"/>
        <v>1.3271739364255899</v>
      </c>
      <c r="R13" s="443">
        <f t="shared" si="1"/>
        <v>1.5891061418934058</v>
      </c>
      <c r="S13" s="443">
        <f t="shared" si="2"/>
        <v>1.6699945852023974</v>
      </c>
      <c r="T13" s="443">
        <f t="shared" si="3"/>
        <v>12.572844343801151</v>
      </c>
      <c r="U13" s="443">
        <f>IF(AE13&gt;0,(AD13+AB13)/AE13,"n/a")</f>
        <v>10.328377340280513</v>
      </c>
      <c r="V13" s="522">
        <f>IF((AA13+AC13+AD13)&gt;0,Y13/(AA13+AC13+AD13),"n/a")</f>
        <v>0.25892878429644156</v>
      </c>
      <c r="W13" s="522">
        <f>IF((AB13+AC13+AD13)&gt;0,Y13/(AB13+AC13+AD13),"n/a")</f>
        <v>0.30682575033526732</v>
      </c>
      <c r="Y13" s="444">
        <f t="shared" si="4"/>
        <v>111337.07757511853</v>
      </c>
      <c r="Z13" s="444">
        <f t="shared" si="5"/>
        <v>28759.342027175124</v>
      </c>
      <c r="AA13" s="444">
        <f t="shared" si="6"/>
        <v>359928.411788614</v>
      </c>
      <c r="AB13" s="444">
        <f t="shared" si="7"/>
        <v>292804.74313315941</v>
      </c>
      <c r="AC13" s="445">
        <f t="shared" si="20"/>
        <v>53984.059169423002</v>
      </c>
      <c r="AD13" s="445">
        <f t="shared" si="21"/>
        <v>16078.647556045571</v>
      </c>
      <c r="AE13" s="526">
        <f t="shared" si="8"/>
        <v>29906.284454244764</v>
      </c>
      <c r="AG13" s="446">
        <f>SUM(AG14:AG15)</f>
        <v>0</v>
      </c>
      <c r="AH13" s="446">
        <f t="shared" ref="AH13:AZ13" si="33">SUM(AH14:AH15)</f>
        <v>19095.20145574398</v>
      </c>
      <c r="AI13" s="446">
        <f t="shared" si="33"/>
        <v>19381.629477580136</v>
      </c>
      <c r="AJ13" s="446">
        <f t="shared" si="33"/>
        <v>19672.353919743837</v>
      </c>
      <c r="AK13" s="446">
        <f t="shared" si="33"/>
        <v>19967.439228539988</v>
      </c>
      <c r="AL13" s="446">
        <f t="shared" si="33"/>
        <v>20266.950816968088</v>
      </c>
      <c r="AM13" s="446">
        <f t="shared" si="33"/>
        <v>20570.955079222607</v>
      </c>
      <c r="AN13" s="446">
        <f t="shared" si="33"/>
        <v>20879.519405410942</v>
      </c>
      <c r="AO13" s="446">
        <f t="shared" si="33"/>
        <v>21192.712196492103</v>
      </c>
      <c r="AP13" s="446">
        <f t="shared" si="33"/>
        <v>0</v>
      </c>
      <c r="AQ13" s="446">
        <f t="shared" si="33"/>
        <v>0</v>
      </c>
      <c r="AR13" s="446">
        <f t="shared" si="33"/>
        <v>0</v>
      </c>
      <c r="AS13" s="446">
        <f t="shared" si="33"/>
        <v>0</v>
      </c>
      <c r="AT13" s="446">
        <f t="shared" si="33"/>
        <v>0</v>
      </c>
      <c r="AU13" s="446">
        <f t="shared" si="33"/>
        <v>0</v>
      </c>
      <c r="AV13" s="446">
        <f t="shared" si="33"/>
        <v>0</v>
      </c>
      <c r="AW13" s="446">
        <f t="shared" si="33"/>
        <v>0</v>
      </c>
      <c r="AX13" s="446">
        <f t="shared" si="33"/>
        <v>0</v>
      </c>
      <c r="AY13" s="446">
        <f t="shared" si="33"/>
        <v>0</v>
      </c>
      <c r="AZ13" s="446">
        <f t="shared" si="33"/>
        <v>0</v>
      </c>
      <c r="BB13" s="446">
        <f>SUM(BB14:BB15)</f>
        <v>0</v>
      </c>
      <c r="BC13" s="446">
        <f t="shared" ref="BC13:BU13" si="34">SUM(BC14:BC15)</f>
        <v>5165.2174500000001</v>
      </c>
      <c r="BD13" s="446">
        <f t="shared" si="34"/>
        <v>5165.2174500000001</v>
      </c>
      <c r="BE13" s="446">
        <f t="shared" si="34"/>
        <v>5165.2174500000001</v>
      </c>
      <c r="BF13" s="446">
        <f t="shared" si="34"/>
        <v>5165.2174500000001</v>
      </c>
      <c r="BG13" s="446">
        <f t="shared" si="34"/>
        <v>5165.2174500000001</v>
      </c>
      <c r="BH13" s="446">
        <f t="shared" si="34"/>
        <v>5165.2174500000001</v>
      </c>
      <c r="BI13" s="446">
        <f t="shared" si="34"/>
        <v>5165.2174500000001</v>
      </c>
      <c r="BJ13" s="446">
        <f t="shared" si="34"/>
        <v>5165.2174500000001</v>
      </c>
      <c r="BK13" s="446">
        <f t="shared" si="34"/>
        <v>0</v>
      </c>
      <c r="BL13" s="446">
        <f t="shared" si="34"/>
        <v>0</v>
      </c>
      <c r="BM13" s="446">
        <f t="shared" si="34"/>
        <v>0</v>
      </c>
      <c r="BN13" s="446">
        <f t="shared" si="34"/>
        <v>0</v>
      </c>
      <c r="BO13" s="446">
        <f t="shared" si="34"/>
        <v>0</v>
      </c>
      <c r="BP13" s="446">
        <f t="shared" si="34"/>
        <v>0</v>
      </c>
      <c r="BQ13" s="446">
        <f t="shared" si="34"/>
        <v>0</v>
      </c>
      <c r="BR13" s="446">
        <f t="shared" si="34"/>
        <v>0</v>
      </c>
      <c r="BS13" s="446">
        <f t="shared" si="34"/>
        <v>0</v>
      </c>
      <c r="BT13" s="446">
        <f t="shared" si="34"/>
        <v>0</v>
      </c>
      <c r="BU13" s="446">
        <f t="shared" si="34"/>
        <v>0</v>
      </c>
      <c r="BW13" s="446">
        <f>SUM(BW14:BW15)</f>
        <v>0</v>
      </c>
      <c r="BX13" s="446">
        <f t="shared" ref="BX13:CP13" si="35">SUM(BX14:BX15)</f>
        <v>61730.608369098307</v>
      </c>
      <c r="BY13" s="446">
        <f t="shared" si="35"/>
        <v>62656.567494634772</v>
      </c>
      <c r="BZ13" s="446">
        <f t="shared" si="35"/>
        <v>63596.416007054271</v>
      </c>
      <c r="CA13" s="446">
        <f t="shared" si="35"/>
        <v>64550.362247160083</v>
      </c>
      <c r="CB13" s="446">
        <f t="shared" si="35"/>
        <v>65518.617680867479</v>
      </c>
      <c r="CC13" s="446">
        <f t="shared" si="35"/>
        <v>66501.39694608048</v>
      </c>
      <c r="CD13" s="446">
        <f t="shared" si="35"/>
        <v>67498.917900271685</v>
      </c>
      <c r="CE13" s="446">
        <f t="shared" si="35"/>
        <v>68511.401668775739</v>
      </c>
      <c r="CF13" s="446">
        <f t="shared" si="35"/>
        <v>0</v>
      </c>
      <c r="CG13" s="446">
        <f t="shared" si="35"/>
        <v>0</v>
      </c>
      <c r="CH13" s="446">
        <f t="shared" si="35"/>
        <v>0</v>
      </c>
      <c r="CI13" s="446">
        <f t="shared" si="35"/>
        <v>0</v>
      </c>
      <c r="CJ13" s="446">
        <f t="shared" si="35"/>
        <v>0</v>
      </c>
      <c r="CK13" s="446">
        <f t="shared" si="35"/>
        <v>0</v>
      </c>
      <c r="CL13" s="446">
        <f t="shared" si="35"/>
        <v>0</v>
      </c>
      <c r="CM13" s="446">
        <f t="shared" si="35"/>
        <v>0</v>
      </c>
      <c r="CN13" s="446">
        <f t="shared" si="35"/>
        <v>0</v>
      </c>
      <c r="CO13" s="446">
        <f t="shared" si="35"/>
        <v>0</v>
      </c>
      <c r="CP13" s="446">
        <f t="shared" si="35"/>
        <v>0</v>
      </c>
      <c r="CR13" s="446">
        <f>SUM(CR14:CR15)</f>
        <v>0</v>
      </c>
      <c r="CS13" s="446">
        <f t="shared" ref="CS13:DK13" si="36">SUM(CS14:CS15)</f>
        <v>50218.361026700361</v>
      </c>
      <c r="CT13" s="446">
        <f t="shared" si="36"/>
        <v>50971.636442100862</v>
      </c>
      <c r="CU13" s="446">
        <f t="shared" si="36"/>
        <v>51736.210988732368</v>
      </c>
      <c r="CV13" s="446">
        <f t="shared" si="36"/>
        <v>52512.254153563343</v>
      </c>
      <c r="CW13" s="446">
        <f t="shared" si="36"/>
        <v>53299.937965866797</v>
      </c>
      <c r="CX13" s="446">
        <f t="shared" si="36"/>
        <v>54099.437035354786</v>
      </c>
      <c r="CY13" s="446">
        <f t="shared" si="36"/>
        <v>54910.928590885109</v>
      </c>
      <c r="CZ13" s="446">
        <f t="shared" si="36"/>
        <v>55734.592519748374</v>
      </c>
      <c r="DA13" s="446">
        <f t="shared" si="36"/>
        <v>0</v>
      </c>
      <c r="DB13" s="446">
        <f t="shared" si="36"/>
        <v>0</v>
      </c>
      <c r="DC13" s="446">
        <f t="shared" si="36"/>
        <v>0</v>
      </c>
      <c r="DD13" s="446">
        <f t="shared" si="36"/>
        <v>0</v>
      </c>
      <c r="DE13" s="446">
        <f t="shared" si="36"/>
        <v>0</v>
      </c>
      <c r="DF13" s="446">
        <f t="shared" si="36"/>
        <v>0</v>
      </c>
      <c r="DG13" s="446">
        <f t="shared" si="36"/>
        <v>0</v>
      </c>
      <c r="DH13" s="446">
        <f t="shared" si="36"/>
        <v>0</v>
      </c>
      <c r="DI13" s="446">
        <f t="shared" si="36"/>
        <v>0</v>
      </c>
      <c r="DJ13" s="446">
        <f t="shared" si="36"/>
        <v>0</v>
      </c>
      <c r="DK13" s="446">
        <f t="shared" si="36"/>
        <v>0</v>
      </c>
      <c r="DM13" s="446">
        <f t="shared" ref="DM13:DW13" si="37">SUM(DM14:DM15)</f>
        <v>0</v>
      </c>
      <c r="DN13" s="446">
        <f t="shared" si="37"/>
        <v>32550</v>
      </c>
      <c r="DO13" s="446">
        <f t="shared" si="37"/>
        <v>0</v>
      </c>
      <c r="DP13" s="446">
        <f t="shared" si="37"/>
        <v>0</v>
      </c>
      <c r="DQ13" s="446">
        <f t="shared" si="37"/>
        <v>0</v>
      </c>
      <c r="DR13" s="446">
        <f t="shared" si="37"/>
        <v>0</v>
      </c>
      <c r="DS13" s="446">
        <f t="shared" si="37"/>
        <v>0</v>
      </c>
      <c r="DT13" s="446">
        <f t="shared" si="37"/>
        <v>0</v>
      </c>
      <c r="DU13" s="446">
        <f t="shared" si="37"/>
        <v>0</v>
      </c>
      <c r="DV13" s="446">
        <f t="shared" si="37"/>
        <v>0</v>
      </c>
      <c r="DW13" s="446">
        <f t="shared" si="37"/>
        <v>0</v>
      </c>
      <c r="DZ13" s="650"/>
      <c r="FO13" s="195"/>
    </row>
    <row r="14" spans="1:171">
      <c r="A14" s="341" t="s">
        <v>12</v>
      </c>
      <c r="B14" s="427" t="str">
        <f>'Portfolio Inputs'!A13</f>
        <v>Refrigerator Recycle</v>
      </c>
      <c r="C14" s="217">
        <f>IF($C$1=2014,'Portfolio Inputs'!$C13,IF($C$1=2015,'Portfolio Inputs'!$D13,'Portfolio Inputs'!$E13))</f>
        <v>250</v>
      </c>
      <c r="D14" s="504">
        <f>VLOOKUP(B14,Sources!$B$4:$J$104,2,FALSE)</f>
        <v>8</v>
      </c>
      <c r="E14" s="504">
        <f>VLOOKUP(B14,Sources!$B$4:$J$104,3,FALSE)</f>
        <v>0</v>
      </c>
      <c r="G14" s="504">
        <f>IF($C$1=2014,'Portfolio Inputs'!$G13,IF($C$1=2015,'Portfolio Inputs'!$H13,'Portfolio Inputs'!$I13))*EnergyLineLoss</f>
        <v>337395.75</v>
      </c>
      <c r="H14" s="504"/>
      <c r="I14" s="504">
        <f>IF($C$1=2014,'Portfolio Inputs'!$K13,IF($C$1=2015,'Portfolio Inputs'!$L13,'Portfolio Inputs'!$M13))*PeakLineLoss</f>
        <v>38.515496575342468</v>
      </c>
      <c r="J14" s="510"/>
      <c r="L14" s="606">
        <f>IF($C$1=2014,'Portfolio Inputs'!$O13,IF($C$1=2015,'Portfolio Inputs'!$P13,'Portfolio Inputs'!$Q13))</f>
        <v>93</v>
      </c>
      <c r="M14" s="518">
        <f>VLOOKUP($B14,Sources!$B$4:$K$104,10,FALSE)</f>
        <v>0</v>
      </c>
      <c r="N14" s="419">
        <f>IF($C$1=2014,'Portfolio Inputs'!$W13,IF($C$1=2015,'Portfolio Inputs'!$X13,'Portfolio Inputs'!$Y13))</f>
        <v>12500</v>
      </c>
      <c r="O14" s="419"/>
      <c r="Q14" s="438">
        <f t="shared" si="0"/>
        <v>3.8811572843101789</v>
      </c>
      <c r="R14" s="439">
        <f t="shared" si="1"/>
        <v>7.2189525488169322</v>
      </c>
      <c r="S14" s="439">
        <f t="shared" si="2"/>
        <v>4.8836941950300554</v>
      </c>
      <c r="T14" s="439">
        <f t="shared" si="3"/>
        <v>13.084566730416197</v>
      </c>
      <c r="U14" s="439">
        <f t="shared" ref="U14:U15" si="38">IF(AE14&gt;0,(AD14+AB14)/AE14,"n/a")</f>
        <v>10.744667738762045</v>
      </c>
      <c r="V14" s="439">
        <f t="shared" ref="V14:V15" si="39">IF((AA14+AC14+AD14)&gt;0,Y14/(AA14+AC14+AD14),"n/a")</f>
        <v>0.29662100123560808</v>
      </c>
      <c r="W14" s="439">
        <f t="shared" ref="W14:W15" si="40">IF((AB14+AC14+AD14)&gt;0,Y14/(AB14+AC14+AD14),"n/a")</f>
        <v>0.36121705935202325</v>
      </c>
      <c r="Y14" s="215">
        <f t="shared" si="4"/>
        <v>82907.852683031655</v>
      </c>
      <c r="Z14" s="215">
        <f t="shared" si="5"/>
        <v>21415.824305620299</v>
      </c>
      <c r="AA14" s="215">
        <f t="shared" si="6"/>
        <v>268022.94788880611</v>
      </c>
      <c r="AB14" s="215">
        <f t="shared" si="7"/>
        <v>218038.88728979928</v>
      </c>
      <c r="AC14" s="216">
        <f t="shared" si="20"/>
        <v>0</v>
      </c>
      <c r="AD14" s="216">
        <f t="shared" si="21"/>
        <v>11484.748254318265</v>
      </c>
      <c r="AE14" s="215">
        <f t="shared" si="8"/>
        <v>21361.631753031972</v>
      </c>
      <c r="AG14" s="214">
        <f>IF(AND(($E14+$C$1)&gt;AG$4,AG$4&gt;=$C$1),'General Inputs'!D$9*$H14,IF(AND(($D14+$C$1)&gt;AG$4,AG$4&gt;=$C$1),'General Inputs'!D$9*$G14,0))+IF(AND(($E14+$C$1)&gt;AG$4,AG$4&gt;=$C$1),'General Inputs'!D$10*$J14,IF(AND(($D14+$C$1)&gt;AG$4,AG$4&gt;=$C$1),'General Inputs'!D$10*$I14,0))</f>
        <v>0</v>
      </c>
      <c r="AH14" s="214">
        <f>IF(AND(($E14+$C$1)&gt;AH$4,AH$4&gt;=$C$1),'General Inputs'!E$9*$H14,IF(AND(($D14+$C$1)&gt;AH$4,AH$4&gt;=$C$1),'General Inputs'!E$9*$G14,0))+IF(AND(($E14+$C$1)&gt;AH$4,AH$4&gt;=$C$1),'General Inputs'!E$10*$J14,IF(AND(($D14+$C$1)&gt;AH$4,AH$4&gt;=$C$1),'General Inputs'!E$10*$I14,0))</f>
        <v>14219.361453757359</v>
      </c>
      <c r="AI14" s="214">
        <f>IF(AND(($E14+$C$1)&gt;AI$4,AI$4&gt;=$C$1),'General Inputs'!F$9*$H14,IF(AND(($D14+$C$1)&gt;AI$4,AI$4&gt;=$C$1),'General Inputs'!F$9*$G14,0))+IF(AND(($E14+$C$1)&gt;AI$4,AI$4&gt;=$C$1),'General Inputs'!F$10*$J14,IF(AND(($D14+$C$1)&gt;AI$4,AI$4&gt;=$C$1),'General Inputs'!F$10*$I14,0))</f>
        <v>14432.651875563717</v>
      </c>
      <c r="AJ14" s="214">
        <f>IF(AND(($E14+$C$1)&gt;AJ$4,AJ$4&gt;=$C$1),'General Inputs'!G$9*$H14,IF(AND(($D14+$C$1)&gt;AJ$4,AJ$4&gt;=$C$1),'General Inputs'!G$9*$G14,0))+IF(AND(($E14+$C$1)&gt;AJ$4,AJ$4&gt;=$C$1),'General Inputs'!G$10*$J14,IF(AND(($D14+$C$1)&gt;AJ$4,AJ$4&gt;=$C$1),'General Inputs'!G$10*$I14,0))</f>
        <v>14649.141653697172</v>
      </c>
      <c r="AK14" s="214">
        <f>IF(AND(($E14+$C$1)&gt;AK$4,AK$4&gt;=$C$1),'General Inputs'!H$9*$H14,IF(AND(($D14+$C$1)&gt;AK$4,AK$4&gt;=$C$1),'General Inputs'!H$9*$G14,0))+IF(AND(($E14+$C$1)&gt;AK$4,AK$4&gt;=$C$1),'General Inputs'!H$10*$J14,IF(AND(($D14+$C$1)&gt;AK$4,AK$4&gt;=$C$1),'General Inputs'!H$10*$I14,0))</f>
        <v>14868.878778502627</v>
      </c>
      <c r="AL14" s="214">
        <f>IF(AND(($E14+$C$1)&gt;AL$4,AL$4&gt;=$C$1),'General Inputs'!I$9*$H14,IF(AND(($D14+$C$1)&gt;AL$4,AL$4&gt;=$C$1),'General Inputs'!I$9*$G14,0))+IF(AND(($E14+$C$1)&gt;AL$4,AL$4&gt;=$C$1),'General Inputs'!I$10*$J14,IF(AND(($D14+$C$1)&gt;AL$4,AL$4&gt;=$C$1),'General Inputs'!I$10*$I14,0))</f>
        <v>15091.911960180165</v>
      </c>
      <c r="AM14" s="214">
        <f>IF(AND(($E14+$C$1)&gt;AM$4,AM$4&gt;=$C$1),'General Inputs'!J$9*$H14,IF(AND(($D14+$C$1)&gt;AM$4,AM$4&gt;=$C$1),'General Inputs'!J$9*$G14,0))+IF(AND(($E14+$C$1)&gt;AM$4,AM$4&gt;=$C$1),'General Inputs'!J$10*$J14,IF(AND(($D14+$C$1)&gt;AM$4,AM$4&gt;=$C$1),'General Inputs'!J$10*$I14,0))</f>
        <v>15318.290639582865</v>
      </c>
      <c r="AN14" s="214">
        <f>IF(AND(($E14+$C$1)&gt;AN$4,AN$4&gt;=$C$1),'General Inputs'!K$9*$H14,IF(AND(($D14+$C$1)&gt;AN$4,AN$4&gt;=$C$1),'General Inputs'!K$9*$G14,0))+IF(AND(($E14+$C$1)&gt;AN$4,AN$4&gt;=$C$1),'General Inputs'!K$10*$J14,IF(AND(($D14+$C$1)&gt;AN$4,AN$4&gt;=$C$1),'General Inputs'!K$10*$I14,0))</f>
        <v>15548.064999176606</v>
      </c>
      <c r="AO14" s="214">
        <f>IF(AND(($E14+$C$1)&gt;AO$4,AO$4&gt;=$C$1),'General Inputs'!L$9*$H14,IF(AND(($D14+$C$1)&gt;AO$4,AO$4&gt;=$C$1),'General Inputs'!L$9*$G14,0))+IF(AND(($E14+$C$1)&gt;AO$4,AO$4&gt;=$C$1),'General Inputs'!L$10*$J14,IF(AND(($D14+$C$1)&gt;AO$4,AO$4&gt;=$C$1),'General Inputs'!L$10*$I14,0))</f>
        <v>15781.285974164253</v>
      </c>
      <c r="AP14" s="214">
        <f>IF(AND(($E14+$C$1)&gt;AP$4,AP$4&gt;=$C$1),'General Inputs'!M$9*$H14,IF(AND(($D14+$C$1)&gt;AP$4,AP$4&gt;=$C$1),'General Inputs'!M$9*$G14,0))+IF(AND(($E14+$C$1)&gt;AP$4,AP$4&gt;=$C$1),'General Inputs'!M$10*$J14,IF(AND(($D14+$C$1)&gt;AP$4,AP$4&gt;=$C$1),'General Inputs'!M$10*$I14,0))</f>
        <v>0</v>
      </c>
      <c r="AQ14" s="214">
        <f>IF(AND(($E14+$C$1)&gt;AQ$4,AQ$4&gt;=$C$1),'General Inputs'!N$9*$H14,IF(AND(($D14+$C$1)&gt;AQ$4,AQ$4&gt;=$C$1),'General Inputs'!N$9*$G14,0))+IF(AND(($E14+$C$1)&gt;AQ$4,AQ$4&gt;=$C$1),'General Inputs'!N$10*$J14,IF(AND(($D14+$C$1)&gt;AQ$4,AQ$4&gt;=$C$1),'General Inputs'!N$10*$I14,0))</f>
        <v>0</v>
      </c>
      <c r="AR14" s="214">
        <f>IF(AND(($E14+$C$1)&gt;AR$4,AR$4&gt;=$C$1),'General Inputs'!O$9*$H14,IF(AND(($D14+$C$1)&gt;AR$4,AR$4&gt;=$C$1),'General Inputs'!O$9*$G14,0))+IF(AND(($E14+$C$1)&gt;AR$4,AR$4&gt;=$C$1),'General Inputs'!O$10*$J14,IF(AND(($D14+$C$1)&gt;AR$4,AR$4&gt;=$C$1),'General Inputs'!O$10*$I14,0))</f>
        <v>0</v>
      </c>
      <c r="AS14" s="214">
        <f>IF(AND(($E14+$C$1)&gt;AS$4,AS$4&gt;=$C$1),'General Inputs'!P$9*$H14,IF(AND(($D14+$C$1)&gt;AS$4,AS$4&gt;=$C$1),'General Inputs'!P$9*$G14,0))+IF(AND(($E14+$C$1)&gt;AS$4,AS$4&gt;=$C$1),'General Inputs'!P$10*$J14,IF(AND(($D14+$C$1)&gt;AS$4,AS$4&gt;=$C$1),'General Inputs'!P$10*$I14,0))</f>
        <v>0</v>
      </c>
      <c r="AT14" s="214">
        <f>IF(AND(($E14+$C$1)&gt;AT$4,AT$4&gt;=$C$1),'General Inputs'!Q$9*$H14,IF(AND(($D14+$C$1)&gt;AT$4,AT$4&gt;=$C$1),'General Inputs'!Q$9*$G14,0))+IF(AND(($E14+$C$1)&gt;AT$4,AT$4&gt;=$C$1),'General Inputs'!Q$10*$J14,IF(AND(($D14+$C$1)&gt;AT$4,AT$4&gt;=$C$1),'General Inputs'!Q$10*$I14,0))</f>
        <v>0</v>
      </c>
      <c r="AU14" s="214">
        <f>IF(AND(($E14+$C$1)&gt;AU$4,AU$4&gt;=$C$1),'General Inputs'!R$9*$H14,IF(AND(($D14+$C$1)&gt;AU$4,AU$4&gt;=$C$1),'General Inputs'!R$9*$G14,0))+IF(AND(($E14+$C$1)&gt;AU$4,AU$4&gt;=$C$1),'General Inputs'!R$10*$J14,IF(AND(($D14+$C$1)&gt;AU$4,AU$4&gt;=$C$1),'General Inputs'!R$10*$I14,0))</f>
        <v>0</v>
      </c>
      <c r="AV14" s="214">
        <f>IF(AND(($E14+$C$1)&gt;AV$4,AV$4&gt;=$C$1),'General Inputs'!S$9*$H14,IF(AND(($D14+$C$1)&gt;AV$4,AV$4&gt;=$C$1),'General Inputs'!S$9*$G14,0))+IF(AND(($E14+$C$1)&gt;AV$4,AV$4&gt;=$C$1),'General Inputs'!S$10*$J14,IF(AND(($D14+$C$1)&gt;AV$4,AV$4&gt;=$C$1),'General Inputs'!S$10*$I14,0))</f>
        <v>0</v>
      </c>
      <c r="AW14" s="214">
        <f>IF(AND(($E14+$C$1)&gt;AW$4,AW$4&gt;=$C$1),'General Inputs'!T$9*$H14,IF(AND(($D14+$C$1)&gt;AW$4,AW$4&gt;=$C$1),'General Inputs'!T$9*$G14,0))+IF(AND(($E14+$C$1)&gt;AW$4,AW$4&gt;=$C$1),'General Inputs'!T$10*$J14,IF(AND(($D14+$C$1)&gt;AW$4,AW$4&gt;=$C$1),'General Inputs'!T$10*$I14,0))</f>
        <v>0</v>
      </c>
      <c r="AX14" s="214">
        <f>IF(AND(($E14+$C$1)&gt;AX$4,AX$4&gt;=$C$1),'General Inputs'!U$9*$H14,IF(AND(($D14+$C$1)&gt;AX$4,AX$4&gt;=$C$1),'General Inputs'!U$9*$G14,0))+IF(AND(($E14+$C$1)&gt;AX$4,AX$4&gt;=$C$1),'General Inputs'!U$10*$J14,IF(AND(($D14+$C$1)&gt;AX$4,AX$4&gt;=$C$1),'General Inputs'!U$10*$I14,0))</f>
        <v>0</v>
      </c>
      <c r="AY14" s="214">
        <f>IF(AND(($E14+$C$1)&gt;AY$4,AY$4&gt;=$C$1),'General Inputs'!V$9*$H14,IF(AND(($D14+$C$1)&gt;AY$4,AY$4&gt;=$C$1),'General Inputs'!V$9*$G14,0))+IF(AND(($E14+$C$1)&gt;AY$4,AY$4&gt;=$C$1),'General Inputs'!V$10*$J14,IF(AND(($D14+$C$1)&gt;AY$4,AY$4&gt;=$C$1),'General Inputs'!V$10*$I14,0))</f>
        <v>0</v>
      </c>
      <c r="AZ14" s="214">
        <f>IF(AND(($E14+$C$1)&gt;AZ$4,AZ$4&gt;=$C$1),'General Inputs'!W$9*$H14,IF(AND(($D14+$C$1)&gt;AZ$4,AZ$4&gt;=$C$1),'General Inputs'!W$9*$G14,0))+IF(AND(($E14+$C$1)&gt;AZ$4,AZ$4&gt;=$C$1),'General Inputs'!W$10*$J14,IF(AND(($D14+$C$1)&gt;AZ$4,AZ$4&gt;=$C$1),'General Inputs'!W$10*$I14,0))</f>
        <v>0</v>
      </c>
      <c r="BB14" s="214">
        <f>IF(AND(($E14+$C$1)&gt;BB$4,BB$4&gt;=$C$1),'General Inputs'!D$11*$H14,IF(AND(($D14+$C$1)&gt;BB$4,BB$4&gt;=$C$1),'General Inputs'!D$11*$G14,0))</f>
        <v>0</v>
      </c>
      <c r="BC14" s="214">
        <f>IF(AND(($E14+$C$1)&gt;BC$4,BC$4&gt;=$C$1),'General Inputs'!E$11*$H14,IF(AND(($D14+$C$1)&gt;BC$4,BC$4&gt;=$C$1),'General Inputs'!E$11*$G14,0))</f>
        <v>3846.3115500000004</v>
      </c>
      <c r="BD14" s="214">
        <f>IF(AND(($E14+$C$1)&gt;BD$4,BD$4&gt;=$C$1),'General Inputs'!F$11*$H14,IF(AND(($D14+$C$1)&gt;BD$4,BD$4&gt;=$C$1),'General Inputs'!F$11*$G14,0))</f>
        <v>3846.3115500000004</v>
      </c>
      <c r="BE14" s="214">
        <f>IF(AND(($E14+$C$1)&gt;BE$4,BE$4&gt;=$C$1),'General Inputs'!G$11*$H14,IF(AND(($D14+$C$1)&gt;BE$4,BE$4&gt;=$C$1),'General Inputs'!G$11*$G14,0))</f>
        <v>3846.3115500000004</v>
      </c>
      <c r="BF14" s="214">
        <f>IF(AND(($E14+$C$1)&gt;BF$4,BF$4&gt;=$C$1),'General Inputs'!H$11*$H14,IF(AND(($D14+$C$1)&gt;BF$4,BF$4&gt;=$C$1),'General Inputs'!H$11*$G14,0))</f>
        <v>3846.3115500000004</v>
      </c>
      <c r="BG14" s="214">
        <f>IF(AND(($E14+$C$1)&gt;BG$4,BG$4&gt;=$C$1),'General Inputs'!I$11*$H14,IF(AND(($D14+$C$1)&gt;BG$4,BG$4&gt;=$C$1),'General Inputs'!I$11*$G14,0))</f>
        <v>3846.3115500000004</v>
      </c>
      <c r="BH14" s="214">
        <f>IF(AND(($E14+$C$1)&gt;BH$4,BH$4&gt;=$C$1),'General Inputs'!J$11*$H14,IF(AND(($D14+$C$1)&gt;BH$4,BH$4&gt;=$C$1),'General Inputs'!J$11*$G14,0))</f>
        <v>3846.3115500000004</v>
      </c>
      <c r="BI14" s="214">
        <f>IF(AND(($E14+$C$1)&gt;BI$4,BI$4&gt;=$C$1),'General Inputs'!K$11*$H14,IF(AND(($D14+$C$1)&gt;BI$4,BI$4&gt;=$C$1),'General Inputs'!K$11*$G14,0))</f>
        <v>3846.3115500000004</v>
      </c>
      <c r="BJ14" s="214">
        <f>IF(AND(($E14+$C$1)&gt;BJ$4,BJ$4&gt;=$C$1),'General Inputs'!L$11*$H14,IF(AND(($D14+$C$1)&gt;BJ$4,BJ$4&gt;=$C$1),'General Inputs'!L$11*$G14,0))</f>
        <v>3846.3115500000004</v>
      </c>
      <c r="BK14" s="214">
        <f>IF(AND(($E14+$C$1)&gt;BK$4,BK$4&gt;=$C$1),'General Inputs'!M$11*$H14,IF(AND(($D14+$C$1)&gt;BK$4,BK$4&gt;=$C$1),'General Inputs'!M$11*$G14,0))</f>
        <v>0</v>
      </c>
      <c r="BL14" s="214">
        <f>IF(AND(($E14+$C$1)&gt;BL$4,BL$4&gt;=$C$1),'General Inputs'!N$11*$H14,IF(AND(($D14+$C$1)&gt;BL$4,BL$4&gt;=$C$1),'General Inputs'!N$11*$G14,0))</f>
        <v>0</v>
      </c>
      <c r="BM14" s="214">
        <f>IF(AND(($E14+$C$1)&gt;BM$4,BM$4&gt;=$C$1),'General Inputs'!O$11*$H14,IF(AND(($D14+$C$1)&gt;BM$4,BM$4&gt;=$C$1),'General Inputs'!O$11*$G14,0))</f>
        <v>0</v>
      </c>
      <c r="BN14" s="214">
        <f>IF(AND(($E14+$C$1)&gt;BN$4,BN$4&gt;=$C$1),'General Inputs'!P$11*$H14,IF(AND(($D14+$C$1)&gt;BN$4,BN$4&gt;=$C$1),'General Inputs'!P$11*$G14,0))</f>
        <v>0</v>
      </c>
      <c r="BO14" s="214">
        <f>IF(AND(($E14+$C$1)&gt;BO$4,BO$4&gt;=$C$1),'General Inputs'!Q$11*$H14,IF(AND(($D14+$C$1)&gt;BO$4,BO$4&gt;=$C$1),'General Inputs'!Q$11*$G14,0))</f>
        <v>0</v>
      </c>
      <c r="BP14" s="214">
        <f>IF(AND(($E14+$C$1)&gt;BP$4,BP$4&gt;=$C$1),'General Inputs'!R$11*$H14,IF(AND(($D14+$C$1)&gt;BP$4,BP$4&gt;=$C$1),'General Inputs'!R$11*$G14,0))</f>
        <v>0</v>
      </c>
      <c r="BQ14" s="214">
        <f>IF(AND(($E14+$C$1)&gt;BQ$4,BQ$4&gt;=$C$1),'General Inputs'!S$11*$H14,IF(AND(($D14+$C$1)&gt;BQ$4,BQ$4&gt;=$C$1),'General Inputs'!S$11*$G14,0))</f>
        <v>0</v>
      </c>
      <c r="BR14" s="214">
        <f>IF(AND(($E14+$C$1)&gt;BR$4,BR$4&gt;=$C$1),'General Inputs'!T$11*$H14,IF(AND(($D14+$C$1)&gt;BR$4,BR$4&gt;=$C$1),'General Inputs'!T$11*$G14,0))</f>
        <v>0</v>
      </c>
      <c r="BS14" s="214">
        <f>IF(AND(($E14+$C$1)&gt;BS$4,BS$4&gt;=$C$1),'General Inputs'!U$11*$H14,IF(AND(($D14+$C$1)&gt;BS$4,BS$4&gt;=$C$1),'General Inputs'!U$11*$G14,0))</f>
        <v>0</v>
      </c>
      <c r="BT14" s="214">
        <f>IF(AND(($E14+$C$1)&gt;BT$4,BT$4&gt;=$C$1),'General Inputs'!V$11*$H14,IF(AND(($D14+$C$1)&gt;BT$4,BT$4&gt;=$C$1),'General Inputs'!V$11*$G14,0))</f>
        <v>0</v>
      </c>
      <c r="BU14" s="214">
        <f>IF(AND(($E14+$C$1)&gt;BU$4,BU$4&gt;=$C$1),'General Inputs'!W$11*$H14,IF(AND(($D14+$C$1)&gt;BU$4,BU$4&gt;=$C$1),'General Inputs'!W$11*$G14,0))</f>
        <v>0</v>
      </c>
      <c r="BW14" s="214">
        <f>IF(AND(($E14+$C$1)&gt;BW$4,BW$4&gt;=$C$1),$H14,IF(AND(($D14+$C$1)&gt;BW$4,BW$4&gt;=$C$1),$G14,0))*IF($A14="Residential",'General Inputs'!D$14,'General Inputs'!D$19)</f>
        <v>0</v>
      </c>
      <c r="BX14" s="214">
        <f>IF(AND(($E14+$C$1)&gt;BX$4,BX$4&gt;=$C$1),$H14,IF(AND(($D14+$C$1)&gt;BX$4,BX$4&gt;=$C$1),$G14,0))*IF($A14="Residential",'General Inputs'!E$14,'General Inputs'!E$19)</f>
        <v>45968.084452783201</v>
      </c>
      <c r="BY14" s="214">
        <f>IF(AND(($E14+$C$1)&gt;BY$4,BY$4&gt;=$C$1),$H14,IF(AND(($D14+$C$1)&gt;BY$4,BY$4&gt;=$C$1),$G14,0))*IF($A14="Residential",'General Inputs'!F$14,'General Inputs'!F$19)</f>
        <v>46657.605719574938</v>
      </c>
      <c r="BZ14" s="214">
        <f>IF(AND(($E14+$C$1)&gt;BZ$4,BZ$4&gt;=$C$1),$H14,IF(AND(($D14+$C$1)&gt;BZ$4,BZ$4&gt;=$C$1),$G14,0))*IF($A14="Residential",'General Inputs'!G$14,'General Inputs'!G$19)</f>
        <v>47357.46980536855</v>
      </c>
      <c r="CA14" s="214">
        <f>IF(AND(($E14+$C$1)&gt;CA$4,CA$4&gt;=$C$1),$H14,IF(AND(($D14+$C$1)&gt;CA$4,CA$4&gt;=$C$1),$G14,0))*IF($A14="Residential",'General Inputs'!H$14,'General Inputs'!H$19)</f>
        <v>48067.831852449075</v>
      </c>
      <c r="CB14" s="214">
        <f>IF(AND(($E14+$C$1)&gt;CB$4,CB$4&gt;=$C$1),$H14,IF(AND(($D14+$C$1)&gt;CB$4,CB$4&gt;=$C$1),$G14,0))*IF($A14="Residential",'General Inputs'!I$14,'General Inputs'!I$19)</f>
        <v>48788.849330235811</v>
      </c>
      <c r="CC14" s="214">
        <f>IF(AND(($E14+$C$1)&gt;CC$4,CC$4&gt;=$C$1),$H14,IF(AND(($D14+$C$1)&gt;CC$4,CC$4&gt;=$C$1),$G14,0))*IF($A14="Residential",'General Inputs'!J$14,'General Inputs'!J$19)</f>
        <v>49520.682070189338</v>
      </c>
      <c r="CD14" s="214">
        <f>IF(AND(($E14+$C$1)&gt;CD$4,CD$4&gt;=$C$1),$H14,IF(AND(($D14+$C$1)&gt;CD$4,CD$4&gt;=$C$1),$G14,0))*IF($A14="Residential",'General Inputs'!K$14,'General Inputs'!K$19)</f>
        <v>50263.492301242171</v>
      </c>
      <c r="CE14" s="214">
        <f>IF(AND(($E14+$C$1)&gt;CE$4,CE$4&gt;=$C$1),$H14,IF(AND(($D14+$C$1)&gt;CE$4,CE$4&gt;=$C$1),$G14,0))*IF($A14="Residential",'General Inputs'!L$14,'General Inputs'!L$19)</f>
        <v>51017.444685760791</v>
      </c>
      <c r="CF14" s="214">
        <f>IF(AND(($E14+$C$1)&gt;CF$4,CF$4&gt;=$C$1),$H14,IF(AND(($D14+$C$1)&gt;CF$4,CF$4&gt;=$C$1),$G14,0))*IF($A14="Residential",'General Inputs'!M$14,'General Inputs'!M$19)</f>
        <v>0</v>
      </c>
      <c r="CG14" s="214">
        <f>IF(AND(($E14+$C$1)&gt;CG$4,CG$4&gt;=$C$1),$H14,IF(AND(($D14+$C$1)&gt;CG$4,CG$4&gt;=$C$1),$G14,0))*IF($A14="Residential",'General Inputs'!N$14,'General Inputs'!N$19)</f>
        <v>0</v>
      </c>
      <c r="CH14" s="214">
        <f>IF(AND(($E14+$C$1)&gt;CH$4,CH$4&gt;=$C$1),$H14,IF(AND(($D14+$C$1)&gt;CH$4,CH$4&gt;=$C$1),$G14,0))*IF($A14="Residential",'General Inputs'!O$14,'General Inputs'!O$19)</f>
        <v>0</v>
      </c>
      <c r="CI14" s="214">
        <f>IF(AND(($E14+$C$1)&gt;CI$4,CI$4&gt;=$C$1),$H14,IF(AND(($D14+$C$1)&gt;CI$4,CI$4&gt;=$C$1),$G14,0))*IF($A14="Residential",'General Inputs'!P$14,'General Inputs'!P$19)</f>
        <v>0</v>
      </c>
      <c r="CJ14" s="214">
        <f>IF(AND(($E14+$C$1)&gt;CJ$4,CJ$4&gt;=$C$1),$H14,IF(AND(($D14+$C$1)&gt;CJ$4,CJ$4&gt;=$C$1),$G14,0))*IF($A14="Residential",'General Inputs'!Q$14,'General Inputs'!Q$19)</f>
        <v>0</v>
      </c>
      <c r="CK14" s="214">
        <f>IF(AND(($E14+$C$1)&gt;CK$4,CK$4&gt;=$C$1),$H14,IF(AND(($D14+$C$1)&gt;CK$4,CK$4&gt;=$C$1),$G14,0))*IF($A14="Residential",'General Inputs'!R$14,'General Inputs'!R$19)</f>
        <v>0</v>
      </c>
      <c r="CL14" s="214">
        <f>IF(AND(($E14+$C$1)&gt;CL$4,CL$4&gt;=$C$1),$H14,IF(AND(($D14+$C$1)&gt;CL$4,CL$4&gt;=$C$1),$G14,0))*IF($A14="Residential",'General Inputs'!S$14,'General Inputs'!S$19)</f>
        <v>0</v>
      </c>
      <c r="CM14" s="214">
        <f>IF(AND(($E14+$C$1)&gt;CM$4,CM$4&gt;=$C$1),$H14,IF(AND(($D14+$C$1)&gt;CM$4,CM$4&gt;=$C$1),$G14,0))*IF($A14="Residential",'General Inputs'!T$14,'General Inputs'!T$19)</f>
        <v>0</v>
      </c>
      <c r="CN14" s="214">
        <f>IF(AND(($E14+$C$1)&gt;CN$4,CN$4&gt;=$C$1),$H14,IF(AND(($D14+$C$1)&gt;CN$4,CN$4&gt;=$C$1),$G14,0))*IF($A14="Residential",'General Inputs'!U$14,'General Inputs'!U$19)</f>
        <v>0</v>
      </c>
      <c r="CO14" s="214">
        <f>IF(AND(($E14+$C$1)&gt;CO$4,CO$4&gt;=$C$1),$H14,IF(AND(($D14+$C$1)&gt;CO$4,CO$4&gt;=$C$1),$G14,0))*IF($A14="Residential",'General Inputs'!V$14,'General Inputs'!V$19)</f>
        <v>0</v>
      </c>
      <c r="CP14" s="214">
        <f>IF(AND(($E14+$C$1)&gt;CP$4,CP$4&gt;=$C$1),$H14,IF(AND(($D14+$C$1)&gt;CP$4,CP$4&gt;=$C$1),$G14,0))*IF($A14="Residential",'General Inputs'!W$14,'General Inputs'!W$19)</f>
        <v>0</v>
      </c>
      <c r="CR14" s="214">
        <f>IF(AND(($E14+$C$1)&gt;CR$4,CR$4&gt;=$C$1),$H14,IF(AND(($D14+$C$1)&gt;CR$4,CR$4&gt;=$C$1),$G14,0))*IF($A14="Residential",'General Inputs'!D$15,'General Inputs'!D$19)</f>
        <v>0</v>
      </c>
      <c r="CS14" s="214">
        <f>IF(AND(($E14+$C$1)&gt;CS$4,CS$4&gt;=$C$1),$H14,IF(AND(($D14+$C$1)&gt;CS$4,CS$4&gt;=$C$1),$G14,0))*IF($A14="Residential",'General Inputs'!E$15,'General Inputs'!E$19)</f>
        <v>37395.417309888369</v>
      </c>
      <c r="CT14" s="214">
        <f>IF(AND(($E14+$C$1)&gt;CT$4,CT$4&gt;=$C$1),$H14,IF(AND(($D14+$C$1)&gt;CT$4,CT$4&gt;=$C$1),$G14,0))*IF($A14="Residential",'General Inputs'!F$15,'General Inputs'!F$19)</f>
        <v>37956.348569536691</v>
      </c>
      <c r="CU14" s="214">
        <f>IF(AND(($E14+$C$1)&gt;CU$4,CU$4&gt;=$C$1),$H14,IF(AND(($D14+$C$1)&gt;CU$4,CU$4&gt;=$C$1),$G14,0))*IF($A14="Residential",'General Inputs'!G$15,'General Inputs'!G$19)</f>
        <v>38525.693798079737</v>
      </c>
      <c r="CV14" s="214">
        <f>IF(AND(($E14+$C$1)&gt;CV$4,CV$4&gt;=$C$1),$H14,IF(AND(($D14+$C$1)&gt;CV$4,CV$4&gt;=$C$1),$G14,0))*IF($A14="Residential",'General Inputs'!H$15,'General Inputs'!H$19)</f>
        <v>39103.579205050926</v>
      </c>
      <c r="CW14" s="214">
        <f>IF(AND(($E14+$C$1)&gt;CW$4,CW$4&gt;=$C$1),$H14,IF(AND(($D14+$C$1)&gt;CW$4,CW$4&gt;=$C$1),$G14,0))*IF($A14="Residential",'General Inputs'!I$15,'General Inputs'!I$19)</f>
        <v>39690.132893126691</v>
      </c>
      <c r="CX14" s="214">
        <f>IF(AND(($E14+$C$1)&gt;CX$4,CX$4&gt;=$C$1),$H14,IF(AND(($D14+$C$1)&gt;CX$4,CX$4&gt;=$C$1),$G14,0))*IF($A14="Residential",'General Inputs'!J$15,'General Inputs'!J$19)</f>
        <v>40285.484886523584</v>
      </c>
      <c r="CY14" s="214">
        <f>IF(AND(($E14+$C$1)&gt;CY$4,CY$4&gt;=$C$1),$H14,IF(AND(($D14+$C$1)&gt;CY$4,CY$4&gt;=$C$1),$G14,0))*IF($A14="Residential",'General Inputs'!K$15,'General Inputs'!K$19)</f>
        <v>40889.767159821437</v>
      </c>
      <c r="CZ14" s="214">
        <f>IF(AND(($E14+$C$1)&gt;CZ$4,CZ$4&gt;=$C$1),$H14,IF(AND(($D14+$C$1)&gt;CZ$4,CZ$4&gt;=$C$1),$G14,0))*IF($A14="Residential",'General Inputs'!L$15,'General Inputs'!L$19)</f>
        <v>41503.113667218749</v>
      </c>
      <c r="DA14" s="214">
        <f>IF(AND(($E14+$C$1)&gt;DA$4,DA$4&gt;=$C$1),$H14,IF(AND(($D14+$C$1)&gt;DA$4,DA$4&gt;=$C$1),$G14,0))*IF($A14="Residential",'General Inputs'!M$15,'General Inputs'!M$19)</f>
        <v>0</v>
      </c>
      <c r="DB14" s="214">
        <f>IF(AND(($E14+$C$1)&gt;DB$4,DB$4&gt;=$C$1),$H14,IF(AND(($D14+$C$1)&gt;DB$4,DB$4&gt;=$C$1),$G14,0))*IF($A14="Residential",'General Inputs'!N$15,'General Inputs'!N$19)</f>
        <v>0</v>
      </c>
      <c r="DC14" s="214">
        <f>IF(AND(($E14+$C$1)&gt;DC$4,DC$4&gt;=$C$1),$H14,IF(AND(($D14+$C$1)&gt;DC$4,DC$4&gt;=$C$1),$G14,0))*IF($A14="Residential",'General Inputs'!O$15,'General Inputs'!O$19)</f>
        <v>0</v>
      </c>
      <c r="DD14" s="214">
        <f>IF(AND(($E14+$C$1)&gt;DD$4,DD$4&gt;=$C$1),$H14,IF(AND(($D14+$C$1)&gt;DD$4,DD$4&gt;=$C$1),$G14,0))*IF($A14="Residential",'General Inputs'!P$15,'General Inputs'!P$19)</f>
        <v>0</v>
      </c>
      <c r="DE14" s="214">
        <f>IF(AND(($E14+$C$1)&gt;DE$4,DE$4&gt;=$C$1),$H14,IF(AND(($D14+$C$1)&gt;DE$4,DE$4&gt;=$C$1),$G14,0))*IF($A14="Residential",'General Inputs'!Q$15,'General Inputs'!Q$19)</f>
        <v>0</v>
      </c>
      <c r="DF14" s="214">
        <f>IF(AND(($E14+$C$1)&gt;DF$4,DF$4&gt;=$C$1),$H14,IF(AND(($D14+$C$1)&gt;DF$4,DF$4&gt;=$C$1),$G14,0))*IF($A14="Residential",'General Inputs'!R$15,'General Inputs'!R$19)</f>
        <v>0</v>
      </c>
      <c r="DG14" s="214">
        <f>IF(AND(($E14+$C$1)&gt;DG$4,DG$4&gt;=$C$1),$H14,IF(AND(($D14+$C$1)&gt;DG$4,DG$4&gt;=$C$1),$G14,0))*IF($A14="Residential",'General Inputs'!S$15,'General Inputs'!S$19)</f>
        <v>0</v>
      </c>
      <c r="DH14" s="214">
        <f>IF(AND(($E14+$C$1)&gt;DH$4,DH$4&gt;=$C$1),$H14,IF(AND(($D14+$C$1)&gt;DH$4,DH$4&gt;=$C$1),$G14,0))*IF($A14="Residential",'General Inputs'!T$15,'General Inputs'!T$19)</f>
        <v>0</v>
      </c>
      <c r="DI14" s="214">
        <f>IF(AND(($E14+$C$1)&gt;DI$4,DI$4&gt;=$C$1),$H14,IF(AND(($D14+$C$1)&gt;DI$4,DI$4&gt;=$C$1),$G14,0))*IF($A14="Residential",'General Inputs'!U$15,'General Inputs'!U$19)</f>
        <v>0</v>
      </c>
      <c r="DJ14" s="214">
        <f>IF(AND(($E14+$C$1)&gt;DJ$4,DJ$4&gt;=$C$1),$H14,IF(AND(($D14+$C$1)&gt;DJ$4,DJ$4&gt;=$C$1),$G14,0))*IF($A14="Residential",'General Inputs'!V$15,'General Inputs'!V$19)</f>
        <v>0</v>
      </c>
      <c r="DK14" s="214">
        <f>IF(AND(($E14+$C$1)&gt;DK$4,DK$4&gt;=$C$1),$H14,IF(AND(($D14+$C$1)&gt;DK$4,DK$4&gt;=$C$1),$G14,0))*IF($A14="Residential",'General Inputs'!W$15,'General Inputs'!W$19)</f>
        <v>0</v>
      </c>
      <c r="DM14" s="214">
        <f t="shared" ref="DM14:DM15" si="41">IF($C$1=DM$4,$L14*$C14,IF($E14+$C$1=DM$4,-$M14*$C14,0))</f>
        <v>0</v>
      </c>
      <c r="DN14" s="214">
        <f t="shared" si="27"/>
        <v>23250</v>
      </c>
      <c r="DO14" s="214">
        <f t="shared" si="27"/>
        <v>0</v>
      </c>
      <c r="DP14" s="214">
        <f t="shared" si="27"/>
        <v>0</v>
      </c>
      <c r="DQ14" s="214">
        <f t="shared" si="27"/>
        <v>0</v>
      </c>
      <c r="DR14" s="214">
        <f t="shared" si="27"/>
        <v>0</v>
      </c>
      <c r="DS14" s="214">
        <f t="shared" si="27"/>
        <v>0</v>
      </c>
      <c r="DT14" s="214">
        <f t="shared" si="27"/>
        <v>0</v>
      </c>
      <c r="DU14" s="214">
        <f t="shared" si="27"/>
        <v>0</v>
      </c>
      <c r="DV14" s="214">
        <f t="shared" si="27"/>
        <v>0</v>
      </c>
      <c r="DW14" s="214">
        <f t="shared" si="27"/>
        <v>0</v>
      </c>
      <c r="DZ14" s="650"/>
      <c r="FI14" s="195"/>
      <c r="FJ14" s="195"/>
      <c r="FK14" s="195"/>
      <c r="FL14" s="195"/>
      <c r="FM14" s="195"/>
      <c r="FN14" s="195"/>
      <c r="FO14" s="195"/>
    </row>
    <row r="15" spans="1:171">
      <c r="A15" s="341" t="s">
        <v>12</v>
      </c>
      <c r="B15" s="427" t="str">
        <f>'Portfolio Inputs'!A14</f>
        <v>Freezer Recycle</v>
      </c>
      <c r="C15" s="217">
        <f>IF($C$1=2014,'Portfolio Inputs'!$C14,IF($C$1=2015,'Portfolio Inputs'!$D14,'Portfolio Inputs'!$E14))</f>
        <v>100</v>
      </c>
      <c r="D15" s="504">
        <f>VLOOKUP(B15,Sources!$B$4:$J$104,2,FALSE)</f>
        <v>8</v>
      </c>
      <c r="E15" s="504">
        <f>VLOOKUP(B15,Sources!$B$4:$J$104,3,FALSE)</f>
        <v>0</v>
      </c>
      <c r="G15" s="504">
        <f>IF($C$1=2014,'Portfolio Inputs'!$G14,IF($C$1=2015,'Portfolio Inputs'!$H14,'Portfolio Inputs'!$I14))*EnergyLineLoss</f>
        <v>115693.49999999999</v>
      </c>
      <c r="H15" s="504"/>
      <c r="I15" s="504">
        <f>IF($C$1=2014,'Portfolio Inputs'!$K14,IF($C$1=2015,'Portfolio Inputs'!$L14,'Portfolio Inputs'!$M14))*PeakLineLoss</f>
        <v>13.207020547945206</v>
      </c>
      <c r="J15" s="510"/>
      <c r="L15" s="606">
        <f>IF($C$1=2014,'Portfolio Inputs'!$O14,IF($C$1=2015,'Portfolio Inputs'!$P14,'Portfolio Inputs'!$Q14))</f>
        <v>93</v>
      </c>
      <c r="M15" s="518">
        <f>VLOOKUP($B15,Sources!$B$4:$K$104,10,FALSE)</f>
        <v>0</v>
      </c>
      <c r="N15" s="419">
        <f>IF($C$1=2014,'Portfolio Inputs'!$W14,IF($C$1=2015,'Portfolio Inputs'!$X14,'Portfolio Inputs'!$Y14))</f>
        <v>5000</v>
      </c>
      <c r="O15" s="419"/>
      <c r="Q15" s="438">
        <f t="shared" si="0"/>
        <v>3.3271363841448771</v>
      </c>
      <c r="R15" s="439">
        <f t="shared" si="1"/>
        <v>6.1884736745094724</v>
      </c>
      <c r="S15" s="439">
        <f t="shared" si="2"/>
        <v>4.1865648452352291</v>
      </c>
      <c r="T15" s="439">
        <f t="shared" si="3"/>
        <v>11.293538377263529</v>
      </c>
      <c r="U15" s="439">
        <f t="shared" si="38"/>
        <v>9.2876513440766892</v>
      </c>
      <c r="V15" s="439">
        <f t="shared" si="39"/>
        <v>0.29460531084245151</v>
      </c>
      <c r="W15" s="439">
        <f t="shared" si="40"/>
        <v>0.35823226571341943</v>
      </c>
      <c r="Y15" s="215">
        <f t="shared" si="4"/>
        <v>28429.224892086881</v>
      </c>
      <c r="Z15" s="215">
        <f t="shared" si="5"/>
        <v>7343.5177215548256</v>
      </c>
      <c r="AA15" s="215">
        <f t="shared" si="6"/>
        <v>91905.463899807815</v>
      </c>
      <c r="AB15" s="215">
        <f t="shared" si="7"/>
        <v>74765.855843360172</v>
      </c>
      <c r="AC15" s="216">
        <f t="shared" si="20"/>
        <v>0</v>
      </c>
      <c r="AD15" s="216">
        <f t="shared" si="21"/>
        <v>4593.899301727306</v>
      </c>
      <c r="AE15" s="215">
        <f t="shared" si="8"/>
        <v>8544.6527012127899</v>
      </c>
      <c r="AG15" s="214">
        <f>IF(AND(($E15+$C$1)&gt;AG$4,AG$4&gt;=$C$1),'General Inputs'!D$9*$H15,IF(AND(($D15+$C$1)&gt;AG$4,AG$4&gt;=$C$1),'General Inputs'!D$9*$G15,0))+IF(AND(($E15+$C$1)&gt;AG$4,AG$4&gt;=$C$1),'General Inputs'!D$10*$J15,IF(AND(($D15+$C$1)&gt;AG$4,AG$4&gt;=$C$1),'General Inputs'!D$10*$I15,0))</f>
        <v>0</v>
      </c>
      <c r="AH15" s="214">
        <f>IF(AND(($E15+$C$1)&gt;AH$4,AH$4&gt;=$C$1),'General Inputs'!E$9*$H15,IF(AND(($D15+$C$1)&gt;AH$4,AH$4&gt;=$C$1),'General Inputs'!E$9*$G15,0))+IF(AND(($E15+$C$1)&gt;AH$4,AH$4&gt;=$C$1),'General Inputs'!E$10*$J15,IF(AND(($D15+$C$1)&gt;AH$4,AH$4&gt;=$C$1),'General Inputs'!E$10*$I15,0))</f>
        <v>4875.8400019866194</v>
      </c>
      <c r="AI15" s="214">
        <f>IF(AND(($E15+$C$1)&gt;AI$4,AI$4&gt;=$C$1),'General Inputs'!F$9*$H15,IF(AND(($D15+$C$1)&gt;AI$4,AI$4&gt;=$C$1),'General Inputs'!F$9*$G15,0))+IF(AND(($E15+$C$1)&gt;AI$4,AI$4&gt;=$C$1),'General Inputs'!F$10*$J15,IF(AND(($D15+$C$1)&gt;AI$4,AI$4&gt;=$C$1),'General Inputs'!F$10*$I15,0))</f>
        <v>4948.9776020164181</v>
      </c>
      <c r="AJ15" s="214">
        <f>IF(AND(($E15+$C$1)&gt;AJ$4,AJ$4&gt;=$C$1),'General Inputs'!G$9*$H15,IF(AND(($D15+$C$1)&gt;AJ$4,AJ$4&gt;=$C$1),'General Inputs'!G$9*$G15,0))+IF(AND(($E15+$C$1)&gt;AJ$4,AJ$4&gt;=$C$1),'General Inputs'!G$10*$J15,IF(AND(($D15+$C$1)&gt;AJ$4,AJ$4&gt;=$C$1),'General Inputs'!G$10*$I15,0))</f>
        <v>5023.2122660466639</v>
      </c>
      <c r="AK15" s="214">
        <f>IF(AND(($E15+$C$1)&gt;AK$4,AK$4&gt;=$C$1),'General Inputs'!H$9*$H15,IF(AND(($D15+$C$1)&gt;AK$4,AK$4&gt;=$C$1),'General Inputs'!H$9*$G15,0))+IF(AND(($E15+$C$1)&gt;AK$4,AK$4&gt;=$C$1),'General Inputs'!H$10*$J15,IF(AND(($D15+$C$1)&gt;AK$4,AK$4&gt;=$C$1),'General Inputs'!H$10*$I15,0))</f>
        <v>5098.5604500373629</v>
      </c>
      <c r="AL15" s="214">
        <f>IF(AND(($E15+$C$1)&gt;AL$4,AL$4&gt;=$C$1),'General Inputs'!I$9*$H15,IF(AND(($D15+$C$1)&gt;AL$4,AL$4&gt;=$C$1),'General Inputs'!I$9*$G15,0))+IF(AND(($E15+$C$1)&gt;AL$4,AL$4&gt;=$C$1),'General Inputs'!I$10*$J15,IF(AND(($D15+$C$1)&gt;AL$4,AL$4&gt;=$C$1),'General Inputs'!I$10*$I15,0))</f>
        <v>5175.0388567879227</v>
      </c>
      <c r="AM15" s="214">
        <f>IF(AND(($E15+$C$1)&gt;AM$4,AM$4&gt;=$C$1),'General Inputs'!J$9*$H15,IF(AND(($D15+$C$1)&gt;AM$4,AM$4&gt;=$C$1),'General Inputs'!J$9*$G15,0))+IF(AND(($E15+$C$1)&gt;AM$4,AM$4&gt;=$C$1),'General Inputs'!J$10*$J15,IF(AND(($D15+$C$1)&gt;AM$4,AM$4&gt;=$C$1),'General Inputs'!J$10*$I15,0))</f>
        <v>5252.6644396397405</v>
      </c>
      <c r="AN15" s="214">
        <f>IF(AND(($E15+$C$1)&gt;AN$4,AN$4&gt;=$C$1),'General Inputs'!K$9*$H15,IF(AND(($D15+$C$1)&gt;AN$4,AN$4&gt;=$C$1),'General Inputs'!K$9*$G15,0))+IF(AND(($E15+$C$1)&gt;AN$4,AN$4&gt;=$C$1),'General Inputs'!K$10*$J15,IF(AND(($D15+$C$1)&gt;AN$4,AN$4&gt;=$C$1),'General Inputs'!K$10*$I15,0))</f>
        <v>5331.4544062343357</v>
      </c>
      <c r="AO15" s="214">
        <f>IF(AND(($E15+$C$1)&gt;AO$4,AO$4&gt;=$C$1),'General Inputs'!L$9*$H15,IF(AND(($D15+$C$1)&gt;AO$4,AO$4&gt;=$C$1),'General Inputs'!L$9*$G15,0))+IF(AND(($E15+$C$1)&gt;AO$4,AO$4&gt;=$C$1),'General Inputs'!L$10*$J15,IF(AND(($D15+$C$1)&gt;AO$4,AO$4&gt;=$C$1),'General Inputs'!L$10*$I15,0))</f>
        <v>5411.4262223278502</v>
      </c>
      <c r="AP15" s="214">
        <f>IF(AND(($E15+$C$1)&gt;AP$4,AP$4&gt;=$C$1),'General Inputs'!M$9*$H15,IF(AND(($D15+$C$1)&gt;AP$4,AP$4&gt;=$C$1),'General Inputs'!M$9*$G15,0))+IF(AND(($E15+$C$1)&gt;AP$4,AP$4&gt;=$C$1),'General Inputs'!M$10*$J15,IF(AND(($D15+$C$1)&gt;AP$4,AP$4&gt;=$C$1),'General Inputs'!M$10*$I15,0))</f>
        <v>0</v>
      </c>
      <c r="AQ15" s="214">
        <f>IF(AND(($E15+$C$1)&gt;AQ$4,AQ$4&gt;=$C$1),'General Inputs'!N$9*$H15,IF(AND(($D15+$C$1)&gt;AQ$4,AQ$4&gt;=$C$1),'General Inputs'!N$9*$G15,0))+IF(AND(($E15+$C$1)&gt;AQ$4,AQ$4&gt;=$C$1),'General Inputs'!N$10*$J15,IF(AND(($D15+$C$1)&gt;AQ$4,AQ$4&gt;=$C$1),'General Inputs'!N$10*$I15,0))</f>
        <v>0</v>
      </c>
      <c r="AR15" s="214">
        <f>IF(AND(($E15+$C$1)&gt;AR$4,AR$4&gt;=$C$1),'General Inputs'!O$9*$H15,IF(AND(($D15+$C$1)&gt;AR$4,AR$4&gt;=$C$1),'General Inputs'!O$9*$G15,0))+IF(AND(($E15+$C$1)&gt;AR$4,AR$4&gt;=$C$1),'General Inputs'!O$10*$J15,IF(AND(($D15+$C$1)&gt;AR$4,AR$4&gt;=$C$1),'General Inputs'!O$10*$I15,0))</f>
        <v>0</v>
      </c>
      <c r="AS15" s="214">
        <f>IF(AND(($E15+$C$1)&gt;AS$4,AS$4&gt;=$C$1),'General Inputs'!P$9*$H15,IF(AND(($D15+$C$1)&gt;AS$4,AS$4&gt;=$C$1),'General Inputs'!P$9*$G15,0))+IF(AND(($E15+$C$1)&gt;AS$4,AS$4&gt;=$C$1),'General Inputs'!P$10*$J15,IF(AND(($D15+$C$1)&gt;AS$4,AS$4&gt;=$C$1),'General Inputs'!P$10*$I15,0))</f>
        <v>0</v>
      </c>
      <c r="AT15" s="214">
        <f>IF(AND(($E15+$C$1)&gt;AT$4,AT$4&gt;=$C$1),'General Inputs'!Q$9*$H15,IF(AND(($D15+$C$1)&gt;AT$4,AT$4&gt;=$C$1),'General Inputs'!Q$9*$G15,0))+IF(AND(($E15+$C$1)&gt;AT$4,AT$4&gt;=$C$1),'General Inputs'!Q$10*$J15,IF(AND(($D15+$C$1)&gt;AT$4,AT$4&gt;=$C$1),'General Inputs'!Q$10*$I15,0))</f>
        <v>0</v>
      </c>
      <c r="AU15" s="214">
        <f>IF(AND(($E15+$C$1)&gt;AU$4,AU$4&gt;=$C$1),'General Inputs'!R$9*$H15,IF(AND(($D15+$C$1)&gt;AU$4,AU$4&gt;=$C$1),'General Inputs'!R$9*$G15,0))+IF(AND(($E15+$C$1)&gt;AU$4,AU$4&gt;=$C$1),'General Inputs'!R$10*$J15,IF(AND(($D15+$C$1)&gt;AU$4,AU$4&gt;=$C$1),'General Inputs'!R$10*$I15,0))</f>
        <v>0</v>
      </c>
      <c r="AV15" s="214">
        <f>IF(AND(($E15+$C$1)&gt;AV$4,AV$4&gt;=$C$1),'General Inputs'!S$9*$H15,IF(AND(($D15+$C$1)&gt;AV$4,AV$4&gt;=$C$1),'General Inputs'!S$9*$G15,0))+IF(AND(($E15+$C$1)&gt;AV$4,AV$4&gt;=$C$1),'General Inputs'!S$10*$J15,IF(AND(($D15+$C$1)&gt;AV$4,AV$4&gt;=$C$1),'General Inputs'!S$10*$I15,0))</f>
        <v>0</v>
      </c>
      <c r="AW15" s="214">
        <f>IF(AND(($E15+$C$1)&gt;AW$4,AW$4&gt;=$C$1),'General Inputs'!T$9*$H15,IF(AND(($D15+$C$1)&gt;AW$4,AW$4&gt;=$C$1),'General Inputs'!T$9*$G15,0))+IF(AND(($E15+$C$1)&gt;AW$4,AW$4&gt;=$C$1),'General Inputs'!T$10*$J15,IF(AND(($D15+$C$1)&gt;AW$4,AW$4&gt;=$C$1),'General Inputs'!T$10*$I15,0))</f>
        <v>0</v>
      </c>
      <c r="AX15" s="214">
        <f>IF(AND(($E15+$C$1)&gt;AX$4,AX$4&gt;=$C$1),'General Inputs'!U$9*$H15,IF(AND(($D15+$C$1)&gt;AX$4,AX$4&gt;=$C$1),'General Inputs'!U$9*$G15,0))+IF(AND(($E15+$C$1)&gt;AX$4,AX$4&gt;=$C$1),'General Inputs'!U$10*$J15,IF(AND(($D15+$C$1)&gt;AX$4,AX$4&gt;=$C$1),'General Inputs'!U$10*$I15,0))</f>
        <v>0</v>
      </c>
      <c r="AY15" s="214">
        <f>IF(AND(($E15+$C$1)&gt;AY$4,AY$4&gt;=$C$1),'General Inputs'!V$9*$H15,IF(AND(($D15+$C$1)&gt;AY$4,AY$4&gt;=$C$1),'General Inputs'!V$9*$G15,0))+IF(AND(($E15+$C$1)&gt;AY$4,AY$4&gt;=$C$1),'General Inputs'!V$10*$J15,IF(AND(($D15+$C$1)&gt;AY$4,AY$4&gt;=$C$1),'General Inputs'!V$10*$I15,0))</f>
        <v>0</v>
      </c>
      <c r="AZ15" s="214">
        <f>IF(AND(($E15+$C$1)&gt;AZ$4,AZ$4&gt;=$C$1),'General Inputs'!W$9*$H15,IF(AND(($D15+$C$1)&gt;AZ$4,AZ$4&gt;=$C$1),'General Inputs'!W$9*$G15,0))+IF(AND(($E15+$C$1)&gt;AZ$4,AZ$4&gt;=$C$1),'General Inputs'!W$10*$J15,IF(AND(($D15+$C$1)&gt;AZ$4,AZ$4&gt;=$C$1),'General Inputs'!W$10*$I15,0))</f>
        <v>0</v>
      </c>
      <c r="BB15" s="214">
        <f>IF(AND(($E15+$C$1)&gt;BB$4,BB$4&gt;=$C$1),'General Inputs'!D$11*$H15,IF(AND(($D15+$C$1)&gt;BB$4,BB$4&gt;=$C$1),'General Inputs'!D$11*$G15,0))</f>
        <v>0</v>
      </c>
      <c r="BC15" s="214">
        <f>IF(AND(($E15+$C$1)&gt;BC$4,BC$4&gt;=$C$1),'General Inputs'!E$11*$H15,IF(AND(($D15+$C$1)&gt;BC$4,BC$4&gt;=$C$1),'General Inputs'!E$11*$G15,0))</f>
        <v>1318.9059</v>
      </c>
      <c r="BD15" s="214">
        <f>IF(AND(($E15+$C$1)&gt;BD$4,BD$4&gt;=$C$1),'General Inputs'!F$11*$H15,IF(AND(($D15+$C$1)&gt;BD$4,BD$4&gt;=$C$1),'General Inputs'!F$11*$G15,0))</f>
        <v>1318.9059</v>
      </c>
      <c r="BE15" s="214">
        <f>IF(AND(($E15+$C$1)&gt;BE$4,BE$4&gt;=$C$1),'General Inputs'!G$11*$H15,IF(AND(($D15+$C$1)&gt;BE$4,BE$4&gt;=$C$1),'General Inputs'!G$11*$G15,0))</f>
        <v>1318.9059</v>
      </c>
      <c r="BF15" s="214">
        <f>IF(AND(($E15+$C$1)&gt;BF$4,BF$4&gt;=$C$1),'General Inputs'!H$11*$H15,IF(AND(($D15+$C$1)&gt;BF$4,BF$4&gt;=$C$1),'General Inputs'!H$11*$G15,0))</f>
        <v>1318.9059</v>
      </c>
      <c r="BG15" s="214">
        <f>IF(AND(($E15+$C$1)&gt;BG$4,BG$4&gt;=$C$1),'General Inputs'!I$11*$H15,IF(AND(($D15+$C$1)&gt;BG$4,BG$4&gt;=$C$1),'General Inputs'!I$11*$G15,0))</f>
        <v>1318.9059</v>
      </c>
      <c r="BH15" s="214">
        <f>IF(AND(($E15+$C$1)&gt;BH$4,BH$4&gt;=$C$1),'General Inputs'!J$11*$H15,IF(AND(($D15+$C$1)&gt;BH$4,BH$4&gt;=$C$1),'General Inputs'!J$11*$G15,0))</f>
        <v>1318.9059</v>
      </c>
      <c r="BI15" s="214">
        <f>IF(AND(($E15+$C$1)&gt;BI$4,BI$4&gt;=$C$1),'General Inputs'!K$11*$H15,IF(AND(($D15+$C$1)&gt;BI$4,BI$4&gt;=$C$1),'General Inputs'!K$11*$G15,0))</f>
        <v>1318.9059</v>
      </c>
      <c r="BJ15" s="214">
        <f>IF(AND(($E15+$C$1)&gt;BJ$4,BJ$4&gt;=$C$1),'General Inputs'!L$11*$H15,IF(AND(($D15+$C$1)&gt;BJ$4,BJ$4&gt;=$C$1),'General Inputs'!L$11*$G15,0))</f>
        <v>1318.9059</v>
      </c>
      <c r="BK15" s="214">
        <f>IF(AND(($E15+$C$1)&gt;BK$4,BK$4&gt;=$C$1),'General Inputs'!M$11*$H15,IF(AND(($D15+$C$1)&gt;BK$4,BK$4&gt;=$C$1),'General Inputs'!M$11*$G15,0))</f>
        <v>0</v>
      </c>
      <c r="BL15" s="214">
        <f>IF(AND(($E15+$C$1)&gt;BL$4,BL$4&gt;=$C$1),'General Inputs'!N$11*$H15,IF(AND(($D15+$C$1)&gt;BL$4,BL$4&gt;=$C$1),'General Inputs'!N$11*$G15,0))</f>
        <v>0</v>
      </c>
      <c r="BM15" s="214">
        <f>IF(AND(($E15+$C$1)&gt;BM$4,BM$4&gt;=$C$1),'General Inputs'!O$11*$H15,IF(AND(($D15+$C$1)&gt;BM$4,BM$4&gt;=$C$1),'General Inputs'!O$11*$G15,0))</f>
        <v>0</v>
      </c>
      <c r="BN15" s="214">
        <f>IF(AND(($E15+$C$1)&gt;BN$4,BN$4&gt;=$C$1),'General Inputs'!P$11*$H15,IF(AND(($D15+$C$1)&gt;BN$4,BN$4&gt;=$C$1),'General Inputs'!P$11*$G15,0))</f>
        <v>0</v>
      </c>
      <c r="BO15" s="214">
        <f>IF(AND(($E15+$C$1)&gt;BO$4,BO$4&gt;=$C$1),'General Inputs'!Q$11*$H15,IF(AND(($D15+$C$1)&gt;BO$4,BO$4&gt;=$C$1),'General Inputs'!Q$11*$G15,0))</f>
        <v>0</v>
      </c>
      <c r="BP15" s="214">
        <f>IF(AND(($E15+$C$1)&gt;BP$4,BP$4&gt;=$C$1),'General Inputs'!R$11*$H15,IF(AND(($D15+$C$1)&gt;BP$4,BP$4&gt;=$C$1),'General Inputs'!R$11*$G15,0))</f>
        <v>0</v>
      </c>
      <c r="BQ15" s="214">
        <f>IF(AND(($E15+$C$1)&gt;BQ$4,BQ$4&gt;=$C$1),'General Inputs'!S$11*$H15,IF(AND(($D15+$C$1)&gt;BQ$4,BQ$4&gt;=$C$1),'General Inputs'!S$11*$G15,0))</f>
        <v>0</v>
      </c>
      <c r="BR15" s="214">
        <f>IF(AND(($E15+$C$1)&gt;BR$4,BR$4&gt;=$C$1),'General Inputs'!T$11*$H15,IF(AND(($D15+$C$1)&gt;BR$4,BR$4&gt;=$C$1),'General Inputs'!T$11*$G15,0))</f>
        <v>0</v>
      </c>
      <c r="BS15" s="214">
        <f>IF(AND(($E15+$C$1)&gt;BS$4,BS$4&gt;=$C$1),'General Inputs'!U$11*$H15,IF(AND(($D15+$C$1)&gt;BS$4,BS$4&gt;=$C$1),'General Inputs'!U$11*$G15,0))</f>
        <v>0</v>
      </c>
      <c r="BT15" s="214">
        <f>IF(AND(($E15+$C$1)&gt;BT$4,BT$4&gt;=$C$1),'General Inputs'!V$11*$H15,IF(AND(($D15+$C$1)&gt;BT$4,BT$4&gt;=$C$1),'General Inputs'!V$11*$G15,0))</f>
        <v>0</v>
      </c>
      <c r="BU15" s="214">
        <f>IF(AND(($E15+$C$1)&gt;BU$4,BU$4&gt;=$C$1),'General Inputs'!W$11*$H15,IF(AND(($D15+$C$1)&gt;BU$4,BU$4&gt;=$C$1),'General Inputs'!W$11*$G15,0))</f>
        <v>0</v>
      </c>
      <c r="BW15" s="214">
        <f>IF(AND(($E15+$C$1)&gt;BW$4,BW$4&gt;=$C$1),$H15,IF(AND(($D15+$C$1)&gt;BW$4,BW$4&gt;=$C$1),$G15,0))*IF($A15="Residential",'General Inputs'!D$14,'General Inputs'!D$19)</f>
        <v>0</v>
      </c>
      <c r="BX15" s="214">
        <f>IF(AND(($E15+$C$1)&gt;BX$4,BX$4&gt;=$C$1),$H15,IF(AND(($D15+$C$1)&gt;BX$4,BX$4&gt;=$C$1),$G15,0))*IF($A15="Residential",'General Inputs'!E$14,'General Inputs'!E$19)</f>
        <v>15762.523916315105</v>
      </c>
      <c r="BY15" s="214">
        <f>IF(AND(($E15+$C$1)&gt;BY$4,BY$4&gt;=$C$1),$H15,IF(AND(($D15+$C$1)&gt;BY$4,BY$4&gt;=$C$1),$G15,0))*IF($A15="Residential",'General Inputs'!F$14,'General Inputs'!F$19)</f>
        <v>15998.96177505983</v>
      </c>
      <c r="BZ15" s="214">
        <f>IF(AND(($E15+$C$1)&gt;BZ$4,BZ$4&gt;=$C$1),$H15,IF(AND(($D15+$C$1)&gt;BZ$4,BZ$4&gt;=$C$1),$G15,0))*IF($A15="Residential",'General Inputs'!G$14,'General Inputs'!G$19)</f>
        <v>16238.946201685723</v>
      </c>
      <c r="CA15" s="214">
        <f>IF(AND(($E15+$C$1)&gt;CA$4,CA$4&gt;=$C$1),$H15,IF(AND(($D15+$C$1)&gt;CA$4,CA$4&gt;=$C$1),$G15,0))*IF($A15="Residential",'General Inputs'!H$14,'General Inputs'!H$19)</f>
        <v>16482.530394711008</v>
      </c>
      <c r="CB15" s="214">
        <f>IF(AND(($E15+$C$1)&gt;CB$4,CB$4&gt;=$C$1),$H15,IF(AND(($D15+$C$1)&gt;CB$4,CB$4&gt;=$C$1),$G15,0))*IF($A15="Residential",'General Inputs'!I$14,'General Inputs'!I$19)</f>
        <v>16729.768350631672</v>
      </c>
      <c r="CC15" s="214">
        <f>IF(AND(($E15+$C$1)&gt;CC$4,CC$4&gt;=$C$1),$H15,IF(AND(($D15+$C$1)&gt;CC$4,CC$4&gt;=$C$1),$G15,0))*IF($A15="Residential",'General Inputs'!J$14,'General Inputs'!J$19)</f>
        <v>16980.714875891143</v>
      </c>
      <c r="CD15" s="214">
        <f>IF(AND(($E15+$C$1)&gt;CD$4,CD$4&gt;=$C$1),$H15,IF(AND(($D15+$C$1)&gt;CD$4,CD$4&gt;=$C$1),$G15,0))*IF($A15="Residential",'General Inputs'!K$14,'General Inputs'!K$19)</f>
        <v>17235.42559902951</v>
      </c>
      <c r="CE15" s="214">
        <f>IF(AND(($E15+$C$1)&gt;CE$4,CE$4&gt;=$C$1),$H15,IF(AND(($D15+$C$1)&gt;CE$4,CE$4&gt;=$C$1),$G15,0))*IF($A15="Residential",'General Inputs'!L$14,'General Inputs'!L$19)</f>
        <v>17493.956983014948</v>
      </c>
      <c r="CF15" s="214">
        <f>IF(AND(($E15+$C$1)&gt;CF$4,CF$4&gt;=$C$1),$H15,IF(AND(($D15+$C$1)&gt;CF$4,CF$4&gt;=$C$1),$G15,0))*IF($A15="Residential",'General Inputs'!M$14,'General Inputs'!M$19)</f>
        <v>0</v>
      </c>
      <c r="CG15" s="214">
        <f>IF(AND(($E15+$C$1)&gt;CG$4,CG$4&gt;=$C$1),$H15,IF(AND(($D15+$C$1)&gt;CG$4,CG$4&gt;=$C$1),$G15,0))*IF($A15="Residential",'General Inputs'!N$14,'General Inputs'!N$19)</f>
        <v>0</v>
      </c>
      <c r="CH15" s="214">
        <f>IF(AND(($E15+$C$1)&gt;CH$4,CH$4&gt;=$C$1),$H15,IF(AND(($D15+$C$1)&gt;CH$4,CH$4&gt;=$C$1),$G15,0))*IF($A15="Residential",'General Inputs'!O$14,'General Inputs'!O$19)</f>
        <v>0</v>
      </c>
      <c r="CI15" s="214">
        <f>IF(AND(($E15+$C$1)&gt;CI$4,CI$4&gt;=$C$1),$H15,IF(AND(($D15+$C$1)&gt;CI$4,CI$4&gt;=$C$1),$G15,0))*IF($A15="Residential",'General Inputs'!P$14,'General Inputs'!P$19)</f>
        <v>0</v>
      </c>
      <c r="CJ15" s="214">
        <f>IF(AND(($E15+$C$1)&gt;CJ$4,CJ$4&gt;=$C$1),$H15,IF(AND(($D15+$C$1)&gt;CJ$4,CJ$4&gt;=$C$1),$G15,0))*IF($A15="Residential",'General Inputs'!Q$14,'General Inputs'!Q$19)</f>
        <v>0</v>
      </c>
      <c r="CK15" s="214">
        <f>IF(AND(($E15+$C$1)&gt;CK$4,CK$4&gt;=$C$1),$H15,IF(AND(($D15+$C$1)&gt;CK$4,CK$4&gt;=$C$1),$G15,0))*IF($A15="Residential",'General Inputs'!R$14,'General Inputs'!R$19)</f>
        <v>0</v>
      </c>
      <c r="CL15" s="214">
        <f>IF(AND(($E15+$C$1)&gt;CL$4,CL$4&gt;=$C$1),$H15,IF(AND(($D15+$C$1)&gt;CL$4,CL$4&gt;=$C$1),$G15,0))*IF($A15="Residential",'General Inputs'!S$14,'General Inputs'!S$19)</f>
        <v>0</v>
      </c>
      <c r="CM15" s="214">
        <f>IF(AND(($E15+$C$1)&gt;CM$4,CM$4&gt;=$C$1),$H15,IF(AND(($D15+$C$1)&gt;CM$4,CM$4&gt;=$C$1),$G15,0))*IF($A15="Residential",'General Inputs'!T$14,'General Inputs'!T$19)</f>
        <v>0</v>
      </c>
      <c r="CN15" s="214">
        <f>IF(AND(($E15+$C$1)&gt;CN$4,CN$4&gt;=$C$1),$H15,IF(AND(($D15+$C$1)&gt;CN$4,CN$4&gt;=$C$1),$G15,0))*IF($A15="Residential",'General Inputs'!U$14,'General Inputs'!U$19)</f>
        <v>0</v>
      </c>
      <c r="CO15" s="214">
        <f>IF(AND(($E15+$C$1)&gt;CO$4,CO$4&gt;=$C$1),$H15,IF(AND(($D15+$C$1)&gt;CO$4,CO$4&gt;=$C$1),$G15,0))*IF($A15="Residential",'General Inputs'!V$14,'General Inputs'!V$19)</f>
        <v>0</v>
      </c>
      <c r="CP15" s="214">
        <f>IF(AND(($E15+$C$1)&gt;CP$4,CP$4&gt;=$C$1),$H15,IF(AND(($D15+$C$1)&gt;CP$4,CP$4&gt;=$C$1),$G15,0))*IF($A15="Residential",'General Inputs'!W$14,'General Inputs'!W$19)</f>
        <v>0</v>
      </c>
      <c r="CR15" s="214">
        <f>IF(AND(($E15+$C$1)&gt;CR$4,CR$4&gt;=$C$1),$H15,IF(AND(($D15+$C$1)&gt;CR$4,CR$4&gt;=$C$1),$G15,0))*IF($A15="Residential",'General Inputs'!D$15,'General Inputs'!D$19)</f>
        <v>0</v>
      </c>
      <c r="CS15" s="214">
        <f>IF(AND(($E15+$C$1)&gt;CS$4,CS$4&gt;=$C$1),$H15,IF(AND(($D15+$C$1)&gt;CS$4,CS$4&gt;=$C$1),$G15,0))*IF($A15="Residential",'General Inputs'!E$15,'General Inputs'!E$19)</f>
        <v>12822.943716811991</v>
      </c>
      <c r="CT15" s="214">
        <f>IF(AND(($E15+$C$1)&gt;CT$4,CT$4&gt;=$C$1),$H15,IF(AND(($D15+$C$1)&gt;CT$4,CT$4&gt;=$C$1),$G15,0))*IF($A15="Residential",'General Inputs'!F$15,'General Inputs'!F$19)</f>
        <v>13015.287872564169</v>
      </c>
      <c r="CU15" s="214">
        <f>IF(AND(($E15+$C$1)&gt;CU$4,CU$4&gt;=$C$1),$H15,IF(AND(($D15+$C$1)&gt;CU$4,CU$4&gt;=$C$1),$G15,0))*IF($A15="Residential",'General Inputs'!G$15,'General Inputs'!G$19)</f>
        <v>13210.51719065263</v>
      </c>
      <c r="CV15" s="214">
        <f>IF(AND(($E15+$C$1)&gt;CV$4,CV$4&gt;=$C$1),$H15,IF(AND(($D15+$C$1)&gt;CV$4,CV$4&gt;=$C$1),$G15,0))*IF($A15="Residential",'General Inputs'!H$15,'General Inputs'!H$19)</f>
        <v>13408.674948512418</v>
      </c>
      <c r="CW15" s="214">
        <f>IF(AND(($E15+$C$1)&gt;CW$4,CW$4&gt;=$C$1),$H15,IF(AND(($D15+$C$1)&gt;CW$4,CW$4&gt;=$C$1),$G15,0))*IF($A15="Residential",'General Inputs'!I$15,'General Inputs'!I$19)</f>
        <v>13609.805072740104</v>
      </c>
      <c r="CX15" s="214">
        <f>IF(AND(($E15+$C$1)&gt;CX$4,CX$4&gt;=$C$1),$H15,IF(AND(($D15+$C$1)&gt;CX$4,CX$4&gt;=$C$1),$G15,0))*IF($A15="Residential",'General Inputs'!J$15,'General Inputs'!J$19)</f>
        <v>13813.952148831204</v>
      </c>
      <c r="CY15" s="214">
        <f>IF(AND(($E15+$C$1)&gt;CY$4,CY$4&gt;=$C$1),$H15,IF(AND(($D15+$C$1)&gt;CY$4,CY$4&gt;=$C$1),$G15,0))*IF($A15="Residential",'General Inputs'!K$15,'General Inputs'!K$19)</f>
        <v>14021.161431063671</v>
      </c>
      <c r="CZ15" s="214">
        <f>IF(AND(($E15+$C$1)&gt;CZ$4,CZ$4&gt;=$C$1),$H15,IF(AND(($D15+$C$1)&gt;CZ$4,CZ$4&gt;=$C$1),$G15,0))*IF($A15="Residential",'General Inputs'!L$15,'General Inputs'!L$19)</f>
        <v>14231.478852529623</v>
      </c>
      <c r="DA15" s="214">
        <f>IF(AND(($E15+$C$1)&gt;DA$4,DA$4&gt;=$C$1),$H15,IF(AND(($D15+$C$1)&gt;DA$4,DA$4&gt;=$C$1),$G15,0))*IF($A15="Residential",'General Inputs'!M$15,'General Inputs'!M$19)</f>
        <v>0</v>
      </c>
      <c r="DB15" s="214">
        <f>IF(AND(($E15+$C$1)&gt;DB$4,DB$4&gt;=$C$1),$H15,IF(AND(($D15+$C$1)&gt;DB$4,DB$4&gt;=$C$1),$G15,0))*IF($A15="Residential",'General Inputs'!N$15,'General Inputs'!N$19)</f>
        <v>0</v>
      </c>
      <c r="DC15" s="214">
        <f>IF(AND(($E15+$C$1)&gt;DC$4,DC$4&gt;=$C$1),$H15,IF(AND(($D15+$C$1)&gt;DC$4,DC$4&gt;=$C$1),$G15,0))*IF($A15="Residential",'General Inputs'!O$15,'General Inputs'!O$19)</f>
        <v>0</v>
      </c>
      <c r="DD15" s="214">
        <f>IF(AND(($E15+$C$1)&gt;DD$4,DD$4&gt;=$C$1),$H15,IF(AND(($D15+$C$1)&gt;DD$4,DD$4&gt;=$C$1),$G15,0))*IF($A15="Residential",'General Inputs'!P$15,'General Inputs'!P$19)</f>
        <v>0</v>
      </c>
      <c r="DE15" s="214">
        <f>IF(AND(($E15+$C$1)&gt;DE$4,DE$4&gt;=$C$1),$H15,IF(AND(($D15+$C$1)&gt;DE$4,DE$4&gt;=$C$1),$G15,0))*IF($A15="Residential",'General Inputs'!Q$15,'General Inputs'!Q$19)</f>
        <v>0</v>
      </c>
      <c r="DF15" s="214">
        <f>IF(AND(($E15+$C$1)&gt;DF$4,DF$4&gt;=$C$1),$H15,IF(AND(($D15+$C$1)&gt;DF$4,DF$4&gt;=$C$1),$G15,0))*IF($A15="Residential",'General Inputs'!R$15,'General Inputs'!R$19)</f>
        <v>0</v>
      </c>
      <c r="DG15" s="214">
        <f>IF(AND(($E15+$C$1)&gt;DG$4,DG$4&gt;=$C$1),$H15,IF(AND(($D15+$C$1)&gt;DG$4,DG$4&gt;=$C$1),$G15,0))*IF($A15="Residential",'General Inputs'!S$15,'General Inputs'!S$19)</f>
        <v>0</v>
      </c>
      <c r="DH15" s="214">
        <f>IF(AND(($E15+$C$1)&gt;DH$4,DH$4&gt;=$C$1),$H15,IF(AND(($D15+$C$1)&gt;DH$4,DH$4&gt;=$C$1),$G15,0))*IF($A15="Residential",'General Inputs'!T$15,'General Inputs'!T$19)</f>
        <v>0</v>
      </c>
      <c r="DI15" s="214">
        <f>IF(AND(($E15+$C$1)&gt;DI$4,DI$4&gt;=$C$1),$H15,IF(AND(($D15+$C$1)&gt;DI$4,DI$4&gt;=$C$1),$G15,0))*IF($A15="Residential",'General Inputs'!U$15,'General Inputs'!U$19)</f>
        <v>0</v>
      </c>
      <c r="DJ15" s="214">
        <f>IF(AND(($E15+$C$1)&gt;DJ$4,DJ$4&gt;=$C$1),$H15,IF(AND(($D15+$C$1)&gt;DJ$4,DJ$4&gt;=$C$1),$G15,0))*IF($A15="Residential",'General Inputs'!V$15,'General Inputs'!V$19)</f>
        <v>0</v>
      </c>
      <c r="DK15" s="214">
        <f>IF(AND(($E15+$C$1)&gt;DK$4,DK$4&gt;=$C$1),$H15,IF(AND(($D15+$C$1)&gt;DK$4,DK$4&gt;=$C$1),$G15,0))*IF($A15="Residential",'General Inputs'!W$15,'General Inputs'!W$19)</f>
        <v>0</v>
      </c>
      <c r="DM15" s="214">
        <f t="shared" si="41"/>
        <v>0</v>
      </c>
      <c r="DN15" s="214">
        <f t="shared" si="27"/>
        <v>9300</v>
      </c>
      <c r="DO15" s="214">
        <f t="shared" si="27"/>
        <v>0</v>
      </c>
      <c r="DP15" s="214">
        <f t="shared" si="27"/>
        <v>0</v>
      </c>
      <c r="DQ15" s="214">
        <f t="shared" si="27"/>
        <v>0</v>
      </c>
      <c r="DR15" s="214">
        <f t="shared" si="27"/>
        <v>0</v>
      </c>
      <c r="DS15" s="214">
        <f t="shared" si="27"/>
        <v>0</v>
      </c>
      <c r="DT15" s="214">
        <f t="shared" si="27"/>
        <v>0</v>
      </c>
      <c r="DU15" s="214">
        <f t="shared" si="27"/>
        <v>0</v>
      </c>
      <c r="DV15" s="214">
        <f t="shared" si="27"/>
        <v>0</v>
      </c>
      <c r="DW15" s="214">
        <f t="shared" si="27"/>
        <v>0</v>
      </c>
      <c r="DZ15" s="650"/>
      <c r="FI15" s="195"/>
      <c r="FJ15" s="195"/>
      <c r="FK15" s="195"/>
      <c r="FL15" s="195"/>
      <c r="FM15" s="195"/>
      <c r="FN15" s="195"/>
      <c r="FO15" s="195"/>
    </row>
    <row r="16" spans="1:171">
      <c r="A16" s="441" t="s">
        <v>12</v>
      </c>
      <c r="B16" s="426" t="str">
        <f>'Portfolio Inputs'!A15</f>
        <v>High Efficiency HVAC</v>
      </c>
      <c r="C16" s="356">
        <f>IF($C$1=2014,'Portfolio Inputs'!$C15,IF($C$1=2015,'Portfolio Inputs'!$D15,'Portfolio Inputs'!$E15))</f>
        <v>316</v>
      </c>
      <c r="D16" s="503"/>
      <c r="E16" s="503"/>
      <c r="G16" s="513">
        <f>SUM(G17:G23)</f>
        <v>410467.86809840717</v>
      </c>
      <c r="H16" s="513">
        <f>SUM(H17:H23)</f>
        <v>156395.24804555607</v>
      </c>
      <c r="I16" s="509">
        <f>SUM(I17:I23)</f>
        <v>120.06015697191179</v>
      </c>
      <c r="J16" s="509">
        <f>SUM(J17:J23)</f>
        <v>60.359367211026012</v>
      </c>
      <c r="L16" s="453"/>
      <c r="M16" s="453"/>
      <c r="N16" s="453">
        <f>IF($C$1=2014,'Portfolio Inputs'!$W15,IF($C$1=2015,'Portfolio Inputs'!$X15,'Portfolio Inputs'!$Y15))</f>
        <v>84625</v>
      </c>
      <c r="O16" s="453">
        <f>IF($C$1=2014,'Portfolio Inputs'!$AA15,IF($C$1=2015,'Portfolio Inputs'!$AB15,'Portfolio Inputs'!$AC15))</f>
        <v>0</v>
      </c>
      <c r="Q16" s="442">
        <f t="shared" si="0"/>
        <v>1.2215399311734292</v>
      </c>
      <c r="R16" s="443">
        <f t="shared" si="1"/>
        <v>2.5996476727092008</v>
      </c>
      <c r="S16" s="443">
        <f t="shared" si="2"/>
        <v>1.5046677296686499</v>
      </c>
      <c r="T16" s="443">
        <f t="shared" si="3"/>
        <v>4.1536361380937121</v>
      </c>
      <c r="U16" s="443">
        <f>IF(AE16&gt;0,(AD16+AB16)/AE16,"n/a")</f>
        <v>3.4666473733470227</v>
      </c>
      <c r="V16" s="522">
        <f>IF((AA16+AC16+AD16)&gt;0,Y16/(AA16+AC16+AD16),"n/a")</f>
        <v>0.29408929683813084</v>
      </c>
      <c r="W16" s="522">
        <f>IF((AB16+AC16+AD16)&gt;0,Y16/(AB16+AC16+AD16),"n/a")</f>
        <v>0.35236924890749455</v>
      </c>
      <c r="Y16" s="444">
        <f t="shared" si="4"/>
        <v>202127.14471059915</v>
      </c>
      <c r="Z16" s="444">
        <f t="shared" si="5"/>
        <v>46848.909345978544</v>
      </c>
      <c r="AA16" s="444">
        <f t="shared" si="6"/>
        <v>609546.79555641045</v>
      </c>
      <c r="AB16" s="444">
        <f t="shared" si="7"/>
        <v>495871.36512400548</v>
      </c>
      <c r="AC16" s="445">
        <f t="shared" si="20"/>
        <v>0</v>
      </c>
      <c r="AD16" s="445">
        <f t="shared" si="21"/>
        <v>77751.745681734654</v>
      </c>
      <c r="AE16" s="526">
        <f t="shared" si="8"/>
        <v>165469.12593879175</v>
      </c>
      <c r="AG16" s="446">
        <f t="shared" ref="AG16:CR16" si="42">SUM(AG17:AG23)</f>
        <v>0</v>
      </c>
      <c r="AH16" s="446">
        <f t="shared" si="42"/>
        <v>23611.104643819548</v>
      </c>
      <c r="AI16" s="446">
        <f t="shared" si="42"/>
        <v>23965.271213476841</v>
      </c>
      <c r="AJ16" s="446">
        <f t="shared" si="42"/>
        <v>24324.750281678989</v>
      </c>
      <c r="AK16" s="446">
        <f t="shared" si="42"/>
        <v>24689.621535904167</v>
      </c>
      <c r="AL16" s="446">
        <f t="shared" si="42"/>
        <v>25059.965858942734</v>
      </c>
      <c r="AM16" s="446">
        <f t="shared" si="42"/>
        <v>25435.865346826871</v>
      </c>
      <c r="AN16" s="446">
        <f t="shared" si="42"/>
        <v>23996.47701754083</v>
      </c>
      <c r="AO16" s="446">
        <f t="shared" si="42"/>
        <v>24356.424172803941</v>
      </c>
      <c r="AP16" s="446">
        <f t="shared" si="42"/>
        <v>20740.457429026683</v>
      </c>
      <c r="AQ16" s="446">
        <f t="shared" si="42"/>
        <v>21051.564290462087</v>
      </c>
      <c r="AR16" s="446">
        <f t="shared" si="42"/>
        <v>21367.337754819015</v>
      </c>
      <c r="AS16" s="446">
        <f t="shared" si="42"/>
        <v>21687.847821141298</v>
      </c>
      <c r="AT16" s="446">
        <f t="shared" si="42"/>
        <v>22013.165538458416</v>
      </c>
      <c r="AU16" s="446">
        <f t="shared" si="42"/>
        <v>22343.363021535282</v>
      </c>
      <c r="AV16" s="446">
        <f t="shared" si="42"/>
        <v>22678.513466858316</v>
      </c>
      <c r="AW16" s="446">
        <f t="shared" si="42"/>
        <v>15128.972035886294</v>
      </c>
      <c r="AX16" s="446">
        <f t="shared" si="42"/>
        <v>15355.906616424589</v>
      </c>
      <c r="AY16" s="446">
        <f t="shared" si="42"/>
        <v>15586.245215670955</v>
      </c>
      <c r="AZ16" s="446">
        <f t="shared" si="42"/>
        <v>0</v>
      </c>
      <c r="BB16" s="446">
        <f t="shared" si="42"/>
        <v>0</v>
      </c>
      <c r="BC16" s="446">
        <f t="shared" si="42"/>
        <v>5964.5075749579546</v>
      </c>
      <c r="BD16" s="446">
        <f t="shared" si="42"/>
        <v>5964.5075749579546</v>
      </c>
      <c r="BE16" s="446">
        <f t="shared" si="42"/>
        <v>5964.5075749579546</v>
      </c>
      <c r="BF16" s="446">
        <f t="shared" si="42"/>
        <v>5964.5075749579546</v>
      </c>
      <c r="BG16" s="446">
        <f t="shared" si="42"/>
        <v>5964.5075749579546</v>
      </c>
      <c r="BH16" s="446">
        <f t="shared" si="42"/>
        <v>5964.5075749579546</v>
      </c>
      <c r="BI16" s="446">
        <f t="shared" si="42"/>
        <v>5517.8151574458416</v>
      </c>
      <c r="BJ16" s="446">
        <f t="shared" si="42"/>
        <v>5517.8151574458416</v>
      </c>
      <c r="BK16" s="446">
        <f t="shared" si="42"/>
        <v>4679.3336963218417</v>
      </c>
      <c r="BL16" s="446">
        <f t="shared" si="42"/>
        <v>4679.3336963218417</v>
      </c>
      <c r="BM16" s="446">
        <f t="shared" si="42"/>
        <v>4679.3336963218417</v>
      </c>
      <c r="BN16" s="446">
        <f t="shared" si="42"/>
        <v>4679.3336963218417</v>
      </c>
      <c r="BO16" s="446">
        <f t="shared" si="42"/>
        <v>4679.3336963218417</v>
      </c>
      <c r="BP16" s="446">
        <f t="shared" si="42"/>
        <v>4679.3336963218417</v>
      </c>
      <c r="BQ16" s="446">
        <f t="shared" si="42"/>
        <v>4679.3336963218417</v>
      </c>
      <c r="BR16" s="446">
        <f t="shared" si="42"/>
        <v>2932.6186799320221</v>
      </c>
      <c r="BS16" s="446">
        <f t="shared" si="42"/>
        <v>2932.6186799320221</v>
      </c>
      <c r="BT16" s="446">
        <f t="shared" si="42"/>
        <v>2932.6186799320221</v>
      </c>
      <c r="BU16" s="446">
        <f t="shared" si="42"/>
        <v>0</v>
      </c>
      <c r="BW16" s="446">
        <f t="shared" si="42"/>
        <v>0</v>
      </c>
      <c r="BX16" s="446">
        <f t="shared" si="42"/>
        <v>71283.094039777512</v>
      </c>
      <c r="BY16" s="446">
        <f t="shared" si="42"/>
        <v>72352.340450374148</v>
      </c>
      <c r="BZ16" s="446">
        <f t="shared" si="42"/>
        <v>73437.625557129766</v>
      </c>
      <c r="CA16" s="446">
        <f t="shared" si="42"/>
        <v>74539.189940486685</v>
      </c>
      <c r="CB16" s="446">
        <f t="shared" si="42"/>
        <v>75657.277789593994</v>
      </c>
      <c r="CC16" s="446">
        <f t="shared" si="42"/>
        <v>76792.136956437884</v>
      </c>
      <c r="CD16" s="446">
        <f t="shared" si="42"/>
        <v>72106.654929176613</v>
      </c>
      <c r="CE16" s="446">
        <f t="shared" si="42"/>
        <v>73188.254753114248</v>
      </c>
      <c r="CF16" s="446">
        <f t="shared" si="42"/>
        <v>62997.643219668695</v>
      </c>
      <c r="CG16" s="446">
        <f t="shared" si="42"/>
        <v>63942.607867963721</v>
      </c>
      <c r="CH16" s="446">
        <f t="shared" si="42"/>
        <v>64901.746985983176</v>
      </c>
      <c r="CI16" s="446">
        <f t="shared" si="42"/>
        <v>65875.273190772903</v>
      </c>
      <c r="CJ16" s="446">
        <f t="shared" si="42"/>
        <v>66863.40228863449</v>
      </c>
      <c r="CK16" s="446">
        <f t="shared" si="42"/>
        <v>67866.353322963987</v>
      </c>
      <c r="CL16" s="446">
        <f t="shared" si="42"/>
        <v>68884.348622808466</v>
      </c>
      <c r="CM16" s="446">
        <f t="shared" si="42"/>
        <v>43818.567716224716</v>
      </c>
      <c r="CN16" s="446">
        <f t="shared" si="42"/>
        <v>44475.846231968077</v>
      </c>
      <c r="CO16" s="446">
        <f t="shared" si="42"/>
        <v>45142.983925447596</v>
      </c>
      <c r="CP16" s="446">
        <f t="shared" si="42"/>
        <v>0</v>
      </c>
      <c r="CR16" s="446">
        <f t="shared" si="42"/>
        <v>0</v>
      </c>
      <c r="CS16" s="446">
        <f t="shared" ref="CS16:DW16" si="43">SUM(CS17:CS23)</f>
        <v>57989.387212677299</v>
      </c>
      <c r="CT16" s="446">
        <f t="shared" si="43"/>
        <v>58859.228020867457</v>
      </c>
      <c r="CU16" s="446">
        <f t="shared" si="43"/>
        <v>59742.116441180449</v>
      </c>
      <c r="CV16" s="446">
        <f t="shared" si="43"/>
        <v>60638.248187798163</v>
      </c>
      <c r="CW16" s="446">
        <f t="shared" si="43"/>
        <v>61547.821910615123</v>
      </c>
      <c r="CX16" s="446">
        <f t="shared" si="43"/>
        <v>62471.039239274352</v>
      </c>
      <c r="CY16" s="446">
        <f t="shared" si="43"/>
        <v>58659.360815140913</v>
      </c>
      <c r="CZ16" s="446">
        <f t="shared" si="43"/>
        <v>59539.251227368019</v>
      </c>
      <c r="DA16" s="446">
        <f t="shared" si="43"/>
        <v>51249.104368462205</v>
      </c>
      <c r="DB16" s="446">
        <f t="shared" si="43"/>
        <v>52017.840933989122</v>
      </c>
      <c r="DC16" s="446">
        <f t="shared" si="43"/>
        <v>52798.108547998956</v>
      </c>
      <c r="DD16" s="446">
        <f t="shared" si="43"/>
        <v>53590.080176218937</v>
      </c>
      <c r="DE16" s="446">
        <f t="shared" si="43"/>
        <v>54393.931378862224</v>
      </c>
      <c r="DF16" s="446">
        <f t="shared" si="43"/>
        <v>55209.840349545142</v>
      </c>
      <c r="DG16" s="446">
        <f t="shared" si="43"/>
        <v>56037.987954788317</v>
      </c>
      <c r="DH16" s="446">
        <f t="shared" si="43"/>
        <v>35646.767647082444</v>
      </c>
      <c r="DI16" s="446">
        <f t="shared" si="43"/>
        <v>36181.469161788678</v>
      </c>
      <c r="DJ16" s="446">
        <f t="shared" si="43"/>
        <v>36724.191199215507</v>
      </c>
      <c r="DK16" s="446">
        <f t="shared" si="43"/>
        <v>0</v>
      </c>
      <c r="DM16" s="446">
        <f t="shared" si="43"/>
        <v>0</v>
      </c>
      <c r="DN16" s="446">
        <f t="shared" si="43"/>
        <v>216427.7844831729</v>
      </c>
      <c r="DO16" s="446">
        <f t="shared" si="43"/>
        <v>0</v>
      </c>
      <c r="DP16" s="446">
        <f t="shared" si="43"/>
        <v>0</v>
      </c>
      <c r="DQ16" s="446">
        <f t="shared" si="43"/>
        <v>0</v>
      </c>
      <c r="DR16" s="446">
        <f t="shared" si="43"/>
        <v>0</v>
      </c>
      <c r="DS16" s="446">
        <f t="shared" si="43"/>
        <v>0</v>
      </c>
      <c r="DT16" s="446">
        <f t="shared" si="43"/>
        <v>-14256</v>
      </c>
      <c r="DU16" s="446">
        <f t="shared" si="43"/>
        <v>0</v>
      </c>
      <c r="DV16" s="446">
        <f t="shared" si="43"/>
        <v>-54658.547274505807</v>
      </c>
      <c r="DW16" s="446">
        <f t="shared" si="43"/>
        <v>0</v>
      </c>
      <c r="DZ16" s="650"/>
      <c r="FO16" s="195"/>
    </row>
    <row r="17" spans="1:171">
      <c r="A17" s="342" t="s">
        <v>12</v>
      </c>
      <c r="B17" s="427" t="str">
        <f>'Portfolio Inputs'!A16</f>
        <v>Heat Pump SEER 15</v>
      </c>
      <c r="C17" s="217">
        <f>IF($C$1=2014,'Portfolio Inputs'!$C16,IF($C$1=2015,'Portfolio Inputs'!$D16,'Portfolio Inputs'!$E16))</f>
        <v>125</v>
      </c>
      <c r="D17" s="504">
        <f>VLOOKUP(B17,Sources!$B$4:$J$104,2,FALSE)</f>
        <v>18</v>
      </c>
      <c r="E17" s="504">
        <f>VLOOKUP(B17,Sources!$B$4:$J$104,3,FALSE)</f>
        <v>0</v>
      </c>
      <c r="G17" s="504">
        <f>IF($C$1=2014,'Portfolio Inputs'!$G16,IF($C$1=2015,'Portfolio Inputs'!$H16,'Portfolio Inputs'!$I16))*EnergyLineLoss</f>
        <v>62663.593779463139</v>
      </c>
      <c r="H17" s="504">
        <f>VLOOKUP($B17,Sources!$B$4:$K$104,6,FALSE)*C17*EnergyLineLoss</f>
        <v>0</v>
      </c>
      <c r="I17" s="504">
        <f>IF($C$1=2014,'Portfolio Inputs'!$K16,IF($C$1=2015,'Portfolio Inputs'!$L16,'Portfolio Inputs'!$M16))*PeakLineLoss</f>
        <v>65.584669936089796</v>
      </c>
      <c r="J17" s="510">
        <f>VLOOKUP($B17,Sources!$B$4:$K$104,8,FALSE)*C17*PeakLineLoss</f>
        <v>0</v>
      </c>
      <c r="L17" s="606">
        <f>IF($C$1=2014,'Portfolio Inputs'!$O16,IF($C$1=2015,'Portfolio Inputs'!$P16,'Portfolio Inputs'!$Q16))</f>
        <v>293.80824805778059</v>
      </c>
      <c r="M17" s="518">
        <f>VLOOKUP($B17,Sources!$B$4:$K$104,10,FALSE)</f>
        <v>0</v>
      </c>
      <c r="N17" s="419">
        <f>IF($C$1=2014,'Portfolio Inputs'!$W16,IF($C$1=2015,'Portfolio Inputs'!$X16,'Portfolio Inputs'!$Y16))</f>
        <v>28125</v>
      </c>
      <c r="O17" s="419"/>
      <c r="Q17" s="438">
        <f t="shared" si="0"/>
        <v>1.0193771605729962</v>
      </c>
      <c r="R17" s="439">
        <f t="shared" si="1"/>
        <v>1.3311174118136309</v>
      </c>
      <c r="S17" s="439">
        <f t="shared" si="2"/>
        <v>1.2067342917493367</v>
      </c>
      <c r="T17" s="439">
        <f t="shared" si="3"/>
        <v>3.2319318917997899</v>
      </c>
      <c r="U17" s="439">
        <f t="shared" ref="U17:U20" si="44">IF(AE17&gt;0,(AD17+AB17)/AE17,"n/a")</f>
        <v>2.7720197563934681</v>
      </c>
      <c r="V17" s="439">
        <f t="shared" ref="V17:V20" si="45">IF((AA17+AC17+AD17)&gt;0,Y17/(AA17+AC17+AD17),"n/a")</f>
        <v>0.31540799580566908</v>
      </c>
      <c r="W17" s="439">
        <f t="shared" ref="W17:W20" si="46">IF((AB17+AC17+AD17)&gt;0,Y17/(AB17+AC17+AD17),"n/a")</f>
        <v>0.36773805750188998</v>
      </c>
      <c r="Y17" s="215">
        <f t="shared" si="4"/>
        <v>34396.983836143299</v>
      </c>
      <c r="Z17" s="215">
        <f t="shared" si="5"/>
        <v>6322.0174650923818</v>
      </c>
      <c r="AA17" s="215">
        <f t="shared" si="6"/>
        <v>83214.839095434203</v>
      </c>
      <c r="AB17" s="215">
        <f t="shared" si="7"/>
        <v>67695.960608177222</v>
      </c>
      <c r="AC17" s="216">
        <f t="shared" si="20"/>
        <v>0</v>
      </c>
      <c r="AD17" s="216">
        <f t="shared" si="21"/>
        <v>25840.683572216098</v>
      </c>
      <c r="AE17" s="215">
        <f t="shared" si="8"/>
        <v>33743.137639859036</v>
      </c>
      <c r="AG17" s="214">
        <f>IF(AND(($E17+$C$1)&gt;AG$4,AG$4&gt;=$C$1),'General Inputs'!D$9*$H17,IF(AND(($D17+$C$1)&gt;AG$4,AG$4&gt;=$C$1),'General Inputs'!D$9*$G17,0))+IF(AND(($E17+$C$1)&gt;AG$4,AG$4&gt;=$C$1),'General Inputs'!D$10*$J17,IF(AND(($D17+$C$1)&gt;AG$4,AG$4&gt;=$C$1),'General Inputs'!D$10*$I17,0))</f>
        <v>0</v>
      </c>
      <c r="AH17" s="214">
        <f>IF(AND(($E17+$C$1)&gt;AH$4,AH$4&gt;=$C$1),'General Inputs'!E$9*$H17,IF(AND(($D17+$C$1)&gt;AH$4,AH$4&gt;=$C$1),'General Inputs'!E$9*$G17,0))+IF(AND(($E17+$C$1)&gt;AH$4,AH$4&gt;=$C$1),'General Inputs'!E$10*$J17,IF(AND(($D17+$C$1)&gt;AH$4,AH$4&gt;=$C$1),'General Inputs'!E$10*$I17,0))</f>
        <v>3529.0001887489866</v>
      </c>
      <c r="AI17" s="214">
        <f>IF(AND(($E17+$C$1)&gt;AI$4,AI$4&gt;=$C$1),'General Inputs'!F$9*$H17,IF(AND(($D17+$C$1)&gt;AI$4,AI$4&gt;=$C$1),'General Inputs'!F$9*$G17,0))+IF(AND(($E17+$C$1)&gt;AI$4,AI$4&gt;=$C$1),'General Inputs'!F$10*$J17,IF(AND(($D17+$C$1)&gt;AI$4,AI$4&gt;=$C$1),'General Inputs'!F$10*$I17,0))</f>
        <v>3581.9351915802208</v>
      </c>
      <c r="AJ17" s="214">
        <f>IF(AND(($E17+$C$1)&gt;AJ$4,AJ$4&gt;=$C$1),'General Inputs'!G$9*$H17,IF(AND(($D17+$C$1)&gt;AJ$4,AJ$4&gt;=$C$1),'General Inputs'!G$9*$G17,0))+IF(AND(($E17+$C$1)&gt;AJ$4,AJ$4&gt;=$C$1),'General Inputs'!G$10*$J17,IF(AND(($D17+$C$1)&gt;AJ$4,AJ$4&gt;=$C$1),'General Inputs'!G$10*$I17,0))</f>
        <v>3635.6642194539236</v>
      </c>
      <c r="AK17" s="214">
        <f>IF(AND(($E17+$C$1)&gt;AK$4,AK$4&gt;=$C$1),'General Inputs'!H$9*$H17,IF(AND(($D17+$C$1)&gt;AK$4,AK$4&gt;=$C$1),'General Inputs'!H$9*$G17,0))+IF(AND(($E17+$C$1)&gt;AK$4,AK$4&gt;=$C$1),'General Inputs'!H$10*$J17,IF(AND(($D17+$C$1)&gt;AK$4,AK$4&gt;=$C$1),'General Inputs'!H$10*$I17,0))</f>
        <v>3690.1991827457323</v>
      </c>
      <c r="AL17" s="214">
        <f>IF(AND(($E17+$C$1)&gt;AL$4,AL$4&gt;=$C$1),'General Inputs'!I$9*$H17,IF(AND(($D17+$C$1)&gt;AL$4,AL$4&gt;=$C$1),'General Inputs'!I$9*$G17,0))+IF(AND(($E17+$C$1)&gt;AL$4,AL$4&gt;=$C$1),'General Inputs'!I$10*$J17,IF(AND(($D17+$C$1)&gt;AL$4,AL$4&gt;=$C$1),'General Inputs'!I$10*$I17,0))</f>
        <v>3745.5521704869179</v>
      </c>
      <c r="AM17" s="214">
        <f>IF(AND(($E17+$C$1)&gt;AM$4,AM$4&gt;=$C$1),'General Inputs'!J$9*$H17,IF(AND(($D17+$C$1)&gt;AM$4,AM$4&gt;=$C$1),'General Inputs'!J$9*$G17,0))+IF(AND(($E17+$C$1)&gt;AM$4,AM$4&gt;=$C$1),'General Inputs'!J$10*$J17,IF(AND(($D17+$C$1)&gt;AM$4,AM$4&gt;=$C$1),'General Inputs'!J$10*$I17,0))</f>
        <v>3801.7354530442208</v>
      </c>
      <c r="AN17" s="214">
        <f>IF(AND(($E17+$C$1)&gt;AN$4,AN$4&gt;=$C$1),'General Inputs'!K$9*$H17,IF(AND(($D17+$C$1)&gt;AN$4,AN$4&gt;=$C$1),'General Inputs'!K$9*$G17,0))+IF(AND(($E17+$C$1)&gt;AN$4,AN$4&gt;=$C$1),'General Inputs'!K$10*$J17,IF(AND(($D17+$C$1)&gt;AN$4,AN$4&gt;=$C$1),'General Inputs'!K$10*$I17,0))</f>
        <v>3858.7614848398835</v>
      </c>
      <c r="AO17" s="214">
        <f>IF(AND(($E17+$C$1)&gt;AO$4,AO$4&gt;=$C$1),'General Inputs'!L$9*$H17,IF(AND(($D17+$C$1)&gt;AO$4,AO$4&gt;=$C$1),'General Inputs'!L$9*$G17,0))+IF(AND(($E17+$C$1)&gt;AO$4,AO$4&gt;=$C$1),'General Inputs'!L$10*$J17,IF(AND(($D17+$C$1)&gt;AO$4,AO$4&gt;=$C$1),'General Inputs'!L$10*$I17,0))</f>
        <v>3916.6429071124817</v>
      </c>
      <c r="AP17" s="214">
        <f>IF(AND(($E17+$C$1)&gt;AP$4,AP$4&gt;=$C$1),'General Inputs'!M$9*$H17,IF(AND(($D17+$C$1)&gt;AP$4,AP$4&gt;=$C$1),'General Inputs'!M$9*$G17,0))+IF(AND(($E17+$C$1)&gt;AP$4,AP$4&gt;=$C$1),'General Inputs'!M$10*$J17,IF(AND(($D17+$C$1)&gt;AP$4,AP$4&gt;=$C$1),'General Inputs'!M$10*$I17,0))</f>
        <v>3975.3925507191684</v>
      </c>
      <c r="AQ17" s="214">
        <f>IF(AND(($E17+$C$1)&gt;AQ$4,AQ$4&gt;=$C$1),'General Inputs'!N$9*$H17,IF(AND(($D17+$C$1)&gt;AQ$4,AQ$4&gt;=$C$1),'General Inputs'!N$9*$G17,0))+IF(AND(($E17+$C$1)&gt;AQ$4,AQ$4&gt;=$C$1),'General Inputs'!N$10*$J17,IF(AND(($D17+$C$1)&gt;AQ$4,AQ$4&gt;=$C$1),'General Inputs'!N$10*$I17,0))</f>
        <v>4035.0234389799557</v>
      </c>
      <c r="AR17" s="214">
        <f>IF(AND(($E17+$C$1)&gt;AR$4,AR$4&gt;=$C$1),'General Inputs'!O$9*$H17,IF(AND(($D17+$C$1)&gt;AR$4,AR$4&gt;=$C$1),'General Inputs'!O$9*$G17,0))+IF(AND(($E17+$C$1)&gt;AR$4,AR$4&gt;=$C$1),'General Inputs'!O$10*$J17,IF(AND(($D17+$C$1)&gt;AR$4,AR$4&gt;=$C$1),'General Inputs'!O$10*$I17,0))</f>
        <v>4095.5487905646542</v>
      </c>
      <c r="AS17" s="214">
        <f>IF(AND(($E17+$C$1)&gt;AS$4,AS$4&gt;=$C$1),'General Inputs'!P$9*$H17,IF(AND(($D17+$C$1)&gt;AS$4,AS$4&gt;=$C$1),'General Inputs'!P$9*$G17,0))+IF(AND(($E17+$C$1)&gt;AS$4,AS$4&gt;=$C$1),'General Inputs'!P$10*$J17,IF(AND(($D17+$C$1)&gt;AS$4,AS$4&gt;=$C$1),'General Inputs'!P$10*$I17,0))</f>
        <v>4156.9820224231244</v>
      </c>
      <c r="AT17" s="214">
        <f>IF(AND(($E17+$C$1)&gt;AT$4,AT$4&gt;=$C$1),'General Inputs'!Q$9*$H17,IF(AND(($D17+$C$1)&gt;AT$4,AT$4&gt;=$C$1),'General Inputs'!Q$9*$G17,0))+IF(AND(($E17+$C$1)&gt;AT$4,AT$4&gt;=$C$1),'General Inputs'!Q$10*$J17,IF(AND(($D17+$C$1)&gt;AT$4,AT$4&gt;=$C$1),'General Inputs'!Q$10*$I17,0))</f>
        <v>4219.3367527594701</v>
      </c>
      <c r="AU17" s="214">
        <f>IF(AND(($E17+$C$1)&gt;AU$4,AU$4&gt;=$C$1),'General Inputs'!R$9*$H17,IF(AND(($D17+$C$1)&gt;AU$4,AU$4&gt;=$C$1),'General Inputs'!R$9*$G17,0))+IF(AND(($E17+$C$1)&gt;AU$4,AU$4&gt;=$C$1),'General Inputs'!R$10*$J17,IF(AND(($D17+$C$1)&gt;AU$4,AU$4&gt;=$C$1),'General Inputs'!R$10*$I17,0))</f>
        <v>4282.6268040508621</v>
      </c>
      <c r="AV17" s="214">
        <f>IF(AND(($E17+$C$1)&gt;AV$4,AV$4&gt;=$C$1),'General Inputs'!S$9*$H17,IF(AND(($D17+$C$1)&gt;AV$4,AV$4&gt;=$C$1),'General Inputs'!S$9*$G17,0))+IF(AND(($E17+$C$1)&gt;AV$4,AV$4&gt;=$C$1),'General Inputs'!S$10*$J17,IF(AND(($D17+$C$1)&gt;AV$4,AV$4&gt;=$C$1),'General Inputs'!S$10*$I17,0))</f>
        <v>4346.8662061116247</v>
      </c>
      <c r="AW17" s="214">
        <f>IF(AND(($E17+$C$1)&gt;AW$4,AW$4&gt;=$C$1),'General Inputs'!T$9*$H17,IF(AND(($D17+$C$1)&gt;AW$4,AW$4&gt;=$C$1),'General Inputs'!T$9*$G17,0))+IF(AND(($E17+$C$1)&gt;AW$4,AW$4&gt;=$C$1),'General Inputs'!T$10*$J17,IF(AND(($D17+$C$1)&gt;AW$4,AW$4&gt;=$C$1),'General Inputs'!T$10*$I17,0))</f>
        <v>4412.0691992032989</v>
      </c>
      <c r="AX17" s="214">
        <f>IF(AND(($E17+$C$1)&gt;AX$4,AX$4&gt;=$C$1),'General Inputs'!U$9*$H17,IF(AND(($D17+$C$1)&gt;AX$4,AX$4&gt;=$C$1),'General Inputs'!U$9*$G17,0))+IF(AND(($E17+$C$1)&gt;AX$4,AX$4&gt;=$C$1),'General Inputs'!U$10*$J17,IF(AND(($D17+$C$1)&gt;AX$4,AX$4&gt;=$C$1),'General Inputs'!U$10*$I17,0))</f>
        <v>4478.2502371913479</v>
      </c>
      <c r="AY17" s="214">
        <f>IF(AND(($E17+$C$1)&gt;AY$4,AY$4&gt;=$C$1),'General Inputs'!V$9*$H17,IF(AND(($D17+$C$1)&gt;AY$4,AY$4&gt;=$C$1),'General Inputs'!V$9*$G17,0))+IF(AND(($E17+$C$1)&gt;AY$4,AY$4&gt;=$C$1),'General Inputs'!V$10*$J17,IF(AND(($D17+$C$1)&gt;AY$4,AY$4&gt;=$C$1),'General Inputs'!V$10*$I17,0))</f>
        <v>4545.4239907492174</v>
      </c>
      <c r="AZ17" s="214">
        <f>IF(AND(($E17+$C$1)&gt;AZ$4,AZ$4&gt;=$C$1),'General Inputs'!W$9*$H17,IF(AND(($D17+$C$1)&gt;AZ$4,AZ$4&gt;=$C$1),'General Inputs'!W$9*$G17,0))+IF(AND(($E17+$C$1)&gt;AZ$4,AZ$4&gt;=$C$1),'General Inputs'!W$10*$J17,IF(AND(($D17+$C$1)&gt;AZ$4,AZ$4&gt;=$C$1),'General Inputs'!W$10*$I17,0))</f>
        <v>0</v>
      </c>
      <c r="BB17" s="214">
        <f>IF(AND(($E17+$C$1)&gt;BB$4,BB$4&gt;=$C$1),'General Inputs'!D$11*$H17,IF(AND(($D17+$C$1)&gt;BB$4,BB$4&gt;=$C$1),'General Inputs'!D$11*$G17,0))</f>
        <v>0</v>
      </c>
      <c r="BC17" s="214">
        <f>IF(AND(($E17+$C$1)&gt;BC$4,BC$4&gt;=$C$1),'General Inputs'!E$11*$H17,IF(AND(($D17+$C$1)&gt;BC$4,BC$4&gt;=$C$1),'General Inputs'!E$11*$G17,0))</f>
        <v>714.36496908587981</v>
      </c>
      <c r="BD17" s="214">
        <f>IF(AND(($E17+$C$1)&gt;BD$4,BD$4&gt;=$C$1),'General Inputs'!F$11*$H17,IF(AND(($D17+$C$1)&gt;BD$4,BD$4&gt;=$C$1),'General Inputs'!F$11*$G17,0))</f>
        <v>714.36496908587981</v>
      </c>
      <c r="BE17" s="214">
        <f>IF(AND(($E17+$C$1)&gt;BE$4,BE$4&gt;=$C$1),'General Inputs'!G$11*$H17,IF(AND(($D17+$C$1)&gt;BE$4,BE$4&gt;=$C$1),'General Inputs'!G$11*$G17,0))</f>
        <v>714.36496908587981</v>
      </c>
      <c r="BF17" s="214">
        <f>IF(AND(($E17+$C$1)&gt;BF$4,BF$4&gt;=$C$1),'General Inputs'!H$11*$H17,IF(AND(($D17+$C$1)&gt;BF$4,BF$4&gt;=$C$1),'General Inputs'!H$11*$G17,0))</f>
        <v>714.36496908587981</v>
      </c>
      <c r="BG17" s="214">
        <f>IF(AND(($E17+$C$1)&gt;BG$4,BG$4&gt;=$C$1),'General Inputs'!I$11*$H17,IF(AND(($D17+$C$1)&gt;BG$4,BG$4&gt;=$C$1),'General Inputs'!I$11*$G17,0))</f>
        <v>714.36496908587981</v>
      </c>
      <c r="BH17" s="214">
        <f>IF(AND(($E17+$C$1)&gt;BH$4,BH$4&gt;=$C$1),'General Inputs'!J$11*$H17,IF(AND(($D17+$C$1)&gt;BH$4,BH$4&gt;=$C$1),'General Inputs'!J$11*$G17,0))</f>
        <v>714.36496908587981</v>
      </c>
      <c r="BI17" s="214">
        <f>IF(AND(($E17+$C$1)&gt;BI$4,BI$4&gt;=$C$1),'General Inputs'!K$11*$H17,IF(AND(($D17+$C$1)&gt;BI$4,BI$4&gt;=$C$1),'General Inputs'!K$11*$G17,0))</f>
        <v>714.36496908587981</v>
      </c>
      <c r="BJ17" s="214">
        <f>IF(AND(($E17+$C$1)&gt;BJ$4,BJ$4&gt;=$C$1),'General Inputs'!L$11*$H17,IF(AND(($D17+$C$1)&gt;BJ$4,BJ$4&gt;=$C$1),'General Inputs'!L$11*$G17,0))</f>
        <v>714.36496908587981</v>
      </c>
      <c r="BK17" s="214">
        <f>IF(AND(($E17+$C$1)&gt;BK$4,BK$4&gt;=$C$1),'General Inputs'!M$11*$H17,IF(AND(($D17+$C$1)&gt;BK$4,BK$4&gt;=$C$1),'General Inputs'!M$11*$G17,0))</f>
        <v>714.36496908587981</v>
      </c>
      <c r="BL17" s="214">
        <f>IF(AND(($E17+$C$1)&gt;BL$4,BL$4&gt;=$C$1),'General Inputs'!N$11*$H17,IF(AND(($D17+$C$1)&gt;BL$4,BL$4&gt;=$C$1),'General Inputs'!N$11*$G17,0))</f>
        <v>714.36496908587981</v>
      </c>
      <c r="BM17" s="214">
        <f>IF(AND(($E17+$C$1)&gt;BM$4,BM$4&gt;=$C$1),'General Inputs'!O$11*$H17,IF(AND(($D17+$C$1)&gt;BM$4,BM$4&gt;=$C$1),'General Inputs'!O$11*$G17,0))</f>
        <v>714.36496908587981</v>
      </c>
      <c r="BN17" s="214">
        <f>IF(AND(($E17+$C$1)&gt;BN$4,BN$4&gt;=$C$1),'General Inputs'!P$11*$H17,IF(AND(($D17+$C$1)&gt;BN$4,BN$4&gt;=$C$1),'General Inputs'!P$11*$G17,0))</f>
        <v>714.36496908587981</v>
      </c>
      <c r="BO17" s="214">
        <f>IF(AND(($E17+$C$1)&gt;BO$4,BO$4&gt;=$C$1),'General Inputs'!Q$11*$H17,IF(AND(($D17+$C$1)&gt;BO$4,BO$4&gt;=$C$1),'General Inputs'!Q$11*$G17,0))</f>
        <v>714.36496908587981</v>
      </c>
      <c r="BP17" s="214">
        <f>IF(AND(($E17+$C$1)&gt;BP$4,BP$4&gt;=$C$1),'General Inputs'!R$11*$H17,IF(AND(($D17+$C$1)&gt;BP$4,BP$4&gt;=$C$1),'General Inputs'!R$11*$G17,0))</f>
        <v>714.36496908587981</v>
      </c>
      <c r="BQ17" s="214">
        <f>IF(AND(($E17+$C$1)&gt;BQ$4,BQ$4&gt;=$C$1),'General Inputs'!S$11*$H17,IF(AND(($D17+$C$1)&gt;BQ$4,BQ$4&gt;=$C$1),'General Inputs'!S$11*$G17,0))</f>
        <v>714.36496908587981</v>
      </c>
      <c r="BR17" s="214">
        <f>IF(AND(($E17+$C$1)&gt;BR$4,BR$4&gt;=$C$1),'General Inputs'!T$11*$H17,IF(AND(($D17+$C$1)&gt;BR$4,BR$4&gt;=$C$1),'General Inputs'!T$11*$G17,0))</f>
        <v>714.36496908587981</v>
      </c>
      <c r="BS17" s="214">
        <f>IF(AND(($E17+$C$1)&gt;BS$4,BS$4&gt;=$C$1),'General Inputs'!U$11*$H17,IF(AND(($D17+$C$1)&gt;BS$4,BS$4&gt;=$C$1),'General Inputs'!U$11*$G17,0))</f>
        <v>714.36496908587981</v>
      </c>
      <c r="BT17" s="214">
        <f>IF(AND(($E17+$C$1)&gt;BT$4,BT$4&gt;=$C$1),'General Inputs'!V$11*$H17,IF(AND(($D17+$C$1)&gt;BT$4,BT$4&gt;=$C$1),'General Inputs'!V$11*$G17,0))</f>
        <v>714.36496908587981</v>
      </c>
      <c r="BU17" s="214">
        <f>IF(AND(($E17+$C$1)&gt;BU$4,BU$4&gt;=$C$1),'General Inputs'!W$11*$H17,IF(AND(($D17+$C$1)&gt;BU$4,BU$4&gt;=$C$1),'General Inputs'!W$11*$G17,0))</f>
        <v>0</v>
      </c>
      <c r="BW17" s="214">
        <f>IF(AND(($E17+$C$1)&gt;BW$4,BW$4&gt;=$C$1),$H17,IF(AND(($D17+$C$1)&gt;BW$4,BW$4&gt;=$C$1),$G17,0))*IF($A17="Residential",'General Inputs'!D$14,'General Inputs'!D$19)</f>
        <v>0</v>
      </c>
      <c r="BX17" s="214">
        <f>IF(AND(($E17+$C$1)&gt;BX$4,BX$4&gt;=$C$1),$H17,IF(AND(($D17+$C$1)&gt;BX$4,BX$4&gt;=$C$1),$G17,0))*IF($A17="Residential",'General Inputs'!E$14,'General Inputs'!E$19)</f>
        <v>8537.5271353277603</v>
      </c>
      <c r="BY17" s="214">
        <f>IF(AND(($E17+$C$1)&gt;BY$4,BY$4&gt;=$C$1),$H17,IF(AND(($D17+$C$1)&gt;BY$4,BY$4&gt;=$C$1),$G17,0))*IF($A17="Residential",'General Inputs'!F$14,'General Inputs'!F$19)</f>
        <v>8665.5900423576768</v>
      </c>
      <c r="BZ17" s="214">
        <f>IF(AND(($E17+$C$1)&gt;BZ$4,BZ$4&gt;=$C$1),$H17,IF(AND(($D17+$C$1)&gt;BZ$4,BZ$4&gt;=$C$1),$G17,0))*IF($A17="Residential",'General Inputs'!G$14,'General Inputs'!G$19)</f>
        <v>8795.5738929930394</v>
      </c>
      <c r="CA17" s="214">
        <f>IF(AND(($E17+$C$1)&gt;CA$4,CA$4&gt;=$C$1),$H17,IF(AND(($D17+$C$1)&gt;CA$4,CA$4&gt;=$C$1),$G17,0))*IF($A17="Residential",'General Inputs'!H$14,'General Inputs'!H$19)</f>
        <v>8927.5075013879341</v>
      </c>
      <c r="CB17" s="214">
        <f>IF(AND(($E17+$C$1)&gt;CB$4,CB$4&gt;=$C$1),$H17,IF(AND(($D17+$C$1)&gt;CB$4,CB$4&gt;=$C$1),$G17,0))*IF($A17="Residential",'General Inputs'!I$14,'General Inputs'!I$19)</f>
        <v>9061.4201139087527</v>
      </c>
      <c r="CC17" s="214">
        <f>IF(AND(($E17+$C$1)&gt;CC$4,CC$4&gt;=$C$1),$H17,IF(AND(($D17+$C$1)&gt;CC$4,CC$4&gt;=$C$1),$G17,0))*IF($A17="Residential",'General Inputs'!J$14,'General Inputs'!J$19)</f>
        <v>9197.3414156173822</v>
      </c>
      <c r="CD17" s="214">
        <f>IF(AND(($E17+$C$1)&gt;CD$4,CD$4&gt;=$C$1),$H17,IF(AND(($D17+$C$1)&gt;CD$4,CD$4&gt;=$C$1),$G17,0))*IF($A17="Residential",'General Inputs'!K$14,'General Inputs'!K$19)</f>
        <v>9335.3015368516426</v>
      </c>
      <c r="CE17" s="214">
        <f>IF(AND(($E17+$C$1)&gt;CE$4,CE$4&gt;=$C$1),$H17,IF(AND(($D17+$C$1)&gt;CE$4,CE$4&gt;=$C$1),$G17,0))*IF($A17="Residential",'General Inputs'!L$14,'General Inputs'!L$19)</f>
        <v>9475.3310599044144</v>
      </c>
      <c r="CF17" s="214">
        <f>IF(AND(($E17+$C$1)&gt;CF$4,CF$4&gt;=$C$1),$H17,IF(AND(($D17+$C$1)&gt;CF$4,CF$4&gt;=$C$1),$G17,0))*IF($A17="Residential",'General Inputs'!M$14,'General Inputs'!M$19)</f>
        <v>9617.4610258029807</v>
      </c>
      <c r="CG17" s="214">
        <f>IF(AND(($E17+$C$1)&gt;CG$4,CG$4&gt;=$C$1),$H17,IF(AND(($D17+$C$1)&gt;CG$4,CG$4&gt;=$C$1),$G17,0))*IF($A17="Residential",'General Inputs'!N$14,'General Inputs'!N$19)</f>
        <v>9761.7229411900244</v>
      </c>
      <c r="CH17" s="214">
        <f>IF(AND(($E17+$C$1)&gt;CH$4,CH$4&gt;=$C$1),$H17,IF(AND(($D17+$C$1)&gt;CH$4,CH$4&gt;=$C$1),$G17,0))*IF($A17="Residential",'General Inputs'!O$14,'General Inputs'!O$19)</f>
        <v>9908.1487853078743</v>
      </c>
      <c r="CI17" s="214">
        <f>IF(AND(($E17+$C$1)&gt;CI$4,CI$4&gt;=$C$1),$H17,IF(AND(($D17+$C$1)&gt;CI$4,CI$4&gt;=$C$1),$G17,0))*IF($A17="Residential",'General Inputs'!P$14,'General Inputs'!P$19)</f>
        <v>10056.771017087491</v>
      </c>
      <c r="CJ17" s="214">
        <f>IF(AND(($E17+$C$1)&gt;CJ$4,CJ$4&gt;=$C$1),$H17,IF(AND(($D17+$C$1)&gt;CJ$4,CJ$4&gt;=$C$1),$G17,0))*IF($A17="Residential",'General Inputs'!Q$14,'General Inputs'!Q$19)</f>
        <v>10207.622582343802</v>
      </c>
      <c r="CK17" s="214">
        <f>IF(AND(($E17+$C$1)&gt;CK$4,CK$4&gt;=$C$1),$H17,IF(AND(($D17+$C$1)&gt;CK$4,CK$4&gt;=$C$1),$G17,0))*IF($A17="Residential",'General Inputs'!R$14,'General Inputs'!R$19)</f>
        <v>10360.736921078957</v>
      </c>
      <c r="CL17" s="214">
        <f>IF(AND(($E17+$C$1)&gt;CL$4,CL$4&gt;=$C$1),$H17,IF(AND(($D17+$C$1)&gt;CL$4,CL$4&gt;=$C$1),$G17,0))*IF($A17="Residential",'General Inputs'!S$14,'General Inputs'!S$19)</f>
        <v>10516.147974895141</v>
      </c>
      <c r="CM17" s="214">
        <f>IF(AND(($E17+$C$1)&gt;CM$4,CM$4&gt;=$C$1),$H17,IF(AND(($D17+$C$1)&gt;CM$4,CM$4&gt;=$C$1),$G17,0))*IF($A17="Residential",'General Inputs'!T$14,'General Inputs'!T$19)</f>
        <v>10673.890194518566</v>
      </c>
      <c r="CN17" s="214">
        <f>IF(AND(($E17+$C$1)&gt;CN$4,CN$4&gt;=$C$1),$H17,IF(AND(($D17+$C$1)&gt;CN$4,CN$4&gt;=$C$1),$G17,0))*IF($A17="Residential",'General Inputs'!U$14,'General Inputs'!U$19)</f>
        <v>10833.998547436344</v>
      </c>
      <c r="CO17" s="214">
        <f>IF(AND(($E17+$C$1)&gt;CO$4,CO$4&gt;=$C$1),$H17,IF(AND(($D17+$C$1)&gt;CO$4,CO$4&gt;=$C$1),$G17,0))*IF($A17="Residential",'General Inputs'!V$14,'General Inputs'!V$19)</f>
        <v>10996.508525647889</v>
      </c>
      <c r="CP17" s="214">
        <f>IF(AND(($E17+$C$1)&gt;CP$4,CP$4&gt;=$C$1),$H17,IF(AND(($D17+$C$1)&gt;CP$4,CP$4&gt;=$C$1),$G17,0))*IF($A17="Residential",'General Inputs'!W$14,'General Inputs'!W$19)</f>
        <v>0</v>
      </c>
      <c r="CR17" s="214">
        <f>IF(AND(($E17+$C$1)&gt;CR$4,CR$4&gt;=$C$1),$H17,IF(AND(($D17+$C$1)&gt;CR$4,CR$4&gt;=$C$1),$G17,0))*IF($A17="Residential",'General Inputs'!D$15,'General Inputs'!D$19)</f>
        <v>0</v>
      </c>
      <c r="CS17" s="214">
        <f>IF(AND(($E17+$C$1)&gt;CS$4,CS$4&gt;=$C$1),$H17,IF(AND(($D17+$C$1)&gt;CS$4,CS$4&gt;=$C$1),$G17,0))*IF($A17="Residential",'General Inputs'!E$15,'General Inputs'!E$19)</f>
        <v>6945.349013792702</v>
      </c>
      <c r="CT17" s="214">
        <f>IF(AND(($E17+$C$1)&gt;CT$4,CT$4&gt;=$C$1),$H17,IF(AND(($D17+$C$1)&gt;CT$4,CT$4&gt;=$C$1),$G17,0))*IF($A17="Residential",'General Inputs'!F$15,'General Inputs'!F$19)</f>
        <v>7049.5292489995918</v>
      </c>
      <c r="CU17" s="214">
        <f>IF(AND(($E17+$C$1)&gt;CU$4,CU$4&gt;=$C$1),$H17,IF(AND(($D17+$C$1)&gt;CU$4,CU$4&gt;=$C$1),$G17,0))*IF($A17="Residential",'General Inputs'!G$15,'General Inputs'!G$19)</f>
        <v>7155.2721877345848</v>
      </c>
      <c r="CV17" s="214">
        <f>IF(AND(($E17+$C$1)&gt;CV$4,CV$4&gt;=$C$1),$H17,IF(AND(($D17+$C$1)&gt;CV$4,CV$4&gt;=$C$1),$G17,0))*IF($A17="Residential",'General Inputs'!H$15,'General Inputs'!H$19)</f>
        <v>7262.6012705506027</v>
      </c>
      <c r="CW17" s="214">
        <f>IF(AND(($E17+$C$1)&gt;CW$4,CW$4&gt;=$C$1),$H17,IF(AND(($D17+$C$1)&gt;CW$4,CW$4&gt;=$C$1),$G17,0))*IF($A17="Residential",'General Inputs'!I$15,'General Inputs'!I$19)</f>
        <v>7371.5402896088608</v>
      </c>
      <c r="CX17" s="214">
        <f>IF(AND(($E17+$C$1)&gt;CX$4,CX$4&gt;=$C$1),$H17,IF(AND(($D17+$C$1)&gt;CX$4,CX$4&gt;=$C$1),$G17,0))*IF($A17="Residential",'General Inputs'!J$15,'General Inputs'!J$19)</f>
        <v>7482.1133939529927</v>
      </c>
      <c r="CY17" s="214">
        <f>IF(AND(($E17+$C$1)&gt;CY$4,CY$4&gt;=$C$1),$H17,IF(AND(($D17+$C$1)&gt;CY$4,CY$4&gt;=$C$1),$G17,0))*IF($A17="Residential",'General Inputs'!K$15,'General Inputs'!K$19)</f>
        <v>7594.3450948622867</v>
      </c>
      <c r="CZ17" s="214">
        <f>IF(AND(($E17+$C$1)&gt;CZ$4,CZ$4&gt;=$C$1),$H17,IF(AND(($D17+$C$1)&gt;CZ$4,CZ$4&gt;=$C$1),$G17,0))*IF($A17="Residential",'General Inputs'!L$15,'General Inputs'!L$19)</f>
        <v>7708.2602712852204</v>
      </c>
      <c r="DA17" s="214">
        <f>IF(AND(($E17+$C$1)&gt;DA$4,DA$4&gt;=$C$1),$H17,IF(AND(($D17+$C$1)&gt;DA$4,DA$4&gt;=$C$1),$G17,0))*IF($A17="Residential",'General Inputs'!M$15,'General Inputs'!M$19)</f>
        <v>7823.8841753544984</v>
      </c>
      <c r="DB17" s="214">
        <f>IF(AND(($E17+$C$1)&gt;DB$4,DB$4&gt;=$C$1),$H17,IF(AND(($D17+$C$1)&gt;DB$4,DB$4&gt;=$C$1),$G17,0))*IF($A17="Residential",'General Inputs'!N$15,'General Inputs'!N$19)</f>
        <v>7941.2424379848144</v>
      </c>
      <c r="DC17" s="214">
        <f>IF(AND(($E17+$C$1)&gt;DC$4,DC$4&gt;=$C$1),$H17,IF(AND(($D17+$C$1)&gt;DC$4,DC$4&gt;=$C$1),$G17,0))*IF($A17="Residential",'General Inputs'!O$15,'General Inputs'!O$19)</f>
        <v>8060.3610745545857</v>
      </c>
      <c r="DD17" s="214">
        <f>IF(AND(($E17+$C$1)&gt;DD$4,DD$4&gt;=$C$1),$H17,IF(AND(($D17+$C$1)&gt;DD$4,DD$4&gt;=$C$1),$G17,0))*IF($A17="Residential",'General Inputs'!P$15,'General Inputs'!P$19)</f>
        <v>8181.2664906729042</v>
      </c>
      <c r="DE17" s="214">
        <f>IF(AND(($E17+$C$1)&gt;DE$4,DE$4&gt;=$C$1),$H17,IF(AND(($D17+$C$1)&gt;DE$4,DE$4&gt;=$C$1),$G17,0))*IF($A17="Residential",'General Inputs'!Q$15,'General Inputs'!Q$19)</f>
        <v>8303.9854880329967</v>
      </c>
      <c r="DF17" s="214">
        <f>IF(AND(($E17+$C$1)&gt;DF$4,DF$4&gt;=$C$1),$H17,IF(AND(($D17+$C$1)&gt;DF$4,DF$4&gt;=$C$1),$G17,0))*IF($A17="Residential",'General Inputs'!R$15,'General Inputs'!R$19)</f>
        <v>8428.545270353492</v>
      </c>
      <c r="DG17" s="214">
        <f>IF(AND(($E17+$C$1)&gt;DG$4,DG$4&gt;=$C$1),$H17,IF(AND(($D17+$C$1)&gt;DG$4,DG$4&gt;=$C$1),$G17,0))*IF($A17="Residential",'General Inputs'!S$15,'General Inputs'!S$19)</f>
        <v>8554.9734494087916</v>
      </c>
      <c r="DH17" s="214">
        <f>IF(AND(($E17+$C$1)&gt;DH$4,DH$4&gt;=$C$1),$H17,IF(AND(($D17+$C$1)&gt;DH$4,DH$4&gt;=$C$1),$G17,0))*IF($A17="Residential",'General Inputs'!T$15,'General Inputs'!T$19)</f>
        <v>8683.2980511499227</v>
      </c>
      <c r="DI17" s="214">
        <f>IF(AND(($E17+$C$1)&gt;DI$4,DI$4&gt;=$C$1),$H17,IF(AND(($D17+$C$1)&gt;DI$4,DI$4&gt;=$C$1),$G17,0))*IF($A17="Residential",'General Inputs'!U$15,'General Inputs'!U$19)</f>
        <v>8813.5475219171713</v>
      </c>
      <c r="DJ17" s="214">
        <f>IF(AND(($E17+$C$1)&gt;DJ$4,DJ$4&gt;=$C$1),$H17,IF(AND(($D17+$C$1)&gt;DJ$4,DJ$4&gt;=$C$1),$G17,0))*IF($A17="Residential",'General Inputs'!V$15,'General Inputs'!V$19)</f>
        <v>8945.7507347459268</v>
      </c>
      <c r="DK17" s="214">
        <f>IF(AND(($E17+$C$1)&gt;DK$4,DK$4&gt;=$C$1),$H17,IF(AND(($D17+$C$1)&gt;DK$4,DK$4&gt;=$C$1),$G17,0))*IF($A17="Residential",'General Inputs'!W$15,'General Inputs'!W$19)</f>
        <v>0</v>
      </c>
      <c r="DM17" s="214">
        <f t="shared" ref="DM17:DW32" si="47">IF($C$1=DM$4,$L17*$C17,IF($E17+$C$1=DM$4,-$M17*$C17,0))</f>
        <v>0</v>
      </c>
      <c r="DN17" s="214">
        <f t="shared" si="27"/>
        <v>36726.031007222577</v>
      </c>
      <c r="DO17" s="214">
        <f t="shared" si="27"/>
        <v>0</v>
      </c>
      <c r="DP17" s="214">
        <f t="shared" si="27"/>
        <v>0</v>
      </c>
      <c r="DQ17" s="214">
        <f t="shared" si="27"/>
        <v>0</v>
      </c>
      <c r="DR17" s="214">
        <f t="shared" si="27"/>
        <v>0</v>
      </c>
      <c r="DS17" s="214">
        <f t="shared" si="27"/>
        <v>0</v>
      </c>
      <c r="DT17" s="214">
        <f t="shared" si="27"/>
        <v>0</v>
      </c>
      <c r="DU17" s="214">
        <f t="shared" si="27"/>
        <v>0</v>
      </c>
      <c r="DV17" s="214">
        <f t="shared" si="27"/>
        <v>0</v>
      </c>
      <c r="DW17" s="214">
        <f t="shared" si="27"/>
        <v>0</v>
      </c>
      <c r="DZ17" s="650"/>
      <c r="FI17" s="195"/>
      <c r="FJ17" s="195"/>
      <c r="FK17" s="195"/>
      <c r="FL17" s="195"/>
      <c r="FM17" s="195"/>
      <c r="FN17" s="195"/>
      <c r="FO17" s="195"/>
    </row>
    <row r="18" spans="1:171">
      <c r="A18" s="342" t="s">
        <v>12</v>
      </c>
      <c r="B18" s="427" t="str">
        <f>'Portfolio Inputs'!A17</f>
        <v>Early Retirement Heat Pump SEER 15</v>
      </c>
      <c r="C18" s="217">
        <f>IF($C$1=2014,'Portfolio Inputs'!$C17,IF($C$1=2015,'Portfolio Inputs'!$D17,'Portfolio Inputs'!$E17))</f>
        <v>25</v>
      </c>
      <c r="D18" s="504">
        <f>VLOOKUP(B18,Sources!$B$4:$J$104,2,FALSE)</f>
        <v>18</v>
      </c>
      <c r="E18" s="504">
        <f>VLOOKUP(B18,Sources!$B$4:$J$104,3,FALSE)</f>
        <v>8</v>
      </c>
      <c r="G18" s="504">
        <f>IF($C$1=2014,'Portfolio Inputs'!$G17,IF($C$1=2015,'Portfolio Inputs'!$H17,'Portfolio Inputs'!$I17))*EnergyLineLoss</f>
        <v>12532.718755892627</v>
      </c>
      <c r="H18" s="504">
        <f>VLOOKUP($B18,Sources!$B$4:$K$104,6,FALSE)*C18*EnergyLineLoss</f>
        <v>86083.724117647071</v>
      </c>
      <c r="I18" s="504">
        <f>IF($C$1=2014,'Portfolio Inputs'!$K17,IF($C$1=2015,'Portfolio Inputs'!$L17,'Portfolio Inputs'!$M17))*PeakLineLoss</f>
        <v>13.116933987217958</v>
      </c>
      <c r="J18" s="510">
        <f>VLOOKUP($B18,Sources!$B$4:$K$104,8,FALSE)*C18*PeakLineLoss</f>
        <v>50.100476317135559</v>
      </c>
      <c r="L18" s="606">
        <f>IF($C$1=2014,'Portfolio Inputs'!$O17,IF($C$1=2015,'Portfolio Inputs'!$P17,'Portfolio Inputs'!$Q17))</f>
        <v>2480.1501390380126</v>
      </c>
      <c r="M18" s="518">
        <f>VLOOKUP($B18,Sources!$B$4:$K$104,10,FALSE)</f>
        <v>2186.3418909802322</v>
      </c>
      <c r="N18" s="419">
        <f>IF($C$1=2014,'Portfolio Inputs'!$W17,IF($C$1=2015,'Portfolio Inputs'!$X17,'Portfolio Inputs'!$Y17))</f>
        <v>15000</v>
      </c>
      <c r="O18" s="419"/>
      <c r="Q18" s="438">
        <f t="shared" si="0"/>
        <v>0.87350950151758289</v>
      </c>
      <c r="R18" s="439">
        <f t="shared" si="1"/>
        <v>1.9944088092680545</v>
      </c>
      <c r="S18" s="439">
        <f t="shared" si="2"/>
        <v>1.06205799792804</v>
      </c>
      <c r="T18" s="439">
        <f t="shared" si="3"/>
        <v>2.823716959609325</v>
      </c>
      <c r="U18" s="439">
        <f t="shared" si="44"/>
        <v>2.3787966140774337</v>
      </c>
      <c r="V18" s="439">
        <f t="shared" si="45"/>
        <v>0.30934740061143989</v>
      </c>
      <c r="W18" s="439">
        <f t="shared" si="46"/>
        <v>0.36720646748370928</v>
      </c>
      <c r="Y18" s="215">
        <f t="shared" si="4"/>
        <v>27486.33970876591</v>
      </c>
      <c r="Z18" s="215">
        <f t="shared" si="5"/>
        <v>5932.9726979627276</v>
      </c>
      <c r="AA18" s="215">
        <f t="shared" si="6"/>
        <v>75070.963065745425</v>
      </c>
      <c r="AB18" s="215">
        <f t="shared" si="7"/>
        <v>61070.850028182875</v>
      </c>
      <c r="AC18" s="216">
        <f t="shared" si="20"/>
        <v>0</v>
      </c>
      <c r="AD18" s="216">
        <f t="shared" si="21"/>
        <v>13781.697905181918</v>
      </c>
      <c r="AE18" s="215">
        <f t="shared" si="8"/>
        <v>31466.56065104363</v>
      </c>
      <c r="AG18" s="214">
        <f>IF(AND(($E18+$C$1)&gt;AG$4,AG$4&gt;=$C$1),'General Inputs'!D$9*$H18,IF(AND(($D18+$C$1)&gt;AG$4,AG$4&gt;=$C$1),'General Inputs'!D$9*$G18,0))+IF(AND(($E18+$C$1)&gt;AG$4,AG$4&gt;=$C$1),'General Inputs'!D$10*$J18,IF(AND(($D18+$C$1)&gt;AG$4,AG$4&gt;=$C$1),'General Inputs'!D$10*$I18,0))</f>
        <v>0</v>
      </c>
      <c r="AH18" s="214">
        <f>IF(AND(($E18+$C$1)&gt;AH$4,AH$4&gt;=$C$1),'General Inputs'!E$9*$H18,IF(AND(($D18+$C$1)&gt;AH$4,AH$4&gt;=$C$1),'General Inputs'!E$9*$G18,0))+IF(AND(($E18+$C$1)&gt;AH$4,AH$4&gt;=$C$1),'General Inputs'!E$10*$J18,IF(AND(($D18+$C$1)&gt;AH$4,AH$4&gt;=$C$1),'General Inputs'!E$10*$I18,0))</f>
        <v>4240.0559696084993</v>
      </c>
      <c r="AI18" s="214">
        <f>IF(AND(($E18+$C$1)&gt;AI$4,AI$4&gt;=$C$1),'General Inputs'!F$9*$H18,IF(AND(($D18+$C$1)&gt;AI$4,AI$4&gt;=$C$1),'General Inputs'!F$9*$G18,0))+IF(AND(($E18+$C$1)&gt;AI$4,AI$4&gt;=$C$1),'General Inputs'!F$10*$J18,IF(AND(($D18+$C$1)&gt;AI$4,AI$4&gt;=$C$1),'General Inputs'!F$10*$I18,0))</f>
        <v>4303.656809152626</v>
      </c>
      <c r="AJ18" s="214">
        <f>IF(AND(($E18+$C$1)&gt;AJ$4,AJ$4&gt;=$C$1),'General Inputs'!G$9*$H18,IF(AND(($D18+$C$1)&gt;AJ$4,AJ$4&gt;=$C$1),'General Inputs'!G$9*$G18,0))+IF(AND(($E18+$C$1)&gt;AJ$4,AJ$4&gt;=$C$1),'General Inputs'!G$10*$J18,IF(AND(($D18+$C$1)&gt;AJ$4,AJ$4&gt;=$C$1),'General Inputs'!G$10*$I18,0))</f>
        <v>4368.2116612899154</v>
      </c>
      <c r="AK18" s="214">
        <f>IF(AND(($E18+$C$1)&gt;AK$4,AK$4&gt;=$C$1),'General Inputs'!H$9*$H18,IF(AND(($D18+$C$1)&gt;AK$4,AK$4&gt;=$C$1),'General Inputs'!H$9*$G18,0))+IF(AND(($E18+$C$1)&gt;AK$4,AK$4&gt;=$C$1),'General Inputs'!H$10*$J18,IF(AND(($D18+$C$1)&gt;AK$4,AK$4&gt;=$C$1),'General Inputs'!H$10*$I18,0))</f>
        <v>4433.7348362092634</v>
      </c>
      <c r="AL18" s="214">
        <f>IF(AND(($E18+$C$1)&gt;AL$4,AL$4&gt;=$C$1),'General Inputs'!I$9*$H18,IF(AND(($D18+$C$1)&gt;AL$4,AL$4&gt;=$C$1),'General Inputs'!I$9*$G18,0))+IF(AND(($E18+$C$1)&gt;AL$4,AL$4&gt;=$C$1),'General Inputs'!I$10*$J18,IF(AND(($D18+$C$1)&gt;AL$4,AL$4&gt;=$C$1),'General Inputs'!I$10*$I18,0))</f>
        <v>4500.2408587524023</v>
      </c>
      <c r="AM18" s="214">
        <f>IF(AND(($E18+$C$1)&gt;AM$4,AM$4&gt;=$C$1),'General Inputs'!J$9*$H18,IF(AND(($D18+$C$1)&gt;AM$4,AM$4&gt;=$C$1),'General Inputs'!J$9*$G18,0))+IF(AND(($E18+$C$1)&gt;AM$4,AM$4&gt;=$C$1),'General Inputs'!J$10*$J18,IF(AND(($D18+$C$1)&gt;AM$4,AM$4&gt;=$C$1),'General Inputs'!J$10*$I18,0))</f>
        <v>4567.7444716336877</v>
      </c>
      <c r="AN18" s="214">
        <f>IF(AND(($E18+$C$1)&gt;AN$4,AN$4&gt;=$C$1),'General Inputs'!K$9*$H18,IF(AND(($D18+$C$1)&gt;AN$4,AN$4&gt;=$C$1),'General Inputs'!K$9*$G18,0))+IF(AND(($E18+$C$1)&gt;AN$4,AN$4&gt;=$C$1),'General Inputs'!K$10*$J18,IF(AND(($D18+$C$1)&gt;AN$4,AN$4&gt;=$C$1),'General Inputs'!K$10*$I18,0))</f>
        <v>4636.2606387081914</v>
      </c>
      <c r="AO18" s="214">
        <f>IF(AND(($E18+$C$1)&gt;AO$4,AO$4&gt;=$C$1),'General Inputs'!L$9*$H18,IF(AND(($D18+$C$1)&gt;AO$4,AO$4&gt;=$C$1),'General Inputs'!L$9*$G18,0))+IF(AND(($E18+$C$1)&gt;AO$4,AO$4&gt;=$C$1),'General Inputs'!L$10*$J18,IF(AND(($D18+$C$1)&gt;AO$4,AO$4&gt;=$C$1),'General Inputs'!L$10*$I18,0))</f>
        <v>4705.8045482888137</v>
      </c>
      <c r="AP18" s="214">
        <f>IF(AND(($E18+$C$1)&gt;AP$4,AP$4&gt;=$C$1),'General Inputs'!M$9*$H18,IF(AND(($D18+$C$1)&gt;AP$4,AP$4&gt;=$C$1),'General Inputs'!M$9*$G18,0))+IF(AND(($E18+$C$1)&gt;AP$4,AP$4&gt;=$C$1),'General Inputs'!M$10*$J18,IF(AND(($D18+$C$1)&gt;AP$4,AP$4&gt;=$C$1),'General Inputs'!M$10*$I18,0))</f>
        <v>795.07851014383368</v>
      </c>
      <c r="AQ18" s="214">
        <f>IF(AND(($E18+$C$1)&gt;AQ$4,AQ$4&gt;=$C$1),'General Inputs'!N$9*$H18,IF(AND(($D18+$C$1)&gt;AQ$4,AQ$4&gt;=$C$1),'General Inputs'!N$9*$G18,0))+IF(AND(($E18+$C$1)&gt;AQ$4,AQ$4&gt;=$C$1),'General Inputs'!N$10*$J18,IF(AND(($D18+$C$1)&gt;AQ$4,AQ$4&gt;=$C$1),'General Inputs'!N$10*$I18,0))</f>
        <v>807.00468779599112</v>
      </c>
      <c r="AR18" s="214">
        <f>IF(AND(($E18+$C$1)&gt;AR$4,AR$4&gt;=$C$1),'General Inputs'!O$9*$H18,IF(AND(($D18+$C$1)&gt;AR$4,AR$4&gt;=$C$1),'General Inputs'!O$9*$G18,0))+IF(AND(($E18+$C$1)&gt;AR$4,AR$4&gt;=$C$1),'General Inputs'!O$10*$J18,IF(AND(($D18+$C$1)&gt;AR$4,AR$4&gt;=$C$1),'General Inputs'!O$10*$I18,0))</f>
        <v>819.10975811293076</v>
      </c>
      <c r="AS18" s="214">
        <f>IF(AND(($E18+$C$1)&gt;AS$4,AS$4&gt;=$C$1),'General Inputs'!P$9*$H18,IF(AND(($D18+$C$1)&gt;AS$4,AS$4&gt;=$C$1),'General Inputs'!P$9*$G18,0))+IF(AND(($E18+$C$1)&gt;AS$4,AS$4&gt;=$C$1),'General Inputs'!P$10*$J18,IF(AND(($D18+$C$1)&gt;AS$4,AS$4&gt;=$C$1),'General Inputs'!P$10*$I18,0))</f>
        <v>831.39640448462478</v>
      </c>
      <c r="AT18" s="214">
        <f>IF(AND(($E18+$C$1)&gt;AT$4,AT$4&gt;=$C$1),'General Inputs'!Q$9*$H18,IF(AND(($D18+$C$1)&gt;AT$4,AT$4&gt;=$C$1),'General Inputs'!Q$9*$G18,0))+IF(AND(($E18+$C$1)&gt;AT$4,AT$4&gt;=$C$1),'General Inputs'!Q$10*$J18,IF(AND(($D18+$C$1)&gt;AT$4,AT$4&gt;=$C$1),'General Inputs'!Q$10*$I18,0))</f>
        <v>843.86735055189411</v>
      </c>
      <c r="AU18" s="214">
        <f>IF(AND(($E18+$C$1)&gt;AU$4,AU$4&gt;=$C$1),'General Inputs'!R$9*$H18,IF(AND(($D18+$C$1)&gt;AU$4,AU$4&gt;=$C$1),'General Inputs'!R$9*$G18,0))+IF(AND(($E18+$C$1)&gt;AU$4,AU$4&gt;=$C$1),'General Inputs'!R$10*$J18,IF(AND(($D18+$C$1)&gt;AU$4,AU$4&gt;=$C$1),'General Inputs'!R$10*$I18,0))</f>
        <v>856.5253608101724</v>
      </c>
      <c r="AV18" s="214">
        <f>IF(AND(($E18+$C$1)&gt;AV$4,AV$4&gt;=$C$1),'General Inputs'!S$9*$H18,IF(AND(($D18+$C$1)&gt;AV$4,AV$4&gt;=$C$1),'General Inputs'!S$9*$G18,0))+IF(AND(($E18+$C$1)&gt;AV$4,AV$4&gt;=$C$1),'General Inputs'!S$10*$J18,IF(AND(($D18+$C$1)&gt;AV$4,AV$4&gt;=$C$1),'General Inputs'!S$10*$I18,0))</f>
        <v>869.37324122232496</v>
      </c>
      <c r="AW18" s="214">
        <f>IF(AND(($E18+$C$1)&gt;AW$4,AW$4&gt;=$C$1),'General Inputs'!T$9*$H18,IF(AND(($D18+$C$1)&gt;AW$4,AW$4&gt;=$C$1),'General Inputs'!T$9*$G18,0))+IF(AND(($E18+$C$1)&gt;AW$4,AW$4&gt;=$C$1),'General Inputs'!T$10*$J18,IF(AND(($D18+$C$1)&gt;AW$4,AW$4&gt;=$C$1),'General Inputs'!T$10*$I18,0))</f>
        <v>882.41383984065965</v>
      </c>
      <c r="AX18" s="214">
        <f>IF(AND(($E18+$C$1)&gt;AX$4,AX$4&gt;=$C$1),'General Inputs'!U$9*$H18,IF(AND(($D18+$C$1)&gt;AX$4,AX$4&gt;=$C$1),'General Inputs'!U$9*$G18,0))+IF(AND(($E18+$C$1)&gt;AX$4,AX$4&gt;=$C$1),'General Inputs'!U$10*$J18,IF(AND(($D18+$C$1)&gt;AX$4,AX$4&gt;=$C$1),'General Inputs'!U$10*$I18,0))</f>
        <v>895.65004743826955</v>
      </c>
      <c r="AY18" s="214">
        <f>IF(AND(($E18+$C$1)&gt;AY$4,AY$4&gt;=$C$1),'General Inputs'!V$9*$H18,IF(AND(($D18+$C$1)&gt;AY$4,AY$4&gt;=$C$1),'General Inputs'!V$9*$G18,0))+IF(AND(($E18+$C$1)&gt;AY$4,AY$4&gt;=$C$1),'General Inputs'!V$10*$J18,IF(AND(($D18+$C$1)&gt;AY$4,AY$4&gt;=$C$1),'General Inputs'!V$10*$I18,0))</f>
        <v>909.08479814984344</v>
      </c>
      <c r="AZ18" s="214">
        <f>IF(AND(($E18+$C$1)&gt;AZ$4,AZ$4&gt;=$C$1),'General Inputs'!W$9*$H18,IF(AND(($D18+$C$1)&gt;AZ$4,AZ$4&gt;=$C$1),'General Inputs'!W$9*$G18,0))+IF(AND(($E18+$C$1)&gt;AZ$4,AZ$4&gt;=$C$1),'General Inputs'!W$10*$J18,IF(AND(($D18+$C$1)&gt;AZ$4,AZ$4&gt;=$C$1),'General Inputs'!W$10*$I18,0))</f>
        <v>0</v>
      </c>
      <c r="BB18" s="214">
        <f>IF(AND(($E18+$C$1)&gt;BB$4,BB$4&gt;=$C$1),'General Inputs'!D$11*$H18,IF(AND(($D18+$C$1)&gt;BB$4,BB$4&gt;=$C$1),'General Inputs'!D$11*$G18,0))</f>
        <v>0</v>
      </c>
      <c r="BC18" s="214">
        <f>IF(AND(($E18+$C$1)&gt;BC$4,BC$4&gt;=$C$1),'General Inputs'!E$11*$H18,IF(AND(($D18+$C$1)&gt;BC$4,BC$4&gt;=$C$1),'General Inputs'!E$11*$G18,0))</f>
        <v>981.35445494117664</v>
      </c>
      <c r="BD18" s="214">
        <f>IF(AND(($E18+$C$1)&gt;BD$4,BD$4&gt;=$C$1),'General Inputs'!F$11*$H18,IF(AND(($D18+$C$1)&gt;BD$4,BD$4&gt;=$C$1),'General Inputs'!F$11*$G18,0))</f>
        <v>981.35445494117664</v>
      </c>
      <c r="BE18" s="214">
        <f>IF(AND(($E18+$C$1)&gt;BE$4,BE$4&gt;=$C$1),'General Inputs'!G$11*$H18,IF(AND(($D18+$C$1)&gt;BE$4,BE$4&gt;=$C$1),'General Inputs'!G$11*$G18,0))</f>
        <v>981.35445494117664</v>
      </c>
      <c r="BF18" s="214">
        <f>IF(AND(($E18+$C$1)&gt;BF$4,BF$4&gt;=$C$1),'General Inputs'!H$11*$H18,IF(AND(($D18+$C$1)&gt;BF$4,BF$4&gt;=$C$1),'General Inputs'!H$11*$G18,0))</f>
        <v>981.35445494117664</v>
      </c>
      <c r="BG18" s="214">
        <f>IF(AND(($E18+$C$1)&gt;BG$4,BG$4&gt;=$C$1),'General Inputs'!I$11*$H18,IF(AND(($D18+$C$1)&gt;BG$4,BG$4&gt;=$C$1),'General Inputs'!I$11*$G18,0))</f>
        <v>981.35445494117664</v>
      </c>
      <c r="BH18" s="214">
        <f>IF(AND(($E18+$C$1)&gt;BH$4,BH$4&gt;=$C$1),'General Inputs'!J$11*$H18,IF(AND(($D18+$C$1)&gt;BH$4,BH$4&gt;=$C$1),'General Inputs'!J$11*$G18,0))</f>
        <v>981.35445494117664</v>
      </c>
      <c r="BI18" s="214">
        <f>IF(AND(($E18+$C$1)&gt;BI$4,BI$4&gt;=$C$1),'General Inputs'!K$11*$H18,IF(AND(($D18+$C$1)&gt;BI$4,BI$4&gt;=$C$1),'General Inputs'!K$11*$G18,0))</f>
        <v>981.35445494117664</v>
      </c>
      <c r="BJ18" s="214">
        <f>IF(AND(($E18+$C$1)&gt;BJ$4,BJ$4&gt;=$C$1),'General Inputs'!L$11*$H18,IF(AND(($D18+$C$1)&gt;BJ$4,BJ$4&gt;=$C$1),'General Inputs'!L$11*$G18,0))</f>
        <v>981.35445494117664</v>
      </c>
      <c r="BK18" s="214">
        <f>IF(AND(($E18+$C$1)&gt;BK$4,BK$4&gt;=$C$1),'General Inputs'!M$11*$H18,IF(AND(($D18+$C$1)&gt;BK$4,BK$4&gt;=$C$1),'General Inputs'!M$11*$G18,0))</f>
        <v>142.87299381717597</v>
      </c>
      <c r="BL18" s="214">
        <f>IF(AND(($E18+$C$1)&gt;BL$4,BL$4&gt;=$C$1),'General Inputs'!N$11*$H18,IF(AND(($D18+$C$1)&gt;BL$4,BL$4&gt;=$C$1),'General Inputs'!N$11*$G18,0))</f>
        <v>142.87299381717597</v>
      </c>
      <c r="BM18" s="214">
        <f>IF(AND(($E18+$C$1)&gt;BM$4,BM$4&gt;=$C$1),'General Inputs'!O$11*$H18,IF(AND(($D18+$C$1)&gt;BM$4,BM$4&gt;=$C$1),'General Inputs'!O$11*$G18,0))</f>
        <v>142.87299381717597</v>
      </c>
      <c r="BN18" s="214">
        <f>IF(AND(($E18+$C$1)&gt;BN$4,BN$4&gt;=$C$1),'General Inputs'!P$11*$H18,IF(AND(($D18+$C$1)&gt;BN$4,BN$4&gt;=$C$1),'General Inputs'!P$11*$G18,0))</f>
        <v>142.87299381717597</v>
      </c>
      <c r="BO18" s="214">
        <f>IF(AND(($E18+$C$1)&gt;BO$4,BO$4&gt;=$C$1),'General Inputs'!Q$11*$H18,IF(AND(($D18+$C$1)&gt;BO$4,BO$4&gt;=$C$1),'General Inputs'!Q$11*$G18,0))</f>
        <v>142.87299381717597</v>
      </c>
      <c r="BP18" s="214">
        <f>IF(AND(($E18+$C$1)&gt;BP$4,BP$4&gt;=$C$1),'General Inputs'!R$11*$H18,IF(AND(($D18+$C$1)&gt;BP$4,BP$4&gt;=$C$1),'General Inputs'!R$11*$G18,0))</f>
        <v>142.87299381717597</v>
      </c>
      <c r="BQ18" s="214">
        <f>IF(AND(($E18+$C$1)&gt;BQ$4,BQ$4&gt;=$C$1),'General Inputs'!S$11*$H18,IF(AND(($D18+$C$1)&gt;BQ$4,BQ$4&gt;=$C$1),'General Inputs'!S$11*$G18,0))</f>
        <v>142.87299381717597</v>
      </c>
      <c r="BR18" s="214">
        <f>IF(AND(($E18+$C$1)&gt;BR$4,BR$4&gt;=$C$1),'General Inputs'!T$11*$H18,IF(AND(($D18+$C$1)&gt;BR$4,BR$4&gt;=$C$1),'General Inputs'!T$11*$G18,0))</f>
        <v>142.87299381717597</v>
      </c>
      <c r="BS18" s="214">
        <f>IF(AND(($E18+$C$1)&gt;BS$4,BS$4&gt;=$C$1),'General Inputs'!U$11*$H18,IF(AND(($D18+$C$1)&gt;BS$4,BS$4&gt;=$C$1),'General Inputs'!U$11*$G18,0))</f>
        <v>142.87299381717597</v>
      </c>
      <c r="BT18" s="214">
        <f>IF(AND(($E18+$C$1)&gt;BT$4,BT$4&gt;=$C$1),'General Inputs'!V$11*$H18,IF(AND(($D18+$C$1)&gt;BT$4,BT$4&gt;=$C$1),'General Inputs'!V$11*$G18,0))</f>
        <v>142.87299381717597</v>
      </c>
      <c r="BU18" s="214">
        <f>IF(AND(($E18+$C$1)&gt;BU$4,BU$4&gt;=$C$1),'General Inputs'!W$11*$H18,IF(AND(($D18+$C$1)&gt;BU$4,BU$4&gt;=$C$1),'General Inputs'!W$11*$G18,0))</f>
        <v>0</v>
      </c>
      <c r="BW18" s="214">
        <f>IF(AND(($E18+$C$1)&gt;BW$4,BW$4&gt;=$C$1),$H18,IF(AND(($D18+$C$1)&gt;BW$4,BW$4&gt;=$C$1),$G18,0))*IF($A18="Residential",'General Inputs'!D$14,'General Inputs'!D$19)</f>
        <v>0</v>
      </c>
      <c r="BX18" s="214">
        <f>IF(AND(($E18+$C$1)&gt;BX$4,BX$4&gt;=$C$1),$H18,IF(AND(($D18+$C$1)&gt;BX$4,BX$4&gt;=$C$1),$G18,0))*IF($A18="Residential",'General Inputs'!E$14,'General Inputs'!E$19)</f>
        <v>11728.37506177861</v>
      </c>
      <c r="BY18" s="214">
        <f>IF(AND(($E18+$C$1)&gt;BY$4,BY$4&gt;=$C$1),$H18,IF(AND(($D18+$C$1)&gt;BY$4,BY$4&gt;=$C$1),$G18,0))*IF($A18="Residential",'General Inputs'!F$14,'General Inputs'!F$19)</f>
        <v>11904.300687705287</v>
      </c>
      <c r="BZ18" s="214">
        <f>IF(AND(($E18+$C$1)&gt;BZ$4,BZ$4&gt;=$C$1),$H18,IF(AND(($D18+$C$1)&gt;BZ$4,BZ$4&gt;=$C$1),$G18,0))*IF($A18="Residential",'General Inputs'!G$14,'General Inputs'!G$19)</f>
        <v>12082.865198020863</v>
      </c>
      <c r="CA18" s="214">
        <f>IF(AND(($E18+$C$1)&gt;CA$4,CA$4&gt;=$C$1),$H18,IF(AND(($D18+$C$1)&gt;CA$4,CA$4&gt;=$C$1),$G18,0))*IF($A18="Residential",'General Inputs'!H$14,'General Inputs'!H$19)</f>
        <v>12264.108175991176</v>
      </c>
      <c r="CB18" s="214">
        <f>IF(AND(($E18+$C$1)&gt;CB$4,CB$4&gt;=$C$1),$H18,IF(AND(($D18+$C$1)&gt;CB$4,CB$4&gt;=$C$1),$G18,0))*IF($A18="Residential",'General Inputs'!I$14,'General Inputs'!I$19)</f>
        <v>12448.069798631042</v>
      </c>
      <c r="CC18" s="214">
        <f>IF(AND(($E18+$C$1)&gt;CC$4,CC$4&gt;=$C$1),$H18,IF(AND(($D18+$C$1)&gt;CC$4,CC$4&gt;=$C$1),$G18,0))*IF($A18="Residential",'General Inputs'!J$14,'General Inputs'!J$19)</f>
        <v>12634.790845610505</v>
      </c>
      <c r="CD18" s="214">
        <f>IF(AND(($E18+$C$1)&gt;CD$4,CD$4&gt;=$C$1),$H18,IF(AND(($D18+$C$1)&gt;CD$4,CD$4&gt;=$C$1),$G18,0))*IF($A18="Residential",'General Inputs'!K$14,'General Inputs'!K$19)</f>
        <v>12824.312708294661</v>
      </c>
      <c r="CE18" s="214">
        <f>IF(AND(($E18+$C$1)&gt;CE$4,CE$4&gt;=$C$1),$H18,IF(AND(($D18+$C$1)&gt;CE$4,CE$4&gt;=$C$1),$G18,0))*IF($A18="Residential",'General Inputs'!L$14,'General Inputs'!L$19)</f>
        <v>13016.677398919079</v>
      </c>
      <c r="CF18" s="214">
        <f>IF(AND(($E18+$C$1)&gt;CF$4,CF$4&gt;=$C$1),$H18,IF(AND(($D18+$C$1)&gt;CF$4,CF$4&gt;=$C$1),$G18,0))*IF($A18="Residential",'General Inputs'!M$14,'General Inputs'!M$19)</f>
        <v>1923.4922051605959</v>
      </c>
      <c r="CG18" s="214">
        <f>IF(AND(($E18+$C$1)&gt;CG$4,CG$4&gt;=$C$1),$H18,IF(AND(($D18+$C$1)&gt;CG$4,CG$4&gt;=$C$1),$G18,0))*IF($A18="Residential",'General Inputs'!N$14,'General Inputs'!N$19)</f>
        <v>1952.3445882380047</v>
      </c>
      <c r="CH18" s="214">
        <f>IF(AND(($E18+$C$1)&gt;CH$4,CH$4&gt;=$C$1),$H18,IF(AND(($D18+$C$1)&gt;CH$4,CH$4&gt;=$C$1),$G18,0))*IF($A18="Residential",'General Inputs'!O$14,'General Inputs'!O$19)</f>
        <v>1981.6297570615745</v>
      </c>
      <c r="CI18" s="214">
        <f>IF(AND(($E18+$C$1)&gt;CI$4,CI$4&gt;=$C$1),$H18,IF(AND(($D18+$C$1)&gt;CI$4,CI$4&gt;=$C$1),$G18,0))*IF($A18="Residential",'General Inputs'!P$14,'General Inputs'!P$19)</f>
        <v>2011.354203417498</v>
      </c>
      <c r="CJ18" s="214">
        <f>IF(AND(($E18+$C$1)&gt;CJ$4,CJ$4&gt;=$C$1),$H18,IF(AND(($D18+$C$1)&gt;CJ$4,CJ$4&gt;=$C$1),$G18,0))*IF($A18="Residential",'General Inputs'!Q$14,'General Inputs'!Q$19)</f>
        <v>2041.5245164687601</v>
      </c>
      <c r="CK18" s="214">
        <f>IF(AND(($E18+$C$1)&gt;CK$4,CK$4&gt;=$C$1),$H18,IF(AND(($D18+$C$1)&gt;CK$4,CK$4&gt;=$C$1),$G18,0))*IF($A18="Residential",'General Inputs'!R$14,'General Inputs'!R$19)</f>
        <v>2072.1473842157911</v>
      </c>
      <c r="CL18" s="214">
        <f>IF(AND(($E18+$C$1)&gt;CL$4,CL$4&gt;=$C$1),$H18,IF(AND(($D18+$C$1)&gt;CL$4,CL$4&gt;=$C$1),$G18,0))*IF($A18="Residential",'General Inputs'!S$14,'General Inputs'!S$19)</f>
        <v>2103.2295949790282</v>
      </c>
      <c r="CM18" s="214">
        <f>IF(AND(($E18+$C$1)&gt;CM$4,CM$4&gt;=$C$1),$H18,IF(AND(($D18+$C$1)&gt;CM$4,CM$4&gt;=$C$1),$G18,0))*IF($A18="Residential",'General Inputs'!T$14,'General Inputs'!T$19)</f>
        <v>2134.7780389037134</v>
      </c>
      <c r="CN18" s="214">
        <f>IF(AND(($E18+$C$1)&gt;CN$4,CN$4&gt;=$C$1),$H18,IF(AND(($D18+$C$1)&gt;CN$4,CN$4&gt;=$C$1),$G18,0))*IF($A18="Residential",'General Inputs'!U$14,'General Inputs'!U$19)</f>
        <v>2166.7997094872685</v>
      </c>
      <c r="CO18" s="214">
        <f>IF(AND(($E18+$C$1)&gt;CO$4,CO$4&gt;=$C$1),$H18,IF(AND(($D18+$C$1)&gt;CO$4,CO$4&gt;=$C$1),$G18,0))*IF($A18="Residential",'General Inputs'!V$14,'General Inputs'!V$19)</f>
        <v>2199.3017051295774</v>
      </c>
      <c r="CP18" s="214">
        <f>IF(AND(($E18+$C$1)&gt;CP$4,CP$4&gt;=$C$1),$H18,IF(AND(($D18+$C$1)&gt;CP$4,CP$4&gt;=$C$1),$G18,0))*IF($A18="Residential",'General Inputs'!W$14,'General Inputs'!W$19)</f>
        <v>0</v>
      </c>
      <c r="CR18" s="214">
        <f>IF(AND(($E18+$C$1)&gt;CR$4,CR$4&gt;=$C$1),$H18,IF(AND(($D18+$C$1)&gt;CR$4,CR$4&gt;=$C$1),$G18,0))*IF($A18="Residential",'General Inputs'!D$15,'General Inputs'!D$19)</f>
        <v>0</v>
      </c>
      <c r="CS18" s="214">
        <f>IF(AND(($E18+$C$1)&gt;CS$4,CS$4&gt;=$C$1),$H18,IF(AND(($D18+$C$1)&gt;CS$4,CS$4&gt;=$C$1),$G18,0))*IF($A18="Residential",'General Inputs'!E$15,'General Inputs'!E$19)</f>
        <v>9541.1302216127915</v>
      </c>
      <c r="CT18" s="214">
        <f>IF(AND(($E18+$C$1)&gt;CT$4,CT$4&gt;=$C$1),$H18,IF(AND(($D18+$C$1)&gt;CT$4,CT$4&gt;=$C$1),$G18,0))*IF($A18="Residential",'General Inputs'!F$15,'General Inputs'!F$19)</f>
        <v>9684.2471749369834</v>
      </c>
      <c r="CU18" s="214">
        <f>IF(AND(($E18+$C$1)&gt;CU$4,CU$4&gt;=$C$1),$H18,IF(AND(($D18+$C$1)&gt;CU$4,CU$4&gt;=$C$1),$G18,0))*IF($A18="Residential",'General Inputs'!G$15,'General Inputs'!G$19)</f>
        <v>9829.5108825610369</v>
      </c>
      <c r="CV18" s="214">
        <f>IF(AND(($E18+$C$1)&gt;CV$4,CV$4&gt;=$C$1),$H18,IF(AND(($D18+$C$1)&gt;CV$4,CV$4&gt;=$C$1),$G18,0))*IF($A18="Residential",'General Inputs'!H$15,'General Inputs'!H$19)</f>
        <v>9976.9535457994516</v>
      </c>
      <c r="CW18" s="214">
        <f>IF(AND(($E18+$C$1)&gt;CW$4,CW$4&gt;=$C$1),$H18,IF(AND(($D18+$C$1)&gt;CW$4,CW$4&gt;=$C$1),$G18,0))*IF($A18="Residential",'General Inputs'!I$15,'General Inputs'!I$19)</f>
        <v>10126.607848986441</v>
      </c>
      <c r="CX18" s="214">
        <f>IF(AND(($E18+$C$1)&gt;CX$4,CX$4&gt;=$C$1),$H18,IF(AND(($D18+$C$1)&gt;CX$4,CX$4&gt;=$C$1),$G18,0))*IF($A18="Residential",'General Inputs'!J$15,'General Inputs'!J$19)</f>
        <v>10278.506966721237</v>
      </c>
      <c r="CY18" s="214">
        <f>IF(AND(($E18+$C$1)&gt;CY$4,CY$4&gt;=$C$1),$H18,IF(AND(($D18+$C$1)&gt;CY$4,CY$4&gt;=$C$1),$G18,0))*IF($A18="Residential",'General Inputs'!K$15,'General Inputs'!K$19)</f>
        <v>10432.684571222055</v>
      </c>
      <c r="CZ18" s="214">
        <f>IF(AND(($E18+$C$1)&gt;CZ$4,CZ$4&gt;=$C$1),$H18,IF(AND(($D18+$C$1)&gt;CZ$4,CZ$4&gt;=$C$1),$G18,0))*IF($A18="Residential",'General Inputs'!L$15,'General Inputs'!L$19)</f>
        <v>10589.174839790383</v>
      </c>
      <c r="DA18" s="214">
        <f>IF(AND(($E18+$C$1)&gt;DA$4,DA$4&gt;=$C$1),$H18,IF(AND(($D18+$C$1)&gt;DA$4,DA$4&gt;=$C$1),$G18,0))*IF($A18="Residential",'General Inputs'!M$15,'General Inputs'!M$19)</f>
        <v>1564.7768350708996</v>
      </c>
      <c r="DB18" s="214">
        <f>IF(AND(($E18+$C$1)&gt;DB$4,DB$4&gt;=$C$1),$H18,IF(AND(($D18+$C$1)&gt;DB$4,DB$4&gt;=$C$1),$G18,0))*IF($A18="Residential",'General Inputs'!N$15,'General Inputs'!N$19)</f>
        <v>1588.2484875969628</v>
      </c>
      <c r="DC18" s="214">
        <f>IF(AND(($E18+$C$1)&gt;DC$4,DC$4&gt;=$C$1),$H18,IF(AND(($D18+$C$1)&gt;DC$4,DC$4&gt;=$C$1),$G18,0))*IF($A18="Residential",'General Inputs'!O$15,'General Inputs'!O$19)</f>
        <v>1612.072214910917</v>
      </c>
      <c r="DD18" s="214">
        <f>IF(AND(($E18+$C$1)&gt;DD$4,DD$4&gt;=$C$1),$H18,IF(AND(($D18+$C$1)&gt;DD$4,DD$4&gt;=$C$1),$G18,0))*IF($A18="Residential",'General Inputs'!P$15,'General Inputs'!P$19)</f>
        <v>1636.2532981345807</v>
      </c>
      <c r="DE18" s="214">
        <f>IF(AND(($E18+$C$1)&gt;DE$4,DE$4&gt;=$C$1),$H18,IF(AND(($D18+$C$1)&gt;DE$4,DE$4&gt;=$C$1),$G18,0))*IF($A18="Residential",'General Inputs'!Q$15,'General Inputs'!Q$19)</f>
        <v>1660.7970976065994</v>
      </c>
      <c r="DF18" s="214">
        <f>IF(AND(($E18+$C$1)&gt;DF$4,DF$4&gt;=$C$1),$H18,IF(AND(($D18+$C$1)&gt;DF$4,DF$4&gt;=$C$1),$G18,0))*IF($A18="Residential",'General Inputs'!R$15,'General Inputs'!R$19)</f>
        <v>1685.7090540706981</v>
      </c>
      <c r="DG18" s="214">
        <f>IF(AND(($E18+$C$1)&gt;DG$4,DG$4&gt;=$C$1),$H18,IF(AND(($D18+$C$1)&gt;DG$4,DG$4&gt;=$C$1),$G18,0))*IF($A18="Residential",'General Inputs'!S$15,'General Inputs'!S$19)</f>
        <v>1710.9946898817584</v>
      </c>
      <c r="DH18" s="214">
        <f>IF(AND(($E18+$C$1)&gt;DH$4,DH$4&gt;=$C$1),$H18,IF(AND(($D18+$C$1)&gt;DH$4,DH$4&gt;=$C$1),$G18,0))*IF($A18="Residential",'General Inputs'!T$15,'General Inputs'!T$19)</f>
        <v>1736.6596102299845</v>
      </c>
      <c r="DI18" s="214">
        <f>IF(AND(($E18+$C$1)&gt;DI$4,DI$4&gt;=$C$1),$H18,IF(AND(($D18+$C$1)&gt;DI$4,DI$4&gt;=$C$1),$G18,0))*IF($A18="Residential",'General Inputs'!U$15,'General Inputs'!U$19)</f>
        <v>1762.709504383434</v>
      </c>
      <c r="DJ18" s="214">
        <f>IF(AND(($E18+$C$1)&gt;DJ$4,DJ$4&gt;=$C$1),$H18,IF(AND(($D18+$C$1)&gt;DJ$4,DJ$4&gt;=$C$1),$G18,0))*IF($A18="Residential",'General Inputs'!V$15,'General Inputs'!V$19)</f>
        <v>1789.1501469491855</v>
      </c>
      <c r="DK18" s="214">
        <f>IF(AND(($E18+$C$1)&gt;DK$4,DK$4&gt;=$C$1),$H18,IF(AND(($D18+$C$1)&gt;DK$4,DK$4&gt;=$C$1),$G18,0))*IF($A18="Residential",'General Inputs'!W$15,'General Inputs'!W$19)</f>
        <v>0</v>
      </c>
      <c r="DM18" s="214">
        <f t="shared" si="47"/>
        <v>0</v>
      </c>
      <c r="DN18" s="214">
        <f t="shared" si="27"/>
        <v>62003.753475950318</v>
      </c>
      <c r="DO18" s="214">
        <f t="shared" si="27"/>
        <v>0</v>
      </c>
      <c r="DP18" s="214">
        <f t="shared" si="27"/>
        <v>0</v>
      </c>
      <c r="DQ18" s="214">
        <f t="shared" si="27"/>
        <v>0</v>
      </c>
      <c r="DR18" s="214">
        <f t="shared" si="27"/>
        <v>0</v>
      </c>
      <c r="DS18" s="214">
        <f t="shared" si="27"/>
        <v>0</v>
      </c>
      <c r="DT18" s="214">
        <f t="shared" si="27"/>
        <v>0</v>
      </c>
      <c r="DU18" s="214">
        <f t="shared" si="27"/>
        <v>0</v>
      </c>
      <c r="DV18" s="214">
        <f t="shared" si="27"/>
        <v>-54658.547274505807</v>
      </c>
      <c r="DW18" s="214">
        <f t="shared" si="27"/>
        <v>0</v>
      </c>
      <c r="DZ18" s="650"/>
      <c r="FI18" s="195"/>
      <c r="FJ18" s="195"/>
      <c r="FK18" s="195"/>
      <c r="FL18" s="195"/>
      <c r="FM18" s="195"/>
      <c r="FN18" s="195"/>
      <c r="FO18" s="195"/>
    </row>
    <row r="19" spans="1:171">
      <c r="A19" s="342" t="s">
        <v>12</v>
      </c>
      <c r="B19" s="427" t="str">
        <f>'Portfolio Inputs'!A18</f>
        <v>Heat Pump Water Heater</v>
      </c>
      <c r="C19" s="217">
        <f>IF($C$1=2014,'Portfolio Inputs'!$C18,IF($C$1=2015,'Portfolio Inputs'!$D18,'Portfolio Inputs'!$E18))</f>
        <v>80</v>
      </c>
      <c r="D19" s="504">
        <f>VLOOKUP(B19,Sources!$B$4:$J$104,2,FALSE)</f>
        <v>15</v>
      </c>
      <c r="E19" s="504">
        <f>VLOOKUP(B19,Sources!$B$4:$J$104,3,FALSE)</f>
        <v>0</v>
      </c>
      <c r="G19" s="504">
        <f>IF($C$1=2014,'Portfolio Inputs'!$G18,IF($C$1=2015,'Portfolio Inputs'!$H18,'Portfolio Inputs'!$I18))*EnergyLineLoss</f>
        <v>145215.46870743475</v>
      </c>
      <c r="H19" s="504">
        <f>VLOOKUP($B19,Sources!$B$4:$K$104,6,FALSE)*C19*EnergyLineLoss</f>
        <v>0</v>
      </c>
      <c r="I19" s="504">
        <f>IF($C$1=2014,'Portfolio Inputs'!$K18,IF($C$1=2015,'Portfolio Inputs'!$L18,'Portfolio Inputs'!$M18))*PeakLineLoss</f>
        <v>6.8795326667556917</v>
      </c>
      <c r="J19" s="510">
        <f>VLOOKUP($B19,Sources!$B$4:$K$104,8,FALSE)*C19*PeakLineLoss</f>
        <v>0</v>
      </c>
      <c r="L19" s="606">
        <f>IF($C$1=2014,'Portfolio Inputs'!$O18,IF($C$1=2015,'Portfolio Inputs'!$P18,'Portfolio Inputs'!$Q18))</f>
        <v>700</v>
      </c>
      <c r="M19" s="518">
        <f>VLOOKUP($B19,Sources!$B$4:$K$104,10,FALSE)</f>
        <v>0</v>
      </c>
      <c r="N19" s="419">
        <f>IF($C$1=2014,'Portfolio Inputs'!$W18,IF($C$1=2015,'Portfolio Inputs'!$X18,'Portfolio Inputs'!$Y18))</f>
        <v>16000</v>
      </c>
      <c r="O19" s="419"/>
      <c r="Q19" s="438">
        <f t="shared" si="0"/>
        <v>1.0265814350172815</v>
      </c>
      <c r="R19" s="439">
        <f t="shared" si="1"/>
        <v>3.5930350225604855</v>
      </c>
      <c r="S19" s="439">
        <f t="shared" si="2"/>
        <v>1.2884018501412264</v>
      </c>
      <c r="T19" s="439">
        <f t="shared" si="3"/>
        <v>3.6863251799409658</v>
      </c>
      <c r="U19" s="439">
        <f t="shared" si="44"/>
        <v>3.0521394046200148</v>
      </c>
      <c r="V19" s="439">
        <f t="shared" si="45"/>
        <v>0.27848368901457621</v>
      </c>
      <c r="W19" s="439">
        <f t="shared" si="46"/>
        <v>0.33634814761846993</v>
      </c>
      <c r="Y19" s="215">
        <f t="shared" si="4"/>
        <v>52819.331459911584</v>
      </c>
      <c r="Z19" s="215">
        <f t="shared" si="5"/>
        <v>13471.098168817452</v>
      </c>
      <c r="AA19" s="215">
        <f t="shared" si="6"/>
        <v>174967.11693926321</v>
      </c>
      <c r="AB19" s="215">
        <f t="shared" si="7"/>
        <v>142337.19832664536</v>
      </c>
      <c r="AC19" s="216">
        <f t="shared" si="20"/>
        <v>0</v>
      </c>
      <c r="AD19" s="216">
        <f t="shared" si="21"/>
        <v>14700.477765527379</v>
      </c>
      <c r="AE19" s="215">
        <f t="shared" si="8"/>
        <v>51451.672179345827</v>
      </c>
      <c r="AG19" s="214">
        <f>IF(AND(($E19+$C$1)&gt;AG$4,AG$4&gt;=$C$1),'General Inputs'!D$9*$H19,IF(AND(($D19+$C$1)&gt;AG$4,AG$4&gt;=$C$1),'General Inputs'!D$9*$G19,0))+IF(AND(($E19+$C$1)&gt;AG$4,AG$4&gt;=$C$1),'General Inputs'!D$10*$J19,IF(AND(($D19+$C$1)&gt;AG$4,AG$4&gt;=$C$1),'General Inputs'!D$10*$I19,0))</f>
        <v>0</v>
      </c>
      <c r="AH19" s="214">
        <f>IF(AND(($E19+$C$1)&gt;AH$4,AH$4&gt;=$C$1),'General Inputs'!E$9*$H19,IF(AND(($D19+$C$1)&gt;AH$4,AH$4&gt;=$C$1),'General Inputs'!E$9*$G19,0))+IF(AND(($E19+$C$1)&gt;AH$4,AH$4&gt;=$C$1),'General Inputs'!E$10*$J19,IF(AND(($D19+$C$1)&gt;AH$4,AH$4&gt;=$C$1),'General Inputs'!E$10*$I19,0))</f>
        <v>5972.6373261232447</v>
      </c>
      <c r="AI19" s="214">
        <f>IF(AND(($E19+$C$1)&gt;AI$4,AI$4&gt;=$C$1),'General Inputs'!F$9*$H19,IF(AND(($D19+$C$1)&gt;AI$4,AI$4&gt;=$C$1),'General Inputs'!F$9*$G19,0))+IF(AND(($E19+$C$1)&gt;AI$4,AI$4&gt;=$C$1),'General Inputs'!F$10*$J19,IF(AND(($D19+$C$1)&gt;AI$4,AI$4&gt;=$C$1),'General Inputs'!F$10*$I19,0))</f>
        <v>6062.2268860150925</v>
      </c>
      <c r="AJ19" s="214">
        <f>IF(AND(($E19+$C$1)&gt;AJ$4,AJ$4&gt;=$C$1),'General Inputs'!G$9*$H19,IF(AND(($D19+$C$1)&gt;AJ$4,AJ$4&gt;=$C$1),'General Inputs'!G$9*$G19,0))+IF(AND(($E19+$C$1)&gt;AJ$4,AJ$4&gt;=$C$1),'General Inputs'!G$10*$J19,IF(AND(($D19+$C$1)&gt;AJ$4,AJ$4&gt;=$C$1),'General Inputs'!G$10*$I19,0))</f>
        <v>6153.1602893053187</v>
      </c>
      <c r="AK19" s="214">
        <f>IF(AND(($E19+$C$1)&gt;AK$4,AK$4&gt;=$C$1),'General Inputs'!H$9*$H19,IF(AND(($D19+$C$1)&gt;AK$4,AK$4&gt;=$C$1),'General Inputs'!H$9*$G19,0))+IF(AND(($E19+$C$1)&gt;AK$4,AK$4&gt;=$C$1),'General Inputs'!H$10*$J19,IF(AND(($D19+$C$1)&gt;AK$4,AK$4&gt;=$C$1),'General Inputs'!H$10*$I19,0))</f>
        <v>6245.4576936448975</v>
      </c>
      <c r="AL19" s="214">
        <f>IF(AND(($E19+$C$1)&gt;AL$4,AL$4&gt;=$C$1),'General Inputs'!I$9*$H19,IF(AND(($D19+$C$1)&gt;AL$4,AL$4&gt;=$C$1),'General Inputs'!I$9*$G19,0))+IF(AND(($E19+$C$1)&gt;AL$4,AL$4&gt;=$C$1),'General Inputs'!I$10*$J19,IF(AND(($D19+$C$1)&gt;AL$4,AL$4&gt;=$C$1),'General Inputs'!I$10*$I19,0))</f>
        <v>6339.1395590495704</v>
      </c>
      <c r="AM19" s="214">
        <f>IF(AND(($E19+$C$1)&gt;AM$4,AM$4&gt;=$C$1),'General Inputs'!J$9*$H19,IF(AND(($D19+$C$1)&gt;AM$4,AM$4&gt;=$C$1),'General Inputs'!J$9*$G19,0))+IF(AND(($E19+$C$1)&gt;AM$4,AM$4&gt;=$C$1),'General Inputs'!J$10*$J19,IF(AND(($D19+$C$1)&gt;AM$4,AM$4&gt;=$C$1),'General Inputs'!J$10*$I19,0))</f>
        <v>6434.2266524353126</v>
      </c>
      <c r="AN19" s="214">
        <f>IF(AND(($E19+$C$1)&gt;AN$4,AN$4&gt;=$C$1),'General Inputs'!K$9*$H19,IF(AND(($D19+$C$1)&gt;AN$4,AN$4&gt;=$C$1),'General Inputs'!K$9*$G19,0))+IF(AND(($E19+$C$1)&gt;AN$4,AN$4&gt;=$C$1),'General Inputs'!K$10*$J19,IF(AND(($D19+$C$1)&gt;AN$4,AN$4&gt;=$C$1),'General Inputs'!K$10*$I19,0))</f>
        <v>6530.7400522218413</v>
      </c>
      <c r="AO19" s="214">
        <f>IF(AND(($E19+$C$1)&gt;AO$4,AO$4&gt;=$C$1),'General Inputs'!L$9*$H19,IF(AND(($D19+$C$1)&gt;AO$4,AO$4&gt;=$C$1),'General Inputs'!L$9*$G19,0))+IF(AND(($E19+$C$1)&gt;AO$4,AO$4&gt;=$C$1),'General Inputs'!L$10*$J19,IF(AND(($D19+$C$1)&gt;AO$4,AO$4&gt;=$C$1),'General Inputs'!L$10*$I19,0))</f>
        <v>6628.7011530051686</v>
      </c>
      <c r="AP19" s="214">
        <f>IF(AND(($E19+$C$1)&gt;AP$4,AP$4&gt;=$C$1),'General Inputs'!M$9*$H19,IF(AND(($D19+$C$1)&gt;AP$4,AP$4&gt;=$C$1),'General Inputs'!M$9*$G19,0))+IF(AND(($E19+$C$1)&gt;AP$4,AP$4&gt;=$C$1),'General Inputs'!M$10*$J19,IF(AND(($D19+$C$1)&gt;AP$4,AP$4&gt;=$C$1),'General Inputs'!M$10*$I19,0))</f>
        <v>6728.1316703002449</v>
      </c>
      <c r="AQ19" s="214">
        <f>IF(AND(($E19+$C$1)&gt;AQ$4,AQ$4&gt;=$C$1),'General Inputs'!N$9*$H19,IF(AND(($D19+$C$1)&gt;AQ$4,AQ$4&gt;=$C$1),'General Inputs'!N$9*$G19,0))+IF(AND(($E19+$C$1)&gt;AQ$4,AQ$4&gt;=$C$1),'General Inputs'!N$10*$J19,IF(AND(($D19+$C$1)&gt;AQ$4,AQ$4&gt;=$C$1),'General Inputs'!N$10*$I19,0))</f>
        <v>6829.0536453547484</v>
      </c>
      <c r="AR19" s="214">
        <f>IF(AND(($E19+$C$1)&gt;AR$4,AR$4&gt;=$C$1),'General Inputs'!O$9*$H19,IF(AND(($D19+$C$1)&gt;AR$4,AR$4&gt;=$C$1),'General Inputs'!O$9*$G19,0))+IF(AND(($E19+$C$1)&gt;AR$4,AR$4&gt;=$C$1),'General Inputs'!O$10*$J19,IF(AND(($D19+$C$1)&gt;AR$4,AR$4&gt;=$C$1),'General Inputs'!O$10*$I19,0))</f>
        <v>6931.4894500350683</v>
      </c>
      <c r="AS19" s="214">
        <f>IF(AND(($E19+$C$1)&gt;AS$4,AS$4&gt;=$C$1),'General Inputs'!P$9*$H19,IF(AND(($D19+$C$1)&gt;AS$4,AS$4&gt;=$C$1),'General Inputs'!P$9*$G19,0))+IF(AND(($E19+$C$1)&gt;AS$4,AS$4&gt;=$C$1),'General Inputs'!P$10*$J19,IF(AND(($D19+$C$1)&gt;AS$4,AS$4&gt;=$C$1),'General Inputs'!P$10*$I19,0))</f>
        <v>7035.461791785594</v>
      </c>
      <c r="AT19" s="214">
        <f>IF(AND(($E19+$C$1)&gt;AT$4,AT$4&gt;=$C$1),'General Inputs'!Q$9*$H19,IF(AND(($D19+$C$1)&gt;AT$4,AT$4&gt;=$C$1),'General Inputs'!Q$9*$G19,0))+IF(AND(($E19+$C$1)&gt;AT$4,AT$4&gt;=$C$1),'General Inputs'!Q$10*$J19,IF(AND(($D19+$C$1)&gt;AT$4,AT$4&gt;=$C$1),'General Inputs'!Q$10*$I19,0))</f>
        <v>7140.9937186623774</v>
      </c>
      <c r="AU19" s="214">
        <f>IF(AND(($E19+$C$1)&gt;AU$4,AU$4&gt;=$C$1),'General Inputs'!R$9*$H19,IF(AND(($D19+$C$1)&gt;AU$4,AU$4&gt;=$C$1),'General Inputs'!R$9*$G19,0))+IF(AND(($E19+$C$1)&gt;AU$4,AU$4&gt;=$C$1),'General Inputs'!R$10*$J19,IF(AND(($D19+$C$1)&gt;AU$4,AU$4&gt;=$C$1),'General Inputs'!R$10*$I19,0))</f>
        <v>7248.1086244423122</v>
      </c>
      <c r="AV19" s="214">
        <f>IF(AND(($E19+$C$1)&gt;AV$4,AV$4&gt;=$C$1),'General Inputs'!S$9*$H19,IF(AND(($D19+$C$1)&gt;AV$4,AV$4&gt;=$C$1),'General Inputs'!S$9*$G19,0))+IF(AND(($E19+$C$1)&gt;AV$4,AV$4&gt;=$C$1),'General Inputs'!S$10*$J19,IF(AND(($D19+$C$1)&gt;AV$4,AV$4&gt;=$C$1),'General Inputs'!S$10*$I19,0))</f>
        <v>7356.8302538089474</v>
      </c>
      <c r="AW19" s="214">
        <f>IF(AND(($E19+$C$1)&gt;AW$4,AW$4&gt;=$C$1),'General Inputs'!T$9*$H19,IF(AND(($D19+$C$1)&gt;AW$4,AW$4&gt;=$C$1),'General Inputs'!T$9*$G19,0))+IF(AND(($E19+$C$1)&gt;AW$4,AW$4&gt;=$C$1),'General Inputs'!T$10*$J19,IF(AND(($D19+$C$1)&gt;AW$4,AW$4&gt;=$C$1),'General Inputs'!T$10*$I19,0))</f>
        <v>0</v>
      </c>
      <c r="AX19" s="214">
        <f>IF(AND(($E19+$C$1)&gt;AX$4,AX$4&gt;=$C$1),'General Inputs'!U$9*$H19,IF(AND(($D19+$C$1)&gt;AX$4,AX$4&gt;=$C$1),'General Inputs'!U$9*$G19,0))+IF(AND(($E19+$C$1)&gt;AX$4,AX$4&gt;=$C$1),'General Inputs'!U$10*$J19,IF(AND(($D19+$C$1)&gt;AX$4,AX$4&gt;=$C$1),'General Inputs'!U$10*$I19,0))</f>
        <v>0</v>
      </c>
      <c r="AY19" s="214">
        <f>IF(AND(($E19+$C$1)&gt;AY$4,AY$4&gt;=$C$1),'General Inputs'!V$9*$H19,IF(AND(($D19+$C$1)&gt;AY$4,AY$4&gt;=$C$1),'General Inputs'!V$9*$G19,0))+IF(AND(($E19+$C$1)&gt;AY$4,AY$4&gt;=$C$1),'General Inputs'!V$10*$J19,IF(AND(($D19+$C$1)&gt;AY$4,AY$4&gt;=$C$1),'General Inputs'!V$10*$I19,0))</f>
        <v>0</v>
      </c>
      <c r="AZ19" s="214">
        <f>IF(AND(($E19+$C$1)&gt;AZ$4,AZ$4&gt;=$C$1),'General Inputs'!W$9*$H19,IF(AND(($D19+$C$1)&gt;AZ$4,AZ$4&gt;=$C$1),'General Inputs'!W$9*$G19,0))+IF(AND(($E19+$C$1)&gt;AZ$4,AZ$4&gt;=$C$1),'General Inputs'!W$10*$J19,IF(AND(($D19+$C$1)&gt;AZ$4,AZ$4&gt;=$C$1),'General Inputs'!W$10*$I19,0))</f>
        <v>0</v>
      </c>
      <c r="BB19" s="214">
        <f>IF(AND(($E19+$C$1)&gt;BB$4,BB$4&gt;=$C$1),'General Inputs'!D$11*$H19,IF(AND(($D19+$C$1)&gt;BB$4,BB$4&gt;=$C$1),'General Inputs'!D$11*$G19,0))</f>
        <v>0</v>
      </c>
      <c r="BC19" s="214">
        <f>IF(AND(($E19+$C$1)&gt;BC$4,BC$4&gt;=$C$1),'General Inputs'!E$11*$H19,IF(AND(($D19+$C$1)&gt;BC$4,BC$4&gt;=$C$1),'General Inputs'!E$11*$G19,0))</f>
        <v>1655.4563432647562</v>
      </c>
      <c r="BD19" s="214">
        <f>IF(AND(($E19+$C$1)&gt;BD$4,BD$4&gt;=$C$1),'General Inputs'!F$11*$H19,IF(AND(($D19+$C$1)&gt;BD$4,BD$4&gt;=$C$1),'General Inputs'!F$11*$G19,0))</f>
        <v>1655.4563432647562</v>
      </c>
      <c r="BE19" s="214">
        <f>IF(AND(($E19+$C$1)&gt;BE$4,BE$4&gt;=$C$1),'General Inputs'!G$11*$H19,IF(AND(($D19+$C$1)&gt;BE$4,BE$4&gt;=$C$1),'General Inputs'!G$11*$G19,0))</f>
        <v>1655.4563432647562</v>
      </c>
      <c r="BF19" s="214">
        <f>IF(AND(($E19+$C$1)&gt;BF$4,BF$4&gt;=$C$1),'General Inputs'!H$11*$H19,IF(AND(($D19+$C$1)&gt;BF$4,BF$4&gt;=$C$1),'General Inputs'!H$11*$G19,0))</f>
        <v>1655.4563432647562</v>
      </c>
      <c r="BG19" s="214">
        <f>IF(AND(($E19+$C$1)&gt;BG$4,BG$4&gt;=$C$1),'General Inputs'!I$11*$H19,IF(AND(($D19+$C$1)&gt;BG$4,BG$4&gt;=$C$1),'General Inputs'!I$11*$G19,0))</f>
        <v>1655.4563432647562</v>
      </c>
      <c r="BH19" s="214">
        <f>IF(AND(($E19+$C$1)&gt;BH$4,BH$4&gt;=$C$1),'General Inputs'!J$11*$H19,IF(AND(($D19+$C$1)&gt;BH$4,BH$4&gt;=$C$1),'General Inputs'!J$11*$G19,0))</f>
        <v>1655.4563432647562</v>
      </c>
      <c r="BI19" s="214">
        <f>IF(AND(($E19+$C$1)&gt;BI$4,BI$4&gt;=$C$1),'General Inputs'!K$11*$H19,IF(AND(($D19+$C$1)&gt;BI$4,BI$4&gt;=$C$1),'General Inputs'!K$11*$G19,0))</f>
        <v>1655.4563432647562</v>
      </c>
      <c r="BJ19" s="214">
        <f>IF(AND(($E19+$C$1)&gt;BJ$4,BJ$4&gt;=$C$1),'General Inputs'!L$11*$H19,IF(AND(($D19+$C$1)&gt;BJ$4,BJ$4&gt;=$C$1),'General Inputs'!L$11*$G19,0))</f>
        <v>1655.4563432647562</v>
      </c>
      <c r="BK19" s="214">
        <f>IF(AND(($E19+$C$1)&gt;BK$4,BK$4&gt;=$C$1),'General Inputs'!M$11*$H19,IF(AND(($D19+$C$1)&gt;BK$4,BK$4&gt;=$C$1),'General Inputs'!M$11*$G19,0))</f>
        <v>1655.4563432647562</v>
      </c>
      <c r="BL19" s="214">
        <f>IF(AND(($E19+$C$1)&gt;BL$4,BL$4&gt;=$C$1),'General Inputs'!N$11*$H19,IF(AND(($D19+$C$1)&gt;BL$4,BL$4&gt;=$C$1),'General Inputs'!N$11*$G19,0))</f>
        <v>1655.4563432647562</v>
      </c>
      <c r="BM19" s="214">
        <f>IF(AND(($E19+$C$1)&gt;BM$4,BM$4&gt;=$C$1),'General Inputs'!O$11*$H19,IF(AND(($D19+$C$1)&gt;BM$4,BM$4&gt;=$C$1),'General Inputs'!O$11*$G19,0))</f>
        <v>1655.4563432647562</v>
      </c>
      <c r="BN19" s="214">
        <f>IF(AND(($E19+$C$1)&gt;BN$4,BN$4&gt;=$C$1),'General Inputs'!P$11*$H19,IF(AND(($D19+$C$1)&gt;BN$4,BN$4&gt;=$C$1),'General Inputs'!P$11*$G19,0))</f>
        <v>1655.4563432647562</v>
      </c>
      <c r="BO19" s="214">
        <f>IF(AND(($E19+$C$1)&gt;BO$4,BO$4&gt;=$C$1),'General Inputs'!Q$11*$H19,IF(AND(($D19+$C$1)&gt;BO$4,BO$4&gt;=$C$1),'General Inputs'!Q$11*$G19,0))</f>
        <v>1655.4563432647562</v>
      </c>
      <c r="BP19" s="214">
        <f>IF(AND(($E19+$C$1)&gt;BP$4,BP$4&gt;=$C$1),'General Inputs'!R$11*$H19,IF(AND(($D19+$C$1)&gt;BP$4,BP$4&gt;=$C$1),'General Inputs'!R$11*$G19,0))</f>
        <v>1655.4563432647562</v>
      </c>
      <c r="BQ19" s="214">
        <f>IF(AND(($E19+$C$1)&gt;BQ$4,BQ$4&gt;=$C$1),'General Inputs'!S$11*$H19,IF(AND(($D19+$C$1)&gt;BQ$4,BQ$4&gt;=$C$1),'General Inputs'!S$11*$G19,0))</f>
        <v>1655.4563432647562</v>
      </c>
      <c r="BR19" s="214">
        <f>IF(AND(($E19+$C$1)&gt;BR$4,BR$4&gt;=$C$1),'General Inputs'!T$11*$H19,IF(AND(($D19+$C$1)&gt;BR$4,BR$4&gt;=$C$1),'General Inputs'!T$11*$G19,0))</f>
        <v>0</v>
      </c>
      <c r="BS19" s="214">
        <f>IF(AND(($E19+$C$1)&gt;BS$4,BS$4&gt;=$C$1),'General Inputs'!U$11*$H19,IF(AND(($D19+$C$1)&gt;BS$4,BS$4&gt;=$C$1),'General Inputs'!U$11*$G19,0))</f>
        <v>0</v>
      </c>
      <c r="BT19" s="214">
        <f>IF(AND(($E19+$C$1)&gt;BT$4,BT$4&gt;=$C$1),'General Inputs'!V$11*$H19,IF(AND(($D19+$C$1)&gt;BT$4,BT$4&gt;=$C$1),'General Inputs'!V$11*$G19,0))</f>
        <v>0</v>
      </c>
      <c r="BU19" s="214">
        <f>IF(AND(($E19+$C$1)&gt;BU$4,BU$4&gt;=$C$1),'General Inputs'!W$11*$H19,IF(AND(($D19+$C$1)&gt;BU$4,BU$4&gt;=$C$1),'General Inputs'!W$11*$G19,0))</f>
        <v>0</v>
      </c>
      <c r="BW19" s="214">
        <f>IF(AND(($E19+$C$1)&gt;BW$4,BW$4&gt;=$C$1),$H19,IF(AND(($D19+$C$1)&gt;BW$4,BW$4&gt;=$C$1),$G19,0))*IF($A19="Residential",'General Inputs'!D$14,'General Inputs'!D$19)</f>
        <v>0</v>
      </c>
      <c r="BX19" s="214">
        <f>IF(AND(($E19+$C$1)&gt;BX$4,BX$4&gt;=$C$1),$H19,IF(AND(($D19+$C$1)&gt;BX$4,BX$4&gt;=$C$1),$G19,0))*IF($A19="Residential",'General Inputs'!E$14,'General Inputs'!E$19)</f>
        <v>19784.709586276222</v>
      </c>
      <c r="BY19" s="214">
        <f>IF(AND(($E19+$C$1)&gt;BY$4,BY$4&gt;=$C$1),$H19,IF(AND(($D19+$C$1)&gt;BY$4,BY$4&gt;=$C$1),$G19,0))*IF($A19="Residential",'General Inputs'!F$14,'General Inputs'!F$19)</f>
        <v>20081.480230070363</v>
      </c>
      <c r="BZ19" s="214">
        <f>IF(AND(($E19+$C$1)&gt;BZ$4,BZ$4&gt;=$C$1),$H19,IF(AND(($D19+$C$1)&gt;BZ$4,BZ$4&gt;=$C$1),$G19,0))*IF($A19="Residential",'General Inputs'!G$14,'General Inputs'!G$19)</f>
        <v>20382.702433521416</v>
      </c>
      <c r="CA19" s="214">
        <f>IF(AND(($E19+$C$1)&gt;CA$4,CA$4&gt;=$C$1),$H19,IF(AND(($D19+$C$1)&gt;CA$4,CA$4&gt;=$C$1),$G19,0))*IF($A19="Residential",'General Inputs'!H$14,'General Inputs'!H$19)</f>
        <v>20688.442970024233</v>
      </c>
      <c r="CB19" s="214">
        <f>IF(AND(($E19+$C$1)&gt;CB$4,CB$4&gt;=$C$1),$H19,IF(AND(($D19+$C$1)&gt;CB$4,CB$4&gt;=$C$1),$G19,0))*IF($A19="Residential",'General Inputs'!I$14,'General Inputs'!I$19)</f>
        <v>20998.769614574598</v>
      </c>
      <c r="CC19" s="214">
        <f>IF(AND(($E19+$C$1)&gt;CC$4,CC$4&gt;=$C$1),$H19,IF(AND(($D19+$C$1)&gt;CC$4,CC$4&gt;=$C$1),$G19,0))*IF($A19="Residential",'General Inputs'!J$14,'General Inputs'!J$19)</f>
        <v>21313.751158793213</v>
      </c>
      <c r="CD19" s="214">
        <f>IF(AND(($E19+$C$1)&gt;CD$4,CD$4&gt;=$C$1),$H19,IF(AND(($D19+$C$1)&gt;CD$4,CD$4&gt;=$C$1),$G19,0))*IF($A19="Residential",'General Inputs'!K$14,'General Inputs'!K$19)</f>
        <v>21633.457426175108</v>
      </c>
      <c r="CE19" s="214">
        <f>IF(AND(($E19+$C$1)&gt;CE$4,CE$4&gt;=$C$1),$H19,IF(AND(($D19+$C$1)&gt;CE$4,CE$4&gt;=$C$1),$G19,0))*IF($A19="Residential",'General Inputs'!L$14,'General Inputs'!L$19)</f>
        <v>21957.95928756773</v>
      </c>
      <c r="CF19" s="214">
        <f>IF(AND(($E19+$C$1)&gt;CF$4,CF$4&gt;=$C$1),$H19,IF(AND(($D19+$C$1)&gt;CF$4,CF$4&gt;=$C$1),$G19,0))*IF($A19="Residential",'General Inputs'!M$14,'General Inputs'!M$19)</f>
        <v>22287.328676881243</v>
      </c>
      <c r="CG19" s="214">
        <f>IF(AND(($E19+$C$1)&gt;CG$4,CG$4&gt;=$C$1),$H19,IF(AND(($D19+$C$1)&gt;CG$4,CG$4&gt;=$C$1),$G19,0))*IF($A19="Residential",'General Inputs'!N$14,'General Inputs'!N$19)</f>
        <v>22621.63860703446</v>
      </c>
      <c r="CH19" s="214">
        <f>IF(AND(($E19+$C$1)&gt;CH$4,CH$4&gt;=$C$1),$H19,IF(AND(($D19+$C$1)&gt;CH$4,CH$4&gt;=$C$1),$G19,0))*IF($A19="Residential",'General Inputs'!O$14,'General Inputs'!O$19)</f>
        <v>22960.963186139976</v>
      </c>
      <c r="CI19" s="214">
        <f>IF(AND(($E19+$C$1)&gt;CI$4,CI$4&gt;=$C$1),$H19,IF(AND(($D19+$C$1)&gt;CI$4,CI$4&gt;=$C$1),$G19,0))*IF($A19="Residential",'General Inputs'!P$14,'General Inputs'!P$19)</f>
        <v>23305.377633932072</v>
      </c>
      <c r="CJ19" s="214">
        <f>IF(AND(($E19+$C$1)&gt;CJ$4,CJ$4&gt;=$C$1),$H19,IF(AND(($D19+$C$1)&gt;CJ$4,CJ$4&gt;=$C$1),$G19,0))*IF($A19="Residential",'General Inputs'!Q$14,'General Inputs'!Q$19)</f>
        <v>23654.958298441048</v>
      </c>
      <c r="CK19" s="214">
        <f>IF(AND(($E19+$C$1)&gt;CK$4,CK$4&gt;=$C$1),$H19,IF(AND(($D19+$C$1)&gt;CK$4,CK$4&gt;=$C$1),$G19,0))*IF($A19="Residential",'General Inputs'!R$14,'General Inputs'!R$19)</f>
        <v>24009.782672917663</v>
      </c>
      <c r="CL19" s="214">
        <f>IF(AND(($E19+$C$1)&gt;CL$4,CL$4&gt;=$C$1),$H19,IF(AND(($D19+$C$1)&gt;CL$4,CL$4&gt;=$C$1),$G19,0))*IF($A19="Residential",'General Inputs'!S$14,'General Inputs'!S$19)</f>
        <v>24369.929413011425</v>
      </c>
      <c r="CM19" s="214">
        <f>IF(AND(($E19+$C$1)&gt;CM$4,CM$4&gt;=$C$1),$H19,IF(AND(($D19+$C$1)&gt;CM$4,CM$4&gt;=$C$1),$G19,0))*IF($A19="Residential",'General Inputs'!T$14,'General Inputs'!T$19)</f>
        <v>0</v>
      </c>
      <c r="CN19" s="214">
        <f>IF(AND(($E19+$C$1)&gt;CN$4,CN$4&gt;=$C$1),$H19,IF(AND(($D19+$C$1)&gt;CN$4,CN$4&gt;=$C$1),$G19,0))*IF($A19="Residential",'General Inputs'!U$14,'General Inputs'!U$19)</f>
        <v>0</v>
      </c>
      <c r="CO19" s="214">
        <f>IF(AND(($E19+$C$1)&gt;CO$4,CO$4&gt;=$C$1),$H19,IF(AND(($D19+$C$1)&gt;CO$4,CO$4&gt;=$C$1),$G19,0))*IF($A19="Residential",'General Inputs'!V$14,'General Inputs'!V$19)</f>
        <v>0</v>
      </c>
      <c r="CP19" s="214">
        <f>IF(AND(($E19+$C$1)&gt;CP$4,CP$4&gt;=$C$1),$H19,IF(AND(($D19+$C$1)&gt;CP$4,CP$4&gt;=$C$1),$G19,0))*IF($A19="Residential",'General Inputs'!W$14,'General Inputs'!W$19)</f>
        <v>0</v>
      </c>
      <c r="CR19" s="214">
        <f>IF(AND(($E19+$C$1)&gt;CR$4,CR$4&gt;=$C$1),$H19,IF(AND(($D19+$C$1)&gt;CR$4,CR$4&gt;=$C$1),$G19,0))*IF($A19="Residential",'General Inputs'!D$15,'General Inputs'!D$19)</f>
        <v>0</v>
      </c>
      <c r="CS19" s="214">
        <f>IF(AND(($E19+$C$1)&gt;CS$4,CS$4&gt;=$C$1),$H19,IF(AND(($D19+$C$1)&gt;CS$4,CS$4&gt;=$C$1),$G19,0))*IF($A19="Residential",'General Inputs'!E$15,'General Inputs'!E$19)</f>
        <v>16095.025062306084</v>
      </c>
      <c r="CT19" s="214">
        <f>IF(AND(($E19+$C$1)&gt;CT$4,CT$4&gt;=$C$1),$H19,IF(AND(($D19+$C$1)&gt;CT$4,CT$4&gt;=$C$1),$G19,0))*IF($A19="Residential",'General Inputs'!F$15,'General Inputs'!F$19)</f>
        <v>16336.450438240674</v>
      </c>
      <c r="CU19" s="214">
        <f>IF(AND(($E19+$C$1)&gt;CU$4,CU$4&gt;=$C$1),$H19,IF(AND(($D19+$C$1)&gt;CU$4,CU$4&gt;=$C$1),$G19,0))*IF($A19="Residential",'General Inputs'!G$15,'General Inputs'!G$19)</f>
        <v>16581.497194814281</v>
      </c>
      <c r="CV19" s="214">
        <f>IF(AND(($E19+$C$1)&gt;CV$4,CV$4&gt;=$C$1),$H19,IF(AND(($D19+$C$1)&gt;CV$4,CV$4&gt;=$C$1),$G19,0))*IF($A19="Residential",'General Inputs'!H$15,'General Inputs'!H$19)</f>
        <v>16830.219652736494</v>
      </c>
      <c r="CW19" s="214">
        <f>IF(AND(($E19+$C$1)&gt;CW$4,CW$4&gt;=$C$1),$H19,IF(AND(($D19+$C$1)&gt;CW$4,CW$4&gt;=$C$1),$G19,0))*IF($A19="Residential",'General Inputs'!I$15,'General Inputs'!I$19)</f>
        <v>17082.672947527539</v>
      </c>
      <c r="CX19" s="214">
        <f>IF(AND(($E19+$C$1)&gt;CX$4,CX$4&gt;=$C$1),$H19,IF(AND(($D19+$C$1)&gt;CX$4,CX$4&gt;=$C$1),$G19,0))*IF($A19="Residential",'General Inputs'!J$15,'General Inputs'!J$19)</f>
        <v>17338.913041740452</v>
      </c>
      <c r="CY19" s="214">
        <f>IF(AND(($E19+$C$1)&gt;CY$4,CY$4&gt;=$C$1),$H19,IF(AND(($D19+$C$1)&gt;CY$4,CY$4&gt;=$C$1),$G19,0))*IF($A19="Residential",'General Inputs'!K$15,'General Inputs'!K$19)</f>
        <v>17598.996737366557</v>
      </c>
      <c r="CZ19" s="214">
        <f>IF(AND(($E19+$C$1)&gt;CZ$4,CZ$4&gt;=$C$1),$H19,IF(AND(($D19+$C$1)&gt;CZ$4,CZ$4&gt;=$C$1),$G19,0))*IF($A19="Residential",'General Inputs'!L$15,'General Inputs'!L$19)</f>
        <v>17862.981688427051</v>
      </c>
      <c r="DA19" s="214">
        <f>IF(AND(($E19+$C$1)&gt;DA$4,DA$4&gt;=$C$1),$H19,IF(AND(($D19+$C$1)&gt;DA$4,DA$4&gt;=$C$1),$G19,0))*IF($A19="Residential",'General Inputs'!M$15,'General Inputs'!M$19)</f>
        <v>18130.926413753456</v>
      </c>
      <c r="DB19" s="214">
        <f>IF(AND(($E19+$C$1)&gt;DB$4,DB$4&gt;=$C$1),$H19,IF(AND(($D19+$C$1)&gt;DB$4,DB$4&gt;=$C$1),$G19,0))*IF($A19="Residential",'General Inputs'!N$15,'General Inputs'!N$19)</f>
        <v>18402.890309959756</v>
      </c>
      <c r="DC19" s="214">
        <f>IF(AND(($E19+$C$1)&gt;DC$4,DC$4&gt;=$C$1),$H19,IF(AND(($D19+$C$1)&gt;DC$4,DC$4&gt;=$C$1),$G19,0))*IF($A19="Residential",'General Inputs'!O$15,'General Inputs'!O$19)</f>
        <v>18678.933664609151</v>
      </c>
      <c r="DD19" s="214">
        <f>IF(AND(($E19+$C$1)&gt;DD$4,DD$4&gt;=$C$1),$H19,IF(AND(($D19+$C$1)&gt;DD$4,DD$4&gt;=$C$1),$G19,0))*IF($A19="Residential",'General Inputs'!P$15,'General Inputs'!P$19)</f>
        <v>18959.117669578285</v>
      </c>
      <c r="DE19" s="214">
        <f>IF(AND(($E19+$C$1)&gt;DE$4,DE$4&gt;=$C$1),$H19,IF(AND(($D19+$C$1)&gt;DE$4,DE$4&gt;=$C$1),$G19,0))*IF($A19="Residential",'General Inputs'!Q$15,'General Inputs'!Q$19)</f>
        <v>19243.504434621958</v>
      </c>
      <c r="DF19" s="214">
        <f>IF(AND(($E19+$C$1)&gt;DF$4,DF$4&gt;=$C$1),$H19,IF(AND(($D19+$C$1)&gt;DF$4,DF$4&gt;=$C$1),$G19,0))*IF($A19="Residential",'General Inputs'!R$15,'General Inputs'!R$19)</f>
        <v>19532.157001141288</v>
      </c>
      <c r="DG19" s="214">
        <f>IF(AND(($E19+$C$1)&gt;DG$4,DG$4&gt;=$C$1),$H19,IF(AND(($D19+$C$1)&gt;DG$4,DG$4&gt;=$C$1),$G19,0))*IF($A19="Residential",'General Inputs'!S$15,'General Inputs'!S$19)</f>
        <v>19825.139356158405</v>
      </c>
      <c r="DH19" s="214">
        <f>IF(AND(($E19+$C$1)&gt;DH$4,DH$4&gt;=$C$1),$H19,IF(AND(($D19+$C$1)&gt;DH$4,DH$4&gt;=$C$1),$G19,0))*IF($A19="Residential",'General Inputs'!T$15,'General Inputs'!T$19)</f>
        <v>0</v>
      </c>
      <c r="DI19" s="214">
        <f>IF(AND(($E19+$C$1)&gt;DI$4,DI$4&gt;=$C$1),$H19,IF(AND(($D19+$C$1)&gt;DI$4,DI$4&gt;=$C$1),$G19,0))*IF($A19="Residential",'General Inputs'!U$15,'General Inputs'!U$19)</f>
        <v>0</v>
      </c>
      <c r="DJ19" s="214">
        <f>IF(AND(($E19+$C$1)&gt;DJ$4,DJ$4&gt;=$C$1),$H19,IF(AND(($D19+$C$1)&gt;DJ$4,DJ$4&gt;=$C$1),$G19,0))*IF($A19="Residential",'General Inputs'!V$15,'General Inputs'!V$19)</f>
        <v>0</v>
      </c>
      <c r="DK19" s="214">
        <f>IF(AND(($E19+$C$1)&gt;DK$4,DK$4&gt;=$C$1),$H19,IF(AND(($D19+$C$1)&gt;DK$4,DK$4&gt;=$C$1),$G19,0))*IF($A19="Residential",'General Inputs'!W$15,'General Inputs'!W$19)</f>
        <v>0</v>
      </c>
      <c r="DM19" s="214">
        <f t="shared" si="47"/>
        <v>0</v>
      </c>
      <c r="DN19" s="214">
        <f t="shared" si="27"/>
        <v>56000</v>
      </c>
      <c r="DO19" s="214">
        <f t="shared" si="27"/>
        <v>0</v>
      </c>
      <c r="DP19" s="214">
        <f t="shared" si="27"/>
        <v>0</v>
      </c>
      <c r="DQ19" s="214">
        <f t="shared" si="27"/>
        <v>0</v>
      </c>
      <c r="DR19" s="214">
        <f t="shared" si="27"/>
        <v>0</v>
      </c>
      <c r="DS19" s="214">
        <f t="shared" si="27"/>
        <v>0</v>
      </c>
      <c r="DT19" s="214">
        <f t="shared" si="27"/>
        <v>0</v>
      </c>
      <c r="DU19" s="214">
        <f t="shared" si="27"/>
        <v>0</v>
      </c>
      <c r="DV19" s="214">
        <f t="shared" si="27"/>
        <v>0</v>
      </c>
      <c r="DW19" s="214">
        <f t="shared" si="27"/>
        <v>0</v>
      </c>
      <c r="DZ19" s="650"/>
      <c r="FI19" s="195"/>
      <c r="FJ19" s="195"/>
      <c r="FK19" s="195"/>
      <c r="FL19" s="195"/>
      <c r="FM19" s="195"/>
      <c r="FN19" s="195"/>
      <c r="FO19" s="195"/>
    </row>
    <row r="20" spans="1:171">
      <c r="A20" s="342" t="s">
        <v>12</v>
      </c>
      <c r="B20" s="427" t="str">
        <f>'Portfolio Inputs'!A19</f>
        <v>Electric Storage Water Heater</v>
      </c>
      <c r="C20" s="217">
        <f>IF($C$1=2014,'Portfolio Inputs'!$C19,IF($C$1=2015,'Portfolio Inputs'!$D19,'Portfolio Inputs'!$E19))</f>
        <v>60</v>
      </c>
      <c r="D20" s="504">
        <f>VLOOKUP(B20,Sources!$B$4:$J$104,2,FALSE)</f>
        <v>15</v>
      </c>
      <c r="E20" s="504">
        <f>VLOOKUP(B20,Sources!$B$4:$J$104,3,FALSE)</f>
        <v>0</v>
      </c>
      <c r="G20" s="504">
        <f>IF($C$1=2014,'Portfolio Inputs'!$G19,IF($C$1=2015,'Portfolio Inputs'!$H19,'Portfolio Inputs'!$I19))*EnergyLineLoss</f>
        <v>8005.1467653564014</v>
      </c>
      <c r="H20" s="504">
        <f>VLOOKUP($B20,Sources!$B$4:$K$104,6,FALSE)*C20*EnergyLineLoss</f>
        <v>0</v>
      </c>
      <c r="I20" s="504">
        <f>IF($C$1=2014,'Portfolio Inputs'!$K19,IF($C$1=2015,'Portfolio Inputs'!$L19,'Portfolio Inputs'!$M19))*PeakLineLoss</f>
        <v>0.95289969070847058</v>
      </c>
      <c r="J20" s="510">
        <f>VLOOKUP($B20,Sources!$B$4:$K$104,8,FALSE)*C20*PeakLineLoss</f>
        <v>0</v>
      </c>
      <c r="L20" s="606">
        <f>IF($C$1=2014,'Portfolio Inputs'!$O19,IF($C$1=2015,'Portfolio Inputs'!$P19,'Portfolio Inputs'!$Q19))</f>
        <v>50</v>
      </c>
      <c r="M20" s="518">
        <f>VLOOKUP($B20,Sources!$B$4:$K$104,10,FALSE)</f>
        <v>0</v>
      </c>
      <c r="N20" s="419">
        <f>IF($C$1=2014,'Portfolio Inputs'!$W19,IF($C$1=2015,'Portfolio Inputs'!$X19,'Portfolio Inputs'!$Y19))</f>
        <v>3600</v>
      </c>
      <c r="O20" s="419"/>
      <c r="Q20" s="438">
        <f t="shared" si="0"/>
        <v>1.0843451827854864</v>
      </c>
      <c r="R20" s="439">
        <f t="shared" si="1"/>
        <v>0.90362098565457194</v>
      </c>
      <c r="S20" s="439">
        <f t="shared" si="2"/>
        <v>1.3537632381341107</v>
      </c>
      <c r="T20" s="439">
        <f t="shared" si="3"/>
        <v>4.6992915800174666</v>
      </c>
      <c r="U20" s="439">
        <f t="shared" si="44"/>
        <v>4.0467026738550302</v>
      </c>
      <c r="V20" s="439">
        <f t="shared" si="45"/>
        <v>0.23074652090038134</v>
      </c>
      <c r="W20" s="439">
        <f t="shared" si="46"/>
        <v>0.26795771030850191</v>
      </c>
      <c r="Y20" s="215">
        <f t="shared" si="4"/>
        <v>2988.8235468177681</v>
      </c>
      <c r="Z20" s="215">
        <f t="shared" si="5"/>
        <v>742.60764980326428</v>
      </c>
      <c r="AA20" s="215">
        <f t="shared" si="6"/>
        <v>9645.2358875894879</v>
      </c>
      <c r="AB20" s="215">
        <f t="shared" si="7"/>
        <v>7846.4792553887273</v>
      </c>
      <c r="AC20" s="216">
        <f t="shared" si="20"/>
        <v>0</v>
      </c>
      <c r="AD20" s="216">
        <f t="shared" si="21"/>
        <v>3307.6074972436604</v>
      </c>
      <c r="AE20" s="215">
        <f t="shared" si="8"/>
        <v>2756.3395810363836</v>
      </c>
      <c r="AG20" s="214">
        <f>IF(AND(($E20+$C$1)&gt;AG$4,AG$4&gt;=$C$1),'General Inputs'!D$9*$H20,IF(AND(($D20+$C$1)&gt;AG$4,AG$4&gt;=$C$1),'General Inputs'!D$9*$G20,0))+IF(AND(($E20+$C$1)&gt;AG$4,AG$4&gt;=$C$1),'General Inputs'!D$10*$J20,IF(AND(($D20+$C$1)&gt;AG$4,AG$4&gt;=$C$1),'General Inputs'!D$10*$I20,0))</f>
        <v>0</v>
      </c>
      <c r="AH20" s="214">
        <f>IF(AND(($E20+$C$1)&gt;AH$4,AH$4&gt;=$C$1),'General Inputs'!E$9*$H20,IF(AND(($D20+$C$1)&gt;AH$4,AH$4&gt;=$C$1),'General Inputs'!E$9*$G20,0))+IF(AND(($E20+$C$1)&gt;AH$4,AH$4&gt;=$C$1),'General Inputs'!E$10*$J20,IF(AND(($D20+$C$1)&gt;AH$4,AH$4&gt;=$C$1),'General Inputs'!E$10*$I20,0))</f>
        <v>337.96639570245998</v>
      </c>
      <c r="AI20" s="214">
        <f>IF(AND(($E20+$C$1)&gt;AI$4,AI$4&gt;=$C$1),'General Inputs'!F$9*$H20,IF(AND(($D20+$C$1)&gt;AI$4,AI$4&gt;=$C$1),'General Inputs'!F$9*$G20,0))+IF(AND(($E20+$C$1)&gt;AI$4,AI$4&gt;=$C$1),'General Inputs'!F$10*$J20,IF(AND(($D20+$C$1)&gt;AI$4,AI$4&gt;=$C$1),'General Inputs'!F$10*$I20,0))</f>
        <v>343.03589163799683</v>
      </c>
      <c r="AJ20" s="214">
        <f>IF(AND(($E20+$C$1)&gt;AJ$4,AJ$4&gt;=$C$1),'General Inputs'!G$9*$H20,IF(AND(($D20+$C$1)&gt;AJ$4,AJ$4&gt;=$C$1),'General Inputs'!G$9*$G20,0))+IF(AND(($E20+$C$1)&gt;AJ$4,AJ$4&gt;=$C$1),'General Inputs'!G$10*$J20,IF(AND(($D20+$C$1)&gt;AJ$4,AJ$4&gt;=$C$1),'General Inputs'!G$10*$I20,0))</f>
        <v>348.18143001256675</v>
      </c>
      <c r="AK20" s="214">
        <f>IF(AND(($E20+$C$1)&gt;AK$4,AK$4&gt;=$C$1),'General Inputs'!H$9*$H20,IF(AND(($D20+$C$1)&gt;AK$4,AK$4&gt;=$C$1),'General Inputs'!H$9*$G20,0))+IF(AND(($E20+$C$1)&gt;AK$4,AK$4&gt;=$C$1),'General Inputs'!H$10*$J20,IF(AND(($D20+$C$1)&gt;AK$4,AK$4&gt;=$C$1),'General Inputs'!H$10*$I20,0))</f>
        <v>353.40415146275518</v>
      </c>
      <c r="AL20" s="214">
        <f>IF(AND(($E20+$C$1)&gt;AL$4,AL$4&gt;=$C$1),'General Inputs'!I$9*$H20,IF(AND(($D20+$C$1)&gt;AL$4,AL$4&gt;=$C$1),'General Inputs'!I$9*$G20,0))+IF(AND(($E20+$C$1)&gt;AL$4,AL$4&gt;=$C$1),'General Inputs'!I$10*$J20,IF(AND(($D20+$C$1)&gt;AL$4,AL$4&gt;=$C$1),'General Inputs'!I$10*$I20,0))</f>
        <v>358.70521373469649</v>
      </c>
      <c r="AM20" s="214">
        <f>IF(AND(($E20+$C$1)&gt;AM$4,AM$4&gt;=$C$1),'General Inputs'!J$9*$H20,IF(AND(($D20+$C$1)&gt;AM$4,AM$4&gt;=$C$1),'General Inputs'!J$9*$G20,0))+IF(AND(($E20+$C$1)&gt;AM$4,AM$4&gt;=$C$1),'General Inputs'!J$10*$J20,IF(AND(($D20+$C$1)&gt;AM$4,AM$4&gt;=$C$1),'General Inputs'!J$10*$I20,0))</f>
        <v>364.08579194071689</v>
      </c>
      <c r="AN20" s="214">
        <f>IF(AND(($E20+$C$1)&gt;AN$4,AN$4&gt;=$C$1),'General Inputs'!K$9*$H20,IF(AND(($D20+$C$1)&gt;AN$4,AN$4&gt;=$C$1),'General Inputs'!K$9*$G20,0))+IF(AND(($E20+$C$1)&gt;AN$4,AN$4&gt;=$C$1),'General Inputs'!K$10*$J20,IF(AND(($D20+$C$1)&gt;AN$4,AN$4&gt;=$C$1),'General Inputs'!K$10*$I20,0))</f>
        <v>369.54707881982756</v>
      </c>
      <c r="AO20" s="214">
        <f>IF(AND(($E20+$C$1)&gt;AO$4,AO$4&gt;=$C$1),'General Inputs'!L$9*$H20,IF(AND(($D20+$C$1)&gt;AO$4,AO$4&gt;=$C$1),'General Inputs'!L$9*$G20,0))+IF(AND(($E20+$C$1)&gt;AO$4,AO$4&gt;=$C$1),'General Inputs'!L$10*$J20,IF(AND(($D20+$C$1)&gt;AO$4,AO$4&gt;=$C$1),'General Inputs'!L$10*$I20,0))</f>
        <v>375.09028500212497</v>
      </c>
      <c r="AP20" s="214">
        <f>IF(AND(($E20+$C$1)&gt;AP$4,AP$4&gt;=$C$1),'General Inputs'!M$9*$H20,IF(AND(($D20+$C$1)&gt;AP$4,AP$4&gt;=$C$1),'General Inputs'!M$9*$G20,0))+IF(AND(($E20+$C$1)&gt;AP$4,AP$4&gt;=$C$1),'General Inputs'!M$10*$J20,IF(AND(($D20+$C$1)&gt;AP$4,AP$4&gt;=$C$1),'General Inputs'!M$10*$I20,0))</f>
        <v>380.71663927715679</v>
      </c>
      <c r="AQ20" s="214">
        <f>IF(AND(($E20+$C$1)&gt;AQ$4,AQ$4&gt;=$C$1),'General Inputs'!N$9*$H20,IF(AND(($D20+$C$1)&gt;AQ$4,AQ$4&gt;=$C$1),'General Inputs'!N$9*$G20,0))+IF(AND(($E20+$C$1)&gt;AQ$4,AQ$4&gt;=$C$1),'General Inputs'!N$10*$J20,IF(AND(($D20+$C$1)&gt;AQ$4,AQ$4&gt;=$C$1),'General Inputs'!N$10*$I20,0))</f>
        <v>386.42738886631406</v>
      </c>
      <c r="AR20" s="214">
        <f>IF(AND(($E20+$C$1)&gt;AR$4,AR$4&gt;=$C$1),'General Inputs'!O$9*$H20,IF(AND(($D20+$C$1)&gt;AR$4,AR$4&gt;=$C$1),'General Inputs'!O$9*$G20,0))+IF(AND(($E20+$C$1)&gt;AR$4,AR$4&gt;=$C$1),'General Inputs'!O$10*$J20,IF(AND(($D20+$C$1)&gt;AR$4,AR$4&gt;=$C$1),'General Inputs'!O$10*$I20,0))</f>
        <v>392.22379969930876</v>
      </c>
      <c r="AS20" s="214">
        <f>IF(AND(($E20+$C$1)&gt;AS$4,AS$4&gt;=$C$1),'General Inputs'!P$9*$H20,IF(AND(($D20+$C$1)&gt;AS$4,AS$4&gt;=$C$1),'General Inputs'!P$9*$G20,0))+IF(AND(($E20+$C$1)&gt;AS$4,AS$4&gt;=$C$1),'General Inputs'!P$10*$J20,IF(AND(($D20+$C$1)&gt;AS$4,AS$4&gt;=$C$1),'General Inputs'!P$10*$I20,0))</f>
        <v>398.10715669479833</v>
      </c>
      <c r="AT20" s="214">
        <f>IF(AND(($E20+$C$1)&gt;AT$4,AT$4&gt;=$C$1),'General Inputs'!Q$9*$H20,IF(AND(($D20+$C$1)&gt;AT$4,AT$4&gt;=$C$1),'General Inputs'!Q$9*$G20,0))+IF(AND(($E20+$C$1)&gt;AT$4,AT$4&gt;=$C$1),'General Inputs'!Q$10*$J20,IF(AND(($D20+$C$1)&gt;AT$4,AT$4&gt;=$C$1),'General Inputs'!Q$10*$I20,0))</f>
        <v>404.07876404522028</v>
      </c>
      <c r="AU20" s="214">
        <f>IF(AND(($E20+$C$1)&gt;AU$4,AU$4&gt;=$C$1),'General Inputs'!R$9*$H20,IF(AND(($D20+$C$1)&gt;AU$4,AU$4&gt;=$C$1),'General Inputs'!R$9*$G20,0))+IF(AND(($E20+$C$1)&gt;AU$4,AU$4&gt;=$C$1),'General Inputs'!R$10*$J20,IF(AND(($D20+$C$1)&gt;AU$4,AU$4&gt;=$C$1),'General Inputs'!R$10*$I20,0))</f>
        <v>410.1399455058986</v>
      </c>
      <c r="AV20" s="214">
        <f>IF(AND(($E20+$C$1)&gt;AV$4,AV$4&gt;=$C$1),'General Inputs'!S$9*$H20,IF(AND(($D20+$C$1)&gt;AV$4,AV$4&gt;=$C$1),'General Inputs'!S$9*$G20,0))+IF(AND(($E20+$C$1)&gt;AV$4,AV$4&gt;=$C$1),'General Inputs'!S$10*$J20,IF(AND(($D20+$C$1)&gt;AV$4,AV$4&gt;=$C$1),'General Inputs'!S$10*$I20,0))</f>
        <v>416.29204468848701</v>
      </c>
      <c r="AW20" s="214">
        <f>IF(AND(($E20+$C$1)&gt;AW$4,AW$4&gt;=$C$1),'General Inputs'!T$9*$H20,IF(AND(($D20+$C$1)&gt;AW$4,AW$4&gt;=$C$1),'General Inputs'!T$9*$G20,0))+IF(AND(($E20+$C$1)&gt;AW$4,AW$4&gt;=$C$1),'General Inputs'!T$10*$J20,IF(AND(($D20+$C$1)&gt;AW$4,AW$4&gt;=$C$1),'General Inputs'!T$10*$I20,0))</f>
        <v>0</v>
      </c>
      <c r="AX20" s="214">
        <f>IF(AND(($E20+$C$1)&gt;AX$4,AX$4&gt;=$C$1),'General Inputs'!U$9*$H20,IF(AND(($D20+$C$1)&gt;AX$4,AX$4&gt;=$C$1),'General Inputs'!U$9*$G20,0))+IF(AND(($E20+$C$1)&gt;AX$4,AX$4&gt;=$C$1),'General Inputs'!U$10*$J20,IF(AND(($D20+$C$1)&gt;AX$4,AX$4&gt;=$C$1),'General Inputs'!U$10*$I20,0))</f>
        <v>0</v>
      </c>
      <c r="AY20" s="214">
        <f>IF(AND(($E20+$C$1)&gt;AY$4,AY$4&gt;=$C$1),'General Inputs'!V$9*$H20,IF(AND(($D20+$C$1)&gt;AY$4,AY$4&gt;=$C$1),'General Inputs'!V$9*$G20,0))+IF(AND(($E20+$C$1)&gt;AY$4,AY$4&gt;=$C$1),'General Inputs'!V$10*$J20,IF(AND(($D20+$C$1)&gt;AY$4,AY$4&gt;=$C$1),'General Inputs'!V$10*$I20,0))</f>
        <v>0</v>
      </c>
      <c r="AZ20" s="214">
        <f>IF(AND(($E20+$C$1)&gt;AZ$4,AZ$4&gt;=$C$1),'General Inputs'!W$9*$H20,IF(AND(($D20+$C$1)&gt;AZ$4,AZ$4&gt;=$C$1),'General Inputs'!W$9*$G20,0))+IF(AND(($E20+$C$1)&gt;AZ$4,AZ$4&gt;=$C$1),'General Inputs'!W$10*$J20,IF(AND(($D20+$C$1)&gt;AZ$4,AZ$4&gt;=$C$1),'General Inputs'!W$10*$I20,0))</f>
        <v>0</v>
      </c>
      <c r="BB20" s="214">
        <f>IF(AND(($E20+$C$1)&gt;BB$4,BB$4&gt;=$C$1),'General Inputs'!D$11*$H20,IF(AND(($D20+$C$1)&gt;BB$4,BB$4&gt;=$C$1),'General Inputs'!D$11*$G20,0))</f>
        <v>0</v>
      </c>
      <c r="BC20" s="214">
        <f>IF(AND(($E20+$C$1)&gt;BC$4,BC$4&gt;=$C$1),'General Inputs'!E$11*$H20,IF(AND(($D20+$C$1)&gt;BC$4,BC$4&gt;=$C$1),'General Inputs'!E$11*$G20,0))</f>
        <v>91.258673125062984</v>
      </c>
      <c r="BD20" s="214">
        <f>IF(AND(($E20+$C$1)&gt;BD$4,BD$4&gt;=$C$1),'General Inputs'!F$11*$H20,IF(AND(($D20+$C$1)&gt;BD$4,BD$4&gt;=$C$1),'General Inputs'!F$11*$G20,0))</f>
        <v>91.258673125062984</v>
      </c>
      <c r="BE20" s="214">
        <f>IF(AND(($E20+$C$1)&gt;BE$4,BE$4&gt;=$C$1),'General Inputs'!G$11*$H20,IF(AND(($D20+$C$1)&gt;BE$4,BE$4&gt;=$C$1),'General Inputs'!G$11*$G20,0))</f>
        <v>91.258673125062984</v>
      </c>
      <c r="BF20" s="214">
        <f>IF(AND(($E20+$C$1)&gt;BF$4,BF$4&gt;=$C$1),'General Inputs'!H$11*$H20,IF(AND(($D20+$C$1)&gt;BF$4,BF$4&gt;=$C$1),'General Inputs'!H$11*$G20,0))</f>
        <v>91.258673125062984</v>
      </c>
      <c r="BG20" s="214">
        <f>IF(AND(($E20+$C$1)&gt;BG$4,BG$4&gt;=$C$1),'General Inputs'!I$11*$H20,IF(AND(($D20+$C$1)&gt;BG$4,BG$4&gt;=$C$1),'General Inputs'!I$11*$G20,0))</f>
        <v>91.258673125062984</v>
      </c>
      <c r="BH20" s="214">
        <f>IF(AND(($E20+$C$1)&gt;BH$4,BH$4&gt;=$C$1),'General Inputs'!J$11*$H20,IF(AND(($D20+$C$1)&gt;BH$4,BH$4&gt;=$C$1),'General Inputs'!J$11*$G20,0))</f>
        <v>91.258673125062984</v>
      </c>
      <c r="BI20" s="214">
        <f>IF(AND(($E20+$C$1)&gt;BI$4,BI$4&gt;=$C$1),'General Inputs'!K$11*$H20,IF(AND(($D20+$C$1)&gt;BI$4,BI$4&gt;=$C$1),'General Inputs'!K$11*$G20,0))</f>
        <v>91.258673125062984</v>
      </c>
      <c r="BJ20" s="214">
        <f>IF(AND(($E20+$C$1)&gt;BJ$4,BJ$4&gt;=$C$1),'General Inputs'!L$11*$H20,IF(AND(($D20+$C$1)&gt;BJ$4,BJ$4&gt;=$C$1),'General Inputs'!L$11*$G20,0))</f>
        <v>91.258673125062984</v>
      </c>
      <c r="BK20" s="214">
        <f>IF(AND(($E20+$C$1)&gt;BK$4,BK$4&gt;=$C$1),'General Inputs'!M$11*$H20,IF(AND(($D20+$C$1)&gt;BK$4,BK$4&gt;=$C$1),'General Inputs'!M$11*$G20,0))</f>
        <v>91.258673125062984</v>
      </c>
      <c r="BL20" s="214">
        <f>IF(AND(($E20+$C$1)&gt;BL$4,BL$4&gt;=$C$1),'General Inputs'!N$11*$H20,IF(AND(($D20+$C$1)&gt;BL$4,BL$4&gt;=$C$1),'General Inputs'!N$11*$G20,0))</f>
        <v>91.258673125062984</v>
      </c>
      <c r="BM20" s="214">
        <f>IF(AND(($E20+$C$1)&gt;BM$4,BM$4&gt;=$C$1),'General Inputs'!O$11*$H20,IF(AND(($D20+$C$1)&gt;BM$4,BM$4&gt;=$C$1),'General Inputs'!O$11*$G20,0))</f>
        <v>91.258673125062984</v>
      </c>
      <c r="BN20" s="214">
        <f>IF(AND(($E20+$C$1)&gt;BN$4,BN$4&gt;=$C$1),'General Inputs'!P$11*$H20,IF(AND(($D20+$C$1)&gt;BN$4,BN$4&gt;=$C$1),'General Inputs'!P$11*$G20,0))</f>
        <v>91.258673125062984</v>
      </c>
      <c r="BO20" s="214">
        <f>IF(AND(($E20+$C$1)&gt;BO$4,BO$4&gt;=$C$1),'General Inputs'!Q$11*$H20,IF(AND(($D20+$C$1)&gt;BO$4,BO$4&gt;=$C$1),'General Inputs'!Q$11*$G20,0))</f>
        <v>91.258673125062984</v>
      </c>
      <c r="BP20" s="214">
        <f>IF(AND(($E20+$C$1)&gt;BP$4,BP$4&gt;=$C$1),'General Inputs'!R$11*$H20,IF(AND(($D20+$C$1)&gt;BP$4,BP$4&gt;=$C$1),'General Inputs'!R$11*$G20,0))</f>
        <v>91.258673125062984</v>
      </c>
      <c r="BQ20" s="214">
        <f>IF(AND(($E20+$C$1)&gt;BQ$4,BQ$4&gt;=$C$1),'General Inputs'!S$11*$H20,IF(AND(($D20+$C$1)&gt;BQ$4,BQ$4&gt;=$C$1),'General Inputs'!S$11*$G20,0))</f>
        <v>91.258673125062984</v>
      </c>
      <c r="BR20" s="214">
        <f>IF(AND(($E20+$C$1)&gt;BR$4,BR$4&gt;=$C$1),'General Inputs'!T$11*$H20,IF(AND(($D20+$C$1)&gt;BR$4,BR$4&gt;=$C$1),'General Inputs'!T$11*$G20,0))</f>
        <v>0</v>
      </c>
      <c r="BS20" s="214">
        <f>IF(AND(($E20+$C$1)&gt;BS$4,BS$4&gt;=$C$1),'General Inputs'!U$11*$H20,IF(AND(($D20+$C$1)&gt;BS$4,BS$4&gt;=$C$1),'General Inputs'!U$11*$G20,0))</f>
        <v>0</v>
      </c>
      <c r="BT20" s="214">
        <f>IF(AND(($E20+$C$1)&gt;BT$4,BT$4&gt;=$C$1),'General Inputs'!V$11*$H20,IF(AND(($D20+$C$1)&gt;BT$4,BT$4&gt;=$C$1),'General Inputs'!V$11*$G20,0))</f>
        <v>0</v>
      </c>
      <c r="BU20" s="214">
        <f>IF(AND(($E20+$C$1)&gt;BU$4,BU$4&gt;=$C$1),'General Inputs'!W$11*$H20,IF(AND(($D20+$C$1)&gt;BU$4,BU$4&gt;=$C$1),'General Inputs'!W$11*$G20,0))</f>
        <v>0</v>
      </c>
      <c r="BW20" s="214">
        <f>IF(AND(($E20+$C$1)&gt;BW$4,BW$4&gt;=$C$1),$H20,IF(AND(($D20+$C$1)&gt;BW$4,BW$4&gt;=$C$1),$G20,0))*IF($A20="Residential",'General Inputs'!D$14,'General Inputs'!D$19)</f>
        <v>0</v>
      </c>
      <c r="BX20" s="214">
        <f>IF(AND(($E20+$C$1)&gt;BX$4,BX$4&gt;=$C$1),$H20,IF(AND(($D20+$C$1)&gt;BX$4,BX$4&gt;=$C$1),$G20,0))*IF($A20="Residential",'General Inputs'!E$14,'General Inputs'!E$19)</f>
        <v>1090.6517422546885</v>
      </c>
      <c r="BY20" s="214">
        <f>IF(AND(($E20+$C$1)&gt;BY$4,BY$4&gt;=$C$1),$H20,IF(AND(($D20+$C$1)&gt;BY$4,BY$4&gt;=$C$1),$G20,0))*IF($A20="Residential",'General Inputs'!F$14,'General Inputs'!F$19)</f>
        <v>1107.0115183885086</v>
      </c>
      <c r="BZ20" s="214">
        <f>IF(AND(($E20+$C$1)&gt;BZ$4,BZ$4&gt;=$C$1),$H20,IF(AND(($D20+$C$1)&gt;BZ$4,BZ$4&gt;=$C$1),$G20,0))*IF($A20="Residential",'General Inputs'!G$14,'General Inputs'!G$19)</f>
        <v>1123.6166911643361</v>
      </c>
      <c r="CA20" s="214">
        <f>IF(AND(($E20+$C$1)&gt;CA$4,CA$4&gt;=$C$1),$H20,IF(AND(($D20+$C$1)&gt;CA$4,CA$4&gt;=$C$1),$G20,0))*IF($A20="Residential",'General Inputs'!H$14,'General Inputs'!H$19)</f>
        <v>1140.4709415318009</v>
      </c>
      <c r="CB20" s="214">
        <f>IF(AND(($E20+$C$1)&gt;CB$4,CB$4&gt;=$C$1),$H20,IF(AND(($D20+$C$1)&gt;CB$4,CB$4&gt;=$C$1),$G20,0))*IF($A20="Residential",'General Inputs'!I$14,'General Inputs'!I$19)</f>
        <v>1157.5780056547778</v>
      </c>
      <c r="CC20" s="214">
        <f>IF(AND(($E20+$C$1)&gt;CC$4,CC$4&gt;=$C$1),$H20,IF(AND(($D20+$C$1)&gt;CC$4,CC$4&gt;=$C$1),$G20,0))*IF($A20="Residential",'General Inputs'!J$14,'General Inputs'!J$19)</f>
        <v>1174.9416757395993</v>
      </c>
      <c r="CD20" s="214">
        <f>IF(AND(($E20+$C$1)&gt;CD$4,CD$4&gt;=$C$1),$H20,IF(AND(($D20+$C$1)&gt;CD$4,CD$4&gt;=$C$1),$G20,0))*IF($A20="Residential",'General Inputs'!K$14,'General Inputs'!K$19)</f>
        <v>1192.5658008756932</v>
      </c>
      <c r="CE20" s="214">
        <f>IF(AND(($E20+$C$1)&gt;CE$4,CE$4&gt;=$C$1),$H20,IF(AND(($D20+$C$1)&gt;CE$4,CE$4&gt;=$C$1),$G20,0))*IF($A20="Residential",'General Inputs'!L$14,'General Inputs'!L$19)</f>
        <v>1210.4542878888283</v>
      </c>
      <c r="CF20" s="214">
        <f>IF(AND(($E20+$C$1)&gt;CF$4,CF$4&gt;=$C$1),$H20,IF(AND(($D20+$C$1)&gt;CF$4,CF$4&gt;=$C$1),$G20,0))*IF($A20="Residential",'General Inputs'!M$14,'General Inputs'!M$19)</f>
        <v>1228.6111022071607</v>
      </c>
      <c r="CG20" s="214">
        <f>IF(AND(($E20+$C$1)&gt;CG$4,CG$4&gt;=$C$1),$H20,IF(AND(($D20+$C$1)&gt;CG$4,CG$4&gt;=$C$1),$G20,0))*IF($A20="Residential",'General Inputs'!N$14,'General Inputs'!N$19)</f>
        <v>1247.0402687402679</v>
      </c>
      <c r="CH20" s="214">
        <f>IF(AND(($E20+$C$1)&gt;CH$4,CH$4&gt;=$C$1),$H20,IF(AND(($D20+$C$1)&gt;CH$4,CH$4&gt;=$C$1),$G20,0))*IF($A20="Residential",'General Inputs'!O$14,'General Inputs'!O$19)</f>
        <v>1265.745872771372</v>
      </c>
      <c r="CI20" s="214">
        <f>IF(AND(($E20+$C$1)&gt;CI$4,CI$4&gt;=$C$1),$H20,IF(AND(($D20+$C$1)&gt;CI$4,CI$4&gt;=$C$1),$G20,0))*IF($A20="Residential",'General Inputs'!P$14,'General Inputs'!P$19)</f>
        <v>1284.7320608629423</v>
      </c>
      <c r="CJ20" s="214">
        <f>IF(AND(($E20+$C$1)&gt;CJ$4,CJ$4&gt;=$C$1),$H20,IF(AND(($D20+$C$1)&gt;CJ$4,CJ$4&gt;=$C$1),$G20,0))*IF($A20="Residential",'General Inputs'!Q$14,'General Inputs'!Q$19)</f>
        <v>1304.0030417758862</v>
      </c>
      <c r="CK20" s="214">
        <f>IF(AND(($E20+$C$1)&gt;CK$4,CK$4&gt;=$C$1),$H20,IF(AND(($D20+$C$1)&gt;CK$4,CK$4&gt;=$C$1),$G20,0))*IF($A20="Residential",'General Inputs'!R$14,'General Inputs'!R$19)</f>
        <v>1323.5630874025244</v>
      </c>
      <c r="CL20" s="214">
        <f>IF(AND(($E20+$C$1)&gt;CL$4,CL$4&gt;=$C$1),$H20,IF(AND(($D20+$C$1)&gt;CL$4,CL$4&gt;=$C$1),$G20,0))*IF($A20="Residential",'General Inputs'!S$14,'General Inputs'!S$19)</f>
        <v>1343.4165337135621</v>
      </c>
      <c r="CM20" s="214">
        <f>IF(AND(($E20+$C$1)&gt;CM$4,CM$4&gt;=$C$1),$H20,IF(AND(($D20+$C$1)&gt;CM$4,CM$4&gt;=$C$1),$G20,0))*IF($A20="Residential",'General Inputs'!T$14,'General Inputs'!T$19)</f>
        <v>0</v>
      </c>
      <c r="CN20" s="214">
        <f>IF(AND(($E20+$C$1)&gt;CN$4,CN$4&gt;=$C$1),$H20,IF(AND(($D20+$C$1)&gt;CN$4,CN$4&gt;=$C$1),$G20,0))*IF($A20="Residential",'General Inputs'!U$14,'General Inputs'!U$19)</f>
        <v>0</v>
      </c>
      <c r="CO20" s="214">
        <f>IF(AND(($E20+$C$1)&gt;CO$4,CO$4&gt;=$C$1),$H20,IF(AND(($D20+$C$1)&gt;CO$4,CO$4&gt;=$C$1),$G20,0))*IF($A20="Residential",'General Inputs'!V$14,'General Inputs'!V$19)</f>
        <v>0</v>
      </c>
      <c r="CP20" s="214">
        <f>IF(AND(($E20+$C$1)&gt;CP$4,CP$4&gt;=$C$1),$H20,IF(AND(($D20+$C$1)&gt;CP$4,CP$4&gt;=$C$1),$G20,0))*IF($A20="Residential",'General Inputs'!W$14,'General Inputs'!W$19)</f>
        <v>0</v>
      </c>
      <c r="CR20" s="214">
        <f>IF(AND(($E20+$C$1)&gt;CR$4,CR$4&gt;=$C$1),$H20,IF(AND(($D20+$C$1)&gt;CR$4,CR$4&gt;=$C$1),$G20,0))*IF($A20="Residential",'General Inputs'!D$15,'General Inputs'!D$19)</f>
        <v>0</v>
      </c>
      <c r="CS20" s="214">
        <f>IF(AND(($E20+$C$1)&gt;CS$4,CS$4&gt;=$C$1),$H20,IF(AND(($D20+$C$1)&gt;CS$4,CS$4&gt;=$C$1),$G20,0))*IF($A20="Residential",'General Inputs'!E$15,'General Inputs'!E$19)</f>
        <v>887.25422272629589</v>
      </c>
      <c r="CT20" s="214">
        <f>IF(AND(($E20+$C$1)&gt;CT$4,CT$4&gt;=$C$1),$H20,IF(AND(($D20+$C$1)&gt;CT$4,CT$4&gt;=$C$1),$G20,0))*IF($A20="Residential",'General Inputs'!F$15,'General Inputs'!F$19)</f>
        <v>900.5630360671903</v>
      </c>
      <c r="CU20" s="214">
        <f>IF(AND(($E20+$C$1)&gt;CU$4,CU$4&gt;=$C$1),$H20,IF(AND(($D20+$C$1)&gt;CU$4,CU$4&gt;=$C$1),$G20,0))*IF($A20="Residential",'General Inputs'!G$15,'General Inputs'!G$19)</f>
        <v>914.07148160819804</v>
      </c>
      <c r="CV20" s="214">
        <f>IF(AND(($E20+$C$1)&gt;CV$4,CV$4&gt;=$C$1),$H20,IF(AND(($D20+$C$1)&gt;CV$4,CV$4&gt;=$C$1),$G20,0))*IF($A20="Residential",'General Inputs'!H$15,'General Inputs'!H$19)</f>
        <v>927.7825538323209</v>
      </c>
      <c r="CW20" s="214">
        <f>IF(AND(($E20+$C$1)&gt;CW$4,CW$4&gt;=$C$1),$H20,IF(AND(($D20+$C$1)&gt;CW$4,CW$4&gt;=$C$1),$G20,0))*IF($A20="Residential",'General Inputs'!I$15,'General Inputs'!I$19)</f>
        <v>941.69929213980561</v>
      </c>
      <c r="CX20" s="214">
        <f>IF(AND(($E20+$C$1)&gt;CX$4,CX$4&gt;=$C$1),$H20,IF(AND(($D20+$C$1)&gt;CX$4,CX$4&gt;=$C$1),$G20,0))*IF($A20="Residential",'General Inputs'!J$15,'General Inputs'!J$19)</f>
        <v>955.82478152190254</v>
      </c>
      <c r="CY20" s="214">
        <f>IF(AND(($E20+$C$1)&gt;CY$4,CY$4&gt;=$C$1),$H20,IF(AND(($D20+$C$1)&gt;CY$4,CY$4&gt;=$C$1),$G20,0))*IF($A20="Residential",'General Inputs'!K$15,'General Inputs'!K$19)</f>
        <v>970.16215324473103</v>
      </c>
      <c r="CZ20" s="214">
        <f>IF(AND(($E20+$C$1)&gt;CZ$4,CZ$4&gt;=$C$1),$H20,IF(AND(($D20+$C$1)&gt;CZ$4,CZ$4&gt;=$C$1),$G20,0))*IF($A20="Residential",'General Inputs'!L$15,'General Inputs'!L$19)</f>
        <v>984.71458554340188</v>
      </c>
      <c r="DA20" s="214">
        <f>IF(AND(($E20+$C$1)&gt;DA$4,DA$4&gt;=$C$1),$H20,IF(AND(($D20+$C$1)&gt;DA$4,DA$4&gt;=$C$1),$G20,0))*IF($A20="Residential",'General Inputs'!M$15,'General Inputs'!M$19)</f>
        <v>999.48530432655286</v>
      </c>
      <c r="DB20" s="214">
        <f>IF(AND(($E20+$C$1)&gt;DB$4,DB$4&gt;=$C$1),$H20,IF(AND(($D20+$C$1)&gt;DB$4,DB$4&gt;=$C$1),$G20,0))*IF($A20="Residential",'General Inputs'!N$15,'General Inputs'!N$19)</f>
        <v>1014.4775838914509</v>
      </c>
      <c r="DC20" s="214">
        <f>IF(AND(($E20+$C$1)&gt;DC$4,DC$4&gt;=$C$1),$H20,IF(AND(($D20+$C$1)&gt;DC$4,DC$4&gt;=$C$1),$G20,0))*IF($A20="Residential",'General Inputs'!O$15,'General Inputs'!O$19)</f>
        <v>1029.6947476498226</v>
      </c>
      <c r="DD20" s="214">
        <f>IF(AND(($E20+$C$1)&gt;DD$4,DD$4&gt;=$C$1),$H20,IF(AND(($D20+$C$1)&gt;DD$4,DD$4&gt;=$C$1),$G20,0))*IF($A20="Residential",'General Inputs'!P$15,'General Inputs'!P$19)</f>
        <v>1045.1401688645699</v>
      </c>
      <c r="DE20" s="214">
        <f>IF(AND(($E20+$C$1)&gt;DE$4,DE$4&gt;=$C$1),$H20,IF(AND(($D20+$C$1)&gt;DE$4,DE$4&gt;=$C$1),$G20,0))*IF($A20="Residential",'General Inputs'!Q$15,'General Inputs'!Q$19)</f>
        <v>1060.8172713975384</v>
      </c>
      <c r="DF20" s="214">
        <f>IF(AND(($E20+$C$1)&gt;DF$4,DF$4&gt;=$C$1),$H20,IF(AND(($D20+$C$1)&gt;DF$4,DF$4&gt;=$C$1),$G20,0))*IF($A20="Residential",'General Inputs'!R$15,'General Inputs'!R$19)</f>
        <v>1076.7295304685013</v>
      </c>
      <c r="DG20" s="214">
        <f>IF(AND(($E20+$C$1)&gt;DG$4,DG$4&gt;=$C$1),$H20,IF(AND(($D20+$C$1)&gt;DG$4,DG$4&gt;=$C$1),$G20,0))*IF($A20="Residential",'General Inputs'!S$15,'General Inputs'!S$19)</f>
        <v>1092.8804734255286</v>
      </c>
      <c r="DH20" s="214">
        <f>IF(AND(($E20+$C$1)&gt;DH$4,DH$4&gt;=$C$1),$H20,IF(AND(($D20+$C$1)&gt;DH$4,DH$4&gt;=$C$1),$G20,0))*IF($A20="Residential",'General Inputs'!T$15,'General Inputs'!T$19)</f>
        <v>0</v>
      </c>
      <c r="DI20" s="214">
        <f>IF(AND(($E20+$C$1)&gt;DI$4,DI$4&gt;=$C$1),$H20,IF(AND(($D20+$C$1)&gt;DI$4,DI$4&gt;=$C$1),$G20,0))*IF($A20="Residential",'General Inputs'!U$15,'General Inputs'!U$19)</f>
        <v>0</v>
      </c>
      <c r="DJ20" s="214">
        <f>IF(AND(($E20+$C$1)&gt;DJ$4,DJ$4&gt;=$C$1),$H20,IF(AND(($D20+$C$1)&gt;DJ$4,DJ$4&gt;=$C$1),$G20,0))*IF($A20="Residential",'General Inputs'!V$15,'General Inputs'!V$19)</f>
        <v>0</v>
      </c>
      <c r="DK20" s="214">
        <f>IF(AND(($E20+$C$1)&gt;DK$4,DK$4&gt;=$C$1),$H20,IF(AND(($D20+$C$1)&gt;DK$4,DK$4&gt;=$C$1),$G20,0))*IF($A20="Residential",'General Inputs'!W$15,'General Inputs'!W$19)</f>
        <v>0</v>
      </c>
      <c r="DM20" s="214">
        <f t="shared" si="47"/>
        <v>0</v>
      </c>
      <c r="DN20" s="214">
        <f t="shared" si="27"/>
        <v>3000</v>
      </c>
      <c r="DO20" s="214">
        <f t="shared" si="27"/>
        <v>0</v>
      </c>
      <c r="DP20" s="214">
        <f t="shared" si="27"/>
        <v>0</v>
      </c>
      <c r="DQ20" s="214">
        <f t="shared" si="27"/>
        <v>0</v>
      </c>
      <c r="DR20" s="214">
        <f t="shared" si="27"/>
        <v>0</v>
      </c>
      <c r="DS20" s="214">
        <f t="shared" si="27"/>
        <v>0</v>
      </c>
      <c r="DT20" s="214">
        <f t="shared" si="27"/>
        <v>0</v>
      </c>
      <c r="DU20" s="214">
        <f t="shared" si="27"/>
        <v>0</v>
      </c>
      <c r="DV20" s="214">
        <f t="shared" si="27"/>
        <v>0</v>
      </c>
      <c r="DW20" s="214">
        <f t="shared" si="27"/>
        <v>0</v>
      </c>
      <c r="DZ20" s="650"/>
      <c r="FI20" s="195"/>
      <c r="FJ20" s="195"/>
      <c r="FK20" s="195"/>
      <c r="FL20" s="195"/>
      <c r="FM20" s="195"/>
      <c r="FN20" s="195"/>
      <c r="FO20" s="195"/>
    </row>
    <row r="21" spans="1:171">
      <c r="A21" s="342" t="s">
        <v>12</v>
      </c>
      <c r="B21" s="427" t="str">
        <f>'Portfolio Inputs'!A20</f>
        <v>Geothermal EER ≥21</v>
      </c>
      <c r="C21" s="217">
        <f>IF($C$1=2014,'Portfolio Inputs'!$C20,IF($C$1=2015,'Portfolio Inputs'!$D20,'Portfolio Inputs'!$E20))</f>
        <v>15</v>
      </c>
      <c r="D21" s="504">
        <f>VLOOKUP(B21,Sources!$B$4:$J$104,2,FALSE)</f>
        <v>18</v>
      </c>
      <c r="E21" s="504">
        <f>VLOOKUP(B21,Sources!$B$4:$J$104,3,FALSE)</f>
        <v>0</v>
      </c>
      <c r="G21" s="504">
        <f>IF($C$1=2014,'Portfolio Inputs'!$G20,IF($C$1=2015,'Portfolio Inputs'!$H20,'Portfolio Inputs'!$I20))*EnergyLineLoss</f>
        <v>77819.946330274121</v>
      </c>
      <c r="H21" s="504">
        <f>VLOOKUP($B21,Sources!$B$4:$K$104,6,FALSE)*C21*EnergyLineLoss</f>
        <v>0</v>
      </c>
      <c r="I21" s="504">
        <f>IF($C$1=2014,'Portfolio Inputs'!$K20,IF($C$1=2015,'Portfolio Inputs'!$L20,'Portfolio Inputs'!$M20))*PeakLineLoss</f>
        <v>12.170984650994086</v>
      </c>
      <c r="J21" s="510">
        <f>VLOOKUP($B21,Sources!$B$4:$K$104,8,FALSE)*C21*PeakLineLoss</f>
        <v>0</v>
      </c>
      <c r="L21" s="606">
        <f>IF($C$1=2014,'Portfolio Inputs'!$O20,IF($C$1=2015,'Portfolio Inputs'!$P20,'Portfolio Inputs'!$Q20))</f>
        <v>1230</v>
      </c>
      <c r="M21" s="518">
        <f>VLOOKUP($B21,Sources!$B$4:$K$104,10,FALSE)</f>
        <v>0</v>
      </c>
      <c r="N21" s="419">
        <f>IF($C$1=2014,'Portfolio Inputs'!$W20,IF($C$1=2015,'Portfolio Inputs'!$X20,'Portfolio Inputs'!$Y20))</f>
        <v>9000</v>
      </c>
      <c r="O21" s="419"/>
      <c r="Q21" s="438">
        <f t="shared" ref="Q21:Q23" si="48">IF(OR(AE21&gt;0,AC21&gt;0),Y21/(AC21+AE21),"n/a")</f>
        <v>1.9145144669005638</v>
      </c>
      <c r="R21" s="439">
        <f t="shared" ref="R21:R23" si="49">IF(OR(AC21&gt;0,AD21&gt;0),Y21/((AD21+AC21)),"n/a")</f>
        <v>3.9247546571461558</v>
      </c>
      <c r="S21" s="439">
        <f t="shared" ref="S21:S23" si="50">IF(OR(AC21&gt;0,AE21&gt;0),(Y21+Z21)/(AC21+AE21),"n/a")</f>
        <v>2.3776664016987414</v>
      </c>
      <c r="T21" s="439">
        <f t="shared" ref="T21:T23" si="51">IF(AE21&gt;0,(AD21+AA21)/AE21,"n/a")</f>
        <v>6.5841363013290559</v>
      </c>
      <c r="U21" s="439">
        <f t="shared" ref="U21:U23" si="52">IF(AE21&gt;0,(AD21+AB21)/AE21,"n/a")</f>
        <v>5.4472209674252996</v>
      </c>
      <c r="V21" s="439">
        <f t="shared" ref="V21:V23" si="53">IF((AA21+AC21+AD21)&gt;0,Y21/(AA21+AC21+AD21),"n/a")</f>
        <v>0.29077685808450005</v>
      </c>
      <c r="W21" s="439">
        <f t="shared" ref="W21:W23" si="54">IF((AB21+AC21+AD21)&gt;0,Y21/(AB21+AC21+AD21),"n/a")</f>
        <v>0.35146627580365708</v>
      </c>
      <c r="Y21" s="215">
        <f t="shared" ref="Y21:Y23" si="55">AG21+NPV(DiscountRate,AH21:AZ21)</f>
        <v>32453.86982204649</v>
      </c>
      <c r="Z21" s="215">
        <f t="shared" ref="Z21:Z23" si="56">BB21+NPV(DiscountRate,BC21:BU21)</f>
        <v>7851.1146609944626</v>
      </c>
      <c r="AA21" s="215">
        <f t="shared" ref="AA21:AA23" si="57">BW21+NPV(DiscountRate,BX21:CP21)</f>
        <v>103341.89154678525</v>
      </c>
      <c r="AB21" s="215">
        <f t="shared" ref="AB21:AB23" si="58">CR21+NPV(DiscountRate,CS21:DK21)</f>
        <v>84069.484425759612</v>
      </c>
      <c r="AC21" s="216">
        <f t="shared" ref="AC21:AC23" si="59">O21/((1+DiscountRate)^(IF($C$1=2015,1,IF($C$1=2016,2,0))))</f>
        <v>0</v>
      </c>
      <c r="AD21" s="216">
        <f t="shared" ref="AD21:AD23" si="60">N21/((1+DiscountRate)^(IF($C$1=2015,1,IF($C$1=2016,2,0))))</f>
        <v>8269.0187431091508</v>
      </c>
      <c r="AE21" s="215">
        <f t="shared" ref="AE21:AE23" si="61">DM21+NPV(DiscountRate,DN21:DW21)</f>
        <v>16951.488423373758</v>
      </c>
      <c r="AG21" s="214">
        <f>IF(AND(($E21+$C$1)&gt;AG$4,AG$4&gt;=$C$1),'General Inputs'!D$9*$H21,IF(AND(($D21+$C$1)&gt;AG$4,AG$4&gt;=$C$1),'General Inputs'!D$9*$G21,0))+IF(AND(($E21+$C$1)&gt;AG$4,AG$4&gt;=$C$1),'General Inputs'!D$10*$J21,IF(AND(($D21+$C$1)&gt;AG$4,AG$4&gt;=$C$1),'General Inputs'!D$10*$I21,0))</f>
        <v>0</v>
      </c>
      <c r="AH21" s="214">
        <f>IF(AND(($E21+$C$1)&gt;AH$4,AH$4&gt;=$C$1),'General Inputs'!E$9*$H21,IF(AND(($D21+$C$1)&gt;AH$4,AH$4&gt;=$C$1),'General Inputs'!E$9*$G21,0))+IF(AND(($E21+$C$1)&gt;AH$4,AH$4&gt;=$C$1),'General Inputs'!E$10*$J21,IF(AND(($D21+$C$1)&gt;AH$4,AH$4&gt;=$C$1),'General Inputs'!E$10*$I21,0))</f>
        <v>3329.6440546421618</v>
      </c>
      <c r="AI21" s="214">
        <f>IF(AND(($E21+$C$1)&gt;AI$4,AI$4&gt;=$C$1),'General Inputs'!F$9*$H21,IF(AND(($D21+$C$1)&gt;AI$4,AI$4&gt;=$C$1),'General Inputs'!F$9*$G21,0))+IF(AND(($E21+$C$1)&gt;AI$4,AI$4&gt;=$C$1),'General Inputs'!F$10*$J21,IF(AND(($D21+$C$1)&gt;AI$4,AI$4&gt;=$C$1),'General Inputs'!F$10*$I21,0))</f>
        <v>3379.588715461794</v>
      </c>
      <c r="AJ21" s="214">
        <f>IF(AND(($E21+$C$1)&gt;AJ$4,AJ$4&gt;=$C$1),'General Inputs'!G$9*$H21,IF(AND(($D21+$C$1)&gt;AJ$4,AJ$4&gt;=$C$1),'General Inputs'!G$9*$G21,0))+IF(AND(($E21+$C$1)&gt;AJ$4,AJ$4&gt;=$C$1),'General Inputs'!G$10*$J21,IF(AND(($D21+$C$1)&gt;AJ$4,AJ$4&gt;=$C$1),'General Inputs'!G$10*$I21,0))</f>
        <v>3430.2825461937205</v>
      </c>
      <c r="AK21" s="214">
        <f>IF(AND(($E21+$C$1)&gt;AK$4,AK$4&gt;=$C$1),'General Inputs'!H$9*$H21,IF(AND(($D21+$C$1)&gt;AK$4,AK$4&gt;=$C$1),'General Inputs'!H$9*$G21,0))+IF(AND(($E21+$C$1)&gt;AK$4,AK$4&gt;=$C$1),'General Inputs'!H$10*$J21,IF(AND(($D21+$C$1)&gt;AK$4,AK$4&gt;=$C$1),'General Inputs'!H$10*$I21,0))</f>
        <v>3481.7367843866255</v>
      </c>
      <c r="AL21" s="214">
        <f>IF(AND(($E21+$C$1)&gt;AL$4,AL$4&gt;=$C$1),'General Inputs'!I$9*$H21,IF(AND(($D21+$C$1)&gt;AL$4,AL$4&gt;=$C$1),'General Inputs'!I$9*$G21,0))+IF(AND(($E21+$C$1)&gt;AL$4,AL$4&gt;=$C$1),'General Inputs'!I$10*$J21,IF(AND(($D21+$C$1)&gt;AL$4,AL$4&gt;=$C$1),'General Inputs'!I$10*$I21,0))</f>
        <v>3533.9628361524246</v>
      </c>
      <c r="AM21" s="214">
        <f>IF(AND(($E21+$C$1)&gt;AM$4,AM$4&gt;=$C$1),'General Inputs'!J$9*$H21,IF(AND(($D21+$C$1)&gt;AM$4,AM$4&gt;=$C$1),'General Inputs'!J$9*$G21,0))+IF(AND(($E21+$C$1)&gt;AM$4,AM$4&gt;=$C$1),'General Inputs'!J$10*$J21,IF(AND(($D21+$C$1)&gt;AM$4,AM$4&gt;=$C$1),'General Inputs'!J$10*$I21,0))</f>
        <v>3586.9722786947104</v>
      </c>
      <c r="AN21" s="214">
        <f>IF(AND(($E21+$C$1)&gt;AN$4,AN$4&gt;=$C$1),'General Inputs'!K$9*$H21,IF(AND(($D21+$C$1)&gt;AN$4,AN$4&gt;=$C$1),'General Inputs'!K$9*$G21,0))+IF(AND(($E21+$C$1)&gt;AN$4,AN$4&gt;=$C$1),'General Inputs'!K$10*$J21,IF(AND(($D21+$C$1)&gt;AN$4,AN$4&gt;=$C$1),'General Inputs'!K$10*$I21,0))</f>
        <v>3640.7768628751305</v>
      </c>
      <c r="AO21" s="214">
        <f>IF(AND(($E21+$C$1)&gt;AO$4,AO$4&gt;=$C$1),'General Inputs'!L$9*$H21,IF(AND(($D21+$C$1)&gt;AO$4,AO$4&gt;=$C$1),'General Inputs'!L$9*$G21,0))+IF(AND(($E21+$C$1)&gt;AO$4,AO$4&gt;=$C$1),'General Inputs'!L$10*$J21,IF(AND(($D21+$C$1)&gt;AO$4,AO$4&gt;=$C$1),'General Inputs'!L$10*$I21,0))</f>
        <v>3695.388515818257</v>
      </c>
      <c r="AP21" s="214">
        <f>IF(AND(($E21+$C$1)&gt;AP$4,AP$4&gt;=$C$1),'General Inputs'!M$9*$H21,IF(AND(($D21+$C$1)&gt;AP$4,AP$4&gt;=$C$1),'General Inputs'!M$9*$G21,0))+IF(AND(($E21+$C$1)&gt;AP$4,AP$4&gt;=$C$1),'General Inputs'!M$10*$J21,IF(AND(($D21+$C$1)&gt;AP$4,AP$4&gt;=$C$1),'General Inputs'!M$10*$I21,0))</f>
        <v>3750.8193435555304</v>
      </c>
      <c r="AQ21" s="214">
        <f>IF(AND(($E21+$C$1)&gt;AQ$4,AQ$4&gt;=$C$1),'General Inputs'!N$9*$H21,IF(AND(($D21+$C$1)&gt;AQ$4,AQ$4&gt;=$C$1),'General Inputs'!N$9*$G21,0))+IF(AND(($E21+$C$1)&gt;AQ$4,AQ$4&gt;=$C$1),'General Inputs'!N$10*$J21,IF(AND(($D21+$C$1)&gt;AQ$4,AQ$4&gt;=$C$1),'General Inputs'!N$10*$I21,0))</f>
        <v>3807.0816337088631</v>
      </c>
      <c r="AR21" s="214">
        <f>IF(AND(($E21+$C$1)&gt;AR$4,AR$4&gt;=$C$1),'General Inputs'!O$9*$H21,IF(AND(($D21+$C$1)&gt;AR$4,AR$4&gt;=$C$1),'General Inputs'!O$9*$G21,0))+IF(AND(($E21+$C$1)&gt;AR$4,AR$4&gt;=$C$1),'General Inputs'!O$10*$J21,IF(AND(($D21+$C$1)&gt;AR$4,AR$4&gt;=$C$1),'General Inputs'!O$10*$I21,0))</f>
        <v>3864.1878582144955</v>
      </c>
      <c r="AS21" s="214">
        <f>IF(AND(($E21+$C$1)&gt;AS$4,AS$4&gt;=$C$1),'General Inputs'!P$9*$H21,IF(AND(($D21+$C$1)&gt;AS$4,AS$4&gt;=$C$1),'General Inputs'!P$9*$G21,0))+IF(AND(($E21+$C$1)&gt;AS$4,AS$4&gt;=$C$1),'General Inputs'!P$10*$J21,IF(AND(($D21+$C$1)&gt;AS$4,AS$4&gt;=$C$1),'General Inputs'!P$10*$I21,0))</f>
        <v>3922.1506760877123</v>
      </c>
      <c r="AT21" s="214">
        <f>IF(AND(($E21+$C$1)&gt;AT$4,AT$4&gt;=$C$1),'General Inputs'!Q$9*$H21,IF(AND(($D21+$C$1)&gt;AT$4,AT$4&gt;=$C$1),'General Inputs'!Q$9*$G21,0))+IF(AND(($E21+$C$1)&gt;AT$4,AT$4&gt;=$C$1),'General Inputs'!Q$10*$J21,IF(AND(($D21+$C$1)&gt;AT$4,AT$4&gt;=$C$1),'General Inputs'!Q$10*$I21,0))</f>
        <v>3980.9829362290279</v>
      </c>
      <c r="AU21" s="214">
        <f>IF(AND(($E21+$C$1)&gt;AU$4,AU$4&gt;=$C$1),'General Inputs'!R$9*$H21,IF(AND(($D21+$C$1)&gt;AU$4,AU$4&gt;=$C$1),'General Inputs'!R$9*$G21,0))+IF(AND(($E21+$C$1)&gt;AU$4,AU$4&gt;=$C$1),'General Inputs'!R$10*$J21,IF(AND(($D21+$C$1)&gt;AU$4,AU$4&gt;=$C$1),'General Inputs'!R$10*$I21,0))</f>
        <v>4040.6976802724635</v>
      </c>
      <c r="AV21" s="214">
        <f>IF(AND(($E21+$C$1)&gt;AV$4,AV$4&gt;=$C$1),'General Inputs'!S$9*$H21,IF(AND(($D21+$C$1)&gt;AV$4,AV$4&gt;=$C$1),'General Inputs'!S$9*$G21,0))+IF(AND(($E21+$C$1)&gt;AV$4,AV$4&gt;=$C$1),'General Inputs'!S$10*$J21,IF(AND(($D21+$C$1)&gt;AV$4,AV$4&gt;=$C$1),'General Inputs'!S$10*$I21,0))</f>
        <v>4101.3081454765497</v>
      </c>
      <c r="AW21" s="214">
        <f>IF(AND(($E21+$C$1)&gt;AW$4,AW$4&gt;=$C$1),'General Inputs'!T$9*$H21,IF(AND(($D21+$C$1)&gt;AW$4,AW$4&gt;=$C$1),'General Inputs'!T$9*$G21,0))+IF(AND(($E21+$C$1)&gt;AW$4,AW$4&gt;=$C$1),'General Inputs'!T$10*$J21,IF(AND(($D21+$C$1)&gt;AW$4,AW$4&gt;=$C$1),'General Inputs'!T$10*$I21,0))</f>
        <v>4162.8277676586977</v>
      </c>
      <c r="AX21" s="214">
        <f>IF(AND(($E21+$C$1)&gt;AX$4,AX$4&gt;=$C$1),'General Inputs'!U$9*$H21,IF(AND(($D21+$C$1)&gt;AX$4,AX$4&gt;=$C$1),'General Inputs'!U$9*$G21,0))+IF(AND(($E21+$C$1)&gt;AX$4,AX$4&gt;=$C$1),'General Inputs'!U$10*$J21,IF(AND(($D21+$C$1)&gt;AX$4,AX$4&gt;=$C$1),'General Inputs'!U$10*$I21,0))</f>
        <v>4225.2701841735789</v>
      </c>
      <c r="AY21" s="214">
        <f>IF(AND(($E21+$C$1)&gt;AY$4,AY$4&gt;=$C$1),'General Inputs'!V$9*$H21,IF(AND(($D21+$C$1)&gt;AY$4,AY$4&gt;=$C$1),'General Inputs'!V$9*$G21,0))+IF(AND(($E21+$C$1)&gt;AY$4,AY$4&gt;=$C$1),'General Inputs'!V$10*$J21,IF(AND(($D21+$C$1)&gt;AY$4,AY$4&gt;=$C$1),'General Inputs'!V$10*$I21,0))</f>
        <v>4288.6492369361813</v>
      </c>
      <c r="AZ21" s="214">
        <f>IF(AND(($E21+$C$1)&gt;AZ$4,AZ$4&gt;=$C$1),'General Inputs'!W$9*$H21,IF(AND(($D21+$C$1)&gt;AZ$4,AZ$4&gt;=$C$1),'General Inputs'!W$9*$G21,0))+IF(AND(($E21+$C$1)&gt;AZ$4,AZ$4&gt;=$C$1),'General Inputs'!W$10*$J21,IF(AND(($D21+$C$1)&gt;AZ$4,AZ$4&gt;=$C$1),'General Inputs'!W$10*$I21,0))</f>
        <v>0</v>
      </c>
      <c r="BB21" s="214">
        <f>IF(AND(($E21+$C$1)&gt;BB$4,BB$4&gt;=$C$1),'General Inputs'!D$11*$H21,IF(AND(($D21+$C$1)&gt;BB$4,BB$4&gt;=$C$1),'General Inputs'!D$11*$G21,0))</f>
        <v>0</v>
      </c>
      <c r="BC21" s="214">
        <f>IF(AND(($E21+$C$1)&gt;BC$4,BC$4&gt;=$C$1),'General Inputs'!E$11*$H21,IF(AND(($D21+$C$1)&gt;BC$4,BC$4&gt;=$C$1),'General Inputs'!E$11*$G21,0))</f>
        <v>887.14738816512499</v>
      </c>
      <c r="BD21" s="214">
        <f>IF(AND(($E21+$C$1)&gt;BD$4,BD$4&gt;=$C$1),'General Inputs'!F$11*$H21,IF(AND(($D21+$C$1)&gt;BD$4,BD$4&gt;=$C$1),'General Inputs'!F$11*$G21,0))</f>
        <v>887.14738816512499</v>
      </c>
      <c r="BE21" s="214">
        <f>IF(AND(($E21+$C$1)&gt;BE$4,BE$4&gt;=$C$1),'General Inputs'!G$11*$H21,IF(AND(($D21+$C$1)&gt;BE$4,BE$4&gt;=$C$1),'General Inputs'!G$11*$G21,0))</f>
        <v>887.14738816512499</v>
      </c>
      <c r="BF21" s="214">
        <f>IF(AND(($E21+$C$1)&gt;BF$4,BF$4&gt;=$C$1),'General Inputs'!H$11*$H21,IF(AND(($D21+$C$1)&gt;BF$4,BF$4&gt;=$C$1),'General Inputs'!H$11*$G21,0))</f>
        <v>887.14738816512499</v>
      </c>
      <c r="BG21" s="214">
        <f>IF(AND(($E21+$C$1)&gt;BG$4,BG$4&gt;=$C$1),'General Inputs'!I$11*$H21,IF(AND(($D21+$C$1)&gt;BG$4,BG$4&gt;=$C$1),'General Inputs'!I$11*$G21,0))</f>
        <v>887.14738816512499</v>
      </c>
      <c r="BH21" s="214">
        <f>IF(AND(($E21+$C$1)&gt;BH$4,BH$4&gt;=$C$1),'General Inputs'!J$11*$H21,IF(AND(($D21+$C$1)&gt;BH$4,BH$4&gt;=$C$1),'General Inputs'!J$11*$G21,0))</f>
        <v>887.14738816512499</v>
      </c>
      <c r="BI21" s="214">
        <f>IF(AND(($E21+$C$1)&gt;BI$4,BI$4&gt;=$C$1),'General Inputs'!K$11*$H21,IF(AND(($D21+$C$1)&gt;BI$4,BI$4&gt;=$C$1),'General Inputs'!K$11*$G21,0))</f>
        <v>887.14738816512499</v>
      </c>
      <c r="BJ21" s="214">
        <f>IF(AND(($E21+$C$1)&gt;BJ$4,BJ$4&gt;=$C$1),'General Inputs'!L$11*$H21,IF(AND(($D21+$C$1)&gt;BJ$4,BJ$4&gt;=$C$1),'General Inputs'!L$11*$G21,0))</f>
        <v>887.14738816512499</v>
      </c>
      <c r="BK21" s="214">
        <f>IF(AND(($E21+$C$1)&gt;BK$4,BK$4&gt;=$C$1),'General Inputs'!M$11*$H21,IF(AND(($D21+$C$1)&gt;BK$4,BK$4&gt;=$C$1),'General Inputs'!M$11*$G21,0))</f>
        <v>887.14738816512499</v>
      </c>
      <c r="BL21" s="214">
        <f>IF(AND(($E21+$C$1)&gt;BL$4,BL$4&gt;=$C$1),'General Inputs'!N$11*$H21,IF(AND(($D21+$C$1)&gt;BL$4,BL$4&gt;=$C$1),'General Inputs'!N$11*$G21,0))</f>
        <v>887.14738816512499</v>
      </c>
      <c r="BM21" s="214">
        <f>IF(AND(($E21+$C$1)&gt;BM$4,BM$4&gt;=$C$1),'General Inputs'!O$11*$H21,IF(AND(($D21+$C$1)&gt;BM$4,BM$4&gt;=$C$1),'General Inputs'!O$11*$G21,0))</f>
        <v>887.14738816512499</v>
      </c>
      <c r="BN21" s="214">
        <f>IF(AND(($E21+$C$1)&gt;BN$4,BN$4&gt;=$C$1),'General Inputs'!P$11*$H21,IF(AND(($D21+$C$1)&gt;BN$4,BN$4&gt;=$C$1),'General Inputs'!P$11*$G21,0))</f>
        <v>887.14738816512499</v>
      </c>
      <c r="BO21" s="214">
        <f>IF(AND(($E21+$C$1)&gt;BO$4,BO$4&gt;=$C$1),'General Inputs'!Q$11*$H21,IF(AND(($D21+$C$1)&gt;BO$4,BO$4&gt;=$C$1),'General Inputs'!Q$11*$G21,0))</f>
        <v>887.14738816512499</v>
      </c>
      <c r="BP21" s="214">
        <f>IF(AND(($E21+$C$1)&gt;BP$4,BP$4&gt;=$C$1),'General Inputs'!R$11*$H21,IF(AND(($D21+$C$1)&gt;BP$4,BP$4&gt;=$C$1),'General Inputs'!R$11*$G21,0))</f>
        <v>887.14738816512499</v>
      </c>
      <c r="BQ21" s="214">
        <f>IF(AND(($E21+$C$1)&gt;BQ$4,BQ$4&gt;=$C$1),'General Inputs'!S$11*$H21,IF(AND(($D21+$C$1)&gt;BQ$4,BQ$4&gt;=$C$1),'General Inputs'!S$11*$G21,0))</f>
        <v>887.14738816512499</v>
      </c>
      <c r="BR21" s="214">
        <f>IF(AND(($E21+$C$1)&gt;BR$4,BR$4&gt;=$C$1),'General Inputs'!T$11*$H21,IF(AND(($D21+$C$1)&gt;BR$4,BR$4&gt;=$C$1),'General Inputs'!T$11*$G21,0))</f>
        <v>887.14738816512499</v>
      </c>
      <c r="BS21" s="214">
        <f>IF(AND(($E21+$C$1)&gt;BS$4,BS$4&gt;=$C$1),'General Inputs'!U$11*$H21,IF(AND(($D21+$C$1)&gt;BS$4,BS$4&gt;=$C$1),'General Inputs'!U$11*$G21,0))</f>
        <v>887.14738816512499</v>
      </c>
      <c r="BT21" s="214">
        <f>IF(AND(($E21+$C$1)&gt;BT$4,BT$4&gt;=$C$1),'General Inputs'!V$11*$H21,IF(AND(($D21+$C$1)&gt;BT$4,BT$4&gt;=$C$1),'General Inputs'!V$11*$G21,0))</f>
        <v>887.14738816512499</v>
      </c>
      <c r="BU21" s="214">
        <f>IF(AND(($E21+$C$1)&gt;BU$4,BU$4&gt;=$C$1),'General Inputs'!W$11*$H21,IF(AND(($D21+$C$1)&gt;BU$4,BU$4&gt;=$C$1),'General Inputs'!W$11*$G21,0))</f>
        <v>0</v>
      </c>
      <c r="BW21" s="214">
        <f>IF(AND(($E21+$C$1)&gt;BW$4,BW$4&gt;=$C$1),$H21,IF(AND(($D21+$C$1)&gt;BW$4,BW$4&gt;=$C$1),$G21,0))*IF($A21="Residential",'General Inputs'!D$14,'General Inputs'!D$19)</f>
        <v>0</v>
      </c>
      <c r="BX21" s="214">
        <f>IF(AND(($E21+$C$1)&gt;BX$4,BX$4&gt;=$C$1),$H21,IF(AND(($D21+$C$1)&gt;BX$4,BX$4&gt;=$C$1),$G21,0))*IF($A21="Residential",'General Inputs'!E$14,'General Inputs'!E$19)</f>
        <v>10602.486442170943</v>
      </c>
      <c r="BY21" s="214">
        <f>IF(AND(($E21+$C$1)&gt;BY$4,BY$4&gt;=$C$1),$H21,IF(AND(($D21+$C$1)&gt;BY$4,BY$4&gt;=$C$1),$G21,0))*IF($A21="Residential",'General Inputs'!F$14,'General Inputs'!F$19)</f>
        <v>10761.523738803504</v>
      </c>
      <c r="BZ21" s="214">
        <f>IF(AND(($E21+$C$1)&gt;BZ$4,BZ$4&gt;=$C$1),$H21,IF(AND(($D21+$C$1)&gt;BZ$4,BZ$4&gt;=$C$1),$G21,0))*IF($A21="Residential",'General Inputs'!G$14,'General Inputs'!G$19)</f>
        <v>10922.946594885554</v>
      </c>
      <c r="CA21" s="214">
        <f>IF(AND(($E21+$C$1)&gt;CA$4,CA$4&gt;=$C$1),$H21,IF(AND(($D21+$C$1)&gt;CA$4,CA$4&gt;=$C$1),$G21,0))*IF($A21="Residential",'General Inputs'!H$14,'General Inputs'!H$19)</f>
        <v>11086.790793808837</v>
      </c>
      <c r="CB21" s="214">
        <f>IF(AND(($E21+$C$1)&gt;CB$4,CB$4&gt;=$C$1),$H21,IF(AND(($D21+$C$1)&gt;CB$4,CB$4&gt;=$C$1),$G21,0))*IF($A21="Residential",'General Inputs'!I$14,'General Inputs'!I$19)</f>
        <v>11253.092655715969</v>
      </c>
      <c r="CC21" s="214">
        <f>IF(AND(($E21+$C$1)&gt;CC$4,CC$4&gt;=$C$1),$H21,IF(AND(($D21+$C$1)&gt;CC$4,CC$4&gt;=$C$1),$G21,0))*IF($A21="Residential",'General Inputs'!J$14,'General Inputs'!J$19)</f>
        <v>11421.889045551707</v>
      </c>
      <c r="CD21" s="214">
        <f>IF(AND(($E21+$C$1)&gt;CD$4,CD$4&gt;=$C$1),$H21,IF(AND(($D21+$C$1)&gt;CD$4,CD$4&gt;=$C$1),$G21,0))*IF($A21="Residential",'General Inputs'!K$14,'General Inputs'!K$19)</f>
        <v>11593.217381234981</v>
      </c>
      <c r="CE21" s="214">
        <f>IF(AND(($E21+$C$1)&gt;CE$4,CE$4&gt;=$C$1),$H21,IF(AND(($D21+$C$1)&gt;CE$4,CE$4&gt;=$C$1),$G21,0))*IF($A21="Residential",'General Inputs'!L$14,'General Inputs'!L$19)</f>
        <v>11767.115641953504</v>
      </c>
      <c r="CF21" s="214">
        <f>IF(AND(($E21+$C$1)&gt;CF$4,CF$4&gt;=$C$1),$H21,IF(AND(($D21+$C$1)&gt;CF$4,CF$4&gt;=$C$1),$G21,0))*IF($A21="Residential",'General Inputs'!M$14,'General Inputs'!M$19)</f>
        <v>11943.622376582805</v>
      </c>
      <c r="CG21" s="214">
        <f>IF(AND(($E21+$C$1)&gt;CG$4,CG$4&gt;=$C$1),$H21,IF(AND(($D21+$C$1)&gt;CG$4,CG$4&gt;=$C$1),$G21,0))*IF($A21="Residential",'General Inputs'!N$14,'General Inputs'!N$19)</f>
        <v>12122.776712231545</v>
      </c>
      <c r="CH21" s="214">
        <f>IF(AND(($E21+$C$1)&gt;CH$4,CH$4&gt;=$C$1),$H21,IF(AND(($D21+$C$1)&gt;CH$4,CH$4&gt;=$C$1),$G21,0))*IF($A21="Residential",'General Inputs'!O$14,'General Inputs'!O$19)</f>
        <v>12304.618362915018</v>
      </c>
      <c r="CI21" s="214">
        <f>IF(AND(($E21+$C$1)&gt;CI$4,CI$4&gt;=$C$1),$H21,IF(AND(($D21+$C$1)&gt;CI$4,CI$4&gt;=$C$1),$G21,0))*IF($A21="Residential",'General Inputs'!P$14,'General Inputs'!P$19)</f>
        <v>12489.187638358742</v>
      </c>
      <c r="CJ21" s="214">
        <f>IF(AND(($E21+$C$1)&gt;CJ$4,CJ$4&gt;=$C$1),$H21,IF(AND(($D21+$C$1)&gt;CJ$4,CJ$4&gt;=$C$1),$G21,0))*IF($A21="Residential",'General Inputs'!Q$14,'General Inputs'!Q$19)</f>
        <v>12676.525452934122</v>
      </c>
      <c r="CK21" s="214">
        <f>IF(AND(($E21+$C$1)&gt;CK$4,CK$4&gt;=$C$1),$H21,IF(AND(($D21+$C$1)&gt;CK$4,CK$4&gt;=$C$1),$G21,0))*IF($A21="Residential",'General Inputs'!R$14,'General Inputs'!R$19)</f>
        <v>12866.673334728132</v>
      </c>
      <c r="CL21" s="214">
        <f>IF(AND(($E21+$C$1)&gt;CL$4,CL$4&gt;=$C$1),$H21,IF(AND(($D21+$C$1)&gt;CL$4,CL$4&gt;=$C$1),$G21,0))*IF($A21="Residential",'General Inputs'!S$14,'General Inputs'!S$19)</f>
        <v>13059.673434749053</v>
      </c>
      <c r="CM21" s="214">
        <f>IF(AND(($E21+$C$1)&gt;CM$4,CM$4&gt;=$C$1),$H21,IF(AND(($D21+$C$1)&gt;CM$4,CM$4&gt;=$C$1),$G21,0))*IF($A21="Residential",'General Inputs'!T$14,'General Inputs'!T$19)</f>
        <v>13255.568536270288</v>
      </c>
      <c r="CN21" s="214">
        <f>IF(AND(($E21+$C$1)&gt;CN$4,CN$4&gt;=$C$1),$H21,IF(AND(($D21+$C$1)&gt;CN$4,CN$4&gt;=$C$1),$G21,0))*IF($A21="Residential",'General Inputs'!U$14,'General Inputs'!U$19)</f>
        <v>13454.402064314339</v>
      </c>
      <c r="CO21" s="214">
        <f>IF(AND(($E21+$C$1)&gt;CO$4,CO$4&gt;=$C$1),$H21,IF(AND(($D21+$C$1)&gt;CO$4,CO$4&gt;=$C$1),$G21,0))*IF($A21="Residential",'General Inputs'!V$14,'General Inputs'!V$19)</f>
        <v>13656.218095279053</v>
      </c>
      <c r="CP21" s="214">
        <f>IF(AND(($E21+$C$1)&gt;CP$4,CP$4&gt;=$C$1),$H21,IF(AND(($D21+$C$1)&gt;CP$4,CP$4&gt;=$C$1),$G21,0))*IF($A21="Residential",'General Inputs'!W$14,'General Inputs'!W$19)</f>
        <v>0</v>
      </c>
      <c r="CR21" s="214">
        <f>IF(AND(($E21+$C$1)&gt;CR$4,CR$4&gt;=$C$1),$H21,IF(AND(($D21+$C$1)&gt;CR$4,CR$4&gt;=$C$1),$G21,0))*IF($A21="Residential",'General Inputs'!D$15,'General Inputs'!D$19)</f>
        <v>0</v>
      </c>
      <c r="CS21" s="214">
        <f>IF(AND(($E21+$C$1)&gt;CS$4,CS$4&gt;=$C$1),$H21,IF(AND(($D21+$C$1)&gt;CS$4,CS$4&gt;=$C$1),$G21,0))*IF($A21="Residential",'General Inputs'!E$15,'General Inputs'!E$19)</f>
        <v>8625.2105074047813</v>
      </c>
      <c r="CT21" s="214">
        <f>IF(AND(($E21+$C$1)&gt;CT$4,CT$4&gt;=$C$1),$H21,IF(AND(($D21+$C$1)&gt;CT$4,CT$4&gt;=$C$1),$G21,0))*IF($A21="Residential",'General Inputs'!F$15,'General Inputs'!F$19)</f>
        <v>8754.5886650158518</v>
      </c>
      <c r="CU21" s="214">
        <f>IF(AND(($E21+$C$1)&gt;CU$4,CU$4&gt;=$C$1),$H21,IF(AND(($D21+$C$1)&gt;CU$4,CU$4&gt;=$C$1),$G21,0))*IF($A21="Residential",'General Inputs'!G$15,'General Inputs'!G$19)</f>
        <v>8885.9074949910882</v>
      </c>
      <c r="CV21" s="214">
        <f>IF(AND(($E21+$C$1)&gt;CV$4,CV$4&gt;=$C$1),$H21,IF(AND(($D21+$C$1)&gt;CV$4,CV$4&gt;=$C$1),$G21,0))*IF($A21="Residential",'General Inputs'!H$15,'General Inputs'!H$19)</f>
        <v>9019.1961074159535</v>
      </c>
      <c r="CW21" s="214">
        <f>IF(AND(($E21+$C$1)&gt;CW$4,CW$4&gt;=$C$1),$H21,IF(AND(($D21+$C$1)&gt;CW$4,CW$4&gt;=$C$1),$G21,0))*IF($A21="Residential",'General Inputs'!I$15,'General Inputs'!I$19)</f>
        <v>9154.4840490271927</v>
      </c>
      <c r="CX21" s="214">
        <f>IF(AND(($E21+$C$1)&gt;CX$4,CX$4&gt;=$C$1),$H21,IF(AND(($D21+$C$1)&gt;CX$4,CX$4&gt;=$C$1),$G21,0))*IF($A21="Residential",'General Inputs'!J$15,'General Inputs'!J$19)</f>
        <v>9291.801309762599</v>
      </c>
      <c r="CY21" s="214">
        <f>IF(AND(($E21+$C$1)&gt;CY$4,CY$4&gt;=$C$1),$H21,IF(AND(($D21+$C$1)&gt;CY$4,CY$4&gt;=$C$1),$G21,0))*IF($A21="Residential",'General Inputs'!K$15,'General Inputs'!K$19)</f>
        <v>9431.1783294090365</v>
      </c>
      <c r="CZ21" s="214">
        <f>IF(AND(($E21+$C$1)&gt;CZ$4,CZ$4&gt;=$C$1),$H21,IF(AND(($D21+$C$1)&gt;CZ$4,CZ$4&gt;=$C$1),$G21,0))*IF($A21="Residential",'General Inputs'!L$15,'General Inputs'!L$19)</f>
        <v>9572.646004350172</v>
      </c>
      <c r="DA21" s="214">
        <f>IF(AND(($E21+$C$1)&gt;DA$4,DA$4&gt;=$C$1),$H21,IF(AND(($D21+$C$1)&gt;DA$4,DA$4&gt;=$C$1),$G21,0))*IF($A21="Residential",'General Inputs'!M$15,'General Inputs'!M$19)</f>
        <v>9716.2356944154235</v>
      </c>
      <c r="DB21" s="214">
        <f>IF(AND(($E21+$C$1)&gt;DB$4,DB$4&gt;=$C$1),$H21,IF(AND(($D21+$C$1)&gt;DB$4,DB$4&gt;=$C$1),$G21,0))*IF($A21="Residential",'General Inputs'!N$15,'General Inputs'!N$19)</f>
        <v>9861.9792298316534</v>
      </c>
      <c r="DC21" s="214">
        <f>IF(AND(($E21+$C$1)&gt;DC$4,DC$4&gt;=$C$1),$H21,IF(AND(($D21+$C$1)&gt;DC$4,DC$4&gt;=$C$1),$G21,0))*IF($A21="Residential",'General Inputs'!O$15,'General Inputs'!O$19)</f>
        <v>10009.908918279127</v>
      </c>
      <c r="DD21" s="214">
        <f>IF(AND(($E21+$C$1)&gt;DD$4,DD$4&gt;=$C$1),$H21,IF(AND(($D21+$C$1)&gt;DD$4,DD$4&gt;=$C$1),$G21,0))*IF($A21="Residential",'General Inputs'!P$15,'General Inputs'!P$19)</f>
        <v>10160.057552053313</v>
      </c>
      <c r="DE21" s="214">
        <f>IF(AND(($E21+$C$1)&gt;DE$4,DE$4&gt;=$C$1),$H21,IF(AND(($D21+$C$1)&gt;DE$4,DE$4&gt;=$C$1),$G21,0))*IF($A21="Residential",'General Inputs'!Q$15,'General Inputs'!Q$19)</f>
        <v>10312.458415334113</v>
      </c>
      <c r="DF21" s="214">
        <f>IF(AND(($E21+$C$1)&gt;DF$4,DF$4&gt;=$C$1),$H21,IF(AND(($D21+$C$1)&gt;DF$4,DF$4&gt;=$C$1),$G21,0))*IF($A21="Residential",'General Inputs'!R$15,'General Inputs'!R$19)</f>
        <v>10467.145291564122</v>
      </c>
      <c r="DG21" s="214">
        <f>IF(AND(($E21+$C$1)&gt;DG$4,DG$4&gt;=$C$1),$H21,IF(AND(($D21+$C$1)&gt;DG$4,DG$4&gt;=$C$1),$G21,0))*IF($A21="Residential",'General Inputs'!S$15,'General Inputs'!S$19)</f>
        <v>10624.152470937583</v>
      </c>
      <c r="DH21" s="214">
        <f>IF(AND(($E21+$C$1)&gt;DH$4,DH$4&gt;=$C$1),$H21,IF(AND(($D21+$C$1)&gt;DH$4,DH$4&gt;=$C$1),$G21,0))*IF($A21="Residential",'General Inputs'!T$15,'General Inputs'!T$19)</f>
        <v>10783.514758001646</v>
      </c>
      <c r="DI21" s="214">
        <f>IF(AND(($E21+$C$1)&gt;DI$4,DI$4&gt;=$C$1),$H21,IF(AND(($D21+$C$1)&gt;DI$4,DI$4&gt;=$C$1),$G21,0))*IF($A21="Residential",'General Inputs'!U$15,'General Inputs'!U$19)</f>
        <v>10945.267479371669</v>
      </c>
      <c r="DJ21" s="214">
        <f>IF(AND(($E21+$C$1)&gt;DJ$4,DJ$4&gt;=$C$1),$H21,IF(AND(($D21+$C$1)&gt;DJ$4,DJ$4&gt;=$C$1),$G21,0))*IF($A21="Residential",'General Inputs'!V$15,'General Inputs'!V$19)</f>
        <v>11109.446491562243</v>
      </c>
      <c r="DK21" s="214">
        <f>IF(AND(($E21+$C$1)&gt;DK$4,DK$4&gt;=$C$1),$H21,IF(AND(($D21+$C$1)&gt;DK$4,DK$4&gt;=$C$1),$G21,0))*IF($A21="Residential",'General Inputs'!W$15,'General Inputs'!W$19)</f>
        <v>0</v>
      </c>
      <c r="DM21" s="214">
        <f t="shared" si="47"/>
        <v>0</v>
      </c>
      <c r="DN21" s="214">
        <f t="shared" si="27"/>
        <v>18450</v>
      </c>
      <c r="DO21" s="214">
        <f t="shared" si="27"/>
        <v>0</v>
      </c>
      <c r="DP21" s="214">
        <f t="shared" si="27"/>
        <v>0</v>
      </c>
      <c r="DQ21" s="214">
        <f t="shared" si="27"/>
        <v>0</v>
      </c>
      <c r="DR21" s="214">
        <f t="shared" si="27"/>
        <v>0</v>
      </c>
      <c r="DS21" s="214">
        <f t="shared" si="27"/>
        <v>0</v>
      </c>
      <c r="DT21" s="214">
        <f t="shared" si="27"/>
        <v>0</v>
      </c>
      <c r="DU21" s="214">
        <f t="shared" si="27"/>
        <v>0</v>
      </c>
      <c r="DV21" s="214">
        <f t="shared" si="27"/>
        <v>0</v>
      </c>
      <c r="DW21" s="214">
        <f t="shared" si="27"/>
        <v>0</v>
      </c>
      <c r="DZ21" s="650"/>
      <c r="FI21" s="195"/>
      <c r="FJ21" s="195"/>
      <c r="FK21" s="195"/>
      <c r="FL21" s="195"/>
      <c r="FM21" s="195"/>
      <c r="FN21" s="195"/>
      <c r="FO21" s="195"/>
    </row>
    <row r="22" spans="1:171">
      <c r="A22" s="342" t="s">
        <v>12</v>
      </c>
      <c r="B22" s="427" t="str">
        <f>'Portfolio Inputs'!A21</f>
        <v>Early Retirement Geothermal EER ≥21</v>
      </c>
      <c r="C22" s="217">
        <f>IF($C$1=2014,'Portfolio Inputs'!$C21,IF($C$1=2015,'Portfolio Inputs'!$D21,'Portfolio Inputs'!$E21))</f>
        <v>6</v>
      </c>
      <c r="D22" s="504">
        <f>VLOOKUP(B22,Sources!$B$4:$J$104,2,FALSE)</f>
        <v>18</v>
      </c>
      <c r="E22" s="504">
        <f>VLOOKUP(B22,Sources!$B$4:$J$104,3,FALSE)</f>
        <v>6</v>
      </c>
      <c r="G22" s="504">
        <f>IF($C$1=2014,'Portfolio Inputs'!$G21,IF($C$1=2015,'Portfolio Inputs'!$H21,'Portfolio Inputs'!$I21))*EnergyLineLoss</f>
        <v>31127.97853210965</v>
      </c>
      <c r="H22" s="504">
        <f>VLOOKUP($B22,Sources!$B$4:$K$104,6,FALSE)*C22*EnergyLineLoss</f>
        <v>70311.523927909016</v>
      </c>
      <c r="I22" s="504">
        <f>IF($C$1=2014,'Portfolio Inputs'!$K21,IF($C$1=2015,'Portfolio Inputs'!$L21,'Portfolio Inputs'!$M21))*PeakLineLoss</f>
        <v>4.8683938603976342</v>
      </c>
      <c r="J22" s="510">
        <f>VLOOKUP($B22,Sources!$B$4:$K$104,8,FALSE)*C22*PeakLineLoss</f>
        <v>10.258890893890456</v>
      </c>
      <c r="L22" s="606">
        <f>IF($C$1=2014,'Portfolio Inputs'!$O21,IF($C$1=2015,'Portfolio Inputs'!$P21,'Portfolio Inputs'!$Q21))</f>
        <v>2913</v>
      </c>
      <c r="M22" s="518">
        <f>VLOOKUP($B22,Sources!$B$4:$K$104,10,FALSE)</f>
        <v>2376</v>
      </c>
      <c r="N22" s="419">
        <f>IF($C$1=2014,'Portfolio Inputs'!$W21,IF($C$1=2015,'Portfolio Inputs'!$X21,'Portfolio Inputs'!$Y21))</f>
        <v>5400</v>
      </c>
      <c r="O22" s="419"/>
      <c r="Q22" s="438">
        <f t="shared" si="48"/>
        <v>2.5364535993312227</v>
      </c>
      <c r="R22" s="439">
        <f t="shared" si="49"/>
        <v>4.1815603208882104</v>
      </c>
      <c r="S22" s="439">
        <f t="shared" si="50"/>
        <v>3.1665638071978455</v>
      </c>
      <c r="T22" s="439">
        <f t="shared" si="51"/>
        <v>8.7036890852491791</v>
      </c>
      <c r="U22" s="439">
        <f t="shared" si="52"/>
        <v>7.1936454056658983</v>
      </c>
      <c r="V22" s="439">
        <f t="shared" si="53"/>
        <v>0.29142281789798175</v>
      </c>
      <c r="W22" s="439">
        <f t="shared" si="54"/>
        <v>0.35259641757341104</v>
      </c>
      <c r="Y22" s="215">
        <f t="shared" si="55"/>
        <v>20746.440401319676</v>
      </c>
      <c r="Z22" s="215">
        <f t="shared" si="56"/>
        <v>5153.8667520725894</v>
      </c>
      <c r="AA22" s="215">
        <f t="shared" si="57"/>
        <v>66228.760309549136</v>
      </c>
      <c r="AB22" s="215">
        <f t="shared" si="58"/>
        <v>53877.644874153768</v>
      </c>
      <c r="AC22" s="216">
        <f t="shared" si="59"/>
        <v>0</v>
      </c>
      <c r="AD22" s="216">
        <f t="shared" si="60"/>
        <v>4961.4112458654909</v>
      </c>
      <c r="AE22" s="215">
        <f t="shared" si="61"/>
        <v>8179.310044066965</v>
      </c>
      <c r="AG22" s="214">
        <f>IF(AND(($E22+$C$1)&gt;AG$4,AG$4&gt;=$C$1),'General Inputs'!D$9*$H22,IF(AND(($D22+$C$1)&gt;AG$4,AG$4&gt;=$C$1),'General Inputs'!D$9*$G22,0))+IF(AND(($E22+$C$1)&gt;AG$4,AG$4&gt;=$C$1),'General Inputs'!D$10*$J22,IF(AND(($D22+$C$1)&gt;AG$4,AG$4&gt;=$C$1),'General Inputs'!D$10*$I22,0))</f>
        <v>0</v>
      </c>
      <c r="AH22" s="214">
        <f>IF(AND(($E22+$C$1)&gt;AH$4,AH$4&gt;=$C$1),'General Inputs'!E$9*$H22,IF(AND(($D22+$C$1)&gt;AH$4,AH$4&gt;=$C$1),'General Inputs'!E$9*$G22,0))+IF(AND(($E22+$C$1)&gt;AH$4,AH$4&gt;=$C$1),'General Inputs'!E$10*$J22,IF(AND(($D22+$C$1)&gt;AH$4,AH$4&gt;=$C$1),'General Inputs'!E$10*$I22,0))</f>
        <v>2997.1715613498964</v>
      </c>
      <c r="AI22" s="214">
        <f>IF(AND(($E22+$C$1)&gt;AI$4,AI$4&gt;=$C$1),'General Inputs'!F$9*$H22,IF(AND(($D22+$C$1)&gt;AI$4,AI$4&gt;=$C$1),'General Inputs'!F$9*$G22,0))+IF(AND(($E22+$C$1)&gt;AI$4,AI$4&gt;=$C$1),'General Inputs'!F$10*$J22,IF(AND(($D22+$C$1)&gt;AI$4,AI$4&gt;=$C$1),'General Inputs'!F$10*$I22,0))</f>
        <v>3042.129134770144</v>
      </c>
      <c r="AJ22" s="214">
        <f>IF(AND(($E22+$C$1)&gt;AJ$4,AJ$4&gt;=$C$1),'General Inputs'!G$9*$H22,IF(AND(($D22+$C$1)&gt;AJ$4,AJ$4&gt;=$C$1),'General Inputs'!G$9*$G22,0))+IF(AND(($E22+$C$1)&gt;AJ$4,AJ$4&gt;=$C$1),'General Inputs'!G$10*$J22,IF(AND(($D22+$C$1)&gt;AJ$4,AJ$4&gt;=$C$1),'General Inputs'!G$10*$I22,0))</f>
        <v>3087.7610717916959</v>
      </c>
      <c r="AK22" s="214">
        <f>IF(AND(($E22+$C$1)&gt;AK$4,AK$4&gt;=$C$1),'General Inputs'!H$9*$H22,IF(AND(($D22+$C$1)&gt;AK$4,AK$4&gt;=$C$1),'General Inputs'!H$9*$G22,0))+IF(AND(($E22+$C$1)&gt;AK$4,AK$4&gt;=$C$1),'General Inputs'!H$10*$J22,IF(AND(($D22+$C$1)&gt;AK$4,AK$4&gt;=$C$1),'General Inputs'!H$10*$I22,0))</f>
        <v>3134.0774878685711</v>
      </c>
      <c r="AL22" s="214">
        <f>IF(AND(($E22+$C$1)&gt;AL$4,AL$4&gt;=$C$1),'General Inputs'!I$9*$H22,IF(AND(($D22+$C$1)&gt;AL$4,AL$4&gt;=$C$1),'General Inputs'!I$9*$G22,0))+IF(AND(($E22+$C$1)&gt;AL$4,AL$4&gt;=$C$1),'General Inputs'!I$10*$J22,IF(AND(($D22+$C$1)&gt;AL$4,AL$4&gt;=$C$1),'General Inputs'!I$10*$I22,0))</f>
        <v>3181.0886501865994</v>
      </c>
      <c r="AM22" s="214">
        <f>IF(AND(($E22+$C$1)&gt;AM$4,AM$4&gt;=$C$1),'General Inputs'!J$9*$H22,IF(AND(($D22+$C$1)&gt;AM$4,AM$4&gt;=$C$1),'General Inputs'!J$9*$G22,0))+IF(AND(($E22+$C$1)&gt;AM$4,AM$4&gt;=$C$1),'General Inputs'!J$10*$J22,IF(AND(($D22+$C$1)&gt;AM$4,AM$4&gt;=$C$1),'General Inputs'!J$10*$I22,0))</f>
        <v>3228.804979939398</v>
      </c>
      <c r="AN22" s="214">
        <f>IF(AND(($E22+$C$1)&gt;AN$4,AN$4&gt;=$C$1),'General Inputs'!K$9*$H22,IF(AND(($D22+$C$1)&gt;AN$4,AN$4&gt;=$C$1),'General Inputs'!K$9*$G22,0))+IF(AND(($E22+$C$1)&gt;AN$4,AN$4&gt;=$C$1),'General Inputs'!K$10*$J22,IF(AND(($D22+$C$1)&gt;AN$4,AN$4&gt;=$C$1),'General Inputs'!K$10*$I22,0))</f>
        <v>1456.3107451500523</v>
      </c>
      <c r="AO22" s="214">
        <f>IF(AND(($E22+$C$1)&gt;AO$4,AO$4&gt;=$C$1),'General Inputs'!L$9*$H22,IF(AND(($D22+$C$1)&gt;AO$4,AO$4&gt;=$C$1),'General Inputs'!L$9*$G22,0))+IF(AND(($E22+$C$1)&gt;AO$4,AO$4&gt;=$C$1),'General Inputs'!L$10*$J22,IF(AND(($D22+$C$1)&gt;AO$4,AO$4&gt;=$C$1),'General Inputs'!L$10*$I22,0))</f>
        <v>1478.1554063273029</v>
      </c>
      <c r="AP22" s="214">
        <f>IF(AND(($E22+$C$1)&gt;AP$4,AP$4&gt;=$C$1),'General Inputs'!M$9*$H22,IF(AND(($D22+$C$1)&gt;AP$4,AP$4&gt;=$C$1),'General Inputs'!M$9*$G22,0))+IF(AND(($E22+$C$1)&gt;AP$4,AP$4&gt;=$C$1),'General Inputs'!M$10*$J22,IF(AND(($D22+$C$1)&gt;AP$4,AP$4&gt;=$C$1),'General Inputs'!M$10*$I22,0))</f>
        <v>1500.3277374222123</v>
      </c>
      <c r="AQ22" s="214">
        <f>IF(AND(($E22+$C$1)&gt;AQ$4,AQ$4&gt;=$C$1),'General Inputs'!N$9*$H22,IF(AND(($D22+$C$1)&gt;AQ$4,AQ$4&gt;=$C$1),'General Inputs'!N$9*$G22,0))+IF(AND(($E22+$C$1)&gt;AQ$4,AQ$4&gt;=$C$1),'General Inputs'!N$10*$J22,IF(AND(($D22+$C$1)&gt;AQ$4,AQ$4&gt;=$C$1),'General Inputs'!N$10*$I22,0))</f>
        <v>1522.8326534835453</v>
      </c>
      <c r="AR22" s="214">
        <f>IF(AND(($E22+$C$1)&gt;AR$4,AR$4&gt;=$C$1),'General Inputs'!O$9*$H22,IF(AND(($D22+$C$1)&gt;AR$4,AR$4&gt;=$C$1),'General Inputs'!O$9*$G22,0))+IF(AND(($E22+$C$1)&gt;AR$4,AR$4&gt;=$C$1),'General Inputs'!O$10*$J22,IF(AND(($D22+$C$1)&gt;AR$4,AR$4&gt;=$C$1),'General Inputs'!O$10*$I22,0))</f>
        <v>1545.6751432857984</v>
      </c>
      <c r="AS22" s="214">
        <f>IF(AND(($E22+$C$1)&gt;AS$4,AS$4&gt;=$C$1),'General Inputs'!P$9*$H22,IF(AND(($D22+$C$1)&gt;AS$4,AS$4&gt;=$C$1),'General Inputs'!P$9*$G22,0))+IF(AND(($E22+$C$1)&gt;AS$4,AS$4&gt;=$C$1),'General Inputs'!P$10*$J22,IF(AND(($D22+$C$1)&gt;AS$4,AS$4&gt;=$C$1),'General Inputs'!P$10*$I22,0))</f>
        <v>1568.8602704350851</v>
      </c>
      <c r="AT22" s="214">
        <f>IF(AND(($E22+$C$1)&gt;AT$4,AT$4&gt;=$C$1),'General Inputs'!Q$9*$H22,IF(AND(($D22+$C$1)&gt;AT$4,AT$4&gt;=$C$1),'General Inputs'!Q$9*$G22,0))+IF(AND(($E22+$C$1)&gt;AT$4,AT$4&gt;=$C$1),'General Inputs'!Q$10*$J22,IF(AND(($D22+$C$1)&gt;AT$4,AT$4&gt;=$C$1),'General Inputs'!Q$10*$I22,0))</f>
        <v>1592.3931744916113</v>
      </c>
      <c r="AU22" s="214">
        <f>IF(AND(($E22+$C$1)&gt;AU$4,AU$4&gt;=$C$1),'General Inputs'!R$9*$H22,IF(AND(($D22+$C$1)&gt;AU$4,AU$4&gt;=$C$1),'General Inputs'!R$9*$G22,0))+IF(AND(($E22+$C$1)&gt;AU$4,AU$4&gt;=$C$1),'General Inputs'!R$10*$J22,IF(AND(($D22+$C$1)&gt;AU$4,AU$4&gt;=$C$1),'General Inputs'!R$10*$I22,0))</f>
        <v>1616.2790721089855</v>
      </c>
      <c r="AV22" s="214">
        <f>IF(AND(($E22+$C$1)&gt;AV$4,AV$4&gt;=$C$1),'General Inputs'!S$9*$H22,IF(AND(($D22+$C$1)&gt;AV$4,AV$4&gt;=$C$1),'General Inputs'!S$9*$G22,0))+IF(AND(($E22+$C$1)&gt;AV$4,AV$4&gt;=$C$1),'General Inputs'!S$10*$J22,IF(AND(($D22+$C$1)&gt;AV$4,AV$4&gt;=$C$1),'General Inputs'!S$10*$I22,0))</f>
        <v>1640.52325819062</v>
      </c>
      <c r="AW22" s="214">
        <f>IF(AND(($E22+$C$1)&gt;AW$4,AW$4&gt;=$C$1),'General Inputs'!T$9*$H22,IF(AND(($D22+$C$1)&gt;AW$4,AW$4&gt;=$C$1),'General Inputs'!T$9*$G22,0))+IF(AND(($E22+$C$1)&gt;AW$4,AW$4&gt;=$C$1),'General Inputs'!T$10*$J22,IF(AND(($D22+$C$1)&gt;AW$4,AW$4&gt;=$C$1),'General Inputs'!T$10*$I22,0))</f>
        <v>1665.1311070634792</v>
      </c>
      <c r="AX22" s="214">
        <f>IF(AND(($E22+$C$1)&gt;AX$4,AX$4&gt;=$C$1),'General Inputs'!U$9*$H22,IF(AND(($D22+$C$1)&gt;AX$4,AX$4&gt;=$C$1),'General Inputs'!U$9*$G22,0))+IF(AND(($E22+$C$1)&gt;AX$4,AX$4&gt;=$C$1),'General Inputs'!U$10*$J22,IF(AND(($D22+$C$1)&gt;AX$4,AX$4&gt;=$C$1),'General Inputs'!U$10*$I22,0))</f>
        <v>1690.1080736694312</v>
      </c>
      <c r="AY22" s="214">
        <f>IF(AND(($E22+$C$1)&gt;AY$4,AY$4&gt;=$C$1),'General Inputs'!V$9*$H22,IF(AND(($D22+$C$1)&gt;AY$4,AY$4&gt;=$C$1),'General Inputs'!V$9*$G22,0))+IF(AND(($E22+$C$1)&gt;AY$4,AY$4&gt;=$C$1),'General Inputs'!V$10*$J22,IF(AND(($D22+$C$1)&gt;AY$4,AY$4&gt;=$C$1),'General Inputs'!V$10*$I22,0))</f>
        <v>1715.4596947744726</v>
      </c>
      <c r="AZ22" s="214">
        <f>IF(AND(($E22+$C$1)&gt;AZ$4,AZ$4&gt;=$C$1),'General Inputs'!W$9*$H22,IF(AND(($D22+$C$1)&gt;AZ$4,AZ$4&gt;=$C$1),'General Inputs'!W$9*$G22,0))+IF(AND(($E22+$C$1)&gt;AZ$4,AZ$4&gt;=$C$1),'General Inputs'!W$10*$J22,IF(AND(($D22+$C$1)&gt;AZ$4,AZ$4&gt;=$C$1),'General Inputs'!W$10*$I22,0))</f>
        <v>0</v>
      </c>
      <c r="BB22" s="214">
        <f>IF(AND(($E22+$C$1)&gt;BB$4,BB$4&gt;=$C$1),'General Inputs'!D$11*$H22,IF(AND(($D22+$C$1)&gt;BB$4,BB$4&gt;=$C$1),'General Inputs'!D$11*$G22,0))</f>
        <v>0</v>
      </c>
      <c r="BC22" s="214">
        <f>IF(AND(($E22+$C$1)&gt;BC$4,BC$4&gt;=$C$1),'General Inputs'!E$11*$H22,IF(AND(($D22+$C$1)&gt;BC$4,BC$4&gt;=$C$1),'General Inputs'!E$11*$G22,0))</f>
        <v>801.55137277816277</v>
      </c>
      <c r="BD22" s="214">
        <f>IF(AND(($E22+$C$1)&gt;BD$4,BD$4&gt;=$C$1),'General Inputs'!F$11*$H22,IF(AND(($D22+$C$1)&gt;BD$4,BD$4&gt;=$C$1),'General Inputs'!F$11*$G22,0))</f>
        <v>801.55137277816277</v>
      </c>
      <c r="BE22" s="214">
        <f>IF(AND(($E22+$C$1)&gt;BE$4,BE$4&gt;=$C$1),'General Inputs'!G$11*$H22,IF(AND(($D22+$C$1)&gt;BE$4,BE$4&gt;=$C$1),'General Inputs'!G$11*$G22,0))</f>
        <v>801.55137277816277</v>
      </c>
      <c r="BF22" s="214">
        <f>IF(AND(($E22+$C$1)&gt;BF$4,BF$4&gt;=$C$1),'General Inputs'!H$11*$H22,IF(AND(($D22+$C$1)&gt;BF$4,BF$4&gt;=$C$1),'General Inputs'!H$11*$G22,0))</f>
        <v>801.55137277816277</v>
      </c>
      <c r="BG22" s="214">
        <f>IF(AND(($E22+$C$1)&gt;BG$4,BG$4&gt;=$C$1),'General Inputs'!I$11*$H22,IF(AND(($D22+$C$1)&gt;BG$4,BG$4&gt;=$C$1),'General Inputs'!I$11*$G22,0))</f>
        <v>801.55137277816277</v>
      </c>
      <c r="BH22" s="214">
        <f>IF(AND(($E22+$C$1)&gt;BH$4,BH$4&gt;=$C$1),'General Inputs'!J$11*$H22,IF(AND(($D22+$C$1)&gt;BH$4,BH$4&gt;=$C$1),'General Inputs'!J$11*$G22,0))</f>
        <v>801.55137277816277</v>
      </c>
      <c r="BI22" s="214">
        <f>IF(AND(($E22+$C$1)&gt;BI$4,BI$4&gt;=$C$1),'General Inputs'!K$11*$H22,IF(AND(($D22+$C$1)&gt;BI$4,BI$4&gt;=$C$1),'General Inputs'!K$11*$G22,0))</f>
        <v>354.85895526605003</v>
      </c>
      <c r="BJ22" s="214">
        <f>IF(AND(($E22+$C$1)&gt;BJ$4,BJ$4&gt;=$C$1),'General Inputs'!L$11*$H22,IF(AND(($D22+$C$1)&gt;BJ$4,BJ$4&gt;=$C$1),'General Inputs'!L$11*$G22,0))</f>
        <v>354.85895526605003</v>
      </c>
      <c r="BK22" s="214">
        <f>IF(AND(($E22+$C$1)&gt;BK$4,BK$4&gt;=$C$1),'General Inputs'!M$11*$H22,IF(AND(($D22+$C$1)&gt;BK$4,BK$4&gt;=$C$1),'General Inputs'!M$11*$G22,0))</f>
        <v>354.85895526605003</v>
      </c>
      <c r="BL22" s="214">
        <f>IF(AND(($E22+$C$1)&gt;BL$4,BL$4&gt;=$C$1),'General Inputs'!N$11*$H22,IF(AND(($D22+$C$1)&gt;BL$4,BL$4&gt;=$C$1),'General Inputs'!N$11*$G22,0))</f>
        <v>354.85895526605003</v>
      </c>
      <c r="BM22" s="214">
        <f>IF(AND(($E22+$C$1)&gt;BM$4,BM$4&gt;=$C$1),'General Inputs'!O$11*$H22,IF(AND(($D22+$C$1)&gt;BM$4,BM$4&gt;=$C$1),'General Inputs'!O$11*$G22,0))</f>
        <v>354.85895526605003</v>
      </c>
      <c r="BN22" s="214">
        <f>IF(AND(($E22+$C$1)&gt;BN$4,BN$4&gt;=$C$1),'General Inputs'!P$11*$H22,IF(AND(($D22+$C$1)&gt;BN$4,BN$4&gt;=$C$1),'General Inputs'!P$11*$G22,0))</f>
        <v>354.85895526605003</v>
      </c>
      <c r="BO22" s="214">
        <f>IF(AND(($E22+$C$1)&gt;BO$4,BO$4&gt;=$C$1),'General Inputs'!Q$11*$H22,IF(AND(($D22+$C$1)&gt;BO$4,BO$4&gt;=$C$1),'General Inputs'!Q$11*$G22,0))</f>
        <v>354.85895526605003</v>
      </c>
      <c r="BP22" s="214">
        <f>IF(AND(($E22+$C$1)&gt;BP$4,BP$4&gt;=$C$1),'General Inputs'!R$11*$H22,IF(AND(($D22+$C$1)&gt;BP$4,BP$4&gt;=$C$1),'General Inputs'!R$11*$G22,0))</f>
        <v>354.85895526605003</v>
      </c>
      <c r="BQ22" s="214">
        <f>IF(AND(($E22+$C$1)&gt;BQ$4,BQ$4&gt;=$C$1),'General Inputs'!S$11*$H22,IF(AND(($D22+$C$1)&gt;BQ$4,BQ$4&gt;=$C$1),'General Inputs'!S$11*$G22,0))</f>
        <v>354.85895526605003</v>
      </c>
      <c r="BR22" s="214">
        <f>IF(AND(($E22+$C$1)&gt;BR$4,BR$4&gt;=$C$1),'General Inputs'!T$11*$H22,IF(AND(($D22+$C$1)&gt;BR$4,BR$4&gt;=$C$1),'General Inputs'!T$11*$G22,0))</f>
        <v>354.85895526605003</v>
      </c>
      <c r="BS22" s="214">
        <f>IF(AND(($E22+$C$1)&gt;BS$4,BS$4&gt;=$C$1),'General Inputs'!U$11*$H22,IF(AND(($D22+$C$1)&gt;BS$4,BS$4&gt;=$C$1),'General Inputs'!U$11*$G22,0))</f>
        <v>354.85895526605003</v>
      </c>
      <c r="BT22" s="214">
        <f>IF(AND(($E22+$C$1)&gt;BT$4,BT$4&gt;=$C$1),'General Inputs'!V$11*$H22,IF(AND(($D22+$C$1)&gt;BT$4,BT$4&gt;=$C$1),'General Inputs'!V$11*$G22,0))</f>
        <v>354.85895526605003</v>
      </c>
      <c r="BU22" s="214">
        <f>IF(AND(($E22+$C$1)&gt;BU$4,BU$4&gt;=$C$1),'General Inputs'!W$11*$H22,IF(AND(($D22+$C$1)&gt;BU$4,BU$4&gt;=$C$1),'General Inputs'!W$11*$G22,0))</f>
        <v>0</v>
      </c>
      <c r="BW22" s="214">
        <f>IF(AND(($E22+$C$1)&gt;BW$4,BW$4&gt;=$C$1),$H22,IF(AND(($D22+$C$1)&gt;BW$4,BW$4&gt;=$C$1),$G22,0))*IF($A22="Residential",'General Inputs'!D$14,'General Inputs'!D$19)</f>
        <v>0</v>
      </c>
      <c r="BX22" s="214">
        <f>IF(AND(($E22+$C$1)&gt;BX$4,BX$4&gt;=$C$1),$H22,IF(AND(($D22+$C$1)&gt;BX$4,BX$4&gt;=$C$1),$G22,0))*IF($A22="Residential",'General Inputs'!E$14,'General Inputs'!E$19)</f>
        <v>9579.5103225870753</v>
      </c>
      <c r="BY22" s="214">
        <f>IF(AND(($E22+$C$1)&gt;BY$4,BY$4&gt;=$C$1),$H22,IF(AND(($D22+$C$1)&gt;BY$4,BY$4&gt;=$C$1),$G22,0))*IF($A22="Residential",'General Inputs'!F$14,'General Inputs'!F$19)</f>
        <v>9723.202977425879</v>
      </c>
      <c r="BZ22" s="214">
        <f>IF(AND(($E22+$C$1)&gt;BZ$4,BZ$4&gt;=$C$1),$H22,IF(AND(($D22+$C$1)&gt;BZ$4,BZ$4&gt;=$C$1),$G22,0))*IF($A22="Residential",'General Inputs'!G$14,'General Inputs'!G$19)</f>
        <v>9869.0510220872657</v>
      </c>
      <c r="CA22" s="214">
        <f>IF(AND(($E22+$C$1)&gt;CA$4,CA$4&gt;=$C$1),$H22,IF(AND(($D22+$C$1)&gt;CA$4,CA$4&gt;=$C$1),$G22,0))*IF($A22="Residential",'General Inputs'!H$14,'General Inputs'!H$19)</f>
        <v>10017.086787418573</v>
      </c>
      <c r="CB22" s="214">
        <f>IF(AND(($E22+$C$1)&gt;CB$4,CB$4&gt;=$C$1),$H22,IF(AND(($D22+$C$1)&gt;CB$4,CB$4&gt;=$C$1),$G22,0))*IF($A22="Residential",'General Inputs'!I$14,'General Inputs'!I$19)</f>
        <v>10167.343089229853</v>
      </c>
      <c r="CC22" s="214">
        <f>IF(AND(($E22+$C$1)&gt;CC$4,CC$4&gt;=$C$1),$H22,IF(AND(($D22+$C$1)&gt;CC$4,CC$4&gt;=$C$1),$G22,0))*IF($A22="Residential",'General Inputs'!J$14,'General Inputs'!J$19)</f>
        <v>10319.853235568298</v>
      </c>
      <c r="CD22" s="214">
        <f>IF(AND(($E22+$C$1)&gt;CD$4,CD$4&gt;=$C$1),$H22,IF(AND(($D22+$C$1)&gt;CD$4,CD$4&gt;=$C$1),$G22,0))*IF($A22="Residential",'General Inputs'!K$14,'General Inputs'!K$19)</f>
        <v>4637.2869524939924</v>
      </c>
      <c r="CE22" s="214">
        <f>IF(AND(($E22+$C$1)&gt;CE$4,CE$4&gt;=$C$1),$H22,IF(AND(($D22+$C$1)&gt;CE$4,CE$4&gt;=$C$1),$G22,0))*IF($A22="Residential",'General Inputs'!L$14,'General Inputs'!L$19)</f>
        <v>4706.8462567814013</v>
      </c>
      <c r="CF22" s="214">
        <f>IF(AND(($E22+$C$1)&gt;CF$4,CF$4&gt;=$C$1),$H22,IF(AND(($D22+$C$1)&gt;CF$4,CF$4&gt;=$C$1),$G22,0))*IF($A22="Residential",'General Inputs'!M$14,'General Inputs'!M$19)</f>
        <v>4777.448950633122</v>
      </c>
      <c r="CG22" s="214">
        <f>IF(AND(($E22+$C$1)&gt;CG$4,CG$4&gt;=$C$1),$H22,IF(AND(($D22+$C$1)&gt;CG$4,CG$4&gt;=$C$1),$G22,0))*IF($A22="Residential",'General Inputs'!N$14,'General Inputs'!N$19)</f>
        <v>4849.1106848926183</v>
      </c>
      <c r="CH22" s="214">
        <f>IF(AND(($E22+$C$1)&gt;CH$4,CH$4&gt;=$C$1),$H22,IF(AND(($D22+$C$1)&gt;CH$4,CH$4&gt;=$C$1),$G22,0))*IF($A22="Residential",'General Inputs'!O$14,'General Inputs'!O$19)</f>
        <v>4921.8473451660075</v>
      </c>
      <c r="CI22" s="214">
        <f>IF(AND(($E22+$C$1)&gt;CI$4,CI$4&gt;=$C$1),$H22,IF(AND(($D22+$C$1)&gt;CI$4,CI$4&gt;=$C$1),$G22,0))*IF($A22="Residential",'General Inputs'!P$14,'General Inputs'!P$19)</f>
        <v>4995.6750553434968</v>
      </c>
      <c r="CJ22" s="214">
        <f>IF(AND(($E22+$C$1)&gt;CJ$4,CJ$4&gt;=$C$1),$H22,IF(AND(($D22+$C$1)&gt;CJ$4,CJ$4&gt;=$C$1),$G22,0))*IF($A22="Residential",'General Inputs'!Q$14,'General Inputs'!Q$19)</f>
        <v>5070.6101811736489</v>
      </c>
      <c r="CK22" s="214">
        <f>IF(AND(($E22+$C$1)&gt;CK$4,CK$4&gt;=$C$1),$H22,IF(AND(($D22+$C$1)&gt;CK$4,CK$4&gt;=$C$1),$G22,0))*IF($A22="Residential",'General Inputs'!R$14,'General Inputs'!R$19)</f>
        <v>5146.6693338912528</v>
      </c>
      <c r="CL22" s="214">
        <f>IF(AND(($E22+$C$1)&gt;CL$4,CL$4&gt;=$C$1),$H22,IF(AND(($D22+$C$1)&gt;CL$4,CL$4&gt;=$C$1),$G22,0))*IF($A22="Residential",'General Inputs'!S$14,'General Inputs'!S$19)</f>
        <v>5223.8693738996217</v>
      </c>
      <c r="CM22" s="214">
        <f>IF(AND(($E22+$C$1)&gt;CM$4,CM$4&gt;=$C$1),$H22,IF(AND(($D22+$C$1)&gt;CM$4,CM$4&gt;=$C$1),$G22,0))*IF($A22="Residential",'General Inputs'!T$14,'General Inputs'!T$19)</f>
        <v>5302.2274145081155</v>
      </c>
      <c r="CN22" s="214">
        <f>IF(AND(($E22+$C$1)&gt;CN$4,CN$4&gt;=$C$1),$H22,IF(AND(($D22+$C$1)&gt;CN$4,CN$4&gt;=$C$1),$G22,0))*IF($A22="Residential",'General Inputs'!U$14,'General Inputs'!U$19)</f>
        <v>5381.7608257257361</v>
      </c>
      <c r="CO22" s="214">
        <f>IF(AND(($E22+$C$1)&gt;CO$4,CO$4&gt;=$C$1),$H22,IF(AND(($D22+$C$1)&gt;CO$4,CO$4&gt;=$C$1),$G22,0))*IF($A22="Residential",'General Inputs'!V$14,'General Inputs'!V$19)</f>
        <v>5462.487238111622</v>
      </c>
      <c r="CP22" s="214">
        <f>IF(AND(($E22+$C$1)&gt;CP$4,CP$4&gt;=$C$1),$H22,IF(AND(($D22+$C$1)&gt;CP$4,CP$4&gt;=$C$1),$G22,0))*IF($A22="Residential",'General Inputs'!W$14,'General Inputs'!W$19)</f>
        <v>0</v>
      </c>
      <c r="CR22" s="214">
        <f>IF(AND(($E22+$C$1)&gt;CR$4,CR$4&gt;=$C$1),$H22,IF(AND(($D22+$C$1)&gt;CR$4,CR$4&gt;=$C$1),$G22,0))*IF($A22="Residential",'General Inputs'!D$15,'General Inputs'!D$19)</f>
        <v>0</v>
      </c>
      <c r="CS22" s="214">
        <f>IF(AND(($E22+$C$1)&gt;CS$4,CS$4&gt;=$C$1),$H22,IF(AND(($D22+$C$1)&gt;CS$4,CS$4&gt;=$C$1),$G22,0))*IF($A22="Residential",'General Inputs'!E$15,'General Inputs'!E$19)</f>
        <v>7793.0109640632963</v>
      </c>
      <c r="CT22" s="214">
        <f>IF(AND(($E22+$C$1)&gt;CT$4,CT$4&gt;=$C$1),$H22,IF(AND(($D22+$C$1)&gt;CT$4,CT$4&gt;=$C$1),$G22,0))*IF($A22="Residential",'General Inputs'!F$15,'General Inputs'!F$19)</f>
        <v>7909.9061285242451</v>
      </c>
      <c r="CU22" s="214">
        <f>IF(AND(($E22+$C$1)&gt;CU$4,CU$4&gt;=$C$1),$H22,IF(AND(($D22+$C$1)&gt;CU$4,CU$4&gt;=$C$1),$G22,0))*IF($A22="Residential",'General Inputs'!G$15,'General Inputs'!G$19)</f>
        <v>8028.5547204521081</v>
      </c>
      <c r="CV22" s="214">
        <f>IF(AND(($E22+$C$1)&gt;CV$4,CV$4&gt;=$C$1),$H22,IF(AND(($D22+$C$1)&gt;CV$4,CV$4&gt;=$C$1),$G22,0))*IF($A22="Residential",'General Inputs'!H$15,'General Inputs'!H$19)</f>
        <v>8148.983041258889</v>
      </c>
      <c r="CW22" s="214">
        <f>IF(AND(($E22+$C$1)&gt;CW$4,CW$4&gt;=$C$1),$H22,IF(AND(($D22+$C$1)&gt;CW$4,CW$4&gt;=$C$1),$G22,0))*IF($A22="Residential",'General Inputs'!I$15,'General Inputs'!I$19)</f>
        <v>8271.2177868777708</v>
      </c>
      <c r="CX22" s="214">
        <f>IF(AND(($E22+$C$1)&gt;CX$4,CX$4&gt;=$C$1),$H22,IF(AND(($D22+$C$1)&gt;CX$4,CX$4&gt;=$C$1),$G22,0))*IF($A22="Residential",'General Inputs'!J$15,'General Inputs'!J$19)</f>
        <v>8395.2860536809367</v>
      </c>
      <c r="CY22" s="214">
        <f>IF(AND(($E22+$C$1)&gt;CY$4,CY$4&gt;=$C$1),$H22,IF(AND(($D22+$C$1)&gt;CY$4,CY$4&gt;=$C$1),$G22,0))*IF($A22="Residential",'General Inputs'!K$15,'General Inputs'!K$19)</f>
        <v>3772.4713317636151</v>
      </c>
      <c r="CZ22" s="214">
        <f>IF(AND(($E22+$C$1)&gt;CZ$4,CZ$4&gt;=$C$1),$H22,IF(AND(($D22+$C$1)&gt;CZ$4,CZ$4&gt;=$C$1),$G22,0))*IF($A22="Residential",'General Inputs'!L$15,'General Inputs'!L$19)</f>
        <v>3829.0584017400688</v>
      </c>
      <c r="DA22" s="214">
        <f>IF(AND(($E22+$C$1)&gt;DA$4,DA$4&gt;=$C$1),$H22,IF(AND(($D22+$C$1)&gt;DA$4,DA$4&gt;=$C$1),$G22,0))*IF($A22="Residential",'General Inputs'!M$15,'General Inputs'!M$19)</f>
        <v>3886.4942777661695</v>
      </c>
      <c r="DB22" s="214">
        <f>IF(AND(($E22+$C$1)&gt;DB$4,DB$4&gt;=$C$1),$H22,IF(AND(($D22+$C$1)&gt;DB$4,DB$4&gt;=$C$1),$G22,0))*IF($A22="Residential",'General Inputs'!N$15,'General Inputs'!N$19)</f>
        <v>3944.7916919326613</v>
      </c>
      <c r="DC22" s="214">
        <f>IF(AND(($E22+$C$1)&gt;DC$4,DC$4&gt;=$C$1),$H22,IF(AND(($D22+$C$1)&gt;DC$4,DC$4&gt;=$C$1),$G22,0))*IF($A22="Residential",'General Inputs'!O$15,'General Inputs'!O$19)</f>
        <v>4003.9635673116509</v>
      </c>
      <c r="DD22" s="214">
        <f>IF(AND(($E22+$C$1)&gt;DD$4,DD$4&gt;=$C$1),$H22,IF(AND(($D22+$C$1)&gt;DD$4,DD$4&gt;=$C$1),$G22,0))*IF($A22="Residential",'General Inputs'!P$15,'General Inputs'!P$19)</f>
        <v>4064.0230208213256</v>
      </c>
      <c r="DE22" s="214">
        <f>IF(AND(($E22+$C$1)&gt;DE$4,DE$4&gt;=$C$1),$H22,IF(AND(($D22+$C$1)&gt;DE$4,DE$4&gt;=$C$1),$G22,0))*IF($A22="Residential",'General Inputs'!Q$15,'General Inputs'!Q$19)</f>
        <v>4124.9833661336452</v>
      </c>
      <c r="DF22" s="214">
        <f>IF(AND(($E22+$C$1)&gt;DF$4,DF$4&gt;=$C$1),$H22,IF(AND(($D22+$C$1)&gt;DF$4,DF$4&gt;=$C$1),$G22,0))*IF($A22="Residential",'General Inputs'!R$15,'General Inputs'!R$19)</f>
        <v>4186.858116625649</v>
      </c>
      <c r="DG22" s="214">
        <f>IF(AND(($E22+$C$1)&gt;DG$4,DG$4&gt;=$C$1),$H22,IF(AND(($D22+$C$1)&gt;DG$4,DG$4&gt;=$C$1),$G22,0))*IF($A22="Residential",'General Inputs'!S$15,'General Inputs'!S$19)</f>
        <v>4249.6609883750334</v>
      </c>
      <c r="DH22" s="214">
        <f>IF(AND(($E22+$C$1)&gt;DH$4,DH$4&gt;=$C$1),$H22,IF(AND(($D22+$C$1)&gt;DH$4,DH$4&gt;=$C$1),$G22,0))*IF($A22="Residential",'General Inputs'!T$15,'General Inputs'!T$19)</f>
        <v>4313.4059032006589</v>
      </c>
      <c r="DI22" s="214">
        <f>IF(AND(($E22+$C$1)&gt;DI$4,DI$4&gt;=$C$1),$H22,IF(AND(($D22+$C$1)&gt;DI$4,DI$4&gt;=$C$1),$G22,0))*IF($A22="Residential",'General Inputs'!U$15,'General Inputs'!U$19)</f>
        <v>4378.1069917486675</v>
      </c>
      <c r="DJ22" s="214">
        <f>IF(AND(($E22+$C$1)&gt;DJ$4,DJ$4&gt;=$C$1),$H22,IF(AND(($D22+$C$1)&gt;DJ$4,DJ$4&gt;=$C$1),$G22,0))*IF($A22="Residential",'General Inputs'!V$15,'General Inputs'!V$19)</f>
        <v>4443.7785966248975</v>
      </c>
      <c r="DK22" s="214">
        <f>IF(AND(($E22+$C$1)&gt;DK$4,DK$4&gt;=$C$1),$H22,IF(AND(($D22+$C$1)&gt;DK$4,DK$4&gt;=$C$1),$G22,0))*IF($A22="Residential",'General Inputs'!W$15,'General Inputs'!W$19)</f>
        <v>0</v>
      </c>
      <c r="DM22" s="214">
        <f t="shared" si="47"/>
        <v>0</v>
      </c>
      <c r="DN22" s="214">
        <f t="shared" si="27"/>
        <v>17478</v>
      </c>
      <c r="DO22" s="214">
        <f t="shared" si="27"/>
        <v>0</v>
      </c>
      <c r="DP22" s="214">
        <f t="shared" si="27"/>
        <v>0</v>
      </c>
      <c r="DQ22" s="214">
        <f t="shared" si="27"/>
        <v>0</v>
      </c>
      <c r="DR22" s="214">
        <f t="shared" si="27"/>
        <v>0</v>
      </c>
      <c r="DS22" s="214">
        <f t="shared" si="27"/>
        <v>0</v>
      </c>
      <c r="DT22" s="214">
        <f t="shared" si="27"/>
        <v>-14256</v>
      </c>
      <c r="DU22" s="214">
        <f t="shared" si="27"/>
        <v>0</v>
      </c>
      <c r="DV22" s="214">
        <f t="shared" si="27"/>
        <v>0</v>
      </c>
      <c r="DW22" s="214">
        <f t="shared" si="27"/>
        <v>0</v>
      </c>
      <c r="DZ22" s="650"/>
      <c r="FI22" s="195"/>
      <c r="FJ22" s="195"/>
      <c r="FK22" s="195"/>
      <c r="FL22" s="195"/>
      <c r="FM22" s="195"/>
      <c r="FN22" s="195"/>
      <c r="FO22" s="195"/>
    </row>
    <row r="23" spans="1:171">
      <c r="A23" s="342" t="s">
        <v>12</v>
      </c>
      <c r="B23" s="427" t="str">
        <f>'Portfolio Inputs'!A22</f>
        <v>Heat Pump SEER 15 Replace Electric Furnace</v>
      </c>
      <c r="C23" s="217">
        <f>IF($C$1=2014,'Portfolio Inputs'!$C22,IF($C$1=2015,'Portfolio Inputs'!$D22,'Portfolio Inputs'!$E22))</f>
        <v>5</v>
      </c>
      <c r="D23" s="504">
        <f>VLOOKUP(B23,Sources!$B$4:$J$104,2,FALSE)</f>
        <v>18</v>
      </c>
      <c r="E23" s="504">
        <f>VLOOKUP(B23,Sources!$B$4:$J$104,3,FALSE)</f>
        <v>0</v>
      </c>
      <c r="G23" s="504">
        <f>IF($C$1=2014,'Portfolio Inputs'!$G22,IF($C$1=2015,'Portfolio Inputs'!$H22,'Portfolio Inputs'!$I22))*EnergyLineLoss</f>
        <v>73103.015227876458</v>
      </c>
      <c r="H23" s="504">
        <f>VLOOKUP($B23,Sources!$B$4:$K$104,6,FALSE)*C23*EnergyLineLoss</f>
        <v>0</v>
      </c>
      <c r="I23" s="504">
        <f>IF($C$1=2014,'Portfolio Inputs'!$K22,IF($C$1=2015,'Portfolio Inputs'!$L22,'Portfolio Inputs'!$M22))*PeakLineLoss</f>
        <v>16.486742179748141</v>
      </c>
      <c r="J23" s="510">
        <f>VLOOKUP($B23,Sources!$B$4:$K$104,8,FALSE)*C23*PeakLineLoss</f>
        <v>0</v>
      </c>
      <c r="L23" s="606">
        <f>IF($C$1=2014,'Portfolio Inputs'!$O22,IF($C$1=2015,'Portfolio Inputs'!$P22,'Portfolio Inputs'!$Q22))</f>
        <v>4554</v>
      </c>
      <c r="M23" s="518">
        <f>VLOOKUP($B23,Sources!$B$4:$K$104,10,FALSE)</f>
        <v>0</v>
      </c>
      <c r="N23" s="419">
        <f>IF($C$1=2014,'Portfolio Inputs'!$W22,IF($C$1=2015,'Portfolio Inputs'!$X22,'Portfolio Inputs'!$Y22))</f>
        <v>7500</v>
      </c>
      <c r="O23" s="419"/>
      <c r="Q23" s="438">
        <f t="shared" si="48"/>
        <v>1.4930417830610907</v>
      </c>
      <c r="R23" s="439">
        <f t="shared" si="49"/>
        <v>4.5328748533734711</v>
      </c>
      <c r="S23" s="439">
        <f t="shared" si="50"/>
        <v>1.8455759269225269</v>
      </c>
      <c r="T23" s="439">
        <f t="shared" si="51"/>
        <v>4.9696830441013775</v>
      </c>
      <c r="U23" s="439">
        <f t="shared" si="52"/>
        <v>4.1043050897690669</v>
      </c>
      <c r="V23" s="439">
        <f t="shared" si="53"/>
        <v>0.30042998110980412</v>
      </c>
      <c r="W23" s="439">
        <f t="shared" si="54"/>
        <v>0.36377456119985913</v>
      </c>
      <c r="Y23" s="215">
        <f t="shared" si="55"/>
        <v>31235.355935594482</v>
      </c>
      <c r="Z23" s="215">
        <f t="shared" si="56"/>
        <v>7375.231951235668</v>
      </c>
      <c r="AA23" s="215">
        <f t="shared" si="57"/>
        <v>97077.988712043705</v>
      </c>
      <c r="AB23" s="215">
        <f t="shared" si="58"/>
        <v>78973.74760569795</v>
      </c>
      <c r="AC23" s="216">
        <f t="shared" si="59"/>
        <v>0</v>
      </c>
      <c r="AD23" s="216">
        <f t="shared" si="60"/>
        <v>6890.848952590959</v>
      </c>
      <c r="AE23" s="215">
        <f t="shared" si="61"/>
        <v>20920.617420066152</v>
      </c>
      <c r="AG23" s="214">
        <f>IF(AND(($E23+$C$1)&gt;AG$4,AG$4&gt;=$C$1),'General Inputs'!D$9*$H23,IF(AND(($D23+$C$1)&gt;AG$4,AG$4&gt;=$C$1),'General Inputs'!D$9*$G23,0))+IF(AND(($E23+$C$1)&gt;AG$4,AG$4&gt;=$C$1),'General Inputs'!D$10*$J23,IF(AND(($D23+$C$1)&gt;AG$4,AG$4&gt;=$C$1),'General Inputs'!D$10*$I23,0))</f>
        <v>0</v>
      </c>
      <c r="AH23" s="214">
        <f>IF(AND(($E23+$C$1)&gt;AH$4,AH$4&gt;=$C$1),'General Inputs'!E$9*$H23,IF(AND(($D23+$C$1)&gt;AH$4,AH$4&gt;=$C$1),'General Inputs'!E$9*$G23,0))+IF(AND(($E23+$C$1)&gt;AH$4,AH$4&gt;=$C$1),'General Inputs'!E$10*$J23,IF(AND(($D23+$C$1)&gt;AH$4,AH$4&gt;=$C$1),'General Inputs'!E$10*$I23,0))</f>
        <v>3204.6291476443007</v>
      </c>
      <c r="AI23" s="214">
        <f>IF(AND(($E23+$C$1)&gt;AI$4,AI$4&gt;=$C$1),'General Inputs'!F$9*$H23,IF(AND(($D23+$C$1)&gt;AI$4,AI$4&gt;=$C$1),'General Inputs'!F$9*$G23,0))+IF(AND(($E23+$C$1)&gt;AI$4,AI$4&gt;=$C$1),'General Inputs'!F$10*$J23,IF(AND(($D23+$C$1)&gt;AI$4,AI$4&gt;=$C$1),'General Inputs'!F$10*$I23,0))</f>
        <v>3252.6985848589648</v>
      </c>
      <c r="AJ23" s="214">
        <f>IF(AND(($E23+$C$1)&gt;AJ$4,AJ$4&gt;=$C$1),'General Inputs'!G$9*$H23,IF(AND(($D23+$C$1)&gt;AJ$4,AJ$4&gt;=$C$1),'General Inputs'!G$9*$G23,0))+IF(AND(($E23+$C$1)&gt;AJ$4,AJ$4&gt;=$C$1),'General Inputs'!G$10*$J23,IF(AND(($D23+$C$1)&gt;AJ$4,AJ$4&gt;=$C$1),'General Inputs'!G$10*$I23,0))</f>
        <v>3301.4890636318487</v>
      </c>
      <c r="AK23" s="214">
        <f>IF(AND(($E23+$C$1)&gt;AK$4,AK$4&gt;=$C$1),'General Inputs'!H$9*$H23,IF(AND(($D23+$C$1)&gt;AK$4,AK$4&gt;=$C$1),'General Inputs'!H$9*$G23,0))+IF(AND(($E23+$C$1)&gt;AK$4,AK$4&gt;=$C$1),'General Inputs'!H$10*$J23,IF(AND(($D23+$C$1)&gt;AK$4,AK$4&gt;=$C$1),'General Inputs'!H$10*$I23,0))</f>
        <v>3351.0113995863262</v>
      </c>
      <c r="AL23" s="214">
        <f>IF(AND(($E23+$C$1)&gt;AL$4,AL$4&gt;=$C$1),'General Inputs'!I$9*$H23,IF(AND(($D23+$C$1)&gt;AL$4,AL$4&gt;=$C$1),'General Inputs'!I$9*$G23,0))+IF(AND(($E23+$C$1)&gt;AL$4,AL$4&gt;=$C$1),'General Inputs'!I$10*$J23,IF(AND(($D23+$C$1)&gt;AL$4,AL$4&gt;=$C$1),'General Inputs'!I$10*$I23,0))</f>
        <v>3401.2765705801207</v>
      </c>
      <c r="AM23" s="214">
        <f>IF(AND(($E23+$C$1)&gt;AM$4,AM$4&gt;=$C$1),'General Inputs'!J$9*$H23,IF(AND(($D23+$C$1)&gt;AM$4,AM$4&gt;=$C$1),'General Inputs'!J$9*$G23,0))+IF(AND(($E23+$C$1)&gt;AM$4,AM$4&gt;=$C$1),'General Inputs'!J$10*$J23,IF(AND(($D23+$C$1)&gt;AM$4,AM$4&gt;=$C$1),'General Inputs'!J$10*$I23,0))</f>
        <v>3452.2957191388223</v>
      </c>
      <c r="AN23" s="214">
        <f>IF(AND(($E23+$C$1)&gt;AN$4,AN$4&gt;=$C$1),'General Inputs'!K$9*$H23,IF(AND(($D23+$C$1)&gt;AN$4,AN$4&gt;=$C$1),'General Inputs'!K$9*$G23,0))+IF(AND(($E23+$C$1)&gt;AN$4,AN$4&gt;=$C$1),'General Inputs'!K$10*$J23,IF(AND(($D23+$C$1)&gt;AN$4,AN$4&gt;=$C$1),'General Inputs'!K$10*$I23,0))</f>
        <v>3504.080154925904</v>
      </c>
      <c r="AO23" s="214">
        <f>IF(AND(($E23+$C$1)&gt;AO$4,AO$4&gt;=$C$1),'General Inputs'!L$9*$H23,IF(AND(($D23+$C$1)&gt;AO$4,AO$4&gt;=$C$1),'General Inputs'!L$9*$G23,0))+IF(AND(($E23+$C$1)&gt;AO$4,AO$4&gt;=$C$1),'General Inputs'!L$10*$J23,IF(AND(($D23+$C$1)&gt;AO$4,AO$4&gt;=$C$1),'General Inputs'!L$10*$I23,0))</f>
        <v>3556.6413572497922</v>
      </c>
      <c r="AP23" s="214">
        <f>IF(AND(($E23+$C$1)&gt;AP$4,AP$4&gt;=$C$1),'General Inputs'!M$9*$H23,IF(AND(($D23+$C$1)&gt;AP$4,AP$4&gt;=$C$1),'General Inputs'!M$9*$G23,0))+IF(AND(($E23+$C$1)&gt;AP$4,AP$4&gt;=$C$1),'General Inputs'!M$10*$J23,IF(AND(($D23+$C$1)&gt;AP$4,AP$4&gt;=$C$1),'General Inputs'!M$10*$I23,0))</f>
        <v>3609.9909776085383</v>
      </c>
      <c r="AQ23" s="214">
        <f>IF(AND(($E23+$C$1)&gt;AQ$4,AQ$4&gt;=$C$1),'General Inputs'!N$9*$H23,IF(AND(($D23+$C$1)&gt;AQ$4,AQ$4&gt;=$C$1),'General Inputs'!N$9*$G23,0))+IF(AND(($E23+$C$1)&gt;AQ$4,AQ$4&gt;=$C$1),'General Inputs'!N$10*$J23,IF(AND(($D23+$C$1)&gt;AQ$4,AQ$4&gt;=$C$1),'General Inputs'!N$10*$I23,0))</f>
        <v>3664.1408422726663</v>
      </c>
      <c r="AR23" s="214">
        <f>IF(AND(($E23+$C$1)&gt;AR$4,AR$4&gt;=$C$1),'General Inputs'!O$9*$H23,IF(AND(($D23+$C$1)&gt;AR$4,AR$4&gt;=$C$1),'General Inputs'!O$9*$G23,0))+IF(AND(($E23+$C$1)&gt;AR$4,AR$4&gt;=$C$1),'General Inputs'!O$10*$J23,IF(AND(($D23+$C$1)&gt;AR$4,AR$4&gt;=$C$1),'General Inputs'!O$10*$I23,0))</f>
        <v>3719.1029549067562</v>
      </c>
      <c r="AS23" s="214">
        <f>IF(AND(($E23+$C$1)&gt;AS$4,AS$4&gt;=$C$1),'General Inputs'!P$9*$H23,IF(AND(($D23+$C$1)&gt;AS$4,AS$4&gt;=$C$1),'General Inputs'!P$9*$G23,0))+IF(AND(($E23+$C$1)&gt;AS$4,AS$4&gt;=$C$1),'General Inputs'!P$10*$J23,IF(AND(($D23+$C$1)&gt;AS$4,AS$4&gt;=$C$1),'General Inputs'!P$10*$I23,0))</f>
        <v>3774.8894992303567</v>
      </c>
      <c r="AT23" s="214">
        <f>IF(AND(($E23+$C$1)&gt;AT$4,AT$4&gt;=$C$1),'General Inputs'!Q$9*$H23,IF(AND(($D23+$C$1)&gt;AT$4,AT$4&gt;=$C$1),'General Inputs'!Q$9*$G23,0))+IF(AND(($E23+$C$1)&gt;AT$4,AT$4&gt;=$C$1),'General Inputs'!Q$10*$J23,IF(AND(($D23+$C$1)&gt;AT$4,AT$4&gt;=$C$1),'General Inputs'!Q$10*$I23,0))</f>
        <v>3831.5128417188116</v>
      </c>
      <c r="AU23" s="214">
        <f>IF(AND(($E23+$C$1)&gt;AU$4,AU$4&gt;=$C$1),'General Inputs'!R$9*$H23,IF(AND(($D23+$C$1)&gt;AU$4,AU$4&gt;=$C$1),'General Inputs'!R$9*$G23,0))+IF(AND(($E23+$C$1)&gt;AU$4,AU$4&gt;=$C$1),'General Inputs'!R$10*$J23,IF(AND(($D23+$C$1)&gt;AU$4,AU$4&gt;=$C$1),'General Inputs'!R$10*$I23,0))</f>
        <v>3888.9855343445938</v>
      </c>
      <c r="AV23" s="214">
        <f>IF(AND(($E23+$C$1)&gt;AV$4,AV$4&gt;=$C$1),'General Inputs'!S$9*$H23,IF(AND(($D23+$C$1)&gt;AV$4,AV$4&gt;=$C$1),'General Inputs'!S$9*$G23,0))+IF(AND(($E23+$C$1)&gt;AV$4,AV$4&gt;=$C$1),'General Inputs'!S$10*$J23,IF(AND(($D23+$C$1)&gt;AV$4,AV$4&gt;=$C$1),'General Inputs'!S$10*$I23,0))</f>
        <v>3947.3203173597622</v>
      </c>
      <c r="AW23" s="214">
        <f>IF(AND(($E23+$C$1)&gt;AW$4,AW$4&gt;=$C$1),'General Inputs'!T$9*$H23,IF(AND(($D23+$C$1)&gt;AW$4,AW$4&gt;=$C$1),'General Inputs'!T$9*$G23,0))+IF(AND(($E23+$C$1)&gt;AW$4,AW$4&gt;=$C$1),'General Inputs'!T$10*$J23,IF(AND(($D23+$C$1)&gt;AW$4,AW$4&gt;=$C$1),'General Inputs'!T$10*$I23,0))</f>
        <v>4006.5301221201585</v>
      </c>
      <c r="AX23" s="214">
        <f>IF(AND(($E23+$C$1)&gt;AX$4,AX$4&gt;=$C$1),'General Inputs'!U$9*$H23,IF(AND(($D23+$C$1)&gt;AX$4,AX$4&gt;=$C$1),'General Inputs'!U$9*$G23,0))+IF(AND(($E23+$C$1)&gt;AX$4,AX$4&gt;=$C$1),'General Inputs'!U$10*$J23,IF(AND(($D23+$C$1)&gt;AX$4,AX$4&gt;=$C$1),'General Inputs'!U$10*$I23,0))</f>
        <v>4066.6280739519607</v>
      </c>
      <c r="AY23" s="214">
        <f>IF(AND(($E23+$C$1)&gt;AY$4,AY$4&gt;=$C$1),'General Inputs'!V$9*$H23,IF(AND(($D23+$C$1)&gt;AY$4,AY$4&gt;=$C$1),'General Inputs'!V$9*$G23,0))+IF(AND(($E23+$C$1)&gt;AY$4,AY$4&gt;=$C$1),'General Inputs'!V$10*$J23,IF(AND(($D23+$C$1)&gt;AY$4,AY$4&gt;=$C$1),'General Inputs'!V$10*$I23,0))</f>
        <v>4127.6274950612396</v>
      </c>
      <c r="AZ23" s="214">
        <f>IF(AND(($E23+$C$1)&gt;AZ$4,AZ$4&gt;=$C$1),'General Inputs'!W$9*$H23,IF(AND(($D23+$C$1)&gt;AZ$4,AZ$4&gt;=$C$1),'General Inputs'!W$9*$G23,0))+IF(AND(($E23+$C$1)&gt;AZ$4,AZ$4&gt;=$C$1),'General Inputs'!W$10*$J23,IF(AND(($D23+$C$1)&gt;AZ$4,AZ$4&gt;=$C$1),'General Inputs'!W$10*$I23,0))</f>
        <v>0</v>
      </c>
      <c r="BB23" s="214">
        <f>IF(AND(($E23+$C$1)&gt;BB$4,BB$4&gt;=$C$1),'General Inputs'!D$11*$H23,IF(AND(($D23+$C$1)&gt;BB$4,BB$4&gt;=$C$1),'General Inputs'!D$11*$G23,0))</f>
        <v>0</v>
      </c>
      <c r="BC23" s="214">
        <f>IF(AND(($E23+$C$1)&gt;BC$4,BC$4&gt;=$C$1),'General Inputs'!E$11*$H23,IF(AND(($D23+$C$1)&gt;BC$4,BC$4&gt;=$C$1),'General Inputs'!E$11*$G23,0))</f>
        <v>833.37437359779165</v>
      </c>
      <c r="BD23" s="214">
        <f>IF(AND(($E23+$C$1)&gt;BD$4,BD$4&gt;=$C$1),'General Inputs'!F$11*$H23,IF(AND(($D23+$C$1)&gt;BD$4,BD$4&gt;=$C$1),'General Inputs'!F$11*$G23,0))</f>
        <v>833.37437359779165</v>
      </c>
      <c r="BE23" s="214">
        <f>IF(AND(($E23+$C$1)&gt;BE$4,BE$4&gt;=$C$1),'General Inputs'!G$11*$H23,IF(AND(($D23+$C$1)&gt;BE$4,BE$4&gt;=$C$1),'General Inputs'!G$11*$G23,0))</f>
        <v>833.37437359779165</v>
      </c>
      <c r="BF23" s="214">
        <f>IF(AND(($E23+$C$1)&gt;BF$4,BF$4&gt;=$C$1),'General Inputs'!H$11*$H23,IF(AND(($D23+$C$1)&gt;BF$4,BF$4&gt;=$C$1),'General Inputs'!H$11*$G23,0))</f>
        <v>833.37437359779165</v>
      </c>
      <c r="BG23" s="214">
        <f>IF(AND(($E23+$C$1)&gt;BG$4,BG$4&gt;=$C$1),'General Inputs'!I$11*$H23,IF(AND(($D23+$C$1)&gt;BG$4,BG$4&gt;=$C$1),'General Inputs'!I$11*$G23,0))</f>
        <v>833.37437359779165</v>
      </c>
      <c r="BH23" s="214">
        <f>IF(AND(($E23+$C$1)&gt;BH$4,BH$4&gt;=$C$1),'General Inputs'!J$11*$H23,IF(AND(($D23+$C$1)&gt;BH$4,BH$4&gt;=$C$1),'General Inputs'!J$11*$G23,0))</f>
        <v>833.37437359779165</v>
      </c>
      <c r="BI23" s="214">
        <f>IF(AND(($E23+$C$1)&gt;BI$4,BI$4&gt;=$C$1),'General Inputs'!K$11*$H23,IF(AND(($D23+$C$1)&gt;BI$4,BI$4&gt;=$C$1),'General Inputs'!K$11*$G23,0))</f>
        <v>833.37437359779165</v>
      </c>
      <c r="BJ23" s="214">
        <f>IF(AND(($E23+$C$1)&gt;BJ$4,BJ$4&gt;=$C$1),'General Inputs'!L$11*$H23,IF(AND(($D23+$C$1)&gt;BJ$4,BJ$4&gt;=$C$1),'General Inputs'!L$11*$G23,0))</f>
        <v>833.37437359779165</v>
      </c>
      <c r="BK23" s="214">
        <f>IF(AND(($E23+$C$1)&gt;BK$4,BK$4&gt;=$C$1),'General Inputs'!M$11*$H23,IF(AND(($D23+$C$1)&gt;BK$4,BK$4&gt;=$C$1),'General Inputs'!M$11*$G23,0))</f>
        <v>833.37437359779165</v>
      </c>
      <c r="BL23" s="214">
        <f>IF(AND(($E23+$C$1)&gt;BL$4,BL$4&gt;=$C$1),'General Inputs'!N$11*$H23,IF(AND(($D23+$C$1)&gt;BL$4,BL$4&gt;=$C$1),'General Inputs'!N$11*$G23,0))</f>
        <v>833.37437359779165</v>
      </c>
      <c r="BM23" s="214">
        <f>IF(AND(($E23+$C$1)&gt;BM$4,BM$4&gt;=$C$1),'General Inputs'!O$11*$H23,IF(AND(($D23+$C$1)&gt;BM$4,BM$4&gt;=$C$1),'General Inputs'!O$11*$G23,0))</f>
        <v>833.37437359779165</v>
      </c>
      <c r="BN23" s="214">
        <f>IF(AND(($E23+$C$1)&gt;BN$4,BN$4&gt;=$C$1),'General Inputs'!P$11*$H23,IF(AND(($D23+$C$1)&gt;BN$4,BN$4&gt;=$C$1),'General Inputs'!P$11*$G23,0))</f>
        <v>833.37437359779165</v>
      </c>
      <c r="BO23" s="214">
        <f>IF(AND(($E23+$C$1)&gt;BO$4,BO$4&gt;=$C$1),'General Inputs'!Q$11*$H23,IF(AND(($D23+$C$1)&gt;BO$4,BO$4&gt;=$C$1),'General Inputs'!Q$11*$G23,0))</f>
        <v>833.37437359779165</v>
      </c>
      <c r="BP23" s="214">
        <f>IF(AND(($E23+$C$1)&gt;BP$4,BP$4&gt;=$C$1),'General Inputs'!R$11*$H23,IF(AND(($D23+$C$1)&gt;BP$4,BP$4&gt;=$C$1),'General Inputs'!R$11*$G23,0))</f>
        <v>833.37437359779165</v>
      </c>
      <c r="BQ23" s="214">
        <f>IF(AND(($E23+$C$1)&gt;BQ$4,BQ$4&gt;=$C$1),'General Inputs'!S$11*$H23,IF(AND(($D23+$C$1)&gt;BQ$4,BQ$4&gt;=$C$1),'General Inputs'!S$11*$G23,0))</f>
        <v>833.37437359779165</v>
      </c>
      <c r="BR23" s="214">
        <f>IF(AND(($E23+$C$1)&gt;BR$4,BR$4&gt;=$C$1),'General Inputs'!T$11*$H23,IF(AND(($D23+$C$1)&gt;BR$4,BR$4&gt;=$C$1),'General Inputs'!T$11*$G23,0))</f>
        <v>833.37437359779165</v>
      </c>
      <c r="BS23" s="214">
        <f>IF(AND(($E23+$C$1)&gt;BS$4,BS$4&gt;=$C$1),'General Inputs'!U$11*$H23,IF(AND(($D23+$C$1)&gt;BS$4,BS$4&gt;=$C$1),'General Inputs'!U$11*$G23,0))</f>
        <v>833.37437359779165</v>
      </c>
      <c r="BT23" s="214">
        <f>IF(AND(($E23+$C$1)&gt;BT$4,BT$4&gt;=$C$1),'General Inputs'!V$11*$H23,IF(AND(($D23+$C$1)&gt;BT$4,BT$4&gt;=$C$1),'General Inputs'!V$11*$G23,0))</f>
        <v>833.37437359779165</v>
      </c>
      <c r="BU23" s="214">
        <f>IF(AND(($E23+$C$1)&gt;BU$4,BU$4&gt;=$C$1),'General Inputs'!W$11*$H23,IF(AND(($D23+$C$1)&gt;BU$4,BU$4&gt;=$C$1),'General Inputs'!W$11*$G23,0))</f>
        <v>0</v>
      </c>
      <c r="BW23" s="214">
        <f>IF(AND(($E23+$C$1)&gt;BW$4,BW$4&gt;=$C$1),$H23,IF(AND(($D23+$C$1)&gt;BW$4,BW$4&gt;=$C$1),$G23,0))*IF($A23="Residential",'General Inputs'!D$14,'General Inputs'!D$19)</f>
        <v>0</v>
      </c>
      <c r="BX23" s="214">
        <f>IF(AND(($E23+$C$1)&gt;BX$4,BX$4&gt;=$C$1),$H23,IF(AND(($D23+$C$1)&gt;BX$4,BX$4&gt;=$C$1),$G23,0))*IF($A23="Residential",'General Inputs'!E$14,'General Inputs'!E$19)</f>
        <v>9959.8337493822055</v>
      </c>
      <c r="BY23" s="214">
        <f>IF(AND(($E23+$C$1)&gt;BY$4,BY$4&gt;=$C$1),$H23,IF(AND(($D23+$C$1)&gt;BY$4,BY$4&gt;=$C$1),$G23,0))*IF($A23="Residential",'General Inputs'!F$14,'General Inputs'!F$19)</f>
        <v>10109.231255622937</v>
      </c>
      <c r="BZ23" s="214">
        <f>IF(AND(($E23+$C$1)&gt;BZ$4,BZ$4&gt;=$C$1),$H23,IF(AND(($D23+$C$1)&gt;BZ$4,BZ$4&gt;=$C$1),$G23,0))*IF($A23="Residential",'General Inputs'!G$14,'General Inputs'!G$19)</f>
        <v>10260.86972445728</v>
      </c>
      <c r="CA23" s="214">
        <f>IF(AND(($E23+$C$1)&gt;CA$4,CA$4&gt;=$C$1),$H23,IF(AND(($D23+$C$1)&gt;CA$4,CA$4&gt;=$C$1),$G23,0))*IF($A23="Residential",'General Inputs'!H$14,'General Inputs'!H$19)</f>
        <v>10414.782770324136</v>
      </c>
      <c r="CB23" s="214">
        <f>IF(AND(($E23+$C$1)&gt;CB$4,CB$4&gt;=$C$1),$H23,IF(AND(($D23+$C$1)&gt;CB$4,CB$4&gt;=$C$1),$G23,0))*IF($A23="Residential",'General Inputs'!I$14,'General Inputs'!I$19)</f>
        <v>10571.004511878999</v>
      </c>
      <c r="CC23" s="214">
        <f>IF(AND(($E23+$C$1)&gt;CC$4,CC$4&gt;=$C$1),$H23,IF(AND(($D23+$C$1)&gt;CC$4,CC$4&gt;=$C$1),$G23,0))*IF($A23="Residential",'General Inputs'!J$14,'General Inputs'!J$19)</f>
        <v>10729.569579557181</v>
      </c>
      <c r="CD23" s="214">
        <f>IF(AND(($E23+$C$1)&gt;CD$4,CD$4&gt;=$C$1),$H23,IF(AND(($D23+$C$1)&gt;CD$4,CD$4&gt;=$C$1),$G23,0))*IF($A23="Residential",'General Inputs'!K$14,'General Inputs'!K$19)</f>
        <v>10890.513123250537</v>
      </c>
      <c r="CE23" s="214">
        <f>IF(AND(($E23+$C$1)&gt;CE$4,CE$4&gt;=$C$1),$H23,IF(AND(($D23+$C$1)&gt;CE$4,CE$4&gt;=$C$1),$G23,0))*IF($A23="Residential",'General Inputs'!L$14,'General Inputs'!L$19)</f>
        <v>11053.870820099293</v>
      </c>
      <c r="CF23" s="214">
        <f>IF(AND(($E23+$C$1)&gt;CF$4,CF$4&gt;=$C$1),$H23,IF(AND(($D23+$C$1)&gt;CF$4,CF$4&gt;=$C$1),$G23,0))*IF($A23="Residential",'General Inputs'!M$14,'General Inputs'!M$19)</f>
        <v>11219.678882400782</v>
      </c>
      <c r="CG23" s="214">
        <f>IF(AND(($E23+$C$1)&gt;CG$4,CG$4&gt;=$C$1),$H23,IF(AND(($D23+$C$1)&gt;CG$4,CG$4&gt;=$C$1),$G23,0))*IF($A23="Residential",'General Inputs'!N$14,'General Inputs'!N$19)</f>
        <v>11387.974065636794</v>
      </c>
      <c r="CH23" s="214">
        <f>IF(AND(($E23+$C$1)&gt;CH$4,CH$4&gt;=$C$1),$H23,IF(AND(($D23+$C$1)&gt;CH$4,CH$4&gt;=$C$1),$G23,0))*IF($A23="Residential",'General Inputs'!O$14,'General Inputs'!O$19)</f>
        <v>11558.793676621344</v>
      </c>
      <c r="CI23" s="214">
        <f>IF(AND(($E23+$C$1)&gt;CI$4,CI$4&gt;=$C$1),$H23,IF(AND(($D23+$C$1)&gt;CI$4,CI$4&gt;=$C$1),$G23,0))*IF($A23="Residential",'General Inputs'!P$14,'General Inputs'!P$19)</f>
        <v>11732.175581770663</v>
      </c>
      <c r="CJ23" s="214">
        <f>IF(AND(($E23+$C$1)&gt;CJ$4,CJ$4&gt;=$C$1),$H23,IF(AND(($D23+$C$1)&gt;CJ$4,CJ$4&gt;=$C$1),$G23,0))*IF($A23="Residential",'General Inputs'!Q$14,'General Inputs'!Q$19)</f>
        <v>11908.15821549722</v>
      </c>
      <c r="CK23" s="214">
        <f>IF(AND(($E23+$C$1)&gt;CK$4,CK$4&gt;=$C$1),$H23,IF(AND(($D23+$C$1)&gt;CK$4,CK$4&gt;=$C$1),$G23,0))*IF($A23="Residential",'General Inputs'!R$14,'General Inputs'!R$19)</f>
        <v>12086.780588729678</v>
      </c>
      <c r="CL23" s="214">
        <f>IF(AND(($E23+$C$1)&gt;CL$4,CL$4&gt;=$C$1),$H23,IF(AND(($D23+$C$1)&gt;CL$4,CL$4&gt;=$C$1),$G23,0))*IF($A23="Residential",'General Inputs'!S$14,'General Inputs'!S$19)</f>
        <v>12268.082297560622</v>
      </c>
      <c r="CM23" s="214">
        <f>IF(AND(($E23+$C$1)&gt;CM$4,CM$4&gt;=$C$1),$H23,IF(AND(($D23+$C$1)&gt;CM$4,CM$4&gt;=$C$1),$G23,0))*IF($A23="Residential",'General Inputs'!T$14,'General Inputs'!T$19)</f>
        <v>12452.10353202403</v>
      </c>
      <c r="CN23" s="214">
        <f>IF(AND(($E23+$C$1)&gt;CN$4,CN$4&gt;=$C$1),$H23,IF(AND(($D23+$C$1)&gt;CN$4,CN$4&gt;=$C$1),$G23,0))*IF($A23="Residential",'General Inputs'!U$14,'General Inputs'!U$19)</f>
        <v>12638.885085004389</v>
      </c>
      <c r="CO23" s="214">
        <f>IF(AND(($E23+$C$1)&gt;CO$4,CO$4&gt;=$C$1),$H23,IF(AND(($D23+$C$1)&gt;CO$4,CO$4&gt;=$C$1),$G23,0))*IF($A23="Residential",'General Inputs'!V$14,'General Inputs'!V$19)</f>
        <v>12828.468361279454</v>
      </c>
      <c r="CP23" s="214">
        <f>IF(AND(($E23+$C$1)&gt;CP$4,CP$4&gt;=$C$1),$H23,IF(AND(($D23+$C$1)&gt;CP$4,CP$4&gt;=$C$1),$G23,0))*IF($A23="Residential",'General Inputs'!W$14,'General Inputs'!W$19)</f>
        <v>0</v>
      </c>
      <c r="CR23" s="214">
        <f>IF(AND(($E23+$C$1)&gt;CR$4,CR$4&gt;=$C$1),$H23,IF(AND(($D23+$C$1)&gt;CR$4,CR$4&gt;=$C$1),$G23,0))*IF($A23="Residential",'General Inputs'!D$15,'General Inputs'!D$19)</f>
        <v>0</v>
      </c>
      <c r="CS23" s="214">
        <f>IF(AND(($E23+$C$1)&gt;CS$4,CS$4&gt;=$C$1),$H23,IF(AND(($D23+$C$1)&gt;CS$4,CS$4&gt;=$C$1),$G23,0))*IF($A23="Residential",'General Inputs'!E$15,'General Inputs'!E$19)</f>
        <v>8102.4072207713471</v>
      </c>
      <c r="CT23" s="214">
        <f>IF(AND(($E23+$C$1)&gt;CT$4,CT$4&gt;=$C$1),$H23,IF(AND(($D23+$C$1)&gt;CT$4,CT$4&gt;=$C$1),$G23,0))*IF($A23="Residential",'General Inputs'!F$15,'General Inputs'!F$19)</f>
        <v>8223.9433290829165</v>
      </c>
      <c r="CU23" s="214">
        <f>IF(AND(($E23+$C$1)&gt;CU$4,CU$4&gt;=$C$1),$H23,IF(AND(($D23+$C$1)&gt;CU$4,CU$4&gt;=$C$1),$G23,0))*IF($A23="Residential",'General Inputs'!G$15,'General Inputs'!G$19)</f>
        <v>8347.3024790191594</v>
      </c>
      <c r="CV23" s="214">
        <f>IF(AND(($E23+$C$1)&gt;CV$4,CV$4&gt;=$C$1),$H23,IF(AND(($D23+$C$1)&gt;CV$4,CV$4&gt;=$C$1),$G23,0))*IF($A23="Residential",'General Inputs'!H$15,'General Inputs'!H$19)</f>
        <v>8472.5120162044459</v>
      </c>
      <c r="CW23" s="214">
        <f>IF(AND(($E23+$C$1)&gt;CW$4,CW$4&gt;=$C$1),$H23,IF(AND(($D23+$C$1)&gt;CW$4,CW$4&gt;=$C$1),$G23,0))*IF($A23="Residential",'General Inputs'!I$15,'General Inputs'!I$19)</f>
        <v>8599.5996964475125</v>
      </c>
      <c r="CX23" s="214">
        <f>IF(AND(($E23+$C$1)&gt;CX$4,CX$4&gt;=$C$1),$H23,IF(AND(($D23+$C$1)&gt;CX$4,CX$4&gt;=$C$1),$G23,0))*IF($A23="Residential",'General Inputs'!J$15,'General Inputs'!J$19)</f>
        <v>8728.5936918942243</v>
      </c>
      <c r="CY23" s="214">
        <f>IF(AND(($E23+$C$1)&gt;CY$4,CY$4&gt;=$C$1),$H23,IF(AND(($D23+$C$1)&gt;CY$4,CY$4&gt;=$C$1),$G23,0))*IF($A23="Residential",'General Inputs'!K$15,'General Inputs'!K$19)</f>
        <v>8859.5225972726366</v>
      </c>
      <c r="CZ23" s="214">
        <f>IF(AND(($E23+$C$1)&gt;CZ$4,CZ$4&gt;=$C$1),$H23,IF(AND(($D23+$C$1)&gt;CZ$4,CZ$4&gt;=$C$1),$G23,0))*IF($A23="Residential",'General Inputs'!L$15,'General Inputs'!L$19)</f>
        <v>8992.415436231724</v>
      </c>
      <c r="DA23" s="214">
        <f>IF(AND(($E23+$C$1)&gt;DA$4,DA$4&gt;=$C$1),$H23,IF(AND(($D23+$C$1)&gt;DA$4,DA$4&gt;=$C$1),$G23,0))*IF($A23="Residential",'General Inputs'!M$15,'General Inputs'!M$19)</f>
        <v>9127.3016677752003</v>
      </c>
      <c r="DB23" s="214">
        <f>IF(AND(($E23+$C$1)&gt;DB$4,DB$4&gt;=$C$1),$H23,IF(AND(($D23+$C$1)&gt;DB$4,DB$4&gt;=$C$1),$G23,0))*IF($A23="Residential",'General Inputs'!N$15,'General Inputs'!N$19)</f>
        <v>9264.2111927918268</v>
      </c>
      <c r="DC23" s="214">
        <f>IF(AND(($E23+$C$1)&gt;DC$4,DC$4&gt;=$C$1),$H23,IF(AND(($D23+$C$1)&gt;DC$4,DC$4&gt;=$C$1),$G23,0))*IF($A23="Residential",'General Inputs'!O$15,'General Inputs'!O$19)</f>
        <v>9403.1743606837026</v>
      </c>
      <c r="DD23" s="214">
        <f>IF(AND(($E23+$C$1)&gt;DD$4,DD$4&gt;=$C$1),$H23,IF(AND(($D23+$C$1)&gt;DD$4,DD$4&gt;=$C$1),$G23,0))*IF($A23="Residential",'General Inputs'!P$15,'General Inputs'!P$19)</f>
        <v>9544.221976093957</v>
      </c>
      <c r="DE23" s="214">
        <f>IF(AND(($E23+$C$1)&gt;DE$4,DE$4&gt;=$C$1),$H23,IF(AND(($D23+$C$1)&gt;DE$4,DE$4&gt;=$C$1),$G23,0))*IF($A23="Residential",'General Inputs'!Q$15,'General Inputs'!Q$19)</f>
        <v>9687.3853057353663</v>
      </c>
      <c r="DF23" s="214">
        <f>IF(AND(($E23+$C$1)&gt;DF$4,DF$4&gt;=$C$1),$H23,IF(AND(($D23+$C$1)&gt;DF$4,DF$4&gt;=$C$1),$G23,0))*IF($A23="Residential",'General Inputs'!R$15,'General Inputs'!R$19)</f>
        <v>9832.696085321395</v>
      </c>
      <c r="DG23" s="214">
        <f>IF(AND(($E23+$C$1)&gt;DG$4,DG$4&gt;=$C$1),$H23,IF(AND(($D23+$C$1)&gt;DG$4,DG$4&gt;=$C$1),$G23,0))*IF($A23="Residential",'General Inputs'!S$15,'General Inputs'!S$19)</f>
        <v>9980.1865266012155</v>
      </c>
      <c r="DH23" s="214">
        <f>IF(AND(($E23+$C$1)&gt;DH$4,DH$4&gt;=$C$1),$H23,IF(AND(($D23+$C$1)&gt;DH$4,DH$4&gt;=$C$1),$G23,0))*IF($A23="Residential",'General Inputs'!T$15,'General Inputs'!T$19)</f>
        <v>10129.889324500233</v>
      </c>
      <c r="DI23" s="214">
        <f>IF(AND(($E23+$C$1)&gt;DI$4,DI$4&gt;=$C$1),$H23,IF(AND(($D23+$C$1)&gt;DI$4,DI$4&gt;=$C$1),$G23,0))*IF($A23="Residential",'General Inputs'!U$15,'General Inputs'!U$19)</f>
        <v>10281.837664367735</v>
      </c>
      <c r="DJ23" s="214">
        <f>IF(AND(($E23+$C$1)&gt;DJ$4,DJ$4&gt;=$C$1),$H23,IF(AND(($D23+$C$1)&gt;DJ$4,DJ$4&gt;=$C$1),$G23,0))*IF($A23="Residential",'General Inputs'!V$15,'General Inputs'!V$19)</f>
        <v>10436.06522933325</v>
      </c>
      <c r="DK23" s="214">
        <f>IF(AND(($E23+$C$1)&gt;DK$4,DK$4&gt;=$C$1),$H23,IF(AND(($D23+$C$1)&gt;DK$4,DK$4&gt;=$C$1),$G23,0))*IF($A23="Residential",'General Inputs'!W$15,'General Inputs'!W$19)</f>
        <v>0</v>
      </c>
      <c r="DM23" s="214">
        <f t="shared" si="47"/>
        <v>0</v>
      </c>
      <c r="DN23" s="214">
        <f t="shared" si="27"/>
        <v>22770</v>
      </c>
      <c r="DO23" s="214">
        <f t="shared" si="27"/>
        <v>0</v>
      </c>
      <c r="DP23" s="214">
        <f t="shared" si="27"/>
        <v>0</v>
      </c>
      <c r="DQ23" s="214">
        <f t="shared" si="27"/>
        <v>0</v>
      </c>
      <c r="DR23" s="214">
        <f t="shared" si="27"/>
        <v>0</v>
      </c>
      <c r="DS23" s="214">
        <f t="shared" si="27"/>
        <v>0</v>
      </c>
      <c r="DT23" s="214">
        <f t="shared" si="27"/>
        <v>0</v>
      </c>
      <c r="DU23" s="214">
        <f t="shared" si="27"/>
        <v>0</v>
      </c>
      <c r="DV23" s="214">
        <f t="shared" si="27"/>
        <v>0</v>
      </c>
      <c r="DW23" s="214">
        <f t="shared" si="27"/>
        <v>0</v>
      </c>
      <c r="DZ23" s="650"/>
      <c r="FI23" s="195"/>
      <c r="FJ23" s="195"/>
      <c r="FK23" s="195"/>
      <c r="FL23" s="195"/>
      <c r="FM23" s="195"/>
      <c r="FN23" s="195"/>
      <c r="FO23" s="195"/>
    </row>
    <row r="24" spans="1:171">
      <c r="A24" s="441" t="s">
        <v>12</v>
      </c>
      <c r="B24" s="426" t="str">
        <f>'Portfolio Inputs'!A23</f>
        <v>Whole House Efficiency</v>
      </c>
      <c r="C24" s="356">
        <f>IF($C$1=2014,'Portfolio Inputs'!$C23,IF($C$1=2015,'Portfolio Inputs'!$D23,'Portfolio Inputs'!$E23))</f>
        <v>125</v>
      </c>
      <c r="D24" s="503"/>
      <c r="E24" s="503"/>
      <c r="G24" s="513">
        <f>SUM(G25:G32)</f>
        <v>111715.06547287326</v>
      </c>
      <c r="H24" s="513"/>
      <c r="I24" s="509">
        <f>SUM(I25:I32)</f>
        <v>28.975153442116913</v>
      </c>
      <c r="J24" s="509"/>
      <c r="L24" s="453"/>
      <c r="M24" s="453"/>
      <c r="N24" s="453">
        <f>IF($C$1=2014,'Portfolio Inputs'!$W23,IF($C$1=2015,'Portfolio Inputs'!$X23,'Portfolio Inputs'!$Y23))</f>
        <v>0</v>
      </c>
      <c r="O24" s="453">
        <f>IF($C$1=2014,'Portfolio Inputs'!$AA23,IF($C$1=2015,'Portfolio Inputs'!$AB23,'Portfolio Inputs'!$AC23))</f>
        <v>35010.9375</v>
      </c>
      <c r="Q24" s="442">
        <f>IF(OR(AE24&gt;0,AC24&gt;0),Y24/(AC24+AE24),"n/a")</f>
        <v>1.0300505398437991</v>
      </c>
      <c r="R24" s="443">
        <f>IF(OR(AC24&gt;0,AD24&gt;0),Y24/((AD24+AC24)),"n/a")</f>
        <v>1.0300505398437991</v>
      </c>
      <c r="S24" s="443">
        <f>IF(OR(AC24&gt;0,AE24&gt;0),(Y24+Z24)/(AC24+AE24),"n/a")</f>
        <v>1.2732460159041075</v>
      </c>
      <c r="T24" s="443" t="str">
        <f>IF(AE24&gt;0,(AD24+AA24)/AE24,"n/a")</f>
        <v>n/a</v>
      </c>
      <c r="U24" s="443" t="str">
        <f>IF(AE24&gt;0,(AD24+AB24)/AE24,"n/a")</f>
        <v>n/a</v>
      </c>
      <c r="V24" s="522">
        <f>IF((AA24+AC24+AD24)&gt;0,Y24/(AA24+AC24+AD24),"n/a")</f>
        <v>0.2508896936143824</v>
      </c>
      <c r="W24" s="522">
        <f>IF((AB24+AC24+AD24)&gt;0,Y24/(AB24+AC24+AD24),"n/a")</f>
        <v>0.29209490241584474</v>
      </c>
      <c r="Y24" s="444">
        <f t="shared" si="4"/>
        <v>33133.990327372761</v>
      </c>
      <c r="Z24" s="444">
        <f t="shared" si="5"/>
        <v>7822.9526025635805</v>
      </c>
      <c r="AA24" s="444">
        <f t="shared" si="6"/>
        <v>99898.624047929959</v>
      </c>
      <c r="AB24" s="444">
        <f t="shared" si="7"/>
        <v>81268.357805799431</v>
      </c>
      <c r="AC24" s="445">
        <f t="shared" si="20"/>
        <v>32167.34426681367</v>
      </c>
      <c r="AD24" s="445">
        <f t="shared" si="21"/>
        <v>0</v>
      </c>
      <c r="AE24" s="526">
        <f t="shared" si="8"/>
        <v>0</v>
      </c>
      <c r="AG24" s="446">
        <f t="shared" ref="AG24:AZ24" si="62">SUM(AG25:AG32)</f>
        <v>0</v>
      </c>
      <c r="AH24" s="446">
        <f t="shared" si="62"/>
        <v>4954.7280141079636</v>
      </c>
      <c r="AI24" s="446">
        <f t="shared" si="62"/>
        <v>5029.0489343195823</v>
      </c>
      <c r="AJ24" s="446">
        <f t="shared" si="62"/>
        <v>4688.1652936760283</v>
      </c>
      <c r="AK24" s="446">
        <f t="shared" si="62"/>
        <v>4758.4877730811677</v>
      </c>
      <c r="AL24" s="446">
        <f t="shared" si="62"/>
        <v>4829.8650896773852</v>
      </c>
      <c r="AM24" s="446">
        <f t="shared" si="62"/>
        <v>3710.4856913602302</v>
      </c>
      <c r="AN24" s="446">
        <f t="shared" si="62"/>
        <v>3766.1429767306327</v>
      </c>
      <c r="AO24" s="446">
        <f t="shared" si="62"/>
        <v>3822.6351213815924</v>
      </c>
      <c r="AP24" s="446">
        <f t="shared" si="62"/>
        <v>3879.9746482023152</v>
      </c>
      <c r="AQ24" s="446">
        <f t="shared" si="62"/>
        <v>3508.1293348674672</v>
      </c>
      <c r="AR24" s="446">
        <f t="shared" si="62"/>
        <v>2660.4421119968183</v>
      </c>
      <c r="AS24" s="446">
        <f t="shared" si="62"/>
        <v>2700.3487436767705</v>
      </c>
      <c r="AT24" s="446">
        <f t="shared" si="62"/>
        <v>2740.8539748319217</v>
      </c>
      <c r="AU24" s="446">
        <f t="shared" si="62"/>
        <v>2781.9667844544006</v>
      </c>
      <c r="AV24" s="446">
        <f t="shared" si="62"/>
        <v>2823.6962862212163</v>
      </c>
      <c r="AW24" s="446">
        <f t="shared" si="62"/>
        <v>0</v>
      </c>
      <c r="AX24" s="446">
        <f t="shared" si="62"/>
        <v>0</v>
      </c>
      <c r="AY24" s="446">
        <f t="shared" si="62"/>
        <v>0</v>
      </c>
      <c r="AZ24" s="446">
        <f t="shared" si="62"/>
        <v>0</v>
      </c>
      <c r="BB24" s="446">
        <f t="shared" ref="BB24:BU24" si="63">SUM(BB25:BB32)</f>
        <v>0</v>
      </c>
      <c r="BC24" s="446">
        <f t="shared" si="63"/>
        <v>1273.5517463907549</v>
      </c>
      <c r="BD24" s="446">
        <f t="shared" si="63"/>
        <v>1273.5517463907549</v>
      </c>
      <c r="BE24" s="446">
        <f t="shared" si="63"/>
        <v>1164.238915670755</v>
      </c>
      <c r="BF24" s="446">
        <f t="shared" si="63"/>
        <v>1164.238915670755</v>
      </c>
      <c r="BG24" s="446">
        <f t="shared" si="63"/>
        <v>1164.238915670755</v>
      </c>
      <c r="BH24" s="446">
        <f t="shared" si="63"/>
        <v>863.43236486345495</v>
      </c>
      <c r="BI24" s="446">
        <f t="shared" si="63"/>
        <v>863.43236486345495</v>
      </c>
      <c r="BJ24" s="446">
        <f t="shared" si="63"/>
        <v>863.43236486345495</v>
      </c>
      <c r="BK24" s="446">
        <f t="shared" si="63"/>
        <v>863.43236486345495</v>
      </c>
      <c r="BL24" s="446">
        <f t="shared" si="63"/>
        <v>761.60314134024907</v>
      </c>
      <c r="BM24" s="446">
        <f t="shared" si="63"/>
        <v>548.61050738130041</v>
      </c>
      <c r="BN24" s="446">
        <f t="shared" si="63"/>
        <v>548.61050738130041</v>
      </c>
      <c r="BO24" s="446">
        <f t="shared" si="63"/>
        <v>548.61050738130041</v>
      </c>
      <c r="BP24" s="446">
        <f t="shared" si="63"/>
        <v>548.61050738130041</v>
      </c>
      <c r="BQ24" s="446">
        <f t="shared" si="63"/>
        <v>548.61050738130041</v>
      </c>
      <c r="BR24" s="446">
        <f t="shared" si="63"/>
        <v>0</v>
      </c>
      <c r="BS24" s="446">
        <f t="shared" si="63"/>
        <v>0</v>
      </c>
      <c r="BT24" s="446">
        <f t="shared" si="63"/>
        <v>0</v>
      </c>
      <c r="BU24" s="446">
        <f t="shared" si="63"/>
        <v>0</v>
      </c>
      <c r="BW24" s="446">
        <f t="shared" ref="BW24:CP24" si="64">SUM(BW25:BW32)</f>
        <v>0</v>
      </c>
      <c r="BX24" s="446">
        <f t="shared" si="64"/>
        <v>15220.486814979862</v>
      </c>
      <c r="BY24" s="446">
        <f t="shared" si="64"/>
        <v>15448.794117204556</v>
      </c>
      <c r="BZ24" s="446">
        <f t="shared" si="64"/>
        <v>14334.618654360645</v>
      </c>
      <c r="CA24" s="446">
        <f t="shared" si="64"/>
        <v>14549.637934176053</v>
      </c>
      <c r="CB24" s="446">
        <f t="shared" si="64"/>
        <v>14767.882503188692</v>
      </c>
      <c r="CC24" s="446">
        <f t="shared" si="64"/>
        <v>11116.561691294839</v>
      </c>
      <c r="CD24" s="446">
        <f t="shared" si="64"/>
        <v>11283.310116664261</v>
      </c>
      <c r="CE24" s="446">
        <f t="shared" si="64"/>
        <v>11452.559768414221</v>
      </c>
      <c r="CF24" s="446">
        <f t="shared" si="64"/>
        <v>11624.348164940435</v>
      </c>
      <c r="CG24" s="446">
        <f t="shared" si="64"/>
        <v>10407.22764781839</v>
      </c>
      <c r="CH24" s="446">
        <f t="shared" si="64"/>
        <v>7609.1560582440798</v>
      </c>
      <c r="CI24" s="446">
        <f t="shared" si="64"/>
        <v>7723.2933991177406</v>
      </c>
      <c r="CJ24" s="446">
        <f t="shared" si="64"/>
        <v>7839.1428001045051</v>
      </c>
      <c r="CK24" s="446">
        <f t="shared" si="64"/>
        <v>7956.7299421060725</v>
      </c>
      <c r="CL24" s="446">
        <f t="shared" si="64"/>
        <v>8076.0808912376624</v>
      </c>
      <c r="CM24" s="446">
        <f t="shared" si="64"/>
        <v>0</v>
      </c>
      <c r="CN24" s="446">
        <f t="shared" si="64"/>
        <v>0</v>
      </c>
      <c r="CO24" s="446">
        <f t="shared" si="64"/>
        <v>0</v>
      </c>
      <c r="CP24" s="446">
        <f t="shared" si="64"/>
        <v>0</v>
      </c>
      <c r="CR24" s="446">
        <f t="shared" ref="CR24:DK24" si="65">SUM(CR25:CR32)</f>
        <v>0</v>
      </c>
      <c r="CS24" s="446">
        <f t="shared" si="65"/>
        <v>12381.992046905145</v>
      </c>
      <c r="CT24" s="446">
        <f t="shared" si="65"/>
        <v>12567.721927608722</v>
      </c>
      <c r="CU24" s="446">
        <f t="shared" si="65"/>
        <v>11661.330963410877</v>
      </c>
      <c r="CV24" s="446">
        <f t="shared" si="65"/>
        <v>11836.25092786204</v>
      </c>
      <c r="CW24" s="446">
        <f t="shared" si="65"/>
        <v>12013.794691779967</v>
      </c>
      <c r="CX24" s="446">
        <f t="shared" si="65"/>
        <v>9043.4149790185438</v>
      </c>
      <c r="CY24" s="446">
        <f t="shared" si="65"/>
        <v>9179.0662037038219</v>
      </c>
      <c r="CZ24" s="446">
        <f t="shared" si="65"/>
        <v>9316.7521967593766</v>
      </c>
      <c r="DA24" s="446">
        <f t="shared" si="65"/>
        <v>9456.5034797107674</v>
      </c>
      <c r="DB24" s="446">
        <f t="shared" si="65"/>
        <v>8466.3658614909527</v>
      </c>
      <c r="DC24" s="446">
        <f t="shared" si="65"/>
        <v>6190.1114558380159</v>
      </c>
      <c r="DD24" s="446">
        <f t="shared" si="65"/>
        <v>6282.9631276755854</v>
      </c>
      <c r="DE24" s="446">
        <f t="shared" si="65"/>
        <v>6377.2075745907196</v>
      </c>
      <c r="DF24" s="446">
        <f t="shared" si="65"/>
        <v>6472.8656882095793</v>
      </c>
      <c r="DG24" s="446">
        <f t="shared" si="65"/>
        <v>6569.9586735327211</v>
      </c>
      <c r="DH24" s="446">
        <f t="shared" si="65"/>
        <v>0</v>
      </c>
      <c r="DI24" s="446">
        <f t="shared" si="65"/>
        <v>0</v>
      </c>
      <c r="DJ24" s="446">
        <f t="shared" si="65"/>
        <v>0</v>
      </c>
      <c r="DK24" s="446">
        <f t="shared" si="65"/>
        <v>0</v>
      </c>
      <c r="DM24" s="446">
        <f t="shared" ref="DM24:DW24" si="66">SUM(DM25:DM32)</f>
        <v>0</v>
      </c>
      <c r="DN24" s="446">
        <f t="shared" si="66"/>
        <v>0</v>
      </c>
      <c r="DO24" s="446">
        <f t="shared" si="66"/>
        <v>0</v>
      </c>
      <c r="DP24" s="446">
        <f t="shared" si="66"/>
        <v>0</v>
      </c>
      <c r="DQ24" s="446">
        <f t="shared" si="66"/>
        <v>0</v>
      </c>
      <c r="DR24" s="446">
        <f t="shared" si="66"/>
        <v>0</v>
      </c>
      <c r="DS24" s="446">
        <f t="shared" si="66"/>
        <v>0</v>
      </c>
      <c r="DT24" s="446">
        <f t="shared" si="66"/>
        <v>0</v>
      </c>
      <c r="DU24" s="446">
        <f t="shared" si="66"/>
        <v>0</v>
      </c>
      <c r="DV24" s="446">
        <f t="shared" si="66"/>
        <v>0</v>
      </c>
      <c r="DW24" s="446">
        <f t="shared" si="66"/>
        <v>0</v>
      </c>
      <c r="DZ24" s="650"/>
      <c r="FO24" s="195"/>
    </row>
    <row r="25" spans="1:171">
      <c r="A25" s="342" t="s">
        <v>12</v>
      </c>
      <c r="B25" s="427" t="str">
        <f>'Portfolio Inputs'!A24</f>
        <v>Air Sealing (Electric Heat)</v>
      </c>
      <c r="C25" s="217">
        <f>IF($C$1=2014,'Portfolio Inputs'!$C24,IF($C$1=2015,'Portfolio Inputs'!$D24,'Portfolio Inputs'!$E24))</f>
        <v>19</v>
      </c>
      <c r="D25" s="504">
        <f>VLOOKUP(B25,Sources!$B$4:$J$104,2,FALSE)</f>
        <v>15</v>
      </c>
      <c r="E25" s="504">
        <f>VLOOKUP(B25,Sources!$B$4:$J$104,3,FALSE)</f>
        <v>0</v>
      </c>
      <c r="G25" s="504">
        <f>IF($C$1=2014,'Portfolio Inputs'!$G24,IF($C$1=2015,'Portfolio Inputs'!$H24,'Portfolio Inputs'!$I24))*EnergyLineLoss</f>
        <v>26742.233789421691</v>
      </c>
      <c r="H25" s="504"/>
      <c r="I25" s="504">
        <f>IF($C$1=2014,'Portfolio Inputs'!$K24,IF($C$1=2015,'Portfolio Inputs'!$L24,'Portfolio Inputs'!$M24))*PeakLineLoss</f>
        <v>11.379608538796569</v>
      </c>
      <c r="J25" s="510"/>
      <c r="L25" s="606">
        <f>IF($C$1=2014,'Portfolio Inputs'!$O24,IF($C$1=2015,'Portfolio Inputs'!$P24,'Portfolio Inputs'!$Q24))</f>
        <v>0</v>
      </c>
      <c r="M25" s="518">
        <f>VLOOKUP($B25,Sources!$B$4:$K$104,10,FALSE)</f>
        <v>0</v>
      </c>
      <c r="N25" s="419">
        <f>IF($C$1=2014,'Portfolio Inputs'!$W24,IF($C$1=2015,'Portfolio Inputs'!$X24,'Portfolio Inputs'!$Y24))</f>
        <v>0</v>
      </c>
      <c r="O25" s="419"/>
      <c r="Q25" s="438" t="str">
        <f t="shared" ref="Q25:Q87" si="67">IF(OR(AE25&gt;0,AC25&gt;0),Y25/(AC25+AE25),"n/a")</f>
        <v>n/a</v>
      </c>
      <c r="R25" s="439" t="str">
        <f t="shared" ref="R25:R87" si="68">IF(OR(AC25&gt;0,AD25&gt;0),Y25/((AD25+AC25)),"n/a")</f>
        <v>n/a</v>
      </c>
      <c r="S25" s="439" t="str">
        <f t="shared" ref="S25:S87" si="69">IF(OR(AC25&gt;0,AE25&gt;0),(Y25+Z25)/(AC25+AE25),"n/a")</f>
        <v>n/a</v>
      </c>
      <c r="T25" s="439" t="str">
        <f t="shared" ref="T25:T87" si="70">IF(AE25&gt;0,(AD25+AA25)/AE25,"n/a")</f>
        <v>n/a</v>
      </c>
      <c r="U25" s="439" t="str">
        <f t="shared" ref="U25:U32" si="71">IF(AE25&gt;0,(AD25+AB25)/AE25,"n/a")</f>
        <v>n/a</v>
      </c>
      <c r="V25" s="439">
        <f t="shared" ref="V25:V87" si="72">IF((AA25+AC25+AD25)&gt;0,Y25/(AA25+AC25+AD25),"n/a")</f>
        <v>0.34406646344199665</v>
      </c>
      <c r="W25" s="439">
        <f t="shared" ref="W25:W87" si="73">IF((AB25+AC25+AD25)&gt;0,Y25/(AB25+AC25+AD25),"n/a")</f>
        <v>0.42294156307462671</v>
      </c>
      <c r="Y25" s="215">
        <f t="shared" si="4"/>
        <v>11086.222215787988</v>
      </c>
      <c r="Z25" s="215">
        <f t="shared" si="5"/>
        <v>2480.7774256925477</v>
      </c>
      <c r="AA25" s="215">
        <f t="shared" si="6"/>
        <v>32221.164785672067</v>
      </c>
      <c r="AB25" s="215">
        <f t="shared" si="7"/>
        <v>26212.184338647887</v>
      </c>
      <c r="AC25" s="216">
        <f t="shared" si="20"/>
        <v>0</v>
      </c>
      <c r="AD25" s="216">
        <f t="shared" si="21"/>
        <v>0</v>
      </c>
      <c r="AE25" s="215">
        <f t="shared" si="8"/>
        <v>0</v>
      </c>
      <c r="AG25" s="214">
        <f>IF(AND(($E25+$C$1)&gt;AG$4,AG$4&gt;=$C$1),'General Inputs'!D$9*$H25,IF(AND(($D25+$C$1)&gt;AG$4,AG$4&gt;=$C$1),'General Inputs'!D$9*$G25,0))+IF(AND(($E25+$C$1)&gt;AG$4,AG$4&gt;=$C$1),'General Inputs'!D$10*$J25,IF(AND(($D25+$C$1)&gt;AG$4,AG$4&gt;=$C$1),'General Inputs'!D$10*$I25,0))</f>
        <v>0</v>
      </c>
      <c r="AH25" s="214">
        <f>IF(AND(($E25+$C$1)&gt;AH$4,AH$4&gt;=$C$1),'General Inputs'!E$9*$H25,IF(AND(($D25+$C$1)&gt;AH$4,AH$4&gt;=$C$1),'General Inputs'!E$9*$G25,0))+IF(AND(($E25+$C$1)&gt;AH$4,AH$4&gt;=$C$1),'General Inputs'!E$10*$J25,IF(AND(($D25+$C$1)&gt;AH$4,AH$4&gt;=$C$1),'General Inputs'!E$10*$I25,0))</f>
        <v>1253.5937654183804</v>
      </c>
      <c r="AI25" s="214">
        <f>IF(AND(($E25+$C$1)&gt;AI$4,AI$4&gt;=$C$1),'General Inputs'!F$9*$H25,IF(AND(($D25+$C$1)&gt;AI$4,AI$4&gt;=$C$1),'General Inputs'!F$9*$G25,0))+IF(AND(($E25+$C$1)&gt;AI$4,AI$4&gt;=$C$1),'General Inputs'!F$10*$J25,IF(AND(($D25+$C$1)&gt;AI$4,AI$4&gt;=$C$1),'General Inputs'!F$10*$I25,0))</f>
        <v>1272.397671899656</v>
      </c>
      <c r="AJ25" s="214">
        <f>IF(AND(($E25+$C$1)&gt;AJ$4,AJ$4&gt;=$C$1),'General Inputs'!G$9*$H25,IF(AND(($D25+$C$1)&gt;AJ$4,AJ$4&gt;=$C$1),'General Inputs'!G$9*$G25,0))+IF(AND(($E25+$C$1)&gt;AJ$4,AJ$4&gt;=$C$1),'General Inputs'!G$10*$J25,IF(AND(($D25+$C$1)&gt;AJ$4,AJ$4&gt;=$C$1),'General Inputs'!G$10*$I25,0))</f>
        <v>1291.4836369781506</v>
      </c>
      <c r="AK25" s="214">
        <f>IF(AND(($E25+$C$1)&gt;AK$4,AK$4&gt;=$C$1),'General Inputs'!H$9*$H25,IF(AND(($D25+$C$1)&gt;AK$4,AK$4&gt;=$C$1),'General Inputs'!H$9*$G25,0))+IF(AND(($E25+$C$1)&gt;AK$4,AK$4&gt;=$C$1),'General Inputs'!H$10*$J25,IF(AND(($D25+$C$1)&gt;AK$4,AK$4&gt;=$C$1),'General Inputs'!H$10*$I25,0))</f>
        <v>1310.8558915328226</v>
      </c>
      <c r="AL25" s="214">
        <f>IF(AND(($E25+$C$1)&gt;AL$4,AL$4&gt;=$C$1),'General Inputs'!I$9*$H25,IF(AND(($D25+$C$1)&gt;AL$4,AL$4&gt;=$C$1),'General Inputs'!I$9*$G25,0))+IF(AND(($E25+$C$1)&gt;AL$4,AL$4&gt;=$C$1),'General Inputs'!I$10*$J25,IF(AND(($D25+$C$1)&gt;AL$4,AL$4&gt;=$C$1),'General Inputs'!I$10*$I25,0))</f>
        <v>1330.518729905815</v>
      </c>
      <c r="AM25" s="214">
        <f>IF(AND(($E25+$C$1)&gt;AM$4,AM$4&gt;=$C$1),'General Inputs'!J$9*$H25,IF(AND(($D25+$C$1)&gt;AM$4,AM$4&gt;=$C$1),'General Inputs'!J$9*$G25,0))+IF(AND(($E25+$C$1)&gt;AM$4,AM$4&gt;=$C$1),'General Inputs'!J$10*$J25,IF(AND(($D25+$C$1)&gt;AM$4,AM$4&gt;=$C$1),'General Inputs'!J$10*$I25,0))</f>
        <v>1350.476510854402</v>
      </c>
      <c r="AN25" s="214">
        <f>IF(AND(($E25+$C$1)&gt;AN$4,AN$4&gt;=$C$1),'General Inputs'!K$9*$H25,IF(AND(($D25+$C$1)&gt;AN$4,AN$4&gt;=$C$1),'General Inputs'!K$9*$G25,0))+IF(AND(($E25+$C$1)&gt;AN$4,AN$4&gt;=$C$1),'General Inputs'!K$10*$J25,IF(AND(($D25+$C$1)&gt;AN$4,AN$4&gt;=$C$1),'General Inputs'!K$10*$I25,0))</f>
        <v>1370.7336585172177</v>
      </c>
      <c r="AO25" s="214">
        <f>IF(AND(($E25+$C$1)&gt;AO$4,AO$4&gt;=$C$1),'General Inputs'!L$9*$H25,IF(AND(($D25+$C$1)&gt;AO$4,AO$4&gt;=$C$1),'General Inputs'!L$9*$G25,0))+IF(AND(($E25+$C$1)&gt;AO$4,AO$4&gt;=$C$1),'General Inputs'!L$10*$J25,IF(AND(($D25+$C$1)&gt;AO$4,AO$4&gt;=$C$1),'General Inputs'!L$10*$I25,0))</f>
        <v>1391.2946633949759</v>
      </c>
      <c r="AP25" s="214">
        <f>IF(AND(($E25+$C$1)&gt;AP$4,AP$4&gt;=$C$1),'General Inputs'!M$9*$H25,IF(AND(($D25+$C$1)&gt;AP$4,AP$4&gt;=$C$1),'General Inputs'!M$9*$G25,0))+IF(AND(($E25+$C$1)&gt;AP$4,AP$4&gt;=$C$1),'General Inputs'!M$10*$J25,IF(AND(($D25+$C$1)&gt;AP$4,AP$4&gt;=$C$1),'General Inputs'!M$10*$I25,0))</f>
        <v>1412.1640833459003</v>
      </c>
      <c r="AQ25" s="214">
        <f>IF(AND(($E25+$C$1)&gt;AQ$4,AQ$4&gt;=$C$1),'General Inputs'!N$9*$H25,IF(AND(($D25+$C$1)&gt;AQ$4,AQ$4&gt;=$C$1),'General Inputs'!N$9*$G25,0))+IF(AND(($E25+$C$1)&gt;AQ$4,AQ$4&gt;=$C$1),'General Inputs'!N$10*$J25,IF(AND(($D25+$C$1)&gt;AQ$4,AQ$4&gt;=$C$1),'General Inputs'!N$10*$I25,0))</f>
        <v>1433.3465445960887</v>
      </c>
      <c r="AR25" s="214">
        <f>IF(AND(($E25+$C$1)&gt;AR$4,AR$4&gt;=$C$1),'General Inputs'!O$9*$H25,IF(AND(($D25+$C$1)&gt;AR$4,AR$4&gt;=$C$1),'General Inputs'!O$9*$G25,0))+IF(AND(($E25+$C$1)&gt;AR$4,AR$4&gt;=$C$1),'General Inputs'!O$10*$J25,IF(AND(($D25+$C$1)&gt;AR$4,AR$4&gt;=$C$1),'General Inputs'!O$10*$I25,0))</f>
        <v>1454.8467427650298</v>
      </c>
      <c r="AS25" s="214">
        <f>IF(AND(($E25+$C$1)&gt;AS$4,AS$4&gt;=$C$1),'General Inputs'!P$9*$H25,IF(AND(($D25+$C$1)&gt;AS$4,AS$4&gt;=$C$1),'General Inputs'!P$9*$G25,0))+IF(AND(($E25+$C$1)&gt;AS$4,AS$4&gt;=$C$1),'General Inputs'!P$10*$J25,IF(AND(($D25+$C$1)&gt;AS$4,AS$4&gt;=$C$1),'General Inputs'!P$10*$I25,0))</f>
        <v>1476.6694439065052</v>
      </c>
      <c r="AT25" s="214">
        <f>IF(AND(($E25+$C$1)&gt;AT$4,AT$4&gt;=$C$1),'General Inputs'!Q$9*$H25,IF(AND(($D25+$C$1)&gt;AT$4,AT$4&gt;=$C$1),'General Inputs'!Q$9*$G25,0))+IF(AND(($E25+$C$1)&gt;AT$4,AT$4&gt;=$C$1),'General Inputs'!Q$10*$J25,IF(AND(($D25+$C$1)&gt;AT$4,AT$4&gt;=$C$1),'General Inputs'!Q$10*$I25,0))</f>
        <v>1498.8194855651027</v>
      </c>
      <c r="AU25" s="214">
        <f>IF(AND(($E25+$C$1)&gt;AU$4,AU$4&gt;=$C$1),'General Inputs'!R$9*$H25,IF(AND(($D25+$C$1)&gt;AU$4,AU$4&gt;=$C$1),'General Inputs'!R$9*$G25,0))+IF(AND(($E25+$C$1)&gt;AU$4,AU$4&gt;=$C$1),'General Inputs'!R$10*$J25,IF(AND(($D25+$C$1)&gt;AU$4,AU$4&gt;=$C$1),'General Inputs'!R$10*$I25,0))</f>
        <v>1521.3017778485791</v>
      </c>
      <c r="AV25" s="214">
        <f>IF(AND(($E25+$C$1)&gt;AV$4,AV$4&gt;=$C$1),'General Inputs'!S$9*$H25,IF(AND(($D25+$C$1)&gt;AV$4,AV$4&gt;=$C$1),'General Inputs'!S$9*$G25,0))+IF(AND(($E25+$C$1)&gt;AV$4,AV$4&gt;=$C$1),'General Inputs'!S$10*$J25,IF(AND(($D25+$C$1)&gt;AV$4,AV$4&gt;=$C$1),'General Inputs'!S$10*$I25,0))</f>
        <v>1544.1213045163079</v>
      </c>
      <c r="AW25" s="214">
        <f>IF(AND(($E25+$C$1)&gt;AW$4,AW$4&gt;=$C$1),'General Inputs'!T$9*$H25,IF(AND(($D25+$C$1)&gt;AW$4,AW$4&gt;=$C$1),'General Inputs'!T$9*$G25,0))+IF(AND(($E25+$C$1)&gt;AW$4,AW$4&gt;=$C$1),'General Inputs'!T$10*$J25,IF(AND(($D25+$C$1)&gt;AW$4,AW$4&gt;=$C$1),'General Inputs'!T$10*$I25,0))</f>
        <v>0</v>
      </c>
      <c r="AX25" s="214">
        <f>IF(AND(($E25+$C$1)&gt;AX$4,AX$4&gt;=$C$1),'General Inputs'!U$9*$H25,IF(AND(($D25+$C$1)&gt;AX$4,AX$4&gt;=$C$1),'General Inputs'!U$9*$G25,0))+IF(AND(($E25+$C$1)&gt;AX$4,AX$4&gt;=$C$1),'General Inputs'!U$10*$J25,IF(AND(($D25+$C$1)&gt;AX$4,AX$4&gt;=$C$1),'General Inputs'!U$10*$I25,0))</f>
        <v>0</v>
      </c>
      <c r="AY25" s="214">
        <f>IF(AND(($E25+$C$1)&gt;AY$4,AY$4&gt;=$C$1),'General Inputs'!V$9*$H25,IF(AND(($D25+$C$1)&gt;AY$4,AY$4&gt;=$C$1),'General Inputs'!V$9*$G25,0))+IF(AND(($E25+$C$1)&gt;AY$4,AY$4&gt;=$C$1),'General Inputs'!V$10*$J25,IF(AND(($D25+$C$1)&gt;AY$4,AY$4&gt;=$C$1),'General Inputs'!V$10*$I25,0))</f>
        <v>0</v>
      </c>
      <c r="AZ25" s="214">
        <f>IF(AND(($E25+$C$1)&gt;AZ$4,AZ$4&gt;=$C$1),'General Inputs'!W$9*$H25,IF(AND(($D25+$C$1)&gt;AZ$4,AZ$4&gt;=$C$1),'General Inputs'!W$9*$G25,0))+IF(AND(($E25+$C$1)&gt;AZ$4,AZ$4&gt;=$C$1),'General Inputs'!W$10*$J25,IF(AND(($D25+$C$1)&gt;AZ$4,AZ$4&gt;=$C$1),'General Inputs'!W$10*$I25,0))</f>
        <v>0</v>
      </c>
      <c r="BB25" s="214">
        <f>IF(AND(($E25+$C$1)&gt;BB$4,BB$4&gt;=$C$1),'General Inputs'!D$11*$H25,IF(AND(($D25+$C$1)&gt;BB$4,BB$4&gt;=$C$1),'General Inputs'!D$11*$G25,0))</f>
        <v>0</v>
      </c>
      <c r="BC25" s="214">
        <f>IF(AND(($E25+$C$1)&gt;BC$4,BC$4&gt;=$C$1),'General Inputs'!E$11*$H25,IF(AND(($D25+$C$1)&gt;BC$4,BC$4&gt;=$C$1),'General Inputs'!E$11*$G25,0))</f>
        <v>304.86146519940729</v>
      </c>
      <c r="BD25" s="214">
        <f>IF(AND(($E25+$C$1)&gt;BD$4,BD$4&gt;=$C$1),'General Inputs'!F$11*$H25,IF(AND(($D25+$C$1)&gt;BD$4,BD$4&gt;=$C$1),'General Inputs'!F$11*$G25,0))</f>
        <v>304.86146519940729</v>
      </c>
      <c r="BE25" s="214">
        <f>IF(AND(($E25+$C$1)&gt;BE$4,BE$4&gt;=$C$1),'General Inputs'!G$11*$H25,IF(AND(($D25+$C$1)&gt;BE$4,BE$4&gt;=$C$1),'General Inputs'!G$11*$G25,0))</f>
        <v>304.86146519940729</v>
      </c>
      <c r="BF25" s="214">
        <f>IF(AND(($E25+$C$1)&gt;BF$4,BF$4&gt;=$C$1),'General Inputs'!H$11*$H25,IF(AND(($D25+$C$1)&gt;BF$4,BF$4&gt;=$C$1),'General Inputs'!H$11*$G25,0))</f>
        <v>304.86146519940729</v>
      </c>
      <c r="BG25" s="214">
        <f>IF(AND(($E25+$C$1)&gt;BG$4,BG$4&gt;=$C$1),'General Inputs'!I$11*$H25,IF(AND(($D25+$C$1)&gt;BG$4,BG$4&gt;=$C$1),'General Inputs'!I$11*$G25,0))</f>
        <v>304.86146519940729</v>
      </c>
      <c r="BH25" s="214">
        <f>IF(AND(($E25+$C$1)&gt;BH$4,BH$4&gt;=$C$1),'General Inputs'!J$11*$H25,IF(AND(($D25+$C$1)&gt;BH$4,BH$4&gt;=$C$1),'General Inputs'!J$11*$G25,0))</f>
        <v>304.86146519940729</v>
      </c>
      <c r="BI25" s="214">
        <f>IF(AND(($E25+$C$1)&gt;BI$4,BI$4&gt;=$C$1),'General Inputs'!K$11*$H25,IF(AND(($D25+$C$1)&gt;BI$4,BI$4&gt;=$C$1),'General Inputs'!K$11*$G25,0))</f>
        <v>304.86146519940729</v>
      </c>
      <c r="BJ25" s="214">
        <f>IF(AND(($E25+$C$1)&gt;BJ$4,BJ$4&gt;=$C$1),'General Inputs'!L$11*$H25,IF(AND(($D25+$C$1)&gt;BJ$4,BJ$4&gt;=$C$1),'General Inputs'!L$11*$G25,0))</f>
        <v>304.86146519940729</v>
      </c>
      <c r="BK25" s="214">
        <f>IF(AND(($E25+$C$1)&gt;BK$4,BK$4&gt;=$C$1),'General Inputs'!M$11*$H25,IF(AND(($D25+$C$1)&gt;BK$4,BK$4&gt;=$C$1),'General Inputs'!M$11*$G25,0))</f>
        <v>304.86146519940729</v>
      </c>
      <c r="BL25" s="214">
        <f>IF(AND(($E25+$C$1)&gt;BL$4,BL$4&gt;=$C$1),'General Inputs'!N$11*$H25,IF(AND(($D25+$C$1)&gt;BL$4,BL$4&gt;=$C$1),'General Inputs'!N$11*$G25,0))</f>
        <v>304.86146519940729</v>
      </c>
      <c r="BM25" s="214">
        <f>IF(AND(($E25+$C$1)&gt;BM$4,BM$4&gt;=$C$1),'General Inputs'!O$11*$H25,IF(AND(($D25+$C$1)&gt;BM$4,BM$4&gt;=$C$1),'General Inputs'!O$11*$G25,0))</f>
        <v>304.86146519940729</v>
      </c>
      <c r="BN25" s="214">
        <f>IF(AND(($E25+$C$1)&gt;BN$4,BN$4&gt;=$C$1),'General Inputs'!P$11*$H25,IF(AND(($D25+$C$1)&gt;BN$4,BN$4&gt;=$C$1),'General Inputs'!P$11*$G25,0))</f>
        <v>304.86146519940729</v>
      </c>
      <c r="BO25" s="214">
        <f>IF(AND(($E25+$C$1)&gt;BO$4,BO$4&gt;=$C$1),'General Inputs'!Q$11*$H25,IF(AND(($D25+$C$1)&gt;BO$4,BO$4&gt;=$C$1),'General Inputs'!Q$11*$G25,0))</f>
        <v>304.86146519940729</v>
      </c>
      <c r="BP25" s="214">
        <f>IF(AND(($E25+$C$1)&gt;BP$4,BP$4&gt;=$C$1),'General Inputs'!R$11*$H25,IF(AND(($D25+$C$1)&gt;BP$4,BP$4&gt;=$C$1),'General Inputs'!R$11*$G25,0))</f>
        <v>304.86146519940729</v>
      </c>
      <c r="BQ25" s="214">
        <f>IF(AND(($E25+$C$1)&gt;BQ$4,BQ$4&gt;=$C$1),'General Inputs'!S$11*$H25,IF(AND(($D25+$C$1)&gt;BQ$4,BQ$4&gt;=$C$1),'General Inputs'!S$11*$G25,0))</f>
        <v>304.86146519940729</v>
      </c>
      <c r="BR25" s="214">
        <f>IF(AND(($E25+$C$1)&gt;BR$4,BR$4&gt;=$C$1),'General Inputs'!T$11*$H25,IF(AND(($D25+$C$1)&gt;BR$4,BR$4&gt;=$C$1),'General Inputs'!T$11*$G25,0))</f>
        <v>0</v>
      </c>
      <c r="BS25" s="214">
        <f>IF(AND(($E25+$C$1)&gt;BS$4,BS$4&gt;=$C$1),'General Inputs'!U$11*$H25,IF(AND(($D25+$C$1)&gt;BS$4,BS$4&gt;=$C$1),'General Inputs'!U$11*$G25,0))</f>
        <v>0</v>
      </c>
      <c r="BT25" s="214">
        <f>IF(AND(($E25+$C$1)&gt;BT$4,BT$4&gt;=$C$1),'General Inputs'!V$11*$H25,IF(AND(($D25+$C$1)&gt;BT$4,BT$4&gt;=$C$1),'General Inputs'!V$11*$G25,0))</f>
        <v>0</v>
      </c>
      <c r="BU25" s="214">
        <f>IF(AND(($E25+$C$1)&gt;BU$4,BU$4&gt;=$C$1),'General Inputs'!W$11*$H25,IF(AND(($D25+$C$1)&gt;BU$4,BU$4&gt;=$C$1),'General Inputs'!W$11*$G25,0))</f>
        <v>0</v>
      </c>
      <c r="BW25" s="214">
        <f>IF(AND(($E25+$C$1)&gt;BW$4,BW$4&gt;=$C$1),$H25,IF(AND(($D25+$C$1)&gt;BW$4,BW$4&gt;=$C$1),$G25,0))*IF($A25="Residential",'General Inputs'!D$14,'General Inputs'!D$19)</f>
        <v>0</v>
      </c>
      <c r="BX25" s="214">
        <f>IF(AND(($E25+$C$1)&gt;BX$4,BX$4&gt;=$C$1),$H25,IF(AND(($D25+$C$1)&gt;BX$4,BX$4&gt;=$C$1),$G25,0))*IF($A25="Residential",'General Inputs'!E$14,'General Inputs'!E$19)</f>
        <v>3643.4639775047808</v>
      </c>
      <c r="BY25" s="214">
        <f>IF(AND(($E25+$C$1)&gt;BY$4,BY$4&gt;=$C$1),$H25,IF(AND(($D25+$C$1)&gt;BY$4,BY$4&gt;=$C$1),$G25,0))*IF($A25="Residential",'General Inputs'!F$14,'General Inputs'!F$19)</f>
        <v>3698.1159371673521</v>
      </c>
      <c r="BZ25" s="214">
        <f>IF(AND(($E25+$C$1)&gt;BZ$4,BZ$4&gt;=$C$1),$H25,IF(AND(($D25+$C$1)&gt;BZ$4,BZ$4&gt;=$C$1),$G25,0))*IF($A25="Residential",'General Inputs'!G$14,'General Inputs'!G$19)</f>
        <v>3753.5876762248618</v>
      </c>
      <c r="CA25" s="214">
        <f>IF(AND(($E25+$C$1)&gt;CA$4,CA$4&gt;=$C$1),$H25,IF(AND(($D25+$C$1)&gt;CA$4,CA$4&gt;=$C$1),$G25,0))*IF($A25="Residential",'General Inputs'!H$14,'General Inputs'!H$19)</f>
        <v>3809.8914913682343</v>
      </c>
      <c r="CB25" s="214">
        <f>IF(AND(($E25+$C$1)&gt;CB$4,CB$4&gt;=$C$1),$H25,IF(AND(($D25+$C$1)&gt;CB$4,CB$4&gt;=$C$1),$G25,0))*IF($A25="Residential",'General Inputs'!I$14,'General Inputs'!I$19)</f>
        <v>3867.0398637387575</v>
      </c>
      <c r="CC25" s="214">
        <f>IF(AND(($E25+$C$1)&gt;CC$4,CC$4&gt;=$C$1),$H25,IF(AND(($D25+$C$1)&gt;CC$4,CC$4&gt;=$C$1),$G25,0))*IF($A25="Residential",'General Inputs'!J$14,'General Inputs'!J$19)</f>
        <v>3925.0454616948382</v>
      </c>
      <c r="CD25" s="214">
        <f>IF(AND(($E25+$C$1)&gt;CD$4,CD$4&gt;=$C$1),$H25,IF(AND(($D25+$C$1)&gt;CD$4,CD$4&gt;=$C$1),$G25,0))*IF($A25="Residential",'General Inputs'!K$14,'General Inputs'!K$19)</f>
        <v>3983.9211436202604</v>
      </c>
      <c r="CE25" s="214">
        <f>IF(AND(($E25+$C$1)&gt;CE$4,CE$4&gt;=$C$1),$H25,IF(AND(($D25+$C$1)&gt;CE$4,CE$4&gt;=$C$1),$G25,0))*IF($A25="Residential",'General Inputs'!L$14,'General Inputs'!L$19)</f>
        <v>4043.6799607745634</v>
      </c>
      <c r="CF25" s="214">
        <f>IF(AND(($E25+$C$1)&gt;CF$4,CF$4&gt;=$C$1),$H25,IF(AND(($D25+$C$1)&gt;CF$4,CF$4&gt;=$C$1),$G25,0))*IF($A25="Residential",'General Inputs'!M$14,'General Inputs'!M$19)</f>
        <v>4104.3351601861814</v>
      </c>
      <c r="CG25" s="214">
        <f>IF(AND(($E25+$C$1)&gt;CG$4,CG$4&gt;=$C$1),$H25,IF(AND(($D25+$C$1)&gt;CG$4,CG$4&gt;=$C$1),$G25,0))*IF($A25="Residential",'General Inputs'!N$14,'General Inputs'!N$19)</f>
        <v>4165.9001875889735</v>
      </c>
      <c r="CH25" s="214">
        <f>IF(AND(($E25+$C$1)&gt;CH$4,CH$4&gt;=$C$1),$H25,IF(AND(($D25+$C$1)&gt;CH$4,CH$4&gt;=$C$1),$G25,0))*IF($A25="Residential",'General Inputs'!O$14,'General Inputs'!O$19)</f>
        <v>4228.3886904028077</v>
      </c>
      <c r="CI25" s="214">
        <f>IF(AND(($E25+$C$1)&gt;CI$4,CI$4&gt;=$C$1),$H25,IF(AND(($D25+$C$1)&gt;CI$4,CI$4&gt;=$C$1),$G25,0))*IF($A25="Residential",'General Inputs'!P$14,'General Inputs'!P$19)</f>
        <v>4291.8145207588495</v>
      </c>
      <c r="CJ25" s="214">
        <f>IF(AND(($E25+$C$1)&gt;CJ$4,CJ$4&gt;=$C$1),$H25,IF(AND(($D25+$C$1)&gt;CJ$4,CJ$4&gt;=$C$1),$G25,0))*IF($A25="Residential",'General Inputs'!Q$14,'General Inputs'!Q$19)</f>
        <v>4356.1917385702318</v>
      </c>
      <c r="CK25" s="214">
        <f>IF(AND(($E25+$C$1)&gt;CK$4,CK$4&gt;=$C$1),$H25,IF(AND(($D25+$C$1)&gt;CK$4,CK$4&gt;=$C$1),$G25,0))*IF($A25="Residential",'General Inputs'!R$14,'General Inputs'!R$19)</f>
        <v>4421.5346146487846</v>
      </c>
      <c r="CL25" s="214">
        <f>IF(AND(($E25+$C$1)&gt;CL$4,CL$4&gt;=$C$1),$H25,IF(AND(($D25+$C$1)&gt;CL$4,CL$4&gt;=$C$1),$G25,0))*IF($A25="Residential",'General Inputs'!S$14,'General Inputs'!S$19)</f>
        <v>4487.8576338685161</v>
      </c>
      <c r="CM25" s="214">
        <f>IF(AND(($E25+$C$1)&gt;CM$4,CM$4&gt;=$C$1),$H25,IF(AND(($D25+$C$1)&gt;CM$4,CM$4&gt;=$C$1),$G25,0))*IF($A25="Residential",'General Inputs'!T$14,'General Inputs'!T$19)</f>
        <v>0</v>
      </c>
      <c r="CN25" s="214">
        <f>IF(AND(($E25+$C$1)&gt;CN$4,CN$4&gt;=$C$1),$H25,IF(AND(($D25+$C$1)&gt;CN$4,CN$4&gt;=$C$1),$G25,0))*IF($A25="Residential",'General Inputs'!U$14,'General Inputs'!U$19)</f>
        <v>0</v>
      </c>
      <c r="CO25" s="214">
        <f>IF(AND(($E25+$C$1)&gt;CO$4,CO$4&gt;=$C$1),$H25,IF(AND(($D25+$C$1)&gt;CO$4,CO$4&gt;=$C$1),$G25,0))*IF($A25="Residential",'General Inputs'!V$14,'General Inputs'!V$19)</f>
        <v>0</v>
      </c>
      <c r="CP25" s="214">
        <f>IF(AND(($E25+$C$1)&gt;CP$4,CP$4&gt;=$C$1),$H25,IF(AND(($D25+$C$1)&gt;CP$4,CP$4&gt;=$C$1),$G25,0))*IF($A25="Residential",'General Inputs'!W$14,'General Inputs'!W$19)</f>
        <v>0</v>
      </c>
      <c r="CR25" s="214">
        <f>IF(AND(($E25+$C$1)&gt;CR$4,CR$4&gt;=$C$1),$H25,IF(AND(($D25+$C$1)&gt;CR$4,CR$4&gt;=$C$1),$G25,0))*IF($A25="Residential",'General Inputs'!D$15,'General Inputs'!D$19)</f>
        <v>0</v>
      </c>
      <c r="CS25" s="214">
        <f>IF(AND(($E25+$C$1)&gt;CS$4,CS$4&gt;=$C$1),$H25,IF(AND(($D25+$C$1)&gt;CS$4,CS$4&gt;=$C$1),$G25,0))*IF($A25="Residential",'General Inputs'!E$15,'General Inputs'!E$19)</f>
        <v>2963.988112932725</v>
      </c>
      <c r="CT25" s="214">
        <f>IF(AND(($E25+$C$1)&gt;CT$4,CT$4&gt;=$C$1),$H25,IF(AND(($D25+$C$1)&gt;CT$4,CT$4&gt;=$C$1),$G25,0))*IF($A25="Residential",'General Inputs'!F$15,'General Inputs'!F$19)</f>
        <v>3008.4479346267158</v>
      </c>
      <c r="CU25" s="214">
        <f>IF(AND(($E25+$C$1)&gt;CU$4,CU$4&gt;=$C$1),$H25,IF(AND(($D25+$C$1)&gt;CU$4,CU$4&gt;=$C$1),$G25,0))*IF($A25="Residential",'General Inputs'!G$15,'General Inputs'!G$19)</f>
        <v>3053.5746536461161</v>
      </c>
      <c r="CV25" s="214">
        <f>IF(AND(($E25+$C$1)&gt;CV$4,CV$4&gt;=$C$1),$H25,IF(AND(($D25+$C$1)&gt;CV$4,CV$4&gt;=$C$1),$G25,0))*IF($A25="Residential",'General Inputs'!H$15,'General Inputs'!H$19)</f>
        <v>3099.3782734508077</v>
      </c>
      <c r="CW25" s="214">
        <f>IF(AND(($E25+$C$1)&gt;CW$4,CW$4&gt;=$C$1),$H25,IF(AND(($D25+$C$1)&gt;CW$4,CW$4&gt;=$C$1),$G25,0))*IF($A25="Residential",'General Inputs'!I$15,'General Inputs'!I$19)</f>
        <v>3145.8689475525694</v>
      </c>
      <c r="CX25" s="214">
        <f>IF(AND(($E25+$C$1)&gt;CX$4,CX$4&gt;=$C$1),$H25,IF(AND(($D25+$C$1)&gt;CX$4,CX$4&gt;=$C$1),$G25,0))*IF($A25="Residential",'General Inputs'!J$15,'General Inputs'!J$19)</f>
        <v>3193.0569817658575</v>
      </c>
      <c r="CY25" s="214">
        <f>IF(AND(($E25+$C$1)&gt;CY$4,CY$4&gt;=$C$1),$H25,IF(AND(($D25+$C$1)&gt;CY$4,CY$4&gt;=$C$1),$G25,0))*IF($A25="Residential",'General Inputs'!K$15,'General Inputs'!K$19)</f>
        <v>3240.9528364923449</v>
      </c>
      <c r="CZ25" s="214">
        <f>IF(AND(($E25+$C$1)&gt;CZ$4,CZ$4&gt;=$C$1),$H25,IF(AND(($D25+$C$1)&gt;CZ$4,CZ$4&gt;=$C$1),$G25,0))*IF($A25="Residential",'General Inputs'!L$15,'General Inputs'!L$19)</f>
        <v>3289.5671290397299</v>
      </c>
      <c r="DA25" s="214">
        <f>IF(AND(($E25+$C$1)&gt;DA$4,DA$4&gt;=$C$1),$H25,IF(AND(($D25+$C$1)&gt;DA$4,DA$4&gt;=$C$1),$G25,0))*IF($A25="Residential",'General Inputs'!M$15,'General Inputs'!M$19)</f>
        <v>3338.9106359753255</v>
      </c>
      <c r="DB25" s="214">
        <f>IF(AND(($E25+$C$1)&gt;DB$4,DB$4&gt;=$C$1),$H25,IF(AND(($D25+$C$1)&gt;DB$4,DB$4&gt;=$C$1),$G25,0))*IF($A25="Residential",'General Inputs'!N$15,'General Inputs'!N$19)</f>
        <v>3388.994295514955</v>
      </c>
      <c r="DC25" s="214">
        <f>IF(AND(($E25+$C$1)&gt;DC$4,DC$4&gt;=$C$1),$H25,IF(AND(($D25+$C$1)&gt;DC$4,DC$4&gt;=$C$1),$G25,0))*IF($A25="Residential",'General Inputs'!O$15,'General Inputs'!O$19)</f>
        <v>3439.8292099476789</v>
      </c>
      <c r="DD25" s="214">
        <f>IF(AND(($E25+$C$1)&gt;DD$4,DD$4&gt;=$C$1),$H25,IF(AND(($D25+$C$1)&gt;DD$4,DD$4&gt;=$C$1),$G25,0))*IF($A25="Residential",'General Inputs'!P$15,'General Inputs'!P$19)</f>
        <v>3491.426648096894</v>
      </c>
      <c r="DE25" s="214">
        <f>IF(AND(($E25+$C$1)&gt;DE$4,DE$4&gt;=$C$1),$H25,IF(AND(($D25+$C$1)&gt;DE$4,DE$4&gt;=$C$1),$G25,0))*IF($A25="Residential",'General Inputs'!Q$15,'General Inputs'!Q$19)</f>
        <v>3543.7980478183472</v>
      </c>
      <c r="DF25" s="214">
        <f>IF(AND(($E25+$C$1)&gt;DF$4,DF$4&gt;=$C$1),$H25,IF(AND(($D25+$C$1)&gt;DF$4,DF$4&gt;=$C$1),$G25,0))*IF($A25="Residential",'General Inputs'!R$15,'General Inputs'!R$19)</f>
        <v>3596.955018535622</v>
      </c>
      <c r="DG25" s="214">
        <f>IF(AND(($E25+$C$1)&gt;DG$4,DG$4&gt;=$C$1),$H25,IF(AND(($D25+$C$1)&gt;DG$4,DG$4&gt;=$C$1),$G25,0))*IF($A25="Residential",'General Inputs'!S$15,'General Inputs'!S$19)</f>
        <v>3650.9093438136556</v>
      </c>
      <c r="DH25" s="214">
        <f>IF(AND(($E25+$C$1)&gt;DH$4,DH$4&gt;=$C$1),$H25,IF(AND(($D25+$C$1)&gt;DH$4,DH$4&gt;=$C$1),$G25,0))*IF($A25="Residential",'General Inputs'!T$15,'General Inputs'!T$19)</f>
        <v>0</v>
      </c>
      <c r="DI25" s="214">
        <f>IF(AND(($E25+$C$1)&gt;DI$4,DI$4&gt;=$C$1),$H25,IF(AND(($D25+$C$1)&gt;DI$4,DI$4&gt;=$C$1),$G25,0))*IF($A25="Residential",'General Inputs'!U$15,'General Inputs'!U$19)</f>
        <v>0</v>
      </c>
      <c r="DJ25" s="214">
        <f>IF(AND(($E25+$C$1)&gt;DJ$4,DJ$4&gt;=$C$1),$H25,IF(AND(($D25+$C$1)&gt;DJ$4,DJ$4&gt;=$C$1),$G25,0))*IF($A25="Residential",'General Inputs'!V$15,'General Inputs'!V$19)</f>
        <v>0</v>
      </c>
      <c r="DK25" s="214">
        <f>IF(AND(($E25+$C$1)&gt;DK$4,DK$4&gt;=$C$1),$H25,IF(AND(($D25+$C$1)&gt;DK$4,DK$4&gt;=$C$1),$G25,0))*IF($A25="Residential",'General Inputs'!W$15,'General Inputs'!W$19)</f>
        <v>0</v>
      </c>
      <c r="DM25" s="214">
        <f t="shared" si="47"/>
        <v>0</v>
      </c>
      <c r="DN25" s="214">
        <f t="shared" si="27"/>
        <v>0</v>
      </c>
      <c r="DO25" s="214">
        <f t="shared" si="27"/>
        <v>0</v>
      </c>
      <c r="DP25" s="214">
        <f t="shared" si="27"/>
        <v>0</v>
      </c>
      <c r="DQ25" s="214">
        <f t="shared" si="27"/>
        <v>0</v>
      </c>
      <c r="DR25" s="214">
        <f t="shared" si="27"/>
        <v>0</v>
      </c>
      <c r="DS25" s="214">
        <f t="shared" si="27"/>
        <v>0</v>
      </c>
      <c r="DT25" s="214">
        <f t="shared" si="27"/>
        <v>0</v>
      </c>
      <c r="DU25" s="214">
        <f t="shared" si="27"/>
        <v>0</v>
      </c>
      <c r="DV25" s="214">
        <f t="shared" si="27"/>
        <v>0</v>
      </c>
      <c r="DW25" s="214">
        <f t="shared" si="27"/>
        <v>0</v>
      </c>
      <c r="DZ25" s="650"/>
      <c r="FI25" s="195"/>
      <c r="FJ25" s="195"/>
      <c r="FK25" s="195"/>
      <c r="FL25" s="195"/>
      <c r="FM25" s="195"/>
      <c r="FN25" s="195"/>
      <c r="FO25" s="195"/>
    </row>
    <row r="26" spans="1:171">
      <c r="A26" s="342" t="s">
        <v>12</v>
      </c>
      <c r="B26" s="427" t="str">
        <f>'Portfolio Inputs'!A25</f>
        <v>Air Sealing (Gas Heat)</v>
      </c>
      <c r="C26" s="217">
        <f>IF($C$1=2014,'Portfolio Inputs'!$C25,IF($C$1=2015,'Portfolio Inputs'!$D25,'Portfolio Inputs'!$E25))</f>
        <v>106</v>
      </c>
      <c r="D26" s="504">
        <f>VLOOKUP(B26,Sources!$B$4:$J$104,2,FALSE)</f>
        <v>15</v>
      </c>
      <c r="E26" s="504">
        <f>VLOOKUP(B26,Sources!$B$4:$J$104,3,FALSE)</f>
        <v>0</v>
      </c>
      <c r="G26" s="504">
        <f>IF($C$1=2014,'Portfolio Inputs'!$G25,IF($C$1=2015,'Portfolio Inputs'!$H25,'Portfolio Inputs'!$I25))*EnergyLineLoss</f>
        <v>6341.2715189189184</v>
      </c>
      <c r="H26" s="504"/>
      <c r="I26" s="504">
        <f>IF($C$1=2014,'Portfolio Inputs'!$K25,IF($C$1=2015,'Portfolio Inputs'!$L25,'Portfolio Inputs'!$M25))*PeakLineLoss</f>
        <v>9.7845926472357672</v>
      </c>
      <c r="J26" s="510"/>
      <c r="L26" s="606">
        <f>IF($C$1=2014,'Portfolio Inputs'!$O25,IF($C$1=2015,'Portfolio Inputs'!$P25,'Portfolio Inputs'!$Q25))</f>
        <v>0</v>
      </c>
      <c r="M26" s="518">
        <f>VLOOKUP($B26,Sources!$B$4:$K$104,10,FALSE)</f>
        <v>0</v>
      </c>
      <c r="N26" s="419">
        <f>IF($C$1=2014,'Portfolio Inputs'!$W25,IF($C$1=2015,'Portfolio Inputs'!$X25,'Portfolio Inputs'!$Y25))</f>
        <v>0</v>
      </c>
      <c r="O26" s="419"/>
      <c r="Q26" s="438" t="str">
        <f t="shared" si="67"/>
        <v>n/a</v>
      </c>
      <c r="R26" s="439" t="str">
        <f t="shared" si="68"/>
        <v>n/a</v>
      </c>
      <c r="S26" s="439" t="str">
        <f t="shared" si="69"/>
        <v>n/a</v>
      </c>
      <c r="T26" s="439" t="str">
        <f t="shared" si="70"/>
        <v>n/a</v>
      </c>
      <c r="U26" s="439" t="str">
        <f t="shared" si="71"/>
        <v>n/a</v>
      </c>
      <c r="V26" s="439">
        <f t="shared" si="72"/>
        <v>0.4687258622624656</v>
      </c>
      <c r="W26" s="439">
        <f t="shared" si="73"/>
        <v>0.57617835477362567</v>
      </c>
      <c r="Y26" s="215">
        <f t="shared" si="4"/>
        <v>3581.2844789368032</v>
      </c>
      <c r="Z26" s="215">
        <f t="shared" si="5"/>
        <v>588.25614038808908</v>
      </c>
      <c r="AA26" s="215">
        <f t="shared" si="6"/>
        <v>7640.4669920505548</v>
      </c>
      <c r="AB26" s="215">
        <f t="shared" si="7"/>
        <v>6215.5831597385359</v>
      </c>
      <c r="AC26" s="216">
        <f t="shared" si="20"/>
        <v>0</v>
      </c>
      <c r="AD26" s="216">
        <f t="shared" si="21"/>
        <v>0</v>
      </c>
      <c r="AE26" s="215">
        <f t="shared" si="8"/>
        <v>0</v>
      </c>
      <c r="AG26" s="214">
        <f>IF(AND(($E26+$C$1)&gt;AG$4,AG$4&gt;=$C$1),'General Inputs'!D$9*$H26,IF(AND(($D26+$C$1)&gt;AG$4,AG$4&gt;=$C$1),'General Inputs'!D$9*$G26,0))+IF(AND(($E26+$C$1)&gt;AG$4,AG$4&gt;=$C$1),'General Inputs'!D$10*$J26,IF(AND(($D26+$C$1)&gt;AG$4,AG$4&gt;=$C$1),'General Inputs'!D$10*$I26,0))</f>
        <v>0</v>
      </c>
      <c r="AH26" s="214">
        <f>IF(AND(($E26+$C$1)&gt;AH$4,AH$4&gt;=$C$1),'General Inputs'!E$9*$H26,IF(AND(($D26+$C$1)&gt;AH$4,AH$4&gt;=$C$1),'General Inputs'!E$9*$G26,0))+IF(AND(($E26+$C$1)&gt;AH$4,AH$4&gt;=$C$1),'General Inputs'!E$10*$J26,IF(AND(($D26+$C$1)&gt;AH$4,AH$4&gt;=$C$1),'General Inputs'!E$10*$I26,0))</f>
        <v>404.95994105109014</v>
      </c>
      <c r="AI26" s="214">
        <f>IF(AND(($E26+$C$1)&gt;AI$4,AI$4&gt;=$C$1),'General Inputs'!F$9*$H26,IF(AND(($D26+$C$1)&gt;AI$4,AI$4&gt;=$C$1),'General Inputs'!F$9*$G26,0))+IF(AND(($E26+$C$1)&gt;AI$4,AI$4&gt;=$C$1),'General Inputs'!F$10*$J26,IF(AND(($D26+$C$1)&gt;AI$4,AI$4&gt;=$C$1),'General Inputs'!F$10*$I26,0))</f>
        <v>411.03434016685645</v>
      </c>
      <c r="AJ26" s="214">
        <f>IF(AND(($E26+$C$1)&gt;AJ$4,AJ$4&gt;=$C$1),'General Inputs'!G$9*$H26,IF(AND(($D26+$C$1)&gt;AJ$4,AJ$4&gt;=$C$1),'General Inputs'!G$9*$G26,0))+IF(AND(($E26+$C$1)&gt;AJ$4,AJ$4&gt;=$C$1),'General Inputs'!G$10*$J26,IF(AND(($D26+$C$1)&gt;AJ$4,AJ$4&gt;=$C$1),'General Inputs'!G$10*$I26,0))</f>
        <v>417.19985526935932</v>
      </c>
      <c r="AK26" s="214">
        <f>IF(AND(($E26+$C$1)&gt;AK$4,AK$4&gt;=$C$1),'General Inputs'!H$9*$H26,IF(AND(($D26+$C$1)&gt;AK$4,AK$4&gt;=$C$1),'General Inputs'!H$9*$G26,0))+IF(AND(($E26+$C$1)&gt;AK$4,AK$4&gt;=$C$1),'General Inputs'!H$10*$J26,IF(AND(($D26+$C$1)&gt;AK$4,AK$4&gt;=$C$1),'General Inputs'!H$10*$I26,0))</f>
        <v>423.45785309839965</v>
      </c>
      <c r="AL26" s="214">
        <f>IF(AND(($E26+$C$1)&gt;AL$4,AL$4&gt;=$C$1),'General Inputs'!I$9*$H26,IF(AND(($D26+$C$1)&gt;AL$4,AL$4&gt;=$C$1),'General Inputs'!I$9*$G26,0))+IF(AND(($E26+$C$1)&gt;AL$4,AL$4&gt;=$C$1),'General Inputs'!I$10*$J26,IF(AND(($D26+$C$1)&gt;AL$4,AL$4&gt;=$C$1),'General Inputs'!I$10*$I26,0))</f>
        <v>429.80972089487557</v>
      </c>
      <c r="AM26" s="214">
        <f>IF(AND(($E26+$C$1)&gt;AM$4,AM$4&gt;=$C$1),'General Inputs'!J$9*$H26,IF(AND(($D26+$C$1)&gt;AM$4,AM$4&gt;=$C$1),'General Inputs'!J$9*$G26,0))+IF(AND(($E26+$C$1)&gt;AM$4,AM$4&gt;=$C$1),'General Inputs'!J$10*$J26,IF(AND(($D26+$C$1)&gt;AM$4,AM$4&gt;=$C$1),'General Inputs'!J$10*$I26,0))</f>
        <v>436.25686670829862</v>
      </c>
      <c r="AN26" s="214">
        <f>IF(AND(($E26+$C$1)&gt;AN$4,AN$4&gt;=$C$1),'General Inputs'!K$9*$H26,IF(AND(($D26+$C$1)&gt;AN$4,AN$4&gt;=$C$1),'General Inputs'!K$9*$G26,0))+IF(AND(($E26+$C$1)&gt;AN$4,AN$4&gt;=$C$1),'General Inputs'!K$10*$J26,IF(AND(($D26+$C$1)&gt;AN$4,AN$4&gt;=$C$1),'General Inputs'!K$10*$I26,0))</f>
        <v>442.80071970892311</v>
      </c>
      <c r="AO26" s="214">
        <f>IF(AND(($E26+$C$1)&gt;AO$4,AO$4&gt;=$C$1),'General Inputs'!L$9*$H26,IF(AND(($D26+$C$1)&gt;AO$4,AO$4&gt;=$C$1),'General Inputs'!L$9*$G26,0))+IF(AND(($E26+$C$1)&gt;AO$4,AO$4&gt;=$C$1),'General Inputs'!L$10*$J26,IF(AND(($D26+$C$1)&gt;AO$4,AO$4&gt;=$C$1),'General Inputs'!L$10*$I26,0))</f>
        <v>449.44273050455683</v>
      </c>
      <c r="AP26" s="214">
        <f>IF(AND(($E26+$C$1)&gt;AP$4,AP$4&gt;=$C$1),'General Inputs'!M$9*$H26,IF(AND(($D26+$C$1)&gt;AP$4,AP$4&gt;=$C$1),'General Inputs'!M$9*$G26,0))+IF(AND(($E26+$C$1)&gt;AP$4,AP$4&gt;=$C$1),'General Inputs'!M$10*$J26,IF(AND(($D26+$C$1)&gt;AP$4,AP$4&gt;=$C$1),'General Inputs'!M$10*$I26,0))</f>
        <v>456.18437146212517</v>
      </c>
      <c r="AQ26" s="214">
        <f>IF(AND(($E26+$C$1)&gt;AQ$4,AQ$4&gt;=$C$1),'General Inputs'!N$9*$H26,IF(AND(($D26+$C$1)&gt;AQ$4,AQ$4&gt;=$C$1),'General Inputs'!N$9*$G26,0))+IF(AND(($E26+$C$1)&gt;AQ$4,AQ$4&gt;=$C$1),'General Inputs'!N$10*$J26,IF(AND(($D26+$C$1)&gt;AQ$4,AQ$4&gt;=$C$1),'General Inputs'!N$10*$I26,0))</f>
        <v>463.02713703405703</v>
      </c>
      <c r="AR26" s="214">
        <f>IF(AND(($E26+$C$1)&gt;AR$4,AR$4&gt;=$C$1),'General Inputs'!O$9*$H26,IF(AND(($D26+$C$1)&gt;AR$4,AR$4&gt;=$C$1),'General Inputs'!O$9*$G26,0))+IF(AND(($E26+$C$1)&gt;AR$4,AR$4&gt;=$C$1),'General Inputs'!O$10*$J26,IF(AND(($D26+$C$1)&gt;AR$4,AR$4&gt;=$C$1),'General Inputs'!O$10*$I26,0))</f>
        <v>469.9725440895678</v>
      </c>
      <c r="AS26" s="214">
        <f>IF(AND(($E26+$C$1)&gt;AS$4,AS$4&gt;=$C$1),'General Inputs'!P$9*$H26,IF(AND(($D26+$C$1)&gt;AS$4,AS$4&gt;=$C$1),'General Inputs'!P$9*$G26,0))+IF(AND(($E26+$C$1)&gt;AS$4,AS$4&gt;=$C$1),'General Inputs'!P$10*$J26,IF(AND(($D26+$C$1)&gt;AS$4,AS$4&gt;=$C$1),'General Inputs'!P$10*$I26,0))</f>
        <v>477.02213225091134</v>
      </c>
      <c r="AT26" s="214">
        <f>IF(AND(($E26+$C$1)&gt;AT$4,AT$4&gt;=$C$1),'General Inputs'!Q$9*$H26,IF(AND(($D26+$C$1)&gt;AT$4,AT$4&gt;=$C$1),'General Inputs'!Q$9*$G26,0))+IF(AND(($E26+$C$1)&gt;AT$4,AT$4&gt;=$C$1),'General Inputs'!Q$10*$J26,IF(AND(($D26+$C$1)&gt;AT$4,AT$4&gt;=$C$1),'General Inputs'!Q$10*$I26,0))</f>
        <v>484.17746423467491</v>
      </c>
      <c r="AU26" s="214">
        <f>IF(AND(($E26+$C$1)&gt;AU$4,AU$4&gt;=$C$1),'General Inputs'!R$9*$H26,IF(AND(($D26+$C$1)&gt;AU$4,AU$4&gt;=$C$1),'General Inputs'!R$9*$G26,0))+IF(AND(($E26+$C$1)&gt;AU$4,AU$4&gt;=$C$1),'General Inputs'!R$10*$J26,IF(AND(($D26+$C$1)&gt;AU$4,AU$4&gt;=$C$1),'General Inputs'!R$10*$I26,0))</f>
        <v>491.440126198195</v>
      </c>
      <c r="AV26" s="214">
        <f>IF(AND(($E26+$C$1)&gt;AV$4,AV$4&gt;=$C$1),'General Inputs'!S$9*$H26,IF(AND(($D26+$C$1)&gt;AV$4,AV$4&gt;=$C$1),'General Inputs'!S$9*$G26,0))+IF(AND(($E26+$C$1)&gt;AV$4,AV$4&gt;=$C$1),'General Inputs'!S$10*$J26,IF(AND(($D26+$C$1)&gt;AV$4,AV$4&gt;=$C$1),'General Inputs'!S$10*$I26,0))</f>
        <v>498.81172809116788</v>
      </c>
      <c r="AW26" s="214">
        <f>IF(AND(($E26+$C$1)&gt;AW$4,AW$4&gt;=$C$1),'General Inputs'!T$9*$H26,IF(AND(($D26+$C$1)&gt;AW$4,AW$4&gt;=$C$1),'General Inputs'!T$9*$G26,0))+IF(AND(($E26+$C$1)&gt;AW$4,AW$4&gt;=$C$1),'General Inputs'!T$10*$J26,IF(AND(($D26+$C$1)&gt;AW$4,AW$4&gt;=$C$1),'General Inputs'!T$10*$I26,0))</f>
        <v>0</v>
      </c>
      <c r="AX26" s="214">
        <f>IF(AND(($E26+$C$1)&gt;AX$4,AX$4&gt;=$C$1),'General Inputs'!U$9*$H26,IF(AND(($D26+$C$1)&gt;AX$4,AX$4&gt;=$C$1),'General Inputs'!U$9*$G26,0))+IF(AND(($E26+$C$1)&gt;AX$4,AX$4&gt;=$C$1),'General Inputs'!U$10*$J26,IF(AND(($D26+$C$1)&gt;AX$4,AX$4&gt;=$C$1),'General Inputs'!U$10*$I26,0))</f>
        <v>0</v>
      </c>
      <c r="AY26" s="214">
        <f>IF(AND(($E26+$C$1)&gt;AY$4,AY$4&gt;=$C$1),'General Inputs'!V$9*$H26,IF(AND(($D26+$C$1)&gt;AY$4,AY$4&gt;=$C$1),'General Inputs'!V$9*$G26,0))+IF(AND(($E26+$C$1)&gt;AY$4,AY$4&gt;=$C$1),'General Inputs'!V$10*$J26,IF(AND(($D26+$C$1)&gt;AY$4,AY$4&gt;=$C$1),'General Inputs'!V$10*$I26,0))</f>
        <v>0</v>
      </c>
      <c r="AZ26" s="214">
        <f>IF(AND(($E26+$C$1)&gt;AZ$4,AZ$4&gt;=$C$1),'General Inputs'!W$9*$H26,IF(AND(($D26+$C$1)&gt;AZ$4,AZ$4&gt;=$C$1),'General Inputs'!W$9*$G26,0))+IF(AND(($E26+$C$1)&gt;AZ$4,AZ$4&gt;=$C$1),'General Inputs'!W$10*$J26,IF(AND(($D26+$C$1)&gt;AZ$4,AZ$4&gt;=$C$1),'General Inputs'!W$10*$I26,0))</f>
        <v>0</v>
      </c>
      <c r="BB26" s="214">
        <f>IF(AND(($E26+$C$1)&gt;BB$4,BB$4&gt;=$C$1),'General Inputs'!D$11*$H26,IF(AND(($D26+$C$1)&gt;BB$4,BB$4&gt;=$C$1),'General Inputs'!D$11*$G26,0))</f>
        <v>0</v>
      </c>
      <c r="BC26" s="214">
        <f>IF(AND(($E26+$C$1)&gt;BC$4,BC$4&gt;=$C$1),'General Inputs'!E$11*$H26,IF(AND(($D26+$C$1)&gt;BC$4,BC$4&gt;=$C$1),'General Inputs'!E$11*$G26,0))</f>
        <v>72.29049531567567</v>
      </c>
      <c r="BD26" s="214">
        <f>IF(AND(($E26+$C$1)&gt;BD$4,BD$4&gt;=$C$1),'General Inputs'!F$11*$H26,IF(AND(($D26+$C$1)&gt;BD$4,BD$4&gt;=$C$1),'General Inputs'!F$11*$G26,0))</f>
        <v>72.29049531567567</v>
      </c>
      <c r="BE26" s="214">
        <f>IF(AND(($E26+$C$1)&gt;BE$4,BE$4&gt;=$C$1),'General Inputs'!G$11*$H26,IF(AND(($D26+$C$1)&gt;BE$4,BE$4&gt;=$C$1),'General Inputs'!G$11*$G26,0))</f>
        <v>72.29049531567567</v>
      </c>
      <c r="BF26" s="214">
        <f>IF(AND(($E26+$C$1)&gt;BF$4,BF$4&gt;=$C$1),'General Inputs'!H$11*$H26,IF(AND(($D26+$C$1)&gt;BF$4,BF$4&gt;=$C$1),'General Inputs'!H$11*$G26,0))</f>
        <v>72.29049531567567</v>
      </c>
      <c r="BG26" s="214">
        <f>IF(AND(($E26+$C$1)&gt;BG$4,BG$4&gt;=$C$1),'General Inputs'!I$11*$H26,IF(AND(($D26+$C$1)&gt;BG$4,BG$4&gt;=$C$1),'General Inputs'!I$11*$G26,0))</f>
        <v>72.29049531567567</v>
      </c>
      <c r="BH26" s="214">
        <f>IF(AND(($E26+$C$1)&gt;BH$4,BH$4&gt;=$C$1),'General Inputs'!J$11*$H26,IF(AND(($D26+$C$1)&gt;BH$4,BH$4&gt;=$C$1),'General Inputs'!J$11*$G26,0))</f>
        <v>72.29049531567567</v>
      </c>
      <c r="BI26" s="214">
        <f>IF(AND(($E26+$C$1)&gt;BI$4,BI$4&gt;=$C$1),'General Inputs'!K$11*$H26,IF(AND(($D26+$C$1)&gt;BI$4,BI$4&gt;=$C$1),'General Inputs'!K$11*$G26,0))</f>
        <v>72.29049531567567</v>
      </c>
      <c r="BJ26" s="214">
        <f>IF(AND(($E26+$C$1)&gt;BJ$4,BJ$4&gt;=$C$1),'General Inputs'!L$11*$H26,IF(AND(($D26+$C$1)&gt;BJ$4,BJ$4&gt;=$C$1),'General Inputs'!L$11*$G26,0))</f>
        <v>72.29049531567567</v>
      </c>
      <c r="BK26" s="214">
        <f>IF(AND(($E26+$C$1)&gt;BK$4,BK$4&gt;=$C$1),'General Inputs'!M$11*$H26,IF(AND(($D26+$C$1)&gt;BK$4,BK$4&gt;=$C$1),'General Inputs'!M$11*$G26,0))</f>
        <v>72.29049531567567</v>
      </c>
      <c r="BL26" s="214">
        <f>IF(AND(($E26+$C$1)&gt;BL$4,BL$4&gt;=$C$1),'General Inputs'!N$11*$H26,IF(AND(($D26+$C$1)&gt;BL$4,BL$4&gt;=$C$1),'General Inputs'!N$11*$G26,0))</f>
        <v>72.29049531567567</v>
      </c>
      <c r="BM26" s="214">
        <f>IF(AND(($E26+$C$1)&gt;BM$4,BM$4&gt;=$C$1),'General Inputs'!O$11*$H26,IF(AND(($D26+$C$1)&gt;BM$4,BM$4&gt;=$C$1),'General Inputs'!O$11*$G26,0))</f>
        <v>72.29049531567567</v>
      </c>
      <c r="BN26" s="214">
        <f>IF(AND(($E26+$C$1)&gt;BN$4,BN$4&gt;=$C$1),'General Inputs'!P$11*$H26,IF(AND(($D26+$C$1)&gt;BN$4,BN$4&gt;=$C$1),'General Inputs'!P$11*$G26,0))</f>
        <v>72.29049531567567</v>
      </c>
      <c r="BO26" s="214">
        <f>IF(AND(($E26+$C$1)&gt;BO$4,BO$4&gt;=$C$1),'General Inputs'!Q$11*$H26,IF(AND(($D26+$C$1)&gt;BO$4,BO$4&gt;=$C$1),'General Inputs'!Q$11*$G26,0))</f>
        <v>72.29049531567567</v>
      </c>
      <c r="BP26" s="214">
        <f>IF(AND(($E26+$C$1)&gt;BP$4,BP$4&gt;=$C$1),'General Inputs'!R$11*$H26,IF(AND(($D26+$C$1)&gt;BP$4,BP$4&gt;=$C$1),'General Inputs'!R$11*$G26,0))</f>
        <v>72.29049531567567</v>
      </c>
      <c r="BQ26" s="214">
        <f>IF(AND(($E26+$C$1)&gt;BQ$4,BQ$4&gt;=$C$1),'General Inputs'!S$11*$H26,IF(AND(($D26+$C$1)&gt;BQ$4,BQ$4&gt;=$C$1),'General Inputs'!S$11*$G26,0))</f>
        <v>72.29049531567567</v>
      </c>
      <c r="BR26" s="214">
        <f>IF(AND(($E26+$C$1)&gt;BR$4,BR$4&gt;=$C$1),'General Inputs'!T$11*$H26,IF(AND(($D26+$C$1)&gt;BR$4,BR$4&gt;=$C$1),'General Inputs'!T$11*$G26,0))</f>
        <v>0</v>
      </c>
      <c r="BS26" s="214">
        <f>IF(AND(($E26+$C$1)&gt;BS$4,BS$4&gt;=$C$1),'General Inputs'!U$11*$H26,IF(AND(($D26+$C$1)&gt;BS$4,BS$4&gt;=$C$1),'General Inputs'!U$11*$G26,0))</f>
        <v>0</v>
      </c>
      <c r="BT26" s="214">
        <f>IF(AND(($E26+$C$1)&gt;BT$4,BT$4&gt;=$C$1),'General Inputs'!V$11*$H26,IF(AND(($D26+$C$1)&gt;BT$4,BT$4&gt;=$C$1),'General Inputs'!V$11*$G26,0))</f>
        <v>0</v>
      </c>
      <c r="BU26" s="214">
        <f>IF(AND(($E26+$C$1)&gt;BU$4,BU$4&gt;=$C$1),'General Inputs'!W$11*$H26,IF(AND(($D26+$C$1)&gt;BU$4,BU$4&gt;=$C$1),'General Inputs'!W$11*$G26,0))</f>
        <v>0</v>
      </c>
      <c r="BW26" s="214">
        <f>IF(AND(($E26+$C$1)&gt;BW$4,BW$4&gt;=$C$1),$H26,IF(AND(($D26+$C$1)&gt;BW$4,BW$4&gt;=$C$1),$G26,0))*IF($A26="Residential",'General Inputs'!D$14,'General Inputs'!D$19)</f>
        <v>0</v>
      </c>
      <c r="BX26" s="214">
        <f>IF(AND(($E26+$C$1)&gt;BX$4,BX$4&gt;=$C$1),$H26,IF(AND(($D26+$C$1)&gt;BX$4,BX$4&gt;=$C$1),$G26,0))*IF($A26="Residential",'General Inputs'!E$14,'General Inputs'!E$19)</f>
        <v>863.95902947708623</v>
      </c>
      <c r="BY26" s="214">
        <f>IF(AND(($E26+$C$1)&gt;BY$4,BY$4&gt;=$C$1),$H26,IF(AND(($D26+$C$1)&gt;BY$4,BY$4&gt;=$C$1),$G26,0))*IF($A26="Residential",'General Inputs'!F$14,'General Inputs'!F$19)</f>
        <v>876.91841491924242</v>
      </c>
      <c r="BZ26" s="214">
        <f>IF(AND(($E26+$C$1)&gt;BZ$4,BZ$4&gt;=$C$1),$H26,IF(AND(($D26+$C$1)&gt;BZ$4,BZ$4&gt;=$C$1),$G26,0))*IF($A26="Residential",'General Inputs'!G$14,'General Inputs'!G$19)</f>
        <v>890.07219114303086</v>
      </c>
      <c r="CA26" s="214">
        <f>IF(AND(($E26+$C$1)&gt;CA$4,CA$4&gt;=$C$1),$H26,IF(AND(($D26+$C$1)&gt;CA$4,CA$4&gt;=$C$1),$G26,0))*IF($A26="Residential",'General Inputs'!H$14,'General Inputs'!H$19)</f>
        <v>903.42327401017621</v>
      </c>
      <c r="CB26" s="214">
        <f>IF(AND(($E26+$C$1)&gt;CB$4,CB$4&gt;=$C$1),$H26,IF(AND(($D26+$C$1)&gt;CB$4,CB$4&gt;=$C$1),$G26,0))*IF($A26="Residential",'General Inputs'!I$14,'General Inputs'!I$19)</f>
        <v>916.97462312032883</v>
      </c>
      <c r="CC26" s="214">
        <f>IF(AND(($E26+$C$1)&gt;CC$4,CC$4&gt;=$C$1),$H26,IF(AND(($D26+$C$1)&gt;CC$4,CC$4&gt;=$C$1),$G26,0))*IF($A26="Residential",'General Inputs'!J$14,'General Inputs'!J$19)</f>
        <v>930.72924246713364</v>
      </c>
      <c r="CD26" s="214">
        <f>IF(AND(($E26+$C$1)&gt;CD$4,CD$4&gt;=$C$1),$H26,IF(AND(($D26+$C$1)&gt;CD$4,CD$4&gt;=$C$1),$G26,0))*IF($A26="Residential",'General Inputs'!K$14,'General Inputs'!K$19)</f>
        <v>944.69018110414049</v>
      </c>
      <c r="CE26" s="214">
        <f>IF(AND(($E26+$C$1)&gt;CE$4,CE$4&gt;=$C$1),$H26,IF(AND(($D26+$C$1)&gt;CE$4,CE$4&gt;=$C$1),$G26,0))*IF($A26="Residential",'General Inputs'!L$14,'General Inputs'!L$19)</f>
        <v>958.86053382070236</v>
      </c>
      <c r="CF26" s="214">
        <f>IF(AND(($E26+$C$1)&gt;CF$4,CF$4&gt;=$C$1),$H26,IF(AND(($D26+$C$1)&gt;CF$4,CF$4&gt;=$C$1),$G26,0))*IF($A26="Residential",'General Inputs'!M$14,'General Inputs'!M$19)</f>
        <v>973.24344182801292</v>
      </c>
      <c r="CG26" s="214">
        <f>IF(AND(($E26+$C$1)&gt;CG$4,CG$4&gt;=$C$1),$H26,IF(AND(($D26+$C$1)&gt;CG$4,CG$4&gt;=$C$1),$G26,0))*IF($A26="Residential",'General Inputs'!N$14,'General Inputs'!N$19)</f>
        <v>987.84209345543297</v>
      </c>
      <c r="CH26" s="214">
        <f>IF(AND(($E26+$C$1)&gt;CH$4,CH$4&gt;=$C$1),$H26,IF(AND(($D26+$C$1)&gt;CH$4,CH$4&gt;=$C$1),$G26,0))*IF($A26="Residential",'General Inputs'!O$14,'General Inputs'!O$19)</f>
        <v>1002.6597248572643</v>
      </c>
      <c r="CI26" s="214">
        <f>IF(AND(($E26+$C$1)&gt;CI$4,CI$4&gt;=$C$1),$H26,IF(AND(($D26+$C$1)&gt;CI$4,CI$4&gt;=$C$1),$G26,0))*IF($A26="Residential",'General Inputs'!P$14,'General Inputs'!P$19)</f>
        <v>1017.6996207301232</v>
      </c>
      <c r="CJ26" s="214">
        <f>IF(AND(($E26+$C$1)&gt;CJ$4,CJ$4&gt;=$C$1),$H26,IF(AND(($D26+$C$1)&gt;CJ$4,CJ$4&gt;=$C$1),$G26,0))*IF($A26="Residential",'General Inputs'!Q$14,'General Inputs'!Q$19)</f>
        <v>1032.965115041075</v>
      </c>
      <c r="CK26" s="214">
        <f>IF(AND(($E26+$C$1)&gt;CK$4,CK$4&gt;=$C$1),$H26,IF(AND(($D26+$C$1)&gt;CK$4,CK$4&gt;=$C$1),$G26,0))*IF($A26="Residential",'General Inputs'!R$14,'General Inputs'!R$19)</f>
        <v>1048.4595917666909</v>
      </c>
      <c r="CL26" s="214">
        <f>IF(AND(($E26+$C$1)&gt;CL$4,CL$4&gt;=$C$1),$H26,IF(AND(($D26+$C$1)&gt;CL$4,CL$4&gt;=$C$1),$G26,0))*IF($A26="Residential",'General Inputs'!S$14,'General Inputs'!S$19)</f>
        <v>1064.1864856431912</v>
      </c>
      <c r="CM26" s="214">
        <f>IF(AND(($E26+$C$1)&gt;CM$4,CM$4&gt;=$C$1),$H26,IF(AND(($D26+$C$1)&gt;CM$4,CM$4&gt;=$C$1),$G26,0))*IF($A26="Residential",'General Inputs'!T$14,'General Inputs'!T$19)</f>
        <v>0</v>
      </c>
      <c r="CN26" s="214">
        <f>IF(AND(($E26+$C$1)&gt;CN$4,CN$4&gt;=$C$1),$H26,IF(AND(($D26+$C$1)&gt;CN$4,CN$4&gt;=$C$1),$G26,0))*IF($A26="Residential",'General Inputs'!U$14,'General Inputs'!U$19)</f>
        <v>0</v>
      </c>
      <c r="CO26" s="214">
        <f>IF(AND(($E26+$C$1)&gt;CO$4,CO$4&gt;=$C$1),$H26,IF(AND(($D26+$C$1)&gt;CO$4,CO$4&gt;=$C$1),$G26,0))*IF($A26="Residential",'General Inputs'!V$14,'General Inputs'!V$19)</f>
        <v>0</v>
      </c>
      <c r="CP26" s="214">
        <f>IF(AND(($E26+$C$1)&gt;CP$4,CP$4&gt;=$C$1),$H26,IF(AND(($D26+$C$1)&gt;CP$4,CP$4&gt;=$C$1),$G26,0))*IF($A26="Residential",'General Inputs'!W$14,'General Inputs'!W$19)</f>
        <v>0</v>
      </c>
      <c r="CR26" s="214">
        <f>IF(AND(($E26+$C$1)&gt;CR$4,CR$4&gt;=$C$1),$H26,IF(AND(($D26+$C$1)&gt;CR$4,CR$4&gt;=$C$1),$G26,0))*IF($A26="Residential",'General Inputs'!D$15,'General Inputs'!D$19)</f>
        <v>0</v>
      </c>
      <c r="CS26" s="214">
        <f>IF(AND(($E26+$C$1)&gt;CS$4,CS$4&gt;=$C$1),$H26,IF(AND(($D26+$C$1)&gt;CS$4,CS$4&gt;=$C$1),$G26,0))*IF($A26="Residential",'General Inputs'!E$15,'General Inputs'!E$19)</f>
        <v>702.8378239064441</v>
      </c>
      <c r="CT26" s="214">
        <f>IF(AND(($E26+$C$1)&gt;CT$4,CT$4&gt;=$C$1),$H26,IF(AND(($D26+$C$1)&gt;CT$4,CT$4&gt;=$C$1),$G26,0))*IF($A26="Residential",'General Inputs'!F$15,'General Inputs'!F$19)</f>
        <v>713.38039126504066</v>
      </c>
      <c r="CU26" s="214">
        <f>IF(AND(($E26+$C$1)&gt;CU$4,CU$4&gt;=$C$1),$H26,IF(AND(($D26+$C$1)&gt;CU$4,CU$4&gt;=$C$1),$G26,0))*IF($A26="Residential",'General Inputs'!G$15,'General Inputs'!G$19)</f>
        <v>724.0810971340162</v>
      </c>
      <c r="CV26" s="214">
        <f>IF(AND(($E26+$C$1)&gt;CV$4,CV$4&gt;=$C$1),$H26,IF(AND(($D26+$C$1)&gt;CV$4,CV$4&gt;=$C$1),$G26,0))*IF($A26="Residential",'General Inputs'!H$15,'General Inputs'!H$19)</f>
        <v>734.94231359102639</v>
      </c>
      <c r="CW26" s="214">
        <f>IF(AND(($E26+$C$1)&gt;CW$4,CW$4&gt;=$C$1),$H26,IF(AND(($D26+$C$1)&gt;CW$4,CW$4&gt;=$C$1),$G26,0))*IF($A26="Residential",'General Inputs'!I$15,'General Inputs'!I$19)</f>
        <v>745.96644829489173</v>
      </c>
      <c r="CX26" s="214">
        <f>IF(AND(($E26+$C$1)&gt;CX$4,CX$4&gt;=$C$1),$H26,IF(AND(($D26+$C$1)&gt;CX$4,CX$4&gt;=$C$1),$G26,0))*IF($A26="Residential",'General Inputs'!J$15,'General Inputs'!J$19)</f>
        <v>757.15594501931503</v>
      </c>
      <c r="CY26" s="214">
        <f>IF(AND(($E26+$C$1)&gt;CY$4,CY$4&gt;=$C$1),$H26,IF(AND(($D26+$C$1)&gt;CY$4,CY$4&gt;=$C$1),$G26,0))*IF($A26="Residential",'General Inputs'!K$15,'General Inputs'!K$19)</f>
        <v>768.51328419460458</v>
      </c>
      <c r="CZ26" s="214">
        <f>IF(AND(($E26+$C$1)&gt;CZ$4,CZ$4&gt;=$C$1),$H26,IF(AND(($D26+$C$1)&gt;CZ$4,CZ$4&gt;=$C$1),$G26,0))*IF($A26="Residential",'General Inputs'!L$15,'General Inputs'!L$19)</f>
        <v>780.04098345752357</v>
      </c>
      <c r="DA26" s="214">
        <f>IF(AND(($E26+$C$1)&gt;DA$4,DA$4&gt;=$C$1),$H26,IF(AND(($D26+$C$1)&gt;DA$4,DA$4&gt;=$C$1),$G26,0))*IF($A26="Residential",'General Inputs'!M$15,'General Inputs'!M$19)</f>
        <v>791.74159820938632</v>
      </c>
      <c r="DB26" s="214">
        <f>IF(AND(($E26+$C$1)&gt;DB$4,DB$4&gt;=$C$1),$H26,IF(AND(($D26+$C$1)&gt;DB$4,DB$4&gt;=$C$1),$G26,0))*IF($A26="Residential",'General Inputs'!N$15,'General Inputs'!N$19)</f>
        <v>803.61772218252702</v>
      </c>
      <c r="DC26" s="214">
        <f>IF(AND(($E26+$C$1)&gt;DC$4,DC$4&gt;=$C$1),$H26,IF(AND(($D26+$C$1)&gt;DC$4,DC$4&gt;=$C$1),$G26,0))*IF($A26="Residential",'General Inputs'!O$15,'General Inputs'!O$19)</f>
        <v>815.67198801526479</v>
      </c>
      <c r="DD26" s="214">
        <f>IF(AND(($E26+$C$1)&gt;DD$4,DD$4&gt;=$C$1),$H26,IF(AND(($D26+$C$1)&gt;DD$4,DD$4&gt;=$C$1),$G26,0))*IF($A26="Residential",'General Inputs'!P$15,'General Inputs'!P$19)</f>
        <v>827.90706783549376</v>
      </c>
      <c r="DE26" s="214">
        <f>IF(AND(($E26+$C$1)&gt;DE$4,DE$4&gt;=$C$1),$H26,IF(AND(($D26+$C$1)&gt;DE$4,DE$4&gt;=$C$1),$G26,0))*IF($A26="Residential",'General Inputs'!Q$15,'General Inputs'!Q$19)</f>
        <v>840.32567385302616</v>
      </c>
      <c r="DF26" s="214">
        <f>IF(AND(($E26+$C$1)&gt;DF$4,DF$4&gt;=$C$1),$H26,IF(AND(($D26+$C$1)&gt;DF$4,DF$4&gt;=$C$1),$G26,0))*IF($A26="Residential",'General Inputs'!R$15,'General Inputs'!R$19)</f>
        <v>852.93055896082149</v>
      </c>
      <c r="DG26" s="214">
        <f>IF(AND(($E26+$C$1)&gt;DG$4,DG$4&gt;=$C$1),$H26,IF(AND(($D26+$C$1)&gt;DG$4,DG$4&gt;=$C$1),$G26,0))*IF($A26="Residential",'General Inputs'!S$15,'General Inputs'!S$19)</f>
        <v>865.72451734523361</v>
      </c>
      <c r="DH26" s="214">
        <f>IF(AND(($E26+$C$1)&gt;DH$4,DH$4&gt;=$C$1),$H26,IF(AND(($D26+$C$1)&gt;DH$4,DH$4&gt;=$C$1),$G26,0))*IF($A26="Residential",'General Inputs'!T$15,'General Inputs'!T$19)</f>
        <v>0</v>
      </c>
      <c r="DI26" s="214">
        <f>IF(AND(($E26+$C$1)&gt;DI$4,DI$4&gt;=$C$1),$H26,IF(AND(($D26+$C$1)&gt;DI$4,DI$4&gt;=$C$1),$G26,0))*IF($A26="Residential",'General Inputs'!U$15,'General Inputs'!U$19)</f>
        <v>0</v>
      </c>
      <c r="DJ26" s="214">
        <f>IF(AND(($E26+$C$1)&gt;DJ$4,DJ$4&gt;=$C$1),$H26,IF(AND(($D26+$C$1)&gt;DJ$4,DJ$4&gt;=$C$1),$G26,0))*IF($A26="Residential",'General Inputs'!V$15,'General Inputs'!V$19)</f>
        <v>0</v>
      </c>
      <c r="DK26" s="214">
        <f>IF(AND(($E26+$C$1)&gt;DK$4,DK$4&gt;=$C$1),$H26,IF(AND(($D26+$C$1)&gt;DK$4,DK$4&gt;=$C$1),$G26,0))*IF($A26="Residential",'General Inputs'!W$15,'General Inputs'!W$19)</f>
        <v>0</v>
      </c>
      <c r="DM26" s="214">
        <f t="shared" si="47"/>
        <v>0</v>
      </c>
      <c r="DN26" s="214">
        <f t="shared" si="27"/>
        <v>0</v>
      </c>
      <c r="DO26" s="214">
        <f t="shared" si="27"/>
        <v>0</v>
      </c>
      <c r="DP26" s="214">
        <f t="shared" si="27"/>
        <v>0</v>
      </c>
      <c r="DQ26" s="214">
        <f t="shared" si="27"/>
        <v>0</v>
      </c>
      <c r="DR26" s="214">
        <f t="shared" si="27"/>
        <v>0</v>
      </c>
      <c r="DS26" s="214">
        <f t="shared" si="27"/>
        <v>0</v>
      </c>
      <c r="DT26" s="214">
        <f t="shared" si="27"/>
        <v>0</v>
      </c>
      <c r="DU26" s="214">
        <f t="shared" si="27"/>
        <v>0</v>
      </c>
      <c r="DV26" s="214">
        <f t="shared" si="27"/>
        <v>0</v>
      </c>
      <c r="DW26" s="214">
        <f t="shared" si="27"/>
        <v>0</v>
      </c>
      <c r="DZ26" s="650"/>
      <c r="FI26" s="195"/>
      <c r="FJ26" s="195"/>
      <c r="FK26" s="195"/>
      <c r="FL26" s="195"/>
      <c r="FM26" s="195"/>
      <c r="FN26" s="195"/>
      <c r="FO26" s="195"/>
    </row>
    <row r="27" spans="1:171">
      <c r="A27" s="342" t="s">
        <v>12</v>
      </c>
      <c r="B27" s="427" t="str">
        <f>'Portfolio Inputs'!A26</f>
        <v>CFL</v>
      </c>
      <c r="C27" s="217">
        <f>IF($C$1=2014,'Portfolio Inputs'!$C26,IF($C$1=2015,'Portfolio Inputs'!$D26,'Portfolio Inputs'!$E26))</f>
        <v>500</v>
      </c>
      <c r="D27" s="504">
        <f>VLOOKUP(B27,Sources!$B$4:$J$104,2,FALSE)</f>
        <v>5</v>
      </c>
      <c r="E27" s="504">
        <f>VLOOKUP(B27,Sources!$B$4:$J$104,3,FALSE)</f>
        <v>0</v>
      </c>
      <c r="G27" s="504">
        <f>IF($C$1=2014,'Portfolio Inputs'!$G26,IF($C$1=2015,'Portfolio Inputs'!$H26,'Portfolio Inputs'!$I26))*EnergyLineLoss</f>
        <v>16047.414544499999</v>
      </c>
      <c r="H27" s="504"/>
      <c r="I27" s="504">
        <f>IF($C$1=2014,'Portfolio Inputs'!$K26,IF($C$1=2015,'Portfolio Inputs'!$L26,'Portfolio Inputs'!$M26))*PeakLineLoss</f>
        <v>1.4579132107499999</v>
      </c>
      <c r="J27" s="510"/>
      <c r="L27" s="606">
        <f>IF($C$1=2014,'Portfolio Inputs'!$O26,IF($C$1=2015,'Portfolio Inputs'!$P26,'Portfolio Inputs'!$Q26))</f>
        <v>0</v>
      </c>
      <c r="M27" s="518">
        <f>VLOOKUP($B27,Sources!$B$4:$K$104,10,FALSE)</f>
        <v>0</v>
      </c>
      <c r="N27" s="419">
        <f>IF($C$1=2014,'Portfolio Inputs'!$W26,IF($C$1=2015,'Portfolio Inputs'!$X26,'Portfolio Inputs'!$Y26))</f>
        <v>0</v>
      </c>
      <c r="O27" s="419"/>
      <c r="Q27" s="438" t="str">
        <f t="shared" si="67"/>
        <v>n/a</v>
      </c>
      <c r="R27" s="439" t="str">
        <f t="shared" si="68"/>
        <v>n/a</v>
      </c>
      <c r="S27" s="439" t="str">
        <f t="shared" si="69"/>
        <v>n/a</v>
      </c>
      <c r="T27" s="439" t="str">
        <f t="shared" si="70"/>
        <v>n/a</v>
      </c>
      <c r="U27" s="439" t="str">
        <f t="shared" si="71"/>
        <v>n/a</v>
      </c>
      <c r="V27" s="439">
        <f t="shared" si="72"/>
        <v>0.30673139843962105</v>
      </c>
      <c r="W27" s="439">
        <f t="shared" si="73"/>
        <v>0.37704766632098541</v>
      </c>
      <c r="Y27" s="215">
        <f t="shared" si="4"/>
        <v>2692.349789393752</v>
      </c>
      <c r="Z27" s="215">
        <f t="shared" si="5"/>
        <v>714.53878418795932</v>
      </c>
      <c r="AA27" s="215">
        <f t="shared" si="6"/>
        <v>8777.5487057733717</v>
      </c>
      <c r="AB27" s="215">
        <f t="shared" si="7"/>
        <v>7140.6085486860457</v>
      </c>
      <c r="AC27" s="216">
        <f t="shared" si="20"/>
        <v>0</v>
      </c>
      <c r="AD27" s="216">
        <f t="shared" si="21"/>
        <v>0</v>
      </c>
      <c r="AE27" s="215">
        <f t="shared" si="8"/>
        <v>0</v>
      </c>
      <c r="AG27" s="214">
        <f>IF(AND(($E27+$C$1)&gt;AG$4,AG$4&gt;=$C$1),'General Inputs'!D$9*$H27,IF(AND(($D27+$C$1)&gt;AG$4,AG$4&gt;=$C$1),'General Inputs'!D$9*$G27,0))+IF(AND(($E27+$C$1)&gt;AG$4,AG$4&gt;=$C$1),'General Inputs'!D$10*$J27,IF(AND(($D27+$C$1)&gt;AG$4,AG$4&gt;=$C$1),'General Inputs'!D$10*$I27,0))</f>
        <v>0</v>
      </c>
      <c r="AH27" s="214">
        <f>IF(AND(($E27+$C$1)&gt;AH$4,AH$4&gt;=$C$1),'General Inputs'!E$9*$H27,IF(AND(($D27+$C$1)&gt;AH$4,AH$4&gt;=$C$1),'General Inputs'!E$9*$G27,0))+IF(AND(($E27+$C$1)&gt;AH$4,AH$4&gt;=$C$1),'General Inputs'!E$10*$J27,IF(AND(($D27+$C$1)&gt;AH$4,AH$4&gt;=$C$1),'General Inputs'!E$10*$I27,0))</f>
        <v>670.62556490074508</v>
      </c>
      <c r="AI27" s="214">
        <f>IF(AND(($E27+$C$1)&gt;AI$4,AI$4&gt;=$C$1),'General Inputs'!F$9*$H27,IF(AND(($D27+$C$1)&gt;AI$4,AI$4&gt;=$C$1),'General Inputs'!F$9*$G27,0))+IF(AND(($E27+$C$1)&gt;AI$4,AI$4&gt;=$C$1),'General Inputs'!F$10*$J27,IF(AND(($D27+$C$1)&gt;AI$4,AI$4&gt;=$C$1),'General Inputs'!F$10*$I27,0))</f>
        <v>680.68494837425624</v>
      </c>
      <c r="AJ27" s="214">
        <f>IF(AND(($E27+$C$1)&gt;AJ$4,AJ$4&gt;=$C$1),'General Inputs'!G$9*$H27,IF(AND(($D27+$C$1)&gt;AJ$4,AJ$4&gt;=$C$1),'General Inputs'!G$9*$G27,0))+IF(AND(($E27+$C$1)&gt;AJ$4,AJ$4&gt;=$C$1),'General Inputs'!G$10*$J27,IF(AND(($D27+$C$1)&gt;AJ$4,AJ$4&gt;=$C$1),'General Inputs'!G$10*$I27,0))</f>
        <v>690.89522259986995</v>
      </c>
      <c r="AK27" s="214">
        <f>IF(AND(($E27+$C$1)&gt;AK$4,AK$4&gt;=$C$1),'General Inputs'!H$9*$H27,IF(AND(($D27+$C$1)&gt;AK$4,AK$4&gt;=$C$1),'General Inputs'!H$9*$G27,0))+IF(AND(($E27+$C$1)&gt;AK$4,AK$4&gt;=$C$1),'General Inputs'!H$10*$J27,IF(AND(($D27+$C$1)&gt;AK$4,AK$4&gt;=$C$1),'General Inputs'!H$10*$I27,0))</f>
        <v>701.25865093886785</v>
      </c>
      <c r="AL27" s="214">
        <f>IF(AND(($E27+$C$1)&gt;AL$4,AL$4&gt;=$C$1),'General Inputs'!I$9*$H27,IF(AND(($D27+$C$1)&gt;AL$4,AL$4&gt;=$C$1),'General Inputs'!I$9*$G27,0))+IF(AND(($E27+$C$1)&gt;AL$4,AL$4&gt;=$C$1),'General Inputs'!I$10*$J27,IF(AND(($D27+$C$1)&gt;AL$4,AL$4&gt;=$C$1),'General Inputs'!I$10*$I27,0))</f>
        <v>711.7775307029508</v>
      </c>
      <c r="AM27" s="214">
        <f>IF(AND(($E27+$C$1)&gt;AM$4,AM$4&gt;=$C$1),'General Inputs'!J$9*$H27,IF(AND(($D27+$C$1)&gt;AM$4,AM$4&gt;=$C$1),'General Inputs'!J$9*$G27,0))+IF(AND(($E27+$C$1)&gt;AM$4,AM$4&gt;=$C$1),'General Inputs'!J$10*$J27,IF(AND(($D27+$C$1)&gt;AM$4,AM$4&gt;=$C$1),'General Inputs'!J$10*$I27,0))</f>
        <v>0</v>
      </c>
      <c r="AN27" s="214">
        <f>IF(AND(($E27+$C$1)&gt;AN$4,AN$4&gt;=$C$1),'General Inputs'!K$9*$H27,IF(AND(($D27+$C$1)&gt;AN$4,AN$4&gt;=$C$1),'General Inputs'!K$9*$G27,0))+IF(AND(($E27+$C$1)&gt;AN$4,AN$4&gt;=$C$1),'General Inputs'!K$10*$J27,IF(AND(($D27+$C$1)&gt;AN$4,AN$4&gt;=$C$1),'General Inputs'!K$10*$I27,0))</f>
        <v>0</v>
      </c>
      <c r="AO27" s="214">
        <f>IF(AND(($E27+$C$1)&gt;AO$4,AO$4&gt;=$C$1),'General Inputs'!L$9*$H27,IF(AND(($D27+$C$1)&gt;AO$4,AO$4&gt;=$C$1),'General Inputs'!L$9*$G27,0))+IF(AND(($E27+$C$1)&gt;AO$4,AO$4&gt;=$C$1),'General Inputs'!L$10*$J27,IF(AND(($D27+$C$1)&gt;AO$4,AO$4&gt;=$C$1),'General Inputs'!L$10*$I27,0))</f>
        <v>0</v>
      </c>
      <c r="AP27" s="214">
        <f>IF(AND(($E27+$C$1)&gt;AP$4,AP$4&gt;=$C$1),'General Inputs'!M$9*$H27,IF(AND(($D27+$C$1)&gt;AP$4,AP$4&gt;=$C$1),'General Inputs'!M$9*$G27,0))+IF(AND(($E27+$C$1)&gt;AP$4,AP$4&gt;=$C$1),'General Inputs'!M$10*$J27,IF(AND(($D27+$C$1)&gt;AP$4,AP$4&gt;=$C$1),'General Inputs'!M$10*$I27,0))</f>
        <v>0</v>
      </c>
      <c r="AQ27" s="214">
        <f>IF(AND(($E27+$C$1)&gt;AQ$4,AQ$4&gt;=$C$1),'General Inputs'!N$9*$H27,IF(AND(($D27+$C$1)&gt;AQ$4,AQ$4&gt;=$C$1),'General Inputs'!N$9*$G27,0))+IF(AND(($E27+$C$1)&gt;AQ$4,AQ$4&gt;=$C$1),'General Inputs'!N$10*$J27,IF(AND(($D27+$C$1)&gt;AQ$4,AQ$4&gt;=$C$1),'General Inputs'!N$10*$I27,0))</f>
        <v>0</v>
      </c>
      <c r="AR27" s="214">
        <f>IF(AND(($E27+$C$1)&gt;AR$4,AR$4&gt;=$C$1),'General Inputs'!O$9*$H27,IF(AND(($D27+$C$1)&gt;AR$4,AR$4&gt;=$C$1),'General Inputs'!O$9*$G27,0))+IF(AND(($E27+$C$1)&gt;AR$4,AR$4&gt;=$C$1),'General Inputs'!O$10*$J27,IF(AND(($D27+$C$1)&gt;AR$4,AR$4&gt;=$C$1),'General Inputs'!O$10*$I27,0))</f>
        <v>0</v>
      </c>
      <c r="AS27" s="214">
        <f>IF(AND(($E27+$C$1)&gt;AS$4,AS$4&gt;=$C$1),'General Inputs'!P$9*$H27,IF(AND(($D27+$C$1)&gt;AS$4,AS$4&gt;=$C$1),'General Inputs'!P$9*$G27,0))+IF(AND(($E27+$C$1)&gt;AS$4,AS$4&gt;=$C$1),'General Inputs'!P$10*$J27,IF(AND(($D27+$C$1)&gt;AS$4,AS$4&gt;=$C$1),'General Inputs'!P$10*$I27,0))</f>
        <v>0</v>
      </c>
      <c r="AT27" s="214">
        <f>IF(AND(($E27+$C$1)&gt;AT$4,AT$4&gt;=$C$1),'General Inputs'!Q$9*$H27,IF(AND(($D27+$C$1)&gt;AT$4,AT$4&gt;=$C$1),'General Inputs'!Q$9*$G27,0))+IF(AND(($E27+$C$1)&gt;AT$4,AT$4&gt;=$C$1),'General Inputs'!Q$10*$J27,IF(AND(($D27+$C$1)&gt;AT$4,AT$4&gt;=$C$1),'General Inputs'!Q$10*$I27,0))</f>
        <v>0</v>
      </c>
      <c r="AU27" s="214">
        <f>IF(AND(($E27+$C$1)&gt;AU$4,AU$4&gt;=$C$1),'General Inputs'!R$9*$H27,IF(AND(($D27+$C$1)&gt;AU$4,AU$4&gt;=$C$1),'General Inputs'!R$9*$G27,0))+IF(AND(($E27+$C$1)&gt;AU$4,AU$4&gt;=$C$1),'General Inputs'!R$10*$J27,IF(AND(($D27+$C$1)&gt;AU$4,AU$4&gt;=$C$1),'General Inputs'!R$10*$I27,0))</f>
        <v>0</v>
      </c>
      <c r="AV27" s="214">
        <f>IF(AND(($E27+$C$1)&gt;AV$4,AV$4&gt;=$C$1),'General Inputs'!S$9*$H27,IF(AND(($D27+$C$1)&gt;AV$4,AV$4&gt;=$C$1),'General Inputs'!S$9*$G27,0))+IF(AND(($E27+$C$1)&gt;AV$4,AV$4&gt;=$C$1),'General Inputs'!S$10*$J27,IF(AND(($D27+$C$1)&gt;AV$4,AV$4&gt;=$C$1),'General Inputs'!S$10*$I27,0))</f>
        <v>0</v>
      </c>
      <c r="AW27" s="214">
        <f>IF(AND(($E27+$C$1)&gt;AW$4,AW$4&gt;=$C$1),'General Inputs'!T$9*$H27,IF(AND(($D27+$C$1)&gt;AW$4,AW$4&gt;=$C$1),'General Inputs'!T$9*$G27,0))+IF(AND(($E27+$C$1)&gt;AW$4,AW$4&gt;=$C$1),'General Inputs'!T$10*$J27,IF(AND(($D27+$C$1)&gt;AW$4,AW$4&gt;=$C$1),'General Inputs'!T$10*$I27,0))</f>
        <v>0</v>
      </c>
      <c r="AX27" s="214">
        <f>IF(AND(($E27+$C$1)&gt;AX$4,AX$4&gt;=$C$1),'General Inputs'!U$9*$H27,IF(AND(($D27+$C$1)&gt;AX$4,AX$4&gt;=$C$1),'General Inputs'!U$9*$G27,0))+IF(AND(($E27+$C$1)&gt;AX$4,AX$4&gt;=$C$1),'General Inputs'!U$10*$J27,IF(AND(($D27+$C$1)&gt;AX$4,AX$4&gt;=$C$1),'General Inputs'!U$10*$I27,0))</f>
        <v>0</v>
      </c>
      <c r="AY27" s="214">
        <f>IF(AND(($E27+$C$1)&gt;AY$4,AY$4&gt;=$C$1),'General Inputs'!V$9*$H27,IF(AND(($D27+$C$1)&gt;AY$4,AY$4&gt;=$C$1),'General Inputs'!V$9*$G27,0))+IF(AND(($E27+$C$1)&gt;AY$4,AY$4&gt;=$C$1),'General Inputs'!V$10*$J27,IF(AND(($D27+$C$1)&gt;AY$4,AY$4&gt;=$C$1),'General Inputs'!V$10*$I27,0))</f>
        <v>0</v>
      </c>
      <c r="AZ27" s="214">
        <f>IF(AND(($E27+$C$1)&gt;AZ$4,AZ$4&gt;=$C$1),'General Inputs'!W$9*$H27,IF(AND(($D27+$C$1)&gt;AZ$4,AZ$4&gt;=$C$1),'General Inputs'!W$9*$G27,0))+IF(AND(($E27+$C$1)&gt;AZ$4,AZ$4&gt;=$C$1),'General Inputs'!W$10*$J27,IF(AND(($D27+$C$1)&gt;AZ$4,AZ$4&gt;=$C$1),'General Inputs'!W$10*$I27,0))</f>
        <v>0</v>
      </c>
      <c r="BB27" s="214">
        <f>IF(AND(($E27+$C$1)&gt;BB$4,BB$4&gt;=$C$1),'General Inputs'!D$11*$H27,IF(AND(($D27+$C$1)&gt;BB$4,BB$4&gt;=$C$1),'General Inputs'!D$11*$G27,0))</f>
        <v>0</v>
      </c>
      <c r="BC27" s="214">
        <f>IF(AND(($E27+$C$1)&gt;BC$4,BC$4&gt;=$C$1),'General Inputs'!E$11*$H27,IF(AND(($D27+$C$1)&gt;BC$4,BC$4&gt;=$C$1),'General Inputs'!E$11*$G27,0))</f>
        <v>182.94052580729999</v>
      </c>
      <c r="BD27" s="214">
        <f>IF(AND(($E27+$C$1)&gt;BD$4,BD$4&gt;=$C$1),'General Inputs'!F$11*$H27,IF(AND(($D27+$C$1)&gt;BD$4,BD$4&gt;=$C$1),'General Inputs'!F$11*$G27,0))</f>
        <v>182.94052580729999</v>
      </c>
      <c r="BE27" s="214">
        <f>IF(AND(($E27+$C$1)&gt;BE$4,BE$4&gt;=$C$1),'General Inputs'!G$11*$H27,IF(AND(($D27+$C$1)&gt;BE$4,BE$4&gt;=$C$1),'General Inputs'!G$11*$G27,0))</f>
        <v>182.94052580729999</v>
      </c>
      <c r="BF27" s="214">
        <f>IF(AND(($E27+$C$1)&gt;BF$4,BF$4&gt;=$C$1),'General Inputs'!H$11*$H27,IF(AND(($D27+$C$1)&gt;BF$4,BF$4&gt;=$C$1),'General Inputs'!H$11*$G27,0))</f>
        <v>182.94052580729999</v>
      </c>
      <c r="BG27" s="214">
        <f>IF(AND(($E27+$C$1)&gt;BG$4,BG$4&gt;=$C$1),'General Inputs'!I$11*$H27,IF(AND(($D27+$C$1)&gt;BG$4,BG$4&gt;=$C$1),'General Inputs'!I$11*$G27,0))</f>
        <v>182.94052580729999</v>
      </c>
      <c r="BH27" s="214">
        <f>IF(AND(($E27+$C$1)&gt;BH$4,BH$4&gt;=$C$1),'General Inputs'!J$11*$H27,IF(AND(($D27+$C$1)&gt;BH$4,BH$4&gt;=$C$1),'General Inputs'!J$11*$G27,0))</f>
        <v>0</v>
      </c>
      <c r="BI27" s="214">
        <f>IF(AND(($E27+$C$1)&gt;BI$4,BI$4&gt;=$C$1),'General Inputs'!K$11*$H27,IF(AND(($D27+$C$1)&gt;BI$4,BI$4&gt;=$C$1),'General Inputs'!K$11*$G27,0))</f>
        <v>0</v>
      </c>
      <c r="BJ27" s="214">
        <f>IF(AND(($E27+$C$1)&gt;BJ$4,BJ$4&gt;=$C$1),'General Inputs'!L$11*$H27,IF(AND(($D27+$C$1)&gt;BJ$4,BJ$4&gt;=$C$1),'General Inputs'!L$11*$G27,0))</f>
        <v>0</v>
      </c>
      <c r="BK27" s="214">
        <f>IF(AND(($E27+$C$1)&gt;BK$4,BK$4&gt;=$C$1),'General Inputs'!M$11*$H27,IF(AND(($D27+$C$1)&gt;BK$4,BK$4&gt;=$C$1),'General Inputs'!M$11*$G27,0))</f>
        <v>0</v>
      </c>
      <c r="BL27" s="214">
        <f>IF(AND(($E27+$C$1)&gt;BL$4,BL$4&gt;=$C$1),'General Inputs'!N$11*$H27,IF(AND(($D27+$C$1)&gt;BL$4,BL$4&gt;=$C$1),'General Inputs'!N$11*$G27,0))</f>
        <v>0</v>
      </c>
      <c r="BM27" s="214">
        <f>IF(AND(($E27+$C$1)&gt;BM$4,BM$4&gt;=$C$1),'General Inputs'!O$11*$H27,IF(AND(($D27+$C$1)&gt;BM$4,BM$4&gt;=$C$1),'General Inputs'!O$11*$G27,0))</f>
        <v>0</v>
      </c>
      <c r="BN27" s="214">
        <f>IF(AND(($E27+$C$1)&gt;BN$4,BN$4&gt;=$C$1),'General Inputs'!P$11*$H27,IF(AND(($D27+$C$1)&gt;BN$4,BN$4&gt;=$C$1),'General Inputs'!P$11*$G27,0))</f>
        <v>0</v>
      </c>
      <c r="BO27" s="214">
        <f>IF(AND(($E27+$C$1)&gt;BO$4,BO$4&gt;=$C$1),'General Inputs'!Q$11*$H27,IF(AND(($D27+$C$1)&gt;BO$4,BO$4&gt;=$C$1),'General Inputs'!Q$11*$G27,0))</f>
        <v>0</v>
      </c>
      <c r="BP27" s="214">
        <f>IF(AND(($E27+$C$1)&gt;BP$4,BP$4&gt;=$C$1),'General Inputs'!R$11*$H27,IF(AND(($D27+$C$1)&gt;BP$4,BP$4&gt;=$C$1),'General Inputs'!R$11*$G27,0))</f>
        <v>0</v>
      </c>
      <c r="BQ27" s="214">
        <f>IF(AND(($E27+$C$1)&gt;BQ$4,BQ$4&gt;=$C$1),'General Inputs'!S$11*$H27,IF(AND(($D27+$C$1)&gt;BQ$4,BQ$4&gt;=$C$1),'General Inputs'!S$11*$G27,0))</f>
        <v>0</v>
      </c>
      <c r="BR27" s="214">
        <f>IF(AND(($E27+$C$1)&gt;BR$4,BR$4&gt;=$C$1),'General Inputs'!T$11*$H27,IF(AND(($D27+$C$1)&gt;BR$4,BR$4&gt;=$C$1),'General Inputs'!T$11*$G27,0))</f>
        <v>0</v>
      </c>
      <c r="BS27" s="214">
        <f>IF(AND(($E27+$C$1)&gt;BS$4,BS$4&gt;=$C$1),'General Inputs'!U$11*$H27,IF(AND(($D27+$C$1)&gt;BS$4,BS$4&gt;=$C$1),'General Inputs'!U$11*$G27,0))</f>
        <v>0</v>
      </c>
      <c r="BT27" s="214">
        <f>IF(AND(($E27+$C$1)&gt;BT$4,BT$4&gt;=$C$1),'General Inputs'!V$11*$H27,IF(AND(($D27+$C$1)&gt;BT$4,BT$4&gt;=$C$1),'General Inputs'!V$11*$G27,0))</f>
        <v>0</v>
      </c>
      <c r="BU27" s="214">
        <f>IF(AND(($E27+$C$1)&gt;BU$4,BU$4&gt;=$C$1),'General Inputs'!W$11*$H27,IF(AND(($D27+$C$1)&gt;BU$4,BU$4&gt;=$C$1),'General Inputs'!W$11*$G27,0))</f>
        <v>0</v>
      </c>
      <c r="BW27" s="214">
        <f>IF(AND(($E27+$C$1)&gt;BW$4,BW$4&gt;=$C$1),$H27,IF(AND(($D27+$C$1)&gt;BW$4,BW$4&gt;=$C$1),$G27,0))*IF($A27="Residential",'General Inputs'!D$14,'General Inputs'!D$19)</f>
        <v>0</v>
      </c>
      <c r="BX27" s="214">
        <f>IF(AND(($E27+$C$1)&gt;BX$4,BX$4&gt;=$C$1),$H27,IF(AND(($D27+$C$1)&gt;BX$4,BX$4&gt;=$C$1),$G27,0))*IF($A27="Residential",'General Inputs'!E$14,'General Inputs'!E$19)</f>
        <v>2186.3609930782986</v>
      </c>
      <c r="BY27" s="214">
        <f>IF(AND(($E27+$C$1)&gt;BY$4,BY$4&gt;=$C$1),$H27,IF(AND(($D27+$C$1)&gt;BY$4,BY$4&gt;=$C$1),$G27,0))*IF($A27="Residential",'General Inputs'!F$14,'General Inputs'!F$19)</f>
        <v>2219.1564079744726</v>
      </c>
      <c r="BZ27" s="214">
        <f>IF(AND(($E27+$C$1)&gt;BZ$4,BZ$4&gt;=$C$1),$H27,IF(AND(($D27+$C$1)&gt;BZ$4,BZ$4&gt;=$C$1),$G27,0))*IF($A27="Residential",'General Inputs'!G$14,'General Inputs'!G$19)</f>
        <v>2252.4437540940894</v>
      </c>
      <c r="CA27" s="214">
        <f>IF(AND(($E27+$C$1)&gt;CA$4,CA$4&gt;=$C$1),$H27,IF(AND(($D27+$C$1)&gt;CA$4,CA$4&gt;=$C$1),$G27,0))*IF($A27="Residential",'General Inputs'!H$14,'General Inputs'!H$19)</f>
        <v>2286.2304104055006</v>
      </c>
      <c r="CB27" s="214">
        <f>IF(AND(($E27+$C$1)&gt;CB$4,CB$4&gt;=$C$1),$H27,IF(AND(($D27+$C$1)&gt;CB$4,CB$4&gt;=$C$1),$G27,0))*IF($A27="Residential",'General Inputs'!I$14,'General Inputs'!I$19)</f>
        <v>2320.523866561583</v>
      </c>
      <c r="CC27" s="214">
        <f>IF(AND(($E27+$C$1)&gt;CC$4,CC$4&gt;=$C$1),$H27,IF(AND(($D27+$C$1)&gt;CC$4,CC$4&gt;=$C$1),$G27,0))*IF($A27="Residential",'General Inputs'!J$14,'General Inputs'!J$19)</f>
        <v>0</v>
      </c>
      <c r="CD27" s="214">
        <f>IF(AND(($E27+$C$1)&gt;CD$4,CD$4&gt;=$C$1),$H27,IF(AND(($D27+$C$1)&gt;CD$4,CD$4&gt;=$C$1),$G27,0))*IF($A27="Residential",'General Inputs'!K$14,'General Inputs'!K$19)</f>
        <v>0</v>
      </c>
      <c r="CE27" s="214">
        <f>IF(AND(($E27+$C$1)&gt;CE$4,CE$4&gt;=$C$1),$H27,IF(AND(($D27+$C$1)&gt;CE$4,CE$4&gt;=$C$1),$G27,0))*IF($A27="Residential",'General Inputs'!L$14,'General Inputs'!L$19)</f>
        <v>0</v>
      </c>
      <c r="CF27" s="214">
        <f>IF(AND(($E27+$C$1)&gt;CF$4,CF$4&gt;=$C$1),$H27,IF(AND(($D27+$C$1)&gt;CF$4,CF$4&gt;=$C$1),$G27,0))*IF($A27="Residential",'General Inputs'!M$14,'General Inputs'!M$19)</f>
        <v>0</v>
      </c>
      <c r="CG27" s="214">
        <f>IF(AND(($E27+$C$1)&gt;CG$4,CG$4&gt;=$C$1),$H27,IF(AND(($D27+$C$1)&gt;CG$4,CG$4&gt;=$C$1),$G27,0))*IF($A27="Residential",'General Inputs'!N$14,'General Inputs'!N$19)</f>
        <v>0</v>
      </c>
      <c r="CH27" s="214">
        <f>IF(AND(($E27+$C$1)&gt;CH$4,CH$4&gt;=$C$1),$H27,IF(AND(($D27+$C$1)&gt;CH$4,CH$4&gt;=$C$1),$G27,0))*IF($A27="Residential",'General Inputs'!O$14,'General Inputs'!O$19)</f>
        <v>0</v>
      </c>
      <c r="CI27" s="214">
        <f>IF(AND(($E27+$C$1)&gt;CI$4,CI$4&gt;=$C$1),$H27,IF(AND(($D27+$C$1)&gt;CI$4,CI$4&gt;=$C$1),$G27,0))*IF($A27="Residential",'General Inputs'!P$14,'General Inputs'!P$19)</f>
        <v>0</v>
      </c>
      <c r="CJ27" s="214">
        <f>IF(AND(($E27+$C$1)&gt;CJ$4,CJ$4&gt;=$C$1),$H27,IF(AND(($D27+$C$1)&gt;CJ$4,CJ$4&gt;=$C$1),$G27,0))*IF($A27="Residential",'General Inputs'!Q$14,'General Inputs'!Q$19)</f>
        <v>0</v>
      </c>
      <c r="CK27" s="214">
        <f>IF(AND(($E27+$C$1)&gt;CK$4,CK$4&gt;=$C$1),$H27,IF(AND(($D27+$C$1)&gt;CK$4,CK$4&gt;=$C$1),$G27,0))*IF($A27="Residential",'General Inputs'!R$14,'General Inputs'!R$19)</f>
        <v>0</v>
      </c>
      <c r="CL27" s="214">
        <f>IF(AND(($E27+$C$1)&gt;CL$4,CL$4&gt;=$C$1),$H27,IF(AND(($D27+$C$1)&gt;CL$4,CL$4&gt;=$C$1),$G27,0))*IF($A27="Residential",'General Inputs'!S$14,'General Inputs'!S$19)</f>
        <v>0</v>
      </c>
      <c r="CM27" s="214">
        <f>IF(AND(($E27+$C$1)&gt;CM$4,CM$4&gt;=$C$1),$H27,IF(AND(($D27+$C$1)&gt;CM$4,CM$4&gt;=$C$1),$G27,0))*IF($A27="Residential",'General Inputs'!T$14,'General Inputs'!T$19)</f>
        <v>0</v>
      </c>
      <c r="CN27" s="214">
        <f>IF(AND(($E27+$C$1)&gt;CN$4,CN$4&gt;=$C$1),$H27,IF(AND(($D27+$C$1)&gt;CN$4,CN$4&gt;=$C$1),$G27,0))*IF($A27="Residential",'General Inputs'!U$14,'General Inputs'!U$19)</f>
        <v>0</v>
      </c>
      <c r="CO27" s="214">
        <f>IF(AND(($E27+$C$1)&gt;CO$4,CO$4&gt;=$C$1),$H27,IF(AND(($D27+$C$1)&gt;CO$4,CO$4&gt;=$C$1),$G27,0))*IF($A27="Residential",'General Inputs'!V$14,'General Inputs'!V$19)</f>
        <v>0</v>
      </c>
      <c r="CP27" s="214">
        <f>IF(AND(($E27+$C$1)&gt;CP$4,CP$4&gt;=$C$1),$H27,IF(AND(($D27+$C$1)&gt;CP$4,CP$4&gt;=$C$1),$G27,0))*IF($A27="Residential",'General Inputs'!W$14,'General Inputs'!W$19)</f>
        <v>0</v>
      </c>
      <c r="CR27" s="214">
        <f>IF(AND(($E27+$C$1)&gt;CR$4,CR$4&gt;=$C$1),$H27,IF(AND(($D27+$C$1)&gt;CR$4,CR$4&gt;=$C$1),$G27,0))*IF($A27="Residential",'General Inputs'!D$15,'General Inputs'!D$19)</f>
        <v>0</v>
      </c>
      <c r="CS27" s="214">
        <f>IF(AND(($E27+$C$1)&gt;CS$4,CS$4&gt;=$C$1),$H27,IF(AND(($D27+$C$1)&gt;CS$4,CS$4&gt;=$C$1),$G27,0))*IF($A27="Residential",'General Inputs'!E$15,'General Inputs'!E$19)</f>
        <v>1778.6227705486795</v>
      </c>
      <c r="CT27" s="214">
        <f>IF(AND(($E27+$C$1)&gt;CT$4,CT$4&gt;=$C$1),$H27,IF(AND(($D27+$C$1)&gt;CT$4,CT$4&gt;=$C$1),$G27,0))*IF($A27="Residential",'General Inputs'!F$15,'General Inputs'!F$19)</f>
        <v>1805.3021121069096</v>
      </c>
      <c r="CU27" s="214">
        <f>IF(AND(($E27+$C$1)&gt;CU$4,CU$4&gt;=$C$1),$H27,IF(AND(($D27+$C$1)&gt;CU$4,CU$4&gt;=$C$1),$G27,0))*IF($A27="Residential",'General Inputs'!G$15,'General Inputs'!G$19)</f>
        <v>1832.381643788513</v>
      </c>
      <c r="CV27" s="214">
        <f>IF(AND(($E27+$C$1)&gt;CV$4,CV$4&gt;=$C$1),$H27,IF(AND(($D27+$C$1)&gt;CV$4,CV$4&gt;=$C$1),$G27,0))*IF($A27="Residential",'General Inputs'!H$15,'General Inputs'!H$19)</f>
        <v>1859.8673684453406</v>
      </c>
      <c r="CW27" s="214">
        <f>IF(AND(($E27+$C$1)&gt;CW$4,CW$4&gt;=$C$1),$H27,IF(AND(($D27+$C$1)&gt;CW$4,CW$4&gt;=$C$1),$G27,0))*IF($A27="Residential",'General Inputs'!I$15,'General Inputs'!I$19)</f>
        <v>1887.7653789720205</v>
      </c>
      <c r="CX27" s="214">
        <f>IF(AND(($E27+$C$1)&gt;CX$4,CX$4&gt;=$C$1),$H27,IF(AND(($D27+$C$1)&gt;CX$4,CX$4&gt;=$C$1),$G27,0))*IF($A27="Residential",'General Inputs'!J$15,'General Inputs'!J$19)</f>
        <v>0</v>
      </c>
      <c r="CY27" s="214">
        <f>IF(AND(($E27+$C$1)&gt;CY$4,CY$4&gt;=$C$1),$H27,IF(AND(($D27+$C$1)&gt;CY$4,CY$4&gt;=$C$1),$G27,0))*IF($A27="Residential",'General Inputs'!K$15,'General Inputs'!K$19)</f>
        <v>0</v>
      </c>
      <c r="CZ27" s="214">
        <f>IF(AND(($E27+$C$1)&gt;CZ$4,CZ$4&gt;=$C$1),$H27,IF(AND(($D27+$C$1)&gt;CZ$4,CZ$4&gt;=$C$1),$G27,0))*IF($A27="Residential",'General Inputs'!L$15,'General Inputs'!L$19)</f>
        <v>0</v>
      </c>
      <c r="DA27" s="214">
        <f>IF(AND(($E27+$C$1)&gt;DA$4,DA$4&gt;=$C$1),$H27,IF(AND(($D27+$C$1)&gt;DA$4,DA$4&gt;=$C$1),$G27,0))*IF($A27="Residential",'General Inputs'!M$15,'General Inputs'!M$19)</f>
        <v>0</v>
      </c>
      <c r="DB27" s="214">
        <f>IF(AND(($E27+$C$1)&gt;DB$4,DB$4&gt;=$C$1),$H27,IF(AND(($D27+$C$1)&gt;DB$4,DB$4&gt;=$C$1),$G27,0))*IF($A27="Residential",'General Inputs'!N$15,'General Inputs'!N$19)</f>
        <v>0</v>
      </c>
      <c r="DC27" s="214">
        <f>IF(AND(($E27+$C$1)&gt;DC$4,DC$4&gt;=$C$1),$H27,IF(AND(($D27+$C$1)&gt;DC$4,DC$4&gt;=$C$1),$G27,0))*IF($A27="Residential",'General Inputs'!O$15,'General Inputs'!O$19)</f>
        <v>0</v>
      </c>
      <c r="DD27" s="214">
        <f>IF(AND(($E27+$C$1)&gt;DD$4,DD$4&gt;=$C$1),$H27,IF(AND(($D27+$C$1)&gt;DD$4,DD$4&gt;=$C$1),$G27,0))*IF($A27="Residential",'General Inputs'!P$15,'General Inputs'!P$19)</f>
        <v>0</v>
      </c>
      <c r="DE27" s="214">
        <f>IF(AND(($E27+$C$1)&gt;DE$4,DE$4&gt;=$C$1),$H27,IF(AND(($D27+$C$1)&gt;DE$4,DE$4&gt;=$C$1),$G27,0))*IF($A27="Residential",'General Inputs'!Q$15,'General Inputs'!Q$19)</f>
        <v>0</v>
      </c>
      <c r="DF27" s="214">
        <f>IF(AND(($E27+$C$1)&gt;DF$4,DF$4&gt;=$C$1),$H27,IF(AND(($D27+$C$1)&gt;DF$4,DF$4&gt;=$C$1),$G27,0))*IF($A27="Residential",'General Inputs'!R$15,'General Inputs'!R$19)</f>
        <v>0</v>
      </c>
      <c r="DG27" s="214">
        <f>IF(AND(($E27+$C$1)&gt;DG$4,DG$4&gt;=$C$1),$H27,IF(AND(($D27+$C$1)&gt;DG$4,DG$4&gt;=$C$1),$G27,0))*IF($A27="Residential",'General Inputs'!S$15,'General Inputs'!S$19)</f>
        <v>0</v>
      </c>
      <c r="DH27" s="214">
        <f>IF(AND(($E27+$C$1)&gt;DH$4,DH$4&gt;=$C$1),$H27,IF(AND(($D27+$C$1)&gt;DH$4,DH$4&gt;=$C$1),$G27,0))*IF($A27="Residential",'General Inputs'!T$15,'General Inputs'!T$19)</f>
        <v>0</v>
      </c>
      <c r="DI27" s="214">
        <f>IF(AND(($E27+$C$1)&gt;DI$4,DI$4&gt;=$C$1),$H27,IF(AND(($D27+$C$1)&gt;DI$4,DI$4&gt;=$C$1),$G27,0))*IF($A27="Residential",'General Inputs'!U$15,'General Inputs'!U$19)</f>
        <v>0</v>
      </c>
      <c r="DJ27" s="214">
        <f>IF(AND(($E27+$C$1)&gt;DJ$4,DJ$4&gt;=$C$1),$H27,IF(AND(($D27+$C$1)&gt;DJ$4,DJ$4&gt;=$C$1),$G27,0))*IF($A27="Residential",'General Inputs'!V$15,'General Inputs'!V$19)</f>
        <v>0</v>
      </c>
      <c r="DK27" s="214">
        <f>IF(AND(($E27+$C$1)&gt;DK$4,DK$4&gt;=$C$1),$H27,IF(AND(($D27+$C$1)&gt;DK$4,DK$4&gt;=$C$1),$G27,0))*IF($A27="Residential",'General Inputs'!W$15,'General Inputs'!W$19)</f>
        <v>0</v>
      </c>
      <c r="DM27" s="214">
        <f t="shared" si="47"/>
        <v>0</v>
      </c>
      <c r="DN27" s="214">
        <f t="shared" si="27"/>
        <v>0</v>
      </c>
      <c r="DO27" s="214">
        <f t="shared" si="27"/>
        <v>0</v>
      </c>
      <c r="DP27" s="214">
        <f t="shared" si="27"/>
        <v>0</v>
      </c>
      <c r="DQ27" s="214">
        <f t="shared" si="27"/>
        <v>0</v>
      </c>
      <c r="DR27" s="214">
        <f t="shared" si="27"/>
        <v>0</v>
      </c>
      <c r="DS27" s="214">
        <f t="shared" si="27"/>
        <v>0</v>
      </c>
      <c r="DT27" s="214">
        <f t="shared" si="27"/>
        <v>0</v>
      </c>
      <c r="DU27" s="214">
        <f t="shared" si="27"/>
        <v>0</v>
      </c>
      <c r="DV27" s="214">
        <f t="shared" si="27"/>
        <v>0</v>
      </c>
      <c r="DW27" s="214">
        <f t="shared" si="27"/>
        <v>0</v>
      </c>
      <c r="DZ27" s="650"/>
      <c r="FI27" s="195"/>
      <c r="FJ27" s="195"/>
      <c r="FK27" s="195"/>
      <c r="FL27" s="195"/>
      <c r="FM27" s="195"/>
      <c r="FN27" s="195"/>
      <c r="FO27" s="195"/>
    </row>
    <row r="28" spans="1:171">
      <c r="A28" s="342" t="s">
        <v>12</v>
      </c>
      <c r="B28" s="427" t="str">
        <f>'Portfolio Inputs'!A27</f>
        <v>Faucet Aerator - Bathroom</v>
      </c>
      <c r="C28" s="217">
        <f>IF($C$1=2014,'Portfolio Inputs'!$C27,IF($C$1=2015,'Portfolio Inputs'!$D27,'Portfolio Inputs'!$E27))</f>
        <v>125</v>
      </c>
      <c r="D28" s="504">
        <f>VLOOKUP(B28,Sources!$B$4:$J$104,2,FALSE)</f>
        <v>9</v>
      </c>
      <c r="E28" s="504">
        <f>VLOOKUP(B28,Sources!$B$4:$J$104,3,FALSE)</f>
        <v>0</v>
      </c>
      <c r="G28" s="504">
        <f>IF($C$1=2014,'Portfolio Inputs'!$G27,IF($C$1=2015,'Portfolio Inputs'!$H27,'Portfolio Inputs'!$I27))*EnergyLineLoss</f>
        <v>8932.3880283514009</v>
      </c>
      <c r="H28" s="504"/>
      <c r="I28" s="504">
        <f>IF($C$1=2014,'Portfolio Inputs'!$K27,IF($C$1=2015,'Portfolio Inputs'!$L27,'Portfolio Inputs'!$M27))*PeakLineLoss</f>
        <v>0.99752556661792291</v>
      </c>
      <c r="J28" s="510"/>
      <c r="L28" s="606">
        <f>IF($C$1=2014,'Portfolio Inputs'!$O27,IF($C$1=2015,'Portfolio Inputs'!$P27,'Portfolio Inputs'!$Q27))</f>
        <v>0</v>
      </c>
      <c r="M28" s="518">
        <f>VLOOKUP($B28,Sources!$B$4:$K$104,10,FALSE)</f>
        <v>0</v>
      </c>
      <c r="N28" s="419">
        <f>IF($C$1=2014,'Portfolio Inputs'!$W27,IF($C$1=2015,'Portfolio Inputs'!$X27,'Portfolio Inputs'!$Y27))</f>
        <v>0</v>
      </c>
      <c r="O28" s="419"/>
      <c r="Q28" s="438" t="str">
        <f t="shared" si="67"/>
        <v>n/a</v>
      </c>
      <c r="R28" s="439" t="str">
        <f t="shared" si="68"/>
        <v>n/a</v>
      </c>
      <c r="S28" s="439" t="str">
        <f t="shared" si="69"/>
        <v>n/a</v>
      </c>
      <c r="T28" s="439" t="str">
        <f t="shared" si="70"/>
        <v>n/a</v>
      </c>
      <c r="U28" s="439" t="str">
        <f t="shared" si="71"/>
        <v>n/a</v>
      </c>
      <c r="V28" s="439">
        <f t="shared" si="72"/>
        <v>0.30905450255113226</v>
      </c>
      <c r="W28" s="439">
        <f t="shared" si="73"/>
        <v>0.3799033276204869</v>
      </c>
      <c r="Y28" s="215">
        <f t="shared" si="4"/>
        <v>2390.6564593228368</v>
      </c>
      <c r="Z28" s="215">
        <f t="shared" si="5"/>
        <v>614.48248212749047</v>
      </c>
      <c r="AA28" s="215">
        <f t="shared" si="6"/>
        <v>7735.3878995091136</v>
      </c>
      <c r="AB28" s="215">
        <f t="shared" si="7"/>
        <v>6292.8021038842744</v>
      </c>
      <c r="AC28" s="216">
        <f t="shared" si="20"/>
        <v>0</v>
      </c>
      <c r="AD28" s="216">
        <f t="shared" si="21"/>
        <v>0</v>
      </c>
      <c r="AE28" s="215">
        <f t="shared" si="8"/>
        <v>0</v>
      </c>
      <c r="AG28" s="214">
        <f>IF(AND(($E28+$C$1)&gt;AG$4,AG$4&gt;=$C$1),'General Inputs'!D$9*$H28,IF(AND(($D28+$C$1)&gt;AG$4,AG$4&gt;=$C$1),'General Inputs'!D$9*$G28,0))+IF(AND(($E28+$C$1)&gt;AG$4,AG$4&gt;=$C$1),'General Inputs'!D$10*$J28,IF(AND(($D28+$C$1)&gt;AG$4,AG$4&gt;=$C$1),'General Inputs'!D$10*$I28,0))</f>
        <v>0</v>
      </c>
      <c r="AH28" s="214">
        <f>IF(AND(($E28+$C$1)&gt;AH$4,AH$4&gt;=$C$1),'General Inputs'!E$9*$H28,IF(AND(($D28+$C$1)&gt;AH$4,AH$4&gt;=$C$1),'General Inputs'!E$9*$G28,0))+IF(AND(($E28+$C$1)&gt;AH$4,AH$4&gt;=$C$1),'General Inputs'!E$10*$J28,IF(AND(($D28+$C$1)&gt;AH$4,AH$4&gt;=$C$1),'General Inputs'!E$10*$I28,0))</f>
        <v>376.1139613888999</v>
      </c>
      <c r="AI28" s="214">
        <f>IF(AND(($E28+$C$1)&gt;AI$4,AI$4&gt;=$C$1),'General Inputs'!F$9*$H28,IF(AND(($D28+$C$1)&gt;AI$4,AI$4&gt;=$C$1),'General Inputs'!F$9*$G28,0))+IF(AND(($E28+$C$1)&gt;AI$4,AI$4&gt;=$C$1),'General Inputs'!F$10*$J28,IF(AND(($D28+$C$1)&gt;AI$4,AI$4&gt;=$C$1),'General Inputs'!F$10*$I28,0))</f>
        <v>381.75567080973337</v>
      </c>
      <c r="AJ28" s="214">
        <f>IF(AND(($E28+$C$1)&gt;AJ$4,AJ$4&gt;=$C$1),'General Inputs'!G$9*$H28,IF(AND(($D28+$C$1)&gt;AJ$4,AJ$4&gt;=$C$1),'General Inputs'!G$9*$G28,0))+IF(AND(($E28+$C$1)&gt;AJ$4,AJ$4&gt;=$C$1),'General Inputs'!G$10*$J28,IF(AND(($D28+$C$1)&gt;AJ$4,AJ$4&gt;=$C$1),'General Inputs'!G$10*$I28,0))</f>
        <v>387.48200587187938</v>
      </c>
      <c r="AK28" s="214">
        <f>IF(AND(($E28+$C$1)&gt;AK$4,AK$4&gt;=$C$1),'General Inputs'!H$9*$H28,IF(AND(($D28+$C$1)&gt;AK$4,AK$4&gt;=$C$1),'General Inputs'!H$9*$G28,0))+IF(AND(($E28+$C$1)&gt;AK$4,AK$4&gt;=$C$1),'General Inputs'!H$10*$J28,IF(AND(($D28+$C$1)&gt;AK$4,AK$4&gt;=$C$1),'General Inputs'!H$10*$I28,0))</f>
        <v>393.29423595995752</v>
      </c>
      <c r="AL28" s="214">
        <f>IF(AND(($E28+$C$1)&gt;AL$4,AL$4&gt;=$C$1),'General Inputs'!I$9*$H28,IF(AND(($D28+$C$1)&gt;AL$4,AL$4&gt;=$C$1),'General Inputs'!I$9*$G28,0))+IF(AND(($E28+$C$1)&gt;AL$4,AL$4&gt;=$C$1),'General Inputs'!I$10*$J28,IF(AND(($D28+$C$1)&gt;AL$4,AL$4&gt;=$C$1),'General Inputs'!I$10*$I28,0))</f>
        <v>399.19364949935681</v>
      </c>
      <c r="AM28" s="214">
        <f>IF(AND(($E28+$C$1)&gt;AM$4,AM$4&gt;=$C$1),'General Inputs'!J$9*$H28,IF(AND(($D28+$C$1)&gt;AM$4,AM$4&gt;=$C$1),'General Inputs'!J$9*$G28,0))+IF(AND(($E28+$C$1)&gt;AM$4,AM$4&gt;=$C$1),'General Inputs'!J$10*$J28,IF(AND(($D28+$C$1)&gt;AM$4,AM$4&gt;=$C$1),'General Inputs'!J$10*$I28,0))</f>
        <v>405.1815542418471</v>
      </c>
      <c r="AN28" s="214">
        <f>IF(AND(($E28+$C$1)&gt;AN$4,AN$4&gt;=$C$1),'General Inputs'!K$9*$H28,IF(AND(($D28+$C$1)&gt;AN$4,AN$4&gt;=$C$1),'General Inputs'!K$9*$G28,0))+IF(AND(($E28+$C$1)&gt;AN$4,AN$4&gt;=$C$1),'General Inputs'!K$10*$J28,IF(AND(($D28+$C$1)&gt;AN$4,AN$4&gt;=$C$1),'General Inputs'!K$10*$I28,0))</f>
        <v>411.25927755547474</v>
      </c>
      <c r="AO28" s="214">
        <f>IF(AND(($E28+$C$1)&gt;AO$4,AO$4&gt;=$C$1),'General Inputs'!L$9*$H28,IF(AND(($D28+$C$1)&gt;AO$4,AO$4&gt;=$C$1),'General Inputs'!L$9*$G28,0))+IF(AND(($E28+$C$1)&gt;AO$4,AO$4&gt;=$C$1),'General Inputs'!L$10*$J28,IF(AND(($D28+$C$1)&gt;AO$4,AO$4&gt;=$C$1),'General Inputs'!L$10*$I28,0))</f>
        <v>417.42816671880684</v>
      </c>
      <c r="AP28" s="214">
        <f>IF(AND(($E28+$C$1)&gt;AP$4,AP$4&gt;=$C$1),'General Inputs'!M$9*$H28,IF(AND(($D28+$C$1)&gt;AP$4,AP$4&gt;=$C$1),'General Inputs'!M$9*$G28,0))+IF(AND(($E28+$C$1)&gt;AP$4,AP$4&gt;=$C$1),'General Inputs'!M$10*$J28,IF(AND(($D28+$C$1)&gt;AP$4,AP$4&gt;=$C$1),'General Inputs'!M$10*$I28,0))</f>
        <v>423.68958921958887</v>
      </c>
      <c r="AQ28" s="214">
        <f>IF(AND(($E28+$C$1)&gt;AQ$4,AQ$4&gt;=$C$1),'General Inputs'!N$9*$H28,IF(AND(($D28+$C$1)&gt;AQ$4,AQ$4&gt;=$C$1),'General Inputs'!N$9*$G28,0))+IF(AND(($E28+$C$1)&gt;AQ$4,AQ$4&gt;=$C$1),'General Inputs'!N$10*$J28,IF(AND(($D28+$C$1)&gt;AQ$4,AQ$4&gt;=$C$1),'General Inputs'!N$10*$I28,0))</f>
        <v>0</v>
      </c>
      <c r="AR28" s="214">
        <f>IF(AND(($E28+$C$1)&gt;AR$4,AR$4&gt;=$C$1),'General Inputs'!O$9*$H28,IF(AND(($D28+$C$1)&gt;AR$4,AR$4&gt;=$C$1),'General Inputs'!O$9*$G28,0))+IF(AND(($E28+$C$1)&gt;AR$4,AR$4&gt;=$C$1),'General Inputs'!O$10*$J28,IF(AND(($D28+$C$1)&gt;AR$4,AR$4&gt;=$C$1),'General Inputs'!O$10*$I28,0))</f>
        <v>0</v>
      </c>
      <c r="AS28" s="214">
        <f>IF(AND(($E28+$C$1)&gt;AS$4,AS$4&gt;=$C$1),'General Inputs'!P$9*$H28,IF(AND(($D28+$C$1)&gt;AS$4,AS$4&gt;=$C$1),'General Inputs'!P$9*$G28,0))+IF(AND(($E28+$C$1)&gt;AS$4,AS$4&gt;=$C$1),'General Inputs'!P$10*$J28,IF(AND(($D28+$C$1)&gt;AS$4,AS$4&gt;=$C$1),'General Inputs'!P$10*$I28,0))</f>
        <v>0</v>
      </c>
      <c r="AT28" s="214">
        <f>IF(AND(($E28+$C$1)&gt;AT$4,AT$4&gt;=$C$1),'General Inputs'!Q$9*$H28,IF(AND(($D28+$C$1)&gt;AT$4,AT$4&gt;=$C$1),'General Inputs'!Q$9*$G28,0))+IF(AND(($E28+$C$1)&gt;AT$4,AT$4&gt;=$C$1),'General Inputs'!Q$10*$J28,IF(AND(($D28+$C$1)&gt;AT$4,AT$4&gt;=$C$1),'General Inputs'!Q$10*$I28,0))</f>
        <v>0</v>
      </c>
      <c r="AU28" s="214">
        <f>IF(AND(($E28+$C$1)&gt;AU$4,AU$4&gt;=$C$1),'General Inputs'!R$9*$H28,IF(AND(($D28+$C$1)&gt;AU$4,AU$4&gt;=$C$1),'General Inputs'!R$9*$G28,0))+IF(AND(($E28+$C$1)&gt;AU$4,AU$4&gt;=$C$1),'General Inputs'!R$10*$J28,IF(AND(($D28+$C$1)&gt;AU$4,AU$4&gt;=$C$1),'General Inputs'!R$10*$I28,0))</f>
        <v>0</v>
      </c>
      <c r="AV28" s="214">
        <f>IF(AND(($E28+$C$1)&gt;AV$4,AV$4&gt;=$C$1),'General Inputs'!S$9*$H28,IF(AND(($D28+$C$1)&gt;AV$4,AV$4&gt;=$C$1),'General Inputs'!S$9*$G28,0))+IF(AND(($E28+$C$1)&gt;AV$4,AV$4&gt;=$C$1),'General Inputs'!S$10*$J28,IF(AND(($D28+$C$1)&gt;AV$4,AV$4&gt;=$C$1),'General Inputs'!S$10*$I28,0))</f>
        <v>0</v>
      </c>
      <c r="AW28" s="214">
        <f>IF(AND(($E28+$C$1)&gt;AW$4,AW$4&gt;=$C$1),'General Inputs'!T$9*$H28,IF(AND(($D28+$C$1)&gt;AW$4,AW$4&gt;=$C$1),'General Inputs'!T$9*$G28,0))+IF(AND(($E28+$C$1)&gt;AW$4,AW$4&gt;=$C$1),'General Inputs'!T$10*$J28,IF(AND(($D28+$C$1)&gt;AW$4,AW$4&gt;=$C$1),'General Inputs'!T$10*$I28,0))</f>
        <v>0</v>
      </c>
      <c r="AX28" s="214">
        <f>IF(AND(($E28+$C$1)&gt;AX$4,AX$4&gt;=$C$1),'General Inputs'!U$9*$H28,IF(AND(($D28+$C$1)&gt;AX$4,AX$4&gt;=$C$1),'General Inputs'!U$9*$G28,0))+IF(AND(($E28+$C$1)&gt;AX$4,AX$4&gt;=$C$1),'General Inputs'!U$10*$J28,IF(AND(($D28+$C$1)&gt;AX$4,AX$4&gt;=$C$1),'General Inputs'!U$10*$I28,0))</f>
        <v>0</v>
      </c>
      <c r="AY28" s="214">
        <f>IF(AND(($E28+$C$1)&gt;AY$4,AY$4&gt;=$C$1),'General Inputs'!V$9*$H28,IF(AND(($D28+$C$1)&gt;AY$4,AY$4&gt;=$C$1),'General Inputs'!V$9*$G28,0))+IF(AND(($E28+$C$1)&gt;AY$4,AY$4&gt;=$C$1),'General Inputs'!V$10*$J28,IF(AND(($D28+$C$1)&gt;AY$4,AY$4&gt;=$C$1),'General Inputs'!V$10*$I28,0))</f>
        <v>0</v>
      </c>
      <c r="AZ28" s="214">
        <f>IF(AND(($E28+$C$1)&gt;AZ$4,AZ$4&gt;=$C$1),'General Inputs'!W$9*$H28,IF(AND(($D28+$C$1)&gt;AZ$4,AZ$4&gt;=$C$1),'General Inputs'!W$9*$G28,0))+IF(AND(($E28+$C$1)&gt;AZ$4,AZ$4&gt;=$C$1),'General Inputs'!W$10*$J28,IF(AND(($D28+$C$1)&gt;AZ$4,AZ$4&gt;=$C$1),'General Inputs'!W$10*$I28,0))</f>
        <v>0</v>
      </c>
      <c r="BB28" s="214">
        <f>IF(AND(($E28+$C$1)&gt;BB$4,BB$4&gt;=$C$1),'General Inputs'!D$11*$H28,IF(AND(($D28+$C$1)&gt;BB$4,BB$4&gt;=$C$1),'General Inputs'!D$11*$G28,0))</f>
        <v>0</v>
      </c>
      <c r="BC28" s="214">
        <f>IF(AND(($E28+$C$1)&gt;BC$4,BC$4&gt;=$C$1),'General Inputs'!E$11*$H28,IF(AND(($D28+$C$1)&gt;BC$4,BC$4&gt;=$C$1),'General Inputs'!E$11*$G28,0))</f>
        <v>101.82922352320597</v>
      </c>
      <c r="BD28" s="214">
        <f>IF(AND(($E28+$C$1)&gt;BD$4,BD$4&gt;=$C$1),'General Inputs'!F$11*$H28,IF(AND(($D28+$C$1)&gt;BD$4,BD$4&gt;=$C$1),'General Inputs'!F$11*$G28,0))</f>
        <v>101.82922352320597</v>
      </c>
      <c r="BE28" s="214">
        <f>IF(AND(($E28+$C$1)&gt;BE$4,BE$4&gt;=$C$1),'General Inputs'!G$11*$H28,IF(AND(($D28+$C$1)&gt;BE$4,BE$4&gt;=$C$1),'General Inputs'!G$11*$G28,0))</f>
        <v>101.82922352320597</v>
      </c>
      <c r="BF28" s="214">
        <f>IF(AND(($E28+$C$1)&gt;BF$4,BF$4&gt;=$C$1),'General Inputs'!H$11*$H28,IF(AND(($D28+$C$1)&gt;BF$4,BF$4&gt;=$C$1),'General Inputs'!H$11*$G28,0))</f>
        <v>101.82922352320597</v>
      </c>
      <c r="BG28" s="214">
        <f>IF(AND(($E28+$C$1)&gt;BG$4,BG$4&gt;=$C$1),'General Inputs'!I$11*$H28,IF(AND(($D28+$C$1)&gt;BG$4,BG$4&gt;=$C$1),'General Inputs'!I$11*$G28,0))</f>
        <v>101.82922352320597</v>
      </c>
      <c r="BH28" s="214">
        <f>IF(AND(($E28+$C$1)&gt;BH$4,BH$4&gt;=$C$1),'General Inputs'!J$11*$H28,IF(AND(($D28+$C$1)&gt;BH$4,BH$4&gt;=$C$1),'General Inputs'!J$11*$G28,0))</f>
        <v>101.82922352320597</v>
      </c>
      <c r="BI28" s="214">
        <f>IF(AND(($E28+$C$1)&gt;BI$4,BI$4&gt;=$C$1),'General Inputs'!K$11*$H28,IF(AND(($D28+$C$1)&gt;BI$4,BI$4&gt;=$C$1),'General Inputs'!K$11*$G28,0))</f>
        <v>101.82922352320597</v>
      </c>
      <c r="BJ28" s="214">
        <f>IF(AND(($E28+$C$1)&gt;BJ$4,BJ$4&gt;=$C$1),'General Inputs'!L$11*$H28,IF(AND(($D28+$C$1)&gt;BJ$4,BJ$4&gt;=$C$1),'General Inputs'!L$11*$G28,0))</f>
        <v>101.82922352320597</v>
      </c>
      <c r="BK28" s="214">
        <f>IF(AND(($E28+$C$1)&gt;BK$4,BK$4&gt;=$C$1),'General Inputs'!M$11*$H28,IF(AND(($D28+$C$1)&gt;BK$4,BK$4&gt;=$C$1),'General Inputs'!M$11*$G28,0))</f>
        <v>101.82922352320597</v>
      </c>
      <c r="BL28" s="214">
        <f>IF(AND(($E28+$C$1)&gt;BL$4,BL$4&gt;=$C$1),'General Inputs'!N$11*$H28,IF(AND(($D28+$C$1)&gt;BL$4,BL$4&gt;=$C$1),'General Inputs'!N$11*$G28,0))</f>
        <v>0</v>
      </c>
      <c r="BM28" s="214">
        <f>IF(AND(($E28+$C$1)&gt;BM$4,BM$4&gt;=$C$1),'General Inputs'!O$11*$H28,IF(AND(($D28+$C$1)&gt;BM$4,BM$4&gt;=$C$1),'General Inputs'!O$11*$G28,0))</f>
        <v>0</v>
      </c>
      <c r="BN28" s="214">
        <f>IF(AND(($E28+$C$1)&gt;BN$4,BN$4&gt;=$C$1),'General Inputs'!P$11*$H28,IF(AND(($D28+$C$1)&gt;BN$4,BN$4&gt;=$C$1),'General Inputs'!P$11*$G28,0))</f>
        <v>0</v>
      </c>
      <c r="BO28" s="214">
        <f>IF(AND(($E28+$C$1)&gt;BO$4,BO$4&gt;=$C$1),'General Inputs'!Q$11*$H28,IF(AND(($D28+$C$1)&gt;BO$4,BO$4&gt;=$C$1),'General Inputs'!Q$11*$G28,0))</f>
        <v>0</v>
      </c>
      <c r="BP28" s="214">
        <f>IF(AND(($E28+$C$1)&gt;BP$4,BP$4&gt;=$C$1),'General Inputs'!R$11*$H28,IF(AND(($D28+$C$1)&gt;BP$4,BP$4&gt;=$C$1),'General Inputs'!R$11*$G28,0))</f>
        <v>0</v>
      </c>
      <c r="BQ28" s="214">
        <f>IF(AND(($E28+$C$1)&gt;BQ$4,BQ$4&gt;=$C$1),'General Inputs'!S$11*$H28,IF(AND(($D28+$C$1)&gt;BQ$4,BQ$4&gt;=$C$1),'General Inputs'!S$11*$G28,0))</f>
        <v>0</v>
      </c>
      <c r="BR28" s="214">
        <f>IF(AND(($E28+$C$1)&gt;BR$4,BR$4&gt;=$C$1),'General Inputs'!T$11*$H28,IF(AND(($D28+$C$1)&gt;BR$4,BR$4&gt;=$C$1),'General Inputs'!T$11*$G28,0))</f>
        <v>0</v>
      </c>
      <c r="BS28" s="214">
        <f>IF(AND(($E28+$C$1)&gt;BS$4,BS$4&gt;=$C$1),'General Inputs'!U$11*$H28,IF(AND(($D28+$C$1)&gt;BS$4,BS$4&gt;=$C$1),'General Inputs'!U$11*$G28,0))</f>
        <v>0</v>
      </c>
      <c r="BT28" s="214">
        <f>IF(AND(($E28+$C$1)&gt;BT$4,BT$4&gt;=$C$1),'General Inputs'!V$11*$H28,IF(AND(($D28+$C$1)&gt;BT$4,BT$4&gt;=$C$1),'General Inputs'!V$11*$G28,0))</f>
        <v>0</v>
      </c>
      <c r="BU28" s="214">
        <f>IF(AND(($E28+$C$1)&gt;BU$4,BU$4&gt;=$C$1),'General Inputs'!W$11*$H28,IF(AND(($D28+$C$1)&gt;BU$4,BU$4&gt;=$C$1),'General Inputs'!W$11*$G28,0))</f>
        <v>0</v>
      </c>
      <c r="BW28" s="214">
        <f>IF(AND(($E28+$C$1)&gt;BW$4,BW$4&gt;=$C$1),$H28,IF(AND(($D28+$C$1)&gt;BW$4,BW$4&gt;=$C$1),$G28,0))*IF($A28="Residential",'General Inputs'!D$14,'General Inputs'!D$19)</f>
        <v>0</v>
      </c>
      <c r="BX28" s="214">
        <f>IF(AND(($E28+$C$1)&gt;BX$4,BX$4&gt;=$C$1),$H28,IF(AND(($D28+$C$1)&gt;BX$4,BX$4&gt;=$C$1),$G28,0))*IF($A28="Residential",'General Inputs'!E$14,'General Inputs'!E$19)</f>
        <v>1216.982630196992</v>
      </c>
      <c r="BY28" s="214">
        <f>IF(AND(($E28+$C$1)&gt;BY$4,BY$4&gt;=$C$1),$H28,IF(AND(($D28+$C$1)&gt;BY$4,BY$4&gt;=$C$1),$G28,0))*IF($A28="Residential",'General Inputs'!F$14,'General Inputs'!F$19)</f>
        <v>1235.2373696499467</v>
      </c>
      <c r="BZ28" s="214">
        <f>IF(AND(($E28+$C$1)&gt;BZ$4,BZ$4&gt;=$C$1),$H28,IF(AND(($D28+$C$1)&gt;BZ$4,BZ$4&gt;=$C$1),$G28,0))*IF($A28="Residential",'General Inputs'!G$14,'General Inputs'!G$19)</f>
        <v>1253.7659301946958</v>
      </c>
      <c r="CA28" s="214">
        <f>IF(AND(($E28+$C$1)&gt;CA$4,CA$4&gt;=$C$1),$H28,IF(AND(($D28+$C$1)&gt;CA$4,CA$4&gt;=$C$1),$G28,0))*IF($A28="Residential",'General Inputs'!H$14,'General Inputs'!H$19)</f>
        <v>1272.5724191476161</v>
      </c>
      <c r="CB28" s="214">
        <f>IF(AND(($E28+$C$1)&gt;CB$4,CB$4&gt;=$C$1),$H28,IF(AND(($D28+$C$1)&gt;CB$4,CB$4&gt;=$C$1),$G28,0))*IF($A28="Residential",'General Inputs'!I$14,'General Inputs'!I$19)</f>
        <v>1291.6610054348303</v>
      </c>
      <c r="CC28" s="214">
        <f>IF(AND(($E28+$C$1)&gt;CC$4,CC$4&gt;=$C$1),$H28,IF(AND(($D28+$C$1)&gt;CC$4,CC$4&gt;=$C$1),$G28,0))*IF($A28="Residential",'General Inputs'!J$14,'General Inputs'!J$19)</f>
        <v>1311.0359205163525</v>
      </c>
      <c r="CD28" s="214">
        <f>IF(AND(($E28+$C$1)&gt;CD$4,CD$4&gt;=$C$1),$H28,IF(AND(($D28+$C$1)&gt;CD$4,CD$4&gt;=$C$1),$G28,0))*IF($A28="Residential",'General Inputs'!K$14,'General Inputs'!K$19)</f>
        <v>1330.7014593240974</v>
      </c>
      <c r="CE28" s="214">
        <f>IF(AND(($E28+$C$1)&gt;CE$4,CE$4&gt;=$C$1),$H28,IF(AND(($D28+$C$1)&gt;CE$4,CE$4&gt;=$C$1),$G28,0))*IF($A28="Residential",'General Inputs'!L$14,'General Inputs'!L$19)</f>
        <v>1350.6619812139588</v>
      </c>
      <c r="CF28" s="214">
        <f>IF(AND(($E28+$C$1)&gt;CF$4,CF$4&gt;=$C$1),$H28,IF(AND(($D28+$C$1)&gt;CF$4,CF$4&gt;=$C$1),$G28,0))*IF($A28="Residential",'General Inputs'!M$14,'General Inputs'!M$19)</f>
        <v>1370.921910932168</v>
      </c>
      <c r="CG28" s="214">
        <f>IF(AND(($E28+$C$1)&gt;CG$4,CG$4&gt;=$C$1),$H28,IF(AND(($D28+$C$1)&gt;CG$4,CG$4&gt;=$C$1),$G28,0))*IF($A28="Residential",'General Inputs'!N$14,'General Inputs'!N$19)</f>
        <v>0</v>
      </c>
      <c r="CH28" s="214">
        <f>IF(AND(($E28+$C$1)&gt;CH$4,CH$4&gt;=$C$1),$H28,IF(AND(($D28+$C$1)&gt;CH$4,CH$4&gt;=$C$1),$G28,0))*IF($A28="Residential",'General Inputs'!O$14,'General Inputs'!O$19)</f>
        <v>0</v>
      </c>
      <c r="CI28" s="214">
        <f>IF(AND(($E28+$C$1)&gt;CI$4,CI$4&gt;=$C$1),$H28,IF(AND(($D28+$C$1)&gt;CI$4,CI$4&gt;=$C$1),$G28,0))*IF($A28="Residential",'General Inputs'!P$14,'General Inputs'!P$19)</f>
        <v>0</v>
      </c>
      <c r="CJ28" s="214">
        <f>IF(AND(($E28+$C$1)&gt;CJ$4,CJ$4&gt;=$C$1),$H28,IF(AND(($D28+$C$1)&gt;CJ$4,CJ$4&gt;=$C$1),$G28,0))*IF($A28="Residential",'General Inputs'!Q$14,'General Inputs'!Q$19)</f>
        <v>0</v>
      </c>
      <c r="CK28" s="214">
        <f>IF(AND(($E28+$C$1)&gt;CK$4,CK$4&gt;=$C$1),$H28,IF(AND(($D28+$C$1)&gt;CK$4,CK$4&gt;=$C$1),$G28,0))*IF($A28="Residential",'General Inputs'!R$14,'General Inputs'!R$19)</f>
        <v>0</v>
      </c>
      <c r="CL28" s="214">
        <f>IF(AND(($E28+$C$1)&gt;CL$4,CL$4&gt;=$C$1),$H28,IF(AND(($D28+$C$1)&gt;CL$4,CL$4&gt;=$C$1),$G28,0))*IF($A28="Residential",'General Inputs'!S$14,'General Inputs'!S$19)</f>
        <v>0</v>
      </c>
      <c r="CM28" s="214">
        <f>IF(AND(($E28+$C$1)&gt;CM$4,CM$4&gt;=$C$1),$H28,IF(AND(($D28+$C$1)&gt;CM$4,CM$4&gt;=$C$1),$G28,0))*IF($A28="Residential",'General Inputs'!T$14,'General Inputs'!T$19)</f>
        <v>0</v>
      </c>
      <c r="CN28" s="214">
        <f>IF(AND(($E28+$C$1)&gt;CN$4,CN$4&gt;=$C$1),$H28,IF(AND(($D28+$C$1)&gt;CN$4,CN$4&gt;=$C$1),$G28,0))*IF($A28="Residential",'General Inputs'!U$14,'General Inputs'!U$19)</f>
        <v>0</v>
      </c>
      <c r="CO28" s="214">
        <f>IF(AND(($E28+$C$1)&gt;CO$4,CO$4&gt;=$C$1),$H28,IF(AND(($D28+$C$1)&gt;CO$4,CO$4&gt;=$C$1),$G28,0))*IF($A28="Residential",'General Inputs'!V$14,'General Inputs'!V$19)</f>
        <v>0</v>
      </c>
      <c r="CP28" s="214">
        <f>IF(AND(($E28+$C$1)&gt;CP$4,CP$4&gt;=$C$1),$H28,IF(AND(($D28+$C$1)&gt;CP$4,CP$4&gt;=$C$1),$G28,0))*IF($A28="Residential",'General Inputs'!W$14,'General Inputs'!W$19)</f>
        <v>0</v>
      </c>
      <c r="CR28" s="214">
        <f>IF(AND(($E28+$C$1)&gt;CR$4,CR$4&gt;=$C$1),$H28,IF(AND(($D28+$C$1)&gt;CR$4,CR$4&gt;=$C$1),$G28,0))*IF($A28="Residential",'General Inputs'!D$15,'General Inputs'!D$19)</f>
        <v>0</v>
      </c>
      <c r="CS28" s="214">
        <f>IF(AND(($E28+$C$1)&gt;CS$4,CS$4&gt;=$C$1),$H28,IF(AND(($D28+$C$1)&gt;CS$4,CS$4&gt;=$C$1),$G28,0))*IF($A28="Residential",'General Inputs'!E$15,'General Inputs'!E$19)</f>
        <v>990.0254460646039</v>
      </c>
      <c r="CT28" s="214">
        <f>IF(AND(($E28+$C$1)&gt;CT$4,CT$4&gt;=$C$1),$H28,IF(AND(($D28+$C$1)&gt;CT$4,CT$4&gt;=$C$1),$G28,0))*IF($A28="Residential",'General Inputs'!F$15,'General Inputs'!F$19)</f>
        <v>1004.8758277555729</v>
      </c>
      <c r="CU28" s="214">
        <f>IF(AND(($E28+$C$1)&gt;CU$4,CU$4&gt;=$C$1),$H28,IF(AND(($D28+$C$1)&gt;CU$4,CU$4&gt;=$C$1),$G28,0))*IF($A28="Residential",'General Inputs'!G$15,'General Inputs'!G$19)</f>
        <v>1019.9489651719064</v>
      </c>
      <c r="CV28" s="214">
        <f>IF(AND(($E28+$C$1)&gt;CV$4,CV$4&gt;=$C$1),$H28,IF(AND(($D28+$C$1)&gt;CV$4,CV$4&gt;=$C$1),$G28,0))*IF($A28="Residential",'General Inputs'!H$15,'General Inputs'!H$19)</f>
        <v>1035.2481996494848</v>
      </c>
      <c r="CW28" s="214">
        <f>IF(AND(($E28+$C$1)&gt;CW$4,CW$4&gt;=$C$1),$H28,IF(AND(($D28+$C$1)&gt;CW$4,CW$4&gt;=$C$1),$G28,0))*IF($A28="Residential",'General Inputs'!I$15,'General Inputs'!I$19)</f>
        <v>1050.7769226442272</v>
      </c>
      <c r="CX28" s="214">
        <f>IF(AND(($E28+$C$1)&gt;CX$4,CX$4&gt;=$C$1),$H28,IF(AND(($D28+$C$1)&gt;CX$4,CX$4&gt;=$C$1),$G28,0))*IF($A28="Residential",'General Inputs'!J$15,'General Inputs'!J$19)</f>
        <v>1066.5385764838904</v>
      </c>
      <c r="CY28" s="214">
        <f>IF(AND(($E28+$C$1)&gt;CY$4,CY$4&gt;=$C$1),$H28,IF(AND(($D28+$C$1)&gt;CY$4,CY$4&gt;=$C$1),$G28,0))*IF($A28="Residential",'General Inputs'!K$15,'General Inputs'!K$19)</f>
        <v>1082.5366551311486</v>
      </c>
      <c r="CZ28" s="214">
        <f>IF(AND(($E28+$C$1)&gt;CZ$4,CZ$4&gt;=$C$1),$H28,IF(AND(($D28+$C$1)&gt;CZ$4,CZ$4&gt;=$C$1),$G28,0))*IF($A28="Residential",'General Inputs'!L$15,'General Inputs'!L$19)</f>
        <v>1098.7747049581158</v>
      </c>
      <c r="DA28" s="214">
        <f>IF(AND(($E28+$C$1)&gt;DA$4,DA$4&gt;=$C$1),$H28,IF(AND(($D28+$C$1)&gt;DA$4,DA$4&gt;=$C$1),$G28,0))*IF($A28="Residential",'General Inputs'!M$15,'General Inputs'!M$19)</f>
        <v>1115.2563255324874</v>
      </c>
      <c r="DB28" s="214">
        <f>IF(AND(($E28+$C$1)&gt;DB$4,DB$4&gt;=$C$1),$H28,IF(AND(($D28+$C$1)&gt;DB$4,DB$4&gt;=$C$1),$G28,0))*IF($A28="Residential",'General Inputs'!N$15,'General Inputs'!N$19)</f>
        <v>0</v>
      </c>
      <c r="DC28" s="214">
        <f>IF(AND(($E28+$C$1)&gt;DC$4,DC$4&gt;=$C$1),$H28,IF(AND(($D28+$C$1)&gt;DC$4,DC$4&gt;=$C$1),$G28,0))*IF($A28="Residential",'General Inputs'!O$15,'General Inputs'!O$19)</f>
        <v>0</v>
      </c>
      <c r="DD28" s="214">
        <f>IF(AND(($E28+$C$1)&gt;DD$4,DD$4&gt;=$C$1),$H28,IF(AND(($D28+$C$1)&gt;DD$4,DD$4&gt;=$C$1),$G28,0))*IF($A28="Residential",'General Inputs'!P$15,'General Inputs'!P$19)</f>
        <v>0</v>
      </c>
      <c r="DE28" s="214">
        <f>IF(AND(($E28+$C$1)&gt;DE$4,DE$4&gt;=$C$1),$H28,IF(AND(($D28+$C$1)&gt;DE$4,DE$4&gt;=$C$1),$G28,0))*IF($A28="Residential",'General Inputs'!Q$15,'General Inputs'!Q$19)</f>
        <v>0</v>
      </c>
      <c r="DF28" s="214">
        <f>IF(AND(($E28+$C$1)&gt;DF$4,DF$4&gt;=$C$1),$H28,IF(AND(($D28+$C$1)&gt;DF$4,DF$4&gt;=$C$1),$G28,0))*IF($A28="Residential",'General Inputs'!R$15,'General Inputs'!R$19)</f>
        <v>0</v>
      </c>
      <c r="DG28" s="214">
        <f>IF(AND(($E28+$C$1)&gt;DG$4,DG$4&gt;=$C$1),$H28,IF(AND(($D28+$C$1)&gt;DG$4,DG$4&gt;=$C$1),$G28,0))*IF($A28="Residential",'General Inputs'!S$15,'General Inputs'!S$19)</f>
        <v>0</v>
      </c>
      <c r="DH28" s="214">
        <f>IF(AND(($E28+$C$1)&gt;DH$4,DH$4&gt;=$C$1),$H28,IF(AND(($D28+$C$1)&gt;DH$4,DH$4&gt;=$C$1),$G28,0))*IF($A28="Residential",'General Inputs'!T$15,'General Inputs'!T$19)</f>
        <v>0</v>
      </c>
      <c r="DI28" s="214">
        <f>IF(AND(($E28+$C$1)&gt;DI$4,DI$4&gt;=$C$1),$H28,IF(AND(($D28+$C$1)&gt;DI$4,DI$4&gt;=$C$1),$G28,0))*IF($A28="Residential",'General Inputs'!U$15,'General Inputs'!U$19)</f>
        <v>0</v>
      </c>
      <c r="DJ28" s="214">
        <f>IF(AND(($E28+$C$1)&gt;DJ$4,DJ$4&gt;=$C$1),$H28,IF(AND(($D28+$C$1)&gt;DJ$4,DJ$4&gt;=$C$1),$G28,0))*IF($A28="Residential",'General Inputs'!V$15,'General Inputs'!V$19)</f>
        <v>0</v>
      </c>
      <c r="DK28" s="214">
        <f>IF(AND(($E28+$C$1)&gt;DK$4,DK$4&gt;=$C$1),$H28,IF(AND(($D28+$C$1)&gt;DK$4,DK$4&gt;=$C$1),$G28,0))*IF($A28="Residential",'General Inputs'!W$15,'General Inputs'!W$19)</f>
        <v>0</v>
      </c>
      <c r="DM28" s="214">
        <f t="shared" si="47"/>
        <v>0</v>
      </c>
      <c r="DN28" s="214">
        <f t="shared" si="27"/>
        <v>0</v>
      </c>
      <c r="DO28" s="214">
        <f t="shared" si="27"/>
        <v>0</v>
      </c>
      <c r="DP28" s="214">
        <f t="shared" si="27"/>
        <v>0</v>
      </c>
      <c r="DQ28" s="214">
        <f t="shared" si="27"/>
        <v>0</v>
      </c>
      <c r="DR28" s="214">
        <f t="shared" si="27"/>
        <v>0</v>
      </c>
      <c r="DS28" s="214">
        <f t="shared" si="27"/>
        <v>0</v>
      </c>
      <c r="DT28" s="214">
        <f t="shared" si="27"/>
        <v>0</v>
      </c>
      <c r="DU28" s="214">
        <f t="shared" si="27"/>
        <v>0</v>
      </c>
      <c r="DV28" s="214">
        <f t="shared" si="27"/>
        <v>0</v>
      </c>
      <c r="DW28" s="214">
        <f t="shared" si="27"/>
        <v>0</v>
      </c>
      <c r="DZ28" s="650"/>
      <c r="FI28" s="195"/>
      <c r="FJ28" s="195"/>
      <c r="FK28" s="195"/>
      <c r="FL28" s="195"/>
      <c r="FM28" s="195"/>
      <c r="FN28" s="195"/>
      <c r="FO28" s="195"/>
    </row>
    <row r="29" spans="1:171">
      <c r="A29" s="342" t="s">
        <v>12</v>
      </c>
      <c r="B29" s="427" t="str">
        <f>'Portfolio Inputs'!A28</f>
        <v>Low Flow Showerhead</v>
      </c>
      <c r="C29" s="217">
        <f>IF($C$1=2014,'Portfolio Inputs'!$C28,IF($C$1=2015,'Portfolio Inputs'!$D28,'Portfolio Inputs'!$E28))</f>
        <v>125</v>
      </c>
      <c r="D29" s="504">
        <f>VLOOKUP(B29,Sources!$B$4:$J$104,2,FALSE)</f>
        <v>10</v>
      </c>
      <c r="E29" s="504">
        <f>VLOOKUP(B29,Sources!$B$4:$J$104,3,FALSE)</f>
        <v>0</v>
      </c>
      <c r="G29" s="504">
        <f>IF($C$1=2014,'Portfolio Inputs'!$G28,IF($C$1=2015,'Portfolio Inputs'!$H28,'Portfolio Inputs'!$I28))*EnergyLineLoss</f>
        <v>18683.564382363922</v>
      </c>
      <c r="H29" s="504"/>
      <c r="I29" s="504">
        <f>IF($C$1=2014,'Portfolio Inputs'!$K28,IF($C$1=2015,'Portfolio Inputs'!$L28,'Portfolio Inputs'!$M28))*PeakLineLoss</f>
        <v>1.3668502363939921</v>
      </c>
      <c r="J29" s="510"/>
      <c r="L29" s="606">
        <f>IF($C$1=2014,'Portfolio Inputs'!$O28,IF($C$1=2015,'Portfolio Inputs'!$P28,'Portfolio Inputs'!$Q28))</f>
        <v>0</v>
      </c>
      <c r="M29" s="518">
        <f>VLOOKUP($B29,Sources!$B$4:$K$104,10,FALSE)</f>
        <v>0</v>
      </c>
      <c r="N29" s="419">
        <f>IF($C$1=2014,'Portfolio Inputs'!$W28,IF($C$1=2015,'Portfolio Inputs'!$X28,'Portfolio Inputs'!$Y28))</f>
        <v>0</v>
      </c>
      <c r="O29" s="419"/>
      <c r="Q29" s="438" t="str">
        <f t="shared" si="67"/>
        <v>n/a</v>
      </c>
      <c r="R29" s="439" t="str">
        <f t="shared" si="68"/>
        <v>n/a</v>
      </c>
      <c r="S29" s="439" t="str">
        <f t="shared" si="69"/>
        <v>n/a</v>
      </c>
      <c r="T29" s="439" t="str">
        <f t="shared" si="70"/>
        <v>n/a</v>
      </c>
      <c r="U29" s="439" t="str">
        <f t="shared" si="71"/>
        <v>n/a</v>
      </c>
      <c r="V29" s="439">
        <f t="shared" si="72"/>
        <v>0.30475772010702351</v>
      </c>
      <c r="W29" s="439">
        <f t="shared" si="73"/>
        <v>0.37462153448981356</v>
      </c>
      <c r="Y29" s="215">
        <f t="shared" si="4"/>
        <v>5311.1561224073357</v>
      </c>
      <c r="Z29" s="215">
        <f t="shared" si="5"/>
        <v>1376.5933500105264</v>
      </c>
      <c r="AA29" s="215">
        <f t="shared" si="6"/>
        <v>17427.470321480901</v>
      </c>
      <c r="AB29" s="215">
        <f t="shared" si="7"/>
        <v>14177.391402873965</v>
      </c>
      <c r="AC29" s="216">
        <f t="shared" si="20"/>
        <v>0</v>
      </c>
      <c r="AD29" s="216">
        <f t="shared" si="21"/>
        <v>0</v>
      </c>
      <c r="AE29" s="215">
        <f t="shared" si="8"/>
        <v>0</v>
      </c>
      <c r="AG29" s="214">
        <f>IF(AND(($E29+$C$1)&gt;AG$4,AG$4&gt;=$C$1),'General Inputs'!D$9*$H29,IF(AND(($D29+$C$1)&gt;AG$4,AG$4&gt;=$C$1),'General Inputs'!D$9*$G29,0))+IF(AND(($E29+$C$1)&gt;AG$4,AG$4&gt;=$C$1),'General Inputs'!D$10*$J29,IF(AND(($D29+$C$1)&gt;AG$4,AG$4&gt;=$C$1),'General Inputs'!D$10*$I29,0))</f>
        <v>0</v>
      </c>
      <c r="AH29" s="214">
        <f>IF(AND(($E29+$C$1)&gt;AH$4,AH$4&gt;=$C$1),'General Inputs'!E$9*$H29,IF(AND(($D29+$C$1)&gt;AH$4,AH$4&gt;=$C$1),'General Inputs'!E$9*$G29,0))+IF(AND(($E29+$C$1)&gt;AH$4,AH$4&gt;=$C$1),'General Inputs'!E$10*$J29,IF(AND(($D29+$C$1)&gt;AH$4,AH$4&gt;=$C$1),'General Inputs'!E$10*$I29,0))</f>
        <v>775.76690408469756</v>
      </c>
      <c r="AI29" s="214">
        <f>IF(AND(($E29+$C$1)&gt;AI$4,AI$4&gt;=$C$1),'General Inputs'!F$9*$H29,IF(AND(($D29+$C$1)&gt;AI$4,AI$4&gt;=$C$1),'General Inputs'!F$9*$G29,0))+IF(AND(($E29+$C$1)&gt;AI$4,AI$4&gt;=$C$1),'General Inputs'!F$10*$J29,IF(AND(($D29+$C$1)&gt;AI$4,AI$4&gt;=$C$1),'General Inputs'!F$10*$I29,0))</f>
        <v>787.40340764596795</v>
      </c>
      <c r="AJ29" s="214">
        <f>IF(AND(($E29+$C$1)&gt;AJ$4,AJ$4&gt;=$C$1),'General Inputs'!G$9*$H29,IF(AND(($D29+$C$1)&gt;AJ$4,AJ$4&gt;=$C$1),'General Inputs'!G$9*$G29,0))+IF(AND(($E29+$C$1)&gt;AJ$4,AJ$4&gt;=$C$1),'General Inputs'!G$10*$J29,IF(AND(($D29+$C$1)&gt;AJ$4,AJ$4&gt;=$C$1),'General Inputs'!G$10*$I29,0))</f>
        <v>799.21445876065752</v>
      </c>
      <c r="AK29" s="214">
        <f>IF(AND(($E29+$C$1)&gt;AK$4,AK$4&gt;=$C$1),'General Inputs'!H$9*$H29,IF(AND(($D29+$C$1)&gt;AK$4,AK$4&gt;=$C$1),'General Inputs'!H$9*$G29,0))+IF(AND(($E29+$C$1)&gt;AK$4,AK$4&gt;=$C$1),'General Inputs'!H$10*$J29,IF(AND(($D29+$C$1)&gt;AK$4,AK$4&gt;=$C$1),'General Inputs'!H$10*$I29,0))</f>
        <v>811.20267564206711</v>
      </c>
      <c r="AL29" s="214">
        <f>IF(AND(($E29+$C$1)&gt;AL$4,AL$4&gt;=$C$1),'General Inputs'!I$9*$H29,IF(AND(($D29+$C$1)&gt;AL$4,AL$4&gt;=$C$1),'General Inputs'!I$9*$G29,0))+IF(AND(($E29+$C$1)&gt;AL$4,AL$4&gt;=$C$1),'General Inputs'!I$10*$J29,IF(AND(($D29+$C$1)&gt;AL$4,AL$4&gt;=$C$1),'General Inputs'!I$10*$I29,0))</f>
        <v>823.37071577669803</v>
      </c>
      <c r="AM29" s="214">
        <f>IF(AND(($E29+$C$1)&gt;AM$4,AM$4&gt;=$C$1),'General Inputs'!J$9*$H29,IF(AND(($D29+$C$1)&gt;AM$4,AM$4&gt;=$C$1),'General Inputs'!J$9*$G29,0))+IF(AND(($E29+$C$1)&gt;AM$4,AM$4&gt;=$C$1),'General Inputs'!J$10*$J29,IF(AND(($D29+$C$1)&gt;AM$4,AM$4&gt;=$C$1),'General Inputs'!J$10*$I29,0))</f>
        <v>835.72127651334836</v>
      </c>
      <c r="AN29" s="214">
        <f>IF(AND(($E29+$C$1)&gt;AN$4,AN$4&gt;=$C$1),'General Inputs'!K$9*$H29,IF(AND(($D29+$C$1)&gt;AN$4,AN$4&gt;=$C$1),'General Inputs'!K$9*$G29,0))+IF(AND(($E29+$C$1)&gt;AN$4,AN$4&gt;=$C$1),'General Inputs'!K$10*$J29,IF(AND(($D29+$C$1)&gt;AN$4,AN$4&gt;=$C$1),'General Inputs'!K$10*$I29,0))</f>
        <v>848.25709566104842</v>
      </c>
      <c r="AO29" s="214">
        <f>IF(AND(($E29+$C$1)&gt;AO$4,AO$4&gt;=$C$1),'General Inputs'!L$9*$H29,IF(AND(($D29+$C$1)&gt;AO$4,AO$4&gt;=$C$1),'General Inputs'!L$9*$G29,0))+IF(AND(($E29+$C$1)&gt;AO$4,AO$4&gt;=$C$1),'General Inputs'!L$10*$J29,IF(AND(($D29+$C$1)&gt;AO$4,AO$4&gt;=$C$1),'General Inputs'!L$10*$I29,0))</f>
        <v>860.9809520959642</v>
      </c>
      <c r="AP29" s="214">
        <f>IF(AND(($E29+$C$1)&gt;AP$4,AP$4&gt;=$C$1),'General Inputs'!M$9*$H29,IF(AND(($D29+$C$1)&gt;AP$4,AP$4&gt;=$C$1),'General Inputs'!M$9*$G29,0))+IF(AND(($E29+$C$1)&gt;AP$4,AP$4&gt;=$C$1),'General Inputs'!M$10*$J29,IF(AND(($D29+$C$1)&gt;AP$4,AP$4&gt;=$C$1),'General Inputs'!M$10*$I29,0))</f>
        <v>873.89566637740347</v>
      </c>
      <c r="AQ29" s="214">
        <f>IF(AND(($E29+$C$1)&gt;AQ$4,AQ$4&gt;=$C$1),'General Inputs'!N$9*$H29,IF(AND(($D29+$C$1)&gt;AQ$4,AQ$4&gt;=$C$1),'General Inputs'!N$9*$G29,0))+IF(AND(($E29+$C$1)&gt;AQ$4,AQ$4&gt;=$C$1),'General Inputs'!N$10*$J29,IF(AND(($D29+$C$1)&gt;AQ$4,AQ$4&gt;=$C$1),'General Inputs'!N$10*$I29,0))</f>
        <v>887.00410137306449</v>
      </c>
      <c r="AR29" s="214">
        <f>IF(AND(($E29+$C$1)&gt;AR$4,AR$4&gt;=$C$1),'General Inputs'!O$9*$H29,IF(AND(($D29+$C$1)&gt;AR$4,AR$4&gt;=$C$1),'General Inputs'!O$9*$G29,0))+IF(AND(($E29+$C$1)&gt;AR$4,AR$4&gt;=$C$1),'General Inputs'!O$10*$J29,IF(AND(($D29+$C$1)&gt;AR$4,AR$4&gt;=$C$1),'General Inputs'!O$10*$I29,0))</f>
        <v>0</v>
      </c>
      <c r="AS29" s="214">
        <f>IF(AND(($E29+$C$1)&gt;AS$4,AS$4&gt;=$C$1),'General Inputs'!P$9*$H29,IF(AND(($D29+$C$1)&gt;AS$4,AS$4&gt;=$C$1),'General Inputs'!P$9*$G29,0))+IF(AND(($E29+$C$1)&gt;AS$4,AS$4&gt;=$C$1),'General Inputs'!P$10*$J29,IF(AND(($D29+$C$1)&gt;AS$4,AS$4&gt;=$C$1),'General Inputs'!P$10*$I29,0))</f>
        <v>0</v>
      </c>
      <c r="AT29" s="214">
        <f>IF(AND(($E29+$C$1)&gt;AT$4,AT$4&gt;=$C$1),'General Inputs'!Q$9*$H29,IF(AND(($D29+$C$1)&gt;AT$4,AT$4&gt;=$C$1),'General Inputs'!Q$9*$G29,0))+IF(AND(($E29+$C$1)&gt;AT$4,AT$4&gt;=$C$1),'General Inputs'!Q$10*$J29,IF(AND(($D29+$C$1)&gt;AT$4,AT$4&gt;=$C$1),'General Inputs'!Q$10*$I29,0))</f>
        <v>0</v>
      </c>
      <c r="AU29" s="214">
        <f>IF(AND(($E29+$C$1)&gt;AU$4,AU$4&gt;=$C$1),'General Inputs'!R$9*$H29,IF(AND(($D29+$C$1)&gt;AU$4,AU$4&gt;=$C$1),'General Inputs'!R$9*$G29,0))+IF(AND(($E29+$C$1)&gt;AU$4,AU$4&gt;=$C$1),'General Inputs'!R$10*$J29,IF(AND(($D29+$C$1)&gt;AU$4,AU$4&gt;=$C$1),'General Inputs'!R$10*$I29,0))</f>
        <v>0</v>
      </c>
      <c r="AV29" s="214">
        <f>IF(AND(($E29+$C$1)&gt;AV$4,AV$4&gt;=$C$1),'General Inputs'!S$9*$H29,IF(AND(($D29+$C$1)&gt;AV$4,AV$4&gt;=$C$1),'General Inputs'!S$9*$G29,0))+IF(AND(($E29+$C$1)&gt;AV$4,AV$4&gt;=$C$1),'General Inputs'!S$10*$J29,IF(AND(($D29+$C$1)&gt;AV$4,AV$4&gt;=$C$1),'General Inputs'!S$10*$I29,0))</f>
        <v>0</v>
      </c>
      <c r="AW29" s="214">
        <f>IF(AND(($E29+$C$1)&gt;AW$4,AW$4&gt;=$C$1),'General Inputs'!T$9*$H29,IF(AND(($D29+$C$1)&gt;AW$4,AW$4&gt;=$C$1),'General Inputs'!T$9*$G29,0))+IF(AND(($E29+$C$1)&gt;AW$4,AW$4&gt;=$C$1),'General Inputs'!T$10*$J29,IF(AND(($D29+$C$1)&gt;AW$4,AW$4&gt;=$C$1),'General Inputs'!T$10*$I29,0))</f>
        <v>0</v>
      </c>
      <c r="AX29" s="214">
        <f>IF(AND(($E29+$C$1)&gt;AX$4,AX$4&gt;=$C$1),'General Inputs'!U$9*$H29,IF(AND(($D29+$C$1)&gt;AX$4,AX$4&gt;=$C$1),'General Inputs'!U$9*$G29,0))+IF(AND(($E29+$C$1)&gt;AX$4,AX$4&gt;=$C$1),'General Inputs'!U$10*$J29,IF(AND(($D29+$C$1)&gt;AX$4,AX$4&gt;=$C$1),'General Inputs'!U$10*$I29,0))</f>
        <v>0</v>
      </c>
      <c r="AY29" s="214">
        <f>IF(AND(($E29+$C$1)&gt;AY$4,AY$4&gt;=$C$1),'General Inputs'!V$9*$H29,IF(AND(($D29+$C$1)&gt;AY$4,AY$4&gt;=$C$1),'General Inputs'!V$9*$G29,0))+IF(AND(($E29+$C$1)&gt;AY$4,AY$4&gt;=$C$1),'General Inputs'!V$10*$J29,IF(AND(($D29+$C$1)&gt;AY$4,AY$4&gt;=$C$1),'General Inputs'!V$10*$I29,0))</f>
        <v>0</v>
      </c>
      <c r="AZ29" s="214">
        <f>IF(AND(($E29+$C$1)&gt;AZ$4,AZ$4&gt;=$C$1),'General Inputs'!W$9*$H29,IF(AND(($D29+$C$1)&gt;AZ$4,AZ$4&gt;=$C$1),'General Inputs'!W$9*$G29,0))+IF(AND(($E29+$C$1)&gt;AZ$4,AZ$4&gt;=$C$1),'General Inputs'!W$10*$J29,IF(AND(($D29+$C$1)&gt;AZ$4,AZ$4&gt;=$C$1),'General Inputs'!W$10*$I29,0))</f>
        <v>0</v>
      </c>
      <c r="BB29" s="214">
        <f>IF(AND(($E29+$C$1)&gt;BB$4,BB$4&gt;=$C$1),'General Inputs'!D$11*$H29,IF(AND(($D29+$C$1)&gt;BB$4,BB$4&gt;=$C$1),'General Inputs'!D$11*$G29,0))</f>
        <v>0</v>
      </c>
      <c r="BC29" s="214">
        <f>IF(AND(($E29+$C$1)&gt;BC$4,BC$4&gt;=$C$1),'General Inputs'!E$11*$H29,IF(AND(($D29+$C$1)&gt;BC$4,BC$4&gt;=$C$1),'General Inputs'!E$11*$G29,0))</f>
        <v>212.99263395894872</v>
      </c>
      <c r="BD29" s="214">
        <f>IF(AND(($E29+$C$1)&gt;BD$4,BD$4&gt;=$C$1),'General Inputs'!F$11*$H29,IF(AND(($D29+$C$1)&gt;BD$4,BD$4&gt;=$C$1),'General Inputs'!F$11*$G29,0))</f>
        <v>212.99263395894872</v>
      </c>
      <c r="BE29" s="214">
        <f>IF(AND(($E29+$C$1)&gt;BE$4,BE$4&gt;=$C$1),'General Inputs'!G$11*$H29,IF(AND(($D29+$C$1)&gt;BE$4,BE$4&gt;=$C$1),'General Inputs'!G$11*$G29,0))</f>
        <v>212.99263395894872</v>
      </c>
      <c r="BF29" s="214">
        <f>IF(AND(($E29+$C$1)&gt;BF$4,BF$4&gt;=$C$1),'General Inputs'!H$11*$H29,IF(AND(($D29+$C$1)&gt;BF$4,BF$4&gt;=$C$1),'General Inputs'!H$11*$G29,0))</f>
        <v>212.99263395894872</v>
      </c>
      <c r="BG29" s="214">
        <f>IF(AND(($E29+$C$1)&gt;BG$4,BG$4&gt;=$C$1),'General Inputs'!I$11*$H29,IF(AND(($D29+$C$1)&gt;BG$4,BG$4&gt;=$C$1),'General Inputs'!I$11*$G29,0))</f>
        <v>212.99263395894872</v>
      </c>
      <c r="BH29" s="214">
        <f>IF(AND(($E29+$C$1)&gt;BH$4,BH$4&gt;=$C$1),'General Inputs'!J$11*$H29,IF(AND(($D29+$C$1)&gt;BH$4,BH$4&gt;=$C$1),'General Inputs'!J$11*$G29,0))</f>
        <v>212.99263395894872</v>
      </c>
      <c r="BI29" s="214">
        <f>IF(AND(($E29+$C$1)&gt;BI$4,BI$4&gt;=$C$1),'General Inputs'!K$11*$H29,IF(AND(($D29+$C$1)&gt;BI$4,BI$4&gt;=$C$1),'General Inputs'!K$11*$G29,0))</f>
        <v>212.99263395894872</v>
      </c>
      <c r="BJ29" s="214">
        <f>IF(AND(($E29+$C$1)&gt;BJ$4,BJ$4&gt;=$C$1),'General Inputs'!L$11*$H29,IF(AND(($D29+$C$1)&gt;BJ$4,BJ$4&gt;=$C$1),'General Inputs'!L$11*$G29,0))</f>
        <v>212.99263395894872</v>
      </c>
      <c r="BK29" s="214">
        <f>IF(AND(($E29+$C$1)&gt;BK$4,BK$4&gt;=$C$1),'General Inputs'!M$11*$H29,IF(AND(($D29+$C$1)&gt;BK$4,BK$4&gt;=$C$1),'General Inputs'!M$11*$G29,0))</f>
        <v>212.99263395894872</v>
      </c>
      <c r="BL29" s="214">
        <f>IF(AND(($E29+$C$1)&gt;BL$4,BL$4&gt;=$C$1),'General Inputs'!N$11*$H29,IF(AND(($D29+$C$1)&gt;BL$4,BL$4&gt;=$C$1),'General Inputs'!N$11*$G29,0))</f>
        <v>212.99263395894872</v>
      </c>
      <c r="BM29" s="214">
        <f>IF(AND(($E29+$C$1)&gt;BM$4,BM$4&gt;=$C$1),'General Inputs'!O$11*$H29,IF(AND(($D29+$C$1)&gt;BM$4,BM$4&gt;=$C$1),'General Inputs'!O$11*$G29,0))</f>
        <v>0</v>
      </c>
      <c r="BN29" s="214">
        <f>IF(AND(($E29+$C$1)&gt;BN$4,BN$4&gt;=$C$1),'General Inputs'!P$11*$H29,IF(AND(($D29+$C$1)&gt;BN$4,BN$4&gt;=$C$1),'General Inputs'!P$11*$G29,0))</f>
        <v>0</v>
      </c>
      <c r="BO29" s="214">
        <f>IF(AND(($E29+$C$1)&gt;BO$4,BO$4&gt;=$C$1),'General Inputs'!Q$11*$H29,IF(AND(($D29+$C$1)&gt;BO$4,BO$4&gt;=$C$1),'General Inputs'!Q$11*$G29,0))</f>
        <v>0</v>
      </c>
      <c r="BP29" s="214">
        <f>IF(AND(($E29+$C$1)&gt;BP$4,BP$4&gt;=$C$1),'General Inputs'!R$11*$H29,IF(AND(($D29+$C$1)&gt;BP$4,BP$4&gt;=$C$1),'General Inputs'!R$11*$G29,0))</f>
        <v>0</v>
      </c>
      <c r="BQ29" s="214">
        <f>IF(AND(($E29+$C$1)&gt;BQ$4,BQ$4&gt;=$C$1),'General Inputs'!S$11*$H29,IF(AND(($D29+$C$1)&gt;BQ$4,BQ$4&gt;=$C$1),'General Inputs'!S$11*$G29,0))</f>
        <v>0</v>
      </c>
      <c r="BR29" s="214">
        <f>IF(AND(($E29+$C$1)&gt;BR$4,BR$4&gt;=$C$1),'General Inputs'!T$11*$H29,IF(AND(($D29+$C$1)&gt;BR$4,BR$4&gt;=$C$1),'General Inputs'!T$11*$G29,0))</f>
        <v>0</v>
      </c>
      <c r="BS29" s="214">
        <f>IF(AND(($E29+$C$1)&gt;BS$4,BS$4&gt;=$C$1),'General Inputs'!U$11*$H29,IF(AND(($D29+$C$1)&gt;BS$4,BS$4&gt;=$C$1),'General Inputs'!U$11*$G29,0))</f>
        <v>0</v>
      </c>
      <c r="BT29" s="214">
        <f>IF(AND(($E29+$C$1)&gt;BT$4,BT$4&gt;=$C$1),'General Inputs'!V$11*$H29,IF(AND(($D29+$C$1)&gt;BT$4,BT$4&gt;=$C$1),'General Inputs'!V$11*$G29,0))</f>
        <v>0</v>
      </c>
      <c r="BU29" s="214">
        <f>IF(AND(($E29+$C$1)&gt;BU$4,BU$4&gt;=$C$1),'General Inputs'!W$11*$H29,IF(AND(($D29+$C$1)&gt;BU$4,BU$4&gt;=$C$1),'General Inputs'!W$11*$G29,0))</f>
        <v>0</v>
      </c>
      <c r="BW29" s="214">
        <f>IF(AND(($E29+$C$1)&gt;BW$4,BW$4&gt;=$C$1),$H29,IF(AND(($D29+$C$1)&gt;BW$4,BW$4&gt;=$C$1),$G29,0))*IF($A29="Residential",'General Inputs'!D$14,'General Inputs'!D$19)</f>
        <v>0</v>
      </c>
      <c r="BX29" s="214">
        <f>IF(AND(($E29+$C$1)&gt;BX$4,BX$4&gt;=$C$1),$H29,IF(AND(($D29+$C$1)&gt;BX$4,BX$4&gt;=$C$1),$G29,0))*IF($A29="Residential",'General Inputs'!E$14,'General Inputs'!E$19)</f>
        <v>2545.5201063069612</v>
      </c>
      <c r="BY29" s="214">
        <f>IF(AND(($E29+$C$1)&gt;BY$4,BY$4&gt;=$C$1),$H29,IF(AND(($D29+$C$1)&gt;BY$4,BY$4&gt;=$C$1),$G29,0))*IF($A29="Residential",'General Inputs'!F$14,'General Inputs'!F$19)</f>
        <v>2583.7029079015651</v>
      </c>
      <c r="BZ29" s="214">
        <f>IF(AND(($E29+$C$1)&gt;BZ$4,BZ$4&gt;=$C$1),$H29,IF(AND(($D29+$C$1)&gt;BZ$4,BZ$4&gt;=$C$1),$G29,0))*IF($A29="Residential",'General Inputs'!G$14,'General Inputs'!G$19)</f>
        <v>2622.4584515200881</v>
      </c>
      <c r="CA29" s="214">
        <f>IF(AND(($E29+$C$1)&gt;CA$4,CA$4&gt;=$C$1),$H29,IF(AND(($D29+$C$1)&gt;CA$4,CA$4&gt;=$C$1),$G29,0))*IF($A29="Residential",'General Inputs'!H$14,'General Inputs'!H$19)</f>
        <v>2661.7953282928893</v>
      </c>
      <c r="CB29" s="214">
        <f>IF(AND(($E29+$C$1)&gt;CB$4,CB$4&gt;=$C$1),$H29,IF(AND(($D29+$C$1)&gt;CB$4,CB$4&gt;=$C$1),$G29,0))*IF($A29="Residential",'General Inputs'!I$14,'General Inputs'!I$19)</f>
        <v>2701.7222582172826</v>
      </c>
      <c r="CC29" s="214">
        <f>IF(AND(($E29+$C$1)&gt;CC$4,CC$4&gt;=$C$1),$H29,IF(AND(($D29+$C$1)&gt;CC$4,CC$4&gt;=$C$1),$G29,0))*IF($A29="Residential",'General Inputs'!J$14,'General Inputs'!J$19)</f>
        <v>2742.2480920905414</v>
      </c>
      <c r="CD29" s="214">
        <f>IF(AND(($E29+$C$1)&gt;CD$4,CD$4&gt;=$C$1),$H29,IF(AND(($D29+$C$1)&gt;CD$4,CD$4&gt;=$C$1),$G29,0))*IF($A29="Residential",'General Inputs'!K$14,'General Inputs'!K$19)</f>
        <v>2783.381813471899</v>
      </c>
      <c r="CE29" s="214">
        <f>IF(AND(($E29+$C$1)&gt;CE$4,CE$4&gt;=$C$1),$H29,IF(AND(($D29+$C$1)&gt;CE$4,CE$4&gt;=$C$1),$G29,0))*IF($A29="Residential",'General Inputs'!L$14,'General Inputs'!L$19)</f>
        <v>2825.132540673977</v>
      </c>
      <c r="CF29" s="214">
        <f>IF(AND(($E29+$C$1)&gt;CF$4,CF$4&gt;=$C$1),$H29,IF(AND(($D29+$C$1)&gt;CF$4,CF$4&gt;=$C$1),$G29,0))*IF($A29="Residential",'General Inputs'!M$14,'General Inputs'!M$19)</f>
        <v>2867.5095287840863</v>
      </c>
      <c r="CG29" s="214">
        <f>IF(AND(($E29+$C$1)&gt;CG$4,CG$4&gt;=$C$1),$H29,IF(AND(($D29+$C$1)&gt;CG$4,CG$4&gt;=$C$1),$G29,0))*IF($A29="Residential",'General Inputs'!N$14,'General Inputs'!N$19)</f>
        <v>2910.5221717158474</v>
      </c>
      <c r="CH29" s="214">
        <f>IF(AND(($E29+$C$1)&gt;CH$4,CH$4&gt;=$C$1),$H29,IF(AND(($D29+$C$1)&gt;CH$4,CH$4&gt;=$C$1),$G29,0))*IF($A29="Residential",'General Inputs'!O$14,'General Inputs'!O$19)</f>
        <v>0</v>
      </c>
      <c r="CI29" s="214">
        <f>IF(AND(($E29+$C$1)&gt;CI$4,CI$4&gt;=$C$1),$H29,IF(AND(($D29+$C$1)&gt;CI$4,CI$4&gt;=$C$1),$G29,0))*IF($A29="Residential",'General Inputs'!P$14,'General Inputs'!P$19)</f>
        <v>0</v>
      </c>
      <c r="CJ29" s="214">
        <f>IF(AND(($E29+$C$1)&gt;CJ$4,CJ$4&gt;=$C$1),$H29,IF(AND(($D29+$C$1)&gt;CJ$4,CJ$4&gt;=$C$1),$G29,0))*IF($A29="Residential",'General Inputs'!Q$14,'General Inputs'!Q$19)</f>
        <v>0</v>
      </c>
      <c r="CK29" s="214">
        <f>IF(AND(($E29+$C$1)&gt;CK$4,CK$4&gt;=$C$1),$H29,IF(AND(($D29+$C$1)&gt;CK$4,CK$4&gt;=$C$1),$G29,0))*IF($A29="Residential",'General Inputs'!R$14,'General Inputs'!R$19)</f>
        <v>0</v>
      </c>
      <c r="CL29" s="214">
        <f>IF(AND(($E29+$C$1)&gt;CL$4,CL$4&gt;=$C$1),$H29,IF(AND(($D29+$C$1)&gt;CL$4,CL$4&gt;=$C$1),$G29,0))*IF($A29="Residential",'General Inputs'!S$14,'General Inputs'!S$19)</f>
        <v>0</v>
      </c>
      <c r="CM29" s="214">
        <f>IF(AND(($E29+$C$1)&gt;CM$4,CM$4&gt;=$C$1),$H29,IF(AND(($D29+$C$1)&gt;CM$4,CM$4&gt;=$C$1),$G29,0))*IF($A29="Residential",'General Inputs'!T$14,'General Inputs'!T$19)</f>
        <v>0</v>
      </c>
      <c r="CN29" s="214">
        <f>IF(AND(($E29+$C$1)&gt;CN$4,CN$4&gt;=$C$1),$H29,IF(AND(($D29+$C$1)&gt;CN$4,CN$4&gt;=$C$1),$G29,0))*IF($A29="Residential",'General Inputs'!U$14,'General Inputs'!U$19)</f>
        <v>0</v>
      </c>
      <c r="CO29" s="214">
        <f>IF(AND(($E29+$C$1)&gt;CO$4,CO$4&gt;=$C$1),$H29,IF(AND(($D29+$C$1)&gt;CO$4,CO$4&gt;=$C$1),$G29,0))*IF($A29="Residential",'General Inputs'!V$14,'General Inputs'!V$19)</f>
        <v>0</v>
      </c>
      <c r="CP29" s="214">
        <f>IF(AND(($E29+$C$1)&gt;CP$4,CP$4&gt;=$C$1),$H29,IF(AND(($D29+$C$1)&gt;CP$4,CP$4&gt;=$C$1),$G29,0))*IF($A29="Residential",'General Inputs'!W$14,'General Inputs'!W$19)</f>
        <v>0</v>
      </c>
      <c r="CR29" s="214">
        <f>IF(AND(($E29+$C$1)&gt;CR$4,CR$4&gt;=$C$1),$H29,IF(AND(($D29+$C$1)&gt;CR$4,CR$4&gt;=$C$1),$G29,0))*IF($A29="Residential",'General Inputs'!D$15,'General Inputs'!D$19)</f>
        <v>0</v>
      </c>
      <c r="CS29" s="214">
        <f>IF(AND(($E29+$C$1)&gt;CS$4,CS$4&gt;=$C$1),$H29,IF(AND(($D29+$C$1)&gt;CS$4,CS$4&gt;=$C$1),$G29,0))*IF($A29="Residential",'General Inputs'!E$15,'General Inputs'!E$19)</f>
        <v>2070.8016829336634</v>
      </c>
      <c r="CT29" s="214">
        <f>IF(AND(($E29+$C$1)&gt;CT$4,CT$4&gt;=$C$1),$H29,IF(AND(($D29+$C$1)&gt;CT$4,CT$4&gt;=$C$1),$G29,0))*IF($A29="Residential",'General Inputs'!F$15,'General Inputs'!F$19)</f>
        <v>2101.8637081776683</v>
      </c>
      <c r="CU29" s="214">
        <f>IF(AND(($E29+$C$1)&gt;CU$4,CU$4&gt;=$C$1),$H29,IF(AND(($D29+$C$1)&gt;CU$4,CU$4&gt;=$C$1),$G29,0))*IF($A29="Residential",'General Inputs'!G$15,'General Inputs'!G$19)</f>
        <v>2133.3916638003329</v>
      </c>
      <c r="CV29" s="214">
        <f>IF(AND(($E29+$C$1)&gt;CV$4,CV$4&gt;=$C$1),$H29,IF(AND(($D29+$C$1)&gt;CV$4,CV$4&gt;=$C$1),$G29,0))*IF($A29="Residential",'General Inputs'!H$15,'General Inputs'!H$19)</f>
        <v>2165.3925387573377</v>
      </c>
      <c r="CW29" s="214">
        <f>IF(AND(($E29+$C$1)&gt;CW$4,CW$4&gt;=$C$1),$H29,IF(AND(($D29+$C$1)&gt;CW$4,CW$4&gt;=$C$1),$G29,0))*IF($A29="Residential",'General Inputs'!I$15,'General Inputs'!I$19)</f>
        <v>2197.8734268386975</v>
      </c>
      <c r="CX29" s="214">
        <f>IF(AND(($E29+$C$1)&gt;CX$4,CX$4&gt;=$C$1),$H29,IF(AND(($D29+$C$1)&gt;CX$4,CX$4&gt;=$C$1),$G29,0))*IF($A29="Residential",'General Inputs'!J$15,'General Inputs'!J$19)</f>
        <v>2230.841528241278</v>
      </c>
      <c r="CY29" s="214">
        <f>IF(AND(($E29+$C$1)&gt;CY$4,CY$4&gt;=$C$1),$H29,IF(AND(($D29+$C$1)&gt;CY$4,CY$4&gt;=$C$1),$G29,0))*IF($A29="Residential",'General Inputs'!K$15,'General Inputs'!K$19)</f>
        <v>2264.3041511648967</v>
      </c>
      <c r="CZ29" s="214">
        <f>IF(AND(($E29+$C$1)&gt;CZ$4,CZ$4&gt;=$C$1),$H29,IF(AND(($D29+$C$1)&gt;CZ$4,CZ$4&gt;=$C$1),$G29,0))*IF($A29="Residential",'General Inputs'!L$15,'General Inputs'!L$19)</f>
        <v>2298.2687134323701</v>
      </c>
      <c r="DA29" s="214">
        <f>IF(AND(($E29+$C$1)&gt;DA$4,DA$4&gt;=$C$1),$H29,IF(AND(($D29+$C$1)&gt;DA$4,DA$4&gt;=$C$1),$G29,0))*IF($A29="Residential",'General Inputs'!M$15,'General Inputs'!M$19)</f>
        <v>2332.7427441338555</v>
      </c>
      <c r="DB29" s="214">
        <f>IF(AND(($E29+$C$1)&gt;DB$4,DB$4&gt;=$C$1),$H29,IF(AND(($D29+$C$1)&gt;DB$4,DB$4&gt;=$C$1),$G29,0))*IF($A29="Residential",'General Inputs'!N$15,'General Inputs'!N$19)</f>
        <v>2367.7338852958628</v>
      </c>
      <c r="DC29" s="214">
        <f>IF(AND(($E29+$C$1)&gt;DC$4,DC$4&gt;=$C$1),$H29,IF(AND(($D29+$C$1)&gt;DC$4,DC$4&gt;=$C$1),$G29,0))*IF($A29="Residential",'General Inputs'!O$15,'General Inputs'!O$19)</f>
        <v>0</v>
      </c>
      <c r="DD29" s="214">
        <f>IF(AND(($E29+$C$1)&gt;DD$4,DD$4&gt;=$C$1),$H29,IF(AND(($D29+$C$1)&gt;DD$4,DD$4&gt;=$C$1),$G29,0))*IF($A29="Residential",'General Inputs'!P$15,'General Inputs'!P$19)</f>
        <v>0</v>
      </c>
      <c r="DE29" s="214">
        <f>IF(AND(($E29+$C$1)&gt;DE$4,DE$4&gt;=$C$1),$H29,IF(AND(($D29+$C$1)&gt;DE$4,DE$4&gt;=$C$1),$G29,0))*IF($A29="Residential",'General Inputs'!Q$15,'General Inputs'!Q$19)</f>
        <v>0</v>
      </c>
      <c r="DF29" s="214">
        <f>IF(AND(($E29+$C$1)&gt;DF$4,DF$4&gt;=$C$1),$H29,IF(AND(($D29+$C$1)&gt;DF$4,DF$4&gt;=$C$1),$G29,0))*IF($A29="Residential",'General Inputs'!R$15,'General Inputs'!R$19)</f>
        <v>0</v>
      </c>
      <c r="DG29" s="214">
        <f>IF(AND(($E29+$C$1)&gt;DG$4,DG$4&gt;=$C$1),$H29,IF(AND(($D29+$C$1)&gt;DG$4,DG$4&gt;=$C$1),$G29,0))*IF($A29="Residential",'General Inputs'!S$15,'General Inputs'!S$19)</f>
        <v>0</v>
      </c>
      <c r="DH29" s="214">
        <f>IF(AND(($E29+$C$1)&gt;DH$4,DH$4&gt;=$C$1),$H29,IF(AND(($D29+$C$1)&gt;DH$4,DH$4&gt;=$C$1),$G29,0))*IF($A29="Residential",'General Inputs'!T$15,'General Inputs'!T$19)</f>
        <v>0</v>
      </c>
      <c r="DI29" s="214">
        <f>IF(AND(($E29+$C$1)&gt;DI$4,DI$4&gt;=$C$1),$H29,IF(AND(($D29+$C$1)&gt;DI$4,DI$4&gt;=$C$1),$G29,0))*IF($A29="Residential",'General Inputs'!U$15,'General Inputs'!U$19)</f>
        <v>0</v>
      </c>
      <c r="DJ29" s="214">
        <f>IF(AND(($E29+$C$1)&gt;DJ$4,DJ$4&gt;=$C$1),$H29,IF(AND(($D29+$C$1)&gt;DJ$4,DJ$4&gt;=$C$1),$G29,0))*IF($A29="Residential",'General Inputs'!V$15,'General Inputs'!V$19)</f>
        <v>0</v>
      </c>
      <c r="DK29" s="214">
        <f>IF(AND(($E29+$C$1)&gt;DK$4,DK$4&gt;=$C$1),$H29,IF(AND(($D29+$C$1)&gt;DK$4,DK$4&gt;=$C$1),$G29,0))*IF($A29="Residential",'General Inputs'!W$15,'General Inputs'!W$19)</f>
        <v>0</v>
      </c>
      <c r="DM29" s="214">
        <f t="shared" si="47"/>
        <v>0</v>
      </c>
      <c r="DN29" s="214">
        <f t="shared" si="47"/>
        <v>0</v>
      </c>
      <c r="DO29" s="214">
        <f t="shared" si="47"/>
        <v>0</v>
      </c>
      <c r="DP29" s="214">
        <f t="shared" si="47"/>
        <v>0</v>
      </c>
      <c r="DQ29" s="214">
        <f t="shared" si="47"/>
        <v>0</v>
      </c>
      <c r="DR29" s="214">
        <f t="shared" si="47"/>
        <v>0</v>
      </c>
      <c r="DS29" s="214">
        <f t="shared" si="47"/>
        <v>0</v>
      </c>
      <c r="DT29" s="214">
        <f t="shared" si="47"/>
        <v>0</v>
      </c>
      <c r="DU29" s="214">
        <f t="shared" si="47"/>
        <v>0</v>
      </c>
      <c r="DV29" s="214">
        <f t="shared" si="47"/>
        <v>0</v>
      </c>
      <c r="DW29" s="214">
        <f t="shared" si="47"/>
        <v>0</v>
      </c>
      <c r="DZ29" s="650"/>
      <c r="FI29" s="195"/>
      <c r="FJ29" s="195"/>
      <c r="FK29" s="195"/>
      <c r="FL29" s="195"/>
      <c r="FM29" s="195"/>
      <c r="FN29" s="195"/>
      <c r="FO29" s="195"/>
    </row>
    <row r="30" spans="1:171">
      <c r="A30" s="342" t="s">
        <v>12</v>
      </c>
      <c r="B30" s="427" t="str">
        <f>'Portfolio Inputs'!A29</f>
        <v>Hot Water Pipe Insulation</v>
      </c>
      <c r="C30" s="217">
        <f>IF($C$1=2014,'Portfolio Inputs'!$C29,IF($C$1=2015,'Portfolio Inputs'!$D29,'Portfolio Inputs'!$E29))</f>
        <v>106</v>
      </c>
      <c r="D30" s="504">
        <f>VLOOKUP(B30,Sources!$B$4:$J$104,2,FALSE)</f>
        <v>15</v>
      </c>
      <c r="E30" s="504">
        <f>VLOOKUP(B30,Sources!$B$4:$J$104,3,FALSE)</f>
        <v>0</v>
      </c>
      <c r="G30" s="504">
        <f>IF($C$1=2014,'Portfolio Inputs'!$G29,IF($C$1=2015,'Portfolio Inputs'!$H29,'Portfolio Inputs'!$I29))*EnergyLineLoss</f>
        <v>15040.223409317316</v>
      </c>
      <c r="H30" s="504"/>
      <c r="I30" s="504">
        <f>IF($C$1=2014,'Portfolio Inputs'!$K29,IF($C$1=2015,'Portfolio Inputs'!$L29,'Portfolio Inputs'!$M29))*PeakLineLoss</f>
        <v>1.716920480515675</v>
      </c>
      <c r="J30" s="510"/>
      <c r="L30" s="606">
        <f>IF($C$1=2014,'Portfolio Inputs'!$O29,IF($C$1=2015,'Portfolio Inputs'!$P29,'Portfolio Inputs'!$Q29))</f>
        <v>0</v>
      </c>
      <c r="M30" s="518">
        <f>VLOOKUP($B30,Sources!$B$4:$K$104,10,FALSE)</f>
        <v>0</v>
      </c>
      <c r="N30" s="419">
        <f>IF($C$1=2014,'Portfolio Inputs'!$W29,IF($C$1=2015,'Portfolio Inputs'!$X29,'Portfolio Inputs'!$Y29))</f>
        <v>0</v>
      </c>
      <c r="O30" s="419"/>
      <c r="Q30" s="438" t="str">
        <f t="shared" si="67"/>
        <v>n/a</v>
      </c>
      <c r="R30" s="439" t="str">
        <f t="shared" si="68"/>
        <v>n/a</v>
      </c>
      <c r="S30" s="439" t="str">
        <f t="shared" si="69"/>
        <v>n/a</v>
      </c>
      <c r="T30" s="439" t="str">
        <f t="shared" si="70"/>
        <v>n/a</v>
      </c>
      <c r="U30" s="439" t="str">
        <f t="shared" si="71"/>
        <v>n/a</v>
      </c>
      <c r="V30" s="439">
        <f t="shared" si="72"/>
        <v>0.3093311723346443</v>
      </c>
      <c r="W30" s="439">
        <f t="shared" si="73"/>
        <v>0.3802434222333807</v>
      </c>
      <c r="Y30" s="215">
        <f t="shared" si="4"/>
        <v>5605.5925801729318</v>
      </c>
      <c r="Z30" s="215">
        <f t="shared" si="5"/>
        <v>1395.2255075253338</v>
      </c>
      <c r="AA30" s="215">
        <f t="shared" si="6"/>
        <v>18121.654335272178</v>
      </c>
      <c r="AB30" s="215">
        <f t="shared" si="7"/>
        <v>14742.115845813123</v>
      </c>
      <c r="AC30" s="216">
        <f t="shared" si="20"/>
        <v>0</v>
      </c>
      <c r="AD30" s="216">
        <f t="shared" si="21"/>
        <v>0</v>
      </c>
      <c r="AE30" s="215">
        <f t="shared" si="8"/>
        <v>0</v>
      </c>
      <c r="AG30" s="214">
        <f>IF(AND(($E30+$C$1)&gt;AG$4,AG$4&gt;=$C$1),'General Inputs'!D$9*$H30,IF(AND(($D30+$C$1)&gt;AG$4,AG$4&gt;=$C$1),'General Inputs'!D$9*$G30,0))+IF(AND(($E30+$C$1)&gt;AG$4,AG$4&gt;=$C$1),'General Inputs'!D$10*$J30,IF(AND(($D30+$C$1)&gt;AG$4,AG$4&gt;=$C$1),'General Inputs'!D$10*$I30,0))</f>
        <v>0</v>
      </c>
      <c r="AH30" s="214">
        <f>IF(AND(($E30+$C$1)&gt;AH$4,AH$4&gt;=$C$1),'General Inputs'!E$9*$H30,IF(AND(($D30+$C$1)&gt;AH$4,AH$4&gt;=$C$1),'General Inputs'!E$9*$G30,0))+IF(AND(($E30+$C$1)&gt;AH$4,AH$4&gt;=$C$1),'General Inputs'!E$10*$J30,IF(AND(($D30+$C$1)&gt;AH$4,AH$4&gt;=$C$1),'General Inputs'!E$10*$I30,0))</f>
        <v>633.86208333194986</v>
      </c>
      <c r="AI30" s="214">
        <f>IF(AND(($E30+$C$1)&gt;AI$4,AI$4&gt;=$C$1),'General Inputs'!F$9*$H30,IF(AND(($D30+$C$1)&gt;AI$4,AI$4&gt;=$C$1),'General Inputs'!F$9*$G30,0))+IF(AND(($E30+$C$1)&gt;AI$4,AI$4&gt;=$C$1),'General Inputs'!F$10*$J30,IF(AND(($D30+$C$1)&gt;AI$4,AI$4&gt;=$C$1),'General Inputs'!F$10*$I30,0))</f>
        <v>643.37001458192901</v>
      </c>
      <c r="AJ30" s="214">
        <f>IF(AND(($E30+$C$1)&gt;AJ$4,AJ$4&gt;=$C$1),'General Inputs'!G$9*$H30,IF(AND(($D30+$C$1)&gt;AJ$4,AJ$4&gt;=$C$1),'General Inputs'!G$9*$G30,0))+IF(AND(($E30+$C$1)&gt;AJ$4,AJ$4&gt;=$C$1),'General Inputs'!G$10*$J30,IF(AND(($D30+$C$1)&gt;AJ$4,AJ$4&gt;=$C$1),'General Inputs'!G$10*$I30,0))</f>
        <v>653.02056480065789</v>
      </c>
      <c r="AK30" s="214">
        <f>IF(AND(($E30+$C$1)&gt;AK$4,AK$4&gt;=$C$1),'General Inputs'!H$9*$H30,IF(AND(($D30+$C$1)&gt;AK$4,AK$4&gt;=$C$1),'General Inputs'!H$9*$G30,0))+IF(AND(($E30+$C$1)&gt;AK$4,AK$4&gt;=$C$1),'General Inputs'!H$10*$J30,IF(AND(($D30+$C$1)&gt;AK$4,AK$4&gt;=$C$1),'General Inputs'!H$10*$I30,0))</f>
        <v>662.81587327266777</v>
      </c>
      <c r="AL30" s="214">
        <f>IF(AND(($E30+$C$1)&gt;AL$4,AL$4&gt;=$C$1),'General Inputs'!I$9*$H30,IF(AND(($D30+$C$1)&gt;AL$4,AL$4&gt;=$C$1),'General Inputs'!I$9*$G30,0))+IF(AND(($E30+$C$1)&gt;AL$4,AL$4&gt;=$C$1),'General Inputs'!I$10*$J30,IF(AND(($D30+$C$1)&gt;AL$4,AL$4&gt;=$C$1),'General Inputs'!I$10*$I30,0))</f>
        <v>672.75811137175765</v>
      </c>
      <c r="AM30" s="214">
        <f>IF(AND(($E30+$C$1)&gt;AM$4,AM$4&gt;=$C$1),'General Inputs'!J$9*$H30,IF(AND(($D30+$C$1)&gt;AM$4,AM$4&gt;=$C$1),'General Inputs'!J$9*$G30,0))+IF(AND(($E30+$C$1)&gt;AM$4,AM$4&gt;=$C$1),'General Inputs'!J$10*$J30,IF(AND(($D30+$C$1)&gt;AM$4,AM$4&gt;=$C$1),'General Inputs'!J$10*$I30,0))</f>
        <v>682.84948304233387</v>
      </c>
      <c r="AN30" s="214">
        <f>IF(AND(($E30+$C$1)&gt;AN$4,AN$4&gt;=$C$1),'General Inputs'!K$9*$H30,IF(AND(($D30+$C$1)&gt;AN$4,AN$4&gt;=$C$1),'General Inputs'!K$9*$G30,0))+IF(AND(($E30+$C$1)&gt;AN$4,AN$4&gt;=$C$1),'General Inputs'!K$10*$J30,IF(AND(($D30+$C$1)&gt;AN$4,AN$4&gt;=$C$1),'General Inputs'!K$10*$I30,0))</f>
        <v>693.09222528796886</v>
      </c>
      <c r="AO30" s="214">
        <f>IF(AND(($E30+$C$1)&gt;AO$4,AO$4&gt;=$C$1),'General Inputs'!L$9*$H30,IF(AND(($D30+$C$1)&gt;AO$4,AO$4&gt;=$C$1),'General Inputs'!L$9*$G30,0))+IF(AND(($E30+$C$1)&gt;AO$4,AO$4&gt;=$C$1),'General Inputs'!L$10*$J30,IF(AND(($D30+$C$1)&gt;AO$4,AO$4&gt;=$C$1),'General Inputs'!L$10*$I30,0))</f>
        <v>703.4886086672883</v>
      </c>
      <c r="AP30" s="214">
        <f>IF(AND(($E30+$C$1)&gt;AP$4,AP$4&gt;=$C$1),'General Inputs'!M$9*$H30,IF(AND(($D30+$C$1)&gt;AP$4,AP$4&gt;=$C$1),'General Inputs'!M$9*$G30,0))+IF(AND(($E30+$C$1)&gt;AP$4,AP$4&gt;=$C$1),'General Inputs'!M$10*$J30,IF(AND(($D30+$C$1)&gt;AP$4,AP$4&gt;=$C$1),'General Inputs'!M$10*$I30,0))</f>
        <v>714.04093779729749</v>
      </c>
      <c r="AQ30" s="214">
        <f>IF(AND(($E30+$C$1)&gt;AQ$4,AQ$4&gt;=$C$1),'General Inputs'!N$9*$H30,IF(AND(($D30+$C$1)&gt;AQ$4,AQ$4&gt;=$C$1),'General Inputs'!N$9*$G30,0))+IF(AND(($E30+$C$1)&gt;AQ$4,AQ$4&gt;=$C$1),'General Inputs'!N$10*$J30,IF(AND(($D30+$C$1)&gt;AQ$4,AQ$4&gt;=$C$1),'General Inputs'!N$10*$I30,0))</f>
        <v>724.75155186425695</v>
      </c>
      <c r="AR30" s="214">
        <f>IF(AND(($E30+$C$1)&gt;AR$4,AR$4&gt;=$C$1),'General Inputs'!O$9*$H30,IF(AND(($D30+$C$1)&gt;AR$4,AR$4&gt;=$C$1),'General Inputs'!O$9*$G30,0))+IF(AND(($E30+$C$1)&gt;AR$4,AR$4&gt;=$C$1),'General Inputs'!O$10*$J30,IF(AND(($D30+$C$1)&gt;AR$4,AR$4&gt;=$C$1),'General Inputs'!O$10*$I30,0))</f>
        <v>735.62282514222068</v>
      </c>
      <c r="AS30" s="214">
        <f>IF(AND(($E30+$C$1)&gt;AS$4,AS$4&gt;=$C$1),'General Inputs'!P$9*$H30,IF(AND(($D30+$C$1)&gt;AS$4,AS$4&gt;=$C$1),'General Inputs'!P$9*$G30,0))+IF(AND(($E30+$C$1)&gt;AS$4,AS$4&gt;=$C$1),'General Inputs'!P$10*$J30,IF(AND(($D30+$C$1)&gt;AS$4,AS$4&gt;=$C$1),'General Inputs'!P$10*$I30,0))</f>
        <v>746.65716751935395</v>
      </c>
      <c r="AT30" s="214">
        <f>IF(AND(($E30+$C$1)&gt;AT$4,AT$4&gt;=$C$1),'General Inputs'!Q$9*$H30,IF(AND(($D30+$C$1)&gt;AT$4,AT$4&gt;=$C$1),'General Inputs'!Q$9*$G30,0))+IF(AND(($E30+$C$1)&gt;AT$4,AT$4&gt;=$C$1),'General Inputs'!Q$10*$J30,IF(AND(($D30+$C$1)&gt;AT$4,AT$4&gt;=$C$1),'General Inputs'!Q$10*$I30,0))</f>
        <v>757.85702503214418</v>
      </c>
      <c r="AU30" s="214">
        <f>IF(AND(($E30+$C$1)&gt;AU$4,AU$4&gt;=$C$1),'General Inputs'!R$9*$H30,IF(AND(($D30+$C$1)&gt;AU$4,AU$4&gt;=$C$1),'General Inputs'!R$9*$G30,0))+IF(AND(($E30+$C$1)&gt;AU$4,AU$4&gt;=$C$1),'General Inputs'!R$10*$J30,IF(AND(($D30+$C$1)&gt;AU$4,AU$4&gt;=$C$1),'General Inputs'!R$10*$I30,0))</f>
        <v>769.2248804076263</v>
      </c>
      <c r="AV30" s="214">
        <f>IF(AND(($E30+$C$1)&gt;AV$4,AV$4&gt;=$C$1),'General Inputs'!S$9*$H30,IF(AND(($D30+$C$1)&gt;AV$4,AV$4&gt;=$C$1),'General Inputs'!S$9*$G30,0))+IF(AND(($E30+$C$1)&gt;AV$4,AV$4&gt;=$C$1),'General Inputs'!S$10*$J30,IF(AND(($D30+$C$1)&gt;AV$4,AV$4&gt;=$C$1),'General Inputs'!S$10*$I30,0))</f>
        <v>780.76325361374063</v>
      </c>
      <c r="AW30" s="214">
        <f>IF(AND(($E30+$C$1)&gt;AW$4,AW$4&gt;=$C$1),'General Inputs'!T$9*$H30,IF(AND(($D30+$C$1)&gt;AW$4,AW$4&gt;=$C$1),'General Inputs'!T$9*$G30,0))+IF(AND(($E30+$C$1)&gt;AW$4,AW$4&gt;=$C$1),'General Inputs'!T$10*$J30,IF(AND(($D30+$C$1)&gt;AW$4,AW$4&gt;=$C$1),'General Inputs'!T$10*$I30,0))</f>
        <v>0</v>
      </c>
      <c r="AX30" s="214">
        <f>IF(AND(($E30+$C$1)&gt;AX$4,AX$4&gt;=$C$1),'General Inputs'!U$9*$H30,IF(AND(($D30+$C$1)&gt;AX$4,AX$4&gt;=$C$1),'General Inputs'!U$9*$G30,0))+IF(AND(($E30+$C$1)&gt;AX$4,AX$4&gt;=$C$1),'General Inputs'!U$10*$J30,IF(AND(($D30+$C$1)&gt;AX$4,AX$4&gt;=$C$1),'General Inputs'!U$10*$I30,0))</f>
        <v>0</v>
      </c>
      <c r="AY30" s="214">
        <f>IF(AND(($E30+$C$1)&gt;AY$4,AY$4&gt;=$C$1),'General Inputs'!V$9*$H30,IF(AND(($D30+$C$1)&gt;AY$4,AY$4&gt;=$C$1),'General Inputs'!V$9*$G30,0))+IF(AND(($E30+$C$1)&gt;AY$4,AY$4&gt;=$C$1),'General Inputs'!V$10*$J30,IF(AND(($D30+$C$1)&gt;AY$4,AY$4&gt;=$C$1),'General Inputs'!V$10*$I30,0))</f>
        <v>0</v>
      </c>
      <c r="AZ30" s="214">
        <f>IF(AND(($E30+$C$1)&gt;AZ$4,AZ$4&gt;=$C$1),'General Inputs'!W$9*$H30,IF(AND(($D30+$C$1)&gt;AZ$4,AZ$4&gt;=$C$1),'General Inputs'!W$9*$G30,0))+IF(AND(($E30+$C$1)&gt;AZ$4,AZ$4&gt;=$C$1),'General Inputs'!W$10*$J30,IF(AND(($D30+$C$1)&gt;AZ$4,AZ$4&gt;=$C$1),'General Inputs'!W$10*$I30,0))</f>
        <v>0</v>
      </c>
      <c r="BB30" s="214">
        <f>IF(AND(($E30+$C$1)&gt;BB$4,BB$4&gt;=$C$1),'General Inputs'!D$11*$H30,IF(AND(($D30+$C$1)&gt;BB$4,BB$4&gt;=$C$1),'General Inputs'!D$11*$G30,0))</f>
        <v>0</v>
      </c>
      <c r="BC30" s="214">
        <f>IF(AND(($E30+$C$1)&gt;BC$4,BC$4&gt;=$C$1),'General Inputs'!E$11*$H30,IF(AND(($D30+$C$1)&gt;BC$4,BC$4&gt;=$C$1),'General Inputs'!E$11*$G30,0))</f>
        <v>171.4585468662174</v>
      </c>
      <c r="BD30" s="214">
        <f>IF(AND(($E30+$C$1)&gt;BD$4,BD$4&gt;=$C$1),'General Inputs'!F$11*$H30,IF(AND(($D30+$C$1)&gt;BD$4,BD$4&gt;=$C$1),'General Inputs'!F$11*$G30,0))</f>
        <v>171.4585468662174</v>
      </c>
      <c r="BE30" s="214">
        <f>IF(AND(($E30+$C$1)&gt;BE$4,BE$4&gt;=$C$1),'General Inputs'!G$11*$H30,IF(AND(($D30+$C$1)&gt;BE$4,BE$4&gt;=$C$1),'General Inputs'!G$11*$G30,0))</f>
        <v>171.4585468662174</v>
      </c>
      <c r="BF30" s="214">
        <f>IF(AND(($E30+$C$1)&gt;BF$4,BF$4&gt;=$C$1),'General Inputs'!H$11*$H30,IF(AND(($D30+$C$1)&gt;BF$4,BF$4&gt;=$C$1),'General Inputs'!H$11*$G30,0))</f>
        <v>171.4585468662174</v>
      </c>
      <c r="BG30" s="214">
        <f>IF(AND(($E30+$C$1)&gt;BG$4,BG$4&gt;=$C$1),'General Inputs'!I$11*$H30,IF(AND(($D30+$C$1)&gt;BG$4,BG$4&gt;=$C$1),'General Inputs'!I$11*$G30,0))</f>
        <v>171.4585468662174</v>
      </c>
      <c r="BH30" s="214">
        <f>IF(AND(($E30+$C$1)&gt;BH$4,BH$4&gt;=$C$1),'General Inputs'!J$11*$H30,IF(AND(($D30+$C$1)&gt;BH$4,BH$4&gt;=$C$1),'General Inputs'!J$11*$G30,0))</f>
        <v>171.4585468662174</v>
      </c>
      <c r="BI30" s="214">
        <f>IF(AND(($E30+$C$1)&gt;BI$4,BI$4&gt;=$C$1),'General Inputs'!K$11*$H30,IF(AND(($D30+$C$1)&gt;BI$4,BI$4&gt;=$C$1),'General Inputs'!K$11*$G30,0))</f>
        <v>171.4585468662174</v>
      </c>
      <c r="BJ30" s="214">
        <f>IF(AND(($E30+$C$1)&gt;BJ$4,BJ$4&gt;=$C$1),'General Inputs'!L$11*$H30,IF(AND(($D30+$C$1)&gt;BJ$4,BJ$4&gt;=$C$1),'General Inputs'!L$11*$G30,0))</f>
        <v>171.4585468662174</v>
      </c>
      <c r="BK30" s="214">
        <f>IF(AND(($E30+$C$1)&gt;BK$4,BK$4&gt;=$C$1),'General Inputs'!M$11*$H30,IF(AND(($D30+$C$1)&gt;BK$4,BK$4&gt;=$C$1),'General Inputs'!M$11*$G30,0))</f>
        <v>171.4585468662174</v>
      </c>
      <c r="BL30" s="214">
        <f>IF(AND(($E30+$C$1)&gt;BL$4,BL$4&gt;=$C$1),'General Inputs'!N$11*$H30,IF(AND(($D30+$C$1)&gt;BL$4,BL$4&gt;=$C$1),'General Inputs'!N$11*$G30,0))</f>
        <v>171.4585468662174</v>
      </c>
      <c r="BM30" s="214">
        <f>IF(AND(($E30+$C$1)&gt;BM$4,BM$4&gt;=$C$1),'General Inputs'!O$11*$H30,IF(AND(($D30+$C$1)&gt;BM$4,BM$4&gt;=$C$1),'General Inputs'!O$11*$G30,0))</f>
        <v>171.4585468662174</v>
      </c>
      <c r="BN30" s="214">
        <f>IF(AND(($E30+$C$1)&gt;BN$4,BN$4&gt;=$C$1),'General Inputs'!P$11*$H30,IF(AND(($D30+$C$1)&gt;BN$4,BN$4&gt;=$C$1),'General Inputs'!P$11*$G30,0))</f>
        <v>171.4585468662174</v>
      </c>
      <c r="BO30" s="214">
        <f>IF(AND(($E30+$C$1)&gt;BO$4,BO$4&gt;=$C$1),'General Inputs'!Q$11*$H30,IF(AND(($D30+$C$1)&gt;BO$4,BO$4&gt;=$C$1),'General Inputs'!Q$11*$G30,0))</f>
        <v>171.4585468662174</v>
      </c>
      <c r="BP30" s="214">
        <f>IF(AND(($E30+$C$1)&gt;BP$4,BP$4&gt;=$C$1),'General Inputs'!R$11*$H30,IF(AND(($D30+$C$1)&gt;BP$4,BP$4&gt;=$C$1),'General Inputs'!R$11*$G30,0))</f>
        <v>171.4585468662174</v>
      </c>
      <c r="BQ30" s="214">
        <f>IF(AND(($E30+$C$1)&gt;BQ$4,BQ$4&gt;=$C$1),'General Inputs'!S$11*$H30,IF(AND(($D30+$C$1)&gt;BQ$4,BQ$4&gt;=$C$1),'General Inputs'!S$11*$G30,0))</f>
        <v>171.4585468662174</v>
      </c>
      <c r="BR30" s="214">
        <f>IF(AND(($E30+$C$1)&gt;BR$4,BR$4&gt;=$C$1),'General Inputs'!T$11*$H30,IF(AND(($D30+$C$1)&gt;BR$4,BR$4&gt;=$C$1),'General Inputs'!T$11*$G30,0))</f>
        <v>0</v>
      </c>
      <c r="BS30" s="214">
        <f>IF(AND(($E30+$C$1)&gt;BS$4,BS$4&gt;=$C$1),'General Inputs'!U$11*$H30,IF(AND(($D30+$C$1)&gt;BS$4,BS$4&gt;=$C$1),'General Inputs'!U$11*$G30,0))</f>
        <v>0</v>
      </c>
      <c r="BT30" s="214">
        <f>IF(AND(($E30+$C$1)&gt;BT$4,BT$4&gt;=$C$1),'General Inputs'!V$11*$H30,IF(AND(($D30+$C$1)&gt;BT$4,BT$4&gt;=$C$1),'General Inputs'!V$11*$G30,0))</f>
        <v>0</v>
      </c>
      <c r="BU30" s="214">
        <f>IF(AND(($E30+$C$1)&gt;BU$4,BU$4&gt;=$C$1),'General Inputs'!W$11*$H30,IF(AND(($D30+$C$1)&gt;BU$4,BU$4&gt;=$C$1),'General Inputs'!W$11*$G30,0))</f>
        <v>0</v>
      </c>
      <c r="BW30" s="214">
        <f>IF(AND(($E30+$C$1)&gt;BW$4,BW$4&gt;=$C$1),$H30,IF(AND(($D30+$C$1)&gt;BW$4,BW$4&gt;=$C$1),$G30,0))*IF($A30="Residential",'General Inputs'!D$14,'General Inputs'!D$19)</f>
        <v>0</v>
      </c>
      <c r="BX30" s="214">
        <f>IF(AND(($E30+$C$1)&gt;BX$4,BX$4&gt;=$C$1),$H30,IF(AND(($D30+$C$1)&gt;BX$4,BX$4&gt;=$C$1),$G30,0))*IF($A30="Residential",'General Inputs'!E$14,'General Inputs'!E$19)</f>
        <v>2049.1374294673992</v>
      </c>
      <c r="BY30" s="214">
        <f>IF(AND(($E30+$C$1)&gt;BY$4,BY$4&gt;=$C$1),$H30,IF(AND(($D30+$C$1)&gt;BY$4,BY$4&gt;=$C$1),$G30,0))*IF($A30="Residential",'General Inputs'!F$14,'General Inputs'!F$19)</f>
        <v>2079.8744909094098</v>
      </c>
      <c r="BZ30" s="214">
        <f>IF(AND(($E30+$C$1)&gt;BZ$4,BZ$4&gt;=$C$1),$H30,IF(AND(($D30+$C$1)&gt;BZ$4,BZ$4&gt;=$C$1),$G30,0))*IF($A30="Residential",'General Inputs'!G$14,'General Inputs'!G$19)</f>
        <v>2111.0726082730503</v>
      </c>
      <c r="CA30" s="214">
        <f>IF(AND(($E30+$C$1)&gt;CA$4,CA$4&gt;=$C$1),$H30,IF(AND(($D30+$C$1)&gt;CA$4,CA$4&gt;=$C$1),$G30,0))*IF($A30="Residential",'General Inputs'!H$14,'General Inputs'!H$19)</f>
        <v>2142.7386973971461</v>
      </c>
      <c r="CB30" s="214">
        <f>IF(AND(($E30+$C$1)&gt;CB$4,CB$4&gt;=$C$1),$H30,IF(AND(($D30+$C$1)&gt;CB$4,CB$4&gt;=$C$1),$G30,0))*IF($A30="Residential",'General Inputs'!I$14,'General Inputs'!I$19)</f>
        <v>2174.8797778581029</v>
      </c>
      <c r="CC30" s="214">
        <f>IF(AND(($E30+$C$1)&gt;CC$4,CC$4&gt;=$C$1),$H30,IF(AND(($D30+$C$1)&gt;CC$4,CC$4&gt;=$C$1),$G30,0))*IF($A30="Residential",'General Inputs'!J$14,'General Inputs'!J$19)</f>
        <v>2207.502974525974</v>
      </c>
      <c r="CD30" s="214">
        <f>IF(AND(($E30+$C$1)&gt;CD$4,CD$4&gt;=$C$1),$H30,IF(AND(($D30+$C$1)&gt;CD$4,CD$4&gt;=$C$1),$G30,0))*IF($A30="Residential",'General Inputs'!K$14,'General Inputs'!K$19)</f>
        <v>2240.6155191438634</v>
      </c>
      <c r="CE30" s="214">
        <f>IF(AND(($E30+$C$1)&gt;CE$4,CE$4&gt;=$C$1),$H30,IF(AND(($D30+$C$1)&gt;CE$4,CE$4&gt;=$C$1),$G30,0))*IF($A30="Residential",'General Inputs'!L$14,'General Inputs'!L$19)</f>
        <v>2274.2247519310208</v>
      </c>
      <c r="CF30" s="214">
        <f>IF(AND(($E30+$C$1)&gt;CF$4,CF$4&gt;=$C$1),$H30,IF(AND(($D30+$C$1)&gt;CF$4,CF$4&gt;=$C$1),$G30,0))*IF($A30="Residential",'General Inputs'!M$14,'General Inputs'!M$19)</f>
        <v>2308.338123209986</v>
      </c>
      <c r="CG30" s="214">
        <f>IF(AND(($E30+$C$1)&gt;CG$4,CG$4&gt;=$C$1),$H30,IF(AND(($D30+$C$1)&gt;CG$4,CG$4&gt;=$C$1),$G30,0))*IF($A30="Residential",'General Inputs'!N$14,'General Inputs'!N$19)</f>
        <v>2342.9631950581356</v>
      </c>
      <c r="CH30" s="214">
        <f>IF(AND(($E30+$C$1)&gt;CH$4,CH$4&gt;=$C$1),$H30,IF(AND(($D30+$C$1)&gt;CH$4,CH$4&gt;=$C$1),$G30,0))*IF($A30="Residential",'General Inputs'!O$14,'General Inputs'!O$19)</f>
        <v>2378.1076429840077</v>
      </c>
      <c r="CI30" s="214">
        <f>IF(AND(($E30+$C$1)&gt;CI$4,CI$4&gt;=$C$1),$H30,IF(AND(($D30+$C$1)&gt;CI$4,CI$4&gt;=$C$1),$G30,0))*IF($A30="Residential",'General Inputs'!P$14,'General Inputs'!P$19)</f>
        <v>2413.7792576287675</v>
      </c>
      <c r="CJ30" s="214">
        <f>IF(AND(($E30+$C$1)&gt;CJ$4,CJ$4&gt;=$C$1),$H30,IF(AND(($D30+$C$1)&gt;CJ$4,CJ$4&gt;=$C$1),$G30,0))*IF($A30="Residential",'General Inputs'!Q$14,'General Inputs'!Q$19)</f>
        <v>2449.9859464931988</v>
      </c>
      <c r="CK30" s="214">
        <f>IF(AND(($E30+$C$1)&gt;CK$4,CK$4&gt;=$C$1),$H30,IF(AND(($D30+$C$1)&gt;CK$4,CK$4&gt;=$C$1),$G30,0))*IF($A30="Residential",'General Inputs'!R$14,'General Inputs'!R$19)</f>
        <v>2486.7357356905964</v>
      </c>
      <c r="CL30" s="214">
        <f>IF(AND(($E30+$C$1)&gt;CL$4,CL$4&gt;=$C$1),$H30,IF(AND(($D30+$C$1)&gt;CL$4,CL$4&gt;=$C$1),$G30,0))*IF($A30="Residential",'General Inputs'!S$14,'General Inputs'!S$19)</f>
        <v>2524.0367717259551</v>
      </c>
      <c r="CM30" s="214">
        <f>IF(AND(($E30+$C$1)&gt;CM$4,CM$4&gt;=$C$1),$H30,IF(AND(($D30+$C$1)&gt;CM$4,CM$4&gt;=$C$1),$G30,0))*IF($A30="Residential",'General Inputs'!T$14,'General Inputs'!T$19)</f>
        <v>0</v>
      </c>
      <c r="CN30" s="214">
        <f>IF(AND(($E30+$C$1)&gt;CN$4,CN$4&gt;=$C$1),$H30,IF(AND(($D30+$C$1)&gt;CN$4,CN$4&gt;=$C$1),$G30,0))*IF($A30="Residential",'General Inputs'!U$14,'General Inputs'!U$19)</f>
        <v>0</v>
      </c>
      <c r="CO30" s="214">
        <f>IF(AND(($E30+$C$1)&gt;CO$4,CO$4&gt;=$C$1),$H30,IF(AND(($D30+$C$1)&gt;CO$4,CO$4&gt;=$C$1),$G30,0))*IF($A30="Residential",'General Inputs'!V$14,'General Inputs'!V$19)</f>
        <v>0</v>
      </c>
      <c r="CP30" s="214">
        <f>IF(AND(($E30+$C$1)&gt;CP$4,CP$4&gt;=$C$1),$H30,IF(AND(($D30+$C$1)&gt;CP$4,CP$4&gt;=$C$1),$G30,0))*IF($A30="Residential",'General Inputs'!W$14,'General Inputs'!W$19)</f>
        <v>0</v>
      </c>
      <c r="CR30" s="214">
        <f>IF(AND(($E30+$C$1)&gt;CR$4,CR$4&gt;=$C$1),$H30,IF(AND(($D30+$C$1)&gt;CR$4,CR$4&gt;=$C$1),$G30,0))*IF($A30="Residential",'General Inputs'!D$15,'General Inputs'!D$19)</f>
        <v>0</v>
      </c>
      <c r="CS30" s="214">
        <f>IF(AND(($E30+$C$1)&gt;CS$4,CS$4&gt;=$C$1),$H30,IF(AND(($D30+$C$1)&gt;CS$4,CS$4&gt;=$C$1),$G30,0))*IF($A30="Residential",'General Inputs'!E$15,'General Inputs'!E$19)</f>
        <v>1666.9902653645547</v>
      </c>
      <c r="CT30" s="214">
        <f>IF(AND(($E30+$C$1)&gt;CT$4,CT$4&gt;=$C$1),$H30,IF(AND(($D30+$C$1)&gt;CT$4,CT$4&gt;=$C$1),$G30,0))*IF($A30="Residential",'General Inputs'!F$15,'General Inputs'!F$19)</f>
        <v>1691.9951193450229</v>
      </c>
      <c r="CU30" s="214">
        <f>IF(AND(($E30+$C$1)&gt;CU$4,CU$4&gt;=$C$1),$H30,IF(AND(($D30+$C$1)&gt;CU$4,CU$4&gt;=$C$1),$G30,0))*IF($A30="Residential",'General Inputs'!G$15,'General Inputs'!G$19)</f>
        <v>1717.3750461351981</v>
      </c>
      <c r="CV30" s="214">
        <f>IF(AND(($E30+$C$1)&gt;CV$4,CV$4&gt;=$C$1),$H30,IF(AND(($D30+$C$1)&gt;CV$4,CV$4&gt;=$C$1),$G30,0))*IF($A30="Residential",'General Inputs'!H$15,'General Inputs'!H$19)</f>
        <v>1743.1356718272259</v>
      </c>
      <c r="CW30" s="214">
        <f>IF(AND(($E30+$C$1)&gt;CW$4,CW$4&gt;=$C$1),$H30,IF(AND(($D30+$C$1)&gt;CW$4,CW$4&gt;=$C$1),$G30,0))*IF($A30="Residential",'General Inputs'!I$15,'General Inputs'!I$19)</f>
        <v>1769.2827069046341</v>
      </c>
      <c r="CX30" s="214">
        <f>IF(AND(($E30+$C$1)&gt;CX$4,CX$4&gt;=$C$1),$H30,IF(AND(($D30+$C$1)&gt;CX$4,CX$4&gt;=$C$1),$G30,0))*IF($A30="Residential",'General Inputs'!J$15,'General Inputs'!J$19)</f>
        <v>1795.8219475082035</v>
      </c>
      <c r="CY30" s="214">
        <f>IF(AND(($E30+$C$1)&gt;CY$4,CY$4&gt;=$C$1),$H30,IF(AND(($D30+$C$1)&gt;CY$4,CY$4&gt;=$C$1),$G30,0))*IF($A30="Residential",'General Inputs'!K$15,'General Inputs'!K$19)</f>
        <v>1822.7592767208262</v>
      </c>
      <c r="CZ30" s="214">
        <f>IF(AND(($E30+$C$1)&gt;CZ$4,CZ$4&gt;=$C$1),$H30,IF(AND(($D30+$C$1)&gt;CZ$4,CZ$4&gt;=$C$1),$G30,0))*IF($A30="Residential",'General Inputs'!L$15,'General Inputs'!L$19)</f>
        <v>1850.1006658716385</v>
      </c>
      <c r="DA30" s="214">
        <f>IF(AND(($E30+$C$1)&gt;DA$4,DA$4&gt;=$C$1),$H30,IF(AND(($D30+$C$1)&gt;DA$4,DA$4&gt;=$C$1),$G30,0))*IF($A30="Residential",'General Inputs'!M$15,'General Inputs'!M$19)</f>
        <v>1877.8521758597128</v>
      </c>
      <c r="DB30" s="214">
        <f>IF(AND(($E30+$C$1)&gt;DB$4,DB$4&gt;=$C$1),$H30,IF(AND(($D30+$C$1)&gt;DB$4,DB$4&gt;=$C$1),$G30,0))*IF($A30="Residential",'General Inputs'!N$15,'General Inputs'!N$19)</f>
        <v>1906.0199584976083</v>
      </c>
      <c r="DC30" s="214">
        <f>IF(AND(($E30+$C$1)&gt;DC$4,DC$4&gt;=$C$1),$H30,IF(AND(($D30+$C$1)&gt;DC$4,DC$4&gt;=$C$1),$G30,0))*IF($A30="Residential",'General Inputs'!O$15,'General Inputs'!O$19)</f>
        <v>1934.6102578750722</v>
      </c>
      <c r="DD30" s="214">
        <f>IF(AND(($E30+$C$1)&gt;DD$4,DD$4&gt;=$C$1),$H30,IF(AND(($D30+$C$1)&gt;DD$4,DD$4&gt;=$C$1),$G30,0))*IF($A30="Residential",'General Inputs'!P$15,'General Inputs'!P$19)</f>
        <v>1963.6294117431983</v>
      </c>
      <c r="DE30" s="214">
        <f>IF(AND(($E30+$C$1)&gt;DE$4,DE$4&gt;=$C$1),$H30,IF(AND(($D30+$C$1)&gt;DE$4,DE$4&gt;=$C$1),$G30,0))*IF($A30="Residential",'General Inputs'!Q$15,'General Inputs'!Q$19)</f>
        <v>1993.0838529193461</v>
      </c>
      <c r="DF30" s="214">
        <f>IF(AND(($E30+$C$1)&gt;DF$4,DF$4&gt;=$C$1),$H30,IF(AND(($D30+$C$1)&gt;DF$4,DF$4&gt;=$C$1),$G30,0))*IF($A30="Residential",'General Inputs'!R$15,'General Inputs'!R$19)</f>
        <v>2022.9801107131359</v>
      </c>
      <c r="DG30" s="214">
        <f>IF(AND(($E30+$C$1)&gt;DG$4,DG$4&gt;=$C$1),$H30,IF(AND(($D30+$C$1)&gt;DG$4,DG$4&gt;=$C$1),$G30,0))*IF($A30="Residential",'General Inputs'!S$15,'General Inputs'!S$19)</f>
        <v>2053.3248123738326</v>
      </c>
      <c r="DH30" s="214">
        <f>IF(AND(($E30+$C$1)&gt;DH$4,DH$4&gt;=$C$1),$H30,IF(AND(($D30+$C$1)&gt;DH$4,DH$4&gt;=$C$1),$G30,0))*IF($A30="Residential",'General Inputs'!T$15,'General Inputs'!T$19)</f>
        <v>0</v>
      </c>
      <c r="DI30" s="214">
        <f>IF(AND(($E30+$C$1)&gt;DI$4,DI$4&gt;=$C$1),$H30,IF(AND(($D30+$C$1)&gt;DI$4,DI$4&gt;=$C$1),$G30,0))*IF($A30="Residential",'General Inputs'!U$15,'General Inputs'!U$19)</f>
        <v>0</v>
      </c>
      <c r="DJ30" s="214">
        <f>IF(AND(($E30+$C$1)&gt;DJ$4,DJ$4&gt;=$C$1),$H30,IF(AND(($D30+$C$1)&gt;DJ$4,DJ$4&gt;=$C$1),$G30,0))*IF($A30="Residential",'General Inputs'!V$15,'General Inputs'!V$19)</f>
        <v>0</v>
      </c>
      <c r="DK30" s="214">
        <f>IF(AND(($E30+$C$1)&gt;DK$4,DK$4&gt;=$C$1),$H30,IF(AND(($D30+$C$1)&gt;DK$4,DK$4&gt;=$C$1),$G30,0))*IF($A30="Residential",'General Inputs'!W$15,'General Inputs'!W$19)</f>
        <v>0</v>
      </c>
      <c r="DM30" s="214">
        <f t="shared" si="47"/>
        <v>0</v>
      </c>
      <c r="DN30" s="214">
        <f t="shared" si="47"/>
        <v>0</v>
      </c>
      <c r="DO30" s="214">
        <f t="shared" si="47"/>
        <v>0</v>
      </c>
      <c r="DP30" s="214">
        <f t="shared" si="47"/>
        <v>0</v>
      </c>
      <c r="DQ30" s="214">
        <f t="shared" si="47"/>
        <v>0</v>
      </c>
      <c r="DR30" s="214">
        <f t="shared" si="47"/>
        <v>0</v>
      </c>
      <c r="DS30" s="214">
        <f t="shared" si="47"/>
        <v>0</v>
      </c>
      <c r="DT30" s="214">
        <f t="shared" si="47"/>
        <v>0</v>
      </c>
      <c r="DU30" s="214">
        <f t="shared" si="47"/>
        <v>0</v>
      </c>
      <c r="DV30" s="214">
        <f t="shared" si="47"/>
        <v>0</v>
      </c>
      <c r="DW30" s="214">
        <f t="shared" si="47"/>
        <v>0</v>
      </c>
      <c r="DZ30" s="650"/>
      <c r="FI30" s="195"/>
      <c r="FJ30" s="195"/>
      <c r="FK30" s="195"/>
      <c r="FL30" s="195"/>
      <c r="FM30" s="195"/>
      <c r="FN30" s="195"/>
      <c r="FO30" s="195"/>
    </row>
    <row r="31" spans="1:171">
      <c r="A31" s="342" t="s">
        <v>12</v>
      </c>
      <c r="B31" s="427" t="str">
        <f>'Portfolio Inputs'!A30</f>
        <v>Water Heater Temperature Setback</v>
      </c>
      <c r="C31" s="217">
        <f>IF($C$1=2014,'Portfolio Inputs'!$C30,IF($C$1=2015,'Portfolio Inputs'!$D30,'Portfolio Inputs'!$E30))</f>
        <v>106</v>
      </c>
      <c r="D31" s="504">
        <f>VLOOKUP(B31,Sources!$B$4:$J$104,2,FALSE)</f>
        <v>2</v>
      </c>
      <c r="E31" s="504">
        <f>VLOOKUP(B31,Sources!$B$4:$J$104,3,FALSE)</f>
        <v>0</v>
      </c>
      <c r="G31" s="504">
        <f>IF($C$1=2014,'Portfolio Inputs'!$G30,IF($C$1=2015,'Portfolio Inputs'!$H30,'Portfolio Inputs'!$I30))*EnergyLineLoss</f>
        <v>9588.8448000000008</v>
      </c>
      <c r="H31" s="504"/>
      <c r="I31" s="504">
        <f>IF($C$1=2014,'Portfolio Inputs'!$K30,IF($C$1=2015,'Portfolio Inputs'!$L30,'Portfolio Inputs'!$M30))*PeakLineLoss</f>
        <v>1.0938677618069814</v>
      </c>
      <c r="J31" s="510"/>
      <c r="L31" s="606">
        <f>IF($C$1=2014,'Portfolio Inputs'!$O30,IF($C$1=2015,'Portfolio Inputs'!$P30,'Portfolio Inputs'!$Q30))</f>
        <v>0</v>
      </c>
      <c r="M31" s="518">
        <f>VLOOKUP($B31,Sources!$B$4:$K$104,10,FALSE)</f>
        <v>0</v>
      </c>
      <c r="N31" s="419">
        <f>IF($C$1=2014,'Portfolio Inputs'!$W30,IF($C$1=2015,'Portfolio Inputs'!$X30,'Portfolio Inputs'!$Y30))</f>
        <v>0</v>
      </c>
      <c r="O31" s="419"/>
      <c r="Q31" s="438" t="str">
        <f t="shared" si="67"/>
        <v>n/a</v>
      </c>
      <c r="R31" s="439" t="str">
        <f t="shared" si="68"/>
        <v>n/a</v>
      </c>
      <c r="S31" s="439" t="str">
        <f t="shared" si="69"/>
        <v>n/a</v>
      </c>
      <c r="T31" s="439" t="str">
        <f t="shared" si="70"/>
        <v>n/a</v>
      </c>
      <c r="U31" s="439" t="str">
        <f t="shared" si="71"/>
        <v>n/a</v>
      </c>
      <c r="V31" s="439">
        <f t="shared" si="72"/>
        <v>0.30932245599847835</v>
      </c>
      <c r="W31" s="439">
        <f t="shared" si="73"/>
        <v>0.38023270773128898</v>
      </c>
      <c r="Y31" s="215">
        <f t="shared" si="4"/>
        <v>717.52880668354499</v>
      </c>
      <c r="Z31" s="215">
        <f t="shared" si="5"/>
        <v>192.71155647086425</v>
      </c>
      <c r="AA31" s="215">
        <f t="shared" si="6"/>
        <v>2319.6790041233694</v>
      </c>
      <c r="AB31" s="215">
        <f t="shared" si="7"/>
        <v>1887.0780763832229</v>
      </c>
      <c r="AC31" s="216">
        <f t="shared" si="20"/>
        <v>0</v>
      </c>
      <c r="AD31" s="216">
        <f t="shared" si="21"/>
        <v>0</v>
      </c>
      <c r="AE31" s="215">
        <f t="shared" si="8"/>
        <v>0</v>
      </c>
      <c r="AG31" s="214">
        <f>IF(AND(($E31+$C$1)&gt;AG$4,AG$4&gt;=$C$1),'General Inputs'!D$9*$H31,IF(AND(($D31+$C$1)&gt;AG$4,AG$4&gt;=$C$1),'General Inputs'!D$9*$G31,0))+IF(AND(($E31+$C$1)&gt;AG$4,AG$4&gt;=$C$1),'General Inputs'!D$10*$J31,IF(AND(($D31+$C$1)&gt;AG$4,AG$4&gt;=$C$1),'General Inputs'!D$10*$I31,0))</f>
        <v>0</v>
      </c>
      <c r="AH31" s="214">
        <f>IF(AND(($E31+$C$1)&gt;AH$4,AH$4&gt;=$C$1),'General Inputs'!E$9*$H31,IF(AND(($D31+$C$1)&gt;AH$4,AH$4&gt;=$C$1),'General Inputs'!E$9*$G31,0))+IF(AND(($E31+$C$1)&gt;AH$4,AH$4&gt;=$C$1),'General Inputs'!E$10*$J31,IF(AND(($D31+$C$1)&gt;AH$4,AH$4&gt;=$C$1),'General Inputs'!E$10*$I31,0))</f>
        <v>404.10529220155598</v>
      </c>
      <c r="AI31" s="214">
        <f>IF(AND(($E31+$C$1)&gt;AI$4,AI$4&gt;=$C$1),'General Inputs'!F$9*$H31,IF(AND(($D31+$C$1)&gt;AI$4,AI$4&gt;=$C$1),'General Inputs'!F$9*$G31,0))+IF(AND(($E31+$C$1)&gt;AI$4,AI$4&gt;=$C$1),'General Inputs'!F$10*$J31,IF(AND(($D31+$C$1)&gt;AI$4,AI$4&gt;=$C$1),'General Inputs'!F$10*$I31,0))</f>
        <v>410.16687158457927</v>
      </c>
      <c r="AJ31" s="214">
        <f>IF(AND(($E31+$C$1)&gt;AJ$4,AJ$4&gt;=$C$1),'General Inputs'!G$9*$H31,IF(AND(($D31+$C$1)&gt;AJ$4,AJ$4&gt;=$C$1),'General Inputs'!G$9*$G31,0))+IF(AND(($E31+$C$1)&gt;AJ$4,AJ$4&gt;=$C$1),'General Inputs'!G$10*$J31,IF(AND(($D31+$C$1)&gt;AJ$4,AJ$4&gt;=$C$1),'General Inputs'!G$10*$I31,0))</f>
        <v>0</v>
      </c>
      <c r="AK31" s="214">
        <f>IF(AND(($E31+$C$1)&gt;AK$4,AK$4&gt;=$C$1),'General Inputs'!H$9*$H31,IF(AND(($D31+$C$1)&gt;AK$4,AK$4&gt;=$C$1),'General Inputs'!H$9*$G31,0))+IF(AND(($E31+$C$1)&gt;AK$4,AK$4&gt;=$C$1),'General Inputs'!H$10*$J31,IF(AND(($D31+$C$1)&gt;AK$4,AK$4&gt;=$C$1),'General Inputs'!H$10*$I31,0))</f>
        <v>0</v>
      </c>
      <c r="AL31" s="214">
        <f>IF(AND(($E31+$C$1)&gt;AL$4,AL$4&gt;=$C$1),'General Inputs'!I$9*$H31,IF(AND(($D31+$C$1)&gt;AL$4,AL$4&gt;=$C$1),'General Inputs'!I$9*$G31,0))+IF(AND(($E31+$C$1)&gt;AL$4,AL$4&gt;=$C$1),'General Inputs'!I$10*$J31,IF(AND(($D31+$C$1)&gt;AL$4,AL$4&gt;=$C$1),'General Inputs'!I$10*$I31,0))</f>
        <v>0</v>
      </c>
      <c r="AM31" s="214">
        <f>IF(AND(($E31+$C$1)&gt;AM$4,AM$4&gt;=$C$1),'General Inputs'!J$9*$H31,IF(AND(($D31+$C$1)&gt;AM$4,AM$4&gt;=$C$1),'General Inputs'!J$9*$G31,0))+IF(AND(($E31+$C$1)&gt;AM$4,AM$4&gt;=$C$1),'General Inputs'!J$10*$J31,IF(AND(($D31+$C$1)&gt;AM$4,AM$4&gt;=$C$1),'General Inputs'!J$10*$I31,0))</f>
        <v>0</v>
      </c>
      <c r="AN31" s="214">
        <f>IF(AND(($E31+$C$1)&gt;AN$4,AN$4&gt;=$C$1),'General Inputs'!K$9*$H31,IF(AND(($D31+$C$1)&gt;AN$4,AN$4&gt;=$C$1),'General Inputs'!K$9*$G31,0))+IF(AND(($E31+$C$1)&gt;AN$4,AN$4&gt;=$C$1),'General Inputs'!K$10*$J31,IF(AND(($D31+$C$1)&gt;AN$4,AN$4&gt;=$C$1),'General Inputs'!K$10*$I31,0))</f>
        <v>0</v>
      </c>
      <c r="AO31" s="214">
        <f>IF(AND(($E31+$C$1)&gt;AO$4,AO$4&gt;=$C$1),'General Inputs'!L$9*$H31,IF(AND(($D31+$C$1)&gt;AO$4,AO$4&gt;=$C$1),'General Inputs'!L$9*$G31,0))+IF(AND(($E31+$C$1)&gt;AO$4,AO$4&gt;=$C$1),'General Inputs'!L$10*$J31,IF(AND(($D31+$C$1)&gt;AO$4,AO$4&gt;=$C$1),'General Inputs'!L$10*$I31,0))</f>
        <v>0</v>
      </c>
      <c r="AP31" s="214">
        <f>IF(AND(($E31+$C$1)&gt;AP$4,AP$4&gt;=$C$1),'General Inputs'!M$9*$H31,IF(AND(($D31+$C$1)&gt;AP$4,AP$4&gt;=$C$1),'General Inputs'!M$9*$G31,0))+IF(AND(($E31+$C$1)&gt;AP$4,AP$4&gt;=$C$1),'General Inputs'!M$10*$J31,IF(AND(($D31+$C$1)&gt;AP$4,AP$4&gt;=$C$1),'General Inputs'!M$10*$I31,0))</f>
        <v>0</v>
      </c>
      <c r="AQ31" s="214">
        <f>IF(AND(($E31+$C$1)&gt;AQ$4,AQ$4&gt;=$C$1),'General Inputs'!N$9*$H31,IF(AND(($D31+$C$1)&gt;AQ$4,AQ$4&gt;=$C$1),'General Inputs'!N$9*$G31,0))+IF(AND(($E31+$C$1)&gt;AQ$4,AQ$4&gt;=$C$1),'General Inputs'!N$10*$J31,IF(AND(($D31+$C$1)&gt;AQ$4,AQ$4&gt;=$C$1),'General Inputs'!N$10*$I31,0))</f>
        <v>0</v>
      </c>
      <c r="AR31" s="214">
        <f>IF(AND(($E31+$C$1)&gt;AR$4,AR$4&gt;=$C$1),'General Inputs'!O$9*$H31,IF(AND(($D31+$C$1)&gt;AR$4,AR$4&gt;=$C$1),'General Inputs'!O$9*$G31,0))+IF(AND(($E31+$C$1)&gt;AR$4,AR$4&gt;=$C$1),'General Inputs'!O$10*$J31,IF(AND(($D31+$C$1)&gt;AR$4,AR$4&gt;=$C$1),'General Inputs'!O$10*$I31,0))</f>
        <v>0</v>
      </c>
      <c r="AS31" s="214">
        <f>IF(AND(($E31+$C$1)&gt;AS$4,AS$4&gt;=$C$1),'General Inputs'!P$9*$H31,IF(AND(($D31+$C$1)&gt;AS$4,AS$4&gt;=$C$1),'General Inputs'!P$9*$G31,0))+IF(AND(($E31+$C$1)&gt;AS$4,AS$4&gt;=$C$1),'General Inputs'!P$10*$J31,IF(AND(($D31+$C$1)&gt;AS$4,AS$4&gt;=$C$1),'General Inputs'!P$10*$I31,0))</f>
        <v>0</v>
      </c>
      <c r="AT31" s="214">
        <f>IF(AND(($E31+$C$1)&gt;AT$4,AT$4&gt;=$C$1),'General Inputs'!Q$9*$H31,IF(AND(($D31+$C$1)&gt;AT$4,AT$4&gt;=$C$1),'General Inputs'!Q$9*$G31,0))+IF(AND(($E31+$C$1)&gt;AT$4,AT$4&gt;=$C$1),'General Inputs'!Q$10*$J31,IF(AND(($D31+$C$1)&gt;AT$4,AT$4&gt;=$C$1),'General Inputs'!Q$10*$I31,0))</f>
        <v>0</v>
      </c>
      <c r="AU31" s="214">
        <f>IF(AND(($E31+$C$1)&gt;AU$4,AU$4&gt;=$C$1),'General Inputs'!R$9*$H31,IF(AND(($D31+$C$1)&gt;AU$4,AU$4&gt;=$C$1),'General Inputs'!R$9*$G31,0))+IF(AND(($E31+$C$1)&gt;AU$4,AU$4&gt;=$C$1),'General Inputs'!R$10*$J31,IF(AND(($D31+$C$1)&gt;AU$4,AU$4&gt;=$C$1),'General Inputs'!R$10*$I31,0))</f>
        <v>0</v>
      </c>
      <c r="AV31" s="214">
        <f>IF(AND(($E31+$C$1)&gt;AV$4,AV$4&gt;=$C$1),'General Inputs'!S$9*$H31,IF(AND(($D31+$C$1)&gt;AV$4,AV$4&gt;=$C$1),'General Inputs'!S$9*$G31,0))+IF(AND(($E31+$C$1)&gt;AV$4,AV$4&gt;=$C$1),'General Inputs'!S$10*$J31,IF(AND(($D31+$C$1)&gt;AV$4,AV$4&gt;=$C$1),'General Inputs'!S$10*$I31,0))</f>
        <v>0</v>
      </c>
      <c r="AW31" s="214">
        <f>IF(AND(($E31+$C$1)&gt;AW$4,AW$4&gt;=$C$1),'General Inputs'!T$9*$H31,IF(AND(($D31+$C$1)&gt;AW$4,AW$4&gt;=$C$1),'General Inputs'!T$9*$G31,0))+IF(AND(($E31+$C$1)&gt;AW$4,AW$4&gt;=$C$1),'General Inputs'!T$10*$J31,IF(AND(($D31+$C$1)&gt;AW$4,AW$4&gt;=$C$1),'General Inputs'!T$10*$I31,0))</f>
        <v>0</v>
      </c>
      <c r="AX31" s="214">
        <f>IF(AND(($E31+$C$1)&gt;AX$4,AX$4&gt;=$C$1),'General Inputs'!U$9*$H31,IF(AND(($D31+$C$1)&gt;AX$4,AX$4&gt;=$C$1),'General Inputs'!U$9*$G31,0))+IF(AND(($E31+$C$1)&gt;AX$4,AX$4&gt;=$C$1),'General Inputs'!U$10*$J31,IF(AND(($D31+$C$1)&gt;AX$4,AX$4&gt;=$C$1),'General Inputs'!U$10*$I31,0))</f>
        <v>0</v>
      </c>
      <c r="AY31" s="214">
        <f>IF(AND(($E31+$C$1)&gt;AY$4,AY$4&gt;=$C$1),'General Inputs'!V$9*$H31,IF(AND(($D31+$C$1)&gt;AY$4,AY$4&gt;=$C$1),'General Inputs'!V$9*$G31,0))+IF(AND(($E31+$C$1)&gt;AY$4,AY$4&gt;=$C$1),'General Inputs'!V$10*$J31,IF(AND(($D31+$C$1)&gt;AY$4,AY$4&gt;=$C$1),'General Inputs'!V$10*$I31,0))</f>
        <v>0</v>
      </c>
      <c r="AZ31" s="214">
        <f>IF(AND(($E31+$C$1)&gt;AZ$4,AZ$4&gt;=$C$1),'General Inputs'!W$9*$H31,IF(AND(($D31+$C$1)&gt;AZ$4,AZ$4&gt;=$C$1),'General Inputs'!W$9*$G31,0))+IF(AND(($E31+$C$1)&gt;AZ$4,AZ$4&gt;=$C$1),'General Inputs'!W$10*$J31,IF(AND(($D31+$C$1)&gt;AZ$4,AZ$4&gt;=$C$1),'General Inputs'!W$10*$I31,0))</f>
        <v>0</v>
      </c>
      <c r="BB31" s="214">
        <f>IF(AND(($E31+$C$1)&gt;BB$4,BB$4&gt;=$C$1),'General Inputs'!D$11*$H31,IF(AND(($D31+$C$1)&gt;BB$4,BB$4&gt;=$C$1),'General Inputs'!D$11*$G31,0))</f>
        <v>0</v>
      </c>
      <c r="BC31" s="214">
        <f>IF(AND(($E31+$C$1)&gt;BC$4,BC$4&gt;=$C$1),'General Inputs'!E$11*$H31,IF(AND(($D31+$C$1)&gt;BC$4,BC$4&gt;=$C$1),'General Inputs'!E$11*$G31,0))</f>
        <v>109.31283072000001</v>
      </c>
      <c r="BD31" s="214">
        <f>IF(AND(($E31+$C$1)&gt;BD$4,BD$4&gt;=$C$1),'General Inputs'!F$11*$H31,IF(AND(($D31+$C$1)&gt;BD$4,BD$4&gt;=$C$1),'General Inputs'!F$11*$G31,0))</f>
        <v>109.31283072000001</v>
      </c>
      <c r="BE31" s="214">
        <f>IF(AND(($E31+$C$1)&gt;BE$4,BE$4&gt;=$C$1),'General Inputs'!G$11*$H31,IF(AND(($D31+$C$1)&gt;BE$4,BE$4&gt;=$C$1),'General Inputs'!G$11*$G31,0))</f>
        <v>0</v>
      </c>
      <c r="BF31" s="214">
        <f>IF(AND(($E31+$C$1)&gt;BF$4,BF$4&gt;=$C$1),'General Inputs'!H$11*$H31,IF(AND(($D31+$C$1)&gt;BF$4,BF$4&gt;=$C$1),'General Inputs'!H$11*$G31,0))</f>
        <v>0</v>
      </c>
      <c r="BG31" s="214">
        <f>IF(AND(($E31+$C$1)&gt;BG$4,BG$4&gt;=$C$1),'General Inputs'!I$11*$H31,IF(AND(($D31+$C$1)&gt;BG$4,BG$4&gt;=$C$1),'General Inputs'!I$11*$G31,0))</f>
        <v>0</v>
      </c>
      <c r="BH31" s="214">
        <f>IF(AND(($E31+$C$1)&gt;BH$4,BH$4&gt;=$C$1),'General Inputs'!J$11*$H31,IF(AND(($D31+$C$1)&gt;BH$4,BH$4&gt;=$C$1),'General Inputs'!J$11*$G31,0))</f>
        <v>0</v>
      </c>
      <c r="BI31" s="214">
        <f>IF(AND(($E31+$C$1)&gt;BI$4,BI$4&gt;=$C$1),'General Inputs'!K$11*$H31,IF(AND(($D31+$C$1)&gt;BI$4,BI$4&gt;=$C$1),'General Inputs'!K$11*$G31,0))</f>
        <v>0</v>
      </c>
      <c r="BJ31" s="214">
        <f>IF(AND(($E31+$C$1)&gt;BJ$4,BJ$4&gt;=$C$1),'General Inputs'!L$11*$H31,IF(AND(($D31+$C$1)&gt;BJ$4,BJ$4&gt;=$C$1),'General Inputs'!L$11*$G31,0))</f>
        <v>0</v>
      </c>
      <c r="BK31" s="214">
        <f>IF(AND(($E31+$C$1)&gt;BK$4,BK$4&gt;=$C$1),'General Inputs'!M$11*$H31,IF(AND(($D31+$C$1)&gt;BK$4,BK$4&gt;=$C$1),'General Inputs'!M$11*$G31,0))</f>
        <v>0</v>
      </c>
      <c r="BL31" s="214">
        <f>IF(AND(($E31+$C$1)&gt;BL$4,BL$4&gt;=$C$1),'General Inputs'!N$11*$H31,IF(AND(($D31+$C$1)&gt;BL$4,BL$4&gt;=$C$1),'General Inputs'!N$11*$G31,0))</f>
        <v>0</v>
      </c>
      <c r="BM31" s="214">
        <f>IF(AND(($E31+$C$1)&gt;BM$4,BM$4&gt;=$C$1),'General Inputs'!O$11*$H31,IF(AND(($D31+$C$1)&gt;BM$4,BM$4&gt;=$C$1),'General Inputs'!O$11*$G31,0))</f>
        <v>0</v>
      </c>
      <c r="BN31" s="214">
        <f>IF(AND(($E31+$C$1)&gt;BN$4,BN$4&gt;=$C$1),'General Inputs'!P$11*$H31,IF(AND(($D31+$C$1)&gt;BN$4,BN$4&gt;=$C$1),'General Inputs'!P$11*$G31,0))</f>
        <v>0</v>
      </c>
      <c r="BO31" s="214">
        <f>IF(AND(($E31+$C$1)&gt;BO$4,BO$4&gt;=$C$1),'General Inputs'!Q$11*$H31,IF(AND(($D31+$C$1)&gt;BO$4,BO$4&gt;=$C$1),'General Inputs'!Q$11*$G31,0))</f>
        <v>0</v>
      </c>
      <c r="BP31" s="214">
        <f>IF(AND(($E31+$C$1)&gt;BP$4,BP$4&gt;=$C$1),'General Inputs'!R$11*$H31,IF(AND(($D31+$C$1)&gt;BP$4,BP$4&gt;=$C$1),'General Inputs'!R$11*$G31,0))</f>
        <v>0</v>
      </c>
      <c r="BQ31" s="214">
        <f>IF(AND(($E31+$C$1)&gt;BQ$4,BQ$4&gt;=$C$1),'General Inputs'!S$11*$H31,IF(AND(($D31+$C$1)&gt;BQ$4,BQ$4&gt;=$C$1),'General Inputs'!S$11*$G31,0))</f>
        <v>0</v>
      </c>
      <c r="BR31" s="214">
        <f>IF(AND(($E31+$C$1)&gt;BR$4,BR$4&gt;=$C$1),'General Inputs'!T$11*$H31,IF(AND(($D31+$C$1)&gt;BR$4,BR$4&gt;=$C$1),'General Inputs'!T$11*$G31,0))</f>
        <v>0</v>
      </c>
      <c r="BS31" s="214">
        <f>IF(AND(($E31+$C$1)&gt;BS$4,BS$4&gt;=$C$1),'General Inputs'!U$11*$H31,IF(AND(($D31+$C$1)&gt;BS$4,BS$4&gt;=$C$1),'General Inputs'!U$11*$G31,0))</f>
        <v>0</v>
      </c>
      <c r="BT31" s="214">
        <f>IF(AND(($E31+$C$1)&gt;BT$4,BT$4&gt;=$C$1),'General Inputs'!V$11*$H31,IF(AND(($D31+$C$1)&gt;BT$4,BT$4&gt;=$C$1),'General Inputs'!V$11*$G31,0))</f>
        <v>0</v>
      </c>
      <c r="BU31" s="214">
        <f>IF(AND(($E31+$C$1)&gt;BU$4,BU$4&gt;=$C$1),'General Inputs'!W$11*$H31,IF(AND(($D31+$C$1)&gt;BU$4,BU$4&gt;=$C$1),'General Inputs'!W$11*$G31,0))</f>
        <v>0</v>
      </c>
      <c r="BW31" s="214">
        <f>IF(AND(($E31+$C$1)&gt;BW$4,BW$4&gt;=$C$1),$H31,IF(AND(($D31+$C$1)&gt;BW$4,BW$4&gt;=$C$1),$G31,0))*IF($A31="Residential",'General Inputs'!D$14,'General Inputs'!D$19)</f>
        <v>0</v>
      </c>
      <c r="BX31" s="214">
        <f>IF(AND(($E31+$C$1)&gt;BX$4,BX$4&gt;=$C$1),$H31,IF(AND(($D31+$C$1)&gt;BX$4,BX$4&gt;=$C$1),$G31,0))*IF($A31="Residential",'General Inputs'!E$14,'General Inputs'!E$19)</f>
        <v>1306.4208057482379</v>
      </c>
      <c r="BY31" s="214">
        <f>IF(AND(($E31+$C$1)&gt;BY$4,BY$4&gt;=$C$1),$H31,IF(AND(($D31+$C$1)&gt;BY$4,BY$4&gt;=$C$1),$G31,0))*IF($A31="Residential",'General Inputs'!F$14,'General Inputs'!F$19)</f>
        <v>1326.0171178344613</v>
      </c>
      <c r="BZ31" s="214">
        <f>IF(AND(($E31+$C$1)&gt;BZ$4,BZ$4&gt;=$C$1),$H31,IF(AND(($D31+$C$1)&gt;BZ$4,BZ$4&gt;=$C$1),$G31,0))*IF($A31="Residential",'General Inputs'!G$14,'General Inputs'!G$19)</f>
        <v>0</v>
      </c>
      <c r="CA31" s="214">
        <f>IF(AND(($E31+$C$1)&gt;CA$4,CA$4&gt;=$C$1),$H31,IF(AND(($D31+$C$1)&gt;CA$4,CA$4&gt;=$C$1),$G31,0))*IF($A31="Residential",'General Inputs'!H$14,'General Inputs'!H$19)</f>
        <v>0</v>
      </c>
      <c r="CB31" s="214">
        <f>IF(AND(($E31+$C$1)&gt;CB$4,CB$4&gt;=$C$1),$H31,IF(AND(($D31+$C$1)&gt;CB$4,CB$4&gt;=$C$1),$G31,0))*IF($A31="Residential",'General Inputs'!I$14,'General Inputs'!I$19)</f>
        <v>0</v>
      </c>
      <c r="CC31" s="214">
        <f>IF(AND(($E31+$C$1)&gt;CC$4,CC$4&gt;=$C$1),$H31,IF(AND(($D31+$C$1)&gt;CC$4,CC$4&gt;=$C$1),$G31,0))*IF($A31="Residential",'General Inputs'!J$14,'General Inputs'!J$19)</f>
        <v>0</v>
      </c>
      <c r="CD31" s="214">
        <f>IF(AND(($E31+$C$1)&gt;CD$4,CD$4&gt;=$C$1),$H31,IF(AND(($D31+$C$1)&gt;CD$4,CD$4&gt;=$C$1),$G31,0))*IF($A31="Residential",'General Inputs'!K$14,'General Inputs'!K$19)</f>
        <v>0</v>
      </c>
      <c r="CE31" s="214">
        <f>IF(AND(($E31+$C$1)&gt;CE$4,CE$4&gt;=$C$1),$H31,IF(AND(($D31+$C$1)&gt;CE$4,CE$4&gt;=$C$1),$G31,0))*IF($A31="Residential",'General Inputs'!L$14,'General Inputs'!L$19)</f>
        <v>0</v>
      </c>
      <c r="CF31" s="214">
        <f>IF(AND(($E31+$C$1)&gt;CF$4,CF$4&gt;=$C$1),$H31,IF(AND(($D31+$C$1)&gt;CF$4,CF$4&gt;=$C$1),$G31,0))*IF($A31="Residential",'General Inputs'!M$14,'General Inputs'!M$19)</f>
        <v>0</v>
      </c>
      <c r="CG31" s="214">
        <f>IF(AND(($E31+$C$1)&gt;CG$4,CG$4&gt;=$C$1),$H31,IF(AND(($D31+$C$1)&gt;CG$4,CG$4&gt;=$C$1),$G31,0))*IF($A31="Residential",'General Inputs'!N$14,'General Inputs'!N$19)</f>
        <v>0</v>
      </c>
      <c r="CH31" s="214">
        <f>IF(AND(($E31+$C$1)&gt;CH$4,CH$4&gt;=$C$1),$H31,IF(AND(($D31+$C$1)&gt;CH$4,CH$4&gt;=$C$1),$G31,0))*IF($A31="Residential",'General Inputs'!O$14,'General Inputs'!O$19)</f>
        <v>0</v>
      </c>
      <c r="CI31" s="214">
        <f>IF(AND(($E31+$C$1)&gt;CI$4,CI$4&gt;=$C$1),$H31,IF(AND(($D31+$C$1)&gt;CI$4,CI$4&gt;=$C$1),$G31,0))*IF($A31="Residential",'General Inputs'!P$14,'General Inputs'!P$19)</f>
        <v>0</v>
      </c>
      <c r="CJ31" s="214">
        <f>IF(AND(($E31+$C$1)&gt;CJ$4,CJ$4&gt;=$C$1),$H31,IF(AND(($D31+$C$1)&gt;CJ$4,CJ$4&gt;=$C$1),$G31,0))*IF($A31="Residential",'General Inputs'!Q$14,'General Inputs'!Q$19)</f>
        <v>0</v>
      </c>
      <c r="CK31" s="214">
        <f>IF(AND(($E31+$C$1)&gt;CK$4,CK$4&gt;=$C$1),$H31,IF(AND(($D31+$C$1)&gt;CK$4,CK$4&gt;=$C$1),$G31,0))*IF($A31="Residential",'General Inputs'!R$14,'General Inputs'!R$19)</f>
        <v>0</v>
      </c>
      <c r="CL31" s="214">
        <f>IF(AND(($E31+$C$1)&gt;CL$4,CL$4&gt;=$C$1),$H31,IF(AND(($D31+$C$1)&gt;CL$4,CL$4&gt;=$C$1),$G31,0))*IF($A31="Residential",'General Inputs'!S$14,'General Inputs'!S$19)</f>
        <v>0</v>
      </c>
      <c r="CM31" s="214">
        <f>IF(AND(($E31+$C$1)&gt;CM$4,CM$4&gt;=$C$1),$H31,IF(AND(($D31+$C$1)&gt;CM$4,CM$4&gt;=$C$1),$G31,0))*IF($A31="Residential",'General Inputs'!T$14,'General Inputs'!T$19)</f>
        <v>0</v>
      </c>
      <c r="CN31" s="214">
        <f>IF(AND(($E31+$C$1)&gt;CN$4,CN$4&gt;=$C$1),$H31,IF(AND(($D31+$C$1)&gt;CN$4,CN$4&gt;=$C$1),$G31,0))*IF($A31="Residential",'General Inputs'!U$14,'General Inputs'!U$19)</f>
        <v>0</v>
      </c>
      <c r="CO31" s="214">
        <f>IF(AND(($E31+$C$1)&gt;CO$4,CO$4&gt;=$C$1),$H31,IF(AND(($D31+$C$1)&gt;CO$4,CO$4&gt;=$C$1),$G31,0))*IF($A31="Residential",'General Inputs'!V$14,'General Inputs'!V$19)</f>
        <v>0</v>
      </c>
      <c r="CP31" s="214">
        <f>IF(AND(($E31+$C$1)&gt;CP$4,CP$4&gt;=$C$1),$H31,IF(AND(($D31+$C$1)&gt;CP$4,CP$4&gt;=$C$1),$G31,0))*IF($A31="Residential",'General Inputs'!W$14,'General Inputs'!W$19)</f>
        <v>0</v>
      </c>
      <c r="CR31" s="214">
        <f>IF(AND(($E31+$C$1)&gt;CR$4,CR$4&gt;=$C$1),$H31,IF(AND(($D31+$C$1)&gt;CR$4,CR$4&gt;=$C$1),$G31,0))*IF($A31="Residential",'General Inputs'!D$15,'General Inputs'!D$19)</f>
        <v>0</v>
      </c>
      <c r="CS31" s="214">
        <f>IF(AND(($E31+$C$1)&gt;CS$4,CS$4&gt;=$C$1),$H31,IF(AND(($D31+$C$1)&gt;CS$4,CS$4&gt;=$C$1),$G31,0))*IF($A31="Residential",'General Inputs'!E$15,'General Inputs'!E$19)</f>
        <v>1062.784142407701</v>
      </c>
      <c r="CT31" s="214">
        <f>IF(AND(($E31+$C$1)&gt;CT$4,CT$4&gt;=$C$1),$H31,IF(AND(($D31+$C$1)&gt;CT$4,CT$4&gt;=$C$1),$G31,0))*IF($A31="Residential",'General Inputs'!F$15,'General Inputs'!F$19)</f>
        <v>1078.7259045438163</v>
      </c>
      <c r="CU31" s="214">
        <f>IF(AND(($E31+$C$1)&gt;CU$4,CU$4&gt;=$C$1),$H31,IF(AND(($D31+$C$1)&gt;CU$4,CU$4&gt;=$C$1),$G31,0))*IF($A31="Residential",'General Inputs'!G$15,'General Inputs'!G$19)</f>
        <v>0</v>
      </c>
      <c r="CV31" s="214">
        <f>IF(AND(($E31+$C$1)&gt;CV$4,CV$4&gt;=$C$1),$H31,IF(AND(($D31+$C$1)&gt;CV$4,CV$4&gt;=$C$1),$G31,0))*IF($A31="Residential",'General Inputs'!H$15,'General Inputs'!H$19)</f>
        <v>0</v>
      </c>
      <c r="CW31" s="214">
        <f>IF(AND(($E31+$C$1)&gt;CW$4,CW$4&gt;=$C$1),$H31,IF(AND(($D31+$C$1)&gt;CW$4,CW$4&gt;=$C$1),$G31,0))*IF($A31="Residential",'General Inputs'!I$15,'General Inputs'!I$19)</f>
        <v>0</v>
      </c>
      <c r="CX31" s="214">
        <f>IF(AND(($E31+$C$1)&gt;CX$4,CX$4&gt;=$C$1),$H31,IF(AND(($D31+$C$1)&gt;CX$4,CX$4&gt;=$C$1),$G31,0))*IF($A31="Residential",'General Inputs'!J$15,'General Inputs'!J$19)</f>
        <v>0</v>
      </c>
      <c r="CY31" s="214">
        <f>IF(AND(($E31+$C$1)&gt;CY$4,CY$4&gt;=$C$1),$H31,IF(AND(($D31+$C$1)&gt;CY$4,CY$4&gt;=$C$1),$G31,0))*IF($A31="Residential",'General Inputs'!K$15,'General Inputs'!K$19)</f>
        <v>0</v>
      </c>
      <c r="CZ31" s="214">
        <f>IF(AND(($E31+$C$1)&gt;CZ$4,CZ$4&gt;=$C$1),$H31,IF(AND(($D31+$C$1)&gt;CZ$4,CZ$4&gt;=$C$1),$G31,0))*IF($A31="Residential",'General Inputs'!L$15,'General Inputs'!L$19)</f>
        <v>0</v>
      </c>
      <c r="DA31" s="214">
        <f>IF(AND(($E31+$C$1)&gt;DA$4,DA$4&gt;=$C$1),$H31,IF(AND(($D31+$C$1)&gt;DA$4,DA$4&gt;=$C$1),$G31,0))*IF($A31="Residential",'General Inputs'!M$15,'General Inputs'!M$19)</f>
        <v>0</v>
      </c>
      <c r="DB31" s="214">
        <f>IF(AND(($E31+$C$1)&gt;DB$4,DB$4&gt;=$C$1),$H31,IF(AND(($D31+$C$1)&gt;DB$4,DB$4&gt;=$C$1),$G31,0))*IF($A31="Residential",'General Inputs'!N$15,'General Inputs'!N$19)</f>
        <v>0</v>
      </c>
      <c r="DC31" s="214">
        <f>IF(AND(($E31+$C$1)&gt;DC$4,DC$4&gt;=$C$1),$H31,IF(AND(($D31+$C$1)&gt;DC$4,DC$4&gt;=$C$1),$G31,0))*IF($A31="Residential",'General Inputs'!O$15,'General Inputs'!O$19)</f>
        <v>0</v>
      </c>
      <c r="DD31" s="214">
        <f>IF(AND(($E31+$C$1)&gt;DD$4,DD$4&gt;=$C$1),$H31,IF(AND(($D31+$C$1)&gt;DD$4,DD$4&gt;=$C$1),$G31,0))*IF($A31="Residential",'General Inputs'!P$15,'General Inputs'!P$19)</f>
        <v>0</v>
      </c>
      <c r="DE31" s="214">
        <f>IF(AND(($E31+$C$1)&gt;DE$4,DE$4&gt;=$C$1),$H31,IF(AND(($D31+$C$1)&gt;DE$4,DE$4&gt;=$C$1),$G31,0))*IF($A31="Residential",'General Inputs'!Q$15,'General Inputs'!Q$19)</f>
        <v>0</v>
      </c>
      <c r="DF31" s="214">
        <f>IF(AND(($E31+$C$1)&gt;DF$4,DF$4&gt;=$C$1),$H31,IF(AND(($D31+$C$1)&gt;DF$4,DF$4&gt;=$C$1),$G31,0))*IF($A31="Residential",'General Inputs'!R$15,'General Inputs'!R$19)</f>
        <v>0</v>
      </c>
      <c r="DG31" s="214">
        <f>IF(AND(($E31+$C$1)&gt;DG$4,DG$4&gt;=$C$1),$H31,IF(AND(($D31+$C$1)&gt;DG$4,DG$4&gt;=$C$1),$G31,0))*IF($A31="Residential",'General Inputs'!S$15,'General Inputs'!S$19)</f>
        <v>0</v>
      </c>
      <c r="DH31" s="214">
        <f>IF(AND(($E31+$C$1)&gt;DH$4,DH$4&gt;=$C$1),$H31,IF(AND(($D31+$C$1)&gt;DH$4,DH$4&gt;=$C$1),$G31,0))*IF($A31="Residential",'General Inputs'!T$15,'General Inputs'!T$19)</f>
        <v>0</v>
      </c>
      <c r="DI31" s="214">
        <f>IF(AND(($E31+$C$1)&gt;DI$4,DI$4&gt;=$C$1),$H31,IF(AND(($D31+$C$1)&gt;DI$4,DI$4&gt;=$C$1),$G31,0))*IF($A31="Residential",'General Inputs'!U$15,'General Inputs'!U$19)</f>
        <v>0</v>
      </c>
      <c r="DJ31" s="214">
        <f>IF(AND(($E31+$C$1)&gt;DJ$4,DJ$4&gt;=$C$1),$H31,IF(AND(($D31+$C$1)&gt;DJ$4,DJ$4&gt;=$C$1),$G31,0))*IF($A31="Residential",'General Inputs'!V$15,'General Inputs'!V$19)</f>
        <v>0</v>
      </c>
      <c r="DK31" s="214">
        <f>IF(AND(($E31+$C$1)&gt;DK$4,DK$4&gt;=$C$1),$H31,IF(AND(($D31+$C$1)&gt;DK$4,DK$4&gt;=$C$1),$G31,0))*IF($A31="Residential",'General Inputs'!W$15,'General Inputs'!W$19)</f>
        <v>0</v>
      </c>
      <c r="DM31" s="214">
        <f t="shared" si="47"/>
        <v>0</v>
      </c>
      <c r="DN31" s="214">
        <f t="shared" si="47"/>
        <v>0</v>
      </c>
      <c r="DO31" s="214">
        <f t="shared" si="47"/>
        <v>0</v>
      </c>
      <c r="DP31" s="214">
        <f t="shared" si="47"/>
        <v>0</v>
      </c>
      <c r="DQ31" s="214">
        <f t="shared" si="47"/>
        <v>0</v>
      </c>
      <c r="DR31" s="214">
        <f t="shared" si="47"/>
        <v>0</v>
      </c>
      <c r="DS31" s="214">
        <f t="shared" si="47"/>
        <v>0</v>
      </c>
      <c r="DT31" s="214">
        <f t="shared" si="47"/>
        <v>0</v>
      </c>
      <c r="DU31" s="214">
        <f t="shared" si="47"/>
        <v>0</v>
      </c>
      <c r="DV31" s="214">
        <f t="shared" si="47"/>
        <v>0</v>
      </c>
      <c r="DW31" s="214">
        <f t="shared" si="47"/>
        <v>0</v>
      </c>
      <c r="DZ31" s="650"/>
      <c r="FI31" s="195"/>
      <c r="FJ31" s="195"/>
      <c r="FK31" s="195"/>
      <c r="FL31" s="195"/>
      <c r="FM31" s="195"/>
      <c r="FN31" s="195"/>
      <c r="FO31" s="195"/>
    </row>
    <row r="32" spans="1:171">
      <c r="A32" s="342" t="s">
        <v>12</v>
      </c>
      <c r="B32" s="427" t="str">
        <f>'Portfolio Inputs'!A31</f>
        <v>Water Heater Tank Wrap</v>
      </c>
      <c r="C32" s="217">
        <f>IF($C$1=2014,'Portfolio Inputs'!$C31,IF($C$1=2015,'Portfolio Inputs'!$D31,'Portfolio Inputs'!$E31))</f>
        <v>125</v>
      </c>
      <c r="D32" s="504">
        <f>VLOOKUP(B32,Sources!$B$4:$J$104,2,FALSE)</f>
        <v>5</v>
      </c>
      <c r="E32" s="504">
        <f>VLOOKUP(B32,Sources!$B$4:$J$104,3,FALSE)</f>
        <v>0</v>
      </c>
      <c r="G32" s="504">
        <f>IF($C$1=2014,'Portfolio Inputs'!$G31,IF($C$1=2015,'Portfolio Inputs'!$H31,'Portfolio Inputs'!$I31))*EnergyLineLoss</f>
        <v>10339.125</v>
      </c>
      <c r="H32" s="504"/>
      <c r="I32" s="504">
        <f>IF($C$1=2014,'Portfolio Inputs'!$K31,IF($C$1=2015,'Portfolio Inputs'!$L31,'Portfolio Inputs'!$M31))*PeakLineLoss</f>
        <v>1.177875</v>
      </c>
      <c r="J32" s="510"/>
      <c r="L32" s="606">
        <f>IF($C$1=2014,'Portfolio Inputs'!$O31,IF($C$1=2015,'Portfolio Inputs'!$P31,'Portfolio Inputs'!$Q31))</f>
        <v>0</v>
      </c>
      <c r="M32" s="518">
        <f>VLOOKUP($B32,Sources!$B$4:$K$104,10,FALSE)</f>
        <v>0</v>
      </c>
      <c r="N32" s="419">
        <f>IF($C$1=2014,'Portfolio Inputs'!$W31,IF($C$1=2015,'Portfolio Inputs'!$X31,'Portfolio Inputs'!$Y31))</f>
        <v>0</v>
      </c>
      <c r="O32" s="419"/>
      <c r="Q32" s="438" t="str">
        <f t="shared" si="67"/>
        <v>n/a</v>
      </c>
      <c r="R32" s="439" t="str">
        <f t="shared" si="68"/>
        <v>n/a</v>
      </c>
      <c r="S32" s="439" t="str">
        <f t="shared" si="69"/>
        <v>n/a</v>
      </c>
      <c r="T32" s="439" t="str">
        <f t="shared" si="70"/>
        <v>n/a</v>
      </c>
      <c r="U32" s="439" t="str">
        <f t="shared" si="71"/>
        <v>n/a</v>
      </c>
      <c r="V32" s="439">
        <f t="shared" si="72"/>
        <v>0.30930538080626291</v>
      </c>
      <c r="W32" s="439">
        <f t="shared" si="73"/>
        <v>0.38021171815731775</v>
      </c>
      <c r="Y32" s="215">
        <f t="shared" si="4"/>
        <v>1749.1998746675727</v>
      </c>
      <c r="Z32" s="215">
        <f t="shared" si="5"/>
        <v>460.36735616076896</v>
      </c>
      <c r="AA32" s="215">
        <f t="shared" si="6"/>
        <v>5655.2520040484023</v>
      </c>
      <c r="AB32" s="215">
        <f t="shared" si="7"/>
        <v>4600.5943297723861</v>
      </c>
      <c r="AC32" s="216">
        <f t="shared" si="20"/>
        <v>0</v>
      </c>
      <c r="AD32" s="216">
        <f t="shared" si="21"/>
        <v>0</v>
      </c>
      <c r="AE32" s="215">
        <f t="shared" si="8"/>
        <v>0</v>
      </c>
      <c r="AG32" s="214">
        <f>IF(AND(($E32+$C$1)&gt;AG$4,AG$4&gt;=$C$1),'General Inputs'!D$9*$H32,IF(AND(($D32+$C$1)&gt;AG$4,AG$4&gt;=$C$1),'General Inputs'!D$9*$G32,0))+IF(AND(($E32+$C$1)&gt;AG$4,AG$4&gt;=$C$1),'General Inputs'!D$10*$J32,IF(AND(($D32+$C$1)&gt;AG$4,AG$4&gt;=$C$1),'General Inputs'!D$10*$I32,0))</f>
        <v>0</v>
      </c>
      <c r="AH32" s="214">
        <f>IF(AND(($E32+$C$1)&gt;AH$4,AH$4&gt;=$C$1),'General Inputs'!E$9*$H32,IF(AND(($D32+$C$1)&gt;AH$4,AH$4&gt;=$C$1),'General Inputs'!E$9*$G32,0))+IF(AND(($E32+$C$1)&gt;AH$4,AH$4&gt;=$C$1),'General Inputs'!E$10*$J32,IF(AND(($D32+$C$1)&gt;AH$4,AH$4&gt;=$C$1),'General Inputs'!E$10*$I32,0))</f>
        <v>435.70050173064476</v>
      </c>
      <c r="AI32" s="214">
        <f>IF(AND(($E32+$C$1)&gt;AI$4,AI$4&gt;=$C$1),'General Inputs'!F$9*$H32,IF(AND(($D32+$C$1)&gt;AI$4,AI$4&gt;=$C$1),'General Inputs'!F$9*$G32,0))+IF(AND(($E32+$C$1)&gt;AI$4,AI$4&gt;=$C$1),'General Inputs'!F$10*$J32,IF(AND(($D32+$C$1)&gt;AI$4,AI$4&gt;=$C$1),'General Inputs'!F$10*$I32,0))</f>
        <v>442.23600925660435</v>
      </c>
      <c r="AJ32" s="214">
        <f>IF(AND(($E32+$C$1)&gt;AJ$4,AJ$4&gt;=$C$1),'General Inputs'!G$9*$H32,IF(AND(($D32+$C$1)&gt;AJ$4,AJ$4&gt;=$C$1),'General Inputs'!G$9*$G32,0))+IF(AND(($E32+$C$1)&gt;AJ$4,AJ$4&gt;=$C$1),'General Inputs'!G$10*$J32,IF(AND(($D32+$C$1)&gt;AJ$4,AJ$4&gt;=$C$1),'General Inputs'!G$10*$I32,0))</f>
        <v>448.86954939545342</v>
      </c>
      <c r="AK32" s="214">
        <f>IF(AND(($E32+$C$1)&gt;AK$4,AK$4&gt;=$C$1),'General Inputs'!H$9*$H32,IF(AND(($D32+$C$1)&gt;AK$4,AK$4&gt;=$C$1),'General Inputs'!H$9*$G32,0))+IF(AND(($E32+$C$1)&gt;AK$4,AK$4&gt;=$C$1),'General Inputs'!H$10*$J32,IF(AND(($D32+$C$1)&gt;AK$4,AK$4&gt;=$C$1),'General Inputs'!H$10*$I32,0))</f>
        <v>455.60259263638511</v>
      </c>
      <c r="AL32" s="214">
        <f>IF(AND(($E32+$C$1)&gt;AL$4,AL$4&gt;=$C$1),'General Inputs'!I$9*$H32,IF(AND(($D32+$C$1)&gt;AL$4,AL$4&gt;=$C$1),'General Inputs'!I$9*$G32,0))+IF(AND(($E32+$C$1)&gt;AL$4,AL$4&gt;=$C$1),'General Inputs'!I$10*$J32,IF(AND(($D32+$C$1)&gt;AL$4,AL$4&gt;=$C$1),'General Inputs'!I$10*$I32,0))</f>
        <v>462.43663152593086</v>
      </c>
      <c r="AM32" s="214">
        <f>IF(AND(($E32+$C$1)&gt;AM$4,AM$4&gt;=$C$1),'General Inputs'!J$9*$H32,IF(AND(($D32+$C$1)&gt;AM$4,AM$4&gt;=$C$1),'General Inputs'!J$9*$G32,0))+IF(AND(($E32+$C$1)&gt;AM$4,AM$4&gt;=$C$1),'General Inputs'!J$10*$J32,IF(AND(($D32+$C$1)&gt;AM$4,AM$4&gt;=$C$1),'General Inputs'!J$10*$I32,0))</f>
        <v>0</v>
      </c>
      <c r="AN32" s="214">
        <f>IF(AND(($E32+$C$1)&gt;AN$4,AN$4&gt;=$C$1),'General Inputs'!K$9*$H32,IF(AND(($D32+$C$1)&gt;AN$4,AN$4&gt;=$C$1),'General Inputs'!K$9*$G32,0))+IF(AND(($E32+$C$1)&gt;AN$4,AN$4&gt;=$C$1),'General Inputs'!K$10*$J32,IF(AND(($D32+$C$1)&gt;AN$4,AN$4&gt;=$C$1),'General Inputs'!K$10*$I32,0))</f>
        <v>0</v>
      </c>
      <c r="AO32" s="214">
        <f>IF(AND(($E32+$C$1)&gt;AO$4,AO$4&gt;=$C$1),'General Inputs'!L$9*$H32,IF(AND(($D32+$C$1)&gt;AO$4,AO$4&gt;=$C$1),'General Inputs'!L$9*$G32,0))+IF(AND(($E32+$C$1)&gt;AO$4,AO$4&gt;=$C$1),'General Inputs'!L$10*$J32,IF(AND(($D32+$C$1)&gt;AO$4,AO$4&gt;=$C$1),'General Inputs'!L$10*$I32,0))</f>
        <v>0</v>
      </c>
      <c r="AP32" s="214">
        <f>IF(AND(($E32+$C$1)&gt;AP$4,AP$4&gt;=$C$1),'General Inputs'!M$9*$H32,IF(AND(($D32+$C$1)&gt;AP$4,AP$4&gt;=$C$1),'General Inputs'!M$9*$G32,0))+IF(AND(($E32+$C$1)&gt;AP$4,AP$4&gt;=$C$1),'General Inputs'!M$10*$J32,IF(AND(($D32+$C$1)&gt;AP$4,AP$4&gt;=$C$1),'General Inputs'!M$10*$I32,0))</f>
        <v>0</v>
      </c>
      <c r="AQ32" s="214">
        <f>IF(AND(($E32+$C$1)&gt;AQ$4,AQ$4&gt;=$C$1),'General Inputs'!N$9*$H32,IF(AND(($D32+$C$1)&gt;AQ$4,AQ$4&gt;=$C$1),'General Inputs'!N$9*$G32,0))+IF(AND(($E32+$C$1)&gt;AQ$4,AQ$4&gt;=$C$1),'General Inputs'!N$10*$J32,IF(AND(($D32+$C$1)&gt;AQ$4,AQ$4&gt;=$C$1),'General Inputs'!N$10*$I32,0))</f>
        <v>0</v>
      </c>
      <c r="AR32" s="214">
        <f>IF(AND(($E32+$C$1)&gt;AR$4,AR$4&gt;=$C$1),'General Inputs'!O$9*$H32,IF(AND(($D32+$C$1)&gt;AR$4,AR$4&gt;=$C$1),'General Inputs'!O$9*$G32,0))+IF(AND(($E32+$C$1)&gt;AR$4,AR$4&gt;=$C$1),'General Inputs'!O$10*$J32,IF(AND(($D32+$C$1)&gt;AR$4,AR$4&gt;=$C$1),'General Inputs'!O$10*$I32,0))</f>
        <v>0</v>
      </c>
      <c r="AS32" s="214">
        <f>IF(AND(($E32+$C$1)&gt;AS$4,AS$4&gt;=$C$1),'General Inputs'!P$9*$H32,IF(AND(($D32+$C$1)&gt;AS$4,AS$4&gt;=$C$1),'General Inputs'!P$9*$G32,0))+IF(AND(($E32+$C$1)&gt;AS$4,AS$4&gt;=$C$1),'General Inputs'!P$10*$J32,IF(AND(($D32+$C$1)&gt;AS$4,AS$4&gt;=$C$1),'General Inputs'!P$10*$I32,0))</f>
        <v>0</v>
      </c>
      <c r="AT32" s="214">
        <f>IF(AND(($E32+$C$1)&gt;AT$4,AT$4&gt;=$C$1),'General Inputs'!Q$9*$H32,IF(AND(($D32+$C$1)&gt;AT$4,AT$4&gt;=$C$1),'General Inputs'!Q$9*$G32,0))+IF(AND(($E32+$C$1)&gt;AT$4,AT$4&gt;=$C$1),'General Inputs'!Q$10*$J32,IF(AND(($D32+$C$1)&gt;AT$4,AT$4&gt;=$C$1),'General Inputs'!Q$10*$I32,0))</f>
        <v>0</v>
      </c>
      <c r="AU32" s="214">
        <f>IF(AND(($E32+$C$1)&gt;AU$4,AU$4&gt;=$C$1),'General Inputs'!R$9*$H32,IF(AND(($D32+$C$1)&gt;AU$4,AU$4&gt;=$C$1),'General Inputs'!R$9*$G32,0))+IF(AND(($E32+$C$1)&gt;AU$4,AU$4&gt;=$C$1),'General Inputs'!R$10*$J32,IF(AND(($D32+$C$1)&gt;AU$4,AU$4&gt;=$C$1),'General Inputs'!R$10*$I32,0))</f>
        <v>0</v>
      </c>
      <c r="AV32" s="214">
        <f>IF(AND(($E32+$C$1)&gt;AV$4,AV$4&gt;=$C$1),'General Inputs'!S$9*$H32,IF(AND(($D32+$C$1)&gt;AV$4,AV$4&gt;=$C$1),'General Inputs'!S$9*$G32,0))+IF(AND(($E32+$C$1)&gt;AV$4,AV$4&gt;=$C$1),'General Inputs'!S$10*$J32,IF(AND(($D32+$C$1)&gt;AV$4,AV$4&gt;=$C$1),'General Inputs'!S$10*$I32,0))</f>
        <v>0</v>
      </c>
      <c r="AW32" s="214">
        <f>IF(AND(($E32+$C$1)&gt;AW$4,AW$4&gt;=$C$1),'General Inputs'!T$9*$H32,IF(AND(($D32+$C$1)&gt;AW$4,AW$4&gt;=$C$1),'General Inputs'!T$9*$G32,0))+IF(AND(($E32+$C$1)&gt;AW$4,AW$4&gt;=$C$1),'General Inputs'!T$10*$J32,IF(AND(($D32+$C$1)&gt;AW$4,AW$4&gt;=$C$1),'General Inputs'!T$10*$I32,0))</f>
        <v>0</v>
      </c>
      <c r="AX32" s="214">
        <f>IF(AND(($E32+$C$1)&gt;AX$4,AX$4&gt;=$C$1),'General Inputs'!U$9*$H32,IF(AND(($D32+$C$1)&gt;AX$4,AX$4&gt;=$C$1),'General Inputs'!U$9*$G32,0))+IF(AND(($E32+$C$1)&gt;AX$4,AX$4&gt;=$C$1),'General Inputs'!U$10*$J32,IF(AND(($D32+$C$1)&gt;AX$4,AX$4&gt;=$C$1),'General Inputs'!U$10*$I32,0))</f>
        <v>0</v>
      </c>
      <c r="AY32" s="214">
        <f>IF(AND(($E32+$C$1)&gt;AY$4,AY$4&gt;=$C$1),'General Inputs'!V$9*$H32,IF(AND(($D32+$C$1)&gt;AY$4,AY$4&gt;=$C$1),'General Inputs'!V$9*$G32,0))+IF(AND(($E32+$C$1)&gt;AY$4,AY$4&gt;=$C$1),'General Inputs'!V$10*$J32,IF(AND(($D32+$C$1)&gt;AY$4,AY$4&gt;=$C$1),'General Inputs'!V$10*$I32,0))</f>
        <v>0</v>
      </c>
      <c r="AZ32" s="214">
        <f>IF(AND(($E32+$C$1)&gt;AZ$4,AZ$4&gt;=$C$1),'General Inputs'!W$9*$H32,IF(AND(($D32+$C$1)&gt;AZ$4,AZ$4&gt;=$C$1),'General Inputs'!W$9*$G32,0))+IF(AND(($E32+$C$1)&gt;AZ$4,AZ$4&gt;=$C$1),'General Inputs'!W$10*$J32,IF(AND(($D32+$C$1)&gt;AZ$4,AZ$4&gt;=$C$1),'General Inputs'!W$10*$I32,0))</f>
        <v>0</v>
      </c>
      <c r="BB32" s="214">
        <f>IF(AND(($E32+$C$1)&gt;BB$4,BB$4&gt;=$C$1),'General Inputs'!D$11*$H32,IF(AND(($D32+$C$1)&gt;BB$4,BB$4&gt;=$C$1),'General Inputs'!D$11*$G32,0))</f>
        <v>0</v>
      </c>
      <c r="BC32" s="214">
        <f>IF(AND(($E32+$C$1)&gt;BC$4,BC$4&gt;=$C$1),'General Inputs'!E$11*$H32,IF(AND(($D32+$C$1)&gt;BC$4,BC$4&gt;=$C$1),'General Inputs'!E$11*$G32,0))</f>
        <v>117.86602500000001</v>
      </c>
      <c r="BD32" s="214">
        <f>IF(AND(($E32+$C$1)&gt;BD$4,BD$4&gt;=$C$1),'General Inputs'!F$11*$H32,IF(AND(($D32+$C$1)&gt;BD$4,BD$4&gt;=$C$1),'General Inputs'!F$11*$G32,0))</f>
        <v>117.86602500000001</v>
      </c>
      <c r="BE32" s="214">
        <f>IF(AND(($E32+$C$1)&gt;BE$4,BE$4&gt;=$C$1),'General Inputs'!G$11*$H32,IF(AND(($D32+$C$1)&gt;BE$4,BE$4&gt;=$C$1),'General Inputs'!G$11*$G32,0))</f>
        <v>117.86602500000001</v>
      </c>
      <c r="BF32" s="214">
        <f>IF(AND(($E32+$C$1)&gt;BF$4,BF$4&gt;=$C$1),'General Inputs'!H$11*$H32,IF(AND(($D32+$C$1)&gt;BF$4,BF$4&gt;=$C$1),'General Inputs'!H$11*$G32,0))</f>
        <v>117.86602500000001</v>
      </c>
      <c r="BG32" s="214">
        <f>IF(AND(($E32+$C$1)&gt;BG$4,BG$4&gt;=$C$1),'General Inputs'!I$11*$H32,IF(AND(($D32+$C$1)&gt;BG$4,BG$4&gt;=$C$1),'General Inputs'!I$11*$G32,0))</f>
        <v>117.86602500000001</v>
      </c>
      <c r="BH32" s="214">
        <f>IF(AND(($E32+$C$1)&gt;BH$4,BH$4&gt;=$C$1),'General Inputs'!J$11*$H32,IF(AND(($D32+$C$1)&gt;BH$4,BH$4&gt;=$C$1),'General Inputs'!J$11*$G32,0))</f>
        <v>0</v>
      </c>
      <c r="BI32" s="214">
        <f>IF(AND(($E32+$C$1)&gt;BI$4,BI$4&gt;=$C$1),'General Inputs'!K$11*$H32,IF(AND(($D32+$C$1)&gt;BI$4,BI$4&gt;=$C$1),'General Inputs'!K$11*$G32,0))</f>
        <v>0</v>
      </c>
      <c r="BJ32" s="214">
        <f>IF(AND(($E32+$C$1)&gt;BJ$4,BJ$4&gt;=$C$1),'General Inputs'!L$11*$H32,IF(AND(($D32+$C$1)&gt;BJ$4,BJ$4&gt;=$C$1),'General Inputs'!L$11*$G32,0))</f>
        <v>0</v>
      </c>
      <c r="BK32" s="214">
        <f>IF(AND(($E32+$C$1)&gt;BK$4,BK$4&gt;=$C$1),'General Inputs'!M$11*$H32,IF(AND(($D32+$C$1)&gt;BK$4,BK$4&gt;=$C$1),'General Inputs'!M$11*$G32,0))</f>
        <v>0</v>
      </c>
      <c r="BL32" s="214">
        <f>IF(AND(($E32+$C$1)&gt;BL$4,BL$4&gt;=$C$1),'General Inputs'!N$11*$H32,IF(AND(($D32+$C$1)&gt;BL$4,BL$4&gt;=$C$1),'General Inputs'!N$11*$G32,0))</f>
        <v>0</v>
      </c>
      <c r="BM32" s="214">
        <f>IF(AND(($E32+$C$1)&gt;BM$4,BM$4&gt;=$C$1),'General Inputs'!O$11*$H32,IF(AND(($D32+$C$1)&gt;BM$4,BM$4&gt;=$C$1),'General Inputs'!O$11*$G32,0))</f>
        <v>0</v>
      </c>
      <c r="BN32" s="214">
        <f>IF(AND(($E32+$C$1)&gt;BN$4,BN$4&gt;=$C$1),'General Inputs'!P$11*$H32,IF(AND(($D32+$C$1)&gt;BN$4,BN$4&gt;=$C$1),'General Inputs'!P$11*$G32,0))</f>
        <v>0</v>
      </c>
      <c r="BO32" s="214">
        <f>IF(AND(($E32+$C$1)&gt;BO$4,BO$4&gt;=$C$1),'General Inputs'!Q$11*$H32,IF(AND(($D32+$C$1)&gt;BO$4,BO$4&gt;=$C$1),'General Inputs'!Q$11*$G32,0))</f>
        <v>0</v>
      </c>
      <c r="BP32" s="214">
        <f>IF(AND(($E32+$C$1)&gt;BP$4,BP$4&gt;=$C$1),'General Inputs'!R$11*$H32,IF(AND(($D32+$C$1)&gt;BP$4,BP$4&gt;=$C$1),'General Inputs'!R$11*$G32,0))</f>
        <v>0</v>
      </c>
      <c r="BQ32" s="214">
        <f>IF(AND(($E32+$C$1)&gt;BQ$4,BQ$4&gt;=$C$1),'General Inputs'!S$11*$H32,IF(AND(($D32+$C$1)&gt;BQ$4,BQ$4&gt;=$C$1),'General Inputs'!S$11*$G32,0))</f>
        <v>0</v>
      </c>
      <c r="BR32" s="214">
        <f>IF(AND(($E32+$C$1)&gt;BR$4,BR$4&gt;=$C$1),'General Inputs'!T$11*$H32,IF(AND(($D32+$C$1)&gt;BR$4,BR$4&gt;=$C$1),'General Inputs'!T$11*$G32,0))</f>
        <v>0</v>
      </c>
      <c r="BS32" s="214">
        <f>IF(AND(($E32+$C$1)&gt;BS$4,BS$4&gt;=$C$1),'General Inputs'!U$11*$H32,IF(AND(($D32+$C$1)&gt;BS$4,BS$4&gt;=$C$1),'General Inputs'!U$11*$G32,0))</f>
        <v>0</v>
      </c>
      <c r="BT32" s="214">
        <f>IF(AND(($E32+$C$1)&gt;BT$4,BT$4&gt;=$C$1),'General Inputs'!V$11*$H32,IF(AND(($D32+$C$1)&gt;BT$4,BT$4&gt;=$C$1),'General Inputs'!V$11*$G32,0))</f>
        <v>0</v>
      </c>
      <c r="BU32" s="214">
        <f>IF(AND(($E32+$C$1)&gt;BU$4,BU$4&gt;=$C$1),'General Inputs'!W$11*$H32,IF(AND(($D32+$C$1)&gt;BU$4,BU$4&gt;=$C$1),'General Inputs'!W$11*$G32,0))</f>
        <v>0</v>
      </c>
      <c r="BW32" s="214">
        <f>IF(AND(($E32+$C$1)&gt;BW$4,BW$4&gt;=$C$1),$H32,IF(AND(($D32+$C$1)&gt;BW$4,BW$4&gt;=$C$1),$G32,0))*IF($A32="Residential",'General Inputs'!D$14,'General Inputs'!D$19)</f>
        <v>0</v>
      </c>
      <c r="BX32" s="214">
        <f>IF(AND(($E32+$C$1)&gt;BX$4,BX$4&gt;=$C$1),$H32,IF(AND(($D32+$C$1)&gt;BX$4,BX$4&gt;=$C$1),$G32,0))*IF($A32="Residential",'General Inputs'!E$14,'General Inputs'!E$19)</f>
        <v>1408.6418432001058</v>
      </c>
      <c r="BY32" s="214">
        <f>IF(AND(($E32+$C$1)&gt;BY$4,BY$4&gt;=$C$1),$H32,IF(AND(($D32+$C$1)&gt;BY$4,BY$4&gt;=$C$1),$G32,0))*IF($A32="Residential",'General Inputs'!F$14,'General Inputs'!F$19)</f>
        <v>1429.7714708481071</v>
      </c>
      <c r="BZ32" s="214">
        <f>IF(AND(($E32+$C$1)&gt;BZ$4,BZ$4&gt;=$C$1),$H32,IF(AND(($D32+$C$1)&gt;BZ$4,BZ$4&gt;=$C$1),$G32,0))*IF($A32="Residential",'General Inputs'!G$14,'General Inputs'!G$19)</f>
        <v>1451.2180429108284</v>
      </c>
      <c r="CA32" s="214">
        <f>IF(AND(($E32+$C$1)&gt;CA$4,CA$4&gt;=$C$1),$H32,IF(AND(($D32+$C$1)&gt;CA$4,CA$4&gt;=$C$1),$G32,0))*IF($A32="Residential",'General Inputs'!H$14,'General Inputs'!H$19)</f>
        <v>1472.9863135544906</v>
      </c>
      <c r="CB32" s="214">
        <f>IF(AND(($E32+$C$1)&gt;CB$4,CB$4&gt;=$C$1),$H32,IF(AND(($D32+$C$1)&gt;CB$4,CB$4&gt;=$C$1),$G32,0))*IF($A32="Residential",'General Inputs'!I$14,'General Inputs'!I$19)</f>
        <v>1495.081108257808</v>
      </c>
      <c r="CC32" s="214">
        <f>IF(AND(($E32+$C$1)&gt;CC$4,CC$4&gt;=$C$1),$H32,IF(AND(($D32+$C$1)&gt;CC$4,CC$4&gt;=$C$1),$G32,0))*IF($A32="Residential",'General Inputs'!J$14,'General Inputs'!J$19)</f>
        <v>0</v>
      </c>
      <c r="CD32" s="214">
        <f>IF(AND(($E32+$C$1)&gt;CD$4,CD$4&gt;=$C$1),$H32,IF(AND(($D32+$C$1)&gt;CD$4,CD$4&gt;=$C$1),$G32,0))*IF($A32="Residential",'General Inputs'!K$14,'General Inputs'!K$19)</f>
        <v>0</v>
      </c>
      <c r="CE32" s="214">
        <f>IF(AND(($E32+$C$1)&gt;CE$4,CE$4&gt;=$C$1),$H32,IF(AND(($D32+$C$1)&gt;CE$4,CE$4&gt;=$C$1),$G32,0))*IF($A32="Residential",'General Inputs'!L$14,'General Inputs'!L$19)</f>
        <v>0</v>
      </c>
      <c r="CF32" s="214">
        <f>IF(AND(($E32+$C$1)&gt;CF$4,CF$4&gt;=$C$1),$H32,IF(AND(($D32+$C$1)&gt;CF$4,CF$4&gt;=$C$1),$G32,0))*IF($A32="Residential",'General Inputs'!M$14,'General Inputs'!M$19)</f>
        <v>0</v>
      </c>
      <c r="CG32" s="214">
        <f>IF(AND(($E32+$C$1)&gt;CG$4,CG$4&gt;=$C$1),$H32,IF(AND(($D32+$C$1)&gt;CG$4,CG$4&gt;=$C$1),$G32,0))*IF($A32="Residential",'General Inputs'!N$14,'General Inputs'!N$19)</f>
        <v>0</v>
      </c>
      <c r="CH32" s="214">
        <f>IF(AND(($E32+$C$1)&gt;CH$4,CH$4&gt;=$C$1),$H32,IF(AND(($D32+$C$1)&gt;CH$4,CH$4&gt;=$C$1),$G32,0))*IF($A32="Residential",'General Inputs'!O$14,'General Inputs'!O$19)</f>
        <v>0</v>
      </c>
      <c r="CI32" s="214">
        <f>IF(AND(($E32+$C$1)&gt;CI$4,CI$4&gt;=$C$1),$H32,IF(AND(($D32+$C$1)&gt;CI$4,CI$4&gt;=$C$1),$G32,0))*IF($A32="Residential",'General Inputs'!P$14,'General Inputs'!P$19)</f>
        <v>0</v>
      </c>
      <c r="CJ32" s="214">
        <f>IF(AND(($E32+$C$1)&gt;CJ$4,CJ$4&gt;=$C$1),$H32,IF(AND(($D32+$C$1)&gt;CJ$4,CJ$4&gt;=$C$1),$G32,0))*IF($A32="Residential",'General Inputs'!Q$14,'General Inputs'!Q$19)</f>
        <v>0</v>
      </c>
      <c r="CK32" s="214">
        <f>IF(AND(($E32+$C$1)&gt;CK$4,CK$4&gt;=$C$1),$H32,IF(AND(($D32+$C$1)&gt;CK$4,CK$4&gt;=$C$1),$G32,0))*IF($A32="Residential",'General Inputs'!R$14,'General Inputs'!R$19)</f>
        <v>0</v>
      </c>
      <c r="CL32" s="214">
        <f>IF(AND(($E32+$C$1)&gt;CL$4,CL$4&gt;=$C$1),$H32,IF(AND(($D32+$C$1)&gt;CL$4,CL$4&gt;=$C$1),$G32,0))*IF($A32="Residential",'General Inputs'!S$14,'General Inputs'!S$19)</f>
        <v>0</v>
      </c>
      <c r="CM32" s="214">
        <f>IF(AND(($E32+$C$1)&gt;CM$4,CM$4&gt;=$C$1),$H32,IF(AND(($D32+$C$1)&gt;CM$4,CM$4&gt;=$C$1),$G32,0))*IF($A32="Residential",'General Inputs'!T$14,'General Inputs'!T$19)</f>
        <v>0</v>
      </c>
      <c r="CN32" s="214">
        <f>IF(AND(($E32+$C$1)&gt;CN$4,CN$4&gt;=$C$1),$H32,IF(AND(($D32+$C$1)&gt;CN$4,CN$4&gt;=$C$1),$G32,0))*IF($A32="Residential",'General Inputs'!U$14,'General Inputs'!U$19)</f>
        <v>0</v>
      </c>
      <c r="CO32" s="214">
        <f>IF(AND(($E32+$C$1)&gt;CO$4,CO$4&gt;=$C$1),$H32,IF(AND(($D32+$C$1)&gt;CO$4,CO$4&gt;=$C$1),$G32,0))*IF($A32="Residential",'General Inputs'!V$14,'General Inputs'!V$19)</f>
        <v>0</v>
      </c>
      <c r="CP32" s="214">
        <f>IF(AND(($E32+$C$1)&gt;CP$4,CP$4&gt;=$C$1),$H32,IF(AND(($D32+$C$1)&gt;CP$4,CP$4&gt;=$C$1),$G32,0))*IF($A32="Residential",'General Inputs'!W$14,'General Inputs'!W$19)</f>
        <v>0</v>
      </c>
      <c r="CR32" s="214">
        <f>IF(AND(($E32+$C$1)&gt;CR$4,CR$4&gt;=$C$1),$H32,IF(AND(($D32+$C$1)&gt;CR$4,CR$4&gt;=$C$1),$G32,0))*IF($A32="Residential",'General Inputs'!D$15,'General Inputs'!D$19)</f>
        <v>0</v>
      </c>
      <c r="CS32" s="214">
        <f>IF(AND(($E32+$C$1)&gt;CS$4,CS$4&gt;=$C$1),$H32,IF(AND(($D32+$C$1)&gt;CS$4,CS$4&gt;=$C$1),$G32,0))*IF($A32="Residential",'General Inputs'!E$15,'General Inputs'!E$19)</f>
        <v>1145.9418027467732</v>
      </c>
      <c r="CT32" s="214">
        <f>IF(AND(($E32+$C$1)&gt;CT$4,CT$4&gt;=$C$1),$H32,IF(AND(($D32+$C$1)&gt;CT$4,CT$4&gt;=$C$1),$G32,0))*IF($A32="Residential",'General Inputs'!F$15,'General Inputs'!F$19)</f>
        <v>1163.1309297879745</v>
      </c>
      <c r="CU32" s="214">
        <f>IF(AND(($E32+$C$1)&gt;CU$4,CU$4&gt;=$C$1),$H32,IF(AND(($D32+$C$1)&gt;CU$4,CU$4&gt;=$C$1),$G32,0))*IF($A32="Residential",'General Inputs'!G$15,'General Inputs'!G$19)</f>
        <v>1180.5778937347941</v>
      </c>
      <c r="CV32" s="214">
        <f>IF(AND(($E32+$C$1)&gt;CV$4,CV$4&gt;=$C$1),$H32,IF(AND(($D32+$C$1)&gt;CV$4,CV$4&gt;=$C$1),$G32,0))*IF($A32="Residential",'General Inputs'!H$15,'General Inputs'!H$19)</f>
        <v>1198.2865621408159</v>
      </c>
      <c r="CW32" s="214">
        <f>IF(AND(($E32+$C$1)&gt;CW$4,CW$4&gt;=$C$1),$H32,IF(AND(($D32+$C$1)&gt;CW$4,CW$4&gt;=$C$1),$G32,0))*IF($A32="Residential",'General Inputs'!I$15,'General Inputs'!I$19)</f>
        <v>1216.2608605729281</v>
      </c>
      <c r="CX32" s="214">
        <f>IF(AND(($E32+$C$1)&gt;CX$4,CX$4&gt;=$C$1),$H32,IF(AND(($D32+$C$1)&gt;CX$4,CX$4&gt;=$C$1),$G32,0))*IF($A32="Residential",'General Inputs'!J$15,'General Inputs'!J$19)</f>
        <v>0</v>
      </c>
      <c r="CY32" s="214">
        <f>IF(AND(($E32+$C$1)&gt;CY$4,CY$4&gt;=$C$1),$H32,IF(AND(($D32+$C$1)&gt;CY$4,CY$4&gt;=$C$1),$G32,0))*IF($A32="Residential",'General Inputs'!K$15,'General Inputs'!K$19)</f>
        <v>0</v>
      </c>
      <c r="CZ32" s="214">
        <f>IF(AND(($E32+$C$1)&gt;CZ$4,CZ$4&gt;=$C$1),$H32,IF(AND(($D32+$C$1)&gt;CZ$4,CZ$4&gt;=$C$1),$G32,0))*IF($A32="Residential",'General Inputs'!L$15,'General Inputs'!L$19)</f>
        <v>0</v>
      </c>
      <c r="DA32" s="214">
        <f>IF(AND(($E32+$C$1)&gt;DA$4,DA$4&gt;=$C$1),$H32,IF(AND(($D32+$C$1)&gt;DA$4,DA$4&gt;=$C$1),$G32,0))*IF($A32="Residential",'General Inputs'!M$15,'General Inputs'!M$19)</f>
        <v>0</v>
      </c>
      <c r="DB32" s="214">
        <f>IF(AND(($E32+$C$1)&gt;DB$4,DB$4&gt;=$C$1),$H32,IF(AND(($D32+$C$1)&gt;DB$4,DB$4&gt;=$C$1),$G32,0))*IF($A32="Residential",'General Inputs'!N$15,'General Inputs'!N$19)</f>
        <v>0</v>
      </c>
      <c r="DC32" s="214">
        <f>IF(AND(($E32+$C$1)&gt;DC$4,DC$4&gt;=$C$1),$H32,IF(AND(($D32+$C$1)&gt;DC$4,DC$4&gt;=$C$1),$G32,0))*IF($A32="Residential",'General Inputs'!O$15,'General Inputs'!O$19)</f>
        <v>0</v>
      </c>
      <c r="DD32" s="214">
        <f>IF(AND(($E32+$C$1)&gt;DD$4,DD$4&gt;=$C$1),$H32,IF(AND(($D32+$C$1)&gt;DD$4,DD$4&gt;=$C$1),$G32,0))*IF($A32="Residential",'General Inputs'!P$15,'General Inputs'!P$19)</f>
        <v>0</v>
      </c>
      <c r="DE32" s="214">
        <f>IF(AND(($E32+$C$1)&gt;DE$4,DE$4&gt;=$C$1),$H32,IF(AND(($D32+$C$1)&gt;DE$4,DE$4&gt;=$C$1),$G32,0))*IF($A32="Residential",'General Inputs'!Q$15,'General Inputs'!Q$19)</f>
        <v>0</v>
      </c>
      <c r="DF32" s="214">
        <f>IF(AND(($E32+$C$1)&gt;DF$4,DF$4&gt;=$C$1),$H32,IF(AND(($D32+$C$1)&gt;DF$4,DF$4&gt;=$C$1),$G32,0))*IF($A32="Residential",'General Inputs'!R$15,'General Inputs'!R$19)</f>
        <v>0</v>
      </c>
      <c r="DG32" s="214">
        <f>IF(AND(($E32+$C$1)&gt;DG$4,DG$4&gt;=$C$1),$H32,IF(AND(($D32+$C$1)&gt;DG$4,DG$4&gt;=$C$1),$G32,0))*IF($A32="Residential",'General Inputs'!S$15,'General Inputs'!S$19)</f>
        <v>0</v>
      </c>
      <c r="DH32" s="214">
        <f>IF(AND(($E32+$C$1)&gt;DH$4,DH$4&gt;=$C$1),$H32,IF(AND(($D32+$C$1)&gt;DH$4,DH$4&gt;=$C$1),$G32,0))*IF($A32="Residential",'General Inputs'!T$15,'General Inputs'!T$19)</f>
        <v>0</v>
      </c>
      <c r="DI32" s="214">
        <f>IF(AND(($E32+$C$1)&gt;DI$4,DI$4&gt;=$C$1),$H32,IF(AND(($D32+$C$1)&gt;DI$4,DI$4&gt;=$C$1),$G32,0))*IF($A32="Residential",'General Inputs'!U$15,'General Inputs'!U$19)</f>
        <v>0</v>
      </c>
      <c r="DJ32" s="214">
        <f>IF(AND(($E32+$C$1)&gt;DJ$4,DJ$4&gt;=$C$1),$H32,IF(AND(($D32+$C$1)&gt;DJ$4,DJ$4&gt;=$C$1),$G32,0))*IF($A32="Residential",'General Inputs'!V$15,'General Inputs'!V$19)</f>
        <v>0</v>
      </c>
      <c r="DK32" s="214">
        <f>IF(AND(($E32+$C$1)&gt;DK$4,DK$4&gt;=$C$1),$H32,IF(AND(($D32+$C$1)&gt;DK$4,DK$4&gt;=$C$1),$G32,0))*IF($A32="Residential",'General Inputs'!W$15,'General Inputs'!W$19)</f>
        <v>0</v>
      </c>
      <c r="DM32" s="214">
        <f t="shared" si="47"/>
        <v>0</v>
      </c>
      <c r="DN32" s="214">
        <f t="shared" si="47"/>
        <v>0</v>
      </c>
      <c r="DO32" s="214">
        <f t="shared" si="47"/>
        <v>0</v>
      </c>
      <c r="DP32" s="214">
        <f t="shared" si="47"/>
        <v>0</v>
      </c>
      <c r="DQ32" s="214">
        <f t="shared" si="47"/>
        <v>0</v>
      </c>
      <c r="DR32" s="214">
        <f t="shared" si="47"/>
        <v>0</v>
      </c>
      <c r="DS32" s="214">
        <f t="shared" si="47"/>
        <v>0</v>
      </c>
      <c r="DT32" s="214">
        <f t="shared" si="47"/>
        <v>0</v>
      </c>
      <c r="DU32" s="214">
        <f t="shared" si="47"/>
        <v>0</v>
      </c>
      <c r="DV32" s="214">
        <f t="shared" si="47"/>
        <v>0</v>
      </c>
      <c r="DW32" s="214">
        <f t="shared" si="47"/>
        <v>0</v>
      </c>
      <c r="DZ32" s="650"/>
      <c r="FI32" s="195"/>
      <c r="FJ32" s="195"/>
      <c r="FK32" s="195"/>
      <c r="FL32" s="195"/>
      <c r="FM32" s="195"/>
      <c r="FN32" s="195"/>
      <c r="FO32" s="195"/>
    </row>
    <row r="33" spans="1:171">
      <c r="A33" s="441" t="s">
        <v>12</v>
      </c>
      <c r="B33" s="426" t="str">
        <f>'Portfolio Inputs'!A32</f>
        <v>Residential Audit</v>
      </c>
      <c r="C33" s="356">
        <f>IF($C$1=2014,'Portfolio Inputs'!$C32,IF($C$1=2015,'Portfolio Inputs'!$D32,'Portfolio Inputs'!$E32))</f>
        <v>400</v>
      </c>
      <c r="D33" s="527">
        <v>5</v>
      </c>
      <c r="E33" s="527">
        <v>0</v>
      </c>
      <c r="G33" s="527">
        <f>Sources!D120*C33*EnergyLineLoss</f>
        <v>39562.66985583074</v>
      </c>
      <c r="H33" s="527"/>
      <c r="I33" s="443">
        <f>Sources!E120*C33*PeakLineLoss</f>
        <v>4.5162865132226866</v>
      </c>
      <c r="J33" s="443"/>
      <c r="L33" s="607">
        <v>0</v>
      </c>
      <c r="M33" s="519">
        <v>0</v>
      </c>
      <c r="N33" s="453">
        <v>0</v>
      </c>
      <c r="O33" s="453">
        <f>IF($C$1=2014,'Portfolio Inputs'!$AA32,IF($C$1=2015,'Portfolio Inputs'!$AB32,'Portfolio Inputs'!$AC32))</f>
        <v>13860</v>
      </c>
      <c r="Q33" s="442">
        <f t="shared" si="67"/>
        <v>0.52565737095206189</v>
      </c>
      <c r="R33" s="443">
        <f t="shared" si="68"/>
        <v>0.52565737095206189</v>
      </c>
      <c r="S33" s="443">
        <f t="shared" si="69"/>
        <v>0.66399222932163382</v>
      </c>
      <c r="T33" s="443" t="str">
        <f t="shared" si="70"/>
        <v>n/a</v>
      </c>
      <c r="U33" s="443" t="str">
        <f>IF(AE33&gt;0,(AD33+AB33)/AE33,"n/a")</f>
        <v>n/a</v>
      </c>
      <c r="V33" s="522">
        <f t="shared" si="72"/>
        <v>0.1947358584860443</v>
      </c>
      <c r="W33" s="522">
        <f t="shared" si="73"/>
        <v>0.22063978656004743</v>
      </c>
      <c r="Y33" s="444">
        <f t="shared" si="4"/>
        <v>6693.8728053983623</v>
      </c>
      <c r="Z33" s="444">
        <f t="shared" si="5"/>
        <v>1761.5960464923432</v>
      </c>
      <c r="AA33" s="444">
        <f t="shared" si="6"/>
        <v>21639.826192999128</v>
      </c>
      <c r="AB33" s="444">
        <f t="shared" si="7"/>
        <v>17604.177781910152</v>
      </c>
      <c r="AC33" s="445">
        <f t="shared" si="20"/>
        <v>12734.288864388092</v>
      </c>
      <c r="AD33" s="445">
        <f t="shared" si="21"/>
        <v>0</v>
      </c>
      <c r="AE33" s="526">
        <f t="shared" si="8"/>
        <v>0</v>
      </c>
      <c r="AG33" s="520">
        <f>IF(AND(($E33+$C$1)&gt;AG$4,AG$4&gt;=$C$1),'General Inputs'!D$9*$H33,IF(AND(($D33+$C$1)&gt;AG$4,AG$4&gt;=$C$1),'General Inputs'!D$9*$G33,0))+IF(AND(($E33+$C$1)&gt;AG$4,AG$4&gt;=$C$1),'General Inputs'!D$10*$J33,IF(AND(($D33+$C$1)&gt;AG$4,AG$4&gt;=$C$1),'General Inputs'!D$10*$I33,0))</f>
        <v>0</v>
      </c>
      <c r="AH33" s="520">
        <f>IF(AND(($E33+$C$1)&gt;AH$4,AH$4&gt;=$C$1),'General Inputs'!E$9*$H33,IF(AND(($D33+$C$1)&gt;AH$4,AH$4&gt;=$C$1),'General Inputs'!E$9*$G33,0))+IF(AND(($E33+$C$1)&gt;AH$4,AH$4&gt;=$C$1),'General Inputs'!E$10*$J33,IF(AND(($D33+$C$1)&gt;AH$4,AH$4&gt;=$C$1),'General Inputs'!E$10*$I33,0))</f>
        <v>1667.3473295254248</v>
      </c>
      <c r="AI33" s="520">
        <f>IF(AND(($E33+$C$1)&gt;AI$4,AI$4&gt;=$C$1),'General Inputs'!F$9*$H33,IF(AND(($D33+$C$1)&gt;AI$4,AI$4&gt;=$C$1),'General Inputs'!F$9*$G33,0))+IF(AND(($E33+$C$1)&gt;AI$4,AI$4&gt;=$C$1),'General Inputs'!F$10*$J33,IF(AND(($D33+$C$1)&gt;AI$4,AI$4&gt;=$C$1),'General Inputs'!F$10*$I33,0))</f>
        <v>1692.3575394683057</v>
      </c>
      <c r="AJ33" s="520">
        <f>IF(AND(($E33+$C$1)&gt;AJ$4,AJ$4&gt;=$C$1),'General Inputs'!G$9*$H33,IF(AND(($D33+$C$1)&gt;AJ$4,AJ$4&gt;=$C$1),'General Inputs'!G$9*$G33,0))+IF(AND(($E33+$C$1)&gt;AJ$4,AJ$4&gt;=$C$1),'General Inputs'!G$10*$J33,IF(AND(($D33+$C$1)&gt;AJ$4,AJ$4&gt;=$C$1),'General Inputs'!G$10*$I33,0))</f>
        <v>1717.7429025603305</v>
      </c>
      <c r="AK33" s="520">
        <f>IF(AND(($E33+$C$1)&gt;AK$4,AK$4&gt;=$C$1),'General Inputs'!H$9*$H33,IF(AND(($D33+$C$1)&gt;AK$4,AK$4&gt;=$C$1),'General Inputs'!H$9*$G33,0))+IF(AND(($E33+$C$1)&gt;AK$4,AK$4&gt;=$C$1),'General Inputs'!H$10*$J33,IF(AND(($D33+$C$1)&gt;AK$4,AK$4&gt;=$C$1),'General Inputs'!H$10*$I33,0))</f>
        <v>1743.5090460987351</v>
      </c>
      <c r="AL33" s="520">
        <f>IF(AND(($E33+$C$1)&gt;AL$4,AL$4&gt;=$C$1),'General Inputs'!I$9*$H33,IF(AND(($D33+$C$1)&gt;AL$4,AL$4&gt;=$C$1),'General Inputs'!I$9*$G33,0))+IF(AND(($E33+$C$1)&gt;AL$4,AL$4&gt;=$C$1),'General Inputs'!I$10*$J33,IF(AND(($D33+$C$1)&gt;AL$4,AL$4&gt;=$C$1),'General Inputs'!I$10*$I33,0))</f>
        <v>1769.6616817902157</v>
      </c>
      <c r="AM33" s="520">
        <f>IF(AND(($E33+$C$1)&gt;AM$4,AM$4&gt;=$C$1),'General Inputs'!J$9*$H33,IF(AND(($D33+$C$1)&gt;AM$4,AM$4&gt;=$C$1),'General Inputs'!J$9*$G33,0))+IF(AND(($E33+$C$1)&gt;AM$4,AM$4&gt;=$C$1),'General Inputs'!J$10*$J33,IF(AND(($D33+$C$1)&gt;AM$4,AM$4&gt;=$C$1),'General Inputs'!J$10*$I33,0))</f>
        <v>0</v>
      </c>
      <c r="AN33" s="520">
        <f>IF(AND(($E33+$C$1)&gt;AN$4,AN$4&gt;=$C$1),'General Inputs'!K$9*$H33,IF(AND(($D33+$C$1)&gt;AN$4,AN$4&gt;=$C$1),'General Inputs'!K$9*$G33,0))+IF(AND(($E33+$C$1)&gt;AN$4,AN$4&gt;=$C$1),'General Inputs'!K$10*$J33,IF(AND(($D33+$C$1)&gt;AN$4,AN$4&gt;=$C$1),'General Inputs'!K$10*$I33,0))</f>
        <v>0</v>
      </c>
      <c r="AO33" s="520">
        <f>IF(AND(($E33+$C$1)&gt;AO$4,AO$4&gt;=$C$1),'General Inputs'!L$9*$H33,IF(AND(($D33+$C$1)&gt;AO$4,AO$4&gt;=$C$1),'General Inputs'!L$9*$G33,0))+IF(AND(($E33+$C$1)&gt;AO$4,AO$4&gt;=$C$1),'General Inputs'!L$10*$J33,IF(AND(($D33+$C$1)&gt;AO$4,AO$4&gt;=$C$1),'General Inputs'!L$10*$I33,0))</f>
        <v>0</v>
      </c>
      <c r="AP33" s="520">
        <f>IF(AND(($E33+$C$1)&gt;AP$4,AP$4&gt;=$C$1),'General Inputs'!M$9*$H33,IF(AND(($D33+$C$1)&gt;AP$4,AP$4&gt;=$C$1),'General Inputs'!M$9*$G33,0))+IF(AND(($E33+$C$1)&gt;AP$4,AP$4&gt;=$C$1),'General Inputs'!M$10*$J33,IF(AND(($D33+$C$1)&gt;AP$4,AP$4&gt;=$C$1),'General Inputs'!M$10*$I33,0))</f>
        <v>0</v>
      </c>
      <c r="AQ33" s="520">
        <f>IF(AND(($E33+$C$1)&gt;AQ$4,AQ$4&gt;=$C$1),'General Inputs'!N$9*$H33,IF(AND(($D33+$C$1)&gt;AQ$4,AQ$4&gt;=$C$1),'General Inputs'!N$9*$G33,0))+IF(AND(($E33+$C$1)&gt;AQ$4,AQ$4&gt;=$C$1),'General Inputs'!N$10*$J33,IF(AND(($D33+$C$1)&gt;AQ$4,AQ$4&gt;=$C$1),'General Inputs'!N$10*$I33,0))</f>
        <v>0</v>
      </c>
      <c r="AR33" s="520">
        <f>IF(AND(($E33+$C$1)&gt;AR$4,AR$4&gt;=$C$1),'General Inputs'!O$9*$H33,IF(AND(($D33+$C$1)&gt;AR$4,AR$4&gt;=$C$1),'General Inputs'!O$9*$G33,0))+IF(AND(($E33+$C$1)&gt;AR$4,AR$4&gt;=$C$1),'General Inputs'!O$10*$J33,IF(AND(($D33+$C$1)&gt;AR$4,AR$4&gt;=$C$1),'General Inputs'!O$10*$I33,0))</f>
        <v>0</v>
      </c>
      <c r="AS33" s="520">
        <f>IF(AND(($E33+$C$1)&gt;AS$4,AS$4&gt;=$C$1),'General Inputs'!P$9*$H33,IF(AND(($D33+$C$1)&gt;AS$4,AS$4&gt;=$C$1),'General Inputs'!P$9*$G33,0))+IF(AND(($E33+$C$1)&gt;AS$4,AS$4&gt;=$C$1),'General Inputs'!P$10*$J33,IF(AND(($D33+$C$1)&gt;AS$4,AS$4&gt;=$C$1),'General Inputs'!P$10*$I33,0))</f>
        <v>0</v>
      </c>
      <c r="AT33" s="520">
        <f>IF(AND(($E33+$C$1)&gt;AT$4,AT$4&gt;=$C$1),'General Inputs'!Q$9*$H33,IF(AND(($D33+$C$1)&gt;AT$4,AT$4&gt;=$C$1),'General Inputs'!Q$9*$G33,0))+IF(AND(($E33+$C$1)&gt;AT$4,AT$4&gt;=$C$1),'General Inputs'!Q$10*$J33,IF(AND(($D33+$C$1)&gt;AT$4,AT$4&gt;=$C$1),'General Inputs'!Q$10*$I33,0))</f>
        <v>0</v>
      </c>
      <c r="AU33" s="520">
        <f>IF(AND(($E33+$C$1)&gt;AU$4,AU$4&gt;=$C$1),'General Inputs'!R$9*$H33,IF(AND(($D33+$C$1)&gt;AU$4,AU$4&gt;=$C$1),'General Inputs'!R$9*$G33,0))+IF(AND(($E33+$C$1)&gt;AU$4,AU$4&gt;=$C$1),'General Inputs'!R$10*$J33,IF(AND(($D33+$C$1)&gt;AU$4,AU$4&gt;=$C$1),'General Inputs'!R$10*$I33,0))</f>
        <v>0</v>
      </c>
      <c r="AV33" s="520">
        <f>IF(AND(($E33+$C$1)&gt;AV$4,AV$4&gt;=$C$1),'General Inputs'!S$9*$H33,IF(AND(($D33+$C$1)&gt;AV$4,AV$4&gt;=$C$1),'General Inputs'!S$9*$G33,0))+IF(AND(($E33+$C$1)&gt;AV$4,AV$4&gt;=$C$1),'General Inputs'!S$10*$J33,IF(AND(($D33+$C$1)&gt;AV$4,AV$4&gt;=$C$1),'General Inputs'!S$10*$I33,0))</f>
        <v>0</v>
      </c>
      <c r="AW33" s="520">
        <f>IF(AND(($E33+$C$1)&gt;AW$4,AW$4&gt;=$C$1),'General Inputs'!T$9*$H33,IF(AND(($D33+$C$1)&gt;AW$4,AW$4&gt;=$C$1),'General Inputs'!T$9*$G33,0))+IF(AND(($E33+$C$1)&gt;AW$4,AW$4&gt;=$C$1),'General Inputs'!T$10*$J33,IF(AND(($D33+$C$1)&gt;AW$4,AW$4&gt;=$C$1),'General Inputs'!T$10*$I33,0))</f>
        <v>0</v>
      </c>
      <c r="AX33" s="520">
        <f>IF(AND(($E33+$C$1)&gt;AX$4,AX$4&gt;=$C$1),'General Inputs'!U$9*$H33,IF(AND(($D33+$C$1)&gt;AX$4,AX$4&gt;=$C$1),'General Inputs'!U$9*$G33,0))+IF(AND(($E33+$C$1)&gt;AX$4,AX$4&gt;=$C$1),'General Inputs'!U$10*$J33,IF(AND(($D33+$C$1)&gt;AX$4,AX$4&gt;=$C$1),'General Inputs'!U$10*$I33,0))</f>
        <v>0</v>
      </c>
      <c r="AY33" s="520">
        <f>IF(AND(($E33+$C$1)&gt;AY$4,AY$4&gt;=$C$1),'General Inputs'!V$9*$H33,IF(AND(($D33+$C$1)&gt;AY$4,AY$4&gt;=$C$1),'General Inputs'!V$9*$G33,0))+IF(AND(($E33+$C$1)&gt;AY$4,AY$4&gt;=$C$1),'General Inputs'!V$10*$J33,IF(AND(($D33+$C$1)&gt;AY$4,AY$4&gt;=$C$1),'General Inputs'!V$10*$I33,0))</f>
        <v>0</v>
      </c>
      <c r="AZ33" s="520">
        <f>IF(AND(($E33+$C$1)&gt;AZ$4,AZ$4&gt;=$C$1),'General Inputs'!W$9*$H33,IF(AND(($D33+$C$1)&gt;AZ$4,AZ$4&gt;=$C$1),'General Inputs'!W$9*$G33,0))+IF(AND(($E33+$C$1)&gt;AZ$4,AZ$4&gt;=$C$1),'General Inputs'!W$10*$J33,IF(AND(($D33+$C$1)&gt;AZ$4,AZ$4&gt;=$C$1),'General Inputs'!W$10*$I33,0))</f>
        <v>0</v>
      </c>
      <c r="BB33" s="520">
        <f>IF(AND(($E33+$C$1)&gt;BB$4,BB$4&gt;=$C$1),'General Inputs'!D$11*$H33,IF(AND(($D33+$C$1)&gt;BB$4,BB$4&gt;=$C$1),'General Inputs'!D$11*$G33,0))</f>
        <v>0</v>
      </c>
      <c r="BC33" s="520">
        <f>IF(AND(($E33+$C$1)&gt;BC$4,BC$4&gt;=$C$1),'General Inputs'!E$11*$H33,IF(AND(($D33+$C$1)&gt;BC$4,BC$4&gt;=$C$1),'General Inputs'!E$11*$G33,0))</f>
        <v>451.01443635647047</v>
      </c>
      <c r="BD33" s="520">
        <f>IF(AND(($E33+$C$1)&gt;BD$4,BD$4&gt;=$C$1),'General Inputs'!F$11*$H33,IF(AND(($D33+$C$1)&gt;BD$4,BD$4&gt;=$C$1),'General Inputs'!F$11*$G33,0))</f>
        <v>451.01443635647047</v>
      </c>
      <c r="BE33" s="520">
        <f>IF(AND(($E33+$C$1)&gt;BE$4,BE$4&gt;=$C$1),'General Inputs'!G$11*$H33,IF(AND(($D33+$C$1)&gt;BE$4,BE$4&gt;=$C$1),'General Inputs'!G$11*$G33,0))</f>
        <v>451.01443635647047</v>
      </c>
      <c r="BF33" s="520">
        <f>IF(AND(($E33+$C$1)&gt;BF$4,BF$4&gt;=$C$1),'General Inputs'!H$11*$H33,IF(AND(($D33+$C$1)&gt;BF$4,BF$4&gt;=$C$1),'General Inputs'!H$11*$G33,0))</f>
        <v>451.01443635647047</v>
      </c>
      <c r="BG33" s="520">
        <f>IF(AND(($E33+$C$1)&gt;BG$4,BG$4&gt;=$C$1),'General Inputs'!I$11*$H33,IF(AND(($D33+$C$1)&gt;BG$4,BG$4&gt;=$C$1),'General Inputs'!I$11*$G33,0))</f>
        <v>451.01443635647047</v>
      </c>
      <c r="BH33" s="520">
        <f>IF(AND(($E33+$C$1)&gt;BH$4,BH$4&gt;=$C$1),'General Inputs'!J$11*$H33,IF(AND(($D33+$C$1)&gt;BH$4,BH$4&gt;=$C$1),'General Inputs'!J$11*$G33,0))</f>
        <v>0</v>
      </c>
      <c r="BI33" s="520">
        <f>IF(AND(($E33+$C$1)&gt;BI$4,BI$4&gt;=$C$1),'General Inputs'!K$11*$H33,IF(AND(($D33+$C$1)&gt;BI$4,BI$4&gt;=$C$1),'General Inputs'!K$11*$G33,0))</f>
        <v>0</v>
      </c>
      <c r="BJ33" s="520">
        <f>IF(AND(($E33+$C$1)&gt;BJ$4,BJ$4&gt;=$C$1),'General Inputs'!L$11*$H33,IF(AND(($D33+$C$1)&gt;BJ$4,BJ$4&gt;=$C$1),'General Inputs'!L$11*$G33,0))</f>
        <v>0</v>
      </c>
      <c r="BK33" s="520">
        <f>IF(AND(($E33+$C$1)&gt;BK$4,BK$4&gt;=$C$1),'General Inputs'!M$11*$H33,IF(AND(($D33+$C$1)&gt;BK$4,BK$4&gt;=$C$1),'General Inputs'!M$11*$G33,0))</f>
        <v>0</v>
      </c>
      <c r="BL33" s="520">
        <f>IF(AND(($E33+$C$1)&gt;BL$4,BL$4&gt;=$C$1),'General Inputs'!N$11*$H33,IF(AND(($D33+$C$1)&gt;BL$4,BL$4&gt;=$C$1),'General Inputs'!N$11*$G33,0))</f>
        <v>0</v>
      </c>
      <c r="BM33" s="520">
        <f>IF(AND(($E33+$C$1)&gt;BM$4,BM$4&gt;=$C$1),'General Inputs'!O$11*$H33,IF(AND(($D33+$C$1)&gt;BM$4,BM$4&gt;=$C$1),'General Inputs'!O$11*$G33,0))</f>
        <v>0</v>
      </c>
      <c r="BN33" s="520">
        <f>IF(AND(($E33+$C$1)&gt;BN$4,BN$4&gt;=$C$1),'General Inputs'!P$11*$H33,IF(AND(($D33+$C$1)&gt;BN$4,BN$4&gt;=$C$1),'General Inputs'!P$11*$G33,0))</f>
        <v>0</v>
      </c>
      <c r="BO33" s="520">
        <f>IF(AND(($E33+$C$1)&gt;BO$4,BO$4&gt;=$C$1),'General Inputs'!Q$11*$H33,IF(AND(($D33+$C$1)&gt;BO$4,BO$4&gt;=$C$1),'General Inputs'!Q$11*$G33,0))</f>
        <v>0</v>
      </c>
      <c r="BP33" s="520">
        <f>IF(AND(($E33+$C$1)&gt;BP$4,BP$4&gt;=$C$1),'General Inputs'!R$11*$H33,IF(AND(($D33+$C$1)&gt;BP$4,BP$4&gt;=$C$1),'General Inputs'!R$11*$G33,0))</f>
        <v>0</v>
      </c>
      <c r="BQ33" s="520">
        <f>IF(AND(($E33+$C$1)&gt;BQ$4,BQ$4&gt;=$C$1),'General Inputs'!S$11*$H33,IF(AND(($D33+$C$1)&gt;BQ$4,BQ$4&gt;=$C$1),'General Inputs'!S$11*$G33,0))</f>
        <v>0</v>
      </c>
      <c r="BR33" s="520">
        <f>IF(AND(($E33+$C$1)&gt;BR$4,BR$4&gt;=$C$1),'General Inputs'!T$11*$H33,IF(AND(($D33+$C$1)&gt;BR$4,BR$4&gt;=$C$1),'General Inputs'!T$11*$G33,0))</f>
        <v>0</v>
      </c>
      <c r="BS33" s="520">
        <f>IF(AND(($E33+$C$1)&gt;BS$4,BS$4&gt;=$C$1),'General Inputs'!U$11*$H33,IF(AND(($D33+$C$1)&gt;BS$4,BS$4&gt;=$C$1),'General Inputs'!U$11*$G33,0))</f>
        <v>0</v>
      </c>
      <c r="BT33" s="520">
        <f>IF(AND(($E33+$C$1)&gt;BT$4,BT$4&gt;=$C$1),'General Inputs'!V$11*$H33,IF(AND(($D33+$C$1)&gt;BT$4,BT$4&gt;=$C$1),'General Inputs'!V$11*$G33,0))</f>
        <v>0</v>
      </c>
      <c r="BU33" s="520">
        <f>IF(AND(($E33+$C$1)&gt;BU$4,BU$4&gt;=$C$1),'General Inputs'!W$11*$H33,IF(AND(($D33+$C$1)&gt;BU$4,BU$4&gt;=$C$1),'General Inputs'!W$11*$G33,0))</f>
        <v>0</v>
      </c>
      <c r="BW33" s="520">
        <f>IF(AND(($E33+$C$1)&gt;BW$4,BW$4&gt;=$C$1),$H33,IF(AND(($D33+$C$1)&gt;BW$4,BW$4&gt;=$C$1),$G33,0))*IF($A33="Residential",'General Inputs'!D$14,'General Inputs'!D$19)</f>
        <v>0</v>
      </c>
      <c r="BX33" s="520">
        <f>IF(AND(($E33+$C$1)&gt;BX$4,BX$4&gt;=$C$1),$H33,IF(AND(($D33+$C$1)&gt;BX$4,BX$4&gt;=$C$1),$G33,0))*IF($A33="Residential",'General Inputs'!E$14,'General Inputs'!E$19)</f>
        <v>5390.169108859277</v>
      </c>
      <c r="BY33" s="520">
        <f>IF(AND(($E33+$C$1)&gt;BY$4,BY$4&gt;=$C$1),$H33,IF(AND(($D33+$C$1)&gt;BY$4,BY$4&gt;=$C$1),$G33,0))*IF($A33="Residential",'General Inputs'!F$14,'General Inputs'!F$19)</f>
        <v>5471.0216454921656</v>
      </c>
      <c r="BZ33" s="520">
        <f>IF(AND(($E33+$C$1)&gt;BZ$4,BZ$4&gt;=$C$1),$H33,IF(AND(($D33+$C$1)&gt;BZ$4,BZ$4&gt;=$C$1),$G33,0))*IF($A33="Residential",'General Inputs'!G$14,'General Inputs'!G$19)</f>
        <v>5553.0869701745469</v>
      </c>
      <c r="CA33" s="520">
        <f>IF(AND(($E33+$C$1)&gt;CA$4,CA$4&gt;=$C$1),$H33,IF(AND(($D33+$C$1)&gt;CA$4,CA$4&gt;=$C$1),$G33,0))*IF($A33="Residential",'General Inputs'!H$14,'General Inputs'!H$19)</f>
        <v>5636.3832747271645</v>
      </c>
      <c r="CB33" s="520">
        <f>IF(AND(($E33+$C$1)&gt;CB$4,CB$4&gt;=$C$1),$H33,IF(AND(($D33+$C$1)&gt;CB$4,CB$4&gt;=$C$1),$G33,0))*IF($A33="Residential",'General Inputs'!I$14,'General Inputs'!I$19)</f>
        <v>5720.9290238480717</v>
      </c>
      <c r="CC33" s="520">
        <f>IF(AND(($E33+$C$1)&gt;CC$4,CC$4&gt;=$C$1),$H33,IF(AND(($D33+$C$1)&gt;CC$4,CC$4&gt;=$C$1),$G33,0))*IF($A33="Residential",'General Inputs'!J$14,'General Inputs'!J$19)</f>
        <v>0</v>
      </c>
      <c r="CD33" s="520">
        <f>IF(AND(($E33+$C$1)&gt;CD$4,CD$4&gt;=$C$1),$H33,IF(AND(($D33+$C$1)&gt;CD$4,CD$4&gt;=$C$1),$G33,0))*IF($A33="Residential",'General Inputs'!K$14,'General Inputs'!K$19)</f>
        <v>0</v>
      </c>
      <c r="CE33" s="520">
        <f>IF(AND(($E33+$C$1)&gt;CE$4,CE$4&gt;=$C$1),$H33,IF(AND(($D33+$C$1)&gt;CE$4,CE$4&gt;=$C$1),$G33,0))*IF($A33="Residential",'General Inputs'!L$14,'General Inputs'!L$19)</f>
        <v>0</v>
      </c>
      <c r="CF33" s="520">
        <f>IF(AND(($E33+$C$1)&gt;CF$4,CF$4&gt;=$C$1),$H33,IF(AND(($D33+$C$1)&gt;CF$4,CF$4&gt;=$C$1),$G33,0))*IF($A33="Residential",'General Inputs'!M$14,'General Inputs'!M$19)</f>
        <v>0</v>
      </c>
      <c r="CG33" s="520">
        <f>IF(AND(($E33+$C$1)&gt;CG$4,CG$4&gt;=$C$1),$H33,IF(AND(($D33+$C$1)&gt;CG$4,CG$4&gt;=$C$1),$G33,0))*IF($A33="Residential",'General Inputs'!N$14,'General Inputs'!N$19)</f>
        <v>0</v>
      </c>
      <c r="CH33" s="520">
        <f>IF(AND(($E33+$C$1)&gt;CH$4,CH$4&gt;=$C$1),$H33,IF(AND(($D33+$C$1)&gt;CH$4,CH$4&gt;=$C$1),$G33,0))*IF($A33="Residential",'General Inputs'!O$14,'General Inputs'!O$19)</f>
        <v>0</v>
      </c>
      <c r="CI33" s="520">
        <f>IF(AND(($E33+$C$1)&gt;CI$4,CI$4&gt;=$C$1),$H33,IF(AND(($D33+$C$1)&gt;CI$4,CI$4&gt;=$C$1),$G33,0))*IF($A33="Residential",'General Inputs'!P$14,'General Inputs'!P$19)</f>
        <v>0</v>
      </c>
      <c r="CJ33" s="520">
        <f>IF(AND(($E33+$C$1)&gt;CJ$4,CJ$4&gt;=$C$1),$H33,IF(AND(($D33+$C$1)&gt;CJ$4,CJ$4&gt;=$C$1),$G33,0))*IF($A33="Residential",'General Inputs'!Q$14,'General Inputs'!Q$19)</f>
        <v>0</v>
      </c>
      <c r="CK33" s="520">
        <f>IF(AND(($E33+$C$1)&gt;CK$4,CK$4&gt;=$C$1),$H33,IF(AND(($D33+$C$1)&gt;CK$4,CK$4&gt;=$C$1),$G33,0))*IF($A33="Residential",'General Inputs'!R$14,'General Inputs'!R$19)</f>
        <v>0</v>
      </c>
      <c r="CL33" s="520">
        <f>IF(AND(($E33+$C$1)&gt;CL$4,CL$4&gt;=$C$1),$H33,IF(AND(($D33+$C$1)&gt;CL$4,CL$4&gt;=$C$1),$G33,0))*IF($A33="Residential",'General Inputs'!S$14,'General Inputs'!S$19)</f>
        <v>0</v>
      </c>
      <c r="CM33" s="520">
        <f>IF(AND(($E33+$C$1)&gt;CM$4,CM$4&gt;=$C$1),$H33,IF(AND(($D33+$C$1)&gt;CM$4,CM$4&gt;=$C$1),$G33,0))*IF($A33="Residential",'General Inputs'!T$14,'General Inputs'!T$19)</f>
        <v>0</v>
      </c>
      <c r="CN33" s="520">
        <f>IF(AND(($E33+$C$1)&gt;CN$4,CN$4&gt;=$C$1),$H33,IF(AND(($D33+$C$1)&gt;CN$4,CN$4&gt;=$C$1),$G33,0))*IF($A33="Residential",'General Inputs'!U$14,'General Inputs'!U$19)</f>
        <v>0</v>
      </c>
      <c r="CO33" s="520">
        <f>IF(AND(($E33+$C$1)&gt;CO$4,CO$4&gt;=$C$1),$H33,IF(AND(($D33+$C$1)&gt;CO$4,CO$4&gt;=$C$1),$G33,0))*IF($A33="Residential",'General Inputs'!V$14,'General Inputs'!V$19)</f>
        <v>0</v>
      </c>
      <c r="CP33" s="520">
        <f>IF(AND(($E33+$C$1)&gt;CP$4,CP$4&gt;=$C$1),$H33,IF(AND(($D33+$C$1)&gt;CP$4,CP$4&gt;=$C$1),$G33,0))*IF($A33="Residential",'General Inputs'!W$14,'General Inputs'!W$19)</f>
        <v>0</v>
      </c>
      <c r="CR33" s="520">
        <f>IF(AND(($E33+$C$1)&gt;CR$4,CR$4&gt;=$C$1),$H33,IF(AND(($D33+$C$1)&gt;CR$4,CR$4&gt;=$C$1),$G33,0))*IF($A33="Residential",'General Inputs'!D$15,'General Inputs'!D$19)</f>
        <v>0</v>
      </c>
      <c r="CS33" s="520">
        <f>IF(AND(($E33+$C$1)&gt;CS$4,CS$4&gt;=$C$1),$H33,IF(AND(($D33+$C$1)&gt;CS$4,CS$4&gt;=$C$1),$G33,0))*IF($A33="Residential",'General Inputs'!E$15,'General Inputs'!E$19)</f>
        <v>4384.9471996968887</v>
      </c>
      <c r="CT33" s="520">
        <f>IF(AND(($E33+$C$1)&gt;CT$4,CT$4&gt;=$C$1),$H33,IF(AND(($D33+$C$1)&gt;CT$4,CT$4&gt;=$C$1),$G33,0))*IF($A33="Residential",'General Inputs'!F$15,'General Inputs'!F$19)</f>
        <v>4450.7214076923419</v>
      </c>
      <c r="CU33" s="520">
        <f>IF(AND(($E33+$C$1)&gt;CU$4,CU$4&gt;=$C$1),$H33,IF(AND(($D33+$C$1)&gt;CU$4,CU$4&gt;=$C$1),$G33,0))*IF($A33="Residential",'General Inputs'!G$15,'General Inputs'!G$19)</f>
        <v>4517.4822288077266</v>
      </c>
      <c r="CV33" s="520">
        <f>IF(AND(($E33+$C$1)&gt;CV$4,CV$4&gt;=$C$1),$H33,IF(AND(($D33+$C$1)&gt;CV$4,CV$4&gt;=$C$1),$G33,0))*IF($A33="Residential",'General Inputs'!H$15,'General Inputs'!H$19)</f>
        <v>4585.2444622398416</v>
      </c>
      <c r="CW33" s="520">
        <f>IF(AND(($E33+$C$1)&gt;CW$4,CW$4&gt;=$C$1),$H33,IF(AND(($D33+$C$1)&gt;CW$4,CW$4&gt;=$C$1),$G33,0))*IF($A33="Residential",'General Inputs'!I$15,'General Inputs'!I$19)</f>
        <v>4654.023129173439</v>
      </c>
      <c r="CX33" s="520">
        <f>IF(AND(($E33+$C$1)&gt;CX$4,CX$4&gt;=$C$1),$H33,IF(AND(($D33+$C$1)&gt;CX$4,CX$4&gt;=$C$1),$G33,0))*IF($A33="Residential",'General Inputs'!J$15,'General Inputs'!J$19)</f>
        <v>0</v>
      </c>
      <c r="CY33" s="520">
        <f>IF(AND(($E33+$C$1)&gt;CY$4,CY$4&gt;=$C$1),$H33,IF(AND(($D33+$C$1)&gt;CY$4,CY$4&gt;=$C$1),$G33,0))*IF($A33="Residential",'General Inputs'!K$15,'General Inputs'!K$19)</f>
        <v>0</v>
      </c>
      <c r="CZ33" s="520">
        <f>IF(AND(($E33+$C$1)&gt;CZ$4,CZ$4&gt;=$C$1),$H33,IF(AND(($D33+$C$1)&gt;CZ$4,CZ$4&gt;=$C$1),$G33,0))*IF($A33="Residential",'General Inputs'!L$15,'General Inputs'!L$19)</f>
        <v>0</v>
      </c>
      <c r="DA33" s="520">
        <f>IF(AND(($E33+$C$1)&gt;DA$4,DA$4&gt;=$C$1),$H33,IF(AND(($D33+$C$1)&gt;DA$4,DA$4&gt;=$C$1),$G33,0))*IF($A33="Residential",'General Inputs'!M$15,'General Inputs'!M$19)</f>
        <v>0</v>
      </c>
      <c r="DB33" s="520">
        <f>IF(AND(($E33+$C$1)&gt;DB$4,DB$4&gt;=$C$1),$H33,IF(AND(($D33+$C$1)&gt;DB$4,DB$4&gt;=$C$1),$G33,0))*IF($A33="Residential",'General Inputs'!N$15,'General Inputs'!N$19)</f>
        <v>0</v>
      </c>
      <c r="DC33" s="520">
        <f>IF(AND(($E33+$C$1)&gt;DC$4,DC$4&gt;=$C$1),$H33,IF(AND(($D33+$C$1)&gt;DC$4,DC$4&gt;=$C$1),$G33,0))*IF($A33="Residential",'General Inputs'!O$15,'General Inputs'!O$19)</f>
        <v>0</v>
      </c>
      <c r="DD33" s="520">
        <f>IF(AND(($E33+$C$1)&gt;DD$4,DD$4&gt;=$C$1),$H33,IF(AND(($D33+$C$1)&gt;DD$4,DD$4&gt;=$C$1),$G33,0))*IF($A33="Residential",'General Inputs'!P$15,'General Inputs'!P$19)</f>
        <v>0</v>
      </c>
      <c r="DE33" s="520">
        <f>IF(AND(($E33+$C$1)&gt;DE$4,DE$4&gt;=$C$1),$H33,IF(AND(($D33+$C$1)&gt;DE$4,DE$4&gt;=$C$1),$G33,0))*IF($A33="Residential",'General Inputs'!Q$15,'General Inputs'!Q$19)</f>
        <v>0</v>
      </c>
      <c r="DF33" s="520">
        <f>IF(AND(($E33+$C$1)&gt;DF$4,DF$4&gt;=$C$1),$H33,IF(AND(($D33+$C$1)&gt;DF$4,DF$4&gt;=$C$1),$G33,0))*IF($A33="Residential",'General Inputs'!R$15,'General Inputs'!R$19)</f>
        <v>0</v>
      </c>
      <c r="DG33" s="520">
        <f>IF(AND(($E33+$C$1)&gt;DG$4,DG$4&gt;=$C$1),$H33,IF(AND(($D33+$C$1)&gt;DG$4,DG$4&gt;=$C$1),$G33,0))*IF($A33="Residential",'General Inputs'!S$15,'General Inputs'!S$19)</f>
        <v>0</v>
      </c>
      <c r="DH33" s="520">
        <f>IF(AND(($E33+$C$1)&gt;DH$4,DH$4&gt;=$C$1),$H33,IF(AND(($D33+$C$1)&gt;DH$4,DH$4&gt;=$C$1),$G33,0))*IF($A33="Residential",'General Inputs'!T$15,'General Inputs'!T$19)</f>
        <v>0</v>
      </c>
      <c r="DI33" s="520">
        <f>IF(AND(($E33+$C$1)&gt;DI$4,DI$4&gt;=$C$1),$H33,IF(AND(($D33+$C$1)&gt;DI$4,DI$4&gt;=$C$1),$G33,0))*IF($A33="Residential",'General Inputs'!U$15,'General Inputs'!U$19)</f>
        <v>0</v>
      </c>
      <c r="DJ33" s="520">
        <f>IF(AND(($E33+$C$1)&gt;DJ$4,DJ$4&gt;=$C$1),$H33,IF(AND(($D33+$C$1)&gt;DJ$4,DJ$4&gt;=$C$1),$G33,0))*IF($A33="Residential",'General Inputs'!V$15,'General Inputs'!V$19)</f>
        <v>0</v>
      </c>
      <c r="DK33" s="520">
        <f>IF(AND(($E33+$C$1)&gt;DK$4,DK$4&gt;=$C$1),$H33,IF(AND(($D33+$C$1)&gt;DK$4,DK$4&gt;=$C$1),$G33,0))*IF($A33="Residential",'General Inputs'!W$15,'General Inputs'!W$19)</f>
        <v>0</v>
      </c>
      <c r="DM33" s="524">
        <f>IF($C$1=DM$4,$L33*$C33,IF($E33+$C$1=DM$4,-$M33*$C33,0))</f>
        <v>0</v>
      </c>
      <c r="DN33" s="524">
        <f t="shared" ref="DN33:DW34" si="74">IF($C$1=DN$4,$L33*$C33,IF($E33+$C$1=DN$4,-$M33*$C33,0))</f>
        <v>0</v>
      </c>
      <c r="DO33" s="524">
        <f t="shared" si="74"/>
        <v>0</v>
      </c>
      <c r="DP33" s="524">
        <f t="shared" si="74"/>
        <v>0</v>
      </c>
      <c r="DQ33" s="524">
        <f t="shared" si="74"/>
        <v>0</v>
      </c>
      <c r="DR33" s="524">
        <f t="shared" si="74"/>
        <v>0</v>
      </c>
      <c r="DS33" s="524">
        <f t="shared" si="74"/>
        <v>0</v>
      </c>
      <c r="DT33" s="524">
        <f t="shared" si="74"/>
        <v>0</v>
      </c>
      <c r="DU33" s="524">
        <f t="shared" si="74"/>
        <v>0</v>
      </c>
      <c r="DV33" s="524">
        <f t="shared" si="74"/>
        <v>0</v>
      </c>
      <c r="DW33" s="524">
        <f t="shared" si="74"/>
        <v>0</v>
      </c>
      <c r="DZ33" s="650"/>
      <c r="FI33" s="195"/>
      <c r="FJ33" s="195"/>
      <c r="FK33" s="195"/>
      <c r="FL33" s="195"/>
      <c r="FM33" s="195"/>
      <c r="FN33" s="195"/>
      <c r="FO33" s="195"/>
    </row>
    <row r="34" spans="1:171">
      <c r="A34" s="441" t="s">
        <v>12</v>
      </c>
      <c r="B34" s="426" t="str">
        <f>'Portfolio Inputs'!A33</f>
        <v>School-Based Education</v>
      </c>
      <c r="C34" s="356">
        <f>IF($C$1=2014,'Portfolio Inputs'!$C33,IF($C$1=2015,'Portfolio Inputs'!$D33,'Portfolio Inputs'!$E33))</f>
        <v>300</v>
      </c>
      <c r="D34" s="527">
        <f>VLOOKUP(B34,Sources!$B$3:$J$103,2,FALSE)</f>
        <v>5</v>
      </c>
      <c r="E34" s="527">
        <f>VLOOKUP(B34,Sources!$B$3:$J$103,3,FALSE)</f>
        <v>0</v>
      </c>
      <c r="F34" s="633"/>
      <c r="G34" s="527">
        <f>VLOOKUP($B34,Sources!$B$3:$K$103,5,FALSE)*C34*EnergyLineLoss</f>
        <v>104792.08069251676</v>
      </c>
      <c r="H34" s="527"/>
      <c r="I34" s="443">
        <f>VLOOKUP($B34,Sources!$B$3:$K$103,7,FALSE)*C34*PeakLineLoss</f>
        <v>9.1734936330285972</v>
      </c>
      <c r="J34" s="443"/>
      <c r="L34" s="607">
        <f>IF($C$1=2014,'Portfolio Inputs'!$O33,IF($C$1=2015,'Portfolio Inputs'!$P33,'Portfolio Inputs'!$Q33))</f>
        <v>0</v>
      </c>
      <c r="M34" s="519">
        <f>VLOOKUP($B34,Sources!$B$3:$K$103,10,FALSE)</f>
        <v>0</v>
      </c>
      <c r="N34" s="453">
        <f>IF($C$1=2014,'Portfolio Inputs'!$W33,IF($C$1=2015,'Portfolio Inputs'!$X33,'Portfolio Inputs'!$Y33))</f>
        <v>0</v>
      </c>
      <c r="O34" s="453">
        <f>IF($C$1=2014,'Portfolio Inputs'!$AA33,IF($C$1=2015,'Portfolio Inputs'!$AB33,'Portfolio Inputs'!$AC33))</f>
        <v>18191.25</v>
      </c>
      <c r="Q34" s="442">
        <f t="shared" si="67"/>
        <v>1.0506490672464894</v>
      </c>
      <c r="R34" s="443">
        <f t="shared" si="68"/>
        <v>1.0506490672464894</v>
      </c>
      <c r="S34" s="443">
        <f t="shared" si="69"/>
        <v>1.3298232087611663</v>
      </c>
      <c r="T34" s="443" t="str">
        <f t="shared" si="70"/>
        <v>n/a</v>
      </c>
      <c r="U34" s="443" t="str">
        <f>IF(AE34&gt;0,(AD34+AB34)/AE34,"n/a")</f>
        <v>n/a</v>
      </c>
      <c r="V34" s="522">
        <f t="shared" si="72"/>
        <v>0.23719706116235328</v>
      </c>
      <c r="W34" s="522">
        <f t="shared" si="73"/>
        <v>0.27722532044188924</v>
      </c>
      <c r="Y34" s="444">
        <f t="shared" si="4"/>
        <v>17560.290191609427</v>
      </c>
      <c r="Z34" s="444">
        <f t="shared" si="5"/>
        <v>4666.0479619890366</v>
      </c>
      <c r="AA34" s="444">
        <f t="shared" si="6"/>
        <v>57318.740642439021</v>
      </c>
      <c r="AB34" s="444">
        <f t="shared" si="7"/>
        <v>46629.270101584312</v>
      </c>
      <c r="AC34" s="445">
        <f t="shared" si="20"/>
        <v>16713.75413450937</v>
      </c>
      <c r="AD34" s="445">
        <f t="shared" si="21"/>
        <v>0</v>
      </c>
      <c r="AE34" s="526">
        <f t="shared" si="8"/>
        <v>0</v>
      </c>
      <c r="AG34" s="520">
        <f>IF(AND(($E34+$C$1)&gt;AG$4,AG$4&gt;=$C$1),'General Inputs'!D$9*$H34,IF(AND(($D34+$C$1)&gt;AG$4,AG$4&gt;=$C$1),'General Inputs'!D$9*$G34,0))+IF(AND(($E34+$C$1)&gt;AG$4,AG$4&gt;=$C$1),'General Inputs'!D$10*$J34,IF(AND(($D34+$C$1)&gt;AG$4,AG$4&gt;=$C$1),'General Inputs'!D$10*$I34,0))</f>
        <v>0</v>
      </c>
      <c r="AH34" s="520">
        <f>IF(AND(($E34+$C$1)&gt;AH$4,AH$4&gt;=$C$1),'General Inputs'!E$9*$H34,IF(AND(($D34+$C$1)&gt;AH$4,AH$4&gt;=$C$1),'General Inputs'!E$9*$G34,0))+IF(AND(($E34+$C$1)&gt;AH$4,AH$4&gt;=$C$1),'General Inputs'!E$10*$J34,IF(AND(($D34+$C$1)&gt;AH$4,AH$4&gt;=$C$1),'General Inputs'!E$10*$I34,0))</f>
        <v>4374.0154328984217</v>
      </c>
      <c r="AI34" s="520">
        <f>IF(AND(($E34+$C$1)&gt;AI$4,AI$4&gt;=$C$1),'General Inputs'!F$9*$H34,IF(AND(($D34+$C$1)&gt;AI$4,AI$4&gt;=$C$1),'General Inputs'!F$9*$G34,0))+IF(AND(($E34+$C$1)&gt;AI$4,AI$4&gt;=$C$1),'General Inputs'!F$10*$J34,IF(AND(($D34+$C$1)&gt;AI$4,AI$4&gt;=$C$1),'General Inputs'!F$10*$I34,0))</f>
        <v>4439.6256643918978</v>
      </c>
      <c r="AJ34" s="520">
        <f>IF(AND(($E34+$C$1)&gt;AJ$4,AJ$4&gt;=$C$1),'General Inputs'!G$9*$H34,IF(AND(($D34+$C$1)&gt;AJ$4,AJ$4&gt;=$C$1),'General Inputs'!G$9*$G34,0))+IF(AND(($E34+$C$1)&gt;AJ$4,AJ$4&gt;=$C$1),'General Inputs'!G$10*$J34,IF(AND(($D34+$C$1)&gt;AJ$4,AJ$4&gt;=$C$1),'General Inputs'!G$10*$I34,0))</f>
        <v>4506.2200493577757</v>
      </c>
      <c r="AK34" s="520">
        <f>IF(AND(($E34+$C$1)&gt;AK$4,AK$4&gt;=$C$1),'General Inputs'!H$9*$H34,IF(AND(($D34+$C$1)&gt;AK$4,AK$4&gt;=$C$1),'General Inputs'!H$9*$G34,0))+IF(AND(($E34+$C$1)&gt;AK$4,AK$4&gt;=$C$1),'General Inputs'!H$10*$J34,IF(AND(($D34+$C$1)&gt;AK$4,AK$4&gt;=$C$1),'General Inputs'!H$10*$I34,0))</f>
        <v>4573.8133500981421</v>
      </c>
      <c r="AL34" s="520">
        <f>IF(AND(($E34+$C$1)&gt;AL$4,AL$4&gt;=$C$1),'General Inputs'!I$9*$H34,IF(AND(($D34+$C$1)&gt;AL$4,AL$4&gt;=$C$1),'General Inputs'!I$9*$G34,0))+IF(AND(($E34+$C$1)&gt;AL$4,AL$4&gt;=$C$1),'General Inputs'!I$10*$J34,IF(AND(($D34+$C$1)&gt;AL$4,AL$4&gt;=$C$1),'General Inputs'!I$10*$I34,0))</f>
        <v>4642.4205503496123</v>
      </c>
      <c r="AM34" s="520">
        <f>IF(AND(($E34+$C$1)&gt;AM$4,AM$4&gt;=$C$1),'General Inputs'!J$9*$H34,IF(AND(($D34+$C$1)&gt;AM$4,AM$4&gt;=$C$1),'General Inputs'!J$9*$G34,0))+IF(AND(($E34+$C$1)&gt;AM$4,AM$4&gt;=$C$1),'General Inputs'!J$10*$J34,IF(AND(($D34+$C$1)&gt;AM$4,AM$4&gt;=$C$1),'General Inputs'!J$10*$I34,0))</f>
        <v>0</v>
      </c>
      <c r="AN34" s="520">
        <f>IF(AND(($E34+$C$1)&gt;AN$4,AN$4&gt;=$C$1),'General Inputs'!K$9*$H34,IF(AND(($D34+$C$1)&gt;AN$4,AN$4&gt;=$C$1),'General Inputs'!K$9*$G34,0))+IF(AND(($E34+$C$1)&gt;AN$4,AN$4&gt;=$C$1),'General Inputs'!K$10*$J34,IF(AND(($D34+$C$1)&gt;AN$4,AN$4&gt;=$C$1),'General Inputs'!K$10*$I34,0))</f>
        <v>0</v>
      </c>
      <c r="AO34" s="520">
        <f>IF(AND(($E34+$C$1)&gt;AO$4,AO$4&gt;=$C$1),'General Inputs'!L$9*$H34,IF(AND(($D34+$C$1)&gt;AO$4,AO$4&gt;=$C$1),'General Inputs'!L$9*$G34,0))+IF(AND(($E34+$C$1)&gt;AO$4,AO$4&gt;=$C$1),'General Inputs'!L$10*$J34,IF(AND(($D34+$C$1)&gt;AO$4,AO$4&gt;=$C$1),'General Inputs'!L$10*$I34,0))</f>
        <v>0</v>
      </c>
      <c r="AP34" s="520">
        <f>IF(AND(($E34+$C$1)&gt;AP$4,AP$4&gt;=$C$1),'General Inputs'!M$9*$H34,IF(AND(($D34+$C$1)&gt;AP$4,AP$4&gt;=$C$1),'General Inputs'!M$9*$G34,0))+IF(AND(($E34+$C$1)&gt;AP$4,AP$4&gt;=$C$1),'General Inputs'!M$10*$J34,IF(AND(($D34+$C$1)&gt;AP$4,AP$4&gt;=$C$1),'General Inputs'!M$10*$I34,0))</f>
        <v>0</v>
      </c>
      <c r="AQ34" s="520">
        <f>IF(AND(($E34+$C$1)&gt;AQ$4,AQ$4&gt;=$C$1),'General Inputs'!N$9*$H34,IF(AND(($D34+$C$1)&gt;AQ$4,AQ$4&gt;=$C$1),'General Inputs'!N$9*$G34,0))+IF(AND(($E34+$C$1)&gt;AQ$4,AQ$4&gt;=$C$1),'General Inputs'!N$10*$J34,IF(AND(($D34+$C$1)&gt;AQ$4,AQ$4&gt;=$C$1),'General Inputs'!N$10*$I34,0))</f>
        <v>0</v>
      </c>
      <c r="AR34" s="520">
        <f>IF(AND(($E34+$C$1)&gt;AR$4,AR$4&gt;=$C$1),'General Inputs'!O$9*$H34,IF(AND(($D34+$C$1)&gt;AR$4,AR$4&gt;=$C$1),'General Inputs'!O$9*$G34,0))+IF(AND(($E34+$C$1)&gt;AR$4,AR$4&gt;=$C$1),'General Inputs'!O$10*$J34,IF(AND(($D34+$C$1)&gt;AR$4,AR$4&gt;=$C$1),'General Inputs'!O$10*$I34,0))</f>
        <v>0</v>
      </c>
      <c r="AS34" s="520">
        <f>IF(AND(($E34+$C$1)&gt;AS$4,AS$4&gt;=$C$1),'General Inputs'!P$9*$H34,IF(AND(($D34+$C$1)&gt;AS$4,AS$4&gt;=$C$1),'General Inputs'!P$9*$G34,0))+IF(AND(($E34+$C$1)&gt;AS$4,AS$4&gt;=$C$1),'General Inputs'!P$10*$J34,IF(AND(($D34+$C$1)&gt;AS$4,AS$4&gt;=$C$1),'General Inputs'!P$10*$I34,0))</f>
        <v>0</v>
      </c>
      <c r="AT34" s="520">
        <f>IF(AND(($E34+$C$1)&gt;AT$4,AT$4&gt;=$C$1),'General Inputs'!Q$9*$H34,IF(AND(($D34+$C$1)&gt;AT$4,AT$4&gt;=$C$1),'General Inputs'!Q$9*$G34,0))+IF(AND(($E34+$C$1)&gt;AT$4,AT$4&gt;=$C$1),'General Inputs'!Q$10*$J34,IF(AND(($D34+$C$1)&gt;AT$4,AT$4&gt;=$C$1),'General Inputs'!Q$10*$I34,0))</f>
        <v>0</v>
      </c>
      <c r="AU34" s="520">
        <f>IF(AND(($E34+$C$1)&gt;AU$4,AU$4&gt;=$C$1),'General Inputs'!R$9*$H34,IF(AND(($D34+$C$1)&gt;AU$4,AU$4&gt;=$C$1),'General Inputs'!R$9*$G34,0))+IF(AND(($E34+$C$1)&gt;AU$4,AU$4&gt;=$C$1),'General Inputs'!R$10*$J34,IF(AND(($D34+$C$1)&gt;AU$4,AU$4&gt;=$C$1),'General Inputs'!R$10*$I34,0))</f>
        <v>0</v>
      </c>
      <c r="AV34" s="520">
        <f>IF(AND(($E34+$C$1)&gt;AV$4,AV$4&gt;=$C$1),'General Inputs'!S$9*$H34,IF(AND(($D34+$C$1)&gt;AV$4,AV$4&gt;=$C$1),'General Inputs'!S$9*$G34,0))+IF(AND(($E34+$C$1)&gt;AV$4,AV$4&gt;=$C$1),'General Inputs'!S$10*$J34,IF(AND(($D34+$C$1)&gt;AV$4,AV$4&gt;=$C$1),'General Inputs'!S$10*$I34,0))</f>
        <v>0</v>
      </c>
      <c r="AW34" s="520">
        <f>IF(AND(($E34+$C$1)&gt;AW$4,AW$4&gt;=$C$1),'General Inputs'!T$9*$H34,IF(AND(($D34+$C$1)&gt;AW$4,AW$4&gt;=$C$1),'General Inputs'!T$9*$G34,0))+IF(AND(($E34+$C$1)&gt;AW$4,AW$4&gt;=$C$1),'General Inputs'!T$10*$J34,IF(AND(($D34+$C$1)&gt;AW$4,AW$4&gt;=$C$1),'General Inputs'!T$10*$I34,0))</f>
        <v>0</v>
      </c>
      <c r="AX34" s="520">
        <f>IF(AND(($E34+$C$1)&gt;AX$4,AX$4&gt;=$C$1),'General Inputs'!U$9*$H34,IF(AND(($D34+$C$1)&gt;AX$4,AX$4&gt;=$C$1),'General Inputs'!U$9*$G34,0))+IF(AND(($E34+$C$1)&gt;AX$4,AX$4&gt;=$C$1),'General Inputs'!U$10*$J34,IF(AND(($D34+$C$1)&gt;AX$4,AX$4&gt;=$C$1),'General Inputs'!U$10*$I34,0))</f>
        <v>0</v>
      </c>
      <c r="AY34" s="520">
        <f>IF(AND(($E34+$C$1)&gt;AY$4,AY$4&gt;=$C$1),'General Inputs'!V$9*$H34,IF(AND(($D34+$C$1)&gt;AY$4,AY$4&gt;=$C$1),'General Inputs'!V$9*$G34,0))+IF(AND(($E34+$C$1)&gt;AY$4,AY$4&gt;=$C$1),'General Inputs'!V$10*$J34,IF(AND(($D34+$C$1)&gt;AY$4,AY$4&gt;=$C$1),'General Inputs'!V$10*$I34,0))</f>
        <v>0</v>
      </c>
      <c r="AZ34" s="520">
        <f>IF(AND(($E34+$C$1)&gt;AZ$4,AZ$4&gt;=$C$1),'General Inputs'!W$9*$H34,IF(AND(($D34+$C$1)&gt;AZ$4,AZ$4&gt;=$C$1),'General Inputs'!W$9*$G34,0))+IF(AND(($E34+$C$1)&gt;AZ$4,AZ$4&gt;=$C$1),'General Inputs'!W$10*$J34,IF(AND(($D34+$C$1)&gt;AZ$4,AZ$4&gt;=$C$1),'General Inputs'!W$10*$I34,0))</f>
        <v>0</v>
      </c>
      <c r="BB34" s="520">
        <f>IF(AND(($E34+$C$1)&gt;BB$4,BB$4&gt;=$C$1),'General Inputs'!D$11*$H34,IF(AND(($D34+$C$1)&gt;BB$4,BB$4&gt;=$C$1),'General Inputs'!D$11*$G34,0))</f>
        <v>0</v>
      </c>
      <c r="BC34" s="520">
        <f>IF(AND(($E34+$C$1)&gt;BC$4,BC$4&gt;=$C$1),'General Inputs'!E$11*$H34,IF(AND(($D34+$C$1)&gt;BC$4,BC$4&gt;=$C$1),'General Inputs'!E$11*$G34,0))</f>
        <v>1194.6297198946911</v>
      </c>
      <c r="BD34" s="520">
        <f>IF(AND(($E34+$C$1)&gt;BD$4,BD$4&gt;=$C$1),'General Inputs'!F$11*$H34,IF(AND(($D34+$C$1)&gt;BD$4,BD$4&gt;=$C$1),'General Inputs'!F$11*$G34,0))</f>
        <v>1194.6297198946911</v>
      </c>
      <c r="BE34" s="520">
        <f>IF(AND(($E34+$C$1)&gt;BE$4,BE$4&gt;=$C$1),'General Inputs'!G$11*$H34,IF(AND(($D34+$C$1)&gt;BE$4,BE$4&gt;=$C$1),'General Inputs'!G$11*$G34,0))</f>
        <v>1194.6297198946911</v>
      </c>
      <c r="BF34" s="520">
        <f>IF(AND(($E34+$C$1)&gt;BF$4,BF$4&gt;=$C$1),'General Inputs'!H$11*$H34,IF(AND(($D34+$C$1)&gt;BF$4,BF$4&gt;=$C$1),'General Inputs'!H$11*$G34,0))</f>
        <v>1194.6297198946911</v>
      </c>
      <c r="BG34" s="520">
        <f>IF(AND(($E34+$C$1)&gt;BG$4,BG$4&gt;=$C$1),'General Inputs'!I$11*$H34,IF(AND(($D34+$C$1)&gt;BG$4,BG$4&gt;=$C$1),'General Inputs'!I$11*$G34,0))</f>
        <v>1194.6297198946911</v>
      </c>
      <c r="BH34" s="520">
        <f>IF(AND(($E34+$C$1)&gt;BH$4,BH$4&gt;=$C$1),'General Inputs'!J$11*$H34,IF(AND(($D34+$C$1)&gt;BH$4,BH$4&gt;=$C$1),'General Inputs'!J$11*$G34,0))</f>
        <v>0</v>
      </c>
      <c r="BI34" s="520">
        <f>IF(AND(($E34+$C$1)&gt;BI$4,BI$4&gt;=$C$1),'General Inputs'!K$11*$H34,IF(AND(($D34+$C$1)&gt;BI$4,BI$4&gt;=$C$1),'General Inputs'!K$11*$G34,0))</f>
        <v>0</v>
      </c>
      <c r="BJ34" s="520">
        <f>IF(AND(($E34+$C$1)&gt;BJ$4,BJ$4&gt;=$C$1),'General Inputs'!L$11*$H34,IF(AND(($D34+$C$1)&gt;BJ$4,BJ$4&gt;=$C$1),'General Inputs'!L$11*$G34,0))</f>
        <v>0</v>
      </c>
      <c r="BK34" s="520">
        <f>IF(AND(($E34+$C$1)&gt;BK$4,BK$4&gt;=$C$1),'General Inputs'!M$11*$H34,IF(AND(($D34+$C$1)&gt;BK$4,BK$4&gt;=$C$1),'General Inputs'!M$11*$G34,0))</f>
        <v>0</v>
      </c>
      <c r="BL34" s="520">
        <f>IF(AND(($E34+$C$1)&gt;BL$4,BL$4&gt;=$C$1),'General Inputs'!N$11*$H34,IF(AND(($D34+$C$1)&gt;BL$4,BL$4&gt;=$C$1),'General Inputs'!N$11*$G34,0))</f>
        <v>0</v>
      </c>
      <c r="BM34" s="520">
        <f>IF(AND(($E34+$C$1)&gt;BM$4,BM$4&gt;=$C$1),'General Inputs'!O$11*$H34,IF(AND(($D34+$C$1)&gt;BM$4,BM$4&gt;=$C$1),'General Inputs'!O$11*$G34,0))</f>
        <v>0</v>
      </c>
      <c r="BN34" s="520">
        <f>IF(AND(($E34+$C$1)&gt;BN$4,BN$4&gt;=$C$1),'General Inputs'!P$11*$H34,IF(AND(($D34+$C$1)&gt;BN$4,BN$4&gt;=$C$1),'General Inputs'!P$11*$G34,0))</f>
        <v>0</v>
      </c>
      <c r="BO34" s="520">
        <f>IF(AND(($E34+$C$1)&gt;BO$4,BO$4&gt;=$C$1),'General Inputs'!Q$11*$H34,IF(AND(($D34+$C$1)&gt;BO$4,BO$4&gt;=$C$1),'General Inputs'!Q$11*$G34,0))</f>
        <v>0</v>
      </c>
      <c r="BP34" s="520">
        <f>IF(AND(($E34+$C$1)&gt;BP$4,BP$4&gt;=$C$1),'General Inputs'!R$11*$H34,IF(AND(($D34+$C$1)&gt;BP$4,BP$4&gt;=$C$1),'General Inputs'!R$11*$G34,0))</f>
        <v>0</v>
      </c>
      <c r="BQ34" s="520">
        <f>IF(AND(($E34+$C$1)&gt;BQ$4,BQ$4&gt;=$C$1),'General Inputs'!S$11*$H34,IF(AND(($D34+$C$1)&gt;BQ$4,BQ$4&gt;=$C$1),'General Inputs'!S$11*$G34,0))</f>
        <v>0</v>
      </c>
      <c r="BR34" s="520">
        <f>IF(AND(($E34+$C$1)&gt;BR$4,BR$4&gt;=$C$1),'General Inputs'!T$11*$H34,IF(AND(($D34+$C$1)&gt;BR$4,BR$4&gt;=$C$1),'General Inputs'!T$11*$G34,0))</f>
        <v>0</v>
      </c>
      <c r="BS34" s="520">
        <f>IF(AND(($E34+$C$1)&gt;BS$4,BS$4&gt;=$C$1),'General Inputs'!U$11*$H34,IF(AND(($D34+$C$1)&gt;BS$4,BS$4&gt;=$C$1),'General Inputs'!U$11*$G34,0))</f>
        <v>0</v>
      </c>
      <c r="BT34" s="520">
        <f>IF(AND(($E34+$C$1)&gt;BT$4,BT$4&gt;=$C$1),'General Inputs'!V$11*$H34,IF(AND(($D34+$C$1)&gt;BT$4,BT$4&gt;=$C$1),'General Inputs'!V$11*$G34,0))</f>
        <v>0</v>
      </c>
      <c r="BU34" s="520">
        <f>IF(AND(($E34+$C$1)&gt;BU$4,BU$4&gt;=$C$1),'General Inputs'!W$11*$H34,IF(AND(($D34+$C$1)&gt;BU$4,BU$4&gt;=$C$1),'General Inputs'!W$11*$G34,0))</f>
        <v>0</v>
      </c>
      <c r="BW34" s="520">
        <f>IF(AND(($E34+$C$1)&gt;BW$4,BW$4&gt;=$C$1),$H34,IF(AND(($D34+$C$1)&gt;BW$4,BW$4&gt;=$C$1),$G34,0))*IF($A34="Residential",'General Inputs'!D$14,'General Inputs'!D$19)</f>
        <v>0</v>
      </c>
      <c r="BX34" s="520">
        <f>IF(AND(($E34+$C$1)&gt;BX$4,BX$4&gt;=$C$1),$H34,IF(AND(($D34+$C$1)&gt;BX$4,BX$4&gt;=$C$1),$G34,0))*IF($A34="Residential",'General Inputs'!E$14,'General Inputs'!E$19)</f>
        <v>14277.272950997403</v>
      </c>
      <c r="BY34" s="520">
        <f>IF(AND(($E34+$C$1)&gt;BY$4,BY$4&gt;=$C$1),$H34,IF(AND(($D34+$C$1)&gt;BY$4,BY$4&gt;=$C$1),$G34,0))*IF($A34="Residential",'General Inputs'!F$14,'General Inputs'!F$19)</f>
        <v>14491.432045262361</v>
      </c>
      <c r="BZ34" s="520">
        <f>IF(AND(($E34+$C$1)&gt;BZ$4,BZ$4&gt;=$C$1),$H34,IF(AND(($D34+$C$1)&gt;BZ$4,BZ$4&gt;=$C$1),$G34,0))*IF($A34="Residential",'General Inputs'!G$14,'General Inputs'!G$19)</f>
        <v>14708.803525941294</v>
      </c>
      <c r="CA34" s="520">
        <f>IF(AND(($E34+$C$1)&gt;CA$4,CA$4&gt;=$C$1),$H34,IF(AND(($D34+$C$1)&gt;CA$4,CA$4&gt;=$C$1),$G34,0))*IF($A34="Residential",'General Inputs'!H$14,'General Inputs'!H$19)</f>
        <v>14929.435578830411</v>
      </c>
      <c r="CB34" s="520">
        <f>IF(AND(($E34+$C$1)&gt;CB$4,CB$4&gt;=$C$1),$H34,IF(AND(($D34+$C$1)&gt;CB$4,CB$4&gt;=$C$1),$G34,0))*IF($A34="Residential",'General Inputs'!I$14,'General Inputs'!I$19)</f>
        <v>15153.377112512866</v>
      </c>
      <c r="CC34" s="520">
        <f>IF(AND(($E34+$C$1)&gt;CC$4,CC$4&gt;=$C$1),$H34,IF(AND(($D34+$C$1)&gt;CC$4,CC$4&gt;=$C$1),$G34,0))*IF($A34="Residential",'General Inputs'!J$14,'General Inputs'!J$19)</f>
        <v>0</v>
      </c>
      <c r="CD34" s="520">
        <f>IF(AND(($E34+$C$1)&gt;CD$4,CD$4&gt;=$C$1),$H34,IF(AND(($D34+$C$1)&gt;CD$4,CD$4&gt;=$C$1),$G34,0))*IF($A34="Residential",'General Inputs'!K$14,'General Inputs'!K$19)</f>
        <v>0</v>
      </c>
      <c r="CE34" s="520">
        <f>IF(AND(($E34+$C$1)&gt;CE$4,CE$4&gt;=$C$1),$H34,IF(AND(($D34+$C$1)&gt;CE$4,CE$4&gt;=$C$1),$G34,0))*IF($A34="Residential",'General Inputs'!L$14,'General Inputs'!L$19)</f>
        <v>0</v>
      </c>
      <c r="CF34" s="520">
        <f>IF(AND(($E34+$C$1)&gt;CF$4,CF$4&gt;=$C$1),$H34,IF(AND(($D34+$C$1)&gt;CF$4,CF$4&gt;=$C$1),$G34,0))*IF($A34="Residential",'General Inputs'!M$14,'General Inputs'!M$19)</f>
        <v>0</v>
      </c>
      <c r="CG34" s="520">
        <f>IF(AND(($E34+$C$1)&gt;CG$4,CG$4&gt;=$C$1),$H34,IF(AND(($D34+$C$1)&gt;CG$4,CG$4&gt;=$C$1),$G34,0))*IF($A34="Residential",'General Inputs'!N$14,'General Inputs'!N$19)</f>
        <v>0</v>
      </c>
      <c r="CH34" s="520">
        <f>IF(AND(($E34+$C$1)&gt;CH$4,CH$4&gt;=$C$1),$H34,IF(AND(($D34+$C$1)&gt;CH$4,CH$4&gt;=$C$1),$G34,0))*IF($A34="Residential",'General Inputs'!O$14,'General Inputs'!O$19)</f>
        <v>0</v>
      </c>
      <c r="CI34" s="520">
        <f>IF(AND(($E34+$C$1)&gt;CI$4,CI$4&gt;=$C$1),$H34,IF(AND(($D34+$C$1)&gt;CI$4,CI$4&gt;=$C$1),$G34,0))*IF($A34="Residential",'General Inputs'!P$14,'General Inputs'!P$19)</f>
        <v>0</v>
      </c>
      <c r="CJ34" s="520">
        <f>IF(AND(($E34+$C$1)&gt;CJ$4,CJ$4&gt;=$C$1),$H34,IF(AND(($D34+$C$1)&gt;CJ$4,CJ$4&gt;=$C$1),$G34,0))*IF($A34="Residential",'General Inputs'!Q$14,'General Inputs'!Q$19)</f>
        <v>0</v>
      </c>
      <c r="CK34" s="520">
        <f>IF(AND(($E34+$C$1)&gt;CK$4,CK$4&gt;=$C$1),$H34,IF(AND(($D34+$C$1)&gt;CK$4,CK$4&gt;=$C$1),$G34,0))*IF($A34="Residential",'General Inputs'!R$14,'General Inputs'!R$19)</f>
        <v>0</v>
      </c>
      <c r="CL34" s="520">
        <f>IF(AND(($E34+$C$1)&gt;CL$4,CL$4&gt;=$C$1),$H34,IF(AND(($D34+$C$1)&gt;CL$4,CL$4&gt;=$C$1),$G34,0))*IF($A34="Residential",'General Inputs'!S$14,'General Inputs'!S$19)</f>
        <v>0</v>
      </c>
      <c r="CM34" s="520">
        <f>IF(AND(($E34+$C$1)&gt;CM$4,CM$4&gt;=$C$1),$H34,IF(AND(($D34+$C$1)&gt;CM$4,CM$4&gt;=$C$1),$G34,0))*IF($A34="Residential",'General Inputs'!T$14,'General Inputs'!T$19)</f>
        <v>0</v>
      </c>
      <c r="CN34" s="520">
        <f>IF(AND(($E34+$C$1)&gt;CN$4,CN$4&gt;=$C$1),$H34,IF(AND(($D34+$C$1)&gt;CN$4,CN$4&gt;=$C$1),$G34,0))*IF($A34="Residential",'General Inputs'!U$14,'General Inputs'!U$19)</f>
        <v>0</v>
      </c>
      <c r="CO34" s="520">
        <f>IF(AND(($E34+$C$1)&gt;CO$4,CO$4&gt;=$C$1),$H34,IF(AND(($D34+$C$1)&gt;CO$4,CO$4&gt;=$C$1),$G34,0))*IF($A34="Residential",'General Inputs'!V$14,'General Inputs'!V$19)</f>
        <v>0</v>
      </c>
      <c r="CP34" s="520">
        <f>IF(AND(($E34+$C$1)&gt;CP$4,CP$4&gt;=$C$1),$H34,IF(AND(($D34+$C$1)&gt;CP$4,CP$4&gt;=$C$1),$G34,0))*IF($A34="Residential",'General Inputs'!W$14,'General Inputs'!W$19)</f>
        <v>0</v>
      </c>
      <c r="CR34" s="520">
        <f>IF(AND(($E34+$C$1)&gt;CR$4,CR$4&gt;=$C$1),$H34,IF(AND(($D34+$C$1)&gt;CR$4,CR$4&gt;=$C$1),$G34,0))*IF($A34="Residential",'General Inputs'!D$15,'General Inputs'!D$19)</f>
        <v>0</v>
      </c>
      <c r="CS34" s="520">
        <f>IF(AND(($E34+$C$1)&gt;CS$4,CS$4&gt;=$C$1),$H34,IF(AND(($D34+$C$1)&gt;CS$4,CS$4&gt;=$C$1),$G34,0))*IF($A34="Residential",'General Inputs'!E$15,'General Inputs'!E$19)</f>
        <v>11614.679758912671</v>
      </c>
      <c r="CT34" s="520">
        <f>IF(AND(($E34+$C$1)&gt;CT$4,CT$4&gt;=$C$1),$H34,IF(AND(($D34+$C$1)&gt;CT$4,CT$4&gt;=$C$1),$G34,0))*IF($A34="Residential",'General Inputs'!F$15,'General Inputs'!F$19)</f>
        <v>11788.89995529636</v>
      </c>
      <c r="CU34" s="520">
        <f>IF(AND(($E34+$C$1)&gt;CU$4,CU$4&gt;=$C$1),$H34,IF(AND(($D34+$C$1)&gt;CU$4,CU$4&gt;=$C$1),$G34,0))*IF($A34="Residential",'General Inputs'!G$15,'General Inputs'!G$19)</f>
        <v>11965.733454625804</v>
      </c>
      <c r="CV34" s="520">
        <f>IF(AND(($E34+$C$1)&gt;CV$4,CV$4&gt;=$C$1),$H34,IF(AND(($D34+$C$1)&gt;CV$4,CV$4&gt;=$C$1),$G34,0))*IF($A34="Residential",'General Inputs'!H$15,'General Inputs'!H$19)</f>
        <v>12145.219456445189</v>
      </c>
      <c r="CW34" s="520">
        <f>IF(AND(($E34+$C$1)&gt;CW$4,CW$4&gt;=$C$1),$H34,IF(AND(($D34+$C$1)&gt;CW$4,CW$4&gt;=$C$1),$G34,0))*IF($A34="Residential",'General Inputs'!I$15,'General Inputs'!I$19)</f>
        <v>12327.397748291867</v>
      </c>
      <c r="CX34" s="520">
        <f>IF(AND(($E34+$C$1)&gt;CX$4,CX$4&gt;=$C$1),$H34,IF(AND(($D34+$C$1)&gt;CX$4,CX$4&gt;=$C$1),$G34,0))*IF($A34="Residential",'General Inputs'!J$15,'General Inputs'!J$19)</f>
        <v>0</v>
      </c>
      <c r="CY34" s="520">
        <f>IF(AND(($E34+$C$1)&gt;CY$4,CY$4&gt;=$C$1),$H34,IF(AND(($D34+$C$1)&gt;CY$4,CY$4&gt;=$C$1),$G34,0))*IF($A34="Residential",'General Inputs'!K$15,'General Inputs'!K$19)</f>
        <v>0</v>
      </c>
      <c r="CZ34" s="520">
        <f>IF(AND(($E34+$C$1)&gt;CZ$4,CZ$4&gt;=$C$1),$H34,IF(AND(($D34+$C$1)&gt;CZ$4,CZ$4&gt;=$C$1),$G34,0))*IF($A34="Residential",'General Inputs'!L$15,'General Inputs'!L$19)</f>
        <v>0</v>
      </c>
      <c r="DA34" s="520">
        <f>IF(AND(($E34+$C$1)&gt;DA$4,DA$4&gt;=$C$1),$H34,IF(AND(($D34+$C$1)&gt;DA$4,DA$4&gt;=$C$1),$G34,0))*IF($A34="Residential",'General Inputs'!M$15,'General Inputs'!M$19)</f>
        <v>0</v>
      </c>
      <c r="DB34" s="520">
        <f>IF(AND(($E34+$C$1)&gt;DB$4,DB$4&gt;=$C$1),$H34,IF(AND(($D34+$C$1)&gt;DB$4,DB$4&gt;=$C$1),$G34,0))*IF($A34="Residential",'General Inputs'!N$15,'General Inputs'!N$19)</f>
        <v>0</v>
      </c>
      <c r="DC34" s="520">
        <f>IF(AND(($E34+$C$1)&gt;DC$4,DC$4&gt;=$C$1),$H34,IF(AND(($D34+$C$1)&gt;DC$4,DC$4&gt;=$C$1),$G34,0))*IF($A34="Residential",'General Inputs'!O$15,'General Inputs'!O$19)</f>
        <v>0</v>
      </c>
      <c r="DD34" s="520">
        <f>IF(AND(($E34+$C$1)&gt;DD$4,DD$4&gt;=$C$1),$H34,IF(AND(($D34+$C$1)&gt;DD$4,DD$4&gt;=$C$1),$G34,0))*IF($A34="Residential",'General Inputs'!P$15,'General Inputs'!P$19)</f>
        <v>0</v>
      </c>
      <c r="DE34" s="520">
        <f>IF(AND(($E34+$C$1)&gt;DE$4,DE$4&gt;=$C$1),$H34,IF(AND(($D34+$C$1)&gt;DE$4,DE$4&gt;=$C$1),$G34,0))*IF($A34="Residential",'General Inputs'!Q$15,'General Inputs'!Q$19)</f>
        <v>0</v>
      </c>
      <c r="DF34" s="520">
        <f>IF(AND(($E34+$C$1)&gt;DF$4,DF$4&gt;=$C$1),$H34,IF(AND(($D34+$C$1)&gt;DF$4,DF$4&gt;=$C$1),$G34,0))*IF($A34="Residential",'General Inputs'!R$15,'General Inputs'!R$19)</f>
        <v>0</v>
      </c>
      <c r="DG34" s="520">
        <f>IF(AND(($E34+$C$1)&gt;DG$4,DG$4&gt;=$C$1),$H34,IF(AND(($D34+$C$1)&gt;DG$4,DG$4&gt;=$C$1),$G34,0))*IF($A34="Residential",'General Inputs'!S$15,'General Inputs'!S$19)</f>
        <v>0</v>
      </c>
      <c r="DH34" s="520">
        <f>IF(AND(($E34+$C$1)&gt;DH$4,DH$4&gt;=$C$1),$H34,IF(AND(($D34+$C$1)&gt;DH$4,DH$4&gt;=$C$1),$G34,0))*IF($A34="Residential",'General Inputs'!T$15,'General Inputs'!T$19)</f>
        <v>0</v>
      </c>
      <c r="DI34" s="520">
        <f>IF(AND(($E34+$C$1)&gt;DI$4,DI$4&gt;=$C$1),$H34,IF(AND(($D34+$C$1)&gt;DI$4,DI$4&gt;=$C$1),$G34,0))*IF($A34="Residential",'General Inputs'!U$15,'General Inputs'!U$19)</f>
        <v>0</v>
      </c>
      <c r="DJ34" s="520">
        <f>IF(AND(($E34+$C$1)&gt;DJ$4,DJ$4&gt;=$C$1),$H34,IF(AND(($D34+$C$1)&gt;DJ$4,DJ$4&gt;=$C$1),$G34,0))*IF($A34="Residential",'General Inputs'!V$15,'General Inputs'!V$19)</f>
        <v>0</v>
      </c>
      <c r="DK34" s="520">
        <f>IF(AND(($E34+$C$1)&gt;DK$4,DK$4&gt;=$C$1),$H34,IF(AND(($D34+$C$1)&gt;DK$4,DK$4&gt;=$C$1),$G34,0))*IF($A34="Residential",'General Inputs'!W$15,'General Inputs'!W$19)</f>
        <v>0</v>
      </c>
      <c r="DM34" s="524">
        <f>IF($C$1=DM$4,$L34*$C34,IF($E34+$C$1=DM$4,-$M34*$C34,0))</f>
        <v>0</v>
      </c>
      <c r="DN34" s="524">
        <f t="shared" si="74"/>
        <v>0</v>
      </c>
      <c r="DO34" s="524">
        <f t="shared" si="74"/>
        <v>0</v>
      </c>
      <c r="DP34" s="524">
        <f t="shared" si="74"/>
        <v>0</v>
      </c>
      <c r="DQ34" s="524">
        <f t="shared" si="74"/>
        <v>0</v>
      </c>
      <c r="DR34" s="524">
        <f t="shared" si="74"/>
        <v>0</v>
      </c>
      <c r="DS34" s="524">
        <f t="shared" si="74"/>
        <v>0</v>
      </c>
      <c r="DT34" s="524">
        <f t="shared" si="74"/>
        <v>0</v>
      </c>
      <c r="DU34" s="524">
        <f t="shared" si="74"/>
        <v>0</v>
      </c>
      <c r="DV34" s="524">
        <f t="shared" si="74"/>
        <v>0</v>
      </c>
      <c r="DW34" s="524">
        <f t="shared" si="74"/>
        <v>0</v>
      </c>
      <c r="DZ34" s="650"/>
      <c r="FI34" s="195"/>
      <c r="FJ34" s="195"/>
      <c r="FK34" s="195"/>
      <c r="FL34" s="195"/>
      <c r="FM34" s="195"/>
      <c r="FN34" s="195"/>
      <c r="FO34" s="195"/>
    </row>
    <row r="35" spans="1:171">
      <c r="A35" s="441" t="s">
        <v>12</v>
      </c>
      <c r="B35" s="426" t="str">
        <f>'Portfolio Inputs'!A34</f>
        <v>Weatherization</v>
      </c>
      <c r="C35" s="356">
        <f>IF($C$1=2014,'Portfolio Inputs'!$C34,IF($C$1=2015,'Portfolio Inputs'!$D34,'Portfolio Inputs'!$E34))</f>
        <v>30</v>
      </c>
      <c r="D35" s="503"/>
      <c r="E35" s="503"/>
      <c r="G35" s="513">
        <f>SUM(G36:G40)</f>
        <v>35312.900070314186</v>
      </c>
      <c r="H35" s="513"/>
      <c r="I35" s="509">
        <f>SUM(I36:I40)</f>
        <v>5.7200781536100607</v>
      </c>
      <c r="J35" s="509"/>
      <c r="L35" s="453"/>
      <c r="M35" s="453"/>
      <c r="N35" s="453">
        <f>IF($C$1=2014,'Portfolio Inputs'!$W34,IF($C$1=2015,'Portfolio Inputs'!$X34,'Portfolio Inputs'!$Y34))</f>
        <v>0</v>
      </c>
      <c r="O35" s="453">
        <f>IF($C$1=2014,'Portfolio Inputs'!$AA34,IF($C$1=2015,'Portfolio Inputs'!$AB34,'Portfolio Inputs'!$AC34))</f>
        <v>25396.875</v>
      </c>
      <c r="Q35" s="442">
        <f t="shared" si="67"/>
        <v>0.48417705271792449</v>
      </c>
      <c r="R35" s="443">
        <f t="shared" si="68"/>
        <v>0.48417705271792449</v>
      </c>
      <c r="S35" s="443">
        <f t="shared" si="69"/>
        <v>0.60302206848652995</v>
      </c>
      <c r="T35" s="443" t="str">
        <f t="shared" si="70"/>
        <v>n/a</v>
      </c>
      <c r="U35" s="443" t="str">
        <f>IF(AE35&gt;0,(AD35+AB35)/AE35,"n/a")</f>
        <v>n/a</v>
      </c>
      <c r="V35" s="522">
        <f t="shared" si="72"/>
        <v>0.19115775408728064</v>
      </c>
      <c r="W35" s="521">
        <f t="shared" si="73"/>
        <v>0.2154771510502255</v>
      </c>
      <c r="Y35" s="444">
        <f t="shared" si="4"/>
        <v>11297.853809027507</v>
      </c>
      <c r="Z35" s="444">
        <f t="shared" si="5"/>
        <v>2773.1459112902444</v>
      </c>
      <c r="AA35" s="444">
        <f t="shared" si="6"/>
        <v>35768.115023092301</v>
      </c>
      <c r="AB35" s="444">
        <f t="shared" si="7"/>
        <v>29097.657724905264</v>
      </c>
      <c r="AC35" s="445">
        <f t="shared" si="20"/>
        <v>23334.137265711135</v>
      </c>
      <c r="AD35" s="445">
        <f t="shared" si="21"/>
        <v>0</v>
      </c>
      <c r="AE35" s="526">
        <f t="shared" si="8"/>
        <v>0</v>
      </c>
      <c r="AG35" s="446">
        <f t="shared" ref="AG35:CR35" si="75">SUM(AG36:AG40)</f>
        <v>0</v>
      </c>
      <c r="AH35" s="446">
        <f t="shared" si="75"/>
        <v>1513.912467049603</v>
      </c>
      <c r="AI35" s="446">
        <f t="shared" si="75"/>
        <v>1536.6211540553468</v>
      </c>
      <c r="AJ35" s="446">
        <f t="shared" si="75"/>
        <v>1441.8442332553238</v>
      </c>
      <c r="AK35" s="446">
        <f t="shared" si="75"/>
        <v>1463.4718967541535</v>
      </c>
      <c r="AL35" s="446">
        <f t="shared" si="75"/>
        <v>1485.4239752054657</v>
      </c>
      <c r="AM35" s="446">
        <f t="shared" si="75"/>
        <v>1221.6667649145918</v>
      </c>
      <c r="AN35" s="446">
        <f t="shared" si="75"/>
        <v>1239.9917663883105</v>
      </c>
      <c r="AO35" s="446">
        <f t="shared" si="75"/>
        <v>1258.5916428841351</v>
      </c>
      <c r="AP35" s="446">
        <f t="shared" si="75"/>
        <v>1277.4705175273969</v>
      </c>
      <c r="AQ35" s="446">
        <f t="shared" si="75"/>
        <v>1296.6325752903078</v>
      </c>
      <c r="AR35" s="446">
        <f t="shared" si="75"/>
        <v>1316.0820639196622</v>
      </c>
      <c r="AS35" s="446">
        <f t="shared" si="75"/>
        <v>1335.8232948784569</v>
      </c>
      <c r="AT35" s="446">
        <f t="shared" si="75"/>
        <v>1355.8606443016336</v>
      </c>
      <c r="AU35" s="446">
        <f t="shared" si="75"/>
        <v>1376.1985539661582</v>
      </c>
      <c r="AV35" s="446">
        <f t="shared" si="75"/>
        <v>1396.8415322756503</v>
      </c>
      <c r="AW35" s="446">
        <f t="shared" si="75"/>
        <v>0</v>
      </c>
      <c r="AX35" s="446">
        <f t="shared" si="75"/>
        <v>0</v>
      </c>
      <c r="AY35" s="446">
        <f t="shared" si="75"/>
        <v>0</v>
      </c>
      <c r="AZ35" s="446">
        <f t="shared" si="75"/>
        <v>0</v>
      </c>
      <c r="BB35" s="446">
        <f t="shared" si="75"/>
        <v>0</v>
      </c>
      <c r="BC35" s="446">
        <f t="shared" si="75"/>
        <v>402.56706080158182</v>
      </c>
      <c r="BD35" s="446">
        <f t="shared" si="75"/>
        <v>402.56706080158182</v>
      </c>
      <c r="BE35" s="446">
        <f t="shared" si="75"/>
        <v>371.6294672015818</v>
      </c>
      <c r="BF35" s="446">
        <f t="shared" si="75"/>
        <v>371.6294672015818</v>
      </c>
      <c r="BG35" s="446">
        <f t="shared" si="75"/>
        <v>371.6294672015818</v>
      </c>
      <c r="BH35" s="446">
        <f t="shared" si="75"/>
        <v>299.43589500782974</v>
      </c>
      <c r="BI35" s="446">
        <f t="shared" si="75"/>
        <v>299.43589500782974</v>
      </c>
      <c r="BJ35" s="446">
        <f t="shared" si="75"/>
        <v>299.43589500782974</v>
      </c>
      <c r="BK35" s="446">
        <f t="shared" si="75"/>
        <v>299.43589500782974</v>
      </c>
      <c r="BL35" s="446">
        <f t="shared" si="75"/>
        <v>299.43589500782974</v>
      </c>
      <c r="BM35" s="446">
        <f t="shared" si="75"/>
        <v>299.43589500782974</v>
      </c>
      <c r="BN35" s="446">
        <f t="shared" si="75"/>
        <v>299.43589500782974</v>
      </c>
      <c r="BO35" s="446">
        <f t="shared" si="75"/>
        <v>299.43589500782974</v>
      </c>
      <c r="BP35" s="446">
        <f t="shared" si="75"/>
        <v>299.43589500782974</v>
      </c>
      <c r="BQ35" s="446">
        <f t="shared" si="75"/>
        <v>299.43589500782974</v>
      </c>
      <c r="BR35" s="446">
        <f t="shared" si="75"/>
        <v>0</v>
      </c>
      <c r="BS35" s="446">
        <f t="shared" si="75"/>
        <v>0</v>
      </c>
      <c r="BT35" s="446">
        <f t="shared" si="75"/>
        <v>0</v>
      </c>
      <c r="BU35" s="446">
        <f t="shared" si="75"/>
        <v>0</v>
      </c>
      <c r="BW35" s="446">
        <f t="shared" si="75"/>
        <v>0</v>
      </c>
      <c r="BX35" s="446">
        <f t="shared" si="75"/>
        <v>4811.1642565293014</v>
      </c>
      <c r="BY35" s="446">
        <f t="shared" si="75"/>
        <v>4883.3317203772403</v>
      </c>
      <c r="BZ35" s="446">
        <f t="shared" si="75"/>
        <v>4575.6645146917726</v>
      </c>
      <c r="CA35" s="446">
        <f t="shared" si="75"/>
        <v>4644.2994824121488</v>
      </c>
      <c r="CB35" s="446">
        <f t="shared" si="75"/>
        <v>4713.9639746483299</v>
      </c>
      <c r="CC35" s="446">
        <f t="shared" si="75"/>
        <v>3855.1920624020513</v>
      </c>
      <c r="CD35" s="446">
        <f t="shared" si="75"/>
        <v>3913.0199433380817</v>
      </c>
      <c r="CE35" s="446">
        <f t="shared" si="75"/>
        <v>3971.7152424881519</v>
      </c>
      <c r="CF35" s="446">
        <f t="shared" si="75"/>
        <v>4031.2909711254742</v>
      </c>
      <c r="CG35" s="446">
        <f t="shared" si="75"/>
        <v>4091.760335692356</v>
      </c>
      <c r="CH35" s="446">
        <f t="shared" si="75"/>
        <v>4153.1367407277403</v>
      </c>
      <c r="CI35" s="446">
        <f t="shared" si="75"/>
        <v>4215.4337918386564</v>
      </c>
      <c r="CJ35" s="446">
        <f t="shared" si="75"/>
        <v>4278.6652987162361</v>
      </c>
      <c r="CK35" s="446">
        <f t="shared" si="75"/>
        <v>4342.8452781969781</v>
      </c>
      <c r="CL35" s="446">
        <f t="shared" si="75"/>
        <v>4407.9879573699327</v>
      </c>
      <c r="CM35" s="446">
        <f t="shared" si="75"/>
        <v>0</v>
      </c>
      <c r="CN35" s="446">
        <f t="shared" si="75"/>
        <v>0</v>
      </c>
      <c r="CO35" s="446">
        <f t="shared" si="75"/>
        <v>0</v>
      </c>
      <c r="CP35" s="446">
        <f t="shared" si="75"/>
        <v>0</v>
      </c>
      <c r="CR35" s="446">
        <f t="shared" si="75"/>
        <v>0</v>
      </c>
      <c r="CS35" s="446">
        <f t="shared" ref="CS35:DW35" si="76">SUM(CS36:CS40)</f>
        <v>3913.9219582694368</v>
      </c>
      <c r="CT35" s="446">
        <f t="shared" si="76"/>
        <v>3972.630787643478</v>
      </c>
      <c r="CU35" s="446">
        <f t="shared" si="76"/>
        <v>3722.340968388703</v>
      </c>
      <c r="CV35" s="446">
        <f t="shared" si="76"/>
        <v>3778.1760829145337</v>
      </c>
      <c r="CW35" s="446">
        <f t="shared" si="76"/>
        <v>3834.8487241582511</v>
      </c>
      <c r="CX35" s="446">
        <f t="shared" si="76"/>
        <v>3136.2306630674752</v>
      </c>
      <c r="CY35" s="446">
        <f t="shared" si="76"/>
        <v>3183.2741230134866</v>
      </c>
      <c r="CZ35" s="446">
        <f t="shared" si="76"/>
        <v>3231.0232348586887</v>
      </c>
      <c r="DA35" s="446">
        <f t="shared" si="76"/>
        <v>3279.4885833815688</v>
      </c>
      <c r="DB35" s="446">
        <f t="shared" si="76"/>
        <v>3328.6809121322917</v>
      </c>
      <c r="DC35" s="446">
        <f t="shared" si="76"/>
        <v>3378.611125814276</v>
      </c>
      <c r="DD35" s="446">
        <f t="shared" si="76"/>
        <v>3429.2902927014898</v>
      </c>
      <c r="DE35" s="446">
        <f t="shared" si="76"/>
        <v>3480.7296470920119</v>
      </c>
      <c r="DF35" s="446">
        <f t="shared" si="76"/>
        <v>3532.9405917983913</v>
      </c>
      <c r="DG35" s="446">
        <f t="shared" si="76"/>
        <v>3585.9347006753669</v>
      </c>
      <c r="DH35" s="446">
        <f t="shared" si="76"/>
        <v>0</v>
      </c>
      <c r="DI35" s="446">
        <f t="shared" si="76"/>
        <v>0</v>
      </c>
      <c r="DJ35" s="446">
        <f t="shared" si="76"/>
        <v>0</v>
      </c>
      <c r="DK35" s="446">
        <f t="shared" si="76"/>
        <v>0</v>
      </c>
      <c r="DM35" s="446">
        <f t="shared" si="76"/>
        <v>0</v>
      </c>
      <c r="DN35" s="446">
        <f t="shared" si="76"/>
        <v>0</v>
      </c>
      <c r="DO35" s="446">
        <f t="shared" si="76"/>
        <v>0</v>
      </c>
      <c r="DP35" s="446">
        <f t="shared" si="76"/>
        <v>0</v>
      </c>
      <c r="DQ35" s="446">
        <f t="shared" si="76"/>
        <v>0</v>
      </c>
      <c r="DR35" s="446">
        <f t="shared" si="76"/>
        <v>0</v>
      </c>
      <c r="DS35" s="446">
        <f t="shared" si="76"/>
        <v>0</v>
      </c>
      <c r="DT35" s="446">
        <f t="shared" si="76"/>
        <v>0</v>
      </c>
      <c r="DU35" s="446">
        <f t="shared" si="76"/>
        <v>0</v>
      </c>
      <c r="DV35" s="446">
        <f t="shared" si="76"/>
        <v>0</v>
      </c>
      <c r="DW35" s="446">
        <f t="shared" si="76"/>
        <v>0</v>
      </c>
      <c r="DZ35" s="650"/>
      <c r="FO35" s="195"/>
    </row>
    <row r="36" spans="1:171">
      <c r="A36" s="342" t="s">
        <v>12</v>
      </c>
      <c r="B36" s="427" t="str">
        <f>'Portfolio Inputs'!A35</f>
        <v>Air Sealing</v>
      </c>
      <c r="C36" s="217">
        <f>IF($C$1=2014,'Portfolio Inputs'!$C35,IF($C$1=2015,'Portfolio Inputs'!$D35,'Portfolio Inputs'!$E35))</f>
        <v>30</v>
      </c>
      <c r="D36" s="504">
        <f>Sources!C17</f>
        <v>15</v>
      </c>
      <c r="E36" s="504"/>
      <c r="G36" s="504">
        <f>IF($C$1=2014,'Portfolio Inputs'!$G35,IF($C$1=2015,'Portfolio Inputs'!$H35,'Portfolio Inputs'!$I35))*EnergyLineLoss</f>
        <v>22009.639576997211</v>
      </c>
      <c r="H36" s="504"/>
      <c r="I36" s="595">
        <f>IF($C$1=2014,'Portfolio Inputs'!$K35,IF($C$1=2015,'Portfolio Inputs'!$L35,'Portfolio Inputs'!$M35))*PeakLineLoss</f>
        <v>4.2919828767123285</v>
      </c>
      <c r="J36" s="510"/>
      <c r="L36" s="606">
        <f>IF($C$1=2014,'Portfolio Inputs'!$O35,IF($C$1=2015,'Portfolio Inputs'!$P35,'Portfolio Inputs'!$Q35))</f>
        <v>0</v>
      </c>
      <c r="M36" s="518" t="e">
        <f>VLOOKUP($B36,Sources!$B$4:$K$104,10,FALSE)</f>
        <v>#N/A</v>
      </c>
      <c r="N36" s="419">
        <f>IF($C$1=2014,'Portfolio Inputs'!$W35,IF($C$1=2015,'Portfolio Inputs'!$X35,'Portfolio Inputs'!$Y35))</f>
        <v>0</v>
      </c>
      <c r="O36" s="419"/>
      <c r="Q36" s="438" t="str">
        <f t="shared" si="67"/>
        <v>n/a</v>
      </c>
      <c r="R36" s="439" t="str">
        <f t="shared" si="68"/>
        <v>n/a</v>
      </c>
      <c r="S36" s="439" t="str">
        <f t="shared" si="69"/>
        <v>n/a</v>
      </c>
      <c r="T36" s="439" t="str">
        <f t="shared" si="70"/>
        <v>n/a</v>
      </c>
      <c r="U36" s="439" t="str">
        <f t="shared" ref="U36:U40" si="77">IF(AE36&gt;0,(AD36+AB36)/AE36,"n/a")</f>
        <v>n/a</v>
      </c>
      <c r="V36" s="439">
        <f t="shared" si="72"/>
        <v>0.3183503156394496</v>
      </c>
      <c r="W36" s="439">
        <f t="shared" si="73"/>
        <v>0.39133014811990852</v>
      </c>
      <c r="Y36" s="215">
        <f t="shared" si="4"/>
        <v>8442.3192329952963</v>
      </c>
      <c r="Z36" s="215">
        <f t="shared" si="5"/>
        <v>2041.7522874189456</v>
      </c>
      <c r="AA36" s="215">
        <f t="shared" si="6"/>
        <v>26518.959832151439</v>
      </c>
      <c r="AB36" s="215">
        <f t="shared" si="7"/>
        <v>21573.393395717783</v>
      </c>
      <c r="AC36" s="216">
        <f t="shared" si="20"/>
        <v>0</v>
      </c>
      <c r="AD36" s="216">
        <f t="shared" si="21"/>
        <v>0</v>
      </c>
      <c r="AE36" s="215">
        <f t="shared" si="8"/>
        <v>0</v>
      </c>
      <c r="AG36" s="214">
        <f>IF(AND(($E36+$C$1)&gt;AG$4,AG$4&gt;=$C$1),'General Inputs'!D$9*$H36,IF(AND(($D36+$C$1)&gt;AG$4,AG$4&gt;=$C$1),'General Inputs'!D$9*$G36,0))+IF(AND(($E36+$C$1)&gt;AG$4,AG$4&gt;=$C$1),'General Inputs'!D$10*$J36,IF(AND(($D36+$C$1)&gt;AG$4,AG$4&gt;=$C$1),'General Inputs'!D$10*$I36,0))</f>
        <v>0</v>
      </c>
      <c r="AH36" s="214">
        <f>IF(AND(($E36+$C$1)&gt;AH$4,AH$4&gt;=$C$1),'General Inputs'!E$9*$H36,IF(AND(($D36+$C$1)&gt;AH$4,AH$4&gt;=$C$1),'General Inputs'!E$9*$G36,0))+IF(AND(($E36+$C$1)&gt;AH$4,AH$4&gt;=$C$1),'General Inputs'!E$10*$J36,IF(AND(($D36+$C$1)&gt;AH$4,AH$4&gt;=$C$1),'General Inputs'!E$10*$I36,0))</f>
        <v>954.62985949198287</v>
      </c>
      <c r="AI36" s="214">
        <f>IF(AND(($E36+$C$1)&gt;AI$4,AI$4&gt;=$C$1),'General Inputs'!F$9*$H36,IF(AND(($D36+$C$1)&gt;AI$4,AI$4&gt;=$C$1),'General Inputs'!F$9*$G36,0))+IF(AND(($E36+$C$1)&gt;AI$4,AI$4&gt;=$C$1),'General Inputs'!F$10*$J36,IF(AND(($D36+$C$1)&gt;AI$4,AI$4&gt;=$C$1),'General Inputs'!F$10*$I36,0))</f>
        <v>968.94930738436256</v>
      </c>
      <c r="AJ36" s="214">
        <f>IF(AND(($E36+$C$1)&gt;AJ$4,AJ$4&gt;=$C$1),'General Inputs'!G$9*$H36,IF(AND(($D36+$C$1)&gt;AJ$4,AJ$4&gt;=$C$1),'General Inputs'!G$9*$G36,0))+IF(AND(($E36+$C$1)&gt;AJ$4,AJ$4&gt;=$C$1),'General Inputs'!G$10*$J36,IF(AND(($D36+$C$1)&gt;AJ$4,AJ$4&gt;=$C$1),'General Inputs'!G$10*$I36,0))</f>
        <v>983.48354699512788</v>
      </c>
      <c r="AK36" s="214">
        <f>IF(AND(($E36+$C$1)&gt;AK$4,AK$4&gt;=$C$1),'General Inputs'!H$9*$H36,IF(AND(($D36+$C$1)&gt;AK$4,AK$4&gt;=$C$1),'General Inputs'!H$9*$G36,0))+IF(AND(($E36+$C$1)&gt;AK$4,AK$4&gt;=$C$1),'General Inputs'!H$10*$J36,IF(AND(($D36+$C$1)&gt;AK$4,AK$4&gt;=$C$1),'General Inputs'!H$10*$I36,0))</f>
        <v>998.23580020005477</v>
      </c>
      <c r="AL36" s="214">
        <f>IF(AND(($E36+$C$1)&gt;AL$4,AL$4&gt;=$C$1),'General Inputs'!I$9*$H36,IF(AND(($D36+$C$1)&gt;AL$4,AL$4&gt;=$C$1),'General Inputs'!I$9*$G36,0))+IF(AND(($E36+$C$1)&gt;AL$4,AL$4&gt;=$C$1),'General Inputs'!I$10*$J36,IF(AND(($D36+$C$1)&gt;AL$4,AL$4&gt;=$C$1),'General Inputs'!I$10*$I36,0))</f>
        <v>1013.2093372030554</v>
      </c>
      <c r="AM36" s="214">
        <f>IF(AND(($E36+$C$1)&gt;AM$4,AM$4&gt;=$C$1),'General Inputs'!J$9*$H36,IF(AND(($D36+$C$1)&gt;AM$4,AM$4&gt;=$C$1),'General Inputs'!J$9*$G36,0))+IF(AND(($E36+$C$1)&gt;AM$4,AM$4&gt;=$C$1),'General Inputs'!J$10*$J36,IF(AND(($D36+$C$1)&gt;AM$4,AM$4&gt;=$C$1),'General Inputs'!J$10*$I36,0))</f>
        <v>1028.4074772611011</v>
      </c>
      <c r="AN36" s="214">
        <f>IF(AND(($E36+$C$1)&gt;AN$4,AN$4&gt;=$C$1),'General Inputs'!K$9*$H36,IF(AND(($D36+$C$1)&gt;AN$4,AN$4&gt;=$C$1),'General Inputs'!K$9*$G36,0))+IF(AND(($E36+$C$1)&gt;AN$4,AN$4&gt;=$C$1),'General Inputs'!K$10*$J36,IF(AND(($D36+$C$1)&gt;AN$4,AN$4&gt;=$C$1),'General Inputs'!K$10*$I36,0))</f>
        <v>1043.8335894200175</v>
      </c>
      <c r="AO36" s="214">
        <f>IF(AND(($E36+$C$1)&gt;AO$4,AO$4&gt;=$C$1),'General Inputs'!L$9*$H36,IF(AND(($D36+$C$1)&gt;AO$4,AO$4&gt;=$C$1),'General Inputs'!L$9*$G36,0))+IF(AND(($E36+$C$1)&gt;AO$4,AO$4&gt;=$C$1),'General Inputs'!L$10*$J36,IF(AND(($D36+$C$1)&gt;AO$4,AO$4&gt;=$C$1),'General Inputs'!L$10*$I36,0))</f>
        <v>1059.4910932613177</v>
      </c>
      <c r="AP36" s="214">
        <f>IF(AND(($E36+$C$1)&gt;AP$4,AP$4&gt;=$C$1),'General Inputs'!M$9*$H36,IF(AND(($D36+$C$1)&gt;AP$4,AP$4&gt;=$C$1),'General Inputs'!M$9*$G36,0))+IF(AND(($E36+$C$1)&gt;AP$4,AP$4&gt;=$C$1),'General Inputs'!M$10*$J36,IF(AND(($D36+$C$1)&gt;AP$4,AP$4&gt;=$C$1),'General Inputs'!M$10*$I36,0))</f>
        <v>1075.3834596602371</v>
      </c>
      <c r="AQ36" s="214">
        <f>IF(AND(($E36+$C$1)&gt;AQ$4,AQ$4&gt;=$C$1),'General Inputs'!N$9*$H36,IF(AND(($D36+$C$1)&gt;AQ$4,AQ$4&gt;=$C$1),'General Inputs'!N$9*$G36,0))+IF(AND(($E36+$C$1)&gt;AQ$4,AQ$4&gt;=$C$1),'General Inputs'!N$10*$J36,IF(AND(($D36+$C$1)&gt;AQ$4,AQ$4&gt;=$C$1),'General Inputs'!N$10*$I36,0))</f>
        <v>1091.5142115551407</v>
      </c>
      <c r="AR36" s="214">
        <f>IF(AND(($E36+$C$1)&gt;AR$4,AR$4&gt;=$C$1),'General Inputs'!O$9*$H36,IF(AND(($D36+$C$1)&gt;AR$4,AR$4&gt;=$C$1),'General Inputs'!O$9*$G36,0))+IF(AND(($E36+$C$1)&gt;AR$4,AR$4&gt;=$C$1),'General Inputs'!O$10*$J36,IF(AND(($D36+$C$1)&gt;AR$4,AR$4&gt;=$C$1),'General Inputs'!O$10*$I36,0))</f>
        <v>1107.8869247284676</v>
      </c>
      <c r="AS36" s="214">
        <f>IF(AND(($E36+$C$1)&gt;AS$4,AS$4&gt;=$C$1),'General Inputs'!P$9*$H36,IF(AND(($D36+$C$1)&gt;AS$4,AS$4&gt;=$C$1),'General Inputs'!P$9*$G36,0))+IF(AND(($E36+$C$1)&gt;AS$4,AS$4&gt;=$C$1),'General Inputs'!P$10*$J36,IF(AND(($D36+$C$1)&gt;AS$4,AS$4&gt;=$C$1),'General Inputs'!P$10*$I36,0))</f>
        <v>1124.5052285993945</v>
      </c>
      <c r="AT36" s="214">
        <f>IF(AND(($E36+$C$1)&gt;AT$4,AT$4&gt;=$C$1),'General Inputs'!Q$9*$H36,IF(AND(($D36+$C$1)&gt;AT$4,AT$4&gt;=$C$1),'General Inputs'!Q$9*$G36,0))+IF(AND(($E36+$C$1)&gt;AT$4,AT$4&gt;=$C$1),'General Inputs'!Q$10*$J36,IF(AND(($D36+$C$1)&gt;AT$4,AT$4&gt;=$C$1),'General Inputs'!Q$10*$I36,0))</f>
        <v>1141.3728070283853</v>
      </c>
      <c r="AU36" s="214">
        <f>IF(AND(($E36+$C$1)&gt;AU$4,AU$4&gt;=$C$1),'General Inputs'!R$9*$H36,IF(AND(($D36+$C$1)&gt;AU$4,AU$4&gt;=$C$1),'General Inputs'!R$9*$G36,0))+IF(AND(($E36+$C$1)&gt;AU$4,AU$4&gt;=$C$1),'General Inputs'!R$10*$J36,IF(AND(($D36+$C$1)&gt;AU$4,AU$4&gt;=$C$1),'General Inputs'!R$10*$I36,0))</f>
        <v>1158.4933991338112</v>
      </c>
      <c r="AV36" s="214">
        <f>IF(AND(($E36+$C$1)&gt;AV$4,AV$4&gt;=$C$1),'General Inputs'!S$9*$H36,IF(AND(($D36+$C$1)&gt;AV$4,AV$4&gt;=$C$1),'General Inputs'!S$9*$G36,0))+IF(AND(($E36+$C$1)&gt;AV$4,AV$4&gt;=$C$1),'General Inputs'!S$10*$J36,IF(AND(($D36+$C$1)&gt;AV$4,AV$4&gt;=$C$1),'General Inputs'!S$10*$I36,0))</f>
        <v>1175.8708001208181</v>
      </c>
      <c r="AW36" s="214">
        <f>IF(AND(($E36+$C$1)&gt;AW$4,AW$4&gt;=$C$1),'General Inputs'!T$9*$H36,IF(AND(($D36+$C$1)&gt;AW$4,AW$4&gt;=$C$1),'General Inputs'!T$9*$G36,0))+IF(AND(($E36+$C$1)&gt;AW$4,AW$4&gt;=$C$1),'General Inputs'!T$10*$J36,IF(AND(($D36+$C$1)&gt;AW$4,AW$4&gt;=$C$1),'General Inputs'!T$10*$I36,0))</f>
        <v>0</v>
      </c>
      <c r="AX36" s="214">
        <f>IF(AND(($E36+$C$1)&gt;AX$4,AX$4&gt;=$C$1),'General Inputs'!U$9*$H36,IF(AND(($D36+$C$1)&gt;AX$4,AX$4&gt;=$C$1),'General Inputs'!U$9*$G36,0))+IF(AND(($E36+$C$1)&gt;AX$4,AX$4&gt;=$C$1),'General Inputs'!U$10*$J36,IF(AND(($D36+$C$1)&gt;AX$4,AX$4&gt;=$C$1),'General Inputs'!U$10*$I36,0))</f>
        <v>0</v>
      </c>
      <c r="AY36" s="214">
        <f>IF(AND(($E36+$C$1)&gt;AY$4,AY$4&gt;=$C$1),'General Inputs'!V$9*$H36,IF(AND(($D36+$C$1)&gt;AY$4,AY$4&gt;=$C$1),'General Inputs'!V$9*$G36,0))+IF(AND(($E36+$C$1)&gt;AY$4,AY$4&gt;=$C$1),'General Inputs'!V$10*$J36,IF(AND(($D36+$C$1)&gt;AY$4,AY$4&gt;=$C$1),'General Inputs'!V$10*$I36,0))</f>
        <v>0</v>
      </c>
      <c r="AZ36" s="214">
        <f>IF(AND(($E36+$C$1)&gt;AZ$4,AZ$4&gt;=$C$1),'General Inputs'!W$9*$H36,IF(AND(($D36+$C$1)&gt;AZ$4,AZ$4&gt;=$C$1),'General Inputs'!W$9*$G36,0))+IF(AND(($E36+$C$1)&gt;AZ$4,AZ$4&gt;=$C$1),'General Inputs'!W$10*$J36,IF(AND(($D36+$C$1)&gt;AZ$4,AZ$4&gt;=$C$1),'General Inputs'!W$10*$I36,0))</f>
        <v>0</v>
      </c>
      <c r="BB36" s="214">
        <f>IF(AND(($E36+$C$1)&gt;BB$4,BB$4&gt;=$C$1),'General Inputs'!D$11*$H36,IF(AND(($D36+$C$1)&gt;BB$4,BB$4&gt;=$C$1),'General Inputs'!D$11*$G36,0))</f>
        <v>0</v>
      </c>
      <c r="BC36" s="214">
        <f>IF(AND(($E36+$C$1)&gt;BC$4,BC$4&gt;=$C$1),'General Inputs'!E$11*$H36,IF(AND(($D36+$C$1)&gt;BC$4,BC$4&gt;=$C$1),'General Inputs'!E$11*$G36,0))</f>
        <v>250.90989117776823</v>
      </c>
      <c r="BD36" s="214">
        <f>IF(AND(($E36+$C$1)&gt;BD$4,BD$4&gt;=$C$1),'General Inputs'!F$11*$H36,IF(AND(($D36+$C$1)&gt;BD$4,BD$4&gt;=$C$1),'General Inputs'!F$11*$G36,0))</f>
        <v>250.90989117776823</v>
      </c>
      <c r="BE36" s="214">
        <f>IF(AND(($E36+$C$1)&gt;BE$4,BE$4&gt;=$C$1),'General Inputs'!G$11*$H36,IF(AND(($D36+$C$1)&gt;BE$4,BE$4&gt;=$C$1),'General Inputs'!G$11*$G36,0))</f>
        <v>250.90989117776823</v>
      </c>
      <c r="BF36" s="214">
        <f>IF(AND(($E36+$C$1)&gt;BF$4,BF$4&gt;=$C$1),'General Inputs'!H$11*$H36,IF(AND(($D36+$C$1)&gt;BF$4,BF$4&gt;=$C$1),'General Inputs'!H$11*$G36,0))</f>
        <v>250.90989117776823</v>
      </c>
      <c r="BG36" s="214">
        <f>IF(AND(($E36+$C$1)&gt;BG$4,BG$4&gt;=$C$1),'General Inputs'!I$11*$H36,IF(AND(($D36+$C$1)&gt;BG$4,BG$4&gt;=$C$1),'General Inputs'!I$11*$G36,0))</f>
        <v>250.90989117776823</v>
      </c>
      <c r="BH36" s="214">
        <f>IF(AND(($E36+$C$1)&gt;BH$4,BH$4&gt;=$C$1),'General Inputs'!J$11*$H36,IF(AND(($D36+$C$1)&gt;BH$4,BH$4&gt;=$C$1),'General Inputs'!J$11*$G36,0))</f>
        <v>250.90989117776823</v>
      </c>
      <c r="BI36" s="214">
        <f>IF(AND(($E36+$C$1)&gt;BI$4,BI$4&gt;=$C$1),'General Inputs'!K$11*$H36,IF(AND(($D36+$C$1)&gt;BI$4,BI$4&gt;=$C$1),'General Inputs'!K$11*$G36,0))</f>
        <v>250.90989117776823</v>
      </c>
      <c r="BJ36" s="214">
        <f>IF(AND(($E36+$C$1)&gt;BJ$4,BJ$4&gt;=$C$1),'General Inputs'!L$11*$H36,IF(AND(($D36+$C$1)&gt;BJ$4,BJ$4&gt;=$C$1),'General Inputs'!L$11*$G36,0))</f>
        <v>250.90989117776823</v>
      </c>
      <c r="BK36" s="214">
        <f>IF(AND(($E36+$C$1)&gt;BK$4,BK$4&gt;=$C$1),'General Inputs'!M$11*$H36,IF(AND(($D36+$C$1)&gt;BK$4,BK$4&gt;=$C$1),'General Inputs'!M$11*$G36,0))</f>
        <v>250.90989117776823</v>
      </c>
      <c r="BL36" s="214">
        <f>IF(AND(($E36+$C$1)&gt;BL$4,BL$4&gt;=$C$1),'General Inputs'!N$11*$H36,IF(AND(($D36+$C$1)&gt;BL$4,BL$4&gt;=$C$1),'General Inputs'!N$11*$G36,0))</f>
        <v>250.90989117776823</v>
      </c>
      <c r="BM36" s="214">
        <f>IF(AND(($E36+$C$1)&gt;BM$4,BM$4&gt;=$C$1),'General Inputs'!O$11*$H36,IF(AND(($D36+$C$1)&gt;BM$4,BM$4&gt;=$C$1),'General Inputs'!O$11*$G36,0))</f>
        <v>250.90989117776823</v>
      </c>
      <c r="BN36" s="214">
        <f>IF(AND(($E36+$C$1)&gt;BN$4,BN$4&gt;=$C$1),'General Inputs'!P$11*$H36,IF(AND(($D36+$C$1)&gt;BN$4,BN$4&gt;=$C$1),'General Inputs'!P$11*$G36,0))</f>
        <v>250.90989117776823</v>
      </c>
      <c r="BO36" s="214">
        <f>IF(AND(($E36+$C$1)&gt;BO$4,BO$4&gt;=$C$1),'General Inputs'!Q$11*$H36,IF(AND(($D36+$C$1)&gt;BO$4,BO$4&gt;=$C$1),'General Inputs'!Q$11*$G36,0))</f>
        <v>250.90989117776823</v>
      </c>
      <c r="BP36" s="214">
        <f>IF(AND(($E36+$C$1)&gt;BP$4,BP$4&gt;=$C$1),'General Inputs'!R$11*$H36,IF(AND(($D36+$C$1)&gt;BP$4,BP$4&gt;=$C$1),'General Inputs'!R$11*$G36,0))</f>
        <v>250.90989117776823</v>
      </c>
      <c r="BQ36" s="214">
        <f>IF(AND(($E36+$C$1)&gt;BQ$4,BQ$4&gt;=$C$1),'General Inputs'!S$11*$H36,IF(AND(($D36+$C$1)&gt;BQ$4,BQ$4&gt;=$C$1),'General Inputs'!S$11*$G36,0))</f>
        <v>250.90989117776823</v>
      </c>
      <c r="BR36" s="214">
        <f>IF(AND(($E36+$C$1)&gt;BR$4,BR$4&gt;=$C$1),'General Inputs'!T$11*$H36,IF(AND(($D36+$C$1)&gt;BR$4,BR$4&gt;=$C$1),'General Inputs'!T$11*$G36,0))</f>
        <v>0</v>
      </c>
      <c r="BS36" s="214">
        <f>IF(AND(($E36+$C$1)&gt;BS$4,BS$4&gt;=$C$1),'General Inputs'!U$11*$H36,IF(AND(($D36+$C$1)&gt;BS$4,BS$4&gt;=$C$1),'General Inputs'!U$11*$G36,0))</f>
        <v>0</v>
      </c>
      <c r="BT36" s="214">
        <f>IF(AND(($E36+$C$1)&gt;BT$4,BT$4&gt;=$C$1),'General Inputs'!V$11*$H36,IF(AND(($D36+$C$1)&gt;BT$4,BT$4&gt;=$C$1),'General Inputs'!V$11*$G36,0))</f>
        <v>0</v>
      </c>
      <c r="BU36" s="214">
        <f>IF(AND(($E36+$C$1)&gt;BU$4,BU$4&gt;=$C$1),'General Inputs'!W$11*$H36,IF(AND(($D36+$C$1)&gt;BU$4,BU$4&gt;=$C$1),'General Inputs'!W$11*$G36,0))</f>
        <v>0</v>
      </c>
      <c r="BW36" s="214">
        <f>IF(AND(($E36+$C$1)&gt;BW$4,BW$4&gt;=$C$1),$H36,IF(AND(($D36+$C$1)&gt;BW$4,BW$4&gt;=$C$1),$G36,0))*IF($A36="Residential",'General Inputs'!D$14,'General Inputs'!D$19)</f>
        <v>0</v>
      </c>
      <c r="BX36" s="214">
        <f>IF(AND(($E36+$C$1)&gt;BX$4,BX$4&gt;=$C$1),$H36,IF(AND(($D36+$C$1)&gt;BX$4,BX$4&gt;=$C$1),$G36,0))*IF($A36="Residential",'General Inputs'!E$14,'General Inputs'!E$19)</f>
        <v>2998.6772828369276</v>
      </c>
      <c r="BY36" s="214">
        <f>IF(AND(($E36+$C$1)&gt;BY$4,BY$4&gt;=$C$1),$H36,IF(AND(($D36+$C$1)&gt;BY$4,BY$4&gt;=$C$1),$G36,0))*IF($A36="Residential",'General Inputs'!F$14,'General Inputs'!F$19)</f>
        <v>3043.6574420794809</v>
      </c>
      <c r="BZ36" s="214">
        <f>IF(AND(($E36+$C$1)&gt;BZ$4,BZ$4&gt;=$C$1),$H36,IF(AND(($D36+$C$1)&gt;BZ$4,BZ$4&gt;=$C$1),$G36,0))*IF($A36="Residential",'General Inputs'!G$14,'General Inputs'!G$19)</f>
        <v>3089.3123037106725</v>
      </c>
      <c r="CA36" s="214">
        <f>IF(AND(($E36+$C$1)&gt;CA$4,CA$4&gt;=$C$1),$H36,IF(AND(($D36+$C$1)&gt;CA$4,CA$4&gt;=$C$1),$G36,0))*IF($A36="Residential",'General Inputs'!H$14,'General Inputs'!H$19)</f>
        <v>3135.6519882663324</v>
      </c>
      <c r="CB36" s="214">
        <f>IF(AND(($E36+$C$1)&gt;CB$4,CB$4&gt;=$C$1),$H36,IF(AND(($D36+$C$1)&gt;CB$4,CB$4&gt;=$C$1),$G36,0))*IF($A36="Residential",'General Inputs'!I$14,'General Inputs'!I$19)</f>
        <v>3182.686768090327</v>
      </c>
      <c r="CC36" s="214">
        <f>IF(AND(($E36+$C$1)&gt;CC$4,CC$4&gt;=$C$1),$H36,IF(AND(($D36+$C$1)&gt;CC$4,CC$4&gt;=$C$1),$G36,0))*IF($A36="Residential",'General Inputs'!J$14,'General Inputs'!J$19)</f>
        <v>3230.4270696116814</v>
      </c>
      <c r="CD36" s="214">
        <f>IF(AND(($E36+$C$1)&gt;CD$4,CD$4&gt;=$C$1),$H36,IF(AND(($D36+$C$1)&gt;CD$4,CD$4&gt;=$C$1),$G36,0))*IF($A36="Residential",'General Inputs'!K$14,'General Inputs'!K$19)</f>
        <v>3278.8834756558563</v>
      </c>
      <c r="CE36" s="214">
        <f>IF(AND(($E36+$C$1)&gt;CE$4,CE$4&gt;=$C$1),$H36,IF(AND(($D36+$C$1)&gt;CE$4,CE$4&gt;=$C$1),$G36,0))*IF($A36="Residential",'General Inputs'!L$14,'General Inputs'!L$19)</f>
        <v>3328.0667277906932</v>
      </c>
      <c r="CF36" s="214">
        <f>IF(AND(($E36+$C$1)&gt;CF$4,CF$4&gt;=$C$1),$H36,IF(AND(($D36+$C$1)&gt;CF$4,CF$4&gt;=$C$1),$G36,0))*IF($A36="Residential",'General Inputs'!M$14,'General Inputs'!M$19)</f>
        <v>3377.9877287075537</v>
      </c>
      <c r="CG36" s="214">
        <f>IF(AND(($E36+$C$1)&gt;CG$4,CG$4&gt;=$C$1),$H36,IF(AND(($D36+$C$1)&gt;CG$4,CG$4&gt;=$C$1),$G36,0))*IF($A36="Residential",'General Inputs'!N$14,'General Inputs'!N$19)</f>
        <v>3428.6575446381667</v>
      </c>
      <c r="CH36" s="214">
        <f>IF(AND(($E36+$C$1)&gt;CH$4,CH$4&gt;=$C$1),$H36,IF(AND(($D36+$C$1)&gt;CH$4,CH$4&gt;=$C$1),$G36,0))*IF($A36="Residential",'General Inputs'!O$14,'General Inputs'!O$19)</f>
        <v>3480.0874078077386</v>
      </c>
      <c r="CI36" s="214">
        <f>IF(AND(($E36+$C$1)&gt;CI$4,CI$4&gt;=$C$1),$H36,IF(AND(($D36+$C$1)&gt;CI$4,CI$4&gt;=$C$1),$G36,0))*IF($A36="Residential",'General Inputs'!P$14,'General Inputs'!P$19)</f>
        <v>3532.2887189248545</v>
      </c>
      <c r="CJ36" s="214">
        <f>IF(AND(($E36+$C$1)&gt;CJ$4,CJ$4&gt;=$C$1),$H36,IF(AND(($D36+$C$1)&gt;CJ$4,CJ$4&gt;=$C$1),$G36,0))*IF($A36="Residential",'General Inputs'!Q$14,'General Inputs'!Q$19)</f>
        <v>3585.2730497087268</v>
      </c>
      <c r="CK36" s="214">
        <f>IF(AND(($E36+$C$1)&gt;CK$4,CK$4&gt;=$C$1),$H36,IF(AND(($D36+$C$1)&gt;CK$4,CK$4&gt;=$C$1),$G36,0))*IF($A36="Residential",'General Inputs'!R$14,'General Inputs'!R$19)</f>
        <v>3639.0521454543568</v>
      </c>
      <c r="CL36" s="214">
        <f>IF(AND(($E36+$C$1)&gt;CL$4,CL$4&gt;=$C$1),$H36,IF(AND(($D36+$C$1)&gt;CL$4,CL$4&gt;=$C$1),$G36,0))*IF($A36="Residential",'General Inputs'!S$14,'General Inputs'!S$19)</f>
        <v>3693.6379276361722</v>
      </c>
      <c r="CM36" s="214">
        <f>IF(AND(($E36+$C$1)&gt;CM$4,CM$4&gt;=$C$1),$H36,IF(AND(($D36+$C$1)&gt;CM$4,CM$4&gt;=$C$1),$G36,0))*IF($A36="Residential",'General Inputs'!T$14,'General Inputs'!T$19)</f>
        <v>0</v>
      </c>
      <c r="CN36" s="214">
        <f>IF(AND(($E36+$C$1)&gt;CN$4,CN$4&gt;=$C$1),$H36,IF(AND(($D36+$C$1)&gt;CN$4,CN$4&gt;=$C$1),$G36,0))*IF($A36="Residential",'General Inputs'!U$14,'General Inputs'!U$19)</f>
        <v>0</v>
      </c>
      <c r="CO36" s="214">
        <f>IF(AND(($E36+$C$1)&gt;CO$4,CO$4&gt;=$C$1),$H36,IF(AND(($D36+$C$1)&gt;CO$4,CO$4&gt;=$C$1),$G36,0))*IF($A36="Residential",'General Inputs'!V$14,'General Inputs'!V$19)</f>
        <v>0</v>
      </c>
      <c r="CP36" s="214">
        <f>IF(AND(($E36+$C$1)&gt;CP$4,CP$4&gt;=$C$1),$H36,IF(AND(($D36+$C$1)&gt;CP$4,CP$4&gt;=$C$1),$G36,0))*IF($A36="Residential",'General Inputs'!W$14,'General Inputs'!W$19)</f>
        <v>0</v>
      </c>
      <c r="CR36" s="214">
        <f>IF(AND(($E36+$C$1)&gt;CR$4,CR$4&gt;=$C$1),$H36,IF(AND(($D36+$C$1)&gt;CR$4,CR$4&gt;=$C$1),$G36,0))*IF($A36="Residential",'General Inputs'!D$15,'General Inputs'!D$19)</f>
        <v>0</v>
      </c>
      <c r="CS36" s="214">
        <f>IF(AND(($E36+$C$1)&gt;CS$4,CS$4&gt;=$C$1),$H36,IF(AND(($D36+$C$1)&gt;CS$4,CS$4&gt;=$C$1),$G36,0))*IF($A36="Residential",'General Inputs'!E$15,'General Inputs'!E$19)</f>
        <v>2439.4487981014745</v>
      </c>
      <c r="CT36" s="214">
        <f>IF(AND(($E36+$C$1)&gt;CT$4,CT$4&gt;=$C$1),$H36,IF(AND(($D36+$C$1)&gt;CT$4,CT$4&gt;=$C$1),$G36,0))*IF($A36="Residential",'General Inputs'!F$15,'General Inputs'!F$19)</f>
        <v>2476.0405300729967</v>
      </c>
      <c r="CU36" s="214">
        <f>IF(AND(($E36+$C$1)&gt;CU$4,CU$4&gt;=$C$1),$H36,IF(AND(($D36+$C$1)&gt;CU$4,CU$4&gt;=$C$1),$G36,0))*IF($A36="Residential",'General Inputs'!G$15,'General Inputs'!G$19)</f>
        <v>2513.1811380240911</v>
      </c>
      <c r="CV36" s="214">
        <f>IF(AND(($E36+$C$1)&gt;CV$4,CV$4&gt;=$C$1),$H36,IF(AND(($D36+$C$1)&gt;CV$4,CV$4&gt;=$C$1),$G36,0))*IF($A36="Residential",'General Inputs'!H$15,'General Inputs'!H$19)</f>
        <v>2550.8788550944523</v>
      </c>
      <c r="CW36" s="214">
        <f>IF(AND(($E36+$C$1)&gt;CW$4,CW$4&gt;=$C$1),$H36,IF(AND(($D36+$C$1)&gt;CW$4,CW$4&gt;=$C$1),$G36,0))*IF($A36="Residential",'General Inputs'!I$15,'General Inputs'!I$19)</f>
        <v>2589.1420379208689</v>
      </c>
      <c r="CX36" s="214">
        <f>IF(AND(($E36+$C$1)&gt;CX$4,CX$4&gt;=$C$1),$H36,IF(AND(($D36+$C$1)&gt;CX$4,CX$4&gt;=$C$1),$G36,0))*IF($A36="Residential",'General Inputs'!J$15,'General Inputs'!J$19)</f>
        <v>2627.9791684896818</v>
      </c>
      <c r="CY36" s="214">
        <f>IF(AND(($E36+$C$1)&gt;CY$4,CY$4&gt;=$C$1),$H36,IF(AND(($D36+$C$1)&gt;CY$4,CY$4&gt;=$C$1),$G36,0))*IF($A36="Residential",'General Inputs'!K$15,'General Inputs'!K$19)</f>
        <v>2667.3988560170264</v>
      </c>
      <c r="CZ36" s="214">
        <f>IF(AND(($E36+$C$1)&gt;CZ$4,CZ$4&gt;=$C$1),$H36,IF(AND(($D36+$C$1)&gt;CZ$4,CZ$4&gt;=$C$1),$G36,0))*IF($A36="Residential",'General Inputs'!L$15,'General Inputs'!L$19)</f>
        <v>2707.4098388572816</v>
      </c>
      <c r="DA36" s="214">
        <f>IF(AND(($E36+$C$1)&gt;DA$4,DA$4&gt;=$C$1),$H36,IF(AND(($D36+$C$1)&gt;DA$4,DA$4&gt;=$C$1),$G36,0))*IF($A36="Residential",'General Inputs'!M$15,'General Inputs'!M$19)</f>
        <v>2748.0209864401404</v>
      </c>
      <c r="DB36" s="214">
        <f>IF(AND(($E36+$C$1)&gt;DB$4,DB$4&gt;=$C$1),$H36,IF(AND(($D36+$C$1)&gt;DB$4,DB$4&gt;=$C$1),$G36,0))*IF($A36="Residential",'General Inputs'!N$15,'General Inputs'!N$19)</f>
        <v>2789.2413012367424</v>
      </c>
      <c r="DC36" s="214">
        <f>IF(AND(($E36+$C$1)&gt;DC$4,DC$4&gt;=$C$1),$H36,IF(AND(($D36+$C$1)&gt;DC$4,DC$4&gt;=$C$1),$G36,0))*IF($A36="Residential",'General Inputs'!O$15,'General Inputs'!O$19)</f>
        <v>2831.0799207552932</v>
      </c>
      <c r="DD36" s="214">
        <f>IF(AND(($E36+$C$1)&gt;DD$4,DD$4&gt;=$C$1),$H36,IF(AND(($D36+$C$1)&gt;DD$4,DD$4&gt;=$C$1),$G36,0))*IF($A36="Residential",'General Inputs'!P$15,'General Inputs'!P$19)</f>
        <v>2873.5461195666226</v>
      </c>
      <c r="DE36" s="214">
        <f>IF(AND(($E36+$C$1)&gt;DE$4,DE$4&gt;=$C$1),$H36,IF(AND(($D36+$C$1)&gt;DE$4,DE$4&gt;=$C$1),$G36,0))*IF($A36="Residential",'General Inputs'!Q$15,'General Inputs'!Q$19)</f>
        <v>2916.6493113601214</v>
      </c>
      <c r="DF36" s="214">
        <f>IF(AND(($E36+$C$1)&gt;DF$4,DF$4&gt;=$C$1),$H36,IF(AND(($D36+$C$1)&gt;DF$4,DF$4&gt;=$C$1),$G36,0))*IF($A36="Residential",'General Inputs'!R$15,'General Inputs'!R$19)</f>
        <v>2960.399051030523</v>
      </c>
      <c r="DG36" s="214">
        <f>IF(AND(($E36+$C$1)&gt;DG$4,DG$4&gt;=$C$1),$H36,IF(AND(($D36+$C$1)&gt;DG$4,DG$4&gt;=$C$1),$G36,0))*IF($A36="Residential",'General Inputs'!S$15,'General Inputs'!S$19)</f>
        <v>3004.8050367959804</v>
      </c>
      <c r="DH36" s="214">
        <f>IF(AND(($E36+$C$1)&gt;DH$4,DH$4&gt;=$C$1),$H36,IF(AND(($D36+$C$1)&gt;DH$4,DH$4&gt;=$C$1),$G36,0))*IF($A36="Residential",'General Inputs'!T$15,'General Inputs'!T$19)</f>
        <v>0</v>
      </c>
      <c r="DI36" s="214">
        <f>IF(AND(($E36+$C$1)&gt;DI$4,DI$4&gt;=$C$1),$H36,IF(AND(($D36+$C$1)&gt;DI$4,DI$4&gt;=$C$1),$G36,0))*IF($A36="Residential",'General Inputs'!U$15,'General Inputs'!U$19)</f>
        <v>0</v>
      </c>
      <c r="DJ36" s="214">
        <f>IF(AND(($E36+$C$1)&gt;DJ$4,DJ$4&gt;=$C$1),$H36,IF(AND(($D36+$C$1)&gt;DJ$4,DJ$4&gt;=$C$1),$G36,0))*IF($A36="Residential",'General Inputs'!V$15,'General Inputs'!V$19)</f>
        <v>0</v>
      </c>
      <c r="DK36" s="214">
        <f>IF(AND(($E36+$C$1)&gt;DK$4,DK$4&gt;=$C$1),$H36,IF(AND(($D36+$C$1)&gt;DK$4,DK$4&gt;=$C$1),$G36,0))*IF($A36="Residential",'General Inputs'!W$15,'General Inputs'!W$19)</f>
        <v>0</v>
      </c>
      <c r="DM36" s="214">
        <f t="shared" ref="DM36:DW43" si="78">IF($C$1=DM$4,$L36*$C36,IF($E36+$C$1=DM$4,-$M36*$C36,0))</f>
        <v>0</v>
      </c>
      <c r="DN36" s="214">
        <f t="shared" si="78"/>
        <v>0</v>
      </c>
      <c r="DO36" s="214">
        <f t="shared" si="78"/>
        <v>0</v>
      </c>
      <c r="DP36" s="214">
        <f t="shared" si="78"/>
        <v>0</v>
      </c>
      <c r="DQ36" s="214">
        <f t="shared" si="78"/>
        <v>0</v>
      </c>
      <c r="DR36" s="214">
        <f t="shared" si="78"/>
        <v>0</v>
      </c>
      <c r="DS36" s="214">
        <f t="shared" si="78"/>
        <v>0</v>
      </c>
      <c r="DT36" s="214">
        <f t="shared" si="78"/>
        <v>0</v>
      </c>
      <c r="DU36" s="214">
        <f t="shared" si="78"/>
        <v>0</v>
      </c>
      <c r="DV36" s="214">
        <f t="shared" si="78"/>
        <v>0</v>
      </c>
      <c r="DW36" s="214">
        <f t="shared" si="78"/>
        <v>0</v>
      </c>
      <c r="DZ36" s="650"/>
      <c r="FI36" s="195"/>
      <c r="FJ36" s="195"/>
      <c r="FK36" s="195"/>
      <c r="FL36" s="195"/>
      <c r="FM36" s="195"/>
      <c r="FN36" s="195"/>
      <c r="FO36" s="195"/>
    </row>
    <row r="37" spans="1:171">
      <c r="A37" s="342" t="s">
        <v>12</v>
      </c>
      <c r="B37" s="427" t="str">
        <f>'Portfolio Inputs'!A36</f>
        <v>CFL</v>
      </c>
      <c r="C37" s="217">
        <f>IF($C$1=2014,'Portfolio Inputs'!$C36,IF($C$1=2015,'Portfolio Inputs'!$D36,'Portfolio Inputs'!$E36))</f>
        <v>120</v>
      </c>
      <c r="D37" s="504">
        <f>VLOOKUP(B37,Sources!$B$4:$J$104,2,FALSE)</f>
        <v>5</v>
      </c>
      <c r="E37" s="504">
        <f>VLOOKUP(B37,Sources!$B$4:$J$104,3,FALSE)</f>
        <v>0</v>
      </c>
      <c r="G37" s="504">
        <f>IF($C$1=2014,'Portfolio Inputs'!$G36,IF($C$1=2015,'Portfolio Inputs'!$H36,'Portfolio Inputs'!$I36))*EnergyLineLoss</f>
        <v>3851.3794906799999</v>
      </c>
      <c r="H37" s="504"/>
      <c r="I37" s="595">
        <f>IF($C$1=2014,'Portfolio Inputs'!$K36,IF($C$1=2015,'Portfolio Inputs'!$L36,'Portfolio Inputs'!$M36))*PeakLineLoss</f>
        <v>0.34989917057999997</v>
      </c>
      <c r="J37" s="510"/>
      <c r="L37" s="606">
        <f>IF($C$1=2014,'Portfolio Inputs'!$O36,IF($C$1=2015,'Portfolio Inputs'!$P36,'Portfolio Inputs'!$Q36))</f>
        <v>0</v>
      </c>
      <c r="M37" s="518">
        <f>VLOOKUP($B37,Sources!$B$4:$K$104,10,FALSE)</f>
        <v>0</v>
      </c>
      <c r="N37" s="419">
        <f>IF($C$1=2014,'Portfolio Inputs'!$W36,IF($C$1=2015,'Portfolio Inputs'!$X36,'Portfolio Inputs'!$Y36))</f>
        <v>0</v>
      </c>
      <c r="O37" s="419"/>
      <c r="Q37" s="438" t="str">
        <f t="shared" si="67"/>
        <v>n/a</v>
      </c>
      <c r="R37" s="439" t="str">
        <f t="shared" si="68"/>
        <v>n/a</v>
      </c>
      <c r="S37" s="439" t="str">
        <f t="shared" si="69"/>
        <v>n/a</v>
      </c>
      <c r="T37" s="439" t="str">
        <f t="shared" si="70"/>
        <v>n/a</v>
      </c>
      <c r="U37" s="439" t="str">
        <f t="shared" si="77"/>
        <v>n/a</v>
      </c>
      <c r="V37" s="439">
        <f t="shared" si="72"/>
        <v>0.30673139843962099</v>
      </c>
      <c r="W37" s="439">
        <f t="shared" si="73"/>
        <v>0.37704766632098535</v>
      </c>
      <c r="Y37" s="215">
        <f t="shared" si="4"/>
        <v>646.16394945450043</v>
      </c>
      <c r="Z37" s="215">
        <f t="shared" si="5"/>
        <v>171.48930820511029</v>
      </c>
      <c r="AA37" s="215">
        <f t="shared" si="6"/>
        <v>2106.6116893856092</v>
      </c>
      <c r="AB37" s="215">
        <f t="shared" si="7"/>
        <v>1713.7460516846511</v>
      </c>
      <c r="AC37" s="216">
        <f t="shared" si="20"/>
        <v>0</v>
      </c>
      <c r="AD37" s="216">
        <f t="shared" si="21"/>
        <v>0</v>
      </c>
      <c r="AE37" s="215">
        <f t="shared" si="8"/>
        <v>0</v>
      </c>
      <c r="AG37" s="214">
        <f>IF(AND(($E37+$C$1)&gt;AG$4,AG$4&gt;=$C$1),'General Inputs'!D$9*$H37,IF(AND(($D37+$C$1)&gt;AG$4,AG$4&gt;=$C$1),'General Inputs'!D$9*$G37,0))+IF(AND(($E37+$C$1)&gt;AG$4,AG$4&gt;=$C$1),'General Inputs'!D$10*$J37,IF(AND(($D37+$C$1)&gt;AG$4,AG$4&gt;=$C$1),'General Inputs'!D$10*$I37,0))</f>
        <v>0</v>
      </c>
      <c r="AH37" s="214">
        <f>IF(AND(($E37+$C$1)&gt;AH$4,AH$4&gt;=$C$1),'General Inputs'!E$9*$H37,IF(AND(($D37+$C$1)&gt;AH$4,AH$4&gt;=$C$1),'General Inputs'!E$9*$G37,0))+IF(AND(($E37+$C$1)&gt;AH$4,AH$4&gt;=$C$1),'General Inputs'!E$10*$J37,IF(AND(($D37+$C$1)&gt;AH$4,AH$4&gt;=$C$1),'General Inputs'!E$10*$I37,0))</f>
        <v>160.95013557617881</v>
      </c>
      <c r="AI37" s="214">
        <f>IF(AND(($E37+$C$1)&gt;AI$4,AI$4&gt;=$C$1),'General Inputs'!F$9*$H37,IF(AND(($D37+$C$1)&gt;AI$4,AI$4&gt;=$C$1),'General Inputs'!F$9*$G37,0))+IF(AND(($E37+$C$1)&gt;AI$4,AI$4&gt;=$C$1),'General Inputs'!F$10*$J37,IF(AND(($D37+$C$1)&gt;AI$4,AI$4&gt;=$C$1),'General Inputs'!F$10*$I37,0))</f>
        <v>163.36438760982148</v>
      </c>
      <c r="AJ37" s="214">
        <f>IF(AND(($E37+$C$1)&gt;AJ$4,AJ$4&gt;=$C$1),'General Inputs'!G$9*$H37,IF(AND(($D37+$C$1)&gt;AJ$4,AJ$4&gt;=$C$1),'General Inputs'!G$9*$G37,0))+IF(AND(($E37+$C$1)&gt;AJ$4,AJ$4&gt;=$C$1),'General Inputs'!G$10*$J37,IF(AND(($D37+$C$1)&gt;AJ$4,AJ$4&gt;=$C$1),'General Inputs'!G$10*$I37,0))</f>
        <v>165.81485342396877</v>
      </c>
      <c r="AK37" s="214">
        <f>IF(AND(($E37+$C$1)&gt;AK$4,AK$4&gt;=$C$1),'General Inputs'!H$9*$H37,IF(AND(($D37+$C$1)&gt;AK$4,AK$4&gt;=$C$1),'General Inputs'!H$9*$G37,0))+IF(AND(($E37+$C$1)&gt;AK$4,AK$4&gt;=$C$1),'General Inputs'!H$10*$J37,IF(AND(($D37+$C$1)&gt;AK$4,AK$4&gt;=$C$1),'General Inputs'!H$10*$I37,0))</f>
        <v>168.30207622532831</v>
      </c>
      <c r="AL37" s="214">
        <f>IF(AND(($E37+$C$1)&gt;AL$4,AL$4&gt;=$C$1),'General Inputs'!I$9*$H37,IF(AND(($D37+$C$1)&gt;AL$4,AL$4&gt;=$C$1),'General Inputs'!I$9*$G37,0))+IF(AND(($E37+$C$1)&gt;AL$4,AL$4&gt;=$C$1),'General Inputs'!I$10*$J37,IF(AND(($D37+$C$1)&gt;AL$4,AL$4&gt;=$C$1),'General Inputs'!I$10*$I37,0))</f>
        <v>170.82660736870818</v>
      </c>
      <c r="AM37" s="214">
        <f>IF(AND(($E37+$C$1)&gt;AM$4,AM$4&gt;=$C$1),'General Inputs'!J$9*$H37,IF(AND(($D37+$C$1)&gt;AM$4,AM$4&gt;=$C$1),'General Inputs'!J$9*$G37,0))+IF(AND(($E37+$C$1)&gt;AM$4,AM$4&gt;=$C$1),'General Inputs'!J$10*$J37,IF(AND(($D37+$C$1)&gt;AM$4,AM$4&gt;=$C$1),'General Inputs'!J$10*$I37,0))</f>
        <v>0</v>
      </c>
      <c r="AN37" s="214">
        <f>IF(AND(($E37+$C$1)&gt;AN$4,AN$4&gt;=$C$1),'General Inputs'!K$9*$H37,IF(AND(($D37+$C$1)&gt;AN$4,AN$4&gt;=$C$1),'General Inputs'!K$9*$G37,0))+IF(AND(($E37+$C$1)&gt;AN$4,AN$4&gt;=$C$1),'General Inputs'!K$10*$J37,IF(AND(($D37+$C$1)&gt;AN$4,AN$4&gt;=$C$1),'General Inputs'!K$10*$I37,0))</f>
        <v>0</v>
      </c>
      <c r="AO37" s="214">
        <f>IF(AND(($E37+$C$1)&gt;AO$4,AO$4&gt;=$C$1),'General Inputs'!L$9*$H37,IF(AND(($D37+$C$1)&gt;AO$4,AO$4&gt;=$C$1),'General Inputs'!L$9*$G37,0))+IF(AND(($E37+$C$1)&gt;AO$4,AO$4&gt;=$C$1),'General Inputs'!L$10*$J37,IF(AND(($D37+$C$1)&gt;AO$4,AO$4&gt;=$C$1),'General Inputs'!L$10*$I37,0))</f>
        <v>0</v>
      </c>
      <c r="AP37" s="214">
        <f>IF(AND(($E37+$C$1)&gt;AP$4,AP$4&gt;=$C$1),'General Inputs'!M$9*$H37,IF(AND(($D37+$C$1)&gt;AP$4,AP$4&gt;=$C$1),'General Inputs'!M$9*$G37,0))+IF(AND(($E37+$C$1)&gt;AP$4,AP$4&gt;=$C$1),'General Inputs'!M$10*$J37,IF(AND(($D37+$C$1)&gt;AP$4,AP$4&gt;=$C$1),'General Inputs'!M$10*$I37,0))</f>
        <v>0</v>
      </c>
      <c r="AQ37" s="214">
        <f>IF(AND(($E37+$C$1)&gt;AQ$4,AQ$4&gt;=$C$1),'General Inputs'!N$9*$H37,IF(AND(($D37+$C$1)&gt;AQ$4,AQ$4&gt;=$C$1),'General Inputs'!N$9*$G37,0))+IF(AND(($E37+$C$1)&gt;AQ$4,AQ$4&gt;=$C$1),'General Inputs'!N$10*$J37,IF(AND(($D37+$C$1)&gt;AQ$4,AQ$4&gt;=$C$1),'General Inputs'!N$10*$I37,0))</f>
        <v>0</v>
      </c>
      <c r="AR37" s="214">
        <f>IF(AND(($E37+$C$1)&gt;AR$4,AR$4&gt;=$C$1),'General Inputs'!O$9*$H37,IF(AND(($D37+$C$1)&gt;AR$4,AR$4&gt;=$C$1),'General Inputs'!O$9*$G37,0))+IF(AND(($E37+$C$1)&gt;AR$4,AR$4&gt;=$C$1),'General Inputs'!O$10*$J37,IF(AND(($D37+$C$1)&gt;AR$4,AR$4&gt;=$C$1),'General Inputs'!O$10*$I37,0))</f>
        <v>0</v>
      </c>
      <c r="AS37" s="214">
        <f>IF(AND(($E37+$C$1)&gt;AS$4,AS$4&gt;=$C$1),'General Inputs'!P$9*$H37,IF(AND(($D37+$C$1)&gt;AS$4,AS$4&gt;=$C$1),'General Inputs'!P$9*$G37,0))+IF(AND(($E37+$C$1)&gt;AS$4,AS$4&gt;=$C$1),'General Inputs'!P$10*$J37,IF(AND(($D37+$C$1)&gt;AS$4,AS$4&gt;=$C$1),'General Inputs'!P$10*$I37,0))</f>
        <v>0</v>
      </c>
      <c r="AT37" s="214">
        <f>IF(AND(($E37+$C$1)&gt;AT$4,AT$4&gt;=$C$1),'General Inputs'!Q$9*$H37,IF(AND(($D37+$C$1)&gt;AT$4,AT$4&gt;=$C$1),'General Inputs'!Q$9*$G37,0))+IF(AND(($E37+$C$1)&gt;AT$4,AT$4&gt;=$C$1),'General Inputs'!Q$10*$J37,IF(AND(($D37+$C$1)&gt;AT$4,AT$4&gt;=$C$1),'General Inputs'!Q$10*$I37,0))</f>
        <v>0</v>
      </c>
      <c r="AU37" s="214">
        <f>IF(AND(($E37+$C$1)&gt;AU$4,AU$4&gt;=$C$1),'General Inputs'!R$9*$H37,IF(AND(($D37+$C$1)&gt;AU$4,AU$4&gt;=$C$1),'General Inputs'!R$9*$G37,0))+IF(AND(($E37+$C$1)&gt;AU$4,AU$4&gt;=$C$1),'General Inputs'!R$10*$J37,IF(AND(($D37+$C$1)&gt;AU$4,AU$4&gt;=$C$1),'General Inputs'!R$10*$I37,0))</f>
        <v>0</v>
      </c>
      <c r="AV37" s="214">
        <f>IF(AND(($E37+$C$1)&gt;AV$4,AV$4&gt;=$C$1),'General Inputs'!S$9*$H37,IF(AND(($D37+$C$1)&gt;AV$4,AV$4&gt;=$C$1),'General Inputs'!S$9*$G37,0))+IF(AND(($E37+$C$1)&gt;AV$4,AV$4&gt;=$C$1),'General Inputs'!S$10*$J37,IF(AND(($D37+$C$1)&gt;AV$4,AV$4&gt;=$C$1),'General Inputs'!S$10*$I37,0))</f>
        <v>0</v>
      </c>
      <c r="AW37" s="214">
        <f>IF(AND(($E37+$C$1)&gt;AW$4,AW$4&gt;=$C$1),'General Inputs'!T$9*$H37,IF(AND(($D37+$C$1)&gt;AW$4,AW$4&gt;=$C$1),'General Inputs'!T$9*$G37,0))+IF(AND(($E37+$C$1)&gt;AW$4,AW$4&gt;=$C$1),'General Inputs'!T$10*$J37,IF(AND(($D37+$C$1)&gt;AW$4,AW$4&gt;=$C$1),'General Inputs'!T$10*$I37,0))</f>
        <v>0</v>
      </c>
      <c r="AX37" s="214">
        <f>IF(AND(($E37+$C$1)&gt;AX$4,AX$4&gt;=$C$1),'General Inputs'!U$9*$H37,IF(AND(($D37+$C$1)&gt;AX$4,AX$4&gt;=$C$1),'General Inputs'!U$9*$G37,0))+IF(AND(($E37+$C$1)&gt;AX$4,AX$4&gt;=$C$1),'General Inputs'!U$10*$J37,IF(AND(($D37+$C$1)&gt;AX$4,AX$4&gt;=$C$1),'General Inputs'!U$10*$I37,0))</f>
        <v>0</v>
      </c>
      <c r="AY37" s="214">
        <f>IF(AND(($E37+$C$1)&gt;AY$4,AY$4&gt;=$C$1),'General Inputs'!V$9*$H37,IF(AND(($D37+$C$1)&gt;AY$4,AY$4&gt;=$C$1),'General Inputs'!V$9*$G37,0))+IF(AND(($E37+$C$1)&gt;AY$4,AY$4&gt;=$C$1),'General Inputs'!V$10*$J37,IF(AND(($D37+$C$1)&gt;AY$4,AY$4&gt;=$C$1),'General Inputs'!V$10*$I37,0))</f>
        <v>0</v>
      </c>
      <c r="AZ37" s="214">
        <f>IF(AND(($E37+$C$1)&gt;AZ$4,AZ$4&gt;=$C$1),'General Inputs'!W$9*$H37,IF(AND(($D37+$C$1)&gt;AZ$4,AZ$4&gt;=$C$1),'General Inputs'!W$9*$G37,0))+IF(AND(($E37+$C$1)&gt;AZ$4,AZ$4&gt;=$C$1),'General Inputs'!W$10*$J37,IF(AND(($D37+$C$1)&gt;AZ$4,AZ$4&gt;=$C$1),'General Inputs'!W$10*$I37,0))</f>
        <v>0</v>
      </c>
      <c r="BB37" s="214">
        <f>IF(AND(($E37+$C$1)&gt;BB$4,BB$4&gt;=$C$1),'General Inputs'!D$11*$H37,IF(AND(($D37+$C$1)&gt;BB$4,BB$4&gt;=$C$1),'General Inputs'!D$11*$G37,0))</f>
        <v>0</v>
      </c>
      <c r="BC37" s="214">
        <f>IF(AND(($E37+$C$1)&gt;BC$4,BC$4&gt;=$C$1),'General Inputs'!E$11*$H37,IF(AND(($D37+$C$1)&gt;BC$4,BC$4&gt;=$C$1),'General Inputs'!E$11*$G37,0))</f>
        <v>43.905726193752002</v>
      </c>
      <c r="BD37" s="214">
        <f>IF(AND(($E37+$C$1)&gt;BD$4,BD$4&gt;=$C$1),'General Inputs'!F$11*$H37,IF(AND(($D37+$C$1)&gt;BD$4,BD$4&gt;=$C$1),'General Inputs'!F$11*$G37,0))</f>
        <v>43.905726193752002</v>
      </c>
      <c r="BE37" s="214">
        <f>IF(AND(($E37+$C$1)&gt;BE$4,BE$4&gt;=$C$1),'General Inputs'!G$11*$H37,IF(AND(($D37+$C$1)&gt;BE$4,BE$4&gt;=$C$1),'General Inputs'!G$11*$G37,0))</f>
        <v>43.905726193752002</v>
      </c>
      <c r="BF37" s="214">
        <f>IF(AND(($E37+$C$1)&gt;BF$4,BF$4&gt;=$C$1),'General Inputs'!H$11*$H37,IF(AND(($D37+$C$1)&gt;BF$4,BF$4&gt;=$C$1),'General Inputs'!H$11*$G37,0))</f>
        <v>43.905726193752002</v>
      </c>
      <c r="BG37" s="214">
        <f>IF(AND(($E37+$C$1)&gt;BG$4,BG$4&gt;=$C$1),'General Inputs'!I$11*$H37,IF(AND(($D37+$C$1)&gt;BG$4,BG$4&gt;=$C$1),'General Inputs'!I$11*$G37,0))</f>
        <v>43.905726193752002</v>
      </c>
      <c r="BH37" s="214">
        <f>IF(AND(($E37+$C$1)&gt;BH$4,BH$4&gt;=$C$1),'General Inputs'!J$11*$H37,IF(AND(($D37+$C$1)&gt;BH$4,BH$4&gt;=$C$1),'General Inputs'!J$11*$G37,0))</f>
        <v>0</v>
      </c>
      <c r="BI37" s="214">
        <f>IF(AND(($E37+$C$1)&gt;BI$4,BI$4&gt;=$C$1),'General Inputs'!K$11*$H37,IF(AND(($D37+$C$1)&gt;BI$4,BI$4&gt;=$C$1),'General Inputs'!K$11*$G37,0))</f>
        <v>0</v>
      </c>
      <c r="BJ37" s="214">
        <f>IF(AND(($E37+$C$1)&gt;BJ$4,BJ$4&gt;=$C$1),'General Inputs'!L$11*$H37,IF(AND(($D37+$C$1)&gt;BJ$4,BJ$4&gt;=$C$1),'General Inputs'!L$11*$G37,0))</f>
        <v>0</v>
      </c>
      <c r="BK37" s="214">
        <f>IF(AND(($E37+$C$1)&gt;BK$4,BK$4&gt;=$C$1),'General Inputs'!M$11*$H37,IF(AND(($D37+$C$1)&gt;BK$4,BK$4&gt;=$C$1),'General Inputs'!M$11*$G37,0))</f>
        <v>0</v>
      </c>
      <c r="BL37" s="214">
        <f>IF(AND(($E37+$C$1)&gt;BL$4,BL$4&gt;=$C$1),'General Inputs'!N$11*$H37,IF(AND(($D37+$C$1)&gt;BL$4,BL$4&gt;=$C$1),'General Inputs'!N$11*$G37,0))</f>
        <v>0</v>
      </c>
      <c r="BM37" s="214">
        <f>IF(AND(($E37+$C$1)&gt;BM$4,BM$4&gt;=$C$1),'General Inputs'!O$11*$H37,IF(AND(($D37+$C$1)&gt;BM$4,BM$4&gt;=$C$1),'General Inputs'!O$11*$G37,0))</f>
        <v>0</v>
      </c>
      <c r="BN37" s="214">
        <f>IF(AND(($E37+$C$1)&gt;BN$4,BN$4&gt;=$C$1),'General Inputs'!P$11*$H37,IF(AND(($D37+$C$1)&gt;BN$4,BN$4&gt;=$C$1),'General Inputs'!P$11*$G37,0))</f>
        <v>0</v>
      </c>
      <c r="BO37" s="214">
        <f>IF(AND(($E37+$C$1)&gt;BO$4,BO$4&gt;=$C$1),'General Inputs'!Q$11*$H37,IF(AND(($D37+$C$1)&gt;BO$4,BO$4&gt;=$C$1),'General Inputs'!Q$11*$G37,0))</f>
        <v>0</v>
      </c>
      <c r="BP37" s="214">
        <f>IF(AND(($E37+$C$1)&gt;BP$4,BP$4&gt;=$C$1),'General Inputs'!R$11*$H37,IF(AND(($D37+$C$1)&gt;BP$4,BP$4&gt;=$C$1),'General Inputs'!R$11*$G37,0))</f>
        <v>0</v>
      </c>
      <c r="BQ37" s="214">
        <f>IF(AND(($E37+$C$1)&gt;BQ$4,BQ$4&gt;=$C$1),'General Inputs'!S$11*$H37,IF(AND(($D37+$C$1)&gt;BQ$4,BQ$4&gt;=$C$1),'General Inputs'!S$11*$G37,0))</f>
        <v>0</v>
      </c>
      <c r="BR37" s="214">
        <f>IF(AND(($E37+$C$1)&gt;BR$4,BR$4&gt;=$C$1),'General Inputs'!T$11*$H37,IF(AND(($D37+$C$1)&gt;BR$4,BR$4&gt;=$C$1),'General Inputs'!T$11*$G37,0))</f>
        <v>0</v>
      </c>
      <c r="BS37" s="214">
        <f>IF(AND(($E37+$C$1)&gt;BS$4,BS$4&gt;=$C$1),'General Inputs'!U$11*$H37,IF(AND(($D37+$C$1)&gt;BS$4,BS$4&gt;=$C$1),'General Inputs'!U$11*$G37,0))</f>
        <v>0</v>
      </c>
      <c r="BT37" s="214">
        <f>IF(AND(($E37+$C$1)&gt;BT$4,BT$4&gt;=$C$1),'General Inputs'!V$11*$H37,IF(AND(($D37+$C$1)&gt;BT$4,BT$4&gt;=$C$1),'General Inputs'!V$11*$G37,0))</f>
        <v>0</v>
      </c>
      <c r="BU37" s="214">
        <f>IF(AND(($E37+$C$1)&gt;BU$4,BU$4&gt;=$C$1),'General Inputs'!W$11*$H37,IF(AND(($D37+$C$1)&gt;BU$4,BU$4&gt;=$C$1),'General Inputs'!W$11*$G37,0))</f>
        <v>0</v>
      </c>
      <c r="BW37" s="214">
        <f>IF(AND(($E37+$C$1)&gt;BW$4,BW$4&gt;=$C$1),$H37,IF(AND(($D37+$C$1)&gt;BW$4,BW$4&gt;=$C$1),$G37,0))*IF($A37="Residential",'General Inputs'!D$14,'General Inputs'!D$19)</f>
        <v>0</v>
      </c>
      <c r="BX37" s="214">
        <f>IF(AND(($E37+$C$1)&gt;BX$4,BX$4&gt;=$C$1),$H37,IF(AND(($D37+$C$1)&gt;BX$4,BX$4&gt;=$C$1),$G37,0))*IF($A37="Residential",'General Inputs'!E$14,'General Inputs'!E$19)</f>
        <v>524.72663833879164</v>
      </c>
      <c r="BY37" s="214">
        <f>IF(AND(($E37+$C$1)&gt;BY$4,BY$4&gt;=$C$1),$H37,IF(AND(($D37+$C$1)&gt;BY$4,BY$4&gt;=$C$1),$G37,0))*IF($A37="Residential",'General Inputs'!F$14,'General Inputs'!F$19)</f>
        <v>532.59753791387345</v>
      </c>
      <c r="BZ37" s="214">
        <f>IF(AND(($E37+$C$1)&gt;BZ$4,BZ$4&gt;=$C$1),$H37,IF(AND(($D37+$C$1)&gt;BZ$4,BZ$4&gt;=$C$1),$G37,0))*IF($A37="Residential",'General Inputs'!G$14,'General Inputs'!G$19)</f>
        <v>540.58650098258147</v>
      </c>
      <c r="CA37" s="214">
        <f>IF(AND(($E37+$C$1)&gt;CA$4,CA$4&gt;=$C$1),$H37,IF(AND(($D37+$C$1)&gt;CA$4,CA$4&gt;=$C$1),$G37,0))*IF($A37="Residential",'General Inputs'!H$14,'General Inputs'!H$19)</f>
        <v>548.6952984973201</v>
      </c>
      <c r="CB37" s="214">
        <f>IF(AND(($E37+$C$1)&gt;CB$4,CB$4&gt;=$C$1),$H37,IF(AND(($D37+$C$1)&gt;CB$4,CB$4&gt;=$C$1),$G37,0))*IF($A37="Residential",'General Inputs'!I$14,'General Inputs'!I$19)</f>
        <v>556.92572797477987</v>
      </c>
      <c r="CC37" s="214">
        <f>IF(AND(($E37+$C$1)&gt;CC$4,CC$4&gt;=$C$1),$H37,IF(AND(($D37+$C$1)&gt;CC$4,CC$4&gt;=$C$1),$G37,0))*IF($A37="Residential",'General Inputs'!J$14,'General Inputs'!J$19)</f>
        <v>0</v>
      </c>
      <c r="CD37" s="214">
        <f>IF(AND(($E37+$C$1)&gt;CD$4,CD$4&gt;=$C$1),$H37,IF(AND(($D37+$C$1)&gt;CD$4,CD$4&gt;=$C$1),$G37,0))*IF($A37="Residential",'General Inputs'!K$14,'General Inputs'!K$19)</f>
        <v>0</v>
      </c>
      <c r="CE37" s="214">
        <f>IF(AND(($E37+$C$1)&gt;CE$4,CE$4&gt;=$C$1),$H37,IF(AND(($D37+$C$1)&gt;CE$4,CE$4&gt;=$C$1),$G37,0))*IF($A37="Residential",'General Inputs'!L$14,'General Inputs'!L$19)</f>
        <v>0</v>
      </c>
      <c r="CF37" s="214">
        <f>IF(AND(($E37+$C$1)&gt;CF$4,CF$4&gt;=$C$1),$H37,IF(AND(($D37+$C$1)&gt;CF$4,CF$4&gt;=$C$1),$G37,0))*IF($A37="Residential",'General Inputs'!M$14,'General Inputs'!M$19)</f>
        <v>0</v>
      </c>
      <c r="CG37" s="214">
        <f>IF(AND(($E37+$C$1)&gt;CG$4,CG$4&gt;=$C$1),$H37,IF(AND(($D37+$C$1)&gt;CG$4,CG$4&gt;=$C$1),$G37,0))*IF($A37="Residential",'General Inputs'!N$14,'General Inputs'!N$19)</f>
        <v>0</v>
      </c>
      <c r="CH37" s="214">
        <f>IF(AND(($E37+$C$1)&gt;CH$4,CH$4&gt;=$C$1),$H37,IF(AND(($D37+$C$1)&gt;CH$4,CH$4&gt;=$C$1),$G37,0))*IF($A37="Residential",'General Inputs'!O$14,'General Inputs'!O$19)</f>
        <v>0</v>
      </c>
      <c r="CI37" s="214">
        <f>IF(AND(($E37+$C$1)&gt;CI$4,CI$4&gt;=$C$1),$H37,IF(AND(($D37+$C$1)&gt;CI$4,CI$4&gt;=$C$1),$G37,0))*IF($A37="Residential",'General Inputs'!P$14,'General Inputs'!P$19)</f>
        <v>0</v>
      </c>
      <c r="CJ37" s="214">
        <f>IF(AND(($E37+$C$1)&gt;CJ$4,CJ$4&gt;=$C$1),$H37,IF(AND(($D37+$C$1)&gt;CJ$4,CJ$4&gt;=$C$1),$G37,0))*IF($A37="Residential",'General Inputs'!Q$14,'General Inputs'!Q$19)</f>
        <v>0</v>
      </c>
      <c r="CK37" s="214">
        <f>IF(AND(($E37+$C$1)&gt;CK$4,CK$4&gt;=$C$1),$H37,IF(AND(($D37+$C$1)&gt;CK$4,CK$4&gt;=$C$1),$G37,0))*IF($A37="Residential",'General Inputs'!R$14,'General Inputs'!R$19)</f>
        <v>0</v>
      </c>
      <c r="CL37" s="214">
        <f>IF(AND(($E37+$C$1)&gt;CL$4,CL$4&gt;=$C$1),$H37,IF(AND(($D37+$C$1)&gt;CL$4,CL$4&gt;=$C$1),$G37,0))*IF($A37="Residential",'General Inputs'!S$14,'General Inputs'!S$19)</f>
        <v>0</v>
      </c>
      <c r="CM37" s="214">
        <f>IF(AND(($E37+$C$1)&gt;CM$4,CM$4&gt;=$C$1),$H37,IF(AND(($D37+$C$1)&gt;CM$4,CM$4&gt;=$C$1),$G37,0))*IF($A37="Residential",'General Inputs'!T$14,'General Inputs'!T$19)</f>
        <v>0</v>
      </c>
      <c r="CN37" s="214">
        <f>IF(AND(($E37+$C$1)&gt;CN$4,CN$4&gt;=$C$1),$H37,IF(AND(($D37+$C$1)&gt;CN$4,CN$4&gt;=$C$1),$G37,0))*IF($A37="Residential",'General Inputs'!U$14,'General Inputs'!U$19)</f>
        <v>0</v>
      </c>
      <c r="CO37" s="214">
        <f>IF(AND(($E37+$C$1)&gt;CO$4,CO$4&gt;=$C$1),$H37,IF(AND(($D37+$C$1)&gt;CO$4,CO$4&gt;=$C$1),$G37,0))*IF($A37="Residential",'General Inputs'!V$14,'General Inputs'!V$19)</f>
        <v>0</v>
      </c>
      <c r="CP37" s="214">
        <f>IF(AND(($E37+$C$1)&gt;CP$4,CP$4&gt;=$C$1),$H37,IF(AND(($D37+$C$1)&gt;CP$4,CP$4&gt;=$C$1),$G37,0))*IF($A37="Residential",'General Inputs'!W$14,'General Inputs'!W$19)</f>
        <v>0</v>
      </c>
      <c r="CR37" s="214">
        <f>IF(AND(($E37+$C$1)&gt;CR$4,CR$4&gt;=$C$1),$H37,IF(AND(($D37+$C$1)&gt;CR$4,CR$4&gt;=$C$1),$G37,0))*IF($A37="Residential",'General Inputs'!D$15,'General Inputs'!D$19)</f>
        <v>0</v>
      </c>
      <c r="CS37" s="214">
        <f>IF(AND(($E37+$C$1)&gt;CS$4,CS$4&gt;=$C$1),$H37,IF(AND(($D37+$C$1)&gt;CS$4,CS$4&gt;=$C$1),$G37,0))*IF($A37="Residential",'General Inputs'!E$15,'General Inputs'!E$19)</f>
        <v>426.86946493168307</v>
      </c>
      <c r="CT37" s="214">
        <f>IF(AND(($E37+$C$1)&gt;CT$4,CT$4&gt;=$C$1),$H37,IF(AND(($D37+$C$1)&gt;CT$4,CT$4&gt;=$C$1),$G37,0))*IF($A37="Residential",'General Inputs'!F$15,'General Inputs'!F$19)</f>
        <v>433.2725069056583</v>
      </c>
      <c r="CU37" s="214">
        <f>IF(AND(($E37+$C$1)&gt;CU$4,CU$4&gt;=$C$1),$H37,IF(AND(($D37+$C$1)&gt;CU$4,CU$4&gt;=$C$1),$G37,0))*IF($A37="Residential",'General Inputs'!G$15,'General Inputs'!G$19)</f>
        <v>439.77159450924313</v>
      </c>
      <c r="CV37" s="214">
        <f>IF(AND(($E37+$C$1)&gt;CV$4,CV$4&gt;=$C$1),$H37,IF(AND(($D37+$C$1)&gt;CV$4,CV$4&gt;=$C$1),$G37,0))*IF($A37="Residential",'General Inputs'!H$15,'General Inputs'!H$19)</f>
        <v>446.36816842688171</v>
      </c>
      <c r="CW37" s="214">
        <f>IF(AND(($E37+$C$1)&gt;CW$4,CW$4&gt;=$C$1),$H37,IF(AND(($D37+$C$1)&gt;CW$4,CW$4&gt;=$C$1),$G37,0))*IF($A37="Residential",'General Inputs'!I$15,'General Inputs'!I$19)</f>
        <v>453.06369095328489</v>
      </c>
      <c r="CX37" s="214">
        <f>IF(AND(($E37+$C$1)&gt;CX$4,CX$4&gt;=$C$1),$H37,IF(AND(($D37+$C$1)&gt;CX$4,CX$4&gt;=$C$1),$G37,0))*IF($A37="Residential",'General Inputs'!J$15,'General Inputs'!J$19)</f>
        <v>0</v>
      </c>
      <c r="CY37" s="214">
        <f>IF(AND(($E37+$C$1)&gt;CY$4,CY$4&gt;=$C$1),$H37,IF(AND(($D37+$C$1)&gt;CY$4,CY$4&gt;=$C$1),$G37,0))*IF($A37="Residential",'General Inputs'!K$15,'General Inputs'!K$19)</f>
        <v>0</v>
      </c>
      <c r="CZ37" s="214">
        <f>IF(AND(($E37+$C$1)&gt;CZ$4,CZ$4&gt;=$C$1),$H37,IF(AND(($D37+$C$1)&gt;CZ$4,CZ$4&gt;=$C$1),$G37,0))*IF($A37="Residential",'General Inputs'!L$15,'General Inputs'!L$19)</f>
        <v>0</v>
      </c>
      <c r="DA37" s="214">
        <f>IF(AND(($E37+$C$1)&gt;DA$4,DA$4&gt;=$C$1),$H37,IF(AND(($D37+$C$1)&gt;DA$4,DA$4&gt;=$C$1),$G37,0))*IF($A37="Residential",'General Inputs'!M$15,'General Inputs'!M$19)</f>
        <v>0</v>
      </c>
      <c r="DB37" s="214">
        <f>IF(AND(($E37+$C$1)&gt;DB$4,DB$4&gt;=$C$1),$H37,IF(AND(($D37+$C$1)&gt;DB$4,DB$4&gt;=$C$1),$G37,0))*IF($A37="Residential",'General Inputs'!N$15,'General Inputs'!N$19)</f>
        <v>0</v>
      </c>
      <c r="DC37" s="214">
        <f>IF(AND(($E37+$C$1)&gt;DC$4,DC$4&gt;=$C$1),$H37,IF(AND(($D37+$C$1)&gt;DC$4,DC$4&gt;=$C$1),$G37,0))*IF($A37="Residential",'General Inputs'!O$15,'General Inputs'!O$19)</f>
        <v>0</v>
      </c>
      <c r="DD37" s="214">
        <f>IF(AND(($E37+$C$1)&gt;DD$4,DD$4&gt;=$C$1),$H37,IF(AND(($D37+$C$1)&gt;DD$4,DD$4&gt;=$C$1),$G37,0))*IF($A37="Residential",'General Inputs'!P$15,'General Inputs'!P$19)</f>
        <v>0</v>
      </c>
      <c r="DE37" s="214">
        <f>IF(AND(($E37+$C$1)&gt;DE$4,DE$4&gt;=$C$1),$H37,IF(AND(($D37+$C$1)&gt;DE$4,DE$4&gt;=$C$1),$G37,0))*IF($A37="Residential",'General Inputs'!Q$15,'General Inputs'!Q$19)</f>
        <v>0</v>
      </c>
      <c r="DF37" s="214">
        <f>IF(AND(($E37+$C$1)&gt;DF$4,DF$4&gt;=$C$1),$H37,IF(AND(($D37+$C$1)&gt;DF$4,DF$4&gt;=$C$1),$G37,0))*IF($A37="Residential",'General Inputs'!R$15,'General Inputs'!R$19)</f>
        <v>0</v>
      </c>
      <c r="DG37" s="214">
        <f>IF(AND(($E37+$C$1)&gt;DG$4,DG$4&gt;=$C$1),$H37,IF(AND(($D37+$C$1)&gt;DG$4,DG$4&gt;=$C$1),$G37,0))*IF($A37="Residential",'General Inputs'!S$15,'General Inputs'!S$19)</f>
        <v>0</v>
      </c>
      <c r="DH37" s="214">
        <f>IF(AND(($E37+$C$1)&gt;DH$4,DH$4&gt;=$C$1),$H37,IF(AND(($D37+$C$1)&gt;DH$4,DH$4&gt;=$C$1),$G37,0))*IF($A37="Residential",'General Inputs'!T$15,'General Inputs'!T$19)</f>
        <v>0</v>
      </c>
      <c r="DI37" s="214">
        <f>IF(AND(($E37+$C$1)&gt;DI$4,DI$4&gt;=$C$1),$H37,IF(AND(($D37+$C$1)&gt;DI$4,DI$4&gt;=$C$1),$G37,0))*IF($A37="Residential",'General Inputs'!U$15,'General Inputs'!U$19)</f>
        <v>0</v>
      </c>
      <c r="DJ37" s="214">
        <f>IF(AND(($E37+$C$1)&gt;DJ$4,DJ$4&gt;=$C$1),$H37,IF(AND(($D37+$C$1)&gt;DJ$4,DJ$4&gt;=$C$1),$G37,0))*IF($A37="Residential",'General Inputs'!V$15,'General Inputs'!V$19)</f>
        <v>0</v>
      </c>
      <c r="DK37" s="214">
        <f>IF(AND(($E37+$C$1)&gt;DK$4,DK$4&gt;=$C$1),$H37,IF(AND(($D37+$C$1)&gt;DK$4,DK$4&gt;=$C$1),$G37,0))*IF($A37="Residential",'General Inputs'!W$15,'General Inputs'!W$19)</f>
        <v>0</v>
      </c>
      <c r="DM37" s="214">
        <f t="shared" si="78"/>
        <v>0</v>
      </c>
      <c r="DN37" s="214">
        <f t="shared" si="78"/>
        <v>0</v>
      </c>
      <c r="DO37" s="214">
        <f t="shared" si="78"/>
        <v>0</v>
      </c>
      <c r="DP37" s="214">
        <f t="shared" si="78"/>
        <v>0</v>
      </c>
      <c r="DQ37" s="214">
        <f t="shared" si="78"/>
        <v>0</v>
      </c>
      <c r="DR37" s="214">
        <f t="shared" si="78"/>
        <v>0</v>
      </c>
      <c r="DS37" s="214">
        <f t="shared" si="78"/>
        <v>0</v>
      </c>
      <c r="DT37" s="214">
        <f t="shared" si="78"/>
        <v>0</v>
      </c>
      <c r="DU37" s="214">
        <f t="shared" si="78"/>
        <v>0</v>
      </c>
      <c r="DV37" s="214">
        <f t="shared" si="78"/>
        <v>0</v>
      </c>
      <c r="DW37" s="214">
        <f t="shared" si="78"/>
        <v>0</v>
      </c>
      <c r="DZ37" s="650"/>
      <c r="FI37" s="195"/>
      <c r="FJ37" s="195"/>
      <c r="FK37" s="195"/>
      <c r="FL37" s="195"/>
      <c r="FM37" s="195"/>
      <c r="FN37" s="195"/>
      <c r="FO37" s="195"/>
    </row>
    <row r="38" spans="1:171">
      <c r="A38" s="342" t="s">
        <v>12</v>
      </c>
      <c r="B38" s="427" t="str">
        <f>'Portfolio Inputs'!A37</f>
        <v>Water Heater Tank Wrap</v>
      </c>
      <c r="C38" s="217">
        <f>IF($C$1=2014,'Portfolio Inputs'!$C37,IF($C$1=2015,'Portfolio Inputs'!$D37,'Portfolio Inputs'!$E37))</f>
        <v>30</v>
      </c>
      <c r="D38" s="504">
        <f>VLOOKUP(B38,Sources!$B$4:$J$104,2,FALSE)</f>
        <v>5</v>
      </c>
      <c r="E38" s="504">
        <f>VLOOKUP(B38,Sources!$B$4:$J$104,3,FALSE)</f>
        <v>0</v>
      </c>
      <c r="G38" s="504">
        <f>IF($C$1=2014,'Portfolio Inputs'!$G37,IF($C$1=2015,'Portfolio Inputs'!$H37,'Portfolio Inputs'!$I37))*EnergyLineLoss</f>
        <v>2481.39</v>
      </c>
      <c r="H38" s="504"/>
      <c r="I38" s="595">
        <f>IF($C$1=2014,'Portfolio Inputs'!$K37,IF($C$1=2015,'Portfolio Inputs'!$L37,'Portfolio Inputs'!$M37))*PeakLineLoss</f>
        <v>0.28268999999999994</v>
      </c>
      <c r="J38" s="510"/>
      <c r="L38" s="606">
        <f>IF($C$1=2014,'Portfolio Inputs'!$O37,IF($C$1=2015,'Portfolio Inputs'!$P37,'Portfolio Inputs'!$Q37))</f>
        <v>0</v>
      </c>
      <c r="M38" s="518">
        <f>VLOOKUP($B38,Sources!$B$4:$K$104,10,FALSE)</f>
        <v>0</v>
      </c>
      <c r="N38" s="419">
        <f>IF($C$1=2014,'Portfolio Inputs'!$W37,IF($C$1=2015,'Portfolio Inputs'!$X37,'Portfolio Inputs'!$Y37))</f>
        <v>0</v>
      </c>
      <c r="O38" s="419"/>
      <c r="Q38" s="438" t="str">
        <f t="shared" si="67"/>
        <v>n/a</v>
      </c>
      <c r="R38" s="439" t="str">
        <f t="shared" si="68"/>
        <v>n/a</v>
      </c>
      <c r="S38" s="439" t="str">
        <f t="shared" si="69"/>
        <v>n/a</v>
      </c>
      <c r="T38" s="439" t="str">
        <f t="shared" si="70"/>
        <v>n/a</v>
      </c>
      <c r="U38" s="439" t="str">
        <f t="shared" si="77"/>
        <v>n/a</v>
      </c>
      <c r="V38" s="439">
        <f t="shared" si="72"/>
        <v>0.30930538080626291</v>
      </c>
      <c r="W38" s="439">
        <f t="shared" si="73"/>
        <v>0.3802117181573178</v>
      </c>
      <c r="Y38" s="215">
        <f t="shared" si="4"/>
        <v>419.80796992021737</v>
      </c>
      <c r="Z38" s="215">
        <f t="shared" si="5"/>
        <v>110.48816547858455</v>
      </c>
      <c r="AA38" s="215">
        <f t="shared" si="6"/>
        <v>1357.2604809716165</v>
      </c>
      <c r="AB38" s="215">
        <f t="shared" si="7"/>
        <v>1104.1426391453724</v>
      </c>
      <c r="AC38" s="216">
        <f t="shared" si="20"/>
        <v>0</v>
      </c>
      <c r="AD38" s="216">
        <f t="shared" si="21"/>
        <v>0</v>
      </c>
      <c r="AE38" s="215">
        <f t="shared" si="8"/>
        <v>0</v>
      </c>
      <c r="AG38" s="214">
        <f>IF(AND(($E38+$C$1)&gt;AG$4,AG$4&gt;=$C$1),'General Inputs'!D$9*$H38,IF(AND(($D38+$C$1)&gt;AG$4,AG$4&gt;=$C$1),'General Inputs'!D$9*$G38,0))+IF(AND(($E38+$C$1)&gt;AG$4,AG$4&gt;=$C$1),'General Inputs'!D$10*$J38,IF(AND(($D38+$C$1)&gt;AG$4,AG$4&gt;=$C$1),'General Inputs'!D$10*$I38,0))</f>
        <v>0</v>
      </c>
      <c r="AH38" s="214">
        <f>IF(AND(($E38+$C$1)&gt;AH$4,AH$4&gt;=$C$1),'General Inputs'!E$9*$H38,IF(AND(($D38+$C$1)&gt;AH$4,AH$4&gt;=$C$1),'General Inputs'!E$9*$G38,0))+IF(AND(($E38+$C$1)&gt;AH$4,AH$4&gt;=$C$1),'General Inputs'!E$10*$J38,IF(AND(($D38+$C$1)&gt;AH$4,AH$4&gt;=$C$1),'General Inputs'!E$10*$I38,0))</f>
        <v>104.56812041535474</v>
      </c>
      <c r="AI38" s="214">
        <f>IF(AND(($E38+$C$1)&gt;AI$4,AI$4&gt;=$C$1),'General Inputs'!F$9*$H38,IF(AND(($D38+$C$1)&gt;AI$4,AI$4&gt;=$C$1),'General Inputs'!F$9*$G38,0))+IF(AND(($E38+$C$1)&gt;AI$4,AI$4&gt;=$C$1),'General Inputs'!F$10*$J38,IF(AND(($D38+$C$1)&gt;AI$4,AI$4&gt;=$C$1),'General Inputs'!F$10*$I38,0))</f>
        <v>106.13664222158505</v>
      </c>
      <c r="AJ38" s="214">
        <f>IF(AND(($E38+$C$1)&gt;AJ$4,AJ$4&gt;=$C$1),'General Inputs'!G$9*$H38,IF(AND(($D38+$C$1)&gt;AJ$4,AJ$4&gt;=$C$1),'General Inputs'!G$9*$G38,0))+IF(AND(($E38+$C$1)&gt;AJ$4,AJ$4&gt;=$C$1),'General Inputs'!G$10*$J38,IF(AND(($D38+$C$1)&gt;AJ$4,AJ$4&gt;=$C$1),'General Inputs'!G$10*$I38,0))</f>
        <v>107.72869185490882</v>
      </c>
      <c r="AK38" s="214">
        <f>IF(AND(($E38+$C$1)&gt;AK$4,AK$4&gt;=$C$1),'General Inputs'!H$9*$H38,IF(AND(($D38+$C$1)&gt;AK$4,AK$4&gt;=$C$1),'General Inputs'!H$9*$G38,0))+IF(AND(($E38+$C$1)&gt;AK$4,AK$4&gt;=$C$1),'General Inputs'!H$10*$J38,IF(AND(($D38+$C$1)&gt;AK$4,AK$4&gt;=$C$1),'General Inputs'!H$10*$I38,0))</f>
        <v>109.34462223273243</v>
      </c>
      <c r="AL38" s="214">
        <f>IF(AND(($E38+$C$1)&gt;AL$4,AL$4&gt;=$C$1),'General Inputs'!I$9*$H38,IF(AND(($D38+$C$1)&gt;AL$4,AL$4&gt;=$C$1),'General Inputs'!I$9*$G38,0))+IF(AND(($E38+$C$1)&gt;AL$4,AL$4&gt;=$C$1),'General Inputs'!I$10*$J38,IF(AND(($D38+$C$1)&gt;AL$4,AL$4&gt;=$C$1),'General Inputs'!I$10*$I38,0))</f>
        <v>110.98479156622341</v>
      </c>
      <c r="AM38" s="214">
        <f>IF(AND(($E38+$C$1)&gt;AM$4,AM$4&gt;=$C$1),'General Inputs'!J$9*$H38,IF(AND(($D38+$C$1)&gt;AM$4,AM$4&gt;=$C$1),'General Inputs'!J$9*$G38,0))+IF(AND(($E38+$C$1)&gt;AM$4,AM$4&gt;=$C$1),'General Inputs'!J$10*$J38,IF(AND(($D38+$C$1)&gt;AM$4,AM$4&gt;=$C$1),'General Inputs'!J$10*$I38,0))</f>
        <v>0</v>
      </c>
      <c r="AN38" s="214">
        <f>IF(AND(($E38+$C$1)&gt;AN$4,AN$4&gt;=$C$1),'General Inputs'!K$9*$H38,IF(AND(($D38+$C$1)&gt;AN$4,AN$4&gt;=$C$1),'General Inputs'!K$9*$G38,0))+IF(AND(($E38+$C$1)&gt;AN$4,AN$4&gt;=$C$1),'General Inputs'!K$10*$J38,IF(AND(($D38+$C$1)&gt;AN$4,AN$4&gt;=$C$1),'General Inputs'!K$10*$I38,0))</f>
        <v>0</v>
      </c>
      <c r="AO38" s="214">
        <f>IF(AND(($E38+$C$1)&gt;AO$4,AO$4&gt;=$C$1),'General Inputs'!L$9*$H38,IF(AND(($D38+$C$1)&gt;AO$4,AO$4&gt;=$C$1),'General Inputs'!L$9*$G38,0))+IF(AND(($E38+$C$1)&gt;AO$4,AO$4&gt;=$C$1),'General Inputs'!L$10*$J38,IF(AND(($D38+$C$1)&gt;AO$4,AO$4&gt;=$C$1),'General Inputs'!L$10*$I38,0))</f>
        <v>0</v>
      </c>
      <c r="AP38" s="214">
        <f>IF(AND(($E38+$C$1)&gt;AP$4,AP$4&gt;=$C$1),'General Inputs'!M$9*$H38,IF(AND(($D38+$C$1)&gt;AP$4,AP$4&gt;=$C$1),'General Inputs'!M$9*$G38,0))+IF(AND(($E38+$C$1)&gt;AP$4,AP$4&gt;=$C$1),'General Inputs'!M$10*$J38,IF(AND(($D38+$C$1)&gt;AP$4,AP$4&gt;=$C$1),'General Inputs'!M$10*$I38,0))</f>
        <v>0</v>
      </c>
      <c r="AQ38" s="214">
        <f>IF(AND(($E38+$C$1)&gt;AQ$4,AQ$4&gt;=$C$1),'General Inputs'!N$9*$H38,IF(AND(($D38+$C$1)&gt;AQ$4,AQ$4&gt;=$C$1),'General Inputs'!N$9*$G38,0))+IF(AND(($E38+$C$1)&gt;AQ$4,AQ$4&gt;=$C$1),'General Inputs'!N$10*$J38,IF(AND(($D38+$C$1)&gt;AQ$4,AQ$4&gt;=$C$1),'General Inputs'!N$10*$I38,0))</f>
        <v>0</v>
      </c>
      <c r="AR38" s="214">
        <f>IF(AND(($E38+$C$1)&gt;AR$4,AR$4&gt;=$C$1),'General Inputs'!O$9*$H38,IF(AND(($D38+$C$1)&gt;AR$4,AR$4&gt;=$C$1),'General Inputs'!O$9*$G38,0))+IF(AND(($E38+$C$1)&gt;AR$4,AR$4&gt;=$C$1),'General Inputs'!O$10*$J38,IF(AND(($D38+$C$1)&gt;AR$4,AR$4&gt;=$C$1),'General Inputs'!O$10*$I38,0))</f>
        <v>0</v>
      </c>
      <c r="AS38" s="214">
        <f>IF(AND(($E38+$C$1)&gt;AS$4,AS$4&gt;=$C$1),'General Inputs'!P$9*$H38,IF(AND(($D38+$C$1)&gt;AS$4,AS$4&gt;=$C$1),'General Inputs'!P$9*$G38,0))+IF(AND(($E38+$C$1)&gt;AS$4,AS$4&gt;=$C$1),'General Inputs'!P$10*$J38,IF(AND(($D38+$C$1)&gt;AS$4,AS$4&gt;=$C$1),'General Inputs'!P$10*$I38,0))</f>
        <v>0</v>
      </c>
      <c r="AT38" s="214">
        <f>IF(AND(($E38+$C$1)&gt;AT$4,AT$4&gt;=$C$1),'General Inputs'!Q$9*$H38,IF(AND(($D38+$C$1)&gt;AT$4,AT$4&gt;=$C$1),'General Inputs'!Q$9*$G38,0))+IF(AND(($E38+$C$1)&gt;AT$4,AT$4&gt;=$C$1),'General Inputs'!Q$10*$J38,IF(AND(($D38+$C$1)&gt;AT$4,AT$4&gt;=$C$1),'General Inputs'!Q$10*$I38,0))</f>
        <v>0</v>
      </c>
      <c r="AU38" s="214">
        <f>IF(AND(($E38+$C$1)&gt;AU$4,AU$4&gt;=$C$1),'General Inputs'!R$9*$H38,IF(AND(($D38+$C$1)&gt;AU$4,AU$4&gt;=$C$1),'General Inputs'!R$9*$G38,0))+IF(AND(($E38+$C$1)&gt;AU$4,AU$4&gt;=$C$1),'General Inputs'!R$10*$J38,IF(AND(($D38+$C$1)&gt;AU$4,AU$4&gt;=$C$1),'General Inputs'!R$10*$I38,0))</f>
        <v>0</v>
      </c>
      <c r="AV38" s="214">
        <f>IF(AND(($E38+$C$1)&gt;AV$4,AV$4&gt;=$C$1),'General Inputs'!S$9*$H38,IF(AND(($D38+$C$1)&gt;AV$4,AV$4&gt;=$C$1),'General Inputs'!S$9*$G38,0))+IF(AND(($E38+$C$1)&gt;AV$4,AV$4&gt;=$C$1),'General Inputs'!S$10*$J38,IF(AND(($D38+$C$1)&gt;AV$4,AV$4&gt;=$C$1),'General Inputs'!S$10*$I38,0))</f>
        <v>0</v>
      </c>
      <c r="AW38" s="214">
        <f>IF(AND(($E38+$C$1)&gt;AW$4,AW$4&gt;=$C$1),'General Inputs'!T$9*$H38,IF(AND(($D38+$C$1)&gt;AW$4,AW$4&gt;=$C$1),'General Inputs'!T$9*$G38,0))+IF(AND(($E38+$C$1)&gt;AW$4,AW$4&gt;=$C$1),'General Inputs'!T$10*$J38,IF(AND(($D38+$C$1)&gt;AW$4,AW$4&gt;=$C$1),'General Inputs'!T$10*$I38,0))</f>
        <v>0</v>
      </c>
      <c r="AX38" s="214">
        <f>IF(AND(($E38+$C$1)&gt;AX$4,AX$4&gt;=$C$1),'General Inputs'!U$9*$H38,IF(AND(($D38+$C$1)&gt;AX$4,AX$4&gt;=$C$1),'General Inputs'!U$9*$G38,0))+IF(AND(($E38+$C$1)&gt;AX$4,AX$4&gt;=$C$1),'General Inputs'!U$10*$J38,IF(AND(($D38+$C$1)&gt;AX$4,AX$4&gt;=$C$1),'General Inputs'!U$10*$I38,0))</f>
        <v>0</v>
      </c>
      <c r="AY38" s="214">
        <f>IF(AND(($E38+$C$1)&gt;AY$4,AY$4&gt;=$C$1),'General Inputs'!V$9*$H38,IF(AND(($D38+$C$1)&gt;AY$4,AY$4&gt;=$C$1),'General Inputs'!V$9*$G38,0))+IF(AND(($E38+$C$1)&gt;AY$4,AY$4&gt;=$C$1),'General Inputs'!V$10*$J38,IF(AND(($D38+$C$1)&gt;AY$4,AY$4&gt;=$C$1),'General Inputs'!V$10*$I38,0))</f>
        <v>0</v>
      </c>
      <c r="AZ38" s="214">
        <f>IF(AND(($E38+$C$1)&gt;AZ$4,AZ$4&gt;=$C$1),'General Inputs'!W$9*$H38,IF(AND(($D38+$C$1)&gt;AZ$4,AZ$4&gt;=$C$1),'General Inputs'!W$9*$G38,0))+IF(AND(($E38+$C$1)&gt;AZ$4,AZ$4&gt;=$C$1),'General Inputs'!W$10*$J38,IF(AND(($D38+$C$1)&gt;AZ$4,AZ$4&gt;=$C$1),'General Inputs'!W$10*$I38,0))</f>
        <v>0</v>
      </c>
      <c r="BB38" s="214">
        <f>IF(AND(($E38+$C$1)&gt;BB$4,BB$4&gt;=$C$1),'General Inputs'!D$11*$H38,IF(AND(($D38+$C$1)&gt;BB$4,BB$4&gt;=$C$1),'General Inputs'!D$11*$G38,0))</f>
        <v>0</v>
      </c>
      <c r="BC38" s="214">
        <f>IF(AND(($E38+$C$1)&gt;BC$4,BC$4&gt;=$C$1),'General Inputs'!E$11*$H38,IF(AND(($D38+$C$1)&gt;BC$4,BC$4&gt;=$C$1),'General Inputs'!E$11*$G38,0))</f>
        <v>28.287845999999998</v>
      </c>
      <c r="BD38" s="214">
        <f>IF(AND(($E38+$C$1)&gt;BD$4,BD$4&gt;=$C$1),'General Inputs'!F$11*$H38,IF(AND(($D38+$C$1)&gt;BD$4,BD$4&gt;=$C$1),'General Inputs'!F$11*$G38,0))</f>
        <v>28.287845999999998</v>
      </c>
      <c r="BE38" s="214">
        <f>IF(AND(($E38+$C$1)&gt;BE$4,BE$4&gt;=$C$1),'General Inputs'!G$11*$H38,IF(AND(($D38+$C$1)&gt;BE$4,BE$4&gt;=$C$1),'General Inputs'!G$11*$G38,0))</f>
        <v>28.287845999999998</v>
      </c>
      <c r="BF38" s="214">
        <f>IF(AND(($E38+$C$1)&gt;BF$4,BF$4&gt;=$C$1),'General Inputs'!H$11*$H38,IF(AND(($D38+$C$1)&gt;BF$4,BF$4&gt;=$C$1),'General Inputs'!H$11*$G38,0))</f>
        <v>28.287845999999998</v>
      </c>
      <c r="BG38" s="214">
        <f>IF(AND(($E38+$C$1)&gt;BG$4,BG$4&gt;=$C$1),'General Inputs'!I$11*$H38,IF(AND(($D38+$C$1)&gt;BG$4,BG$4&gt;=$C$1),'General Inputs'!I$11*$G38,0))</f>
        <v>28.287845999999998</v>
      </c>
      <c r="BH38" s="214">
        <f>IF(AND(($E38+$C$1)&gt;BH$4,BH$4&gt;=$C$1),'General Inputs'!J$11*$H38,IF(AND(($D38+$C$1)&gt;BH$4,BH$4&gt;=$C$1),'General Inputs'!J$11*$G38,0))</f>
        <v>0</v>
      </c>
      <c r="BI38" s="214">
        <f>IF(AND(($E38+$C$1)&gt;BI$4,BI$4&gt;=$C$1),'General Inputs'!K$11*$H38,IF(AND(($D38+$C$1)&gt;BI$4,BI$4&gt;=$C$1),'General Inputs'!K$11*$G38,0))</f>
        <v>0</v>
      </c>
      <c r="BJ38" s="214">
        <f>IF(AND(($E38+$C$1)&gt;BJ$4,BJ$4&gt;=$C$1),'General Inputs'!L$11*$H38,IF(AND(($D38+$C$1)&gt;BJ$4,BJ$4&gt;=$C$1),'General Inputs'!L$11*$G38,0))</f>
        <v>0</v>
      </c>
      <c r="BK38" s="214">
        <f>IF(AND(($E38+$C$1)&gt;BK$4,BK$4&gt;=$C$1),'General Inputs'!M$11*$H38,IF(AND(($D38+$C$1)&gt;BK$4,BK$4&gt;=$C$1),'General Inputs'!M$11*$G38,0))</f>
        <v>0</v>
      </c>
      <c r="BL38" s="214">
        <f>IF(AND(($E38+$C$1)&gt;BL$4,BL$4&gt;=$C$1),'General Inputs'!N$11*$H38,IF(AND(($D38+$C$1)&gt;BL$4,BL$4&gt;=$C$1),'General Inputs'!N$11*$G38,0))</f>
        <v>0</v>
      </c>
      <c r="BM38" s="214">
        <f>IF(AND(($E38+$C$1)&gt;BM$4,BM$4&gt;=$C$1),'General Inputs'!O$11*$H38,IF(AND(($D38+$C$1)&gt;BM$4,BM$4&gt;=$C$1),'General Inputs'!O$11*$G38,0))</f>
        <v>0</v>
      </c>
      <c r="BN38" s="214">
        <f>IF(AND(($E38+$C$1)&gt;BN$4,BN$4&gt;=$C$1),'General Inputs'!P$11*$H38,IF(AND(($D38+$C$1)&gt;BN$4,BN$4&gt;=$C$1),'General Inputs'!P$11*$G38,0))</f>
        <v>0</v>
      </c>
      <c r="BO38" s="214">
        <f>IF(AND(($E38+$C$1)&gt;BO$4,BO$4&gt;=$C$1),'General Inputs'!Q$11*$H38,IF(AND(($D38+$C$1)&gt;BO$4,BO$4&gt;=$C$1),'General Inputs'!Q$11*$G38,0))</f>
        <v>0</v>
      </c>
      <c r="BP38" s="214">
        <f>IF(AND(($E38+$C$1)&gt;BP$4,BP$4&gt;=$C$1),'General Inputs'!R$11*$H38,IF(AND(($D38+$C$1)&gt;BP$4,BP$4&gt;=$C$1),'General Inputs'!R$11*$G38,0))</f>
        <v>0</v>
      </c>
      <c r="BQ38" s="214">
        <f>IF(AND(($E38+$C$1)&gt;BQ$4,BQ$4&gt;=$C$1),'General Inputs'!S$11*$H38,IF(AND(($D38+$C$1)&gt;BQ$4,BQ$4&gt;=$C$1),'General Inputs'!S$11*$G38,0))</f>
        <v>0</v>
      </c>
      <c r="BR38" s="214">
        <f>IF(AND(($E38+$C$1)&gt;BR$4,BR$4&gt;=$C$1),'General Inputs'!T$11*$H38,IF(AND(($D38+$C$1)&gt;BR$4,BR$4&gt;=$C$1),'General Inputs'!T$11*$G38,0))</f>
        <v>0</v>
      </c>
      <c r="BS38" s="214">
        <f>IF(AND(($E38+$C$1)&gt;BS$4,BS$4&gt;=$C$1),'General Inputs'!U$11*$H38,IF(AND(($D38+$C$1)&gt;BS$4,BS$4&gt;=$C$1),'General Inputs'!U$11*$G38,0))</f>
        <v>0</v>
      </c>
      <c r="BT38" s="214">
        <f>IF(AND(($E38+$C$1)&gt;BT$4,BT$4&gt;=$C$1),'General Inputs'!V$11*$H38,IF(AND(($D38+$C$1)&gt;BT$4,BT$4&gt;=$C$1),'General Inputs'!V$11*$G38,0))</f>
        <v>0</v>
      </c>
      <c r="BU38" s="214">
        <f>IF(AND(($E38+$C$1)&gt;BU$4,BU$4&gt;=$C$1),'General Inputs'!W$11*$H38,IF(AND(($D38+$C$1)&gt;BU$4,BU$4&gt;=$C$1),'General Inputs'!W$11*$G38,0))</f>
        <v>0</v>
      </c>
      <c r="BW38" s="214">
        <f>IF(AND(($E38+$C$1)&gt;BW$4,BW$4&gt;=$C$1),$H38,IF(AND(($D38+$C$1)&gt;BW$4,BW$4&gt;=$C$1),$G38,0))*IF($A38="Residential",'General Inputs'!D$14,'General Inputs'!D$19)</f>
        <v>0</v>
      </c>
      <c r="BX38" s="214">
        <f>IF(AND(($E38+$C$1)&gt;BX$4,BX$4&gt;=$C$1),$H38,IF(AND(($D38+$C$1)&gt;BX$4,BX$4&gt;=$C$1),$G38,0))*IF($A38="Residential",'General Inputs'!E$14,'General Inputs'!E$19)</f>
        <v>338.07404236802535</v>
      </c>
      <c r="BY38" s="214">
        <f>IF(AND(($E38+$C$1)&gt;BY$4,BY$4&gt;=$C$1),$H38,IF(AND(($D38+$C$1)&gt;BY$4,BY$4&gt;=$C$1),$G38,0))*IF($A38="Residential",'General Inputs'!F$14,'General Inputs'!F$19)</f>
        <v>343.14515300354566</v>
      </c>
      <c r="BZ38" s="214">
        <f>IF(AND(($E38+$C$1)&gt;BZ$4,BZ$4&gt;=$C$1),$H38,IF(AND(($D38+$C$1)&gt;BZ$4,BZ$4&gt;=$C$1),$G38,0))*IF($A38="Residential",'General Inputs'!G$14,'General Inputs'!G$19)</f>
        <v>348.29233029859881</v>
      </c>
      <c r="CA38" s="214">
        <f>IF(AND(($E38+$C$1)&gt;CA$4,CA$4&gt;=$C$1),$H38,IF(AND(($D38+$C$1)&gt;CA$4,CA$4&gt;=$C$1),$G38,0))*IF($A38="Residential",'General Inputs'!H$14,'General Inputs'!H$19)</f>
        <v>353.51671525307773</v>
      </c>
      <c r="CB38" s="214">
        <f>IF(AND(($E38+$C$1)&gt;CB$4,CB$4&gt;=$C$1),$H38,IF(AND(($D38+$C$1)&gt;CB$4,CB$4&gt;=$C$1),$G38,0))*IF($A38="Residential",'General Inputs'!I$14,'General Inputs'!I$19)</f>
        <v>358.81946598187392</v>
      </c>
      <c r="CC38" s="214">
        <f>IF(AND(($E38+$C$1)&gt;CC$4,CC$4&gt;=$C$1),$H38,IF(AND(($D38+$C$1)&gt;CC$4,CC$4&gt;=$C$1),$G38,0))*IF($A38="Residential",'General Inputs'!J$14,'General Inputs'!J$19)</f>
        <v>0</v>
      </c>
      <c r="CD38" s="214">
        <f>IF(AND(($E38+$C$1)&gt;CD$4,CD$4&gt;=$C$1),$H38,IF(AND(($D38+$C$1)&gt;CD$4,CD$4&gt;=$C$1),$G38,0))*IF($A38="Residential",'General Inputs'!K$14,'General Inputs'!K$19)</f>
        <v>0</v>
      </c>
      <c r="CE38" s="214">
        <f>IF(AND(($E38+$C$1)&gt;CE$4,CE$4&gt;=$C$1),$H38,IF(AND(($D38+$C$1)&gt;CE$4,CE$4&gt;=$C$1),$G38,0))*IF($A38="Residential",'General Inputs'!L$14,'General Inputs'!L$19)</f>
        <v>0</v>
      </c>
      <c r="CF38" s="214">
        <f>IF(AND(($E38+$C$1)&gt;CF$4,CF$4&gt;=$C$1),$H38,IF(AND(($D38+$C$1)&gt;CF$4,CF$4&gt;=$C$1),$G38,0))*IF($A38="Residential",'General Inputs'!M$14,'General Inputs'!M$19)</f>
        <v>0</v>
      </c>
      <c r="CG38" s="214">
        <f>IF(AND(($E38+$C$1)&gt;CG$4,CG$4&gt;=$C$1),$H38,IF(AND(($D38+$C$1)&gt;CG$4,CG$4&gt;=$C$1),$G38,0))*IF($A38="Residential",'General Inputs'!N$14,'General Inputs'!N$19)</f>
        <v>0</v>
      </c>
      <c r="CH38" s="214">
        <f>IF(AND(($E38+$C$1)&gt;CH$4,CH$4&gt;=$C$1),$H38,IF(AND(($D38+$C$1)&gt;CH$4,CH$4&gt;=$C$1),$G38,0))*IF($A38="Residential",'General Inputs'!O$14,'General Inputs'!O$19)</f>
        <v>0</v>
      </c>
      <c r="CI38" s="214">
        <f>IF(AND(($E38+$C$1)&gt;CI$4,CI$4&gt;=$C$1),$H38,IF(AND(($D38+$C$1)&gt;CI$4,CI$4&gt;=$C$1),$G38,0))*IF($A38="Residential",'General Inputs'!P$14,'General Inputs'!P$19)</f>
        <v>0</v>
      </c>
      <c r="CJ38" s="214">
        <f>IF(AND(($E38+$C$1)&gt;CJ$4,CJ$4&gt;=$C$1),$H38,IF(AND(($D38+$C$1)&gt;CJ$4,CJ$4&gt;=$C$1),$G38,0))*IF($A38="Residential",'General Inputs'!Q$14,'General Inputs'!Q$19)</f>
        <v>0</v>
      </c>
      <c r="CK38" s="214">
        <f>IF(AND(($E38+$C$1)&gt;CK$4,CK$4&gt;=$C$1),$H38,IF(AND(($D38+$C$1)&gt;CK$4,CK$4&gt;=$C$1),$G38,0))*IF($A38="Residential",'General Inputs'!R$14,'General Inputs'!R$19)</f>
        <v>0</v>
      </c>
      <c r="CL38" s="214">
        <f>IF(AND(($E38+$C$1)&gt;CL$4,CL$4&gt;=$C$1),$H38,IF(AND(($D38+$C$1)&gt;CL$4,CL$4&gt;=$C$1),$G38,0))*IF($A38="Residential",'General Inputs'!S$14,'General Inputs'!S$19)</f>
        <v>0</v>
      </c>
      <c r="CM38" s="214">
        <f>IF(AND(($E38+$C$1)&gt;CM$4,CM$4&gt;=$C$1),$H38,IF(AND(($D38+$C$1)&gt;CM$4,CM$4&gt;=$C$1),$G38,0))*IF($A38="Residential",'General Inputs'!T$14,'General Inputs'!T$19)</f>
        <v>0</v>
      </c>
      <c r="CN38" s="214">
        <f>IF(AND(($E38+$C$1)&gt;CN$4,CN$4&gt;=$C$1),$H38,IF(AND(($D38+$C$1)&gt;CN$4,CN$4&gt;=$C$1),$G38,0))*IF($A38="Residential",'General Inputs'!U$14,'General Inputs'!U$19)</f>
        <v>0</v>
      </c>
      <c r="CO38" s="214">
        <f>IF(AND(($E38+$C$1)&gt;CO$4,CO$4&gt;=$C$1),$H38,IF(AND(($D38+$C$1)&gt;CO$4,CO$4&gt;=$C$1),$G38,0))*IF($A38="Residential",'General Inputs'!V$14,'General Inputs'!V$19)</f>
        <v>0</v>
      </c>
      <c r="CP38" s="214">
        <f>IF(AND(($E38+$C$1)&gt;CP$4,CP$4&gt;=$C$1),$H38,IF(AND(($D38+$C$1)&gt;CP$4,CP$4&gt;=$C$1),$G38,0))*IF($A38="Residential",'General Inputs'!W$14,'General Inputs'!W$19)</f>
        <v>0</v>
      </c>
      <c r="CR38" s="214">
        <f>IF(AND(($E38+$C$1)&gt;CR$4,CR$4&gt;=$C$1),$H38,IF(AND(($D38+$C$1)&gt;CR$4,CR$4&gt;=$C$1),$G38,0))*IF($A38="Residential",'General Inputs'!D$15,'General Inputs'!D$19)</f>
        <v>0</v>
      </c>
      <c r="CS38" s="214">
        <f>IF(AND(($E38+$C$1)&gt;CS$4,CS$4&gt;=$C$1),$H38,IF(AND(($D38+$C$1)&gt;CS$4,CS$4&gt;=$C$1),$G38,0))*IF($A38="Residential",'General Inputs'!E$15,'General Inputs'!E$19)</f>
        <v>275.02603265922551</v>
      </c>
      <c r="CT38" s="214">
        <f>IF(AND(($E38+$C$1)&gt;CT$4,CT$4&gt;=$C$1),$H38,IF(AND(($D38+$C$1)&gt;CT$4,CT$4&gt;=$C$1),$G38,0))*IF($A38="Residential",'General Inputs'!F$15,'General Inputs'!F$19)</f>
        <v>279.1514231491139</v>
      </c>
      <c r="CU38" s="214">
        <f>IF(AND(($E38+$C$1)&gt;CU$4,CU$4&gt;=$C$1),$H38,IF(AND(($D38+$C$1)&gt;CU$4,CU$4&gt;=$C$1),$G38,0))*IF($A38="Residential",'General Inputs'!G$15,'General Inputs'!G$19)</f>
        <v>283.33869449635057</v>
      </c>
      <c r="CV38" s="214">
        <f>IF(AND(($E38+$C$1)&gt;CV$4,CV$4&gt;=$C$1),$H38,IF(AND(($D38+$C$1)&gt;CV$4,CV$4&gt;=$C$1),$G38,0))*IF($A38="Residential",'General Inputs'!H$15,'General Inputs'!H$19)</f>
        <v>287.58877491379582</v>
      </c>
      <c r="CW38" s="214">
        <f>IF(AND(($E38+$C$1)&gt;CW$4,CW$4&gt;=$C$1),$H38,IF(AND(($D38+$C$1)&gt;CW$4,CW$4&gt;=$C$1),$G38,0))*IF($A38="Residential",'General Inputs'!I$15,'General Inputs'!I$19)</f>
        <v>291.90260653750272</v>
      </c>
      <c r="CX38" s="214">
        <f>IF(AND(($E38+$C$1)&gt;CX$4,CX$4&gt;=$C$1),$H38,IF(AND(($D38+$C$1)&gt;CX$4,CX$4&gt;=$C$1),$G38,0))*IF($A38="Residential",'General Inputs'!J$15,'General Inputs'!J$19)</f>
        <v>0</v>
      </c>
      <c r="CY38" s="214">
        <f>IF(AND(($E38+$C$1)&gt;CY$4,CY$4&gt;=$C$1),$H38,IF(AND(($D38+$C$1)&gt;CY$4,CY$4&gt;=$C$1),$G38,0))*IF($A38="Residential",'General Inputs'!K$15,'General Inputs'!K$19)</f>
        <v>0</v>
      </c>
      <c r="CZ38" s="214">
        <f>IF(AND(($E38+$C$1)&gt;CZ$4,CZ$4&gt;=$C$1),$H38,IF(AND(($D38+$C$1)&gt;CZ$4,CZ$4&gt;=$C$1),$G38,0))*IF($A38="Residential",'General Inputs'!L$15,'General Inputs'!L$19)</f>
        <v>0</v>
      </c>
      <c r="DA38" s="214">
        <f>IF(AND(($E38+$C$1)&gt;DA$4,DA$4&gt;=$C$1),$H38,IF(AND(($D38+$C$1)&gt;DA$4,DA$4&gt;=$C$1),$G38,0))*IF($A38="Residential",'General Inputs'!M$15,'General Inputs'!M$19)</f>
        <v>0</v>
      </c>
      <c r="DB38" s="214">
        <f>IF(AND(($E38+$C$1)&gt;DB$4,DB$4&gt;=$C$1),$H38,IF(AND(($D38+$C$1)&gt;DB$4,DB$4&gt;=$C$1),$G38,0))*IF($A38="Residential",'General Inputs'!N$15,'General Inputs'!N$19)</f>
        <v>0</v>
      </c>
      <c r="DC38" s="214">
        <f>IF(AND(($E38+$C$1)&gt;DC$4,DC$4&gt;=$C$1),$H38,IF(AND(($D38+$C$1)&gt;DC$4,DC$4&gt;=$C$1),$G38,0))*IF($A38="Residential",'General Inputs'!O$15,'General Inputs'!O$19)</f>
        <v>0</v>
      </c>
      <c r="DD38" s="214">
        <f>IF(AND(($E38+$C$1)&gt;DD$4,DD$4&gt;=$C$1),$H38,IF(AND(($D38+$C$1)&gt;DD$4,DD$4&gt;=$C$1),$G38,0))*IF($A38="Residential",'General Inputs'!P$15,'General Inputs'!P$19)</f>
        <v>0</v>
      </c>
      <c r="DE38" s="214">
        <f>IF(AND(($E38+$C$1)&gt;DE$4,DE$4&gt;=$C$1),$H38,IF(AND(($D38+$C$1)&gt;DE$4,DE$4&gt;=$C$1),$G38,0))*IF($A38="Residential",'General Inputs'!Q$15,'General Inputs'!Q$19)</f>
        <v>0</v>
      </c>
      <c r="DF38" s="214">
        <f>IF(AND(($E38+$C$1)&gt;DF$4,DF$4&gt;=$C$1),$H38,IF(AND(($D38+$C$1)&gt;DF$4,DF$4&gt;=$C$1),$G38,0))*IF($A38="Residential",'General Inputs'!R$15,'General Inputs'!R$19)</f>
        <v>0</v>
      </c>
      <c r="DG38" s="214">
        <f>IF(AND(($E38+$C$1)&gt;DG$4,DG$4&gt;=$C$1),$H38,IF(AND(($D38+$C$1)&gt;DG$4,DG$4&gt;=$C$1),$G38,0))*IF($A38="Residential",'General Inputs'!S$15,'General Inputs'!S$19)</f>
        <v>0</v>
      </c>
      <c r="DH38" s="214">
        <f>IF(AND(($E38+$C$1)&gt;DH$4,DH$4&gt;=$C$1),$H38,IF(AND(($D38+$C$1)&gt;DH$4,DH$4&gt;=$C$1),$G38,0))*IF($A38="Residential",'General Inputs'!T$15,'General Inputs'!T$19)</f>
        <v>0</v>
      </c>
      <c r="DI38" s="214">
        <f>IF(AND(($E38+$C$1)&gt;DI$4,DI$4&gt;=$C$1),$H38,IF(AND(($D38+$C$1)&gt;DI$4,DI$4&gt;=$C$1),$G38,0))*IF($A38="Residential",'General Inputs'!U$15,'General Inputs'!U$19)</f>
        <v>0</v>
      </c>
      <c r="DJ38" s="214">
        <f>IF(AND(($E38+$C$1)&gt;DJ$4,DJ$4&gt;=$C$1),$H38,IF(AND(($D38+$C$1)&gt;DJ$4,DJ$4&gt;=$C$1),$G38,0))*IF($A38="Residential",'General Inputs'!V$15,'General Inputs'!V$19)</f>
        <v>0</v>
      </c>
      <c r="DK38" s="214">
        <f>IF(AND(($E38+$C$1)&gt;DK$4,DK$4&gt;=$C$1),$H38,IF(AND(($D38+$C$1)&gt;DK$4,DK$4&gt;=$C$1),$G38,0))*IF($A38="Residential",'General Inputs'!W$15,'General Inputs'!W$19)</f>
        <v>0</v>
      </c>
      <c r="DM38" s="214">
        <f t="shared" si="78"/>
        <v>0</v>
      </c>
      <c r="DN38" s="214">
        <f t="shared" si="78"/>
        <v>0</v>
      </c>
      <c r="DO38" s="214">
        <f t="shared" si="78"/>
        <v>0</v>
      </c>
      <c r="DP38" s="214">
        <f t="shared" si="78"/>
        <v>0</v>
      </c>
      <c r="DQ38" s="214">
        <f t="shared" si="78"/>
        <v>0</v>
      </c>
      <c r="DR38" s="214">
        <f t="shared" si="78"/>
        <v>0</v>
      </c>
      <c r="DS38" s="214">
        <f t="shared" si="78"/>
        <v>0</v>
      </c>
      <c r="DT38" s="214">
        <f t="shared" si="78"/>
        <v>0</v>
      </c>
      <c r="DU38" s="214">
        <f t="shared" si="78"/>
        <v>0</v>
      </c>
      <c r="DV38" s="214">
        <f t="shared" si="78"/>
        <v>0</v>
      </c>
      <c r="DW38" s="214">
        <f t="shared" si="78"/>
        <v>0</v>
      </c>
      <c r="DZ38" s="650"/>
      <c r="FI38" s="195"/>
      <c r="FJ38" s="195"/>
      <c r="FK38" s="195"/>
      <c r="FL38" s="195"/>
      <c r="FM38" s="195"/>
      <c r="FN38" s="195"/>
      <c r="FO38" s="195"/>
    </row>
    <row r="39" spans="1:171">
      <c r="A39" s="342" t="s">
        <v>12</v>
      </c>
      <c r="B39" s="427" t="str">
        <f>'Portfolio Inputs'!A38</f>
        <v>Hot Water Pipe Insulation</v>
      </c>
      <c r="C39" s="217">
        <f>IF($C$1=2014,'Portfolio Inputs'!$C38,IF($C$1=2015,'Portfolio Inputs'!$D38,'Portfolio Inputs'!$E38))</f>
        <v>30</v>
      </c>
      <c r="D39" s="504">
        <f>VLOOKUP(B39,Sources!$B$4:$J$104,2,FALSE)</f>
        <v>15</v>
      </c>
      <c r="E39" s="504">
        <f>VLOOKUP(B39,Sources!$B$4:$J$104,3,FALSE)</f>
        <v>0</v>
      </c>
      <c r="G39" s="504">
        <f>IF($C$1=2014,'Portfolio Inputs'!$G38,IF($C$1=2015,'Portfolio Inputs'!$H38,'Portfolio Inputs'!$I38))*EnergyLineLoss</f>
        <v>4256.6670026369757</v>
      </c>
      <c r="H39" s="504"/>
      <c r="I39" s="595">
        <f>IF($C$1=2014,'Portfolio Inputs'!$K38,IF($C$1=2015,'Portfolio Inputs'!$L38,'Portfolio Inputs'!$M38))*PeakLineLoss</f>
        <v>0.48592089071198352</v>
      </c>
      <c r="J39" s="510"/>
      <c r="L39" s="606">
        <f>IF($C$1=2014,'Portfolio Inputs'!$O38,IF($C$1=2015,'Portfolio Inputs'!$P38,'Portfolio Inputs'!$Q38))</f>
        <v>0</v>
      </c>
      <c r="M39" s="518">
        <f>VLOOKUP($B39,Sources!$B$4:$K$104,10,FALSE)</f>
        <v>0</v>
      </c>
      <c r="N39" s="419">
        <f>IF($C$1=2014,'Portfolio Inputs'!$W38,IF($C$1=2015,'Portfolio Inputs'!$X38,'Portfolio Inputs'!$Y38))</f>
        <v>0</v>
      </c>
      <c r="O39" s="419"/>
      <c r="Q39" s="438" t="str">
        <f t="shared" si="67"/>
        <v>n/a</v>
      </c>
      <c r="R39" s="439" t="str">
        <f t="shared" si="68"/>
        <v>n/a</v>
      </c>
      <c r="S39" s="439" t="str">
        <f t="shared" si="69"/>
        <v>n/a</v>
      </c>
      <c r="T39" s="439" t="str">
        <f t="shared" si="70"/>
        <v>n/a</v>
      </c>
      <c r="U39" s="439" t="str">
        <f t="shared" si="77"/>
        <v>n/a</v>
      </c>
      <c r="V39" s="439">
        <f t="shared" si="72"/>
        <v>0.3093311723346443</v>
      </c>
      <c r="W39" s="439">
        <f t="shared" si="73"/>
        <v>0.3802434222333807</v>
      </c>
      <c r="Y39" s="215">
        <f t="shared" si="4"/>
        <v>1586.4884660866785</v>
      </c>
      <c r="Z39" s="215">
        <f t="shared" si="5"/>
        <v>394.87514363924538</v>
      </c>
      <c r="AA39" s="215">
        <f t="shared" si="6"/>
        <v>5128.7700948883512</v>
      </c>
      <c r="AB39" s="215">
        <f t="shared" si="7"/>
        <v>4172.2969374942795</v>
      </c>
      <c r="AC39" s="216">
        <f t="shared" si="20"/>
        <v>0</v>
      </c>
      <c r="AD39" s="216">
        <f t="shared" si="21"/>
        <v>0</v>
      </c>
      <c r="AE39" s="215">
        <f t="shared" si="8"/>
        <v>0</v>
      </c>
      <c r="AG39" s="214">
        <f>IF(AND(($E39+$C$1)&gt;AG$4,AG$4&gt;=$C$1),'General Inputs'!D$9*$H39,IF(AND(($D39+$C$1)&gt;AG$4,AG$4&gt;=$C$1),'General Inputs'!D$9*$G39,0))+IF(AND(($E39+$C$1)&gt;AG$4,AG$4&gt;=$C$1),'General Inputs'!D$10*$J39,IF(AND(($D39+$C$1)&gt;AG$4,AG$4&gt;=$C$1),'General Inputs'!D$10*$I39,0))</f>
        <v>0</v>
      </c>
      <c r="AH39" s="214">
        <f>IF(AND(($E39+$C$1)&gt;AH$4,AH$4&gt;=$C$1),'General Inputs'!E$9*$H39,IF(AND(($D39+$C$1)&gt;AH$4,AH$4&gt;=$C$1),'General Inputs'!E$9*$G39,0))+IF(AND(($E39+$C$1)&gt;AH$4,AH$4&gt;=$C$1),'General Inputs'!E$10*$J39,IF(AND(($D39+$C$1)&gt;AH$4,AH$4&gt;=$C$1),'General Inputs'!E$10*$I39,0))</f>
        <v>179.39492924489147</v>
      </c>
      <c r="AI39" s="214">
        <f>IF(AND(($E39+$C$1)&gt;AI$4,AI$4&gt;=$C$1),'General Inputs'!F$9*$H39,IF(AND(($D39+$C$1)&gt;AI$4,AI$4&gt;=$C$1),'General Inputs'!F$9*$G39,0))+IF(AND(($E39+$C$1)&gt;AI$4,AI$4&gt;=$C$1),'General Inputs'!F$10*$J39,IF(AND(($D39+$C$1)&gt;AI$4,AI$4&gt;=$C$1),'General Inputs'!F$10*$I39,0))</f>
        <v>182.08585318356481</v>
      </c>
      <c r="AJ39" s="214">
        <f>IF(AND(($E39+$C$1)&gt;AJ$4,AJ$4&gt;=$C$1),'General Inputs'!G$9*$H39,IF(AND(($D39+$C$1)&gt;AJ$4,AJ$4&gt;=$C$1),'General Inputs'!G$9*$G39,0))+IF(AND(($E39+$C$1)&gt;AJ$4,AJ$4&gt;=$C$1),'General Inputs'!G$10*$J39,IF(AND(($D39+$C$1)&gt;AJ$4,AJ$4&gt;=$C$1),'General Inputs'!G$10*$I39,0))</f>
        <v>184.81714098131829</v>
      </c>
      <c r="AK39" s="214">
        <f>IF(AND(($E39+$C$1)&gt;AK$4,AK$4&gt;=$C$1),'General Inputs'!H$9*$H39,IF(AND(($D39+$C$1)&gt;AK$4,AK$4&gt;=$C$1),'General Inputs'!H$9*$G39,0))+IF(AND(($E39+$C$1)&gt;AK$4,AK$4&gt;=$C$1),'General Inputs'!H$10*$J39,IF(AND(($D39+$C$1)&gt;AK$4,AK$4&gt;=$C$1),'General Inputs'!H$10*$I39,0))</f>
        <v>187.589398096038</v>
      </c>
      <c r="AL39" s="214">
        <f>IF(AND(($E39+$C$1)&gt;AL$4,AL$4&gt;=$C$1),'General Inputs'!I$9*$H39,IF(AND(($D39+$C$1)&gt;AL$4,AL$4&gt;=$C$1),'General Inputs'!I$9*$G39,0))+IF(AND(($E39+$C$1)&gt;AL$4,AL$4&gt;=$C$1),'General Inputs'!I$10*$J39,IF(AND(($D39+$C$1)&gt;AL$4,AL$4&gt;=$C$1),'General Inputs'!I$10*$I39,0))</f>
        <v>190.40323906747855</v>
      </c>
      <c r="AM39" s="214">
        <f>IF(AND(($E39+$C$1)&gt;AM$4,AM$4&gt;=$C$1),'General Inputs'!J$9*$H39,IF(AND(($D39+$C$1)&gt;AM$4,AM$4&gt;=$C$1),'General Inputs'!J$9*$G39,0))+IF(AND(($E39+$C$1)&gt;AM$4,AM$4&gt;=$C$1),'General Inputs'!J$10*$J39,IF(AND(($D39+$C$1)&gt;AM$4,AM$4&gt;=$C$1),'General Inputs'!J$10*$I39,0))</f>
        <v>193.2592876534907</v>
      </c>
      <c r="AN39" s="214">
        <f>IF(AND(($E39+$C$1)&gt;AN$4,AN$4&gt;=$C$1),'General Inputs'!K$9*$H39,IF(AND(($D39+$C$1)&gt;AN$4,AN$4&gt;=$C$1),'General Inputs'!K$9*$G39,0))+IF(AND(($E39+$C$1)&gt;AN$4,AN$4&gt;=$C$1),'General Inputs'!K$10*$J39,IF(AND(($D39+$C$1)&gt;AN$4,AN$4&gt;=$C$1),'General Inputs'!K$10*$I39,0))</f>
        <v>196.15817696829305</v>
      </c>
      <c r="AO39" s="214">
        <f>IF(AND(($E39+$C$1)&gt;AO$4,AO$4&gt;=$C$1),'General Inputs'!L$9*$H39,IF(AND(($D39+$C$1)&gt;AO$4,AO$4&gt;=$C$1),'General Inputs'!L$9*$G39,0))+IF(AND(($E39+$C$1)&gt;AO$4,AO$4&gt;=$C$1),'General Inputs'!L$10*$J39,IF(AND(($D39+$C$1)&gt;AO$4,AO$4&gt;=$C$1),'General Inputs'!L$10*$I39,0))</f>
        <v>199.1005496228174</v>
      </c>
      <c r="AP39" s="214">
        <f>IF(AND(($E39+$C$1)&gt;AP$4,AP$4&gt;=$C$1),'General Inputs'!M$9*$H39,IF(AND(($D39+$C$1)&gt;AP$4,AP$4&gt;=$C$1),'General Inputs'!M$9*$G39,0))+IF(AND(($E39+$C$1)&gt;AP$4,AP$4&gt;=$C$1),'General Inputs'!M$10*$J39,IF(AND(($D39+$C$1)&gt;AP$4,AP$4&gt;=$C$1),'General Inputs'!M$10*$I39,0))</f>
        <v>202.08705786715964</v>
      </c>
      <c r="AQ39" s="214">
        <f>IF(AND(($E39+$C$1)&gt;AQ$4,AQ$4&gt;=$C$1),'General Inputs'!N$9*$H39,IF(AND(($D39+$C$1)&gt;AQ$4,AQ$4&gt;=$C$1),'General Inputs'!N$9*$G39,0))+IF(AND(($E39+$C$1)&gt;AQ$4,AQ$4&gt;=$C$1),'General Inputs'!N$10*$J39,IF(AND(($D39+$C$1)&gt;AQ$4,AQ$4&gt;=$C$1),'General Inputs'!N$10*$I39,0))</f>
        <v>205.11836373516704</v>
      </c>
      <c r="AR39" s="214">
        <f>IF(AND(($E39+$C$1)&gt;AR$4,AR$4&gt;=$C$1),'General Inputs'!O$9*$H39,IF(AND(($D39+$C$1)&gt;AR$4,AR$4&gt;=$C$1),'General Inputs'!O$9*$G39,0))+IF(AND(($E39+$C$1)&gt;AR$4,AR$4&gt;=$C$1),'General Inputs'!O$10*$J39,IF(AND(($D39+$C$1)&gt;AR$4,AR$4&gt;=$C$1),'General Inputs'!O$10*$I39,0))</f>
        <v>208.1951391911945</v>
      </c>
      <c r="AS39" s="214">
        <f>IF(AND(($E39+$C$1)&gt;AS$4,AS$4&gt;=$C$1),'General Inputs'!P$9*$H39,IF(AND(($D39+$C$1)&gt;AS$4,AS$4&gt;=$C$1),'General Inputs'!P$9*$G39,0))+IF(AND(($E39+$C$1)&gt;AS$4,AS$4&gt;=$C$1),'General Inputs'!P$10*$J39,IF(AND(($D39+$C$1)&gt;AS$4,AS$4&gt;=$C$1),'General Inputs'!P$10*$I39,0))</f>
        <v>211.31806627906241</v>
      </c>
      <c r="AT39" s="214">
        <f>IF(AND(($E39+$C$1)&gt;AT$4,AT$4&gt;=$C$1),'General Inputs'!Q$9*$H39,IF(AND(($D39+$C$1)&gt;AT$4,AT$4&gt;=$C$1),'General Inputs'!Q$9*$G39,0))+IF(AND(($E39+$C$1)&gt;AT$4,AT$4&gt;=$C$1),'General Inputs'!Q$10*$J39,IF(AND(($D39+$C$1)&gt;AT$4,AT$4&gt;=$C$1),'General Inputs'!Q$10*$I39,0))</f>
        <v>214.48783727324835</v>
      </c>
      <c r="AU39" s="214">
        <f>IF(AND(($E39+$C$1)&gt;AU$4,AU$4&gt;=$C$1),'General Inputs'!R$9*$H39,IF(AND(($D39+$C$1)&gt;AU$4,AU$4&gt;=$C$1),'General Inputs'!R$9*$G39,0))+IF(AND(($E39+$C$1)&gt;AU$4,AU$4&gt;=$C$1),'General Inputs'!R$10*$J39,IF(AND(($D39+$C$1)&gt;AU$4,AU$4&gt;=$C$1),'General Inputs'!R$10*$I39,0))</f>
        <v>217.70515483234703</v>
      </c>
      <c r="AV39" s="214">
        <f>IF(AND(($E39+$C$1)&gt;AV$4,AV$4&gt;=$C$1),'General Inputs'!S$9*$H39,IF(AND(($D39+$C$1)&gt;AV$4,AV$4&gt;=$C$1),'General Inputs'!S$9*$G39,0))+IF(AND(($E39+$C$1)&gt;AV$4,AV$4&gt;=$C$1),'General Inputs'!S$10*$J39,IF(AND(($D39+$C$1)&gt;AV$4,AV$4&gt;=$C$1),'General Inputs'!S$10*$I39,0))</f>
        <v>220.97073215483223</v>
      </c>
      <c r="AW39" s="214">
        <f>IF(AND(($E39+$C$1)&gt;AW$4,AW$4&gt;=$C$1),'General Inputs'!T$9*$H39,IF(AND(($D39+$C$1)&gt;AW$4,AW$4&gt;=$C$1),'General Inputs'!T$9*$G39,0))+IF(AND(($E39+$C$1)&gt;AW$4,AW$4&gt;=$C$1),'General Inputs'!T$10*$J39,IF(AND(($D39+$C$1)&gt;AW$4,AW$4&gt;=$C$1),'General Inputs'!T$10*$I39,0))</f>
        <v>0</v>
      </c>
      <c r="AX39" s="214">
        <f>IF(AND(($E39+$C$1)&gt;AX$4,AX$4&gt;=$C$1),'General Inputs'!U$9*$H39,IF(AND(($D39+$C$1)&gt;AX$4,AX$4&gt;=$C$1),'General Inputs'!U$9*$G39,0))+IF(AND(($E39+$C$1)&gt;AX$4,AX$4&gt;=$C$1),'General Inputs'!U$10*$J39,IF(AND(($D39+$C$1)&gt;AX$4,AX$4&gt;=$C$1),'General Inputs'!U$10*$I39,0))</f>
        <v>0</v>
      </c>
      <c r="AY39" s="214">
        <f>IF(AND(($E39+$C$1)&gt;AY$4,AY$4&gt;=$C$1),'General Inputs'!V$9*$H39,IF(AND(($D39+$C$1)&gt;AY$4,AY$4&gt;=$C$1),'General Inputs'!V$9*$G39,0))+IF(AND(($E39+$C$1)&gt;AY$4,AY$4&gt;=$C$1),'General Inputs'!V$10*$J39,IF(AND(($D39+$C$1)&gt;AY$4,AY$4&gt;=$C$1),'General Inputs'!V$10*$I39,0))</f>
        <v>0</v>
      </c>
      <c r="AZ39" s="214">
        <f>IF(AND(($E39+$C$1)&gt;AZ$4,AZ$4&gt;=$C$1),'General Inputs'!W$9*$H39,IF(AND(($D39+$C$1)&gt;AZ$4,AZ$4&gt;=$C$1),'General Inputs'!W$9*$G39,0))+IF(AND(($E39+$C$1)&gt;AZ$4,AZ$4&gt;=$C$1),'General Inputs'!W$10*$J39,IF(AND(($D39+$C$1)&gt;AZ$4,AZ$4&gt;=$C$1),'General Inputs'!W$10*$I39,0))</f>
        <v>0</v>
      </c>
      <c r="BB39" s="214">
        <f>IF(AND(($E39+$C$1)&gt;BB$4,BB$4&gt;=$C$1),'General Inputs'!D$11*$H39,IF(AND(($D39+$C$1)&gt;BB$4,BB$4&gt;=$C$1),'General Inputs'!D$11*$G39,0))</f>
        <v>0</v>
      </c>
      <c r="BC39" s="214">
        <f>IF(AND(($E39+$C$1)&gt;BC$4,BC$4&gt;=$C$1),'General Inputs'!E$11*$H39,IF(AND(($D39+$C$1)&gt;BC$4,BC$4&gt;=$C$1),'General Inputs'!E$11*$G39,0))</f>
        <v>48.526003830061526</v>
      </c>
      <c r="BD39" s="214">
        <f>IF(AND(($E39+$C$1)&gt;BD$4,BD$4&gt;=$C$1),'General Inputs'!F$11*$H39,IF(AND(($D39+$C$1)&gt;BD$4,BD$4&gt;=$C$1),'General Inputs'!F$11*$G39,0))</f>
        <v>48.526003830061526</v>
      </c>
      <c r="BE39" s="214">
        <f>IF(AND(($E39+$C$1)&gt;BE$4,BE$4&gt;=$C$1),'General Inputs'!G$11*$H39,IF(AND(($D39+$C$1)&gt;BE$4,BE$4&gt;=$C$1),'General Inputs'!G$11*$G39,0))</f>
        <v>48.526003830061526</v>
      </c>
      <c r="BF39" s="214">
        <f>IF(AND(($E39+$C$1)&gt;BF$4,BF$4&gt;=$C$1),'General Inputs'!H$11*$H39,IF(AND(($D39+$C$1)&gt;BF$4,BF$4&gt;=$C$1),'General Inputs'!H$11*$G39,0))</f>
        <v>48.526003830061526</v>
      </c>
      <c r="BG39" s="214">
        <f>IF(AND(($E39+$C$1)&gt;BG$4,BG$4&gt;=$C$1),'General Inputs'!I$11*$H39,IF(AND(($D39+$C$1)&gt;BG$4,BG$4&gt;=$C$1),'General Inputs'!I$11*$G39,0))</f>
        <v>48.526003830061526</v>
      </c>
      <c r="BH39" s="214">
        <f>IF(AND(($E39+$C$1)&gt;BH$4,BH$4&gt;=$C$1),'General Inputs'!J$11*$H39,IF(AND(($D39+$C$1)&gt;BH$4,BH$4&gt;=$C$1),'General Inputs'!J$11*$G39,0))</f>
        <v>48.526003830061526</v>
      </c>
      <c r="BI39" s="214">
        <f>IF(AND(($E39+$C$1)&gt;BI$4,BI$4&gt;=$C$1),'General Inputs'!K$11*$H39,IF(AND(($D39+$C$1)&gt;BI$4,BI$4&gt;=$C$1),'General Inputs'!K$11*$G39,0))</f>
        <v>48.526003830061526</v>
      </c>
      <c r="BJ39" s="214">
        <f>IF(AND(($E39+$C$1)&gt;BJ$4,BJ$4&gt;=$C$1),'General Inputs'!L$11*$H39,IF(AND(($D39+$C$1)&gt;BJ$4,BJ$4&gt;=$C$1),'General Inputs'!L$11*$G39,0))</f>
        <v>48.526003830061526</v>
      </c>
      <c r="BK39" s="214">
        <f>IF(AND(($E39+$C$1)&gt;BK$4,BK$4&gt;=$C$1),'General Inputs'!M$11*$H39,IF(AND(($D39+$C$1)&gt;BK$4,BK$4&gt;=$C$1),'General Inputs'!M$11*$G39,0))</f>
        <v>48.526003830061526</v>
      </c>
      <c r="BL39" s="214">
        <f>IF(AND(($E39+$C$1)&gt;BL$4,BL$4&gt;=$C$1),'General Inputs'!N$11*$H39,IF(AND(($D39+$C$1)&gt;BL$4,BL$4&gt;=$C$1),'General Inputs'!N$11*$G39,0))</f>
        <v>48.526003830061526</v>
      </c>
      <c r="BM39" s="214">
        <f>IF(AND(($E39+$C$1)&gt;BM$4,BM$4&gt;=$C$1),'General Inputs'!O$11*$H39,IF(AND(($D39+$C$1)&gt;BM$4,BM$4&gt;=$C$1),'General Inputs'!O$11*$G39,0))</f>
        <v>48.526003830061526</v>
      </c>
      <c r="BN39" s="214">
        <f>IF(AND(($E39+$C$1)&gt;BN$4,BN$4&gt;=$C$1),'General Inputs'!P$11*$H39,IF(AND(($D39+$C$1)&gt;BN$4,BN$4&gt;=$C$1),'General Inputs'!P$11*$G39,0))</f>
        <v>48.526003830061526</v>
      </c>
      <c r="BO39" s="214">
        <f>IF(AND(($E39+$C$1)&gt;BO$4,BO$4&gt;=$C$1),'General Inputs'!Q$11*$H39,IF(AND(($D39+$C$1)&gt;BO$4,BO$4&gt;=$C$1),'General Inputs'!Q$11*$G39,0))</f>
        <v>48.526003830061526</v>
      </c>
      <c r="BP39" s="214">
        <f>IF(AND(($E39+$C$1)&gt;BP$4,BP$4&gt;=$C$1),'General Inputs'!R$11*$H39,IF(AND(($D39+$C$1)&gt;BP$4,BP$4&gt;=$C$1),'General Inputs'!R$11*$G39,0))</f>
        <v>48.526003830061526</v>
      </c>
      <c r="BQ39" s="214">
        <f>IF(AND(($E39+$C$1)&gt;BQ$4,BQ$4&gt;=$C$1),'General Inputs'!S$11*$H39,IF(AND(($D39+$C$1)&gt;BQ$4,BQ$4&gt;=$C$1),'General Inputs'!S$11*$G39,0))</f>
        <v>48.526003830061526</v>
      </c>
      <c r="BR39" s="214">
        <f>IF(AND(($E39+$C$1)&gt;BR$4,BR$4&gt;=$C$1),'General Inputs'!T$11*$H39,IF(AND(($D39+$C$1)&gt;BR$4,BR$4&gt;=$C$1),'General Inputs'!T$11*$G39,0))</f>
        <v>0</v>
      </c>
      <c r="BS39" s="214">
        <f>IF(AND(($E39+$C$1)&gt;BS$4,BS$4&gt;=$C$1),'General Inputs'!U$11*$H39,IF(AND(($D39+$C$1)&gt;BS$4,BS$4&gt;=$C$1),'General Inputs'!U$11*$G39,0))</f>
        <v>0</v>
      </c>
      <c r="BT39" s="214">
        <f>IF(AND(($E39+$C$1)&gt;BT$4,BT$4&gt;=$C$1),'General Inputs'!V$11*$H39,IF(AND(($D39+$C$1)&gt;BT$4,BT$4&gt;=$C$1),'General Inputs'!V$11*$G39,0))</f>
        <v>0</v>
      </c>
      <c r="BU39" s="214">
        <f>IF(AND(($E39+$C$1)&gt;BU$4,BU$4&gt;=$C$1),'General Inputs'!W$11*$H39,IF(AND(($D39+$C$1)&gt;BU$4,BU$4&gt;=$C$1),'General Inputs'!W$11*$G39,0))</f>
        <v>0</v>
      </c>
      <c r="BW39" s="214">
        <f>IF(AND(($E39+$C$1)&gt;BW$4,BW$4&gt;=$C$1),$H39,IF(AND(($D39+$C$1)&gt;BW$4,BW$4&gt;=$C$1),$G39,0))*IF($A39="Residential",'General Inputs'!D$14,'General Inputs'!D$19)</f>
        <v>0</v>
      </c>
      <c r="BX39" s="214">
        <f>IF(AND(($E39+$C$1)&gt;BX$4,BX$4&gt;=$C$1),$H39,IF(AND(($D39+$C$1)&gt;BX$4,BX$4&gt;=$C$1),$G39,0))*IF($A39="Residential",'General Inputs'!E$14,'General Inputs'!E$19)</f>
        <v>579.94455550964119</v>
      </c>
      <c r="BY39" s="214">
        <f>IF(AND(($E39+$C$1)&gt;BY$4,BY$4&gt;=$C$1),$H39,IF(AND(($D39+$C$1)&gt;BY$4,BY$4&gt;=$C$1),$G39,0))*IF($A39="Residential",'General Inputs'!F$14,'General Inputs'!F$19)</f>
        <v>588.64372384228568</v>
      </c>
      <c r="BZ39" s="214">
        <f>IF(AND(($E39+$C$1)&gt;BZ$4,BZ$4&gt;=$C$1),$H39,IF(AND(($D39+$C$1)&gt;BZ$4,BZ$4&gt;=$C$1),$G39,0))*IF($A39="Residential",'General Inputs'!G$14,'General Inputs'!G$19)</f>
        <v>597.47337969991986</v>
      </c>
      <c r="CA39" s="214">
        <f>IF(AND(($E39+$C$1)&gt;CA$4,CA$4&gt;=$C$1),$H39,IF(AND(($D39+$C$1)&gt;CA$4,CA$4&gt;=$C$1),$G39,0))*IF($A39="Residential",'General Inputs'!H$14,'General Inputs'!H$19)</f>
        <v>606.43548039541861</v>
      </c>
      <c r="CB39" s="214">
        <f>IF(AND(($E39+$C$1)&gt;CB$4,CB$4&gt;=$C$1),$H39,IF(AND(($D39+$C$1)&gt;CB$4,CB$4&gt;=$C$1),$G39,0))*IF($A39="Residential",'General Inputs'!I$14,'General Inputs'!I$19)</f>
        <v>615.53201260134983</v>
      </c>
      <c r="CC39" s="214">
        <f>IF(AND(($E39+$C$1)&gt;CC$4,CC$4&gt;=$C$1),$H39,IF(AND(($D39+$C$1)&gt;CC$4,CC$4&gt;=$C$1),$G39,0))*IF($A39="Residential",'General Inputs'!J$14,'General Inputs'!J$19)</f>
        <v>624.76499279037</v>
      </c>
      <c r="CD39" s="214">
        <f>IF(AND(($E39+$C$1)&gt;CD$4,CD$4&gt;=$C$1),$H39,IF(AND(($D39+$C$1)&gt;CD$4,CD$4&gt;=$C$1),$G39,0))*IF($A39="Residential",'General Inputs'!K$14,'General Inputs'!K$19)</f>
        <v>634.13646768222543</v>
      </c>
      <c r="CE39" s="214">
        <f>IF(AND(($E39+$C$1)&gt;CE$4,CE$4&gt;=$C$1),$H39,IF(AND(($D39+$C$1)&gt;CE$4,CE$4&gt;=$C$1),$G39,0))*IF($A39="Residential",'General Inputs'!L$14,'General Inputs'!L$19)</f>
        <v>643.64851469745872</v>
      </c>
      <c r="CF39" s="214">
        <f>IF(AND(($E39+$C$1)&gt;CF$4,CF$4&gt;=$C$1),$H39,IF(AND(($D39+$C$1)&gt;CF$4,CF$4&gt;=$C$1),$G39,0))*IF($A39="Residential",'General Inputs'!M$14,'General Inputs'!M$19)</f>
        <v>653.3032424179205</v>
      </c>
      <c r="CG39" s="214">
        <f>IF(AND(($E39+$C$1)&gt;CG$4,CG$4&gt;=$C$1),$H39,IF(AND(($D39+$C$1)&gt;CG$4,CG$4&gt;=$C$1),$G39,0))*IF($A39="Residential",'General Inputs'!N$14,'General Inputs'!N$19)</f>
        <v>663.10279105418931</v>
      </c>
      <c r="CH39" s="214">
        <f>IF(AND(($E39+$C$1)&gt;CH$4,CH$4&gt;=$C$1),$H39,IF(AND(($D39+$C$1)&gt;CH$4,CH$4&gt;=$C$1),$G39,0))*IF($A39="Residential",'General Inputs'!O$14,'General Inputs'!O$19)</f>
        <v>673.04933292000203</v>
      </c>
      <c r="CI39" s="214">
        <f>IF(AND(($E39+$C$1)&gt;CI$4,CI$4&gt;=$C$1),$H39,IF(AND(($D39+$C$1)&gt;CI$4,CI$4&gt;=$C$1),$G39,0))*IF($A39="Residential",'General Inputs'!P$14,'General Inputs'!P$19)</f>
        <v>683.14507291380198</v>
      </c>
      <c r="CJ39" s="214">
        <f>IF(AND(($E39+$C$1)&gt;CJ$4,CJ$4&gt;=$C$1),$H39,IF(AND(($D39+$C$1)&gt;CJ$4,CJ$4&gt;=$C$1),$G39,0))*IF($A39="Residential",'General Inputs'!Q$14,'General Inputs'!Q$19)</f>
        <v>693.39224900750901</v>
      </c>
      <c r="CK39" s="214">
        <f>IF(AND(($E39+$C$1)&gt;CK$4,CK$4&gt;=$C$1),$H39,IF(AND(($D39+$C$1)&gt;CK$4,CK$4&gt;=$C$1),$G39,0))*IF($A39="Residential",'General Inputs'!R$14,'General Inputs'!R$19)</f>
        <v>703.79313274262142</v>
      </c>
      <c r="CL39" s="214">
        <f>IF(AND(($E39+$C$1)&gt;CL$4,CL$4&gt;=$C$1),$H39,IF(AND(($D39+$C$1)&gt;CL$4,CL$4&gt;=$C$1),$G39,0))*IF($A39="Residential",'General Inputs'!S$14,'General Inputs'!S$19)</f>
        <v>714.35002973376083</v>
      </c>
      <c r="CM39" s="214">
        <f>IF(AND(($E39+$C$1)&gt;CM$4,CM$4&gt;=$C$1),$H39,IF(AND(($D39+$C$1)&gt;CM$4,CM$4&gt;=$C$1),$G39,0))*IF($A39="Residential",'General Inputs'!T$14,'General Inputs'!T$19)</f>
        <v>0</v>
      </c>
      <c r="CN39" s="214">
        <f>IF(AND(($E39+$C$1)&gt;CN$4,CN$4&gt;=$C$1),$H39,IF(AND(($D39+$C$1)&gt;CN$4,CN$4&gt;=$C$1),$G39,0))*IF($A39="Residential",'General Inputs'!U$14,'General Inputs'!U$19)</f>
        <v>0</v>
      </c>
      <c r="CO39" s="214">
        <f>IF(AND(($E39+$C$1)&gt;CO$4,CO$4&gt;=$C$1),$H39,IF(AND(($D39+$C$1)&gt;CO$4,CO$4&gt;=$C$1),$G39,0))*IF($A39="Residential",'General Inputs'!V$14,'General Inputs'!V$19)</f>
        <v>0</v>
      </c>
      <c r="CP39" s="214">
        <f>IF(AND(($E39+$C$1)&gt;CP$4,CP$4&gt;=$C$1),$H39,IF(AND(($D39+$C$1)&gt;CP$4,CP$4&gt;=$C$1),$G39,0))*IF($A39="Residential",'General Inputs'!W$14,'General Inputs'!W$19)</f>
        <v>0</v>
      </c>
      <c r="CR39" s="214">
        <f>IF(AND(($E39+$C$1)&gt;CR$4,CR$4&gt;=$C$1),$H39,IF(AND(($D39+$C$1)&gt;CR$4,CR$4&gt;=$C$1),$G39,0))*IF($A39="Residential",'General Inputs'!D$15,'General Inputs'!D$19)</f>
        <v>0</v>
      </c>
      <c r="CS39" s="214">
        <f>IF(AND(($E39+$C$1)&gt;CS$4,CS$4&gt;=$C$1),$H39,IF(AND(($D39+$C$1)&gt;CS$4,CS$4&gt;=$C$1),$G39,0))*IF($A39="Residential",'General Inputs'!E$15,'General Inputs'!E$19)</f>
        <v>471.78969774468527</v>
      </c>
      <c r="CT39" s="214">
        <f>IF(AND(($E39+$C$1)&gt;CT$4,CT$4&gt;=$C$1),$H39,IF(AND(($D39+$C$1)&gt;CT$4,CT$4&gt;=$C$1),$G39,0))*IF($A39="Residential",'General Inputs'!F$15,'General Inputs'!F$19)</f>
        <v>478.86654321085553</v>
      </c>
      <c r="CU39" s="214">
        <f>IF(AND(($E39+$C$1)&gt;CU$4,CU$4&gt;=$C$1),$H39,IF(AND(($D39+$C$1)&gt;CU$4,CU$4&gt;=$C$1),$G39,0))*IF($A39="Residential",'General Inputs'!G$15,'General Inputs'!G$19)</f>
        <v>486.04954135901829</v>
      </c>
      <c r="CV39" s="214">
        <f>IF(AND(($E39+$C$1)&gt;CV$4,CV$4&gt;=$C$1),$H39,IF(AND(($D39+$C$1)&gt;CV$4,CV$4&gt;=$C$1),$G39,0))*IF($A39="Residential",'General Inputs'!H$15,'General Inputs'!H$19)</f>
        <v>493.34028447940352</v>
      </c>
      <c r="CW39" s="214">
        <f>IF(AND(($E39+$C$1)&gt;CW$4,CW$4&gt;=$C$1),$H39,IF(AND(($D39+$C$1)&gt;CW$4,CW$4&gt;=$C$1),$G39,0))*IF($A39="Residential",'General Inputs'!I$15,'General Inputs'!I$19)</f>
        <v>500.74038874659453</v>
      </c>
      <c r="CX39" s="214">
        <f>IF(AND(($E39+$C$1)&gt;CX$4,CX$4&gt;=$C$1),$H39,IF(AND(($D39+$C$1)&gt;CX$4,CX$4&gt;=$C$1),$G39,0))*IF($A39="Residential",'General Inputs'!J$15,'General Inputs'!J$19)</f>
        <v>508.25149457779338</v>
      </c>
      <c r="CY39" s="214">
        <f>IF(AND(($E39+$C$1)&gt;CY$4,CY$4&gt;=$C$1),$H39,IF(AND(($D39+$C$1)&gt;CY$4,CY$4&gt;=$C$1),$G39,0))*IF($A39="Residential",'General Inputs'!K$15,'General Inputs'!K$19)</f>
        <v>515.87526699646025</v>
      </c>
      <c r="CZ39" s="214">
        <f>IF(AND(($E39+$C$1)&gt;CZ$4,CZ$4&gt;=$C$1),$H39,IF(AND(($D39+$C$1)&gt;CZ$4,CZ$4&gt;=$C$1),$G39,0))*IF($A39="Residential",'General Inputs'!L$15,'General Inputs'!L$19)</f>
        <v>523.61339600140707</v>
      </c>
      <c r="DA39" s="214">
        <f>IF(AND(($E39+$C$1)&gt;DA$4,DA$4&gt;=$C$1),$H39,IF(AND(($D39+$C$1)&gt;DA$4,DA$4&gt;=$C$1),$G39,0))*IF($A39="Residential",'General Inputs'!M$15,'General Inputs'!M$19)</f>
        <v>531.46759694142816</v>
      </c>
      <c r="DB39" s="214">
        <f>IF(AND(($E39+$C$1)&gt;DB$4,DB$4&gt;=$C$1),$H39,IF(AND(($D39+$C$1)&gt;DB$4,DB$4&gt;=$C$1),$G39,0))*IF($A39="Residential",'General Inputs'!N$15,'General Inputs'!N$19)</f>
        <v>539.43961089554944</v>
      </c>
      <c r="DC39" s="214">
        <f>IF(AND(($E39+$C$1)&gt;DC$4,DC$4&gt;=$C$1),$H39,IF(AND(($D39+$C$1)&gt;DC$4,DC$4&gt;=$C$1),$G39,0))*IF($A39="Residential",'General Inputs'!O$15,'General Inputs'!O$19)</f>
        <v>547.53120505898266</v>
      </c>
      <c r="DD39" s="214">
        <f>IF(AND(($E39+$C$1)&gt;DD$4,DD$4&gt;=$C$1),$H39,IF(AND(($D39+$C$1)&gt;DD$4,DD$4&gt;=$C$1),$G39,0))*IF($A39="Residential",'General Inputs'!P$15,'General Inputs'!P$19)</f>
        <v>555.74417313486731</v>
      </c>
      <c r="DE39" s="214">
        <f>IF(AND(($E39+$C$1)&gt;DE$4,DE$4&gt;=$C$1),$H39,IF(AND(($D39+$C$1)&gt;DE$4,DE$4&gt;=$C$1),$G39,0))*IF($A39="Residential",'General Inputs'!Q$15,'General Inputs'!Q$19)</f>
        <v>564.08033573189027</v>
      </c>
      <c r="DF39" s="214">
        <f>IF(AND(($E39+$C$1)&gt;DF$4,DF$4&gt;=$C$1),$H39,IF(AND(($D39+$C$1)&gt;DF$4,DF$4&gt;=$C$1),$G39,0))*IF($A39="Residential",'General Inputs'!R$15,'General Inputs'!R$19)</f>
        <v>572.54154076786858</v>
      </c>
      <c r="DG39" s="214">
        <f>IF(AND(($E39+$C$1)&gt;DG$4,DG$4&gt;=$C$1),$H39,IF(AND(($D39+$C$1)&gt;DG$4,DG$4&gt;=$C$1),$G39,0))*IF($A39="Residential",'General Inputs'!S$15,'General Inputs'!S$19)</f>
        <v>581.12966387938661</v>
      </c>
      <c r="DH39" s="214">
        <f>IF(AND(($E39+$C$1)&gt;DH$4,DH$4&gt;=$C$1),$H39,IF(AND(($D39+$C$1)&gt;DH$4,DH$4&gt;=$C$1),$G39,0))*IF($A39="Residential",'General Inputs'!T$15,'General Inputs'!T$19)</f>
        <v>0</v>
      </c>
      <c r="DI39" s="214">
        <f>IF(AND(($E39+$C$1)&gt;DI$4,DI$4&gt;=$C$1),$H39,IF(AND(($D39+$C$1)&gt;DI$4,DI$4&gt;=$C$1),$G39,0))*IF($A39="Residential",'General Inputs'!U$15,'General Inputs'!U$19)</f>
        <v>0</v>
      </c>
      <c r="DJ39" s="214">
        <f>IF(AND(($E39+$C$1)&gt;DJ$4,DJ$4&gt;=$C$1),$H39,IF(AND(($D39+$C$1)&gt;DJ$4,DJ$4&gt;=$C$1),$G39,0))*IF($A39="Residential",'General Inputs'!V$15,'General Inputs'!V$19)</f>
        <v>0</v>
      </c>
      <c r="DK39" s="214">
        <f>IF(AND(($E39+$C$1)&gt;DK$4,DK$4&gt;=$C$1),$H39,IF(AND(($D39+$C$1)&gt;DK$4,DK$4&gt;=$C$1),$G39,0))*IF($A39="Residential",'General Inputs'!W$15,'General Inputs'!W$19)</f>
        <v>0</v>
      </c>
      <c r="DM39" s="214">
        <f t="shared" si="78"/>
        <v>0</v>
      </c>
      <c r="DN39" s="214">
        <f t="shared" si="78"/>
        <v>0</v>
      </c>
      <c r="DO39" s="214">
        <f t="shared" si="78"/>
        <v>0</v>
      </c>
      <c r="DP39" s="214">
        <f t="shared" si="78"/>
        <v>0</v>
      </c>
      <c r="DQ39" s="214">
        <f t="shared" si="78"/>
        <v>0</v>
      </c>
      <c r="DR39" s="214">
        <f t="shared" si="78"/>
        <v>0</v>
      </c>
      <c r="DS39" s="214">
        <f t="shared" si="78"/>
        <v>0</v>
      </c>
      <c r="DT39" s="214">
        <f t="shared" si="78"/>
        <v>0</v>
      </c>
      <c r="DU39" s="214">
        <f t="shared" si="78"/>
        <v>0</v>
      </c>
      <c r="DV39" s="214">
        <f t="shared" si="78"/>
        <v>0</v>
      </c>
      <c r="DW39" s="214">
        <f t="shared" si="78"/>
        <v>0</v>
      </c>
      <c r="DZ39" s="650"/>
      <c r="FI39" s="195"/>
      <c r="FJ39" s="195"/>
      <c r="FK39" s="195"/>
      <c r="FL39" s="195"/>
      <c r="FM39" s="195"/>
      <c r="FN39" s="195"/>
      <c r="FO39" s="195"/>
    </row>
    <row r="40" spans="1:171">
      <c r="A40" s="342" t="s">
        <v>12</v>
      </c>
      <c r="B40" s="427" t="str">
        <f>'Portfolio Inputs'!A39</f>
        <v>Water Heater Temperature Setback</v>
      </c>
      <c r="C40" s="217">
        <f>IF($C$1=2014,'Portfolio Inputs'!$C39,IF($C$1=2015,'Portfolio Inputs'!$D39,'Portfolio Inputs'!$E39))</f>
        <v>30</v>
      </c>
      <c r="D40" s="504">
        <f>VLOOKUP(B40,Sources!$B$4:$J$104,2,FALSE)</f>
        <v>2</v>
      </c>
      <c r="E40" s="504">
        <f>VLOOKUP(B40,Sources!$B$4:$J$104,3,FALSE)</f>
        <v>0</v>
      </c>
      <c r="G40" s="504">
        <f>IF($C$1=2014,'Portfolio Inputs'!$G39,IF($C$1=2015,'Portfolio Inputs'!$H39,'Portfolio Inputs'!$I39))*EnergyLineLoss</f>
        <v>2713.8239999999996</v>
      </c>
      <c r="H40" s="504"/>
      <c r="I40" s="595">
        <f>IF($C$1=2014,'Portfolio Inputs'!$K39,IF($C$1=2015,'Portfolio Inputs'!$L39,'Portfolio Inputs'!$M39))*PeakLineLoss</f>
        <v>0.30958521560574948</v>
      </c>
      <c r="J40" s="510"/>
      <c r="L40" s="606">
        <f>IF($C$1=2014,'Portfolio Inputs'!$O39,IF($C$1=2015,'Portfolio Inputs'!$P39,'Portfolio Inputs'!$Q39))</f>
        <v>0</v>
      </c>
      <c r="M40" s="518">
        <f>VLOOKUP($B40,Sources!$B$4:$K$104,10,FALSE)</f>
        <v>0</v>
      </c>
      <c r="N40" s="419">
        <f>IF($C$1=2014,'Portfolio Inputs'!$W39,IF($C$1=2015,'Portfolio Inputs'!$X39,'Portfolio Inputs'!$Y39))</f>
        <v>0</v>
      </c>
      <c r="O40" s="419"/>
      <c r="Q40" s="438" t="str">
        <f t="shared" si="67"/>
        <v>n/a</v>
      </c>
      <c r="R40" s="439" t="str">
        <f t="shared" si="68"/>
        <v>n/a</v>
      </c>
      <c r="S40" s="439" t="str">
        <f t="shared" si="69"/>
        <v>n/a</v>
      </c>
      <c r="T40" s="439" t="str">
        <f t="shared" si="70"/>
        <v>n/a</v>
      </c>
      <c r="U40" s="439" t="str">
        <f t="shared" si="77"/>
        <v>n/a</v>
      </c>
      <c r="V40" s="439">
        <f t="shared" si="72"/>
        <v>0.30932245599847835</v>
      </c>
      <c r="W40" s="439">
        <f t="shared" si="73"/>
        <v>0.38023270773128909</v>
      </c>
      <c r="Y40" s="215">
        <f t="shared" si="4"/>
        <v>203.07419057081461</v>
      </c>
      <c r="Z40" s="215">
        <f t="shared" si="5"/>
        <v>54.541006548357799</v>
      </c>
      <c r="AA40" s="215">
        <f t="shared" si="6"/>
        <v>656.51292569529312</v>
      </c>
      <c r="AB40" s="215">
        <f t="shared" si="7"/>
        <v>534.0787008631761</v>
      </c>
      <c r="AC40" s="216">
        <f t="shared" si="20"/>
        <v>0</v>
      </c>
      <c r="AD40" s="216">
        <f t="shared" si="21"/>
        <v>0</v>
      </c>
      <c r="AE40" s="215">
        <f t="shared" si="8"/>
        <v>0</v>
      </c>
      <c r="AG40" s="214">
        <f>IF(AND(($E40+$C$1)&gt;AG$4,AG$4&gt;=$C$1),'General Inputs'!D$9*$H40,IF(AND(($D40+$C$1)&gt;AG$4,AG$4&gt;=$C$1),'General Inputs'!D$9*$G40,0))+IF(AND(($E40+$C$1)&gt;AG$4,AG$4&gt;=$C$1),'General Inputs'!D$10*$J40,IF(AND(($D40+$C$1)&gt;AG$4,AG$4&gt;=$C$1),'General Inputs'!D$10*$I40,0))</f>
        <v>0</v>
      </c>
      <c r="AH40" s="214">
        <f>IF(AND(($E40+$C$1)&gt;AH$4,AH$4&gt;=$C$1),'General Inputs'!E$9*$H40,IF(AND(($D40+$C$1)&gt;AH$4,AH$4&gt;=$C$1),'General Inputs'!E$9*$G40,0))+IF(AND(($E40+$C$1)&gt;AH$4,AH$4&gt;=$C$1),'General Inputs'!E$10*$J40,IF(AND(($D40+$C$1)&gt;AH$4,AH$4&gt;=$C$1),'General Inputs'!E$10*$I40,0))</f>
        <v>114.36942232119507</v>
      </c>
      <c r="AI40" s="214">
        <f>IF(AND(($E40+$C$1)&gt;AI$4,AI$4&gt;=$C$1),'General Inputs'!F$9*$H40,IF(AND(($D40+$C$1)&gt;AI$4,AI$4&gt;=$C$1),'General Inputs'!F$9*$G40,0))+IF(AND(($E40+$C$1)&gt;AI$4,AI$4&gt;=$C$1),'General Inputs'!F$10*$J40,IF(AND(($D40+$C$1)&gt;AI$4,AI$4&gt;=$C$1),'General Inputs'!F$10*$I40,0))</f>
        <v>116.08496365601297</v>
      </c>
      <c r="AJ40" s="214">
        <f>IF(AND(($E40+$C$1)&gt;AJ$4,AJ$4&gt;=$C$1),'General Inputs'!G$9*$H40,IF(AND(($D40+$C$1)&gt;AJ$4,AJ$4&gt;=$C$1),'General Inputs'!G$9*$G40,0))+IF(AND(($E40+$C$1)&gt;AJ$4,AJ$4&gt;=$C$1),'General Inputs'!G$10*$J40,IF(AND(($D40+$C$1)&gt;AJ$4,AJ$4&gt;=$C$1),'General Inputs'!G$10*$I40,0))</f>
        <v>0</v>
      </c>
      <c r="AK40" s="214">
        <f>IF(AND(($E40+$C$1)&gt;AK$4,AK$4&gt;=$C$1),'General Inputs'!H$9*$H40,IF(AND(($D40+$C$1)&gt;AK$4,AK$4&gt;=$C$1),'General Inputs'!H$9*$G40,0))+IF(AND(($E40+$C$1)&gt;AK$4,AK$4&gt;=$C$1),'General Inputs'!H$10*$J40,IF(AND(($D40+$C$1)&gt;AK$4,AK$4&gt;=$C$1),'General Inputs'!H$10*$I40,0))</f>
        <v>0</v>
      </c>
      <c r="AL40" s="214">
        <f>IF(AND(($E40+$C$1)&gt;AL$4,AL$4&gt;=$C$1),'General Inputs'!I$9*$H40,IF(AND(($D40+$C$1)&gt;AL$4,AL$4&gt;=$C$1),'General Inputs'!I$9*$G40,0))+IF(AND(($E40+$C$1)&gt;AL$4,AL$4&gt;=$C$1),'General Inputs'!I$10*$J40,IF(AND(($D40+$C$1)&gt;AL$4,AL$4&gt;=$C$1),'General Inputs'!I$10*$I40,0))</f>
        <v>0</v>
      </c>
      <c r="AM40" s="214">
        <f>IF(AND(($E40+$C$1)&gt;AM$4,AM$4&gt;=$C$1),'General Inputs'!J$9*$H40,IF(AND(($D40+$C$1)&gt;AM$4,AM$4&gt;=$C$1),'General Inputs'!J$9*$G40,0))+IF(AND(($E40+$C$1)&gt;AM$4,AM$4&gt;=$C$1),'General Inputs'!J$10*$J40,IF(AND(($D40+$C$1)&gt;AM$4,AM$4&gt;=$C$1),'General Inputs'!J$10*$I40,0))</f>
        <v>0</v>
      </c>
      <c r="AN40" s="214">
        <f>IF(AND(($E40+$C$1)&gt;AN$4,AN$4&gt;=$C$1),'General Inputs'!K$9*$H40,IF(AND(($D40+$C$1)&gt;AN$4,AN$4&gt;=$C$1),'General Inputs'!K$9*$G40,0))+IF(AND(($E40+$C$1)&gt;AN$4,AN$4&gt;=$C$1),'General Inputs'!K$10*$J40,IF(AND(($D40+$C$1)&gt;AN$4,AN$4&gt;=$C$1),'General Inputs'!K$10*$I40,0))</f>
        <v>0</v>
      </c>
      <c r="AO40" s="214">
        <f>IF(AND(($E40+$C$1)&gt;AO$4,AO$4&gt;=$C$1),'General Inputs'!L$9*$H40,IF(AND(($D40+$C$1)&gt;AO$4,AO$4&gt;=$C$1),'General Inputs'!L$9*$G40,0))+IF(AND(($E40+$C$1)&gt;AO$4,AO$4&gt;=$C$1),'General Inputs'!L$10*$J40,IF(AND(($D40+$C$1)&gt;AO$4,AO$4&gt;=$C$1),'General Inputs'!L$10*$I40,0))</f>
        <v>0</v>
      </c>
      <c r="AP40" s="214">
        <f>IF(AND(($E40+$C$1)&gt;AP$4,AP$4&gt;=$C$1),'General Inputs'!M$9*$H40,IF(AND(($D40+$C$1)&gt;AP$4,AP$4&gt;=$C$1),'General Inputs'!M$9*$G40,0))+IF(AND(($E40+$C$1)&gt;AP$4,AP$4&gt;=$C$1),'General Inputs'!M$10*$J40,IF(AND(($D40+$C$1)&gt;AP$4,AP$4&gt;=$C$1),'General Inputs'!M$10*$I40,0))</f>
        <v>0</v>
      </c>
      <c r="AQ40" s="214">
        <f>IF(AND(($E40+$C$1)&gt;AQ$4,AQ$4&gt;=$C$1),'General Inputs'!N$9*$H40,IF(AND(($D40+$C$1)&gt;AQ$4,AQ$4&gt;=$C$1),'General Inputs'!N$9*$G40,0))+IF(AND(($E40+$C$1)&gt;AQ$4,AQ$4&gt;=$C$1),'General Inputs'!N$10*$J40,IF(AND(($D40+$C$1)&gt;AQ$4,AQ$4&gt;=$C$1),'General Inputs'!N$10*$I40,0))</f>
        <v>0</v>
      </c>
      <c r="AR40" s="214">
        <f>IF(AND(($E40+$C$1)&gt;AR$4,AR$4&gt;=$C$1),'General Inputs'!O$9*$H40,IF(AND(($D40+$C$1)&gt;AR$4,AR$4&gt;=$C$1),'General Inputs'!O$9*$G40,0))+IF(AND(($E40+$C$1)&gt;AR$4,AR$4&gt;=$C$1),'General Inputs'!O$10*$J40,IF(AND(($D40+$C$1)&gt;AR$4,AR$4&gt;=$C$1),'General Inputs'!O$10*$I40,0))</f>
        <v>0</v>
      </c>
      <c r="AS40" s="214">
        <f>IF(AND(($E40+$C$1)&gt;AS$4,AS$4&gt;=$C$1),'General Inputs'!P$9*$H40,IF(AND(($D40+$C$1)&gt;AS$4,AS$4&gt;=$C$1),'General Inputs'!P$9*$G40,0))+IF(AND(($E40+$C$1)&gt;AS$4,AS$4&gt;=$C$1),'General Inputs'!P$10*$J40,IF(AND(($D40+$C$1)&gt;AS$4,AS$4&gt;=$C$1),'General Inputs'!P$10*$I40,0))</f>
        <v>0</v>
      </c>
      <c r="AT40" s="214">
        <f>IF(AND(($E40+$C$1)&gt;AT$4,AT$4&gt;=$C$1),'General Inputs'!Q$9*$H40,IF(AND(($D40+$C$1)&gt;AT$4,AT$4&gt;=$C$1),'General Inputs'!Q$9*$G40,0))+IF(AND(($E40+$C$1)&gt;AT$4,AT$4&gt;=$C$1),'General Inputs'!Q$10*$J40,IF(AND(($D40+$C$1)&gt;AT$4,AT$4&gt;=$C$1),'General Inputs'!Q$10*$I40,0))</f>
        <v>0</v>
      </c>
      <c r="AU40" s="214">
        <f>IF(AND(($E40+$C$1)&gt;AU$4,AU$4&gt;=$C$1),'General Inputs'!R$9*$H40,IF(AND(($D40+$C$1)&gt;AU$4,AU$4&gt;=$C$1),'General Inputs'!R$9*$G40,0))+IF(AND(($E40+$C$1)&gt;AU$4,AU$4&gt;=$C$1),'General Inputs'!R$10*$J40,IF(AND(($D40+$C$1)&gt;AU$4,AU$4&gt;=$C$1),'General Inputs'!R$10*$I40,0))</f>
        <v>0</v>
      </c>
      <c r="AV40" s="214">
        <f>IF(AND(($E40+$C$1)&gt;AV$4,AV$4&gt;=$C$1),'General Inputs'!S$9*$H40,IF(AND(($D40+$C$1)&gt;AV$4,AV$4&gt;=$C$1),'General Inputs'!S$9*$G40,0))+IF(AND(($E40+$C$1)&gt;AV$4,AV$4&gt;=$C$1),'General Inputs'!S$10*$J40,IF(AND(($D40+$C$1)&gt;AV$4,AV$4&gt;=$C$1),'General Inputs'!S$10*$I40,0))</f>
        <v>0</v>
      </c>
      <c r="AW40" s="214">
        <f>IF(AND(($E40+$C$1)&gt;AW$4,AW$4&gt;=$C$1),'General Inputs'!T$9*$H40,IF(AND(($D40+$C$1)&gt;AW$4,AW$4&gt;=$C$1),'General Inputs'!T$9*$G40,0))+IF(AND(($E40+$C$1)&gt;AW$4,AW$4&gt;=$C$1),'General Inputs'!T$10*$J40,IF(AND(($D40+$C$1)&gt;AW$4,AW$4&gt;=$C$1),'General Inputs'!T$10*$I40,0))</f>
        <v>0</v>
      </c>
      <c r="AX40" s="214">
        <f>IF(AND(($E40+$C$1)&gt;AX$4,AX$4&gt;=$C$1),'General Inputs'!U$9*$H40,IF(AND(($D40+$C$1)&gt;AX$4,AX$4&gt;=$C$1),'General Inputs'!U$9*$G40,0))+IF(AND(($E40+$C$1)&gt;AX$4,AX$4&gt;=$C$1),'General Inputs'!U$10*$J40,IF(AND(($D40+$C$1)&gt;AX$4,AX$4&gt;=$C$1),'General Inputs'!U$10*$I40,0))</f>
        <v>0</v>
      </c>
      <c r="AY40" s="214">
        <f>IF(AND(($E40+$C$1)&gt;AY$4,AY$4&gt;=$C$1),'General Inputs'!V$9*$H40,IF(AND(($D40+$C$1)&gt;AY$4,AY$4&gt;=$C$1),'General Inputs'!V$9*$G40,0))+IF(AND(($E40+$C$1)&gt;AY$4,AY$4&gt;=$C$1),'General Inputs'!V$10*$J40,IF(AND(($D40+$C$1)&gt;AY$4,AY$4&gt;=$C$1),'General Inputs'!V$10*$I40,0))</f>
        <v>0</v>
      </c>
      <c r="AZ40" s="214">
        <f>IF(AND(($E40+$C$1)&gt;AZ$4,AZ$4&gt;=$C$1),'General Inputs'!W$9*$H40,IF(AND(($D40+$C$1)&gt;AZ$4,AZ$4&gt;=$C$1),'General Inputs'!W$9*$G40,0))+IF(AND(($E40+$C$1)&gt;AZ$4,AZ$4&gt;=$C$1),'General Inputs'!W$10*$J40,IF(AND(($D40+$C$1)&gt;AZ$4,AZ$4&gt;=$C$1),'General Inputs'!W$10*$I40,0))</f>
        <v>0</v>
      </c>
      <c r="BB40" s="214">
        <f>IF(AND(($E40+$C$1)&gt;BB$4,BB$4&gt;=$C$1),'General Inputs'!D$11*$H40,IF(AND(($D40+$C$1)&gt;BB$4,BB$4&gt;=$C$1),'General Inputs'!D$11*$G40,0))</f>
        <v>0</v>
      </c>
      <c r="BC40" s="214">
        <f>IF(AND(($E40+$C$1)&gt;BC$4,BC$4&gt;=$C$1),'General Inputs'!E$11*$H40,IF(AND(($D40+$C$1)&gt;BC$4,BC$4&gt;=$C$1),'General Inputs'!E$11*$G40,0))</f>
        <v>30.937593599999996</v>
      </c>
      <c r="BD40" s="214">
        <f>IF(AND(($E40+$C$1)&gt;BD$4,BD$4&gt;=$C$1),'General Inputs'!F$11*$H40,IF(AND(($D40+$C$1)&gt;BD$4,BD$4&gt;=$C$1),'General Inputs'!F$11*$G40,0))</f>
        <v>30.937593599999996</v>
      </c>
      <c r="BE40" s="214">
        <f>IF(AND(($E40+$C$1)&gt;BE$4,BE$4&gt;=$C$1),'General Inputs'!G$11*$H40,IF(AND(($D40+$C$1)&gt;BE$4,BE$4&gt;=$C$1),'General Inputs'!G$11*$G40,0))</f>
        <v>0</v>
      </c>
      <c r="BF40" s="214">
        <f>IF(AND(($E40+$C$1)&gt;BF$4,BF$4&gt;=$C$1),'General Inputs'!H$11*$H40,IF(AND(($D40+$C$1)&gt;BF$4,BF$4&gt;=$C$1),'General Inputs'!H$11*$G40,0))</f>
        <v>0</v>
      </c>
      <c r="BG40" s="214">
        <f>IF(AND(($E40+$C$1)&gt;BG$4,BG$4&gt;=$C$1),'General Inputs'!I$11*$H40,IF(AND(($D40+$C$1)&gt;BG$4,BG$4&gt;=$C$1),'General Inputs'!I$11*$G40,0))</f>
        <v>0</v>
      </c>
      <c r="BH40" s="214">
        <f>IF(AND(($E40+$C$1)&gt;BH$4,BH$4&gt;=$C$1),'General Inputs'!J$11*$H40,IF(AND(($D40+$C$1)&gt;BH$4,BH$4&gt;=$C$1),'General Inputs'!J$11*$G40,0))</f>
        <v>0</v>
      </c>
      <c r="BI40" s="214">
        <f>IF(AND(($E40+$C$1)&gt;BI$4,BI$4&gt;=$C$1),'General Inputs'!K$11*$H40,IF(AND(($D40+$C$1)&gt;BI$4,BI$4&gt;=$C$1),'General Inputs'!K$11*$G40,0))</f>
        <v>0</v>
      </c>
      <c r="BJ40" s="214">
        <f>IF(AND(($E40+$C$1)&gt;BJ$4,BJ$4&gt;=$C$1),'General Inputs'!L$11*$H40,IF(AND(($D40+$C$1)&gt;BJ$4,BJ$4&gt;=$C$1),'General Inputs'!L$11*$G40,0))</f>
        <v>0</v>
      </c>
      <c r="BK40" s="214">
        <f>IF(AND(($E40+$C$1)&gt;BK$4,BK$4&gt;=$C$1),'General Inputs'!M$11*$H40,IF(AND(($D40+$C$1)&gt;BK$4,BK$4&gt;=$C$1),'General Inputs'!M$11*$G40,0))</f>
        <v>0</v>
      </c>
      <c r="BL40" s="214">
        <f>IF(AND(($E40+$C$1)&gt;BL$4,BL$4&gt;=$C$1),'General Inputs'!N$11*$H40,IF(AND(($D40+$C$1)&gt;BL$4,BL$4&gt;=$C$1),'General Inputs'!N$11*$G40,0))</f>
        <v>0</v>
      </c>
      <c r="BM40" s="214">
        <f>IF(AND(($E40+$C$1)&gt;BM$4,BM$4&gt;=$C$1),'General Inputs'!O$11*$H40,IF(AND(($D40+$C$1)&gt;BM$4,BM$4&gt;=$C$1),'General Inputs'!O$11*$G40,0))</f>
        <v>0</v>
      </c>
      <c r="BN40" s="214">
        <f>IF(AND(($E40+$C$1)&gt;BN$4,BN$4&gt;=$C$1),'General Inputs'!P$11*$H40,IF(AND(($D40+$C$1)&gt;BN$4,BN$4&gt;=$C$1),'General Inputs'!P$11*$G40,0))</f>
        <v>0</v>
      </c>
      <c r="BO40" s="214">
        <f>IF(AND(($E40+$C$1)&gt;BO$4,BO$4&gt;=$C$1),'General Inputs'!Q$11*$H40,IF(AND(($D40+$C$1)&gt;BO$4,BO$4&gt;=$C$1),'General Inputs'!Q$11*$G40,0))</f>
        <v>0</v>
      </c>
      <c r="BP40" s="214">
        <f>IF(AND(($E40+$C$1)&gt;BP$4,BP$4&gt;=$C$1),'General Inputs'!R$11*$H40,IF(AND(($D40+$C$1)&gt;BP$4,BP$4&gt;=$C$1),'General Inputs'!R$11*$G40,0))</f>
        <v>0</v>
      </c>
      <c r="BQ40" s="214">
        <f>IF(AND(($E40+$C$1)&gt;BQ$4,BQ$4&gt;=$C$1),'General Inputs'!S$11*$H40,IF(AND(($D40+$C$1)&gt;BQ$4,BQ$4&gt;=$C$1),'General Inputs'!S$11*$G40,0))</f>
        <v>0</v>
      </c>
      <c r="BR40" s="214">
        <f>IF(AND(($E40+$C$1)&gt;BR$4,BR$4&gt;=$C$1),'General Inputs'!T$11*$H40,IF(AND(($D40+$C$1)&gt;BR$4,BR$4&gt;=$C$1),'General Inputs'!T$11*$G40,0))</f>
        <v>0</v>
      </c>
      <c r="BS40" s="214">
        <f>IF(AND(($E40+$C$1)&gt;BS$4,BS$4&gt;=$C$1),'General Inputs'!U$11*$H40,IF(AND(($D40+$C$1)&gt;BS$4,BS$4&gt;=$C$1),'General Inputs'!U$11*$G40,0))</f>
        <v>0</v>
      </c>
      <c r="BT40" s="214">
        <f>IF(AND(($E40+$C$1)&gt;BT$4,BT$4&gt;=$C$1),'General Inputs'!V$11*$H40,IF(AND(($D40+$C$1)&gt;BT$4,BT$4&gt;=$C$1),'General Inputs'!V$11*$G40,0))</f>
        <v>0</v>
      </c>
      <c r="BU40" s="214">
        <f>IF(AND(($E40+$C$1)&gt;BU$4,BU$4&gt;=$C$1),'General Inputs'!W$11*$H40,IF(AND(($D40+$C$1)&gt;BU$4,BU$4&gt;=$C$1),'General Inputs'!W$11*$G40,0))</f>
        <v>0</v>
      </c>
      <c r="BW40" s="214">
        <f>IF(AND(($E40+$C$1)&gt;BW$4,BW$4&gt;=$C$1),$H40,IF(AND(($D40+$C$1)&gt;BW$4,BW$4&gt;=$C$1),$G40,0))*IF($A40="Residential",'General Inputs'!D$14,'General Inputs'!D$19)</f>
        <v>0</v>
      </c>
      <c r="BX40" s="214">
        <f>IF(AND(($E40+$C$1)&gt;BX$4,BX$4&gt;=$C$1),$H40,IF(AND(($D40+$C$1)&gt;BX$4,BX$4&gt;=$C$1),$G40,0))*IF($A40="Residential",'General Inputs'!E$14,'General Inputs'!E$19)</f>
        <v>369.7417374759163</v>
      </c>
      <c r="BY40" s="214">
        <f>IF(AND(($E40+$C$1)&gt;BY$4,BY$4&gt;=$C$1),$H40,IF(AND(($D40+$C$1)&gt;BY$4,BY$4&gt;=$C$1),$G40,0))*IF($A40="Residential",'General Inputs'!F$14,'General Inputs'!F$19)</f>
        <v>375.28786353805498</v>
      </c>
      <c r="BZ40" s="214">
        <f>IF(AND(($E40+$C$1)&gt;BZ$4,BZ$4&gt;=$C$1),$H40,IF(AND(($D40+$C$1)&gt;BZ$4,BZ$4&gt;=$C$1),$G40,0))*IF($A40="Residential",'General Inputs'!G$14,'General Inputs'!G$19)</f>
        <v>0</v>
      </c>
      <c r="CA40" s="214">
        <f>IF(AND(($E40+$C$1)&gt;CA$4,CA$4&gt;=$C$1),$H40,IF(AND(($D40+$C$1)&gt;CA$4,CA$4&gt;=$C$1),$G40,0))*IF($A40="Residential",'General Inputs'!H$14,'General Inputs'!H$19)</f>
        <v>0</v>
      </c>
      <c r="CB40" s="214">
        <f>IF(AND(($E40+$C$1)&gt;CB$4,CB$4&gt;=$C$1),$H40,IF(AND(($D40+$C$1)&gt;CB$4,CB$4&gt;=$C$1),$G40,0))*IF($A40="Residential",'General Inputs'!I$14,'General Inputs'!I$19)</f>
        <v>0</v>
      </c>
      <c r="CC40" s="214">
        <f>IF(AND(($E40+$C$1)&gt;CC$4,CC$4&gt;=$C$1),$H40,IF(AND(($D40+$C$1)&gt;CC$4,CC$4&gt;=$C$1),$G40,0))*IF($A40="Residential",'General Inputs'!J$14,'General Inputs'!J$19)</f>
        <v>0</v>
      </c>
      <c r="CD40" s="214">
        <f>IF(AND(($E40+$C$1)&gt;CD$4,CD$4&gt;=$C$1),$H40,IF(AND(($D40+$C$1)&gt;CD$4,CD$4&gt;=$C$1),$G40,0))*IF($A40="Residential",'General Inputs'!K$14,'General Inputs'!K$19)</f>
        <v>0</v>
      </c>
      <c r="CE40" s="214">
        <f>IF(AND(($E40+$C$1)&gt;CE$4,CE$4&gt;=$C$1),$H40,IF(AND(($D40+$C$1)&gt;CE$4,CE$4&gt;=$C$1),$G40,0))*IF($A40="Residential",'General Inputs'!L$14,'General Inputs'!L$19)</f>
        <v>0</v>
      </c>
      <c r="CF40" s="214">
        <f>IF(AND(($E40+$C$1)&gt;CF$4,CF$4&gt;=$C$1),$H40,IF(AND(($D40+$C$1)&gt;CF$4,CF$4&gt;=$C$1),$G40,0))*IF($A40="Residential",'General Inputs'!M$14,'General Inputs'!M$19)</f>
        <v>0</v>
      </c>
      <c r="CG40" s="214">
        <f>IF(AND(($E40+$C$1)&gt;CG$4,CG$4&gt;=$C$1),$H40,IF(AND(($D40+$C$1)&gt;CG$4,CG$4&gt;=$C$1),$G40,0))*IF($A40="Residential",'General Inputs'!N$14,'General Inputs'!N$19)</f>
        <v>0</v>
      </c>
      <c r="CH40" s="214">
        <f>IF(AND(($E40+$C$1)&gt;CH$4,CH$4&gt;=$C$1),$H40,IF(AND(($D40+$C$1)&gt;CH$4,CH$4&gt;=$C$1),$G40,0))*IF($A40="Residential",'General Inputs'!O$14,'General Inputs'!O$19)</f>
        <v>0</v>
      </c>
      <c r="CI40" s="214">
        <f>IF(AND(($E40+$C$1)&gt;CI$4,CI$4&gt;=$C$1),$H40,IF(AND(($D40+$C$1)&gt;CI$4,CI$4&gt;=$C$1),$G40,0))*IF($A40="Residential",'General Inputs'!P$14,'General Inputs'!P$19)</f>
        <v>0</v>
      </c>
      <c r="CJ40" s="214">
        <f>IF(AND(($E40+$C$1)&gt;CJ$4,CJ$4&gt;=$C$1),$H40,IF(AND(($D40+$C$1)&gt;CJ$4,CJ$4&gt;=$C$1),$G40,0))*IF($A40="Residential",'General Inputs'!Q$14,'General Inputs'!Q$19)</f>
        <v>0</v>
      </c>
      <c r="CK40" s="214">
        <f>IF(AND(($E40+$C$1)&gt;CK$4,CK$4&gt;=$C$1),$H40,IF(AND(($D40+$C$1)&gt;CK$4,CK$4&gt;=$C$1),$G40,0))*IF($A40="Residential",'General Inputs'!R$14,'General Inputs'!R$19)</f>
        <v>0</v>
      </c>
      <c r="CL40" s="214">
        <f>IF(AND(($E40+$C$1)&gt;CL$4,CL$4&gt;=$C$1),$H40,IF(AND(($D40+$C$1)&gt;CL$4,CL$4&gt;=$C$1),$G40,0))*IF($A40="Residential",'General Inputs'!S$14,'General Inputs'!S$19)</f>
        <v>0</v>
      </c>
      <c r="CM40" s="214">
        <f>IF(AND(($E40+$C$1)&gt;CM$4,CM$4&gt;=$C$1),$H40,IF(AND(($D40+$C$1)&gt;CM$4,CM$4&gt;=$C$1),$G40,0))*IF($A40="Residential",'General Inputs'!T$14,'General Inputs'!T$19)</f>
        <v>0</v>
      </c>
      <c r="CN40" s="214">
        <f>IF(AND(($E40+$C$1)&gt;CN$4,CN$4&gt;=$C$1),$H40,IF(AND(($D40+$C$1)&gt;CN$4,CN$4&gt;=$C$1),$G40,0))*IF($A40="Residential",'General Inputs'!U$14,'General Inputs'!U$19)</f>
        <v>0</v>
      </c>
      <c r="CO40" s="214">
        <f>IF(AND(($E40+$C$1)&gt;CO$4,CO$4&gt;=$C$1),$H40,IF(AND(($D40+$C$1)&gt;CO$4,CO$4&gt;=$C$1),$G40,0))*IF($A40="Residential",'General Inputs'!V$14,'General Inputs'!V$19)</f>
        <v>0</v>
      </c>
      <c r="CP40" s="214">
        <f>IF(AND(($E40+$C$1)&gt;CP$4,CP$4&gt;=$C$1),$H40,IF(AND(($D40+$C$1)&gt;CP$4,CP$4&gt;=$C$1),$G40,0))*IF($A40="Residential",'General Inputs'!W$14,'General Inputs'!W$19)</f>
        <v>0</v>
      </c>
      <c r="CR40" s="214">
        <f>IF(AND(($E40+$C$1)&gt;CR$4,CR$4&gt;=$C$1),$H40,IF(AND(($D40+$C$1)&gt;CR$4,CR$4&gt;=$C$1),$G40,0))*IF($A40="Residential",'General Inputs'!D$15,'General Inputs'!D$19)</f>
        <v>0</v>
      </c>
      <c r="CS40" s="214">
        <f>IF(AND(($E40+$C$1)&gt;CS$4,CS$4&gt;=$C$1),$H40,IF(AND(($D40+$C$1)&gt;CS$4,CS$4&gt;=$C$1),$G40,0))*IF($A40="Residential",'General Inputs'!E$15,'General Inputs'!E$19)</f>
        <v>300.78796483236812</v>
      </c>
      <c r="CT40" s="214">
        <f>IF(AND(($E40+$C$1)&gt;CT$4,CT$4&gt;=$C$1),$H40,IF(AND(($D40+$C$1)&gt;CT$4,CT$4&gt;=$C$1),$G40,0))*IF($A40="Residential",'General Inputs'!F$15,'General Inputs'!F$19)</f>
        <v>305.29978430485363</v>
      </c>
      <c r="CU40" s="214">
        <f>IF(AND(($E40+$C$1)&gt;CU$4,CU$4&gt;=$C$1),$H40,IF(AND(($D40+$C$1)&gt;CU$4,CU$4&gt;=$C$1),$G40,0))*IF($A40="Residential",'General Inputs'!G$15,'General Inputs'!G$19)</f>
        <v>0</v>
      </c>
      <c r="CV40" s="214">
        <f>IF(AND(($E40+$C$1)&gt;CV$4,CV$4&gt;=$C$1),$H40,IF(AND(($D40+$C$1)&gt;CV$4,CV$4&gt;=$C$1),$G40,0))*IF($A40="Residential",'General Inputs'!H$15,'General Inputs'!H$19)</f>
        <v>0</v>
      </c>
      <c r="CW40" s="214">
        <f>IF(AND(($E40+$C$1)&gt;CW$4,CW$4&gt;=$C$1),$H40,IF(AND(($D40+$C$1)&gt;CW$4,CW$4&gt;=$C$1),$G40,0))*IF($A40="Residential",'General Inputs'!I$15,'General Inputs'!I$19)</f>
        <v>0</v>
      </c>
      <c r="CX40" s="214">
        <f>IF(AND(($E40+$C$1)&gt;CX$4,CX$4&gt;=$C$1),$H40,IF(AND(($D40+$C$1)&gt;CX$4,CX$4&gt;=$C$1),$G40,0))*IF($A40="Residential",'General Inputs'!J$15,'General Inputs'!J$19)</f>
        <v>0</v>
      </c>
      <c r="CY40" s="214">
        <f>IF(AND(($E40+$C$1)&gt;CY$4,CY$4&gt;=$C$1),$H40,IF(AND(($D40+$C$1)&gt;CY$4,CY$4&gt;=$C$1),$G40,0))*IF($A40="Residential",'General Inputs'!K$15,'General Inputs'!K$19)</f>
        <v>0</v>
      </c>
      <c r="CZ40" s="214">
        <f>IF(AND(($E40+$C$1)&gt;CZ$4,CZ$4&gt;=$C$1),$H40,IF(AND(($D40+$C$1)&gt;CZ$4,CZ$4&gt;=$C$1),$G40,0))*IF($A40="Residential",'General Inputs'!L$15,'General Inputs'!L$19)</f>
        <v>0</v>
      </c>
      <c r="DA40" s="214">
        <f>IF(AND(($E40+$C$1)&gt;DA$4,DA$4&gt;=$C$1),$H40,IF(AND(($D40+$C$1)&gt;DA$4,DA$4&gt;=$C$1),$G40,0))*IF($A40="Residential",'General Inputs'!M$15,'General Inputs'!M$19)</f>
        <v>0</v>
      </c>
      <c r="DB40" s="214">
        <f>IF(AND(($E40+$C$1)&gt;DB$4,DB$4&gt;=$C$1),$H40,IF(AND(($D40+$C$1)&gt;DB$4,DB$4&gt;=$C$1),$G40,0))*IF($A40="Residential",'General Inputs'!N$15,'General Inputs'!N$19)</f>
        <v>0</v>
      </c>
      <c r="DC40" s="214">
        <f>IF(AND(($E40+$C$1)&gt;DC$4,DC$4&gt;=$C$1),$H40,IF(AND(($D40+$C$1)&gt;DC$4,DC$4&gt;=$C$1),$G40,0))*IF($A40="Residential",'General Inputs'!O$15,'General Inputs'!O$19)</f>
        <v>0</v>
      </c>
      <c r="DD40" s="214">
        <f>IF(AND(($E40+$C$1)&gt;DD$4,DD$4&gt;=$C$1),$H40,IF(AND(($D40+$C$1)&gt;DD$4,DD$4&gt;=$C$1),$G40,0))*IF($A40="Residential",'General Inputs'!P$15,'General Inputs'!P$19)</f>
        <v>0</v>
      </c>
      <c r="DE40" s="214">
        <f>IF(AND(($E40+$C$1)&gt;DE$4,DE$4&gt;=$C$1),$H40,IF(AND(($D40+$C$1)&gt;DE$4,DE$4&gt;=$C$1),$G40,0))*IF($A40="Residential",'General Inputs'!Q$15,'General Inputs'!Q$19)</f>
        <v>0</v>
      </c>
      <c r="DF40" s="214">
        <f>IF(AND(($E40+$C$1)&gt;DF$4,DF$4&gt;=$C$1),$H40,IF(AND(($D40+$C$1)&gt;DF$4,DF$4&gt;=$C$1),$G40,0))*IF($A40="Residential",'General Inputs'!R$15,'General Inputs'!R$19)</f>
        <v>0</v>
      </c>
      <c r="DG40" s="214">
        <f>IF(AND(($E40+$C$1)&gt;DG$4,DG$4&gt;=$C$1),$H40,IF(AND(($D40+$C$1)&gt;DG$4,DG$4&gt;=$C$1),$G40,0))*IF($A40="Residential",'General Inputs'!S$15,'General Inputs'!S$19)</f>
        <v>0</v>
      </c>
      <c r="DH40" s="214">
        <f>IF(AND(($E40+$C$1)&gt;DH$4,DH$4&gt;=$C$1),$H40,IF(AND(($D40+$C$1)&gt;DH$4,DH$4&gt;=$C$1),$G40,0))*IF($A40="Residential",'General Inputs'!T$15,'General Inputs'!T$19)</f>
        <v>0</v>
      </c>
      <c r="DI40" s="214">
        <f>IF(AND(($E40+$C$1)&gt;DI$4,DI$4&gt;=$C$1),$H40,IF(AND(($D40+$C$1)&gt;DI$4,DI$4&gt;=$C$1),$G40,0))*IF($A40="Residential",'General Inputs'!U$15,'General Inputs'!U$19)</f>
        <v>0</v>
      </c>
      <c r="DJ40" s="214">
        <f>IF(AND(($E40+$C$1)&gt;DJ$4,DJ$4&gt;=$C$1),$H40,IF(AND(($D40+$C$1)&gt;DJ$4,DJ$4&gt;=$C$1),$G40,0))*IF($A40="Residential",'General Inputs'!V$15,'General Inputs'!V$19)</f>
        <v>0</v>
      </c>
      <c r="DK40" s="214">
        <f>IF(AND(($E40+$C$1)&gt;DK$4,DK$4&gt;=$C$1),$H40,IF(AND(($D40+$C$1)&gt;DK$4,DK$4&gt;=$C$1),$G40,0))*IF($A40="Residential",'General Inputs'!W$15,'General Inputs'!W$19)</f>
        <v>0</v>
      </c>
      <c r="DM40" s="214">
        <f t="shared" si="78"/>
        <v>0</v>
      </c>
      <c r="DN40" s="214">
        <f t="shared" si="78"/>
        <v>0</v>
      </c>
      <c r="DO40" s="214">
        <f t="shared" si="78"/>
        <v>0</v>
      </c>
      <c r="DP40" s="214">
        <f t="shared" si="78"/>
        <v>0</v>
      </c>
      <c r="DQ40" s="214">
        <f t="shared" si="78"/>
        <v>0</v>
      </c>
      <c r="DR40" s="214">
        <f t="shared" si="78"/>
        <v>0</v>
      </c>
      <c r="DS40" s="214">
        <f t="shared" si="78"/>
        <v>0</v>
      </c>
      <c r="DT40" s="214">
        <f t="shared" si="78"/>
        <v>0</v>
      </c>
      <c r="DU40" s="214">
        <f t="shared" si="78"/>
        <v>0</v>
      </c>
      <c r="DV40" s="214">
        <f t="shared" si="78"/>
        <v>0</v>
      </c>
      <c r="DW40" s="214">
        <f t="shared" si="78"/>
        <v>0</v>
      </c>
      <c r="DZ40" s="650"/>
      <c r="FI40" s="195"/>
      <c r="FJ40" s="195"/>
      <c r="FK40" s="195"/>
      <c r="FL40" s="195"/>
      <c r="FM40" s="195"/>
      <c r="FN40" s="195"/>
      <c r="FO40" s="195"/>
    </row>
    <row r="41" spans="1:171">
      <c r="A41" s="343"/>
      <c r="B41" s="340" t="str">
        <f>'Portfolio Inputs'!A40</f>
        <v>C&amp;I Programs</v>
      </c>
      <c r="C41" s="350"/>
      <c r="D41" s="350"/>
      <c r="E41" s="350"/>
      <c r="G41" s="351"/>
      <c r="H41" s="351"/>
      <c r="I41" s="508"/>
      <c r="J41" s="517"/>
      <c r="L41" s="440"/>
      <c r="M41" s="440"/>
      <c r="N41" s="352"/>
      <c r="O41" s="352"/>
      <c r="Q41" s="353">
        <f t="shared" si="67"/>
        <v>1.5475386380178238</v>
      </c>
      <c r="R41" s="354">
        <f t="shared" si="68"/>
        <v>2.2316715616110767</v>
      </c>
      <c r="S41" s="354">
        <f t="shared" si="69"/>
        <v>1.9282544707759668</v>
      </c>
      <c r="T41" s="354">
        <f t="shared" si="70"/>
        <v>8.5690610481181668</v>
      </c>
      <c r="U41" s="354">
        <f>IF(AE41&gt;0,(AD41+AB41)/AE41,"n/a")</f>
        <v>7.7939677848555027</v>
      </c>
      <c r="V41" s="354">
        <f>IF((AA41+AC41+AD41)&gt;0,Y41/(AA41+AC41+AD41),"n/a")</f>
        <v>0.30747750751893016</v>
      </c>
      <c r="W41" s="354">
        <f>IF((AB41+AC41+AD41)&gt;0,Y41/(AB41+AC41+AD41),"n/a")</f>
        <v>0.33496347314033298</v>
      </c>
      <c r="X41" s="194"/>
      <c r="Y41" s="645">
        <f t="shared" si="4"/>
        <v>984178.3539357608</v>
      </c>
      <c r="Z41" s="645">
        <f t="shared" si="5"/>
        <v>242121.43877785112</v>
      </c>
      <c r="AA41" s="645">
        <f t="shared" si="6"/>
        <v>2759809.1239082152</v>
      </c>
      <c r="AB41" s="645">
        <f t="shared" si="7"/>
        <v>2497161.1802384066</v>
      </c>
      <c r="AC41" s="352">
        <f>AC42+AC43+AC44</f>
        <v>297103.87725101068</v>
      </c>
      <c r="AD41" s="352">
        <f>AD42+AD43+AD44</f>
        <v>143901.13928702683</v>
      </c>
      <c r="AE41" s="645">
        <f t="shared" si="8"/>
        <v>338859.79419331125</v>
      </c>
      <c r="AG41" s="355">
        <f>AG42+AG43+AG44</f>
        <v>0</v>
      </c>
      <c r="AH41" s="355">
        <f t="shared" ref="AH41:AZ41" si="79">AH42+AH43+AH44</f>
        <v>111378.41762463869</v>
      </c>
      <c r="AI41" s="355">
        <f t="shared" si="79"/>
        <v>113049.09388900828</v>
      </c>
      <c r="AJ41" s="355">
        <f t="shared" si="79"/>
        <v>114744.83029734337</v>
      </c>
      <c r="AK41" s="355">
        <f t="shared" si="79"/>
        <v>116466.00275180352</v>
      </c>
      <c r="AL41" s="355">
        <f t="shared" si="79"/>
        <v>118212.99279308056</v>
      </c>
      <c r="AM41" s="355">
        <f t="shared" si="79"/>
        <v>119986.18768497674</v>
      </c>
      <c r="AN41" s="355">
        <f t="shared" si="79"/>
        <v>121766.96665782086</v>
      </c>
      <c r="AO41" s="355">
        <f t="shared" si="79"/>
        <v>123593.47115768815</v>
      </c>
      <c r="AP41" s="355">
        <f t="shared" si="79"/>
        <v>125350.5726780187</v>
      </c>
      <c r="AQ41" s="355">
        <f t="shared" si="79"/>
        <v>127230.83126818898</v>
      </c>
      <c r="AR41" s="355">
        <f t="shared" si="79"/>
        <v>128029.64906926829</v>
      </c>
      <c r="AS41" s="355">
        <f t="shared" si="79"/>
        <v>129655.19268948531</v>
      </c>
      <c r="AT41" s="355">
        <f t="shared" si="79"/>
        <v>131600.02057982757</v>
      </c>
      <c r="AU41" s="355">
        <f t="shared" si="79"/>
        <v>133574.02088852497</v>
      </c>
      <c r="AV41" s="355">
        <f t="shared" si="79"/>
        <v>135577.63120185284</v>
      </c>
      <c r="AW41" s="355">
        <f t="shared" si="79"/>
        <v>2584.6035841302996</v>
      </c>
      <c r="AX41" s="355">
        <f t="shared" si="79"/>
        <v>2528.8026076870538</v>
      </c>
      <c r="AY41" s="355">
        <f t="shared" si="79"/>
        <v>2566.7346468023597</v>
      </c>
      <c r="AZ41" s="355">
        <f t="shared" si="79"/>
        <v>0</v>
      </c>
      <c r="BB41" s="355">
        <f>BB42+BB43+BB44</f>
        <v>0</v>
      </c>
      <c r="BC41" s="355">
        <f t="shared" ref="BC41:BU41" si="80">BC42+BC43+BC44</f>
        <v>29779.618183221752</v>
      </c>
      <c r="BD41" s="355">
        <f t="shared" si="80"/>
        <v>29779.618183221752</v>
      </c>
      <c r="BE41" s="355">
        <f t="shared" si="80"/>
        <v>29779.618183221752</v>
      </c>
      <c r="BF41" s="355">
        <f t="shared" si="80"/>
        <v>29779.618183221752</v>
      </c>
      <c r="BG41" s="355">
        <f t="shared" si="80"/>
        <v>29779.618183221752</v>
      </c>
      <c r="BH41" s="355">
        <f t="shared" si="80"/>
        <v>29779.618183221752</v>
      </c>
      <c r="BI41" s="355">
        <f t="shared" si="80"/>
        <v>29774.98216930425</v>
      </c>
      <c r="BJ41" s="355">
        <f t="shared" si="80"/>
        <v>29774.98216930425</v>
      </c>
      <c r="BK41" s="355">
        <f t="shared" si="80"/>
        <v>29751.02773485225</v>
      </c>
      <c r="BL41" s="355">
        <f t="shared" si="80"/>
        <v>29751.02773485225</v>
      </c>
      <c r="BM41" s="355">
        <f t="shared" si="80"/>
        <v>29496.113198160001</v>
      </c>
      <c r="BN41" s="355">
        <f t="shared" si="80"/>
        <v>29429.367843502048</v>
      </c>
      <c r="BO41" s="355">
        <f t="shared" si="80"/>
        <v>29429.367843502048</v>
      </c>
      <c r="BP41" s="355">
        <f t="shared" si="80"/>
        <v>29429.367843502048</v>
      </c>
      <c r="BQ41" s="355">
        <f t="shared" si="80"/>
        <v>29429.367843502048</v>
      </c>
      <c r="BR41" s="355">
        <f t="shared" si="80"/>
        <v>551.15582602050006</v>
      </c>
      <c r="BS41" s="355">
        <f t="shared" si="80"/>
        <v>531.2871949455</v>
      </c>
      <c r="BT41" s="355">
        <f t="shared" si="80"/>
        <v>531.2871949455</v>
      </c>
      <c r="BU41" s="355">
        <f t="shared" si="80"/>
        <v>0</v>
      </c>
      <c r="BW41" s="355">
        <f>BW42+BW43+BW44</f>
        <v>0</v>
      </c>
      <c r="BX41" s="355">
        <f t="shared" ref="BX41:CP41" si="81">BX42+BX43+BX44</f>
        <v>312298.53474074334</v>
      </c>
      <c r="BY41" s="355">
        <f t="shared" si="81"/>
        <v>316983.01276185451</v>
      </c>
      <c r="BZ41" s="355">
        <f t="shared" si="81"/>
        <v>321737.75795328221</v>
      </c>
      <c r="CA41" s="355">
        <f t="shared" si="81"/>
        <v>326563.82432258141</v>
      </c>
      <c r="CB41" s="355">
        <f t="shared" si="81"/>
        <v>331462.28168742015</v>
      </c>
      <c r="CC41" s="355">
        <f t="shared" si="81"/>
        <v>336434.21591273136</v>
      </c>
      <c r="CD41" s="355">
        <f t="shared" si="81"/>
        <v>341433.57926286955</v>
      </c>
      <c r="CE41" s="355">
        <f t="shared" si="81"/>
        <v>346555.08295181254</v>
      </c>
      <c r="CF41" s="355">
        <f t="shared" si="81"/>
        <v>351502.42062510765</v>
      </c>
      <c r="CG41" s="355">
        <f t="shared" si="81"/>
        <v>356774.9569344843</v>
      </c>
      <c r="CH41" s="355">
        <f t="shared" si="81"/>
        <v>359374.92166904575</v>
      </c>
      <c r="CI41" s="355">
        <f t="shared" si="81"/>
        <v>364034.25960087415</v>
      </c>
      <c r="CJ41" s="355">
        <f t="shared" si="81"/>
        <v>369494.77349488722</v>
      </c>
      <c r="CK41" s="355">
        <f t="shared" si="81"/>
        <v>375037.19509731047</v>
      </c>
      <c r="CL41" s="355">
        <f t="shared" si="81"/>
        <v>380662.75302377011</v>
      </c>
      <c r="CM41" s="355">
        <f t="shared" si="81"/>
        <v>6409.2132555660537</v>
      </c>
      <c r="CN41" s="355">
        <f t="shared" si="81"/>
        <v>6270.8398662813179</v>
      </c>
      <c r="CO41" s="355">
        <f t="shared" si="81"/>
        <v>6364.9024642755385</v>
      </c>
      <c r="CP41" s="355">
        <f t="shared" si="81"/>
        <v>0</v>
      </c>
      <c r="CR41" s="355">
        <f>CR42+CR43+CR44</f>
        <v>0</v>
      </c>
      <c r="CS41" s="355">
        <f t="shared" ref="CS41:DK41" si="82">CS42+CS43+CS44</f>
        <v>282599.16391128825</v>
      </c>
      <c r="CT41" s="355">
        <f t="shared" si="82"/>
        <v>286838.1513699576</v>
      </c>
      <c r="CU41" s="355">
        <f t="shared" si="82"/>
        <v>291140.72364050685</v>
      </c>
      <c r="CV41" s="355">
        <f t="shared" si="82"/>
        <v>295507.83449511451</v>
      </c>
      <c r="CW41" s="355">
        <f t="shared" si="82"/>
        <v>299940.45201254112</v>
      </c>
      <c r="CX41" s="355">
        <f t="shared" si="82"/>
        <v>304439.55879272928</v>
      </c>
      <c r="CY41" s="355">
        <f t="shared" si="82"/>
        <v>308959.00228606735</v>
      </c>
      <c r="CZ41" s="355">
        <f t="shared" si="82"/>
        <v>313593.38732035831</v>
      </c>
      <c r="DA41" s="355">
        <f t="shared" si="82"/>
        <v>318046.29955918167</v>
      </c>
      <c r="DB41" s="355">
        <f t="shared" si="82"/>
        <v>322816.99405256938</v>
      </c>
      <c r="DC41" s="355">
        <f t="shared" si="82"/>
        <v>324907.58934390213</v>
      </c>
      <c r="DD41" s="355">
        <f t="shared" si="82"/>
        <v>329049.91729085345</v>
      </c>
      <c r="DE41" s="355">
        <f t="shared" si="82"/>
        <v>333985.66605021618</v>
      </c>
      <c r="DF41" s="355">
        <f t="shared" si="82"/>
        <v>338995.45104096935</v>
      </c>
      <c r="DG41" s="355">
        <f t="shared" si="82"/>
        <v>344080.38280658389</v>
      </c>
      <c r="DH41" s="355">
        <f t="shared" si="82"/>
        <v>6409.2132555660537</v>
      </c>
      <c r="DI41" s="355">
        <f t="shared" si="82"/>
        <v>6270.8398662813179</v>
      </c>
      <c r="DJ41" s="355">
        <f t="shared" si="82"/>
        <v>6364.9024642755385</v>
      </c>
      <c r="DK41" s="355">
        <f t="shared" si="82"/>
        <v>0</v>
      </c>
      <c r="DM41" s="355">
        <f>DM42+DM43+DM44</f>
        <v>0</v>
      </c>
      <c r="DN41" s="355">
        <f t="shared" ref="DN41:DW41" si="83">DN42+DN43+DN44</f>
        <v>368815</v>
      </c>
      <c r="DO41" s="355">
        <f t="shared" si="83"/>
        <v>0</v>
      </c>
      <c r="DP41" s="355">
        <f t="shared" si="83"/>
        <v>0</v>
      </c>
      <c r="DQ41" s="355">
        <f t="shared" si="83"/>
        <v>0</v>
      </c>
      <c r="DR41" s="355">
        <f t="shared" si="83"/>
        <v>0</v>
      </c>
      <c r="DS41" s="355">
        <f t="shared" si="83"/>
        <v>0</v>
      </c>
      <c r="DT41" s="355">
        <f t="shared" si="83"/>
        <v>0</v>
      </c>
      <c r="DU41" s="355">
        <f t="shared" si="83"/>
        <v>0</v>
      </c>
      <c r="DV41" s="355">
        <f t="shared" si="83"/>
        <v>0</v>
      </c>
      <c r="DW41" s="355">
        <f t="shared" si="83"/>
        <v>0</v>
      </c>
      <c r="DZ41" s="650"/>
      <c r="FO41" s="195"/>
    </row>
    <row r="42" spans="1:171">
      <c r="A42" s="441" t="s">
        <v>12</v>
      </c>
      <c r="B42" s="426" t="str">
        <f>'Portfolio Inputs'!A41</f>
        <v>SBDI</v>
      </c>
      <c r="C42" s="356">
        <f>IF($C$1=2014,'Portfolio Inputs'!$C41,IF($C$1=2015,'Portfolio Inputs'!$D41,'Portfolio Inputs'!$E41))</f>
        <v>125</v>
      </c>
      <c r="D42" s="527">
        <v>15</v>
      </c>
      <c r="E42" s="527"/>
      <c r="G42" s="615">
        <f>Sources!D113*C42*EnergyLineLoss</f>
        <v>1168882.6042706249</v>
      </c>
      <c r="H42" s="527"/>
      <c r="I42" s="443">
        <f>Sources!E113*C42*PeakLineLoss</f>
        <v>181.34956124999999</v>
      </c>
      <c r="J42" s="443"/>
      <c r="L42" s="607">
        <f>IF($C$1=2014,'Portfolio Inputs'!$O41,IF($C$1=2015,'Portfolio Inputs'!$P41,'Portfolio Inputs'!$Q41))</f>
        <v>1420</v>
      </c>
      <c r="M42" s="519"/>
      <c r="N42" s="453">
        <f>IF($C$1=2014,'Portfolio Inputs'!$W41,IF($C$1=2015,'Portfolio Inputs'!$X41,'Portfolio Inputs'!$Y41))</f>
        <v>106500</v>
      </c>
      <c r="O42" s="453">
        <f>IF($C$1=2014,'Portfolio Inputs'!$AA41,IF($C$1=2015,'Portfolio Inputs'!$AB41,'Portfolio Inputs'!$AC41))</f>
        <v>292715.25</v>
      </c>
      <c r="Q42" s="442">
        <f t="shared" si="67"/>
        <v>1.0233006375263263</v>
      </c>
      <c r="R42" s="443">
        <f t="shared" si="68"/>
        <v>1.2052935480285407</v>
      </c>
      <c r="S42" s="443">
        <f t="shared" si="69"/>
        <v>1.2742885685193899</v>
      </c>
      <c r="T42" s="443">
        <f t="shared" si="70"/>
        <v>9.2358407646349914</v>
      </c>
      <c r="U42" s="443">
        <f>IF(AE42&gt;0,(AD42+AB42)/AE42,"n/a")</f>
        <v>7.6253279652534696</v>
      </c>
      <c r="V42" s="522">
        <f t="shared" ref="V42" si="84">IF((AA42+AC42+AD42)&gt;0,Y42/(AA42+AC42+AD42),"n/a")</f>
        <v>0.24904368131045992</v>
      </c>
      <c r="W42" s="522">
        <f t="shared" ref="W42" si="85">IF((AB42+AC42+AD42)&gt;0,Y42/(AB42+AC42+AD42),"n/a")</f>
        <v>0.29229034168221113</v>
      </c>
      <c r="Y42" s="444">
        <f t="shared" si="4"/>
        <v>442090.74338441825</v>
      </c>
      <c r="Z42" s="444">
        <f t="shared" si="5"/>
        <v>108432.88562925952</v>
      </c>
      <c r="AA42" s="444">
        <f t="shared" si="6"/>
        <v>1408362.4914762136</v>
      </c>
      <c r="AB42" s="444">
        <f t="shared" si="7"/>
        <v>1145714.5478064045</v>
      </c>
      <c r="AC42" s="445">
        <f t="shared" ref="AC42" si="86">O42/((1+DiscountRate)^(IF($C$1=2015,1,IF($C$1=2016,2,0))))</f>
        <v>268940.87651598675</v>
      </c>
      <c r="AD42" s="445">
        <f t="shared" ref="AD42" si="87">N42/((1+DiscountRate)^(IF($C$1=2015,1,IF($C$1=2016,2,0))))</f>
        <v>97850.055126791616</v>
      </c>
      <c r="AE42" s="526">
        <f t="shared" si="8"/>
        <v>163083.42521131935</v>
      </c>
      <c r="AG42" s="520">
        <f>IF(AND(($E42+$C$1)&gt;AG$4,AG$4&gt;=$C$1),'General Inputs'!D$9*$H42,IF(AND(($D42+$C$1)&gt;AG$4,AG$4&gt;=$C$1),'General Inputs'!D$9*$G42,0))+IF(AND(($E42+$C$1)&gt;AG$4,AG$4&gt;=$C$1),'General Inputs'!D$10*$J42,IF(AND(($D42+$C$1)&gt;AG$4,AG$4&gt;=$C$1),'General Inputs'!D$10*$I42,0))</f>
        <v>0</v>
      </c>
      <c r="AH42" s="520">
        <f>IF(AND(($E42+$C$1)&gt;AH$4,AH$4&gt;=$C$1),'General Inputs'!E$9*$H42,IF(AND(($D42+$C$1)&gt;AH$4,AH$4&gt;=$C$1),'General Inputs'!E$9*$G42,0))+IF(AND(($E42+$C$1)&gt;AH$4,AH$4&gt;=$C$1),'General Inputs'!E$10*$J42,IF(AND(($D42+$C$1)&gt;AH$4,AH$4&gt;=$C$1),'General Inputs'!E$10*$I42,0))</f>
        <v>49990.175992200435</v>
      </c>
      <c r="AI42" s="520">
        <f>IF(AND(($E42+$C$1)&gt;AI$4,AI$4&gt;=$C$1),'General Inputs'!F$9*$H42,IF(AND(($D42+$C$1)&gt;AI$4,AI$4&gt;=$C$1),'General Inputs'!F$9*$G42,0))+IF(AND(($E42+$C$1)&gt;AI$4,AI$4&gt;=$C$1),'General Inputs'!F$10*$J42,IF(AND(($D42+$C$1)&gt;AI$4,AI$4&gt;=$C$1),'General Inputs'!F$10*$I42,0))</f>
        <v>50740.028632083435</v>
      </c>
      <c r="AJ42" s="520">
        <f>IF(AND(($E42+$C$1)&gt;AJ$4,AJ$4&gt;=$C$1),'General Inputs'!G$9*$H42,IF(AND(($D42+$C$1)&gt;AJ$4,AJ$4&gt;=$C$1),'General Inputs'!G$9*$G42,0))+IF(AND(($E42+$C$1)&gt;AJ$4,AJ$4&gt;=$C$1),'General Inputs'!G$10*$J42,IF(AND(($D42+$C$1)&gt;AJ$4,AJ$4&gt;=$C$1),'General Inputs'!G$10*$I42,0))</f>
        <v>51501.129061564679</v>
      </c>
      <c r="AK42" s="520">
        <f>IF(AND(($E42+$C$1)&gt;AK$4,AK$4&gt;=$C$1),'General Inputs'!H$9*$H42,IF(AND(($D42+$C$1)&gt;AK$4,AK$4&gt;=$C$1),'General Inputs'!H$9*$G42,0))+IF(AND(($E42+$C$1)&gt;AK$4,AK$4&gt;=$C$1),'General Inputs'!H$10*$J42,IF(AND(($D42+$C$1)&gt;AK$4,AK$4&gt;=$C$1),'General Inputs'!H$10*$I42,0))</f>
        <v>52273.645997488144</v>
      </c>
      <c r="AL42" s="520">
        <f>IF(AND(($E42+$C$1)&gt;AL$4,AL$4&gt;=$C$1),'General Inputs'!I$9*$H42,IF(AND(($D42+$C$1)&gt;AL$4,AL$4&gt;=$C$1),'General Inputs'!I$9*$G42,0))+IF(AND(($E42+$C$1)&gt;AL$4,AL$4&gt;=$C$1),'General Inputs'!I$10*$J42,IF(AND(($D42+$C$1)&gt;AL$4,AL$4&gt;=$C$1),'General Inputs'!I$10*$I42,0))</f>
        <v>53057.750687450462</v>
      </c>
      <c r="AM42" s="520">
        <f>IF(AND(($E42+$C$1)&gt;AM$4,AM$4&gt;=$C$1),'General Inputs'!J$9*$H42,IF(AND(($D42+$C$1)&gt;AM$4,AM$4&gt;=$C$1),'General Inputs'!J$9*$G42,0))+IF(AND(($E42+$C$1)&gt;AM$4,AM$4&gt;=$C$1),'General Inputs'!J$10*$J42,IF(AND(($D42+$C$1)&gt;AM$4,AM$4&gt;=$C$1),'General Inputs'!J$10*$I42,0))</f>
        <v>53853.61694776221</v>
      </c>
      <c r="AN42" s="520">
        <f>IF(AND(($E42+$C$1)&gt;AN$4,AN$4&gt;=$C$1),'General Inputs'!K$9*$H42,IF(AND(($D42+$C$1)&gt;AN$4,AN$4&gt;=$C$1),'General Inputs'!K$9*$G42,0))+IF(AND(($E42+$C$1)&gt;AN$4,AN$4&gt;=$C$1),'General Inputs'!K$10*$J42,IF(AND(($D42+$C$1)&gt;AN$4,AN$4&gt;=$C$1),'General Inputs'!K$10*$I42,0))</f>
        <v>54661.421201978636</v>
      </c>
      <c r="AO42" s="520">
        <f>IF(AND(($E42+$C$1)&gt;AO$4,AO$4&gt;=$C$1),'General Inputs'!L$9*$H42,IF(AND(($D42+$C$1)&gt;AO$4,AO$4&gt;=$C$1),'General Inputs'!L$9*$G42,0))+IF(AND(($E42+$C$1)&gt;AO$4,AO$4&gt;=$C$1),'General Inputs'!L$10*$J42,IF(AND(($D42+$C$1)&gt;AO$4,AO$4&gt;=$C$1),'General Inputs'!L$10*$I42,0))</f>
        <v>55481.342520008307</v>
      </c>
      <c r="AP42" s="520">
        <f>IF(AND(($E42+$C$1)&gt;AP$4,AP$4&gt;=$C$1),'General Inputs'!M$9*$H42,IF(AND(($D42+$C$1)&gt;AP$4,AP$4&gt;=$C$1),'General Inputs'!M$9*$G42,0))+IF(AND(($E42+$C$1)&gt;AP$4,AP$4&gt;=$C$1),'General Inputs'!M$10*$J42,IF(AND(($D42+$C$1)&gt;AP$4,AP$4&gt;=$C$1),'General Inputs'!M$10*$I42,0))</f>
        <v>56313.562657808419</v>
      </c>
      <c r="AQ42" s="520">
        <f>IF(AND(($E42+$C$1)&gt;AQ$4,AQ$4&gt;=$C$1),'General Inputs'!N$9*$H42,IF(AND(($D42+$C$1)&gt;AQ$4,AQ$4&gt;=$C$1),'General Inputs'!N$9*$G42,0))+IF(AND(($E42+$C$1)&gt;AQ$4,AQ$4&gt;=$C$1),'General Inputs'!N$10*$J42,IF(AND(($D42+$C$1)&gt;AQ$4,AQ$4&gt;=$C$1),'General Inputs'!N$10*$I42,0))</f>
        <v>57158.266097675551</v>
      </c>
      <c r="AR42" s="520">
        <f>IF(AND(($E42+$C$1)&gt;AR$4,AR$4&gt;=$C$1),'General Inputs'!O$9*$H42,IF(AND(($D42+$C$1)&gt;AR$4,AR$4&gt;=$C$1),'General Inputs'!O$9*$G42,0))+IF(AND(($E42+$C$1)&gt;AR$4,AR$4&gt;=$C$1),'General Inputs'!O$10*$J42,IF(AND(($D42+$C$1)&gt;AR$4,AR$4&gt;=$C$1),'General Inputs'!O$10*$I42,0))</f>
        <v>58015.640089140674</v>
      </c>
      <c r="AS42" s="520">
        <f>IF(AND(($E42+$C$1)&gt;AS$4,AS$4&gt;=$C$1),'General Inputs'!P$9*$H42,IF(AND(($D42+$C$1)&gt;AS$4,AS$4&gt;=$C$1),'General Inputs'!P$9*$G42,0))+IF(AND(($E42+$C$1)&gt;AS$4,AS$4&gt;=$C$1),'General Inputs'!P$10*$J42,IF(AND(($D42+$C$1)&gt;AS$4,AS$4&gt;=$C$1),'General Inputs'!P$10*$I42,0))</f>
        <v>58885.87469047778</v>
      </c>
      <c r="AT42" s="520">
        <f>IF(AND(($E42+$C$1)&gt;AT$4,AT$4&gt;=$C$1),'General Inputs'!Q$9*$H42,IF(AND(($D42+$C$1)&gt;AT$4,AT$4&gt;=$C$1),'General Inputs'!Q$9*$G42,0))+IF(AND(($E42+$C$1)&gt;AT$4,AT$4&gt;=$C$1),'General Inputs'!Q$10*$J42,IF(AND(($D42+$C$1)&gt;AT$4,AT$4&gt;=$C$1),'General Inputs'!Q$10*$I42,0))</f>
        <v>59769.16281083494</v>
      </c>
      <c r="AU42" s="520">
        <f>IF(AND(($E42+$C$1)&gt;AU$4,AU$4&gt;=$C$1),'General Inputs'!R$9*$H42,IF(AND(($D42+$C$1)&gt;AU$4,AU$4&gt;=$C$1),'General Inputs'!R$9*$G42,0))+IF(AND(($E42+$C$1)&gt;AU$4,AU$4&gt;=$C$1),'General Inputs'!R$10*$J42,IF(AND(($D42+$C$1)&gt;AU$4,AU$4&gt;=$C$1),'General Inputs'!R$10*$I42,0))</f>
        <v>60665.700252997463</v>
      </c>
      <c r="AV42" s="520">
        <f>IF(AND(($E42+$C$1)&gt;AV$4,AV$4&gt;=$C$1),'General Inputs'!S$9*$H42,IF(AND(($D42+$C$1)&gt;AV$4,AV$4&gt;=$C$1),'General Inputs'!S$9*$G42,0))+IF(AND(($E42+$C$1)&gt;AV$4,AV$4&gt;=$C$1),'General Inputs'!S$10*$J42,IF(AND(($D42+$C$1)&gt;AV$4,AV$4&gt;=$C$1),'General Inputs'!S$10*$I42,0))</f>
        <v>61575.685756792416</v>
      </c>
      <c r="AW42" s="520">
        <f>IF(AND(($E42+$C$1)&gt;AW$4,AW$4&gt;=$C$1),'General Inputs'!T$9*$H42,IF(AND(($D42+$C$1)&gt;AW$4,AW$4&gt;=$C$1),'General Inputs'!T$9*$G42,0))+IF(AND(($E42+$C$1)&gt;AW$4,AW$4&gt;=$C$1),'General Inputs'!T$10*$J42,IF(AND(($D42+$C$1)&gt;AW$4,AW$4&gt;=$C$1),'General Inputs'!T$10*$I42,0))</f>
        <v>0</v>
      </c>
      <c r="AX42" s="520">
        <f>IF(AND(($E42+$C$1)&gt;AX$4,AX$4&gt;=$C$1),'General Inputs'!U$9*$H42,IF(AND(($D42+$C$1)&gt;AX$4,AX$4&gt;=$C$1),'General Inputs'!U$9*$G42,0))+IF(AND(($E42+$C$1)&gt;AX$4,AX$4&gt;=$C$1),'General Inputs'!U$10*$J42,IF(AND(($D42+$C$1)&gt;AX$4,AX$4&gt;=$C$1),'General Inputs'!U$10*$I42,0))</f>
        <v>0</v>
      </c>
      <c r="AY42" s="520">
        <f>IF(AND(($E42+$C$1)&gt;AY$4,AY$4&gt;=$C$1),'General Inputs'!V$9*$H42,IF(AND(($D42+$C$1)&gt;AY$4,AY$4&gt;=$C$1),'General Inputs'!V$9*$G42,0))+IF(AND(($E42+$C$1)&gt;AY$4,AY$4&gt;=$C$1),'General Inputs'!V$10*$J42,IF(AND(($D42+$C$1)&gt;AY$4,AY$4&gt;=$C$1),'General Inputs'!V$10*$I42,0))</f>
        <v>0</v>
      </c>
      <c r="AZ42" s="520">
        <f>IF(AND(($E42+$C$1)&gt;AZ$4,AZ$4&gt;=$C$1),'General Inputs'!W$9*$H42,IF(AND(($D42+$C$1)&gt;AZ$4,AZ$4&gt;=$C$1),'General Inputs'!W$9*$G42,0))+IF(AND(($E42+$C$1)&gt;AZ$4,AZ$4&gt;=$C$1),'General Inputs'!W$10*$J42,IF(AND(($D42+$C$1)&gt;AZ$4,AZ$4&gt;=$C$1),'General Inputs'!W$10*$I42,0))</f>
        <v>0</v>
      </c>
      <c r="BB42" s="520">
        <f>IF(AND(($E42+$C$1)&gt;BB$4,BB$4&gt;=$C$1),'General Inputs'!D$11*$H42,IF(AND(($D42+$C$1)&gt;BB$4,BB$4&gt;=$C$1),'General Inputs'!D$11*$G42,0))</f>
        <v>0</v>
      </c>
      <c r="BC42" s="520">
        <f>IF(AND(($E42+$C$1)&gt;BC$4,BC$4&gt;=$C$1),'General Inputs'!E$11*$H42,IF(AND(($D42+$C$1)&gt;BC$4,BC$4&gt;=$C$1),'General Inputs'!E$11*$G42,0))</f>
        <v>13325.261688685125</v>
      </c>
      <c r="BD42" s="520">
        <f>IF(AND(($E42+$C$1)&gt;BD$4,BD$4&gt;=$C$1),'General Inputs'!F$11*$H42,IF(AND(($D42+$C$1)&gt;BD$4,BD$4&gt;=$C$1),'General Inputs'!F$11*$G42,0))</f>
        <v>13325.261688685125</v>
      </c>
      <c r="BE42" s="520">
        <f>IF(AND(($E42+$C$1)&gt;BE$4,BE$4&gt;=$C$1),'General Inputs'!G$11*$H42,IF(AND(($D42+$C$1)&gt;BE$4,BE$4&gt;=$C$1),'General Inputs'!G$11*$G42,0))</f>
        <v>13325.261688685125</v>
      </c>
      <c r="BF42" s="520">
        <f>IF(AND(($E42+$C$1)&gt;BF$4,BF$4&gt;=$C$1),'General Inputs'!H$11*$H42,IF(AND(($D42+$C$1)&gt;BF$4,BF$4&gt;=$C$1),'General Inputs'!H$11*$G42,0))</f>
        <v>13325.261688685125</v>
      </c>
      <c r="BG42" s="520">
        <f>IF(AND(($E42+$C$1)&gt;BG$4,BG$4&gt;=$C$1),'General Inputs'!I$11*$H42,IF(AND(($D42+$C$1)&gt;BG$4,BG$4&gt;=$C$1),'General Inputs'!I$11*$G42,0))</f>
        <v>13325.261688685125</v>
      </c>
      <c r="BH42" s="520">
        <f>IF(AND(($E42+$C$1)&gt;BH$4,BH$4&gt;=$C$1),'General Inputs'!J$11*$H42,IF(AND(($D42+$C$1)&gt;BH$4,BH$4&gt;=$C$1),'General Inputs'!J$11*$G42,0))</f>
        <v>13325.261688685125</v>
      </c>
      <c r="BI42" s="520">
        <f>IF(AND(($E42+$C$1)&gt;BI$4,BI$4&gt;=$C$1),'General Inputs'!K$11*$H42,IF(AND(($D42+$C$1)&gt;BI$4,BI$4&gt;=$C$1),'General Inputs'!K$11*$G42,0))</f>
        <v>13325.261688685125</v>
      </c>
      <c r="BJ42" s="520">
        <f>IF(AND(($E42+$C$1)&gt;BJ$4,BJ$4&gt;=$C$1),'General Inputs'!L$11*$H42,IF(AND(($D42+$C$1)&gt;BJ$4,BJ$4&gt;=$C$1),'General Inputs'!L$11*$G42,0))</f>
        <v>13325.261688685125</v>
      </c>
      <c r="BK42" s="520">
        <f>IF(AND(($E42+$C$1)&gt;BK$4,BK$4&gt;=$C$1),'General Inputs'!M$11*$H42,IF(AND(($D42+$C$1)&gt;BK$4,BK$4&gt;=$C$1),'General Inputs'!M$11*$G42,0))</f>
        <v>13325.261688685125</v>
      </c>
      <c r="BL42" s="520">
        <f>IF(AND(($E42+$C$1)&gt;BL$4,BL$4&gt;=$C$1),'General Inputs'!N$11*$H42,IF(AND(($D42+$C$1)&gt;BL$4,BL$4&gt;=$C$1),'General Inputs'!N$11*$G42,0))</f>
        <v>13325.261688685125</v>
      </c>
      <c r="BM42" s="520">
        <f>IF(AND(($E42+$C$1)&gt;BM$4,BM$4&gt;=$C$1),'General Inputs'!O$11*$H42,IF(AND(($D42+$C$1)&gt;BM$4,BM$4&gt;=$C$1),'General Inputs'!O$11*$G42,0))</f>
        <v>13325.261688685125</v>
      </c>
      <c r="BN42" s="520">
        <f>IF(AND(($E42+$C$1)&gt;BN$4,BN$4&gt;=$C$1),'General Inputs'!P$11*$H42,IF(AND(($D42+$C$1)&gt;BN$4,BN$4&gt;=$C$1),'General Inputs'!P$11*$G42,0))</f>
        <v>13325.261688685125</v>
      </c>
      <c r="BO42" s="520">
        <f>IF(AND(($E42+$C$1)&gt;BO$4,BO$4&gt;=$C$1),'General Inputs'!Q$11*$H42,IF(AND(($D42+$C$1)&gt;BO$4,BO$4&gt;=$C$1),'General Inputs'!Q$11*$G42,0))</f>
        <v>13325.261688685125</v>
      </c>
      <c r="BP42" s="520">
        <f>IF(AND(($E42+$C$1)&gt;BP$4,BP$4&gt;=$C$1),'General Inputs'!R$11*$H42,IF(AND(($D42+$C$1)&gt;BP$4,BP$4&gt;=$C$1),'General Inputs'!R$11*$G42,0))</f>
        <v>13325.261688685125</v>
      </c>
      <c r="BQ42" s="520">
        <f>IF(AND(($E42+$C$1)&gt;BQ$4,BQ$4&gt;=$C$1),'General Inputs'!S$11*$H42,IF(AND(($D42+$C$1)&gt;BQ$4,BQ$4&gt;=$C$1),'General Inputs'!S$11*$G42,0))</f>
        <v>13325.261688685125</v>
      </c>
      <c r="BR42" s="520">
        <f>IF(AND(($E42+$C$1)&gt;BR$4,BR$4&gt;=$C$1),'General Inputs'!T$11*$H42,IF(AND(($D42+$C$1)&gt;BR$4,BR$4&gt;=$C$1),'General Inputs'!T$11*$G42,0))</f>
        <v>0</v>
      </c>
      <c r="BS42" s="520">
        <f>IF(AND(($E42+$C$1)&gt;BS$4,BS$4&gt;=$C$1),'General Inputs'!U$11*$H42,IF(AND(($D42+$C$1)&gt;BS$4,BS$4&gt;=$C$1),'General Inputs'!U$11*$G42,0))</f>
        <v>0</v>
      </c>
      <c r="BT42" s="520">
        <f>IF(AND(($E42+$C$1)&gt;BT$4,BT$4&gt;=$C$1),'General Inputs'!V$11*$H42,IF(AND(($D42+$C$1)&gt;BT$4,BT$4&gt;=$C$1),'General Inputs'!V$11*$G42,0))</f>
        <v>0</v>
      </c>
      <c r="BU42" s="520">
        <f>IF(AND(($E42+$C$1)&gt;BU$4,BU$4&gt;=$C$1),'General Inputs'!W$11*$H42,IF(AND(($D42+$C$1)&gt;BU$4,BU$4&gt;=$C$1),'General Inputs'!W$11*$G42,0))</f>
        <v>0</v>
      </c>
      <c r="BW42" s="520">
        <f>IF(AND(($E42+$C$1)&gt;BW$4,BW$4&gt;=$C$1),$H42,IF(AND(($D42+$C$1)&gt;BW$4,BW$4&gt;=$C$1),$G42,0))*IF($A42="Residential",'General Inputs'!D$14,'General Inputs'!D$19)</f>
        <v>0</v>
      </c>
      <c r="BX42" s="520">
        <f>IF(AND(($E42+$C$1)&gt;BX$4,BX$4&gt;=$C$1),$H42,IF(AND(($D42+$C$1)&gt;BX$4,BX$4&gt;=$C$1),$G42,0))*IF($A42="Residential",'General Inputs'!E$14,'General Inputs'!E$19)</f>
        <v>159253.02635999786</v>
      </c>
      <c r="BY42" s="520">
        <f>IF(AND(($E42+$C$1)&gt;BY$4,BY$4&gt;=$C$1),$H42,IF(AND(($D42+$C$1)&gt;BY$4,BY$4&gt;=$C$1),$G42,0))*IF($A42="Residential",'General Inputs'!F$14,'General Inputs'!F$19)</f>
        <v>161641.8217553978</v>
      </c>
      <c r="BZ42" s="520">
        <f>IF(AND(($E42+$C$1)&gt;BZ$4,BZ$4&gt;=$C$1),$H42,IF(AND(($D42+$C$1)&gt;BZ$4,BZ$4&gt;=$C$1),$G42,0))*IF($A42="Residential",'General Inputs'!G$14,'General Inputs'!G$19)</f>
        <v>164066.44908172873</v>
      </c>
      <c r="CA42" s="520">
        <f>IF(AND(($E42+$C$1)&gt;CA$4,CA$4&gt;=$C$1),$H42,IF(AND(($D42+$C$1)&gt;CA$4,CA$4&gt;=$C$1),$G42,0))*IF($A42="Residential",'General Inputs'!H$14,'General Inputs'!H$19)</f>
        <v>166527.44581795466</v>
      </c>
      <c r="CB42" s="520">
        <f>IF(AND(($E42+$C$1)&gt;CB$4,CB$4&gt;=$C$1),$H42,IF(AND(($D42+$C$1)&gt;CB$4,CB$4&gt;=$C$1),$G42,0))*IF($A42="Residential",'General Inputs'!I$14,'General Inputs'!I$19)</f>
        <v>169025.35750522398</v>
      </c>
      <c r="CC42" s="520">
        <f>IF(AND(($E42+$C$1)&gt;CC$4,CC$4&gt;=$C$1),$H42,IF(AND(($D42+$C$1)&gt;CC$4,CC$4&gt;=$C$1),$G42,0))*IF($A42="Residential",'General Inputs'!J$14,'General Inputs'!J$19)</f>
        <v>171560.73786780229</v>
      </c>
      <c r="CD42" s="520">
        <f>IF(AND(($E42+$C$1)&gt;CD$4,CD$4&gt;=$C$1),$H42,IF(AND(($D42+$C$1)&gt;CD$4,CD$4&gt;=$C$1),$G42,0))*IF($A42="Residential",'General Inputs'!K$14,'General Inputs'!K$19)</f>
        <v>174134.14893581931</v>
      </c>
      <c r="CE42" s="520">
        <f>IF(AND(($E42+$C$1)&gt;CE$4,CE$4&gt;=$C$1),$H42,IF(AND(($D42+$C$1)&gt;CE$4,CE$4&gt;=$C$1),$G42,0))*IF($A42="Residential",'General Inputs'!L$14,'General Inputs'!L$19)</f>
        <v>176746.16116985655</v>
      </c>
      <c r="CF42" s="520">
        <f>IF(AND(($E42+$C$1)&gt;CF$4,CF$4&gt;=$C$1),$H42,IF(AND(($D42+$C$1)&gt;CF$4,CF$4&gt;=$C$1),$G42,0))*IF($A42="Residential",'General Inputs'!M$14,'General Inputs'!M$19)</f>
        <v>179397.35358740439</v>
      </c>
      <c r="CG42" s="520">
        <f>IF(AND(($E42+$C$1)&gt;CG$4,CG$4&gt;=$C$1),$H42,IF(AND(($D42+$C$1)&gt;CG$4,CG$4&gt;=$C$1),$G42,0))*IF($A42="Residential",'General Inputs'!N$14,'General Inputs'!N$19)</f>
        <v>182088.31389121545</v>
      </c>
      <c r="CH42" s="520">
        <f>IF(AND(($E42+$C$1)&gt;CH$4,CH$4&gt;=$C$1),$H42,IF(AND(($D42+$C$1)&gt;CH$4,CH$4&gt;=$C$1),$G42,0))*IF($A42="Residential",'General Inputs'!O$14,'General Inputs'!O$19)</f>
        <v>184819.63859958365</v>
      </c>
      <c r="CI42" s="520">
        <f>IF(AND(($E42+$C$1)&gt;CI$4,CI$4&gt;=$C$1),$H42,IF(AND(($D42+$C$1)&gt;CI$4,CI$4&gt;=$C$1),$G42,0))*IF($A42="Residential",'General Inputs'!P$14,'General Inputs'!P$19)</f>
        <v>187591.9331785774</v>
      </c>
      <c r="CJ42" s="520">
        <f>IF(AND(($E42+$C$1)&gt;CJ$4,CJ$4&gt;=$C$1),$H42,IF(AND(($D42+$C$1)&gt;CJ$4,CJ$4&gt;=$C$1),$G42,0))*IF($A42="Residential",'General Inputs'!Q$14,'General Inputs'!Q$19)</f>
        <v>190405.81217625603</v>
      </c>
      <c r="CK42" s="520">
        <f>IF(AND(($E42+$C$1)&gt;CK$4,CK$4&gt;=$C$1),$H42,IF(AND(($D42+$C$1)&gt;CK$4,CK$4&gt;=$C$1),$G42,0))*IF($A42="Residential",'General Inputs'!R$14,'General Inputs'!R$19)</f>
        <v>193261.89935889983</v>
      </c>
      <c r="CL42" s="520">
        <f>IF(AND(($E42+$C$1)&gt;CL$4,CL$4&gt;=$C$1),$H42,IF(AND(($D42+$C$1)&gt;CL$4,CL$4&gt;=$C$1),$G42,0))*IF($A42="Residential",'General Inputs'!S$14,'General Inputs'!S$19)</f>
        <v>196160.82784928332</v>
      </c>
      <c r="CM42" s="520">
        <f>IF(AND(($E42+$C$1)&gt;CM$4,CM$4&gt;=$C$1),$H42,IF(AND(($D42+$C$1)&gt;CM$4,CM$4&gt;=$C$1),$G42,0))*IF($A42="Residential",'General Inputs'!T$14,'General Inputs'!T$19)</f>
        <v>0</v>
      </c>
      <c r="CN42" s="520">
        <f>IF(AND(($E42+$C$1)&gt;CN$4,CN$4&gt;=$C$1),$H42,IF(AND(($D42+$C$1)&gt;CN$4,CN$4&gt;=$C$1),$G42,0))*IF($A42="Residential",'General Inputs'!U$14,'General Inputs'!U$19)</f>
        <v>0</v>
      </c>
      <c r="CO42" s="520">
        <f>IF(AND(($E42+$C$1)&gt;CO$4,CO$4&gt;=$C$1),$H42,IF(AND(($D42+$C$1)&gt;CO$4,CO$4&gt;=$C$1),$G42,0))*IF($A42="Residential",'General Inputs'!V$14,'General Inputs'!V$19)</f>
        <v>0</v>
      </c>
      <c r="CP42" s="520">
        <f>IF(AND(($E42+$C$1)&gt;CP$4,CP$4&gt;=$C$1),$H42,IF(AND(($D42+$C$1)&gt;CP$4,CP$4&gt;=$C$1),$G42,0))*IF($A42="Residential",'General Inputs'!W$14,'General Inputs'!W$19)</f>
        <v>0</v>
      </c>
      <c r="CR42" s="520">
        <f>IF(AND(($E42+$C$1)&gt;CR$4,CR$4&gt;=$C$1),$H42,IF(AND(($D42+$C$1)&gt;CR$4,CR$4&gt;=$C$1),$G42,0))*IF($A42="Residential",'General Inputs'!D$15,'General Inputs'!D$19)</f>
        <v>0</v>
      </c>
      <c r="CS42" s="520">
        <f>IF(AND(($E42+$C$1)&gt;CS$4,CS$4&gt;=$C$1),$H42,IF(AND(($D42+$C$1)&gt;CS$4,CS$4&gt;=$C$1),$G42,0))*IF($A42="Residential",'General Inputs'!E$15,'General Inputs'!E$19)</f>
        <v>129553.65553054276</v>
      </c>
      <c r="CT42" s="520">
        <f>IF(AND(($E42+$C$1)&gt;CT$4,CT$4&gt;=$C$1),$H42,IF(AND(($D42+$C$1)&gt;CT$4,CT$4&gt;=$C$1),$G42,0))*IF($A42="Residential",'General Inputs'!F$15,'General Inputs'!F$19)</f>
        <v>131496.9603635009</v>
      </c>
      <c r="CU42" s="520">
        <f>IF(AND(($E42+$C$1)&gt;CU$4,CU$4&gt;=$C$1),$H42,IF(AND(($D42+$C$1)&gt;CU$4,CU$4&gt;=$C$1),$G42,0))*IF($A42="Residential",'General Inputs'!G$15,'General Inputs'!G$19)</f>
        <v>133469.41476895337</v>
      </c>
      <c r="CV42" s="520">
        <f>IF(AND(($E42+$C$1)&gt;CV$4,CV$4&gt;=$C$1),$H42,IF(AND(($D42+$C$1)&gt;CV$4,CV$4&gt;=$C$1),$G42,0))*IF($A42="Residential",'General Inputs'!H$15,'General Inputs'!H$19)</f>
        <v>135471.45599048768</v>
      </c>
      <c r="CW42" s="520">
        <f>IF(AND(($E42+$C$1)&gt;CW$4,CW$4&gt;=$C$1),$H42,IF(AND(($D42+$C$1)&gt;CW$4,CW$4&gt;=$C$1),$G42,0))*IF($A42="Residential",'General Inputs'!I$15,'General Inputs'!I$19)</f>
        <v>137503.52783034497</v>
      </c>
      <c r="CX42" s="520">
        <f>IF(AND(($E42+$C$1)&gt;CX$4,CX$4&gt;=$C$1),$H42,IF(AND(($D42+$C$1)&gt;CX$4,CX$4&gt;=$C$1),$G42,0))*IF($A42="Residential",'General Inputs'!J$15,'General Inputs'!J$19)</f>
        <v>139566.08074780012</v>
      </c>
      <c r="CY42" s="520">
        <f>IF(AND(($E42+$C$1)&gt;CY$4,CY$4&gt;=$C$1),$H42,IF(AND(($D42+$C$1)&gt;CY$4,CY$4&gt;=$C$1),$G42,0))*IF($A42="Residential",'General Inputs'!K$15,'General Inputs'!K$19)</f>
        <v>141659.57195901714</v>
      </c>
      <c r="CZ42" s="520">
        <f>IF(AND(($E42+$C$1)&gt;CZ$4,CZ$4&gt;=$C$1),$H42,IF(AND(($D42+$C$1)&gt;CZ$4,CZ$4&gt;=$C$1),$G42,0))*IF($A42="Residential",'General Inputs'!L$15,'General Inputs'!L$19)</f>
        <v>143784.46553840235</v>
      </c>
      <c r="DA42" s="520">
        <f>IF(AND(($E42+$C$1)&gt;DA$4,DA$4&gt;=$C$1),$H42,IF(AND(($D42+$C$1)&gt;DA$4,DA$4&gt;=$C$1),$G42,0))*IF($A42="Residential",'General Inputs'!M$15,'General Inputs'!M$19)</f>
        <v>145941.23252147838</v>
      </c>
      <c r="DB42" s="520">
        <f>IF(AND(($E42+$C$1)&gt;DB$4,DB$4&gt;=$C$1),$H42,IF(AND(($D42+$C$1)&gt;DB$4,DB$4&gt;=$C$1),$G42,0))*IF($A42="Residential",'General Inputs'!N$15,'General Inputs'!N$19)</f>
        <v>148130.35100930053</v>
      </c>
      <c r="DC42" s="520">
        <f>IF(AND(($E42+$C$1)&gt;DC$4,DC$4&gt;=$C$1),$H42,IF(AND(($D42+$C$1)&gt;DC$4,DC$4&gt;=$C$1),$G42,0))*IF($A42="Residential",'General Inputs'!O$15,'General Inputs'!O$19)</f>
        <v>150352.30627444002</v>
      </c>
      <c r="DD42" s="520">
        <f>IF(AND(($E42+$C$1)&gt;DD$4,DD$4&gt;=$C$1),$H42,IF(AND(($D42+$C$1)&gt;DD$4,DD$4&gt;=$C$1),$G42,0))*IF($A42="Residential",'General Inputs'!P$15,'General Inputs'!P$19)</f>
        <v>152607.59086855664</v>
      </c>
      <c r="DE42" s="520">
        <f>IF(AND(($E42+$C$1)&gt;DE$4,DE$4&gt;=$C$1),$H42,IF(AND(($D42+$C$1)&gt;DE$4,DE$4&gt;=$C$1),$G42,0))*IF($A42="Residential",'General Inputs'!Q$15,'General Inputs'!Q$19)</f>
        <v>154896.70473158496</v>
      </c>
      <c r="DF42" s="520">
        <f>IF(AND(($E42+$C$1)&gt;DF$4,DF$4&gt;=$C$1),$H42,IF(AND(($D42+$C$1)&gt;DF$4,DF$4&gt;=$C$1),$G42,0))*IF($A42="Residential",'General Inputs'!R$15,'General Inputs'!R$19)</f>
        <v>157220.15530255871</v>
      </c>
      <c r="DG42" s="520">
        <f>IF(AND(($E42+$C$1)&gt;DG$4,DG$4&gt;=$C$1),$H42,IF(AND(($D42+$C$1)&gt;DG$4,DG$4&gt;=$C$1),$G42,0))*IF($A42="Residential",'General Inputs'!S$15,'General Inputs'!S$19)</f>
        <v>159578.45763209707</v>
      </c>
      <c r="DH42" s="520">
        <f>IF(AND(($E42+$C$1)&gt;DH$4,DH$4&gt;=$C$1),$H42,IF(AND(($D42+$C$1)&gt;DH$4,DH$4&gt;=$C$1),$G42,0))*IF($A42="Residential",'General Inputs'!T$15,'General Inputs'!T$19)</f>
        <v>0</v>
      </c>
      <c r="DI42" s="520">
        <f>IF(AND(($E42+$C$1)&gt;DI$4,DI$4&gt;=$C$1),$H42,IF(AND(($D42+$C$1)&gt;DI$4,DI$4&gt;=$C$1),$G42,0))*IF($A42="Residential",'General Inputs'!U$15,'General Inputs'!U$19)</f>
        <v>0</v>
      </c>
      <c r="DJ42" s="520">
        <f>IF(AND(($E42+$C$1)&gt;DJ$4,DJ$4&gt;=$C$1),$H42,IF(AND(($D42+$C$1)&gt;DJ$4,DJ$4&gt;=$C$1),$G42,0))*IF($A42="Residential",'General Inputs'!V$15,'General Inputs'!V$19)</f>
        <v>0</v>
      </c>
      <c r="DK42" s="520">
        <f>IF(AND(($E42+$C$1)&gt;DK$4,DK$4&gt;=$C$1),$H42,IF(AND(($D42+$C$1)&gt;DK$4,DK$4&gt;=$C$1),$G42,0))*IF($A42="Residential",'General Inputs'!W$15,'General Inputs'!W$19)</f>
        <v>0</v>
      </c>
      <c r="DM42" s="524">
        <f>IF($C$1=DM$4,$L42*$C42,IF($E42+$C$1=DM$4,-$M42*$C42,0))</f>
        <v>0</v>
      </c>
      <c r="DN42" s="524">
        <f t="shared" si="78"/>
        <v>177500</v>
      </c>
      <c r="DO42" s="524">
        <f t="shared" si="78"/>
        <v>0</v>
      </c>
      <c r="DP42" s="524">
        <f t="shared" si="78"/>
        <v>0</v>
      </c>
      <c r="DQ42" s="524">
        <f t="shared" si="78"/>
        <v>0</v>
      </c>
      <c r="DR42" s="524">
        <f t="shared" si="78"/>
        <v>0</v>
      </c>
      <c r="DS42" s="524">
        <f t="shared" si="78"/>
        <v>0</v>
      </c>
      <c r="DT42" s="524">
        <f t="shared" si="78"/>
        <v>0</v>
      </c>
      <c r="DU42" s="524">
        <f t="shared" si="78"/>
        <v>0</v>
      </c>
      <c r="DV42" s="524">
        <f t="shared" si="78"/>
        <v>0</v>
      </c>
      <c r="DW42" s="524">
        <f t="shared" si="78"/>
        <v>0</v>
      </c>
      <c r="DZ42" s="650"/>
      <c r="FI42" s="195"/>
      <c r="FJ42" s="195"/>
      <c r="FK42" s="195"/>
      <c r="FL42" s="195"/>
      <c r="FM42" s="195"/>
      <c r="FN42" s="195"/>
      <c r="FO42" s="195"/>
    </row>
    <row r="43" spans="1:171">
      <c r="A43" s="441" t="s">
        <v>112</v>
      </c>
      <c r="B43" s="426" t="str">
        <f>'Portfolio Inputs'!A42</f>
        <v>C&amp;I Custom</v>
      </c>
      <c r="C43" s="356">
        <f>IF($C$1=2014,'Portfolio Inputs'!$C42,IF($C$1=2015,'Portfolio Inputs'!$D42,'Portfolio Inputs'!$E42))</f>
        <v>25</v>
      </c>
      <c r="D43" s="503">
        <v>15</v>
      </c>
      <c r="E43" s="503"/>
      <c r="G43" s="514">
        <f>IF($C$1=2014,'Portfolio Inputs'!$G42,IF($C$1=2015,'Portfolio Inputs'!$H42,'Portfolio Inputs'!$I42))*EnergyLineLoss</f>
        <v>789199.97820447967</v>
      </c>
      <c r="H43" s="514"/>
      <c r="I43" s="511">
        <f>IF($C$1=2014,'Portfolio Inputs'!$K42,IF($C$1=2015,'Portfolio Inputs'!$L42,'Portfolio Inputs'!$M42))*PeakLineLoss</f>
        <v>118.23599788675536</v>
      </c>
      <c r="J43" s="511"/>
      <c r="L43" s="607">
        <f>IF($C$1=2014,'Portfolio Inputs'!$O42,IF($C$1=2015,'Portfolio Inputs'!$P42,'Portfolio Inputs'!$Q42))</f>
        <v>3630</v>
      </c>
      <c r="M43" s="453"/>
      <c r="N43" s="453">
        <f>IF($C$1=2014,'Portfolio Inputs'!$W42,IF($C$1=2015,'Portfolio Inputs'!$X42,'Portfolio Inputs'!$Y42))</f>
        <v>18150</v>
      </c>
      <c r="O43" s="453">
        <f>IF($C$1=2014,'Portfolio Inputs'!$AA42,IF($C$1=2015,'Portfolio Inputs'!$AB42,'Portfolio Inputs'!$AC42))</f>
        <v>8911.6500000000015</v>
      </c>
      <c r="Q43" s="442">
        <f t="shared" si="67"/>
        <v>3.2536033306274854</v>
      </c>
      <c r="R43" s="443">
        <f t="shared" si="68"/>
        <v>11.982250763565073</v>
      </c>
      <c r="S43" s="443">
        <f t="shared" si="69"/>
        <v>4.0531386339315594</v>
      </c>
      <c r="T43" s="443">
        <f t="shared" si="70"/>
        <v>9.0756518225931817</v>
      </c>
      <c r="U43" s="443">
        <f>IF(AE43&gt;0,(AD43+AB43)/AE43,"n/a")</f>
        <v>9.0756518225931817</v>
      </c>
      <c r="V43" s="522">
        <f t="shared" si="72"/>
        <v>0.38948821572366443</v>
      </c>
      <c r="W43" s="522">
        <f t="shared" si="73"/>
        <v>0.38948821572366443</v>
      </c>
      <c r="Y43" s="444">
        <f t="shared" si="4"/>
        <v>297923.07642027817</v>
      </c>
      <c r="Z43" s="444">
        <f t="shared" si="5"/>
        <v>73211.142558374238</v>
      </c>
      <c r="AA43" s="444">
        <f t="shared" si="6"/>
        <v>740045.39038986701</v>
      </c>
      <c r="AB43" s="444">
        <f t="shared" si="7"/>
        <v>740045.39038986701</v>
      </c>
      <c r="AC43" s="445">
        <f t="shared" si="20"/>
        <v>8187.8445424476304</v>
      </c>
      <c r="AD43" s="445">
        <f t="shared" si="21"/>
        <v>16675.85446527012</v>
      </c>
      <c r="AE43" s="526">
        <f t="shared" si="8"/>
        <v>83379.272326350605</v>
      </c>
      <c r="AG43" s="520">
        <f>IF(AND(($E43+$C$1)&gt;AG$4,AG$4&gt;=$C$1),'General Inputs'!D$9*$H43,IF(AND(($D43+$C$1)&gt;AG$4,AG$4&gt;=$C$1),'General Inputs'!D$9*$G43,0))+IF(AND(($E43+$C$1)&gt;AG$4,AG$4&gt;=$C$1),'General Inputs'!D$10*$J43,IF(AND(($D43+$C$1)&gt;AG$4,AG$4&gt;=$C$1),'General Inputs'!D$10*$I43,0))</f>
        <v>0</v>
      </c>
      <c r="AH43" s="520">
        <f>IF(AND(($E43+$C$1)&gt;AH$4,AH$4&gt;=$C$1),'General Inputs'!E$9*$H43,IF(AND(($D43+$C$1)&gt;AH$4,AH$4&gt;=$C$1),'General Inputs'!E$9*$G43,0))+IF(AND(($E43+$C$1)&gt;AH$4,AH$4&gt;=$C$1),'General Inputs'!E$10*$J43,IF(AND(($D43+$C$1)&gt;AH$4,AH$4&gt;=$C$1),'General Inputs'!E$10*$I43,0))</f>
        <v>33688.167520479255</v>
      </c>
      <c r="AI43" s="520">
        <f>IF(AND(($E43+$C$1)&gt;AI$4,AI$4&gt;=$C$1),'General Inputs'!F$9*$H43,IF(AND(($D43+$C$1)&gt;AI$4,AI$4&gt;=$C$1),'General Inputs'!F$9*$G43,0))+IF(AND(($E43+$C$1)&gt;AI$4,AI$4&gt;=$C$1),'General Inputs'!F$10*$J43,IF(AND(($D43+$C$1)&gt;AI$4,AI$4&gt;=$C$1),'General Inputs'!F$10*$I43,0))</f>
        <v>34193.490033286442</v>
      </c>
      <c r="AJ43" s="520">
        <f>IF(AND(($E43+$C$1)&gt;AJ$4,AJ$4&gt;=$C$1),'General Inputs'!G$9*$H43,IF(AND(($D43+$C$1)&gt;AJ$4,AJ$4&gt;=$C$1),'General Inputs'!G$9*$G43,0))+IF(AND(($E43+$C$1)&gt;AJ$4,AJ$4&gt;=$C$1),'General Inputs'!G$10*$J43,IF(AND(($D43+$C$1)&gt;AJ$4,AJ$4&gt;=$C$1),'General Inputs'!G$10*$I43,0))</f>
        <v>34706.392383785729</v>
      </c>
      <c r="AK43" s="520">
        <f>IF(AND(($E43+$C$1)&gt;AK$4,AK$4&gt;=$C$1),'General Inputs'!H$9*$H43,IF(AND(($D43+$C$1)&gt;AK$4,AK$4&gt;=$C$1),'General Inputs'!H$9*$G43,0))+IF(AND(($E43+$C$1)&gt;AK$4,AK$4&gt;=$C$1),'General Inputs'!H$10*$J43,IF(AND(($D43+$C$1)&gt;AK$4,AK$4&gt;=$C$1),'General Inputs'!H$10*$I43,0))</f>
        <v>35226.988269542519</v>
      </c>
      <c r="AL43" s="520">
        <f>IF(AND(($E43+$C$1)&gt;AL$4,AL$4&gt;=$C$1),'General Inputs'!I$9*$H43,IF(AND(($D43+$C$1)&gt;AL$4,AL$4&gt;=$C$1),'General Inputs'!I$9*$G43,0))+IF(AND(($E43+$C$1)&gt;AL$4,AL$4&gt;=$C$1),'General Inputs'!I$10*$J43,IF(AND(($D43+$C$1)&gt;AL$4,AL$4&gt;=$C$1),'General Inputs'!I$10*$I43,0))</f>
        <v>35755.393093585648</v>
      </c>
      <c r="AM43" s="520">
        <f>IF(AND(($E43+$C$1)&gt;AM$4,AM$4&gt;=$C$1),'General Inputs'!J$9*$H43,IF(AND(($D43+$C$1)&gt;AM$4,AM$4&gt;=$C$1),'General Inputs'!J$9*$G43,0))+IF(AND(($E43+$C$1)&gt;AM$4,AM$4&gt;=$C$1),'General Inputs'!J$10*$J43,IF(AND(($D43+$C$1)&gt;AM$4,AM$4&gt;=$C$1),'General Inputs'!J$10*$I43,0))</f>
        <v>36291.723989989427</v>
      </c>
      <c r="AN43" s="520">
        <f>IF(AND(($E43+$C$1)&gt;AN$4,AN$4&gt;=$C$1),'General Inputs'!K$9*$H43,IF(AND(($D43+$C$1)&gt;AN$4,AN$4&gt;=$C$1),'General Inputs'!K$9*$G43,0))+IF(AND(($E43+$C$1)&gt;AN$4,AN$4&gt;=$C$1),'General Inputs'!K$10*$J43,IF(AND(($D43+$C$1)&gt;AN$4,AN$4&gt;=$C$1),'General Inputs'!K$10*$I43,0))</f>
        <v>36836.099849839258</v>
      </c>
      <c r="AO43" s="520">
        <f>IF(AND(($E43+$C$1)&gt;AO$4,AO$4&gt;=$C$1),'General Inputs'!L$9*$H43,IF(AND(($D43+$C$1)&gt;AO$4,AO$4&gt;=$C$1),'General Inputs'!L$9*$G43,0))+IF(AND(($E43+$C$1)&gt;AO$4,AO$4&gt;=$C$1),'General Inputs'!L$10*$J43,IF(AND(($D43+$C$1)&gt;AO$4,AO$4&gt;=$C$1),'General Inputs'!L$10*$I43,0))</f>
        <v>37388.641347586847</v>
      </c>
      <c r="AP43" s="520">
        <f>IF(AND(($E43+$C$1)&gt;AP$4,AP$4&gt;=$C$1),'General Inputs'!M$9*$H43,IF(AND(($D43+$C$1)&gt;AP$4,AP$4&gt;=$C$1),'General Inputs'!M$9*$G43,0))+IF(AND(($E43+$C$1)&gt;AP$4,AP$4&gt;=$C$1),'General Inputs'!M$10*$J43,IF(AND(($D43+$C$1)&gt;AP$4,AP$4&gt;=$C$1),'General Inputs'!M$10*$I43,0))</f>
        <v>37949.470967800647</v>
      </c>
      <c r="AQ43" s="520">
        <f>IF(AND(($E43+$C$1)&gt;AQ$4,AQ$4&gt;=$C$1),'General Inputs'!N$9*$H43,IF(AND(($D43+$C$1)&gt;AQ$4,AQ$4&gt;=$C$1),'General Inputs'!N$9*$G43,0))+IF(AND(($E43+$C$1)&gt;AQ$4,AQ$4&gt;=$C$1),'General Inputs'!N$10*$J43,IF(AND(($D43+$C$1)&gt;AQ$4,AQ$4&gt;=$C$1),'General Inputs'!N$10*$I43,0))</f>
        <v>38518.713032317653</v>
      </c>
      <c r="AR43" s="520">
        <f>IF(AND(($E43+$C$1)&gt;AR$4,AR$4&gt;=$C$1),'General Inputs'!O$9*$H43,IF(AND(($D43+$C$1)&gt;AR$4,AR$4&gt;=$C$1),'General Inputs'!O$9*$G43,0))+IF(AND(($E43+$C$1)&gt;AR$4,AR$4&gt;=$C$1),'General Inputs'!O$10*$J43,IF(AND(($D43+$C$1)&gt;AR$4,AR$4&gt;=$C$1),'General Inputs'!O$10*$I43,0))</f>
        <v>39096.493727802415</v>
      </c>
      <c r="AS43" s="520">
        <f>IF(AND(($E43+$C$1)&gt;AS$4,AS$4&gt;=$C$1),'General Inputs'!P$9*$H43,IF(AND(($D43+$C$1)&gt;AS$4,AS$4&gt;=$C$1),'General Inputs'!P$9*$G43,0))+IF(AND(($E43+$C$1)&gt;AS$4,AS$4&gt;=$C$1),'General Inputs'!P$10*$J43,IF(AND(($D43+$C$1)&gt;AS$4,AS$4&gt;=$C$1),'General Inputs'!P$10*$I43,0))</f>
        <v>39682.941133719447</v>
      </c>
      <c r="AT43" s="520">
        <f>IF(AND(($E43+$C$1)&gt;AT$4,AT$4&gt;=$C$1),'General Inputs'!Q$9*$H43,IF(AND(($D43+$C$1)&gt;AT$4,AT$4&gt;=$C$1),'General Inputs'!Q$9*$G43,0))+IF(AND(($E43+$C$1)&gt;AT$4,AT$4&gt;=$C$1),'General Inputs'!Q$10*$J43,IF(AND(($D43+$C$1)&gt;AT$4,AT$4&gt;=$C$1),'General Inputs'!Q$10*$I43,0))</f>
        <v>40278.185250725233</v>
      </c>
      <c r="AU43" s="520">
        <f>IF(AND(($E43+$C$1)&gt;AU$4,AU$4&gt;=$C$1),'General Inputs'!R$9*$H43,IF(AND(($D43+$C$1)&gt;AU$4,AU$4&gt;=$C$1),'General Inputs'!R$9*$G43,0))+IF(AND(($E43+$C$1)&gt;AU$4,AU$4&gt;=$C$1),'General Inputs'!R$10*$J43,IF(AND(($D43+$C$1)&gt;AU$4,AU$4&gt;=$C$1),'General Inputs'!R$10*$I43,0))</f>
        <v>40882.358029486117</v>
      </c>
      <c r="AV43" s="520">
        <f>IF(AND(($E43+$C$1)&gt;AV$4,AV$4&gt;=$C$1),'General Inputs'!S$9*$H43,IF(AND(($D43+$C$1)&gt;AV$4,AV$4&gt;=$C$1),'General Inputs'!S$9*$G43,0))+IF(AND(($E43+$C$1)&gt;AV$4,AV$4&gt;=$C$1),'General Inputs'!S$10*$J43,IF(AND(($D43+$C$1)&gt;AV$4,AV$4&gt;=$C$1),'General Inputs'!S$10*$I43,0))</f>
        <v>41495.593399928403</v>
      </c>
      <c r="AW43" s="520">
        <f>IF(AND(($E43+$C$1)&gt;AW$4,AW$4&gt;=$C$1),'General Inputs'!T$9*$H43,IF(AND(($D43+$C$1)&gt;AW$4,AW$4&gt;=$C$1),'General Inputs'!T$9*$G43,0))+IF(AND(($E43+$C$1)&gt;AW$4,AW$4&gt;=$C$1),'General Inputs'!T$10*$J43,IF(AND(($D43+$C$1)&gt;AW$4,AW$4&gt;=$C$1),'General Inputs'!T$10*$I43,0))</f>
        <v>0</v>
      </c>
      <c r="AX43" s="520">
        <f>IF(AND(($E43+$C$1)&gt;AX$4,AX$4&gt;=$C$1),'General Inputs'!U$9*$H43,IF(AND(($D43+$C$1)&gt;AX$4,AX$4&gt;=$C$1),'General Inputs'!U$9*$G43,0))+IF(AND(($E43+$C$1)&gt;AX$4,AX$4&gt;=$C$1),'General Inputs'!U$10*$J43,IF(AND(($D43+$C$1)&gt;AX$4,AX$4&gt;=$C$1),'General Inputs'!U$10*$I43,0))</f>
        <v>0</v>
      </c>
      <c r="AY43" s="520">
        <f>IF(AND(($E43+$C$1)&gt;AY$4,AY$4&gt;=$C$1),'General Inputs'!V$9*$H43,IF(AND(($D43+$C$1)&gt;AY$4,AY$4&gt;=$C$1),'General Inputs'!V$9*$G43,0))+IF(AND(($E43+$C$1)&gt;AY$4,AY$4&gt;=$C$1),'General Inputs'!V$10*$J43,IF(AND(($D43+$C$1)&gt;AY$4,AY$4&gt;=$C$1),'General Inputs'!V$10*$I43,0))</f>
        <v>0</v>
      </c>
      <c r="AZ43" s="520">
        <f>IF(AND(($E43+$C$1)&gt;AZ$4,AZ$4&gt;=$C$1),'General Inputs'!W$9*$H43,IF(AND(($D43+$C$1)&gt;AZ$4,AZ$4&gt;=$C$1),'General Inputs'!W$9*$G43,0))+IF(AND(($E43+$C$1)&gt;AZ$4,AZ$4&gt;=$C$1),'General Inputs'!W$10*$J43,IF(AND(($D43+$C$1)&gt;AZ$4,AZ$4&gt;=$C$1),'General Inputs'!W$10*$I43,0))</f>
        <v>0</v>
      </c>
      <c r="BB43" s="520">
        <f>IF(AND(($E43+$C$1)&gt;BB$4,BB$4&gt;=$C$1),'General Inputs'!D$11*$H43,IF(AND(($D43+$C$1)&gt;BB$4,BB$4&gt;=$C$1),'General Inputs'!D$11*$G43,0))</f>
        <v>0</v>
      </c>
      <c r="BC43" s="520">
        <f>IF(AND(($E43+$C$1)&gt;BC$4,BC$4&gt;=$C$1),'General Inputs'!E$11*$H43,IF(AND(($D43+$C$1)&gt;BC$4,BC$4&gt;=$C$1),'General Inputs'!E$11*$G43,0))</f>
        <v>8996.8797515310689</v>
      </c>
      <c r="BD43" s="520">
        <f>IF(AND(($E43+$C$1)&gt;BD$4,BD$4&gt;=$C$1),'General Inputs'!F$11*$H43,IF(AND(($D43+$C$1)&gt;BD$4,BD$4&gt;=$C$1),'General Inputs'!F$11*$G43,0))</f>
        <v>8996.8797515310689</v>
      </c>
      <c r="BE43" s="520">
        <f>IF(AND(($E43+$C$1)&gt;BE$4,BE$4&gt;=$C$1),'General Inputs'!G$11*$H43,IF(AND(($D43+$C$1)&gt;BE$4,BE$4&gt;=$C$1),'General Inputs'!G$11*$G43,0))</f>
        <v>8996.8797515310689</v>
      </c>
      <c r="BF43" s="520">
        <f>IF(AND(($E43+$C$1)&gt;BF$4,BF$4&gt;=$C$1),'General Inputs'!H$11*$H43,IF(AND(($D43+$C$1)&gt;BF$4,BF$4&gt;=$C$1),'General Inputs'!H$11*$G43,0))</f>
        <v>8996.8797515310689</v>
      </c>
      <c r="BG43" s="520">
        <f>IF(AND(($E43+$C$1)&gt;BG$4,BG$4&gt;=$C$1),'General Inputs'!I$11*$H43,IF(AND(($D43+$C$1)&gt;BG$4,BG$4&gt;=$C$1),'General Inputs'!I$11*$G43,0))</f>
        <v>8996.8797515310689</v>
      </c>
      <c r="BH43" s="520">
        <f>IF(AND(($E43+$C$1)&gt;BH$4,BH$4&gt;=$C$1),'General Inputs'!J$11*$H43,IF(AND(($D43+$C$1)&gt;BH$4,BH$4&gt;=$C$1),'General Inputs'!J$11*$G43,0))</f>
        <v>8996.8797515310689</v>
      </c>
      <c r="BI43" s="520">
        <f>IF(AND(($E43+$C$1)&gt;BI$4,BI$4&gt;=$C$1),'General Inputs'!K$11*$H43,IF(AND(($D43+$C$1)&gt;BI$4,BI$4&gt;=$C$1),'General Inputs'!K$11*$G43,0))</f>
        <v>8996.8797515310689</v>
      </c>
      <c r="BJ43" s="520">
        <f>IF(AND(($E43+$C$1)&gt;BJ$4,BJ$4&gt;=$C$1),'General Inputs'!L$11*$H43,IF(AND(($D43+$C$1)&gt;BJ$4,BJ$4&gt;=$C$1),'General Inputs'!L$11*$G43,0))</f>
        <v>8996.8797515310689</v>
      </c>
      <c r="BK43" s="520">
        <f>IF(AND(($E43+$C$1)&gt;BK$4,BK$4&gt;=$C$1),'General Inputs'!M$11*$H43,IF(AND(($D43+$C$1)&gt;BK$4,BK$4&gt;=$C$1),'General Inputs'!M$11*$G43,0))</f>
        <v>8996.8797515310689</v>
      </c>
      <c r="BL43" s="520">
        <f>IF(AND(($E43+$C$1)&gt;BL$4,BL$4&gt;=$C$1),'General Inputs'!N$11*$H43,IF(AND(($D43+$C$1)&gt;BL$4,BL$4&gt;=$C$1),'General Inputs'!N$11*$G43,0))</f>
        <v>8996.8797515310689</v>
      </c>
      <c r="BM43" s="520">
        <f>IF(AND(($E43+$C$1)&gt;BM$4,BM$4&gt;=$C$1),'General Inputs'!O$11*$H43,IF(AND(($D43+$C$1)&gt;BM$4,BM$4&gt;=$C$1),'General Inputs'!O$11*$G43,0))</f>
        <v>8996.8797515310689</v>
      </c>
      <c r="BN43" s="520">
        <f>IF(AND(($E43+$C$1)&gt;BN$4,BN$4&gt;=$C$1),'General Inputs'!P$11*$H43,IF(AND(($D43+$C$1)&gt;BN$4,BN$4&gt;=$C$1),'General Inputs'!P$11*$G43,0))</f>
        <v>8996.8797515310689</v>
      </c>
      <c r="BO43" s="520">
        <f>IF(AND(($E43+$C$1)&gt;BO$4,BO$4&gt;=$C$1),'General Inputs'!Q$11*$H43,IF(AND(($D43+$C$1)&gt;BO$4,BO$4&gt;=$C$1),'General Inputs'!Q$11*$G43,0))</f>
        <v>8996.8797515310689</v>
      </c>
      <c r="BP43" s="520">
        <f>IF(AND(($E43+$C$1)&gt;BP$4,BP$4&gt;=$C$1),'General Inputs'!R$11*$H43,IF(AND(($D43+$C$1)&gt;BP$4,BP$4&gt;=$C$1),'General Inputs'!R$11*$G43,0))</f>
        <v>8996.8797515310689</v>
      </c>
      <c r="BQ43" s="520">
        <f>IF(AND(($E43+$C$1)&gt;BQ$4,BQ$4&gt;=$C$1),'General Inputs'!S$11*$H43,IF(AND(($D43+$C$1)&gt;BQ$4,BQ$4&gt;=$C$1),'General Inputs'!S$11*$G43,0))</f>
        <v>8996.8797515310689</v>
      </c>
      <c r="BR43" s="520">
        <f>IF(AND(($E43+$C$1)&gt;BR$4,BR$4&gt;=$C$1),'General Inputs'!T$11*$H43,IF(AND(($D43+$C$1)&gt;BR$4,BR$4&gt;=$C$1),'General Inputs'!T$11*$G43,0))</f>
        <v>0</v>
      </c>
      <c r="BS43" s="520">
        <f>IF(AND(($E43+$C$1)&gt;BS$4,BS$4&gt;=$C$1),'General Inputs'!U$11*$H43,IF(AND(($D43+$C$1)&gt;BS$4,BS$4&gt;=$C$1),'General Inputs'!U$11*$G43,0))</f>
        <v>0</v>
      </c>
      <c r="BT43" s="520">
        <f>IF(AND(($E43+$C$1)&gt;BT$4,BT$4&gt;=$C$1),'General Inputs'!V$11*$H43,IF(AND(($D43+$C$1)&gt;BT$4,BT$4&gt;=$C$1),'General Inputs'!V$11*$G43,0))</f>
        <v>0</v>
      </c>
      <c r="BU43" s="520">
        <f>IF(AND(($E43+$C$1)&gt;BU$4,BU$4&gt;=$C$1),'General Inputs'!W$11*$H43,IF(AND(($D43+$C$1)&gt;BU$4,BU$4&gt;=$C$1),'General Inputs'!W$11*$G43,0))</f>
        <v>0</v>
      </c>
      <c r="BW43" s="520">
        <f>IF(AND(($E43+$C$1)&gt;BW$4,BW$4&gt;=$C$1),$H43,IF(AND(($D43+$C$1)&gt;BW$4,BW$4&gt;=$C$1),$G43,0))*IF($A43="Residential",'General Inputs'!D$14,'General Inputs'!D$19)</f>
        <v>0</v>
      </c>
      <c r="BX43" s="520">
        <f>IF(AND(($E43+$C$1)&gt;BX$4,BX$4&gt;=$C$1),$H43,IF(AND(($D43+$C$1)&gt;BX$4,BX$4&gt;=$C$1),$G43,0))*IF($A43="Residential",'General Inputs'!E$14,'General Inputs'!E$19)</f>
        <v>83681.91341124117</v>
      </c>
      <c r="BY43" s="520">
        <f>IF(AND(($E43+$C$1)&gt;BY$4,BY$4&gt;=$C$1),$H43,IF(AND(($D43+$C$1)&gt;BY$4,BY$4&gt;=$C$1),$G43,0))*IF($A43="Residential",'General Inputs'!F$14,'General Inputs'!F$19)</f>
        <v>84937.142112409798</v>
      </c>
      <c r="BZ43" s="520">
        <f>IF(AND(($E43+$C$1)&gt;BZ$4,BZ$4&gt;=$C$1),$H43,IF(AND(($D43+$C$1)&gt;BZ$4,BZ$4&gt;=$C$1),$G43,0))*IF($A43="Residential",'General Inputs'!G$14,'General Inputs'!G$19)</f>
        <v>86211.199244095929</v>
      </c>
      <c r="CA43" s="520">
        <f>IF(AND(($E43+$C$1)&gt;CA$4,CA$4&gt;=$C$1),$H43,IF(AND(($D43+$C$1)&gt;CA$4,CA$4&gt;=$C$1),$G43,0))*IF($A43="Residential",'General Inputs'!H$14,'General Inputs'!H$19)</f>
        <v>87504.367232757344</v>
      </c>
      <c r="CB43" s="520">
        <f>IF(AND(($E43+$C$1)&gt;CB$4,CB$4&gt;=$C$1),$H43,IF(AND(($D43+$C$1)&gt;CB$4,CB$4&gt;=$C$1),$G43,0))*IF($A43="Residential",'General Inputs'!I$14,'General Inputs'!I$19)</f>
        <v>88816.932741248704</v>
      </c>
      <c r="CC43" s="520">
        <f>IF(AND(($E43+$C$1)&gt;CC$4,CC$4&gt;=$C$1),$H43,IF(AND(($D43+$C$1)&gt;CC$4,CC$4&gt;=$C$1),$G43,0))*IF($A43="Residential",'General Inputs'!J$14,'General Inputs'!J$19)</f>
        <v>90149.186732367423</v>
      </c>
      <c r="CD43" s="520">
        <f>IF(AND(($E43+$C$1)&gt;CD$4,CD$4&gt;=$C$1),$H43,IF(AND(($D43+$C$1)&gt;CD$4,CD$4&gt;=$C$1),$G43,0))*IF($A43="Residential",'General Inputs'!K$14,'General Inputs'!K$19)</f>
        <v>91501.424533352925</v>
      </c>
      <c r="CE43" s="520">
        <f>IF(AND(($E43+$C$1)&gt;CE$4,CE$4&gt;=$C$1),$H43,IF(AND(($D43+$C$1)&gt;CE$4,CE$4&gt;=$C$1),$G43,0))*IF($A43="Residential",'General Inputs'!L$14,'General Inputs'!L$19)</f>
        <v>92873.945901353218</v>
      </c>
      <c r="CF43" s="520">
        <f>IF(AND(($E43+$C$1)&gt;CF$4,CF$4&gt;=$C$1),$H43,IF(AND(($D43+$C$1)&gt;CF$4,CF$4&gt;=$C$1),$G43,0))*IF($A43="Residential",'General Inputs'!M$14,'General Inputs'!M$19)</f>
        <v>94267.055089873495</v>
      </c>
      <c r="CG43" s="520">
        <f>IF(AND(($E43+$C$1)&gt;CG$4,CG$4&gt;=$C$1),$H43,IF(AND(($D43+$C$1)&gt;CG$4,CG$4&gt;=$C$1),$G43,0))*IF($A43="Residential",'General Inputs'!N$14,'General Inputs'!N$19)</f>
        <v>95681.060916221599</v>
      </c>
      <c r="CH43" s="520">
        <f>IF(AND(($E43+$C$1)&gt;CH$4,CH$4&gt;=$C$1),$H43,IF(AND(($D43+$C$1)&gt;CH$4,CH$4&gt;=$C$1),$G43,0))*IF($A43="Residential",'General Inputs'!O$14,'General Inputs'!O$19)</f>
        <v>97116.276829964903</v>
      </c>
      <c r="CI43" s="520">
        <f>IF(AND(($E43+$C$1)&gt;CI$4,CI$4&gt;=$C$1),$H43,IF(AND(($D43+$C$1)&gt;CI$4,CI$4&gt;=$C$1),$G43,0))*IF($A43="Residential",'General Inputs'!P$14,'General Inputs'!P$19)</f>
        <v>98573.020982414382</v>
      </c>
      <c r="CJ43" s="520">
        <f>IF(AND(($E43+$C$1)&gt;CJ$4,CJ$4&gt;=$C$1),$H43,IF(AND(($D43+$C$1)&gt;CJ$4,CJ$4&gt;=$C$1),$G43,0))*IF($A43="Residential",'General Inputs'!Q$14,'General Inputs'!Q$19)</f>
        <v>100051.61629715058</v>
      </c>
      <c r="CK43" s="520">
        <f>IF(AND(($E43+$C$1)&gt;CK$4,CK$4&gt;=$C$1),$H43,IF(AND(($D43+$C$1)&gt;CK$4,CK$4&gt;=$C$1),$G43,0))*IF($A43="Residential",'General Inputs'!R$14,'General Inputs'!R$19)</f>
        <v>101552.39054160782</v>
      </c>
      <c r="CL43" s="520">
        <f>IF(AND(($E43+$C$1)&gt;CL$4,CL$4&gt;=$C$1),$H43,IF(AND(($D43+$C$1)&gt;CL$4,CL$4&gt;=$C$1),$G43,0))*IF($A43="Residential",'General Inputs'!S$14,'General Inputs'!S$19)</f>
        <v>103075.67639973194</v>
      </c>
      <c r="CM43" s="520">
        <f>IF(AND(($E43+$C$1)&gt;CM$4,CM$4&gt;=$C$1),$H43,IF(AND(($D43+$C$1)&gt;CM$4,CM$4&gt;=$C$1),$G43,0))*IF($A43="Residential",'General Inputs'!T$14,'General Inputs'!T$19)</f>
        <v>0</v>
      </c>
      <c r="CN43" s="520">
        <f>IF(AND(($E43+$C$1)&gt;CN$4,CN$4&gt;=$C$1),$H43,IF(AND(($D43+$C$1)&gt;CN$4,CN$4&gt;=$C$1),$G43,0))*IF($A43="Residential",'General Inputs'!U$14,'General Inputs'!U$19)</f>
        <v>0</v>
      </c>
      <c r="CO43" s="520">
        <f>IF(AND(($E43+$C$1)&gt;CO$4,CO$4&gt;=$C$1),$H43,IF(AND(($D43+$C$1)&gt;CO$4,CO$4&gt;=$C$1),$G43,0))*IF($A43="Residential",'General Inputs'!V$14,'General Inputs'!V$19)</f>
        <v>0</v>
      </c>
      <c r="CP43" s="520">
        <f>IF(AND(($E43+$C$1)&gt;CP$4,CP$4&gt;=$C$1),$H43,IF(AND(($D43+$C$1)&gt;CP$4,CP$4&gt;=$C$1),$G43,0))*IF($A43="Residential",'General Inputs'!W$14,'General Inputs'!W$19)</f>
        <v>0</v>
      </c>
      <c r="CR43" s="520">
        <f>IF(AND(($E43+$C$1)&gt;CR$4,CR$4&gt;=$C$1),$H43,IF(AND(($D43+$C$1)&gt;CR$4,CR$4&gt;=$C$1),$G43,0))*IF($A43="Residential",'General Inputs'!D$15,'General Inputs'!D$19)</f>
        <v>0</v>
      </c>
      <c r="CS43" s="520">
        <f>IF(AND(($E43+$C$1)&gt;CS$4,CS$4&gt;=$C$1),$H43,IF(AND(($D43+$C$1)&gt;CS$4,CS$4&gt;=$C$1),$G43,0))*IF($A43="Residential",'General Inputs'!E$15,'General Inputs'!E$19)</f>
        <v>83681.91341124117</v>
      </c>
      <c r="CT43" s="520">
        <f>IF(AND(($E43+$C$1)&gt;CT$4,CT$4&gt;=$C$1),$H43,IF(AND(($D43+$C$1)&gt;CT$4,CT$4&gt;=$C$1),$G43,0))*IF($A43="Residential",'General Inputs'!F$15,'General Inputs'!F$19)</f>
        <v>84937.142112409798</v>
      </c>
      <c r="CU43" s="520">
        <f>IF(AND(($E43+$C$1)&gt;CU$4,CU$4&gt;=$C$1),$H43,IF(AND(($D43+$C$1)&gt;CU$4,CU$4&gt;=$C$1),$G43,0))*IF($A43="Residential",'General Inputs'!G$15,'General Inputs'!G$19)</f>
        <v>86211.199244095929</v>
      </c>
      <c r="CV43" s="520">
        <f>IF(AND(($E43+$C$1)&gt;CV$4,CV$4&gt;=$C$1),$H43,IF(AND(($D43+$C$1)&gt;CV$4,CV$4&gt;=$C$1),$G43,0))*IF($A43="Residential",'General Inputs'!H$15,'General Inputs'!H$19)</f>
        <v>87504.367232757344</v>
      </c>
      <c r="CW43" s="520">
        <f>IF(AND(($E43+$C$1)&gt;CW$4,CW$4&gt;=$C$1),$H43,IF(AND(($D43+$C$1)&gt;CW$4,CW$4&gt;=$C$1),$G43,0))*IF($A43="Residential",'General Inputs'!I$15,'General Inputs'!I$19)</f>
        <v>88816.932741248704</v>
      </c>
      <c r="CX43" s="520">
        <f>IF(AND(($E43+$C$1)&gt;CX$4,CX$4&gt;=$C$1),$H43,IF(AND(($D43+$C$1)&gt;CX$4,CX$4&gt;=$C$1),$G43,0))*IF($A43="Residential",'General Inputs'!J$15,'General Inputs'!J$19)</f>
        <v>90149.186732367423</v>
      </c>
      <c r="CY43" s="520">
        <f>IF(AND(($E43+$C$1)&gt;CY$4,CY$4&gt;=$C$1),$H43,IF(AND(($D43+$C$1)&gt;CY$4,CY$4&gt;=$C$1),$G43,0))*IF($A43="Residential",'General Inputs'!K$15,'General Inputs'!K$19)</f>
        <v>91501.424533352925</v>
      </c>
      <c r="CZ43" s="520">
        <f>IF(AND(($E43+$C$1)&gt;CZ$4,CZ$4&gt;=$C$1),$H43,IF(AND(($D43+$C$1)&gt;CZ$4,CZ$4&gt;=$C$1),$G43,0))*IF($A43="Residential",'General Inputs'!L$15,'General Inputs'!L$19)</f>
        <v>92873.945901353218</v>
      </c>
      <c r="DA43" s="520">
        <f>IF(AND(($E43+$C$1)&gt;DA$4,DA$4&gt;=$C$1),$H43,IF(AND(($D43+$C$1)&gt;DA$4,DA$4&gt;=$C$1),$G43,0))*IF($A43="Residential",'General Inputs'!M$15,'General Inputs'!M$19)</f>
        <v>94267.055089873495</v>
      </c>
      <c r="DB43" s="520">
        <f>IF(AND(($E43+$C$1)&gt;DB$4,DB$4&gt;=$C$1),$H43,IF(AND(($D43+$C$1)&gt;DB$4,DB$4&gt;=$C$1),$G43,0))*IF($A43="Residential",'General Inputs'!N$15,'General Inputs'!N$19)</f>
        <v>95681.060916221599</v>
      </c>
      <c r="DC43" s="520">
        <f>IF(AND(($E43+$C$1)&gt;DC$4,DC$4&gt;=$C$1),$H43,IF(AND(($D43+$C$1)&gt;DC$4,DC$4&gt;=$C$1),$G43,0))*IF($A43="Residential",'General Inputs'!O$15,'General Inputs'!O$19)</f>
        <v>97116.276829964903</v>
      </c>
      <c r="DD43" s="520">
        <f>IF(AND(($E43+$C$1)&gt;DD$4,DD$4&gt;=$C$1),$H43,IF(AND(($D43+$C$1)&gt;DD$4,DD$4&gt;=$C$1),$G43,0))*IF($A43="Residential",'General Inputs'!P$15,'General Inputs'!P$19)</f>
        <v>98573.020982414382</v>
      </c>
      <c r="DE43" s="520">
        <f>IF(AND(($E43+$C$1)&gt;DE$4,DE$4&gt;=$C$1),$H43,IF(AND(($D43+$C$1)&gt;DE$4,DE$4&gt;=$C$1),$G43,0))*IF($A43="Residential",'General Inputs'!Q$15,'General Inputs'!Q$19)</f>
        <v>100051.61629715058</v>
      </c>
      <c r="DF43" s="520">
        <f>IF(AND(($E43+$C$1)&gt;DF$4,DF$4&gt;=$C$1),$H43,IF(AND(($D43+$C$1)&gt;DF$4,DF$4&gt;=$C$1),$G43,0))*IF($A43="Residential",'General Inputs'!R$15,'General Inputs'!R$19)</f>
        <v>101552.39054160782</v>
      </c>
      <c r="DG43" s="520">
        <f>IF(AND(($E43+$C$1)&gt;DG$4,DG$4&gt;=$C$1),$H43,IF(AND(($D43+$C$1)&gt;DG$4,DG$4&gt;=$C$1),$G43,0))*IF($A43="Residential",'General Inputs'!S$15,'General Inputs'!S$19)</f>
        <v>103075.67639973194</v>
      </c>
      <c r="DH43" s="520">
        <f>IF(AND(($E43+$C$1)&gt;DH$4,DH$4&gt;=$C$1),$H43,IF(AND(($D43+$C$1)&gt;DH$4,DH$4&gt;=$C$1),$G43,0))*IF($A43="Residential",'General Inputs'!T$15,'General Inputs'!T$19)</f>
        <v>0</v>
      </c>
      <c r="DI43" s="520">
        <f>IF(AND(($E43+$C$1)&gt;DI$4,DI$4&gt;=$C$1),$H43,IF(AND(($D43+$C$1)&gt;DI$4,DI$4&gt;=$C$1),$G43,0))*IF($A43="Residential",'General Inputs'!U$15,'General Inputs'!U$19)</f>
        <v>0</v>
      </c>
      <c r="DJ43" s="520">
        <f>IF(AND(($E43+$C$1)&gt;DJ$4,DJ$4&gt;=$C$1),$H43,IF(AND(($D43+$C$1)&gt;DJ$4,DJ$4&gt;=$C$1),$G43,0))*IF($A43="Residential",'General Inputs'!V$15,'General Inputs'!V$19)</f>
        <v>0</v>
      </c>
      <c r="DK43" s="520">
        <f>IF(AND(($E43+$C$1)&gt;DK$4,DK$4&gt;=$C$1),$H43,IF(AND(($D43+$C$1)&gt;DK$4,DK$4&gt;=$C$1),$G43,0))*IF($A43="Residential",'General Inputs'!W$15,'General Inputs'!W$19)</f>
        <v>0</v>
      </c>
      <c r="DM43" s="524">
        <f>IF($C$1=DM$4,$L43*$C43,IF($E43+$C$1=DM$4,-$M43*$C43,0))</f>
        <v>0</v>
      </c>
      <c r="DN43" s="524">
        <f t="shared" si="78"/>
        <v>90750</v>
      </c>
      <c r="DO43" s="524">
        <f t="shared" si="78"/>
        <v>0</v>
      </c>
      <c r="DP43" s="524">
        <f t="shared" si="78"/>
        <v>0</v>
      </c>
      <c r="DQ43" s="524">
        <f t="shared" si="78"/>
        <v>0</v>
      </c>
      <c r="DR43" s="524">
        <f t="shared" si="78"/>
        <v>0</v>
      </c>
      <c r="DS43" s="524">
        <f t="shared" si="78"/>
        <v>0</v>
      </c>
      <c r="DT43" s="524">
        <f t="shared" si="78"/>
        <v>0</v>
      </c>
      <c r="DU43" s="524">
        <f t="shared" si="78"/>
        <v>0</v>
      </c>
      <c r="DV43" s="524">
        <f t="shared" si="78"/>
        <v>0</v>
      </c>
      <c r="DW43" s="524">
        <f t="shared" si="78"/>
        <v>0</v>
      </c>
      <c r="DZ43" s="650"/>
    </row>
    <row r="44" spans="1:171">
      <c r="A44" s="441" t="s">
        <v>112</v>
      </c>
      <c r="B44" s="426" t="str">
        <f>'Portfolio Inputs'!A43</f>
        <v>C&amp;I Prescriptive</v>
      </c>
      <c r="C44" s="356">
        <f>IF($C$1=2014,'Portfolio Inputs'!$C43,IF($C$1=2015,'Portfolio Inputs'!$D43,'Portfolio Inputs'!$E43))</f>
        <v>148</v>
      </c>
      <c r="D44" s="503"/>
      <c r="E44" s="503"/>
      <c r="G44" s="514">
        <f>IF($C$1=2014,'Portfolio Inputs'!$G43,IF($C$1=2015,'Portfolio Inputs'!$H43,'Portfolio Inputs'!$I43))*EnergyLineLoss</f>
        <v>654164.62657943473</v>
      </c>
      <c r="H44" s="514"/>
      <c r="I44" s="511">
        <f>IF($C$1=2014,'Portfolio Inputs'!$K43,IF($C$1=2015,'Portfolio Inputs'!$L43,'Portfolio Inputs'!$M43))*PeakLineLoss</f>
        <v>83.273117621984454</v>
      </c>
      <c r="J44" s="511"/>
      <c r="L44" s="453"/>
      <c r="M44" s="453"/>
      <c r="N44" s="453">
        <f>IF($C$1=2014,'Portfolio Inputs'!$W43,IF($C$1=2015,'Portfolio Inputs'!$X43,'Portfolio Inputs'!$Y43))</f>
        <v>31972</v>
      </c>
      <c r="O44" s="453">
        <f>IF($C$1=2014,'Portfolio Inputs'!$AA43,IF($C$1=2015,'Portfolio Inputs'!$AB43,'Portfolio Inputs'!$AC43))</f>
        <v>21740.959999999999</v>
      </c>
      <c r="Q44" s="442">
        <f t="shared" si="67"/>
        <v>2.1728187158520331</v>
      </c>
      <c r="R44" s="443">
        <f t="shared" si="68"/>
        <v>4.9475709204678004</v>
      </c>
      <c r="S44" s="443">
        <f t="shared" si="69"/>
        <v>2.711006827751016</v>
      </c>
      <c r="T44" s="443">
        <f t="shared" si="70"/>
        <v>6.9350282090057176</v>
      </c>
      <c r="U44" s="443">
        <f>IF(AE44&gt;0,(AD44+AB44)/AE44,"n/a")</f>
        <v>6.9350282090057176</v>
      </c>
      <c r="V44" s="522">
        <f t="shared" si="72"/>
        <v>0.3695254371087987</v>
      </c>
      <c r="W44" s="522">
        <f t="shared" si="73"/>
        <v>0.3695254371087987</v>
      </c>
      <c r="X44" s="194"/>
      <c r="Y44" s="444">
        <f t="shared" si="4"/>
        <v>244164.53413106405</v>
      </c>
      <c r="Z44" s="444">
        <f t="shared" si="5"/>
        <v>60477.410590217325</v>
      </c>
      <c r="AA44" s="444">
        <f t="shared" si="6"/>
        <v>611401.24204213521</v>
      </c>
      <c r="AB44" s="444">
        <f t="shared" si="7"/>
        <v>611401.24204213521</v>
      </c>
      <c r="AC44" s="445">
        <f t="shared" si="20"/>
        <v>19975.156192576258</v>
      </c>
      <c r="AD44" s="445">
        <f t="shared" si="21"/>
        <v>29375.229694965084</v>
      </c>
      <c r="AE44" s="526">
        <f t="shared" si="8"/>
        <v>92397.096655641304</v>
      </c>
      <c r="AG44" s="446">
        <f>AG45+AG86+AG91+AG94</f>
        <v>0</v>
      </c>
      <c r="AH44" s="446">
        <f t="shared" ref="AH44:AZ44" si="88">AH45+AH86+AH91+AH94</f>
        <v>27700.074111959009</v>
      </c>
      <c r="AI44" s="446">
        <f t="shared" si="88"/>
        <v>28115.575223638392</v>
      </c>
      <c r="AJ44" s="446">
        <f t="shared" si="88"/>
        <v>28537.308851992966</v>
      </c>
      <c r="AK44" s="446">
        <f t="shared" si="88"/>
        <v>28965.368484772858</v>
      </c>
      <c r="AL44" s="446">
        <f t="shared" si="88"/>
        <v>29399.849012044448</v>
      </c>
      <c r="AM44" s="446">
        <f t="shared" si="88"/>
        <v>29840.84674722511</v>
      </c>
      <c r="AN44" s="446">
        <f t="shared" si="88"/>
        <v>30269.445606002962</v>
      </c>
      <c r="AO44" s="446">
        <f t="shared" si="88"/>
        <v>30723.487290093006</v>
      </c>
      <c r="AP44" s="446">
        <f t="shared" si="88"/>
        <v>31087.539052409633</v>
      </c>
      <c r="AQ44" s="446">
        <f t="shared" si="88"/>
        <v>31553.852138195776</v>
      </c>
      <c r="AR44" s="446">
        <f t="shared" si="88"/>
        <v>30917.515252325185</v>
      </c>
      <c r="AS44" s="446">
        <f t="shared" si="88"/>
        <v>31086.376865288083</v>
      </c>
      <c r="AT44" s="446">
        <f t="shared" si="88"/>
        <v>31552.672518267402</v>
      </c>
      <c r="AU44" s="446">
        <f t="shared" si="88"/>
        <v>32025.962606041412</v>
      </c>
      <c r="AV44" s="446">
        <f t="shared" si="88"/>
        <v>32506.352045132026</v>
      </c>
      <c r="AW44" s="446">
        <f t="shared" si="88"/>
        <v>2584.6035841302996</v>
      </c>
      <c r="AX44" s="446">
        <f t="shared" si="88"/>
        <v>2528.8026076870538</v>
      </c>
      <c r="AY44" s="446">
        <f t="shared" si="88"/>
        <v>2566.7346468023597</v>
      </c>
      <c r="AZ44" s="446">
        <f t="shared" si="88"/>
        <v>0</v>
      </c>
      <c r="BB44" s="446">
        <f t="shared" ref="BB44:BU44" si="89">BB45+BB86+BB91+BB94</f>
        <v>0</v>
      </c>
      <c r="BC44" s="446">
        <f t="shared" si="89"/>
        <v>7457.4767430055572</v>
      </c>
      <c r="BD44" s="446">
        <f t="shared" si="89"/>
        <v>7457.4767430055572</v>
      </c>
      <c r="BE44" s="446">
        <f t="shared" si="89"/>
        <v>7457.4767430055572</v>
      </c>
      <c r="BF44" s="446">
        <f t="shared" si="89"/>
        <v>7457.4767430055572</v>
      </c>
      <c r="BG44" s="446">
        <f t="shared" si="89"/>
        <v>7457.4767430055572</v>
      </c>
      <c r="BH44" s="446">
        <f t="shared" si="89"/>
        <v>7457.4767430055572</v>
      </c>
      <c r="BI44" s="446">
        <f t="shared" si="89"/>
        <v>7452.8407290880568</v>
      </c>
      <c r="BJ44" s="446">
        <f t="shared" si="89"/>
        <v>7452.8407290880568</v>
      </c>
      <c r="BK44" s="446">
        <f t="shared" si="89"/>
        <v>7428.8862946360568</v>
      </c>
      <c r="BL44" s="446">
        <f t="shared" si="89"/>
        <v>7428.8862946360568</v>
      </c>
      <c r="BM44" s="446">
        <f t="shared" si="89"/>
        <v>7173.9717579438075</v>
      </c>
      <c r="BN44" s="446">
        <f t="shared" si="89"/>
        <v>7107.2264032858566</v>
      </c>
      <c r="BO44" s="446">
        <f t="shared" si="89"/>
        <v>7107.2264032858566</v>
      </c>
      <c r="BP44" s="446">
        <f t="shared" si="89"/>
        <v>7107.2264032858566</v>
      </c>
      <c r="BQ44" s="446">
        <f t="shared" si="89"/>
        <v>7107.2264032858566</v>
      </c>
      <c r="BR44" s="446">
        <f t="shared" si="89"/>
        <v>551.15582602050006</v>
      </c>
      <c r="BS44" s="446">
        <f t="shared" si="89"/>
        <v>531.2871949455</v>
      </c>
      <c r="BT44" s="446">
        <f t="shared" si="89"/>
        <v>531.2871949455</v>
      </c>
      <c r="BU44" s="446">
        <f t="shared" si="89"/>
        <v>0</v>
      </c>
      <c r="BW44" s="446">
        <f t="shared" ref="BW44:CP44" si="90">BW45+BW86+BW91+BW94</f>
        <v>0</v>
      </c>
      <c r="BX44" s="446">
        <f t="shared" si="90"/>
        <v>69363.594969504338</v>
      </c>
      <c r="BY44" s="446">
        <f t="shared" si="90"/>
        <v>70404.048894046908</v>
      </c>
      <c r="BZ44" s="446">
        <f t="shared" si="90"/>
        <v>71460.109627457598</v>
      </c>
      <c r="CA44" s="446">
        <f t="shared" si="90"/>
        <v>72532.011271869444</v>
      </c>
      <c r="CB44" s="446">
        <f t="shared" si="90"/>
        <v>73619.991440947473</v>
      </c>
      <c r="CC44" s="446">
        <f t="shared" si="90"/>
        <v>74724.291312561691</v>
      </c>
      <c r="CD44" s="446">
        <f t="shared" si="90"/>
        <v>75798.005793697303</v>
      </c>
      <c r="CE44" s="446">
        <f t="shared" si="90"/>
        <v>76934.975880602753</v>
      </c>
      <c r="CF44" s="446">
        <f t="shared" si="90"/>
        <v>77838.0119478298</v>
      </c>
      <c r="CG44" s="446">
        <f t="shared" si="90"/>
        <v>79005.582127047252</v>
      </c>
      <c r="CH44" s="446">
        <f t="shared" si="90"/>
        <v>77439.006239497234</v>
      </c>
      <c r="CI44" s="446">
        <f t="shared" si="90"/>
        <v>77869.305439882417</v>
      </c>
      <c r="CJ44" s="446">
        <f t="shared" si="90"/>
        <v>79037.345021480651</v>
      </c>
      <c r="CK44" s="446">
        <f t="shared" si="90"/>
        <v>80222.905196802836</v>
      </c>
      <c r="CL44" s="446">
        <f t="shared" si="90"/>
        <v>81426.248774754888</v>
      </c>
      <c r="CM44" s="446">
        <f t="shared" si="90"/>
        <v>6409.2132555660537</v>
      </c>
      <c r="CN44" s="446">
        <f t="shared" si="90"/>
        <v>6270.8398662813179</v>
      </c>
      <c r="CO44" s="446">
        <f t="shared" si="90"/>
        <v>6364.9024642755385</v>
      </c>
      <c r="CP44" s="446">
        <f t="shared" si="90"/>
        <v>0</v>
      </c>
      <c r="CR44" s="446">
        <f t="shared" ref="CR44:DK44" si="91">CR45+CR86+CR91+CR94</f>
        <v>0</v>
      </c>
      <c r="CS44" s="446">
        <f t="shared" si="91"/>
        <v>69363.594969504338</v>
      </c>
      <c r="CT44" s="446">
        <f t="shared" si="91"/>
        <v>70404.048894046908</v>
      </c>
      <c r="CU44" s="446">
        <f t="shared" si="91"/>
        <v>71460.109627457598</v>
      </c>
      <c r="CV44" s="446">
        <f t="shared" si="91"/>
        <v>72532.011271869444</v>
      </c>
      <c r="CW44" s="446">
        <f t="shared" si="91"/>
        <v>73619.991440947473</v>
      </c>
      <c r="CX44" s="446">
        <f t="shared" si="91"/>
        <v>74724.291312561691</v>
      </c>
      <c r="CY44" s="446">
        <f t="shared" si="91"/>
        <v>75798.005793697303</v>
      </c>
      <c r="CZ44" s="446">
        <f t="shared" si="91"/>
        <v>76934.975880602753</v>
      </c>
      <c r="DA44" s="446">
        <f t="shared" si="91"/>
        <v>77838.0119478298</v>
      </c>
      <c r="DB44" s="446">
        <f t="shared" si="91"/>
        <v>79005.582127047252</v>
      </c>
      <c r="DC44" s="446">
        <f t="shared" si="91"/>
        <v>77439.006239497234</v>
      </c>
      <c r="DD44" s="446">
        <f t="shared" si="91"/>
        <v>77869.305439882417</v>
      </c>
      <c r="DE44" s="446">
        <f t="shared" si="91"/>
        <v>79037.345021480651</v>
      </c>
      <c r="DF44" s="446">
        <f t="shared" si="91"/>
        <v>80222.905196802836</v>
      </c>
      <c r="DG44" s="446">
        <f t="shared" si="91"/>
        <v>81426.248774754888</v>
      </c>
      <c r="DH44" s="446">
        <f t="shared" si="91"/>
        <v>6409.2132555660537</v>
      </c>
      <c r="DI44" s="446">
        <f t="shared" si="91"/>
        <v>6270.8398662813179</v>
      </c>
      <c r="DJ44" s="446">
        <f t="shared" si="91"/>
        <v>6364.9024642755385</v>
      </c>
      <c r="DK44" s="446">
        <f t="shared" si="91"/>
        <v>0</v>
      </c>
      <c r="DM44" s="446">
        <f t="shared" ref="DM44:DW44" si="92">DM45+DM86+DM91+DM94</f>
        <v>0</v>
      </c>
      <c r="DN44" s="446">
        <f t="shared" si="92"/>
        <v>100565</v>
      </c>
      <c r="DO44" s="446">
        <f t="shared" si="92"/>
        <v>0</v>
      </c>
      <c r="DP44" s="446">
        <f t="shared" si="92"/>
        <v>0</v>
      </c>
      <c r="DQ44" s="446">
        <f t="shared" si="92"/>
        <v>0</v>
      </c>
      <c r="DR44" s="446">
        <f t="shared" si="92"/>
        <v>0</v>
      </c>
      <c r="DS44" s="446">
        <f t="shared" si="92"/>
        <v>0</v>
      </c>
      <c r="DT44" s="446">
        <f t="shared" si="92"/>
        <v>0</v>
      </c>
      <c r="DU44" s="446">
        <f t="shared" si="92"/>
        <v>0</v>
      </c>
      <c r="DV44" s="446">
        <f t="shared" si="92"/>
        <v>0</v>
      </c>
      <c r="DW44" s="446">
        <f t="shared" si="92"/>
        <v>0</v>
      </c>
      <c r="DZ44" s="650"/>
    </row>
    <row r="45" spans="1:171">
      <c r="A45" s="428" t="s">
        <v>112</v>
      </c>
      <c r="B45" s="428" t="str">
        <f>'Portfolio Inputs'!A44</f>
        <v>Lighting</v>
      </c>
      <c r="C45" s="454">
        <f>IF($C$1=2014,'Portfolio Inputs'!$C44,IF($C$1=2015,'Portfolio Inputs'!$D44,'Portfolio Inputs'!$E44))</f>
        <v>50</v>
      </c>
      <c r="D45" s="505"/>
      <c r="E45" s="505"/>
      <c r="G45" s="515">
        <f>SUM(G46:G82)</f>
        <v>83496.726913395018</v>
      </c>
      <c r="H45" s="515"/>
      <c r="I45" s="512">
        <f>SUM(I46:I82)</f>
        <v>12.716253693000004</v>
      </c>
      <c r="J45" s="512"/>
      <c r="L45" s="455"/>
      <c r="M45" s="455"/>
      <c r="N45" s="455">
        <f>IF($C$1=2014,'Portfolio Inputs'!$W44,IF($C$1=2015,'Portfolio Inputs'!$X44,'Portfolio Inputs'!$Y44))</f>
        <v>3372</v>
      </c>
      <c r="O45" s="455">
        <f>IF($C$1=2014,'Portfolio Inputs'!$AA44,IF($C$1=2015,'Portfolio Inputs'!$AB44,'Portfolio Inputs'!$AC44))</f>
        <v>0</v>
      </c>
      <c r="Q45" s="433">
        <f t="shared" si="67"/>
        <v>3.2842482668136483</v>
      </c>
      <c r="R45" s="434">
        <f t="shared" si="68"/>
        <v>9.9238450743073141</v>
      </c>
      <c r="S45" s="434">
        <f t="shared" si="69"/>
        <v>4.0895376862729389</v>
      </c>
      <c r="T45" s="434">
        <f t="shared" si="70"/>
        <v>8.4789220978855155</v>
      </c>
      <c r="U45" s="434">
        <f>IF(AE45&gt;0,(AD45+AB45)/AE45,"n/a")</f>
        <v>8.4789220978855155</v>
      </c>
      <c r="V45" s="523">
        <f t="shared" si="72"/>
        <v>0.38734266324167299</v>
      </c>
      <c r="W45" s="523">
        <f t="shared" si="73"/>
        <v>0.38734266324167299</v>
      </c>
      <c r="X45" s="194"/>
      <c r="Y45" s="430">
        <f t="shared" si="4"/>
        <v>30745.319359210091</v>
      </c>
      <c r="Z45" s="430">
        <f t="shared" si="5"/>
        <v>7538.6750228507135</v>
      </c>
      <c r="AA45" s="430">
        <f t="shared" si="6"/>
        <v>76276.862601392422</v>
      </c>
      <c r="AB45" s="430">
        <f t="shared" si="7"/>
        <v>76276.862601392422</v>
      </c>
      <c r="AC45" s="431">
        <f t="shared" si="20"/>
        <v>0</v>
      </c>
      <c r="AD45" s="431">
        <f t="shared" si="21"/>
        <v>3098.1256890848954</v>
      </c>
      <c r="AE45" s="525">
        <f t="shared" si="8"/>
        <v>9361.4479970599041</v>
      </c>
      <c r="AG45" s="432">
        <f>SUM(AG46:AG85)</f>
        <v>0</v>
      </c>
      <c r="AH45" s="432">
        <f t="shared" ref="AH45:AZ45" si="93">SUM(AH46:AH85)</f>
        <v>3567.3270092106104</v>
      </c>
      <c r="AI45" s="432">
        <f t="shared" si="93"/>
        <v>3620.8369143487703</v>
      </c>
      <c r="AJ45" s="432">
        <f t="shared" si="93"/>
        <v>3675.1494680640008</v>
      </c>
      <c r="AK45" s="432">
        <f t="shared" si="93"/>
        <v>3730.276710084961</v>
      </c>
      <c r="AL45" s="432">
        <f t="shared" si="93"/>
        <v>3786.2308607362338</v>
      </c>
      <c r="AM45" s="432">
        <f t="shared" si="93"/>
        <v>3843.0243236472775</v>
      </c>
      <c r="AN45" s="432">
        <f t="shared" si="93"/>
        <v>3881.6558460714655</v>
      </c>
      <c r="AO45" s="432">
        <f t="shared" si="93"/>
        <v>3939.880683762538</v>
      </c>
      <c r="AP45" s="432">
        <f t="shared" si="93"/>
        <v>3902.1783469842171</v>
      </c>
      <c r="AQ45" s="432">
        <f t="shared" si="93"/>
        <v>3960.7110221889802</v>
      </c>
      <c r="AR45" s="432">
        <f t="shared" si="93"/>
        <v>2910.4770195782867</v>
      </c>
      <c r="AS45" s="432">
        <f t="shared" si="93"/>
        <v>2659.2330590499832</v>
      </c>
      <c r="AT45" s="432">
        <f t="shared" si="93"/>
        <v>2699.1215549357325</v>
      </c>
      <c r="AU45" s="432">
        <f t="shared" si="93"/>
        <v>2739.6083782597689</v>
      </c>
      <c r="AV45" s="432">
        <f t="shared" si="93"/>
        <v>2780.7025039336645</v>
      </c>
      <c r="AW45" s="432">
        <f t="shared" si="93"/>
        <v>2584.6035841302996</v>
      </c>
      <c r="AX45" s="432">
        <f t="shared" si="93"/>
        <v>2528.8026076870538</v>
      </c>
      <c r="AY45" s="432">
        <f t="shared" si="93"/>
        <v>2566.7346468023597</v>
      </c>
      <c r="AZ45" s="432">
        <f t="shared" si="93"/>
        <v>0</v>
      </c>
      <c r="BB45" s="432">
        <f t="shared" ref="BB45:BU45" si="94">SUM(BB46:BB85)</f>
        <v>0</v>
      </c>
      <c r="BC45" s="432">
        <f t="shared" si="94"/>
        <v>951.86268681270303</v>
      </c>
      <c r="BD45" s="432">
        <f t="shared" si="94"/>
        <v>951.86268681270303</v>
      </c>
      <c r="BE45" s="432">
        <f t="shared" si="94"/>
        <v>951.86268681270303</v>
      </c>
      <c r="BF45" s="432">
        <f t="shared" si="94"/>
        <v>951.86268681270303</v>
      </c>
      <c r="BG45" s="432">
        <f t="shared" si="94"/>
        <v>951.86268681270303</v>
      </c>
      <c r="BH45" s="432">
        <f t="shared" si="94"/>
        <v>951.86268681270303</v>
      </c>
      <c r="BI45" s="432">
        <f t="shared" si="94"/>
        <v>947.22667289520302</v>
      </c>
      <c r="BJ45" s="432">
        <f t="shared" si="94"/>
        <v>947.22667289520302</v>
      </c>
      <c r="BK45" s="432">
        <f t="shared" si="94"/>
        <v>923.27223844320304</v>
      </c>
      <c r="BL45" s="432">
        <f t="shared" si="94"/>
        <v>923.27223844320304</v>
      </c>
      <c r="BM45" s="432">
        <f t="shared" si="94"/>
        <v>668.35770175095286</v>
      </c>
      <c r="BN45" s="432">
        <f t="shared" si="94"/>
        <v>601.612347093003</v>
      </c>
      <c r="BO45" s="432">
        <f t="shared" si="94"/>
        <v>601.612347093003</v>
      </c>
      <c r="BP45" s="432">
        <f t="shared" si="94"/>
        <v>601.612347093003</v>
      </c>
      <c r="BQ45" s="432">
        <f t="shared" si="94"/>
        <v>601.612347093003</v>
      </c>
      <c r="BR45" s="432">
        <f t="shared" si="94"/>
        <v>551.15582602050006</v>
      </c>
      <c r="BS45" s="432">
        <f t="shared" si="94"/>
        <v>531.2871949455</v>
      </c>
      <c r="BT45" s="432">
        <f t="shared" si="94"/>
        <v>531.2871949455</v>
      </c>
      <c r="BU45" s="432">
        <f t="shared" si="94"/>
        <v>0</v>
      </c>
      <c r="BW45" s="432">
        <f t="shared" ref="BW45:CP45" si="95">SUM(BW46:BW85)</f>
        <v>0</v>
      </c>
      <c r="BX45" s="432">
        <f t="shared" si="95"/>
        <v>8853.4795548086222</v>
      </c>
      <c r="BY45" s="432">
        <f t="shared" si="95"/>
        <v>8986.281748130752</v>
      </c>
      <c r="BZ45" s="432">
        <f t="shared" si="95"/>
        <v>9121.0759743527105</v>
      </c>
      <c r="CA45" s="432">
        <f t="shared" si="95"/>
        <v>9257.8921139679987</v>
      </c>
      <c r="CB45" s="432">
        <f t="shared" si="95"/>
        <v>9396.7604956775176</v>
      </c>
      <c r="CC45" s="432">
        <f t="shared" si="95"/>
        <v>9537.7119031126822</v>
      </c>
      <c r="CD45" s="432">
        <f t="shared" si="95"/>
        <v>9633.6276931065622</v>
      </c>
      <c r="CE45" s="432">
        <f t="shared" si="95"/>
        <v>9778.1321085031614</v>
      </c>
      <c r="CF45" s="432">
        <f t="shared" si="95"/>
        <v>9673.8155191487294</v>
      </c>
      <c r="CG45" s="432">
        <f t="shared" si="95"/>
        <v>9818.9227519359592</v>
      </c>
      <c r="CH45" s="432">
        <f t="shared" si="95"/>
        <v>7214.5469737592866</v>
      </c>
      <c r="CI45" s="432">
        <f t="shared" si="95"/>
        <v>6591.4792851584061</v>
      </c>
      <c r="CJ45" s="432">
        <f t="shared" si="95"/>
        <v>6690.3514744357817</v>
      </c>
      <c r="CK45" s="432">
        <f t="shared" si="95"/>
        <v>6790.7067465523169</v>
      </c>
      <c r="CL45" s="432">
        <f t="shared" si="95"/>
        <v>6892.5673477506025</v>
      </c>
      <c r="CM45" s="432">
        <f t="shared" si="95"/>
        <v>6409.2132555660537</v>
      </c>
      <c r="CN45" s="432">
        <f t="shared" si="95"/>
        <v>6270.8398662813179</v>
      </c>
      <c r="CO45" s="432">
        <f t="shared" si="95"/>
        <v>6364.9024642755385</v>
      </c>
      <c r="CP45" s="432">
        <f t="shared" si="95"/>
        <v>0</v>
      </c>
      <c r="CR45" s="432">
        <f t="shared" ref="CR45:DK45" si="96">SUM(CR46:CR85)</f>
        <v>0</v>
      </c>
      <c r="CS45" s="432">
        <f t="shared" si="96"/>
        <v>8853.4795548086222</v>
      </c>
      <c r="CT45" s="432">
        <f t="shared" si="96"/>
        <v>8986.281748130752</v>
      </c>
      <c r="CU45" s="432">
        <f t="shared" si="96"/>
        <v>9121.0759743527105</v>
      </c>
      <c r="CV45" s="432">
        <f t="shared" si="96"/>
        <v>9257.8921139679987</v>
      </c>
      <c r="CW45" s="432">
        <f t="shared" si="96"/>
        <v>9396.7604956775176</v>
      </c>
      <c r="CX45" s="432">
        <f t="shared" si="96"/>
        <v>9537.7119031126822</v>
      </c>
      <c r="CY45" s="432">
        <f t="shared" si="96"/>
        <v>9633.6276931065622</v>
      </c>
      <c r="CZ45" s="432">
        <f t="shared" si="96"/>
        <v>9778.1321085031614</v>
      </c>
      <c r="DA45" s="432">
        <f t="shared" si="96"/>
        <v>9673.8155191487294</v>
      </c>
      <c r="DB45" s="432">
        <f t="shared" si="96"/>
        <v>9818.9227519359592</v>
      </c>
      <c r="DC45" s="432">
        <f t="shared" si="96"/>
        <v>7214.5469737592866</v>
      </c>
      <c r="DD45" s="432">
        <f t="shared" si="96"/>
        <v>6591.4792851584061</v>
      </c>
      <c r="DE45" s="432">
        <f t="shared" si="96"/>
        <v>6690.3514744357817</v>
      </c>
      <c r="DF45" s="432">
        <f t="shared" si="96"/>
        <v>6790.7067465523169</v>
      </c>
      <c r="DG45" s="432">
        <f t="shared" si="96"/>
        <v>6892.5673477506025</v>
      </c>
      <c r="DH45" s="432">
        <f t="shared" si="96"/>
        <v>6409.2132555660537</v>
      </c>
      <c r="DI45" s="432">
        <f t="shared" si="96"/>
        <v>6270.8398662813179</v>
      </c>
      <c r="DJ45" s="432">
        <f t="shared" si="96"/>
        <v>6364.9024642755385</v>
      </c>
      <c r="DK45" s="432">
        <f t="shared" si="96"/>
        <v>0</v>
      </c>
      <c r="DM45" s="432">
        <f t="shared" ref="DM45:DW45" si="97">SUM(DM46:DM85)</f>
        <v>0</v>
      </c>
      <c r="DN45" s="432">
        <f t="shared" si="97"/>
        <v>10189</v>
      </c>
      <c r="DO45" s="432">
        <f t="shared" si="97"/>
        <v>0</v>
      </c>
      <c r="DP45" s="432">
        <f t="shared" si="97"/>
        <v>0</v>
      </c>
      <c r="DQ45" s="432">
        <f t="shared" si="97"/>
        <v>0</v>
      </c>
      <c r="DR45" s="432">
        <f t="shared" si="97"/>
        <v>0</v>
      </c>
      <c r="DS45" s="432">
        <f t="shared" si="97"/>
        <v>0</v>
      </c>
      <c r="DT45" s="432">
        <f t="shared" si="97"/>
        <v>0</v>
      </c>
      <c r="DU45" s="432">
        <f t="shared" si="97"/>
        <v>0</v>
      </c>
      <c r="DV45" s="432">
        <f t="shared" si="97"/>
        <v>0</v>
      </c>
      <c r="DW45" s="432">
        <f t="shared" si="97"/>
        <v>0</v>
      </c>
      <c r="DZ45" s="650"/>
    </row>
    <row r="46" spans="1:171">
      <c r="A46" s="342" t="s">
        <v>112</v>
      </c>
      <c r="B46" s="427" t="str">
        <f>'Portfolio Inputs'!A45</f>
        <v>Delamping (T8 to T8)</v>
      </c>
      <c r="C46" s="217">
        <f>IF($C$1=2014,'Portfolio Inputs'!$C45,IF($C$1=2015,'Portfolio Inputs'!$D45,'Portfolio Inputs'!$E45))</f>
        <v>8</v>
      </c>
      <c r="D46" s="504">
        <f>VLOOKUP(B46,Sources!$B$4:$J$104,2,FALSE)</f>
        <v>11</v>
      </c>
      <c r="E46" s="504">
        <f>VLOOKUP(B46,Sources!$B$4:$J$104,3,FALSE)</f>
        <v>0</v>
      </c>
      <c r="G46" s="504">
        <f>IF($C$1=2014,'Portfolio Inputs'!$G45,IF($C$1=2015,'Portfolio Inputs'!$H45,'Portfolio Inputs'!$I45))*EnergyLineLoss</f>
        <v>901.64080199999989</v>
      </c>
      <c r="H46" s="504"/>
      <c r="I46" s="595">
        <f>IF($C$1=2014,'Portfolio Inputs'!$K45,IF($C$1=2015,'Portfolio Inputs'!$L45,'Portfolio Inputs'!$M45))*PeakLineLoss</f>
        <v>0.13942019519999999</v>
      </c>
      <c r="J46" s="510"/>
      <c r="L46" s="606">
        <f>IF($C$1=2014,'Portfolio Inputs'!$O45,IF($C$1=2015,'Portfolio Inputs'!$P45,'Portfolio Inputs'!$Q45))</f>
        <v>12</v>
      </c>
      <c r="M46" s="518">
        <f>VLOOKUP($B46,Sources!$B$4:$K$104,10,FALSE)</f>
        <v>0</v>
      </c>
      <c r="N46" s="419">
        <f>IF($C$1=2014,'Portfolio Inputs'!$W45,IF($C$1=2015,'Portfolio Inputs'!$X45,'Portfolio Inputs'!$Y45))</f>
        <v>64</v>
      </c>
      <c r="O46" s="419">
        <f>IF($C$1=2014,'Portfolio Inputs'!$AA45,IF($C$1=2015,'Portfolio Inputs'!$AB45,'Portfolio Inputs'!$AC45))</f>
        <v>0</v>
      </c>
      <c r="Q46" s="438">
        <f t="shared" si="67"/>
        <v>3.1923458350743039</v>
      </c>
      <c r="R46" s="439">
        <f t="shared" si="68"/>
        <v>4.7885187526114557</v>
      </c>
      <c r="S46" s="439">
        <f t="shared" si="69"/>
        <v>3.9914191275718918</v>
      </c>
      <c r="T46" s="439">
        <f t="shared" si="70"/>
        <v>8.582938766627441</v>
      </c>
      <c r="U46" s="439">
        <f t="shared" ref="U46:U85" si="98">IF(AE46&gt;0,(AD46+AB46)/AE46,"n/a")</f>
        <v>8.582938766627441</v>
      </c>
      <c r="V46" s="439">
        <f t="shared" si="72"/>
        <v>0.37194088433753281</v>
      </c>
      <c r="W46" s="439">
        <f t="shared" si="73"/>
        <v>0.37194088433753281</v>
      </c>
      <c r="Y46" s="215">
        <f t="shared" si="4"/>
        <v>281.57405381030242</v>
      </c>
      <c r="Z46" s="215">
        <f t="shared" si="5"/>
        <v>70.480555016325326</v>
      </c>
      <c r="AA46" s="215">
        <f t="shared" si="6"/>
        <v>698.23789194802862</v>
      </c>
      <c r="AB46" s="215">
        <f t="shared" si="7"/>
        <v>698.23789194802862</v>
      </c>
      <c r="AC46" s="216">
        <f t="shared" si="20"/>
        <v>0</v>
      </c>
      <c r="AD46" s="216">
        <f t="shared" si="21"/>
        <v>58.801911062109518</v>
      </c>
      <c r="AE46" s="215">
        <f t="shared" si="8"/>
        <v>88.202866593164273</v>
      </c>
      <c r="AG46" s="214">
        <f>IF(AND(($E46+$C$1)&gt;AG$4,AG$4&gt;=$C$1),'General Inputs'!D$9*$H46,IF(AND(($D46+$C$1)&gt;AG$4,AG$4&gt;=$C$1),'General Inputs'!D$9*$G46,0))+IF(AND(($E46+$C$1)&gt;AG$4,AG$4&gt;=$C$1),'General Inputs'!D$10*$J46,IF(AND(($D46+$C$1)&gt;AG$4,AG$4&gt;=$C$1),'General Inputs'!D$10*$I46,0))</f>
        <v>0</v>
      </c>
      <c r="AH46" s="214">
        <f>IF(AND(($E46+$C$1)&gt;AH$4,AH$4&gt;=$C$1),'General Inputs'!E$9*$H46,IF(AND(($D46+$C$1)&gt;AH$4,AH$4&gt;=$C$1),'General Inputs'!E$9*$G46,0))+IF(AND(($E46+$C$1)&gt;AH$4,AH$4&gt;=$C$1),'General Inputs'!E$10*$J46,IF(AND(($D46+$C$1)&gt;AH$4,AH$4&gt;=$C$1),'General Inputs'!E$10*$I46,0))</f>
        <v>38.553810994877303</v>
      </c>
      <c r="AI46" s="214">
        <f>IF(AND(($E46+$C$1)&gt;AI$4,AI$4&gt;=$C$1),'General Inputs'!F$9*$H46,IF(AND(($D46+$C$1)&gt;AI$4,AI$4&gt;=$C$1),'General Inputs'!F$9*$G46,0))+IF(AND(($E46+$C$1)&gt;AI$4,AI$4&gt;=$C$1),'General Inputs'!F$10*$J46,IF(AND(($D46+$C$1)&gt;AI$4,AI$4&gt;=$C$1),'General Inputs'!F$10*$I46,0))</f>
        <v>39.132118159800463</v>
      </c>
      <c r="AJ46" s="214">
        <f>IF(AND(($E46+$C$1)&gt;AJ$4,AJ$4&gt;=$C$1),'General Inputs'!G$9*$H46,IF(AND(($D46+$C$1)&gt;AJ$4,AJ$4&gt;=$C$1),'General Inputs'!G$9*$G46,0))+IF(AND(($E46+$C$1)&gt;AJ$4,AJ$4&gt;=$C$1),'General Inputs'!G$10*$J46,IF(AND(($D46+$C$1)&gt;AJ$4,AJ$4&gt;=$C$1),'General Inputs'!G$10*$I46,0))</f>
        <v>39.719099932197459</v>
      </c>
      <c r="AK46" s="214">
        <f>IF(AND(($E46+$C$1)&gt;AK$4,AK$4&gt;=$C$1),'General Inputs'!H$9*$H46,IF(AND(($D46+$C$1)&gt;AK$4,AK$4&gt;=$C$1),'General Inputs'!H$9*$G46,0))+IF(AND(($E46+$C$1)&gt;AK$4,AK$4&gt;=$C$1),'General Inputs'!H$10*$J46,IF(AND(($D46+$C$1)&gt;AK$4,AK$4&gt;=$C$1),'General Inputs'!H$10*$I46,0))</f>
        <v>40.314886431180419</v>
      </c>
      <c r="AL46" s="214">
        <f>IF(AND(($E46+$C$1)&gt;AL$4,AL$4&gt;=$C$1),'General Inputs'!I$9*$H46,IF(AND(($D46+$C$1)&gt;AL$4,AL$4&gt;=$C$1),'General Inputs'!I$9*$G46,0))+IF(AND(($E46+$C$1)&gt;AL$4,AL$4&gt;=$C$1),'General Inputs'!I$10*$J46,IF(AND(($D46+$C$1)&gt;AL$4,AL$4&gt;=$C$1),'General Inputs'!I$10*$I46,0))</f>
        <v>40.919609727648115</v>
      </c>
      <c r="AM46" s="214">
        <f>IF(AND(($E46+$C$1)&gt;AM$4,AM$4&gt;=$C$1),'General Inputs'!J$9*$H46,IF(AND(($D46+$C$1)&gt;AM$4,AM$4&gt;=$C$1),'General Inputs'!J$9*$G46,0))+IF(AND(($E46+$C$1)&gt;AM$4,AM$4&gt;=$C$1),'General Inputs'!J$10*$J46,IF(AND(($D46+$C$1)&gt;AM$4,AM$4&gt;=$C$1),'General Inputs'!J$10*$I46,0))</f>
        <v>41.533403873562833</v>
      </c>
      <c r="AN46" s="214">
        <f>IF(AND(($E46+$C$1)&gt;AN$4,AN$4&gt;=$C$1),'General Inputs'!K$9*$H46,IF(AND(($D46+$C$1)&gt;AN$4,AN$4&gt;=$C$1),'General Inputs'!K$9*$G46,0))+IF(AND(($E46+$C$1)&gt;AN$4,AN$4&gt;=$C$1),'General Inputs'!K$10*$J46,IF(AND(($D46+$C$1)&gt;AN$4,AN$4&gt;=$C$1),'General Inputs'!K$10*$I46,0))</f>
        <v>42.156404931666266</v>
      </c>
      <c r="AO46" s="214">
        <f>IF(AND(($E46+$C$1)&gt;AO$4,AO$4&gt;=$C$1),'General Inputs'!L$9*$H46,IF(AND(($D46+$C$1)&gt;AO$4,AO$4&gt;=$C$1),'General Inputs'!L$9*$G46,0))+IF(AND(($E46+$C$1)&gt;AO$4,AO$4&gt;=$C$1),'General Inputs'!L$10*$J46,IF(AND(($D46+$C$1)&gt;AO$4,AO$4&gt;=$C$1),'General Inputs'!L$10*$I46,0))</f>
        <v>42.788751005641259</v>
      </c>
      <c r="AP46" s="214">
        <f>IF(AND(($E46+$C$1)&gt;AP$4,AP$4&gt;=$C$1),'General Inputs'!M$9*$H46,IF(AND(($D46+$C$1)&gt;AP$4,AP$4&gt;=$C$1),'General Inputs'!M$9*$G46,0))+IF(AND(($E46+$C$1)&gt;AP$4,AP$4&gt;=$C$1),'General Inputs'!M$10*$J46,IF(AND(($D46+$C$1)&gt;AP$4,AP$4&gt;=$C$1),'General Inputs'!M$10*$I46,0))</f>
        <v>43.430582270725878</v>
      </c>
      <c r="AQ46" s="214">
        <f>IF(AND(($E46+$C$1)&gt;AQ$4,AQ$4&gt;=$C$1),'General Inputs'!N$9*$H46,IF(AND(($D46+$C$1)&gt;AQ$4,AQ$4&gt;=$C$1),'General Inputs'!N$9*$G46,0))+IF(AND(($E46+$C$1)&gt;AQ$4,AQ$4&gt;=$C$1),'General Inputs'!N$10*$J46,IF(AND(($D46+$C$1)&gt;AQ$4,AQ$4&gt;=$C$1),'General Inputs'!N$10*$I46,0))</f>
        <v>44.08204100478676</v>
      </c>
      <c r="AR46" s="214">
        <f>IF(AND(($E46+$C$1)&gt;AR$4,AR$4&gt;=$C$1),'General Inputs'!O$9*$H46,IF(AND(($D46+$C$1)&gt;AR$4,AR$4&gt;=$C$1),'General Inputs'!O$9*$G46,0))+IF(AND(($E46+$C$1)&gt;AR$4,AR$4&gt;=$C$1),'General Inputs'!O$10*$J46,IF(AND(($D46+$C$1)&gt;AR$4,AR$4&gt;=$C$1),'General Inputs'!O$10*$I46,0))</f>
        <v>44.743271619858554</v>
      </c>
      <c r="AS46" s="214">
        <f>IF(AND(($E46+$C$1)&gt;AS$4,AS$4&gt;=$C$1),'General Inputs'!P$9*$H46,IF(AND(($D46+$C$1)&gt;AS$4,AS$4&gt;=$C$1),'General Inputs'!P$9*$G46,0))+IF(AND(($E46+$C$1)&gt;AS$4,AS$4&gt;=$C$1),'General Inputs'!P$10*$J46,IF(AND(($D46+$C$1)&gt;AS$4,AS$4&gt;=$C$1),'General Inputs'!P$10*$I46,0))</f>
        <v>0</v>
      </c>
      <c r="AT46" s="214">
        <f>IF(AND(($E46+$C$1)&gt;AT$4,AT$4&gt;=$C$1),'General Inputs'!Q$9*$H46,IF(AND(($D46+$C$1)&gt;AT$4,AT$4&gt;=$C$1),'General Inputs'!Q$9*$G46,0))+IF(AND(($E46+$C$1)&gt;AT$4,AT$4&gt;=$C$1),'General Inputs'!Q$10*$J46,IF(AND(($D46+$C$1)&gt;AT$4,AT$4&gt;=$C$1),'General Inputs'!Q$10*$I46,0))</f>
        <v>0</v>
      </c>
      <c r="AU46" s="214">
        <f>IF(AND(($E46+$C$1)&gt;AU$4,AU$4&gt;=$C$1),'General Inputs'!R$9*$H46,IF(AND(($D46+$C$1)&gt;AU$4,AU$4&gt;=$C$1),'General Inputs'!R$9*$G46,0))+IF(AND(($E46+$C$1)&gt;AU$4,AU$4&gt;=$C$1),'General Inputs'!R$10*$J46,IF(AND(($D46+$C$1)&gt;AU$4,AU$4&gt;=$C$1),'General Inputs'!R$10*$I46,0))</f>
        <v>0</v>
      </c>
      <c r="AV46" s="214">
        <f>IF(AND(($E46+$C$1)&gt;AV$4,AV$4&gt;=$C$1),'General Inputs'!S$9*$H46,IF(AND(($D46+$C$1)&gt;AV$4,AV$4&gt;=$C$1),'General Inputs'!S$9*$G46,0))+IF(AND(($E46+$C$1)&gt;AV$4,AV$4&gt;=$C$1),'General Inputs'!S$10*$J46,IF(AND(($D46+$C$1)&gt;AV$4,AV$4&gt;=$C$1),'General Inputs'!S$10*$I46,0))</f>
        <v>0</v>
      </c>
      <c r="AW46" s="214">
        <f>IF(AND(($E46+$C$1)&gt;AW$4,AW$4&gt;=$C$1),'General Inputs'!T$9*$H46,IF(AND(($D46+$C$1)&gt;AW$4,AW$4&gt;=$C$1),'General Inputs'!T$9*$G46,0))+IF(AND(($E46+$C$1)&gt;AW$4,AW$4&gt;=$C$1),'General Inputs'!T$10*$J46,IF(AND(($D46+$C$1)&gt;AW$4,AW$4&gt;=$C$1),'General Inputs'!T$10*$I46,0))</f>
        <v>0</v>
      </c>
      <c r="AX46" s="214">
        <f>IF(AND(($E46+$C$1)&gt;AX$4,AX$4&gt;=$C$1),'General Inputs'!U$9*$H46,IF(AND(($D46+$C$1)&gt;AX$4,AX$4&gt;=$C$1),'General Inputs'!U$9*$G46,0))+IF(AND(($E46+$C$1)&gt;AX$4,AX$4&gt;=$C$1),'General Inputs'!U$10*$J46,IF(AND(($D46+$C$1)&gt;AX$4,AX$4&gt;=$C$1),'General Inputs'!U$10*$I46,0))</f>
        <v>0</v>
      </c>
      <c r="AY46" s="214">
        <f>IF(AND(($E46+$C$1)&gt;AY$4,AY$4&gt;=$C$1),'General Inputs'!V$9*$H46,IF(AND(($D46+$C$1)&gt;AY$4,AY$4&gt;=$C$1),'General Inputs'!V$9*$G46,0))+IF(AND(($E46+$C$1)&gt;AY$4,AY$4&gt;=$C$1),'General Inputs'!V$10*$J46,IF(AND(($D46+$C$1)&gt;AY$4,AY$4&gt;=$C$1),'General Inputs'!V$10*$I46,0))</f>
        <v>0</v>
      </c>
      <c r="AZ46" s="214">
        <f>IF(AND(($E46+$C$1)&gt;AZ$4,AZ$4&gt;=$C$1),'General Inputs'!W$9*$H46,IF(AND(($D46+$C$1)&gt;AZ$4,AZ$4&gt;=$C$1),'General Inputs'!W$9*$G46,0))+IF(AND(($E46+$C$1)&gt;AZ$4,AZ$4&gt;=$C$1),'General Inputs'!W$10*$J46,IF(AND(($D46+$C$1)&gt;AZ$4,AZ$4&gt;=$C$1),'General Inputs'!W$10*$I46,0))</f>
        <v>0</v>
      </c>
      <c r="BB46" s="214">
        <f>IF(AND(($E46+$C$1)&gt;BB$4,BB$4&gt;=$C$1),'General Inputs'!D$11*$H46,IF(AND(($D46+$C$1)&gt;BB$4,BB$4&gt;=$C$1),'General Inputs'!D$11*$G46,0))</f>
        <v>0</v>
      </c>
      <c r="BC46" s="214">
        <f>IF(AND(($E46+$C$1)&gt;BC$4,BC$4&gt;=$C$1),'General Inputs'!E$11*$H46,IF(AND(($D46+$C$1)&gt;BC$4,BC$4&gt;=$C$1),'General Inputs'!E$11*$G46,0))</f>
        <v>10.2787051428</v>
      </c>
      <c r="BD46" s="214">
        <f>IF(AND(($E46+$C$1)&gt;BD$4,BD$4&gt;=$C$1),'General Inputs'!F$11*$H46,IF(AND(($D46+$C$1)&gt;BD$4,BD$4&gt;=$C$1),'General Inputs'!F$11*$G46,0))</f>
        <v>10.2787051428</v>
      </c>
      <c r="BE46" s="214">
        <f>IF(AND(($E46+$C$1)&gt;BE$4,BE$4&gt;=$C$1),'General Inputs'!G$11*$H46,IF(AND(($D46+$C$1)&gt;BE$4,BE$4&gt;=$C$1),'General Inputs'!G$11*$G46,0))</f>
        <v>10.2787051428</v>
      </c>
      <c r="BF46" s="214">
        <f>IF(AND(($E46+$C$1)&gt;BF$4,BF$4&gt;=$C$1),'General Inputs'!H$11*$H46,IF(AND(($D46+$C$1)&gt;BF$4,BF$4&gt;=$C$1),'General Inputs'!H$11*$G46,0))</f>
        <v>10.2787051428</v>
      </c>
      <c r="BG46" s="214">
        <f>IF(AND(($E46+$C$1)&gt;BG$4,BG$4&gt;=$C$1),'General Inputs'!I$11*$H46,IF(AND(($D46+$C$1)&gt;BG$4,BG$4&gt;=$C$1),'General Inputs'!I$11*$G46,0))</f>
        <v>10.2787051428</v>
      </c>
      <c r="BH46" s="214">
        <f>IF(AND(($E46+$C$1)&gt;BH$4,BH$4&gt;=$C$1),'General Inputs'!J$11*$H46,IF(AND(($D46+$C$1)&gt;BH$4,BH$4&gt;=$C$1),'General Inputs'!J$11*$G46,0))</f>
        <v>10.2787051428</v>
      </c>
      <c r="BI46" s="214">
        <f>IF(AND(($E46+$C$1)&gt;BI$4,BI$4&gt;=$C$1),'General Inputs'!K$11*$H46,IF(AND(($D46+$C$1)&gt;BI$4,BI$4&gt;=$C$1),'General Inputs'!K$11*$G46,0))</f>
        <v>10.2787051428</v>
      </c>
      <c r="BJ46" s="214">
        <f>IF(AND(($E46+$C$1)&gt;BJ$4,BJ$4&gt;=$C$1),'General Inputs'!L$11*$H46,IF(AND(($D46+$C$1)&gt;BJ$4,BJ$4&gt;=$C$1),'General Inputs'!L$11*$G46,0))</f>
        <v>10.2787051428</v>
      </c>
      <c r="BK46" s="214">
        <f>IF(AND(($E46+$C$1)&gt;BK$4,BK$4&gt;=$C$1),'General Inputs'!M$11*$H46,IF(AND(($D46+$C$1)&gt;BK$4,BK$4&gt;=$C$1),'General Inputs'!M$11*$G46,0))</f>
        <v>10.2787051428</v>
      </c>
      <c r="BL46" s="214">
        <f>IF(AND(($E46+$C$1)&gt;BL$4,BL$4&gt;=$C$1),'General Inputs'!N$11*$H46,IF(AND(($D46+$C$1)&gt;BL$4,BL$4&gt;=$C$1),'General Inputs'!N$11*$G46,0))</f>
        <v>10.2787051428</v>
      </c>
      <c r="BM46" s="214">
        <f>IF(AND(($E46+$C$1)&gt;BM$4,BM$4&gt;=$C$1),'General Inputs'!O$11*$H46,IF(AND(($D46+$C$1)&gt;BM$4,BM$4&gt;=$C$1),'General Inputs'!O$11*$G46,0))</f>
        <v>10.2787051428</v>
      </c>
      <c r="BN46" s="214">
        <f>IF(AND(($E46+$C$1)&gt;BN$4,BN$4&gt;=$C$1),'General Inputs'!P$11*$H46,IF(AND(($D46+$C$1)&gt;BN$4,BN$4&gt;=$C$1),'General Inputs'!P$11*$G46,0))</f>
        <v>0</v>
      </c>
      <c r="BO46" s="214">
        <f>IF(AND(($E46+$C$1)&gt;BO$4,BO$4&gt;=$C$1),'General Inputs'!Q$11*$H46,IF(AND(($D46+$C$1)&gt;BO$4,BO$4&gt;=$C$1),'General Inputs'!Q$11*$G46,0))</f>
        <v>0</v>
      </c>
      <c r="BP46" s="214">
        <f>IF(AND(($E46+$C$1)&gt;BP$4,BP$4&gt;=$C$1),'General Inputs'!R$11*$H46,IF(AND(($D46+$C$1)&gt;BP$4,BP$4&gt;=$C$1),'General Inputs'!R$11*$G46,0))</f>
        <v>0</v>
      </c>
      <c r="BQ46" s="214">
        <f>IF(AND(($E46+$C$1)&gt;BQ$4,BQ$4&gt;=$C$1),'General Inputs'!S$11*$H46,IF(AND(($D46+$C$1)&gt;BQ$4,BQ$4&gt;=$C$1),'General Inputs'!S$11*$G46,0))</f>
        <v>0</v>
      </c>
      <c r="BR46" s="214">
        <f>IF(AND(($E46+$C$1)&gt;BR$4,BR$4&gt;=$C$1),'General Inputs'!T$11*$H46,IF(AND(($D46+$C$1)&gt;BR$4,BR$4&gt;=$C$1),'General Inputs'!T$11*$G46,0))</f>
        <v>0</v>
      </c>
      <c r="BS46" s="214">
        <f>IF(AND(($E46+$C$1)&gt;BS$4,BS$4&gt;=$C$1),'General Inputs'!U$11*$H46,IF(AND(($D46+$C$1)&gt;BS$4,BS$4&gt;=$C$1),'General Inputs'!U$11*$G46,0))</f>
        <v>0</v>
      </c>
      <c r="BT46" s="214">
        <f>IF(AND(($E46+$C$1)&gt;BT$4,BT$4&gt;=$C$1),'General Inputs'!V$11*$H46,IF(AND(($D46+$C$1)&gt;BT$4,BT$4&gt;=$C$1),'General Inputs'!V$11*$G46,0))</f>
        <v>0</v>
      </c>
      <c r="BU46" s="214">
        <f>IF(AND(($E46+$C$1)&gt;BU$4,BU$4&gt;=$C$1),'General Inputs'!W$11*$H46,IF(AND(($D46+$C$1)&gt;BU$4,BU$4&gt;=$C$1),'General Inputs'!W$11*$G46,0))</f>
        <v>0</v>
      </c>
      <c r="BW46" s="214">
        <f>IF(AND(($E46+$C$1)&gt;BW$4,BW$4&gt;=$C$1),$H46,IF(AND(($D46+$C$1)&gt;BW$4,BW$4&gt;=$C$1),$G46,0))*IF($A46="Residential",'General Inputs'!D$14,'General Inputs'!D$19)</f>
        <v>0</v>
      </c>
      <c r="BX46" s="214">
        <f>IF(AND(($E46+$C$1)&gt;BX$4,BX$4&gt;=$C$1),$H46,IF(AND(($D46+$C$1)&gt;BX$4,BX$4&gt;=$C$1),$G46,0))*IF($A46="Residential",'General Inputs'!E$14,'General Inputs'!E$19)</f>
        <v>95.604447040996845</v>
      </c>
      <c r="BY46" s="214">
        <f>IF(AND(($E46+$C$1)&gt;BY$4,BY$4&gt;=$C$1),$H46,IF(AND(($D46+$C$1)&gt;BY$4,BY$4&gt;=$C$1),$G46,0))*IF($A46="Residential",'General Inputs'!F$14,'General Inputs'!F$19)</f>
        <v>97.038513746611798</v>
      </c>
      <c r="BZ46" s="214">
        <f>IF(AND(($E46+$C$1)&gt;BZ$4,BZ$4&gt;=$C$1),$H46,IF(AND(($D46+$C$1)&gt;BZ$4,BZ$4&gt;=$C$1),$G46,0))*IF($A46="Residential",'General Inputs'!G$14,'General Inputs'!G$19)</f>
        <v>98.494091452810963</v>
      </c>
      <c r="CA46" s="214">
        <f>IF(AND(($E46+$C$1)&gt;CA$4,CA$4&gt;=$C$1),$H46,IF(AND(($D46+$C$1)&gt;CA$4,CA$4&gt;=$C$1),$G46,0))*IF($A46="Residential",'General Inputs'!H$14,'General Inputs'!H$19)</f>
        <v>99.971502824603107</v>
      </c>
      <c r="CB46" s="214">
        <f>IF(AND(($E46+$C$1)&gt;CB$4,CB$4&gt;=$C$1),$H46,IF(AND(($D46+$C$1)&gt;CB$4,CB$4&gt;=$C$1),$G46,0))*IF($A46="Residential",'General Inputs'!I$14,'General Inputs'!I$19)</f>
        <v>101.47107536697213</v>
      </c>
      <c r="CC46" s="214">
        <f>IF(AND(($E46+$C$1)&gt;CC$4,CC$4&gt;=$C$1),$H46,IF(AND(($D46+$C$1)&gt;CC$4,CC$4&gt;=$C$1),$G46,0))*IF($A46="Residential",'General Inputs'!J$14,'General Inputs'!J$19)</f>
        <v>102.99314149747671</v>
      </c>
      <c r="CD46" s="214">
        <f>IF(AND(($E46+$C$1)&gt;CD$4,CD$4&gt;=$C$1),$H46,IF(AND(($D46+$C$1)&gt;CD$4,CD$4&gt;=$C$1),$G46,0))*IF($A46="Residential",'General Inputs'!K$14,'General Inputs'!K$19)</f>
        <v>104.53803861993886</v>
      </c>
      <c r="CE46" s="214">
        <f>IF(AND(($E46+$C$1)&gt;CE$4,CE$4&gt;=$C$1),$H46,IF(AND(($D46+$C$1)&gt;CE$4,CE$4&gt;=$C$1),$G46,0))*IF($A46="Residential",'General Inputs'!L$14,'General Inputs'!L$19)</f>
        <v>106.10610919923792</v>
      </c>
      <c r="CF46" s="214">
        <f>IF(AND(($E46+$C$1)&gt;CF$4,CF$4&gt;=$C$1),$H46,IF(AND(($D46+$C$1)&gt;CF$4,CF$4&gt;=$C$1),$G46,0))*IF($A46="Residential",'General Inputs'!M$14,'General Inputs'!M$19)</f>
        <v>107.69770083722649</v>
      </c>
      <c r="CG46" s="214">
        <f>IF(AND(($E46+$C$1)&gt;CG$4,CG$4&gt;=$C$1),$H46,IF(AND(($D46+$C$1)&gt;CG$4,CG$4&gt;=$C$1),$G46,0))*IF($A46="Residential",'General Inputs'!N$14,'General Inputs'!N$19)</f>
        <v>109.31316634978488</v>
      </c>
      <c r="CH46" s="214">
        <f>IF(AND(($E46+$C$1)&gt;CH$4,CH$4&gt;=$C$1),$H46,IF(AND(($D46+$C$1)&gt;CH$4,CH$4&gt;=$C$1),$G46,0))*IF($A46="Residential",'General Inputs'!O$14,'General Inputs'!O$19)</f>
        <v>110.95286384503163</v>
      </c>
      <c r="CI46" s="214">
        <f>IF(AND(($E46+$C$1)&gt;CI$4,CI$4&gt;=$C$1),$H46,IF(AND(($D46+$C$1)&gt;CI$4,CI$4&gt;=$C$1),$G46,0))*IF($A46="Residential",'General Inputs'!P$14,'General Inputs'!P$19)</f>
        <v>0</v>
      </c>
      <c r="CJ46" s="214">
        <f>IF(AND(($E46+$C$1)&gt;CJ$4,CJ$4&gt;=$C$1),$H46,IF(AND(($D46+$C$1)&gt;CJ$4,CJ$4&gt;=$C$1),$G46,0))*IF($A46="Residential",'General Inputs'!Q$14,'General Inputs'!Q$19)</f>
        <v>0</v>
      </c>
      <c r="CK46" s="214">
        <f>IF(AND(($E46+$C$1)&gt;CK$4,CK$4&gt;=$C$1),$H46,IF(AND(($D46+$C$1)&gt;CK$4,CK$4&gt;=$C$1),$G46,0))*IF($A46="Residential",'General Inputs'!R$14,'General Inputs'!R$19)</f>
        <v>0</v>
      </c>
      <c r="CL46" s="214">
        <f>IF(AND(($E46+$C$1)&gt;CL$4,CL$4&gt;=$C$1),$H46,IF(AND(($D46+$C$1)&gt;CL$4,CL$4&gt;=$C$1),$G46,0))*IF($A46="Residential",'General Inputs'!S$14,'General Inputs'!S$19)</f>
        <v>0</v>
      </c>
      <c r="CM46" s="214">
        <f>IF(AND(($E46+$C$1)&gt;CM$4,CM$4&gt;=$C$1),$H46,IF(AND(($D46+$C$1)&gt;CM$4,CM$4&gt;=$C$1),$G46,0))*IF($A46="Residential",'General Inputs'!T$14,'General Inputs'!T$19)</f>
        <v>0</v>
      </c>
      <c r="CN46" s="214">
        <f>IF(AND(($E46+$C$1)&gt;CN$4,CN$4&gt;=$C$1),$H46,IF(AND(($D46+$C$1)&gt;CN$4,CN$4&gt;=$C$1),$G46,0))*IF($A46="Residential",'General Inputs'!U$14,'General Inputs'!U$19)</f>
        <v>0</v>
      </c>
      <c r="CO46" s="214">
        <f>IF(AND(($E46+$C$1)&gt;CO$4,CO$4&gt;=$C$1),$H46,IF(AND(($D46+$C$1)&gt;CO$4,CO$4&gt;=$C$1),$G46,0))*IF($A46="Residential",'General Inputs'!V$14,'General Inputs'!V$19)</f>
        <v>0</v>
      </c>
      <c r="CP46" s="214">
        <f>IF(AND(($E46+$C$1)&gt;CP$4,CP$4&gt;=$C$1),$H46,IF(AND(($D46+$C$1)&gt;CP$4,CP$4&gt;=$C$1),$G46,0))*IF($A46="Residential",'General Inputs'!W$14,'General Inputs'!W$19)</f>
        <v>0</v>
      </c>
      <c r="CR46" s="214">
        <f>IF(AND(($E46+$C$1)&gt;CR$4,CR$4&gt;=$C$1),$H46,IF(AND(($D46+$C$1)&gt;CR$4,CR$4&gt;=$C$1),$G46,0))*IF($A46="Residential",'General Inputs'!D$15,'General Inputs'!D$19)</f>
        <v>0</v>
      </c>
      <c r="CS46" s="214">
        <f>IF(AND(($E46+$C$1)&gt;CS$4,CS$4&gt;=$C$1),$H46,IF(AND(($D46+$C$1)&gt;CS$4,CS$4&gt;=$C$1),$G46,0))*IF($A46="Residential",'General Inputs'!E$15,'General Inputs'!E$19)</f>
        <v>95.604447040996845</v>
      </c>
      <c r="CT46" s="214">
        <f>IF(AND(($E46+$C$1)&gt;CT$4,CT$4&gt;=$C$1),$H46,IF(AND(($D46+$C$1)&gt;CT$4,CT$4&gt;=$C$1),$G46,0))*IF($A46="Residential",'General Inputs'!F$15,'General Inputs'!F$19)</f>
        <v>97.038513746611798</v>
      </c>
      <c r="CU46" s="214">
        <f>IF(AND(($E46+$C$1)&gt;CU$4,CU$4&gt;=$C$1),$H46,IF(AND(($D46+$C$1)&gt;CU$4,CU$4&gt;=$C$1),$G46,0))*IF($A46="Residential",'General Inputs'!G$15,'General Inputs'!G$19)</f>
        <v>98.494091452810963</v>
      </c>
      <c r="CV46" s="214">
        <f>IF(AND(($E46+$C$1)&gt;CV$4,CV$4&gt;=$C$1),$H46,IF(AND(($D46+$C$1)&gt;CV$4,CV$4&gt;=$C$1),$G46,0))*IF($A46="Residential",'General Inputs'!H$15,'General Inputs'!H$19)</f>
        <v>99.971502824603107</v>
      </c>
      <c r="CW46" s="214">
        <f>IF(AND(($E46+$C$1)&gt;CW$4,CW$4&gt;=$C$1),$H46,IF(AND(($D46+$C$1)&gt;CW$4,CW$4&gt;=$C$1),$G46,0))*IF($A46="Residential",'General Inputs'!I$15,'General Inputs'!I$19)</f>
        <v>101.47107536697213</v>
      </c>
      <c r="CX46" s="214">
        <f>IF(AND(($E46+$C$1)&gt;CX$4,CX$4&gt;=$C$1),$H46,IF(AND(($D46+$C$1)&gt;CX$4,CX$4&gt;=$C$1),$G46,0))*IF($A46="Residential",'General Inputs'!J$15,'General Inputs'!J$19)</f>
        <v>102.99314149747671</v>
      </c>
      <c r="CY46" s="214">
        <f>IF(AND(($E46+$C$1)&gt;CY$4,CY$4&gt;=$C$1),$H46,IF(AND(($D46+$C$1)&gt;CY$4,CY$4&gt;=$C$1),$G46,0))*IF($A46="Residential",'General Inputs'!K$15,'General Inputs'!K$19)</f>
        <v>104.53803861993886</v>
      </c>
      <c r="CZ46" s="214">
        <f>IF(AND(($E46+$C$1)&gt;CZ$4,CZ$4&gt;=$C$1),$H46,IF(AND(($D46+$C$1)&gt;CZ$4,CZ$4&gt;=$C$1),$G46,0))*IF($A46="Residential",'General Inputs'!L$15,'General Inputs'!L$19)</f>
        <v>106.10610919923792</v>
      </c>
      <c r="DA46" s="214">
        <f>IF(AND(($E46+$C$1)&gt;DA$4,DA$4&gt;=$C$1),$H46,IF(AND(($D46+$C$1)&gt;DA$4,DA$4&gt;=$C$1),$G46,0))*IF($A46="Residential",'General Inputs'!M$15,'General Inputs'!M$19)</f>
        <v>107.69770083722649</v>
      </c>
      <c r="DB46" s="214">
        <f>IF(AND(($E46+$C$1)&gt;DB$4,DB$4&gt;=$C$1),$H46,IF(AND(($D46+$C$1)&gt;DB$4,DB$4&gt;=$C$1),$G46,0))*IF($A46="Residential",'General Inputs'!N$15,'General Inputs'!N$19)</f>
        <v>109.31316634978488</v>
      </c>
      <c r="DC46" s="214">
        <f>IF(AND(($E46+$C$1)&gt;DC$4,DC$4&gt;=$C$1),$H46,IF(AND(($D46+$C$1)&gt;DC$4,DC$4&gt;=$C$1),$G46,0))*IF($A46="Residential",'General Inputs'!O$15,'General Inputs'!O$19)</f>
        <v>110.95286384503163</v>
      </c>
      <c r="DD46" s="214">
        <f>IF(AND(($E46+$C$1)&gt;DD$4,DD$4&gt;=$C$1),$H46,IF(AND(($D46+$C$1)&gt;DD$4,DD$4&gt;=$C$1),$G46,0))*IF($A46="Residential",'General Inputs'!P$15,'General Inputs'!P$19)</f>
        <v>0</v>
      </c>
      <c r="DE46" s="214">
        <f>IF(AND(($E46+$C$1)&gt;DE$4,DE$4&gt;=$C$1),$H46,IF(AND(($D46+$C$1)&gt;DE$4,DE$4&gt;=$C$1),$G46,0))*IF($A46="Residential",'General Inputs'!Q$15,'General Inputs'!Q$19)</f>
        <v>0</v>
      </c>
      <c r="DF46" s="214">
        <f>IF(AND(($E46+$C$1)&gt;DF$4,DF$4&gt;=$C$1),$H46,IF(AND(($D46+$C$1)&gt;DF$4,DF$4&gt;=$C$1),$G46,0))*IF($A46="Residential",'General Inputs'!R$15,'General Inputs'!R$19)</f>
        <v>0</v>
      </c>
      <c r="DG46" s="214">
        <f>IF(AND(($E46+$C$1)&gt;DG$4,DG$4&gt;=$C$1),$H46,IF(AND(($D46+$C$1)&gt;DG$4,DG$4&gt;=$C$1),$G46,0))*IF($A46="Residential",'General Inputs'!S$15,'General Inputs'!S$19)</f>
        <v>0</v>
      </c>
      <c r="DH46" s="214">
        <f>IF(AND(($E46+$C$1)&gt;DH$4,DH$4&gt;=$C$1),$H46,IF(AND(($D46+$C$1)&gt;DH$4,DH$4&gt;=$C$1),$G46,0))*IF($A46="Residential",'General Inputs'!T$15,'General Inputs'!T$19)</f>
        <v>0</v>
      </c>
      <c r="DI46" s="214">
        <f>IF(AND(($E46+$C$1)&gt;DI$4,DI$4&gt;=$C$1),$H46,IF(AND(($D46+$C$1)&gt;DI$4,DI$4&gt;=$C$1),$G46,0))*IF($A46="Residential",'General Inputs'!U$15,'General Inputs'!U$19)</f>
        <v>0</v>
      </c>
      <c r="DJ46" s="214">
        <f>IF(AND(($E46+$C$1)&gt;DJ$4,DJ$4&gt;=$C$1),$H46,IF(AND(($D46+$C$1)&gt;DJ$4,DJ$4&gt;=$C$1),$G46,0))*IF($A46="Residential",'General Inputs'!V$15,'General Inputs'!V$19)</f>
        <v>0</v>
      </c>
      <c r="DK46" s="214">
        <f>IF(AND(($E46+$C$1)&gt;DK$4,DK$4&gt;=$C$1),$H46,IF(AND(($D46+$C$1)&gt;DK$4,DK$4&gt;=$C$1),$G46,0))*IF($A46="Residential",'General Inputs'!W$15,'General Inputs'!W$19)</f>
        <v>0</v>
      </c>
      <c r="DM46" s="214">
        <f t="shared" ref="DM46:DW65" si="99">IF($C$1=DM$4,$L46*$C46,IF($E46+$C$1=DM$4,-$M46*$C46,0))</f>
        <v>0</v>
      </c>
      <c r="DN46" s="214">
        <f t="shared" si="99"/>
        <v>96</v>
      </c>
      <c r="DO46" s="214">
        <f t="shared" si="99"/>
        <v>0</v>
      </c>
      <c r="DP46" s="214">
        <f t="shared" si="99"/>
        <v>0</v>
      </c>
      <c r="DQ46" s="214">
        <f t="shared" si="99"/>
        <v>0</v>
      </c>
      <c r="DR46" s="214">
        <f t="shared" si="99"/>
        <v>0</v>
      </c>
      <c r="DS46" s="214">
        <f t="shared" si="99"/>
        <v>0</v>
      </c>
      <c r="DT46" s="214">
        <f t="shared" si="99"/>
        <v>0</v>
      </c>
      <c r="DU46" s="214">
        <f t="shared" si="99"/>
        <v>0</v>
      </c>
      <c r="DV46" s="214">
        <f t="shared" si="99"/>
        <v>0</v>
      </c>
      <c r="DW46" s="214">
        <f t="shared" si="99"/>
        <v>0</v>
      </c>
      <c r="DZ46" s="650"/>
      <c r="FI46" s="195"/>
      <c r="FJ46" s="195"/>
      <c r="FK46" s="195"/>
      <c r="FL46" s="195"/>
      <c r="FM46" s="195"/>
      <c r="FN46" s="195"/>
      <c r="FO46" s="195"/>
    </row>
    <row r="47" spans="1:171">
      <c r="A47" s="342" t="s">
        <v>112</v>
      </c>
      <c r="B47" s="427" t="str">
        <f>'Portfolio Inputs'!A46</f>
        <v>Delamp T12 to T8 (2 Lamp Fixtures)</v>
      </c>
      <c r="C47" s="217">
        <f>IF($C$1=2014,'Portfolio Inputs'!$C46,IF($C$1=2015,'Portfolio Inputs'!$D46,'Portfolio Inputs'!$E46))</f>
        <v>5</v>
      </c>
      <c r="D47" s="504">
        <f>VLOOKUP(B47,Sources!$B$4:$J$104,2,FALSE)</f>
        <v>11</v>
      </c>
      <c r="E47" s="504">
        <f>VLOOKUP(B47,Sources!$B$4:$J$104,3,FALSE)</f>
        <v>0</v>
      </c>
      <c r="G47" s="504">
        <f>IF($C$1=2014,'Portfolio Inputs'!$G46,IF($C$1=2015,'Portfolio Inputs'!$H46,'Portfolio Inputs'!$I46))*EnergyLineLoss</f>
        <v>2169.8636568749994</v>
      </c>
      <c r="H47" s="504"/>
      <c r="I47" s="595">
        <f>IF($C$1=2014,'Portfolio Inputs'!$K46,IF($C$1=2015,'Portfolio Inputs'!$L46,'Portfolio Inputs'!$M46))*PeakLineLoss</f>
        <v>0.33552476099999989</v>
      </c>
      <c r="J47" s="510"/>
      <c r="L47" s="606">
        <f>IF($C$1=2014,'Portfolio Inputs'!$O46,IF($C$1=2015,'Portfolio Inputs'!$P46,'Portfolio Inputs'!$Q46))</f>
        <v>55</v>
      </c>
      <c r="M47" s="518">
        <f>VLOOKUP($B47,Sources!$B$4:$K$104,10,FALSE)</f>
        <v>0</v>
      </c>
      <c r="N47" s="419">
        <f>IF($C$1=2014,'Portfolio Inputs'!$W46,IF($C$1=2015,'Portfolio Inputs'!$X46,'Portfolio Inputs'!$Y46))</f>
        <v>80</v>
      </c>
      <c r="O47" s="419">
        <f>IF($C$1=2014,'Portfolio Inputs'!$AA46,IF($C$1=2015,'Portfolio Inputs'!$AB46,'Portfolio Inputs'!$AC46))</f>
        <v>0</v>
      </c>
      <c r="Q47" s="438">
        <f t="shared" si="67"/>
        <v>2.681929528173014</v>
      </c>
      <c r="R47" s="439">
        <f t="shared" si="68"/>
        <v>9.2191327530947351</v>
      </c>
      <c r="S47" s="439">
        <f t="shared" si="69"/>
        <v>3.3532409615327499</v>
      </c>
      <c r="T47" s="439">
        <f t="shared" si="70"/>
        <v>6.9414679572678883</v>
      </c>
      <c r="U47" s="439">
        <f t="shared" si="98"/>
        <v>6.9414679572678883</v>
      </c>
      <c r="V47" s="439">
        <f t="shared" si="72"/>
        <v>0.38636345290119328</v>
      </c>
      <c r="W47" s="439">
        <f t="shared" si="73"/>
        <v>0.38636345290119328</v>
      </c>
      <c r="Y47" s="215">
        <f t="shared" si="4"/>
        <v>677.62828027157184</v>
      </c>
      <c r="Z47" s="215">
        <f t="shared" si="5"/>
        <v>169.61654187240666</v>
      </c>
      <c r="AA47" s="215">
        <f t="shared" si="6"/>
        <v>1680.3598752744113</v>
      </c>
      <c r="AB47" s="215">
        <f t="shared" si="7"/>
        <v>1680.3598752744113</v>
      </c>
      <c r="AC47" s="216">
        <f t="shared" si="20"/>
        <v>0</v>
      </c>
      <c r="AD47" s="216">
        <f t="shared" si="21"/>
        <v>73.502388827636892</v>
      </c>
      <c r="AE47" s="215">
        <f t="shared" si="8"/>
        <v>252.66446159500182</v>
      </c>
      <c r="AG47" s="214">
        <f>IF(AND(($E47+$C$1)&gt;AG$4,AG$4&gt;=$C$1),'General Inputs'!D$9*$H47,IF(AND(($D47+$C$1)&gt;AG$4,AG$4&gt;=$C$1),'General Inputs'!D$9*$G47,0))+IF(AND(($E47+$C$1)&gt;AG$4,AG$4&gt;=$C$1),'General Inputs'!D$10*$J47,IF(AND(($D47+$C$1)&gt;AG$4,AG$4&gt;=$C$1),'General Inputs'!D$10*$I47,0))</f>
        <v>0</v>
      </c>
      <c r="AH47" s="214">
        <f>IF(AND(($E47+$C$1)&gt;AH$4,AH$4&gt;=$C$1),'General Inputs'!E$9*$H47,IF(AND(($D47+$C$1)&gt;AH$4,AH$4&gt;=$C$1),'General Inputs'!E$9*$G47,0))+IF(AND(($E47+$C$1)&gt;AH$4,AH$4&gt;=$C$1),'General Inputs'!E$10*$J47,IF(AND(($D47+$C$1)&gt;AH$4,AH$4&gt;=$C$1),'General Inputs'!E$10*$I47,0))</f>
        <v>92.782528392955356</v>
      </c>
      <c r="AI47" s="214">
        <f>IF(AND(($E47+$C$1)&gt;AI$4,AI$4&gt;=$C$1),'General Inputs'!F$9*$H47,IF(AND(($D47+$C$1)&gt;AI$4,AI$4&gt;=$C$1),'General Inputs'!F$9*$G47,0))+IF(AND(($E47+$C$1)&gt;AI$4,AI$4&gt;=$C$1),'General Inputs'!F$10*$J47,IF(AND(($D47+$C$1)&gt;AI$4,AI$4&gt;=$C$1),'General Inputs'!F$10*$I47,0))</f>
        <v>94.174266318849675</v>
      </c>
      <c r="AJ47" s="214">
        <f>IF(AND(($E47+$C$1)&gt;AJ$4,AJ$4&gt;=$C$1),'General Inputs'!G$9*$H47,IF(AND(($D47+$C$1)&gt;AJ$4,AJ$4&gt;=$C$1),'General Inputs'!G$9*$G47,0))+IF(AND(($E47+$C$1)&gt;AJ$4,AJ$4&gt;=$C$1),'General Inputs'!G$10*$J47,IF(AND(($D47+$C$1)&gt;AJ$4,AJ$4&gt;=$C$1),'General Inputs'!G$10*$I47,0))</f>
        <v>95.586880313632406</v>
      </c>
      <c r="AK47" s="214">
        <f>IF(AND(($E47+$C$1)&gt;AK$4,AK$4&gt;=$C$1),'General Inputs'!H$9*$H47,IF(AND(($D47+$C$1)&gt;AK$4,AK$4&gt;=$C$1),'General Inputs'!H$9*$G47,0))+IF(AND(($E47+$C$1)&gt;AK$4,AK$4&gt;=$C$1),'General Inputs'!H$10*$J47,IF(AND(($D47+$C$1)&gt;AK$4,AK$4&gt;=$C$1),'General Inputs'!H$10*$I47,0))</f>
        <v>97.020683518336881</v>
      </c>
      <c r="AL47" s="214">
        <f>IF(AND(($E47+$C$1)&gt;AL$4,AL$4&gt;=$C$1),'General Inputs'!I$9*$H47,IF(AND(($D47+$C$1)&gt;AL$4,AL$4&gt;=$C$1),'General Inputs'!I$9*$G47,0))+IF(AND(($E47+$C$1)&gt;AL$4,AL$4&gt;=$C$1),'General Inputs'!I$10*$J47,IF(AND(($D47+$C$1)&gt;AL$4,AL$4&gt;=$C$1),'General Inputs'!I$10*$I47,0))</f>
        <v>98.475993771111916</v>
      </c>
      <c r="AM47" s="214">
        <f>IF(AND(($E47+$C$1)&gt;AM$4,AM$4&gt;=$C$1),'General Inputs'!J$9*$H47,IF(AND(($D47+$C$1)&gt;AM$4,AM$4&gt;=$C$1),'General Inputs'!J$9*$G47,0))+IF(AND(($E47+$C$1)&gt;AM$4,AM$4&gt;=$C$1),'General Inputs'!J$10*$J47,IF(AND(($D47+$C$1)&gt;AM$4,AM$4&gt;=$C$1),'General Inputs'!J$10*$I47,0))</f>
        <v>99.953133677678579</v>
      </c>
      <c r="AN47" s="214">
        <f>IF(AND(($E47+$C$1)&gt;AN$4,AN$4&gt;=$C$1),'General Inputs'!K$9*$H47,IF(AND(($D47+$C$1)&gt;AN$4,AN$4&gt;=$C$1),'General Inputs'!K$9*$G47,0))+IF(AND(($E47+$C$1)&gt;AN$4,AN$4&gt;=$C$1),'General Inputs'!K$10*$J47,IF(AND(($D47+$C$1)&gt;AN$4,AN$4&gt;=$C$1),'General Inputs'!K$10*$I47,0))</f>
        <v>101.45243068284374</v>
      </c>
      <c r="AO47" s="214">
        <f>IF(AND(($E47+$C$1)&gt;AO$4,AO$4&gt;=$C$1),'General Inputs'!L$9*$H47,IF(AND(($D47+$C$1)&gt;AO$4,AO$4&gt;=$C$1),'General Inputs'!L$9*$G47,0))+IF(AND(($E47+$C$1)&gt;AO$4,AO$4&gt;=$C$1),'General Inputs'!L$10*$J47,IF(AND(($D47+$C$1)&gt;AO$4,AO$4&gt;=$C$1),'General Inputs'!L$10*$I47,0))</f>
        <v>102.97421714308639</v>
      </c>
      <c r="AP47" s="214">
        <f>IF(AND(($E47+$C$1)&gt;AP$4,AP$4&gt;=$C$1),'General Inputs'!M$9*$H47,IF(AND(($D47+$C$1)&gt;AP$4,AP$4&gt;=$C$1),'General Inputs'!M$9*$G47,0))+IF(AND(($E47+$C$1)&gt;AP$4,AP$4&gt;=$C$1),'General Inputs'!M$10*$J47,IF(AND(($D47+$C$1)&gt;AP$4,AP$4&gt;=$C$1),'General Inputs'!M$10*$I47,0))</f>
        <v>104.51883040023267</v>
      </c>
      <c r="AQ47" s="214">
        <f>IF(AND(($E47+$C$1)&gt;AQ$4,AQ$4&gt;=$C$1),'General Inputs'!N$9*$H47,IF(AND(($D47+$C$1)&gt;AQ$4,AQ$4&gt;=$C$1),'General Inputs'!N$9*$G47,0))+IF(AND(($E47+$C$1)&gt;AQ$4,AQ$4&gt;=$C$1),'General Inputs'!N$10*$J47,IF(AND(($D47+$C$1)&gt;AQ$4,AQ$4&gt;=$C$1),'General Inputs'!N$10*$I47,0))</f>
        <v>106.08661285623616</v>
      </c>
      <c r="AR47" s="214">
        <f>IF(AND(($E47+$C$1)&gt;AR$4,AR$4&gt;=$C$1),'General Inputs'!O$9*$H47,IF(AND(($D47+$C$1)&gt;AR$4,AR$4&gt;=$C$1),'General Inputs'!O$9*$G47,0))+IF(AND(($E47+$C$1)&gt;AR$4,AR$4&gt;=$C$1),'General Inputs'!O$10*$J47,IF(AND(($D47+$C$1)&gt;AR$4,AR$4&gt;=$C$1),'General Inputs'!O$10*$I47,0))</f>
        <v>107.67791204907969</v>
      </c>
      <c r="AS47" s="214">
        <f>IF(AND(($E47+$C$1)&gt;AS$4,AS$4&gt;=$C$1),'General Inputs'!P$9*$H47,IF(AND(($D47+$C$1)&gt;AS$4,AS$4&gt;=$C$1),'General Inputs'!P$9*$G47,0))+IF(AND(($E47+$C$1)&gt;AS$4,AS$4&gt;=$C$1),'General Inputs'!P$10*$J47,IF(AND(($D47+$C$1)&gt;AS$4,AS$4&gt;=$C$1),'General Inputs'!P$10*$I47,0))</f>
        <v>0</v>
      </c>
      <c r="AT47" s="214">
        <f>IF(AND(($E47+$C$1)&gt;AT$4,AT$4&gt;=$C$1),'General Inputs'!Q$9*$H47,IF(AND(($D47+$C$1)&gt;AT$4,AT$4&gt;=$C$1),'General Inputs'!Q$9*$G47,0))+IF(AND(($E47+$C$1)&gt;AT$4,AT$4&gt;=$C$1),'General Inputs'!Q$10*$J47,IF(AND(($D47+$C$1)&gt;AT$4,AT$4&gt;=$C$1),'General Inputs'!Q$10*$I47,0))</f>
        <v>0</v>
      </c>
      <c r="AU47" s="214">
        <f>IF(AND(($E47+$C$1)&gt;AU$4,AU$4&gt;=$C$1),'General Inputs'!R$9*$H47,IF(AND(($D47+$C$1)&gt;AU$4,AU$4&gt;=$C$1),'General Inputs'!R$9*$G47,0))+IF(AND(($E47+$C$1)&gt;AU$4,AU$4&gt;=$C$1),'General Inputs'!R$10*$J47,IF(AND(($D47+$C$1)&gt;AU$4,AU$4&gt;=$C$1),'General Inputs'!R$10*$I47,0))</f>
        <v>0</v>
      </c>
      <c r="AV47" s="214">
        <f>IF(AND(($E47+$C$1)&gt;AV$4,AV$4&gt;=$C$1),'General Inputs'!S$9*$H47,IF(AND(($D47+$C$1)&gt;AV$4,AV$4&gt;=$C$1),'General Inputs'!S$9*$G47,0))+IF(AND(($E47+$C$1)&gt;AV$4,AV$4&gt;=$C$1),'General Inputs'!S$10*$J47,IF(AND(($D47+$C$1)&gt;AV$4,AV$4&gt;=$C$1),'General Inputs'!S$10*$I47,0))</f>
        <v>0</v>
      </c>
      <c r="AW47" s="214">
        <f>IF(AND(($E47+$C$1)&gt;AW$4,AW$4&gt;=$C$1),'General Inputs'!T$9*$H47,IF(AND(($D47+$C$1)&gt;AW$4,AW$4&gt;=$C$1),'General Inputs'!T$9*$G47,0))+IF(AND(($E47+$C$1)&gt;AW$4,AW$4&gt;=$C$1),'General Inputs'!T$10*$J47,IF(AND(($D47+$C$1)&gt;AW$4,AW$4&gt;=$C$1),'General Inputs'!T$10*$I47,0))</f>
        <v>0</v>
      </c>
      <c r="AX47" s="214">
        <f>IF(AND(($E47+$C$1)&gt;AX$4,AX$4&gt;=$C$1),'General Inputs'!U$9*$H47,IF(AND(($D47+$C$1)&gt;AX$4,AX$4&gt;=$C$1),'General Inputs'!U$9*$G47,0))+IF(AND(($E47+$C$1)&gt;AX$4,AX$4&gt;=$C$1),'General Inputs'!U$10*$J47,IF(AND(($D47+$C$1)&gt;AX$4,AX$4&gt;=$C$1),'General Inputs'!U$10*$I47,0))</f>
        <v>0</v>
      </c>
      <c r="AY47" s="214">
        <f>IF(AND(($E47+$C$1)&gt;AY$4,AY$4&gt;=$C$1),'General Inputs'!V$9*$H47,IF(AND(($D47+$C$1)&gt;AY$4,AY$4&gt;=$C$1),'General Inputs'!V$9*$G47,0))+IF(AND(($E47+$C$1)&gt;AY$4,AY$4&gt;=$C$1),'General Inputs'!V$10*$J47,IF(AND(($D47+$C$1)&gt;AY$4,AY$4&gt;=$C$1),'General Inputs'!V$10*$I47,0))</f>
        <v>0</v>
      </c>
      <c r="AZ47" s="214">
        <f>IF(AND(($E47+$C$1)&gt;AZ$4,AZ$4&gt;=$C$1),'General Inputs'!W$9*$H47,IF(AND(($D47+$C$1)&gt;AZ$4,AZ$4&gt;=$C$1),'General Inputs'!W$9*$G47,0))+IF(AND(($E47+$C$1)&gt;AZ$4,AZ$4&gt;=$C$1),'General Inputs'!W$10*$J47,IF(AND(($D47+$C$1)&gt;AZ$4,AZ$4&gt;=$C$1),'General Inputs'!W$10*$I47,0))</f>
        <v>0</v>
      </c>
      <c r="BB47" s="214">
        <f>IF(AND(($E47+$C$1)&gt;BB$4,BB$4&gt;=$C$1),'General Inputs'!D$11*$H47,IF(AND(($D47+$C$1)&gt;BB$4,BB$4&gt;=$C$1),'General Inputs'!D$11*$G47,0))</f>
        <v>0</v>
      </c>
      <c r="BC47" s="214">
        <f>IF(AND(($E47+$C$1)&gt;BC$4,BC$4&gt;=$C$1),'General Inputs'!E$11*$H47,IF(AND(($D47+$C$1)&gt;BC$4,BC$4&gt;=$C$1),'General Inputs'!E$11*$G47,0))</f>
        <v>24.736445688374992</v>
      </c>
      <c r="BD47" s="214">
        <f>IF(AND(($E47+$C$1)&gt;BD$4,BD$4&gt;=$C$1),'General Inputs'!F$11*$H47,IF(AND(($D47+$C$1)&gt;BD$4,BD$4&gt;=$C$1),'General Inputs'!F$11*$G47,0))</f>
        <v>24.736445688374992</v>
      </c>
      <c r="BE47" s="214">
        <f>IF(AND(($E47+$C$1)&gt;BE$4,BE$4&gt;=$C$1),'General Inputs'!G$11*$H47,IF(AND(($D47+$C$1)&gt;BE$4,BE$4&gt;=$C$1),'General Inputs'!G$11*$G47,0))</f>
        <v>24.736445688374992</v>
      </c>
      <c r="BF47" s="214">
        <f>IF(AND(($E47+$C$1)&gt;BF$4,BF$4&gt;=$C$1),'General Inputs'!H$11*$H47,IF(AND(($D47+$C$1)&gt;BF$4,BF$4&gt;=$C$1),'General Inputs'!H$11*$G47,0))</f>
        <v>24.736445688374992</v>
      </c>
      <c r="BG47" s="214">
        <f>IF(AND(($E47+$C$1)&gt;BG$4,BG$4&gt;=$C$1),'General Inputs'!I$11*$H47,IF(AND(($D47+$C$1)&gt;BG$4,BG$4&gt;=$C$1),'General Inputs'!I$11*$G47,0))</f>
        <v>24.736445688374992</v>
      </c>
      <c r="BH47" s="214">
        <f>IF(AND(($E47+$C$1)&gt;BH$4,BH$4&gt;=$C$1),'General Inputs'!J$11*$H47,IF(AND(($D47+$C$1)&gt;BH$4,BH$4&gt;=$C$1),'General Inputs'!J$11*$G47,0))</f>
        <v>24.736445688374992</v>
      </c>
      <c r="BI47" s="214">
        <f>IF(AND(($E47+$C$1)&gt;BI$4,BI$4&gt;=$C$1),'General Inputs'!K$11*$H47,IF(AND(($D47+$C$1)&gt;BI$4,BI$4&gt;=$C$1),'General Inputs'!K$11*$G47,0))</f>
        <v>24.736445688374992</v>
      </c>
      <c r="BJ47" s="214">
        <f>IF(AND(($E47+$C$1)&gt;BJ$4,BJ$4&gt;=$C$1),'General Inputs'!L$11*$H47,IF(AND(($D47+$C$1)&gt;BJ$4,BJ$4&gt;=$C$1),'General Inputs'!L$11*$G47,0))</f>
        <v>24.736445688374992</v>
      </c>
      <c r="BK47" s="214">
        <f>IF(AND(($E47+$C$1)&gt;BK$4,BK$4&gt;=$C$1),'General Inputs'!M$11*$H47,IF(AND(($D47+$C$1)&gt;BK$4,BK$4&gt;=$C$1),'General Inputs'!M$11*$G47,0))</f>
        <v>24.736445688374992</v>
      </c>
      <c r="BL47" s="214">
        <f>IF(AND(($E47+$C$1)&gt;BL$4,BL$4&gt;=$C$1),'General Inputs'!N$11*$H47,IF(AND(($D47+$C$1)&gt;BL$4,BL$4&gt;=$C$1),'General Inputs'!N$11*$G47,0))</f>
        <v>24.736445688374992</v>
      </c>
      <c r="BM47" s="214">
        <f>IF(AND(($E47+$C$1)&gt;BM$4,BM$4&gt;=$C$1),'General Inputs'!O$11*$H47,IF(AND(($D47+$C$1)&gt;BM$4,BM$4&gt;=$C$1),'General Inputs'!O$11*$G47,0))</f>
        <v>24.736445688374992</v>
      </c>
      <c r="BN47" s="214">
        <f>IF(AND(($E47+$C$1)&gt;BN$4,BN$4&gt;=$C$1),'General Inputs'!P$11*$H47,IF(AND(($D47+$C$1)&gt;BN$4,BN$4&gt;=$C$1),'General Inputs'!P$11*$G47,0))</f>
        <v>0</v>
      </c>
      <c r="BO47" s="214">
        <f>IF(AND(($E47+$C$1)&gt;BO$4,BO$4&gt;=$C$1),'General Inputs'!Q$11*$H47,IF(AND(($D47+$C$1)&gt;BO$4,BO$4&gt;=$C$1),'General Inputs'!Q$11*$G47,0))</f>
        <v>0</v>
      </c>
      <c r="BP47" s="214">
        <f>IF(AND(($E47+$C$1)&gt;BP$4,BP$4&gt;=$C$1),'General Inputs'!R$11*$H47,IF(AND(($D47+$C$1)&gt;BP$4,BP$4&gt;=$C$1),'General Inputs'!R$11*$G47,0))</f>
        <v>0</v>
      </c>
      <c r="BQ47" s="214">
        <f>IF(AND(($E47+$C$1)&gt;BQ$4,BQ$4&gt;=$C$1),'General Inputs'!S$11*$H47,IF(AND(($D47+$C$1)&gt;BQ$4,BQ$4&gt;=$C$1),'General Inputs'!S$11*$G47,0))</f>
        <v>0</v>
      </c>
      <c r="BR47" s="214">
        <f>IF(AND(($E47+$C$1)&gt;BR$4,BR$4&gt;=$C$1),'General Inputs'!T$11*$H47,IF(AND(($D47+$C$1)&gt;BR$4,BR$4&gt;=$C$1),'General Inputs'!T$11*$G47,0))</f>
        <v>0</v>
      </c>
      <c r="BS47" s="214">
        <f>IF(AND(($E47+$C$1)&gt;BS$4,BS$4&gt;=$C$1),'General Inputs'!U$11*$H47,IF(AND(($D47+$C$1)&gt;BS$4,BS$4&gt;=$C$1),'General Inputs'!U$11*$G47,0))</f>
        <v>0</v>
      </c>
      <c r="BT47" s="214">
        <f>IF(AND(($E47+$C$1)&gt;BT$4,BT$4&gt;=$C$1),'General Inputs'!V$11*$H47,IF(AND(($D47+$C$1)&gt;BT$4,BT$4&gt;=$C$1),'General Inputs'!V$11*$G47,0))</f>
        <v>0</v>
      </c>
      <c r="BU47" s="214">
        <f>IF(AND(($E47+$C$1)&gt;BU$4,BU$4&gt;=$C$1),'General Inputs'!W$11*$H47,IF(AND(($D47+$C$1)&gt;BU$4,BU$4&gt;=$C$1),'General Inputs'!W$11*$G47,0))</f>
        <v>0</v>
      </c>
      <c r="BW47" s="214">
        <f>IF(AND(($E47+$C$1)&gt;BW$4,BW$4&gt;=$C$1),$H47,IF(AND(($D47+$C$1)&gt;BW$4,BW$4&gt;=$C$1),$G47,0))*IF($A47="Residential",'General Inputs'!D$14,'General Inputs'!D$19)</f>
        <v>0</v>
      </c>
      <c r="BX47" s="214">
        <f>IF(AND(($E47+$C$1)&gt;BX$4,BX$4&gt;=$C$1),$H47,IF(AND(($D47+$C$1)&gt;BX$4,BX$4&gt;=$C$1),$G47,0))*IF($A47="Residential",'General Inputs'!E$14,'General Inputs'!E$19)</f>
        <v>230.07900109415152</v>
      </c>
      <c r="BY47" s="214">
        <f>IF(AND(($E47+$C$1)&gt;BY$4,BY$4&gt;=$C$1),$H47,IF(AND(($D47+$C$1)&gt;BY$4,BY$4&gt;=$C$1),$G47,0))*IF($A47="Residential",'General Inputs'!F$14,'General Inputs'!F$19)</f>
        <v>233.53018611056379</v>
      </c>
      <c r="BZ47" s="214">
        <f>IF(AND(($E47+$C$1)&gt;BZ$4,BZ$4&gt;=$C$1),$H47,IF(AND(($D47+$C$1)&gt;BZ$4,BZ$4&gt;=$C$1),$G47,0))*IF($A47="Residential",'General Inputs'!G$14,'General Inputs'!G$19)</f>
        <v>237.03313890222222</v>
      </c>
      <c r="CA47" s="214">
        <f>IF(AND(($E47+$C$1)&gt;CA$4,CA$4&gt;=$C$1),$H47,IF(AND(($D47+$C$1)&gt;CA$4,CA$4&gt;=$C$1),$G47,0))*IF($A47="Residential",'General Inputs'!H$14,'General Inputs'!H$19)</f>
        <v>240.5886359857555</v>
      </c>
      <c r="CB47" s="214">
        <f>IF(AND(($E47+$C$1)&gt;CB$4,CB$4&gt;=$C$1),$H47,IF(AND(($D47+$C$1)&gt;CB$4,CB$4&gt;=$C$1),$G47,0))*IF($A47="Residential",'General Inputs'!I$14,'General Inputs'!I$19)</f>
        <v>244.19746552554179</v>
      </c>
      <c r="CC47" s="214">
        <f>IF(AND(($E47+$C$1)&gt;CC$4,CC$4&gt;=$C$1),$H47,IF(AND(($D47+$C$1)&gt;CC$4,CC$4&gt;=$C$1),$G47,0))*IF($A47="Residential",'General Inputs'!J$14,'General Inputs'!J$19)</f>
        <v>247.86042750842492</v>
      </c>
      <c r="CD47" s="214">
        <f>IF(AND(($E47+$C$1)&gt;CD$4,CD$4&gt;=$C$1),$H47,IF(AND(($D47+$C$1)&gt;CD$4,CD$4&gt;=$C$1),$G47,0))*IF($A47="Residential",'General Inputs'!K$14,'General Inputs'!K$19)</f>
        <v>251.57833392105127</v>
      </c>
      <c r="CE47" s="214">
        <f>IF(AND(($E47+$C$1)&gt;CE$4,CE$4&gt;=$C$1),$H47,IF(AND(($D47+$C$1)&gt;CE$4,CE$4&gt;=$C$1),$G47,0))*IF($A47="Residential",'General Inputs'!L$14,'General Inputs'!L$19)</f>
        <v>255.352008929867</v>
      </c>
      <c r="CF47" s="214">
        <f>IF(AND(($E47+$C$1)&gt;CF$4,CF$4&gt;=$C$1),$H47,IF(AND(($D47+$C$1)&gt;CF$4,CF$4&gt;=$C$1),$G47,0))*IF($A47="Residential",'General Inputs'!M$14,'General Inputs'!M$19)</f>
        <v>259.18228906381501</v>
      </c>
      <c r="CG47" s="214">
        <f>IF(AND(($E47+$C$1)&gt;CG$4,CG$4&gt;=$C$1),$H47,IF(AND(($D47+$C$1)&gt;CG$4,CG$4&gt;=$C$1),$G47,0))*IF($A47="Residential",'General Inputs'!N$14,'General Inputs'!N$19)</f>
        <v>263.0700233997722</v>
      </c>
      <c r="CH47" s="214">
        <f>IF(AND(($E47+$C$1)&gt;CH$4,CH$4&gt;=$C$1),$H47,IF(AND(($D47+$C$1)&gt;CH$4,CH$4&gt;=$C$1),$G47,0))*IF($A47="Residential",'General Inputs'!O$14,'General Inputs'!O$19)</f>
        <v>267.01607375076873</v>
      </c>
      <c r="CI47" s="214">
        <f>IF(AND(($E47+$C$1)&gt;CI$4,CI$4&gt;=$C$1),$H47,IF(AND(($D47+$C$1)&gt;CI$4,CI$4&gt;=$C$1),$G47,0))*IF($A47="Residential",'General Inputs'!P$14,'General Inputs'!P$19)</f>
        <v>0</v>
      </c>
      <c r="CJ47" s="214">
        <f>IF(AND(($E47+$C$1)&gt;CJ$4,CJ$4&gt;=$C$1),$H47,IF(AND(($D47+$C$1)&gt;CJ$4,CJ$4&gt;=$C$1),$G47,0))*IF($A47="Residential",'General Inputs'!Q$14,'General Inputs'!Q$19)</f>
        <v>0</v>
      </c>
      <c r="CK47" s="214">
        <f>IF(AND(($E47+$C$1)&gt;CK$4,CK$4&gt;=$C$1),$H47,IF(AND(($D47+$C$1)&gt;CK$4,CK$4&gt;=$C$1),$G47,0))*IF($A47="Residential",'General Inputs'!R$14,'General Inputs'!R$19)</f>
        <v>0</v>
      </c>
      <c r="CL47" s="214">
        <f>IF(AND(($E47+$C$1)&gt;CL$4,CL$4&gt;=$C$1),$H47,IF(AND(($D47+$C$1)&gt;CL$4,CL$4&gt;=$C$1),$G47,0))*IF($A47="Residential",'General Inputs'!S$14,'General Inputs'!S$19)</f>
        <v>0</v>
      </c>
      <c r="CM47" s="214">
        <f>IF(AND(($E47+$C$1)&gt;CM$4,CM$4&gt;=$C$1),$H47,IF(AND(($D47+$C$1)&gt;CM$4,CM$4&gt;=$C$1),$G47,0))*IF($A47="Residential",'General Inputs'!T$14,'General Inputs'!T$19)</f>
        <v>0</v>
      </c>
      <c r="CN47" s="214">
        <f>IF(AND(($E47+$C$1)&gt;CN$4,CN$4&gt;=$C$1),$H47,IF(AND(($D47+$C$1)&gt;CN$4,CN$4&gt;=$C$1),$G47,0))*IF($A47="Residential",'General Inputs'!U$14,'General Inputs'!U$19)</f>
        <v>0</v>
      </c>
      <c r="CO47" s="214">
        <f>IF(AND(($E47+$C$1)&gt;CO$4,CO$4&gt;=$C$1),$H47,IF(AND(($D47+$C$1)&gt;CO$4,CO$4&gt;=$C$1),$G47,0))*IF($A47="Residential",'General Inputs'!V$14,'General Inputs'!V$19)</f>
        <v>0</v>
      </c>
      <c r="CP47" s="214">
        <f>IF(AND(($E47+$C$1)&gt;CP$4,CP$4&gt;=$C$1),$H47,IF(AND(($D47+$C$1)&gt;CP$4,CP$4&gt;=$C$1),$G47,0))*IF($A47="Residential",'General Inputs'!W$14,'General Inputs'!W$19)</f>
        <v>0</v>
      </c>
      <c r="CR47" s="214">
        <f>IF(AND(($E47+$C$1)&gt;CR$4,CR$4&gt;=$C$1),$H47,IF(AND(($D47+$C$1)&gt;CR$4,CR$4&gt;=$C$1),$G47,0))*IF($A47="Residential",'General Inputs'!D$15,'General Inputs'!D$19)</f>
        <v>0</v>
      </c>
      <c r="CS47" s="214">
        <f>IF(AND(($E47+$C$1)&gt;CS$4,CS$4&gt;=$C$1),$H47,IF(AND(($D47+$C$1)&gt;CS$4,CS$4&gt;=$C$1),$G47,0))*IF($A47="Residential",'General Inputs'!E$15,'General Inputs'!E$19)</f>
        <v>230.07900109415152</v>
      </c>
      <c r="CT47" s="214">
        <f>IF(AND(($E47+$C$1)&gt;CT$4,CT$4&gt;=$C$1),$H47,IF(AND(($D47+$C$1)&gt;CT$4,CT$4&gt;=$C$1),$G47,0))*IF($A47="Residential",'General Inputs'!F$15,'General Inputs'!F$19)</f>
        <v>233.53018611056379</v>
      </c>
      <c r="CU47" s="214">
        <f>IF(AND(($E47+$C$1)&gt;CU$4,CU$4&gt;=$C$1),$H47,IF(AND(($D47+$C$1)&gt;CU$4,CU$4&gt;=$C$1),$G47,0))*IF($A47="Residential",'General Inputs'!G$15,'General Inputs'!G$19)</f>
        <v>237.03313890222222</v>
      </c>
      <c r="CV47" s="214">
        <f>IF(AND(($E47+$C$1)&gt;CV$4,CV$4&gt;=$C$1),$H47,IF(AND(($D47+$C$1)&gt;CV$4,CV$4&gt;=$C$1),$G47,0))*IF($A47="Residential",'General Inputs'!H$15,'General Inputs'!H$19)</f>
        <v>240.5886359857555</v>
      </c>
      <c r="CW47" s="214">
        <f>IF(AND(($E47+$C$1)&gt;CW$4,CW$4&gt;=$C$1),$H47,IF(AND(($D47+$C$1)&gt;CW$4,CW$4&gt;=$C$1),$G47,0))*IF($A47="Residential",'General Inputs'!I$15,'General Inputs'!I$19)</f>
        <v>244.19746552554179</v>
      </c>
      <c r="CX47" s="214">
        <f>IF(AND(($E47+$C$1)&gt;CX$4,CX$4&gt;=$C$1),$H47,IF(AND(($D47+$C$1)&gt;CX$4,CX$4&gt;=$C$1),$G47,0))*IF($A47="Residential",'General Inputs'!J$15,'General Inputs'!J$19)</f>
        <v>247.86042750842492</v>
      </c>
      <c r="CY47" s="214">
        <f>IF(AND(($E47+$C$1)&gt;CY$4,CY$4&gt;=$C$1),$H47,IF(AND(($D47+$C$1)&gt;CY$4,CY$4&gt;=$C$1),$G47,0))*IF($A47="Residential",'General Inputs'!K$15,'General Inputs'!K$19)</f>
        <v>251.57833392105127</v>
      </c>
      <c r="CZ47" s="214">
        <f>IF(AND(($E47+$C$1)&gt;CZ$4,CZ$4&gt;=$C$1),$H47,IF(AND(($D47+$C$1)&gt;CZ$4,CZ$4&gt;=$C$1),$G47,0))*IF($A47="Residential",'General Inputs'!L$15,'General Inputs'!L$19)</f>
        <v>255.352008929867</v>
      </c>
      <c r="DA47" s="214">
        <f>IF(AND(($E47+$C$1)&gt;DA$4,DA$4&gt;=$C$1),$H47,IF(AND(($D47+$C$1)&gt;DA$4,DA$4&gt;=$C$1),$G47,0))*IF($A47="Residential",'General Inputs'!M$15,'General Inputs'!M$19)</f>
        <v>259.18228906381501</v>
      </c>
      <c r="DB47" s="214">
        <f>IF(AND(($E47+$C$1)&gt;DB$4,DB$4&gt;=$C$1),$H47,IF(AND(($D47+$C$1)&gt;DB$4,DB$4&gt;=$C$1),$G47,0))*IF($A47="Residential",'General Inputs'!N$15,'General Inputs'!N$19)</f>
        <v>263.0700233997722</v>
      </c>
      <c r="DC47" s="214">
        <f>IF(AND(($E47+$C$1)&gt;DC$4,DC$4&gt;=$C$1),$H47,IF(AND(($D47+$C$1)&gt;DC$4,DC$4&gt;=$C$1),$G47,0))*IF($A47="Residential",'General Inputs'!O$15,'General Inputs'!O$19)</f>
        <v>267.01607375076873</v>
      </c>
      <c r="DD47" s="214">
        <f>IF(AND(($E47+$C$1)&gt;DD$4,DD$4&gt;=$C$1),$H47,IF(AND(($D47+$C$1)&gt;DD$4,DD$4&gt;=$C$1),$G47,0))*IF($A47="Residential",'General Inputs'!P$15,'General Inputs'!P$19)</f>
        <v>0</v>
      </c>
      <c r="DE47" s="214">
        <f>IF(AND(($E47+$C$1)&gt;DE$4,DE$4&gt;=$C$1),$H47,IF(AND(($D47+$C$1)&gt;DE$4,DE$4&gt;=$C$1),$G47,0))*IF($A47="Residential",'General Inputs'!Q$15,'General Inputs'!Q$19)</f>
        <v>0</v>
      </c>
      <c r="DF47" s="214">
        <f>IF(AND(($E47+$C$1)&gt;DF$4,DF$4&gt;=$C$1),$H47,IF(AND(($D47+$C$1)&gt;DF$4,DF$4&gt;=$C$1),$G47,0))*IF($A47="Residential",'General Inputs'!R$15,'General Inputs'!R$19)</f>
        <v>0</v>
      </c>
      <c r="DG47" s="214">
        <f>IF(AND(($E47+$C$1)&gt;DG$4,DG$4&gt;=$C$1),$H47,IF(AND(($D47+$C$1)&gt;DG$4,DG$4&gt;=$C$1),$G47,0))*IF($A47="Residential",'General Inputs'!S$15,'General Inputs'!S$19)</f>
        <v>0</v>
      </c>
      <c r="DH47" s="214">
        <f>IF(AND(($E47+$C$1)&gt;DH$4,DH$4&gt;=$C$1),$H47,IF(AND(($D47+$C$1)&gt;DH$4,DH$4&gt;=$C$1),$G47,0))*IF($A47="Residential",'General Inputs'!T$15,'General Inputs'!T$19)</f>
        <v>0</v>
      </c>
      <c r="DI47" s="214">
        <f>IF(AND(($E47+$C$1)&gt;DI$4,DI$4&gt;=$C$1),$H47,IF(AND(($D47+$C$1)&gt;DI$4,DI$4&gt;=$C$1),$G47,0))*IF($A47="Residential",'General Inputs'!U$15,'General Inputs'!U$19)</f>
        <v>0</v>
      </c>
      <c r="DJ47" s="214">
        <f>IF(AND(($E47+$C$1)&gt;DJ$4,DJ$4&gt;=$C$1),$H47,IF(AND(($D47+$C$1)&gt;DJ$4,DJ$4&gt;=$C$1),$G47,0))*IF($A47="Residential",'General Inputs'!V$15,'General Inputs'!V$19)</f>
        <v>0</v>
      </c>
      <c r="DK47" s="214">
        <f>IF(AND(($E47+$C$1)&gt;DK$4,DK$4&gt;=$C$1),$H47,IF(AND(($D47+$C$1)&gt;DK$4,DK$4&gt;=$C$1),$G47,0))*IF($A47="Residential",'General Inputs'!W$15,'General Inputs'!W$19)</f>
        <v>0</v>
      </c>
      <c r="DM47" s="214">
        <f t="shared" si="99"/>
        <v>0</v>
      </c>
      <c r="DN47" s="214">
        <f t="shared" si="99"/>
        <v>275</v>
      </c>
      <c r="DO47" s="214">
        <f t="shared" si="99"/>
        <v>0</v>
      </c>
      <c r="DP47" s="214">
        <f t="shared" si="99"/>
        <v>0</v>
      </c>
      <c r="DQ47" s="214">
        <f t="shared" si="99"/>
        <v>0</v>
      </c>
      <c r="DR47" s="214">
        <f t="shared" si="99"/>
        <v>0</v>
      </c>
      <c r="DS47" s="214">
        <f t="shared" si="99"/>
        <v>0</v>
      </c>
      <c r="DT47" s="214">
        <f t="shared" si="99"/>
        <v>0</v>
      </c>
      <c r="DU47" s="214">
        <f t="shared" si="99"/>
        <v>0</v>
      </c>
      <c r="DV47" s="214">
        <f t="shared" si="99"/>
        <v>0</v>
      </c>
      <c r="DW47" s="214">
        <f t="shared" si="99"/>
        <v>0</v>
      </c>
      <c r="DZ47" s="650"/>
      <c r="FI47" s="195"/>
      <c r="FJ47" s="195"/>
      <c r="FK47" s="195"/>
      <c r="FL47" s="195"/>
      <c r="FM47" s="195"/>
      <c r="FN47" s="195"/>
      <c r="FO47" s="195"/>
    </row>
    <row r="48" spans="1:171">
      <c r="A48" s="342" t="s">
        <v>112</v>
      </c>
      <c r="B48" s="427" t="str">
        <f>'Portfolio Inputs'!A47</f>
        <v>Delamp T12 to T8 (3-4 Lamp Fixtures)</v>
      </c>
      <c r="C48" s="217">
        <f>IF($C$1=2014,'Portfolio Inputs'!$C47,IF($C$1=2015,'Portfolio Inputs'!$D47,'Portfolio Inputs'!$E47))</f>
        <v>3</v>
      </c>
      <c r="D48" s="504">
        <f>VLOOKUP(B48,Sources!$B$4:$J$104,2,FALSE)</f>
        <v>11</v>
      </c>
      <c r="E48" s="504">
        <f>VLOOKUP(B48,Sources!$B$4:$J$104,3,FALSE)</f>
        <v>0</v>
      </c>
      <c r="G48" s="504">
        <f>IF($C$1=2014,'Portfolio Inputs'!$G47,IF($C$1=2015,'Portfolio Inputs'!$H47,'Portfolio Inputs'!$I47))*EnergyLineLoss</f>
        <v>2783.3512128749999</v>
      </c>
      <c r="H48" s="504"/>
      <c r="I48" s="595">
        <f>IF($C$1=2014,'Portfolio Inputs'!$K47,IF($C$1=2015,'Portfolio Inputs'!$L47,'Portfolio Inputs'!$M47))*PeakLineLoss</f>
        <v>0.43038798659999994</v>
      </c>
      <c r="J48" s="510"/>
      <c r="L48" s="606">
        <f>IF($C$1=2014,'Portfolio Inputs'!$O47,IF($C$1=2015,'Portfolio Inputs'!$P47,'Portfolio Inputs'!$Q47))</f>
        <v>122</v>
      </c>
      <c r="M48" s="518">
        <f>VLOOKUP($B48,Sources!$B$4:$K$104,10,FALSE)</f>
        <v>0</v>
      </c>
      <c r="N48" s="419">
        <f>IF($C$1=2014,'Portfolio Inputs'!$W47,IF($C$1=2015,'Portfolio Inputs'!$X47,'Portfolio Inputs'!$Y47))</f>
        <v>108</v>
      </c>
      <c r="O48" s="419">
        <f>IF($C$1=2014,'Portfolio Inputs'!$AA47,IF($C$1=2015,'Portfolio Inputs'!$AB47,'Portfolio Inputs'!$AC47))</f>
        <v>0</v>
      </c>
      <c r="Q48" s="438">
        <f t="shared" si="67"/>
        <v>2.5848451742168317</v>
      </c>
      <c r="R48" s="439">
        <f t="shared" si="68"/>
        <v>8.7597530904014853</v>
      </c>
      <c r="S48" s="439">
        <f t="shared" si="69"/>
        <v>3.2318555078919959</v>
      </c>
      <c r="T48" s="439">
        <f t="shared" si="70"/>
        <v>6.7048943097705056</v>
      </c>
      <c r="U48" s="439">
        <f t="shared" si="98"/>
        <v>6.7048943097705056</v>
      </c>
      <c r="V48" s="439">
        <f t="shared" si="72"/>
        <v>0.3855161699491883</v>
      </c>
      <c r="W48" s="439">
        <f t="shared" si="73"/>
        <v>0.3855161699491883</v>
      </c>
      <c r="Y48" s="215">
        <f t="shared" si="4"/>
        <v>869.21474987445833</v>
      </c>
      <c r="Z48" s="215">
        <f t="shared" si="5"/>
        <v>217.57238342990638</v>
      </c>
      <c r="AA48" s="215">
        <f t="shared" si="6"/>
        <v>2155.4495749503903</v>
      </c>
      <c r="AB48" s="215">
        <f t="shared" si="7"/>
        <v>2155.4495749503903</v>
      </c>
      <c r="AC48" s="216">
        <f t="shared" si="20"/>
        <v>0</v>
      </c>
      <c r="AD48" s="216">
        <f t="shared" si="21"/>
        <v>99.228224917309817</v>
      </c>
      <c r="AE48" s="215">
        <f t="shared" si="8"/>
        <v>336.27342888643881</v>
      </c>
      <c r="AG48" s="214">
        <f>IF(AND(($E48+$C$1)&gt;AG$4,AG$4&gt;=$C$1),'General Inputs'!D$9*$H48,IF(AND(($D48+$C$1)&gt;AG$4,AG$4&gt;=$C$1),'General Inputs'!D$9*$G48,0))+IF(AND(($E48+$C$1)&gt;AG$4,AG$4&gt;=$C$1),'General Inputs'!D$10*$J48,IF(AND(($D48+$C$1)&gt;AG$4,AG$4&gt;=$C$1),'General Inputs'!D$10*$I48,0))</f>
        <v>0</v>
      </c>
      <c r="AH48" s="214">
        <f>IF(AND(($E48+$C$1)&gt;AH$4,AH$4&gt;=$C$1),'General Inputs'!E$9*$H48,IF(AND(($D48+$C$1)&gt;AH$4,AH$4&gt;=$C$1),'General Inputs'!E$9*$G48,0))+IF(AND(($E48+$C$1)&gt;AH$4,AH$4&gt;=$C$1),'General Inputs'!E$10*$J48,IF(AND(($D48+$C$1)&gt;AH$4,AH$4&gt;=$C$1),'General Inputs'!E$10*$I48,0))</f>
        <v>119.01501834823272</v>
      </c>
      <c r="AI48" s="214">
        <f>IF(AND(($E48+$C$1)&gt;AI$4,AI$4&gt;=$C$1),'General Inputs'!F$9*$H48,IF(AND(($D48+$C$1)&gt;AI$4,AI$4&gt;=$C$1),'General Inputs'!F$9*$G48,0))+IF(AND(($E48+$C$1)&gt;AI$4,AI$4&gt;=$C$1),'General Inputs'!F$10*$J48,IF(AND(($D48+$C$1)&gt;AI$4,AI$4&gt;=$C$1),'General Inputs'!F$10*$I48,0))</f>
        <v>120.80024362345618</v>
      </c>
      <c r="AJ48" s="214">
        <f>IF(AND(($E48+$C$1)&gt;AJ$4,AJ$4&gt;=$C$1),'General Inputs'!G$9*$H48,IF(AND(($D48+$C$1)&gt;AJ$4,AJ$4&gt;=$C$1),'General Inputs'!G$9*$G48,0))+IF(AND(($E48+$C$1)&gt;AJ$4,AJ$4&gt;=$C$1),'General Inputs'!G$10*$J48,IF(AND(($D48+$C$1)&gt;AJ$4,AJ$4&gt;=$C$1),'General Inputs'!G$10*$I48,0))</f>
        <v>122.61224727780802</v>
      </c>
      <c r="AK48" s="214">
        <f>IF(AND(($E48+$C$1)&gt;AK$4,AK$4&gt;=$C$1),'General Inputs'!H$9*$H48,IF(AND(($D48+$C$1)&gt;AK$4,AK$4&gt;=$C$1),'General Inputs'!H$9*$G48,0))+IF(AND(($E48+$C$1)&gt;AK$4,AK$4&gt;=$C$1),'General Inputs'!H$10*$J48,IF(AND(($D48+$C$1)&gt;AK$4,AK$4&gt;=$C$1),'General Inputs'!H$10*$I48,0))</f>
        <v>124.45143098697513</v>
      </c>
      <c r="AL48" s="214">
        <f>IF(AND(($E48+$C$1)&gt;AL$4,AL$4&gt;=$C$1),'General Inputs'!I$9*$H48,IF(AND(($D48+$C$1)&gt;AL$4,AL$4&gt;=$C$1),'General Inputs'!I$9*$G48,0))+IF(AND(($E48+$C$1)&gt;AL$4,AL$4&gt;=$C$1),'General Inputs'!I$10*$J48,IF(AND(($D48+$C$1)&gt;AL$4,AL$4&gt;=$C$1),'General Inputs'!I$10*$I48,0))</f>
        <v>126.31820245177974</v>
      </c>
      <c r="AM48" s="214">
        <f>IF(AND(($E48+$C$1)&gt;AM$4,AM$4&gt;=$C$1),'General Inputs'!J$9*$H48,IF(AND(($D48+$C$1)&gt;AM$4,AM$4&gt;=$C$1),'General Inputs'!J$9*$G48,0))+IF(AND(($E48+$C$1)&gt;AM$4,AM$4&gt;=$C$1),'General Inputs'!J$10*$J48,IF(AND(($D48+$C$1)&gt;AM$4,AM$4&gt;=$C$1),'General Inputs'!J$10*$I48,0))</f>
        <v>128.21297548855642</v>
      </c>
      <c r="AN48" s="214">
        <f>IF(AND(($E48+$C$1)&gt;AN$4,AN$4&gt;=$C$1),'General Inputs'!K$9*$H48,IF(AND(($D48+$C$1)&gt;AN$4,AN$4&gt;=$C$1),'General Inputs'!K$9*$G48,0))+IF(AND(($E48+$C$1)&gt;AN$4,AN$4&gt;=$C$1),'General Inputs'!K$10*$J48,IF(AND(($D48+$C$1)&gt;AN$4,AN$4&gt;=$C$1),'General Inputs'!K$10*$I48,0))</f>
        <v>130.13617012088474</v>
      </c>
      <c r="AO48" s="214">
        <f>IF(AND(($E48+$C$1)&gt;AO$4,AO$4&gt;=$C$1),'General Inputs'!L$9*$H48,IF(AND(($D48+$C$1)&gt;AO$4,AO$4&gt;=$C$1),'General Inputs'!L$9*$G48,0))+IF(AND(($E48+$C$1)&gt;AO$4,AO$4&gt;=$C$1),'General Inputs'!L$10*$J48,IF(AND(($D48+$C$1)&gt;AO$4,AO$4&gt;=$C$1),'General Inputs'!L$10*$I48,0))</f>
        <v>132.08821267269801</v>
      </c>
      <c r="AP48" s="214">
        <f>IF(AND(($E48+$C$1)&gt;AP$4,AP$4&gt;=$C$1),'General Inputs'!M$9*$H48,IF(AND(($D48+$C$1)&gt;AP$4,AP$4&gt;=$C$1),'General Inputs'!M$9*$G48,0))+IF(AND(($E48+$C$1)&gt;AP$4,AP$4&gt;=$C$1),'General Inputs'!M$10*$J48,IF(AND(($D48+$C$1)&gt;AP$4,AP$4&gt;=$C$1),'General Inputs'!M$10*$I48,0))</f>
        <v>134.06953586278846</v>
      </c>
      <c r="AQ48" s="214">
        <f>IF(AND(($E48+$C$1)&gt;AQ$4,AQ$4&gt;=$C$1),'General Inputs'!N$9*$H48,IF(AND(($D48+$C$1)&gt;AQ$4,AQ$4&gt;=$C$1),'General Inputs'!N$9*$G48,0))+IF(AND(($E48+$C$1)&gt;AQ$4,AQ$4&gt;=$C$1),'General Inputs'!N$10*$J48,IF(AND(($D48+$C$1)&gt;AQ$4,AQ$4&gt;=$C$1),'General Inputs'!N$10*$I48,0))</f>
        <v>136.08057890073027</v>
      </c>
      <c r="AR48" s="214">
        <f>IF(AND(($E48+$C$1)&gt;AR$4,AR$4&gt;=$C$1),'General Inputs'!O$9*$H48,IF(AND(($D48+$C$1)&gt;AR$4,AR$4&gt;=$C$1),'General Inputs'!O$9*$G48,0))+IF(AND(($E48+$C$1)&gt;AR$4,AR$4&gt;=$C$1),'General Inputs'!O$10*$J48,IF(AND(($D48+$C$1)&gt;AR$4,AR$4&gt;=$C$1),'General Inputs'!O$10*$I48,0))</f>
        <v>138.12178758424119</v>
      </c>
      <c r="AS48" s="214">
        <f>IF(AND(($E48+$C$1)&gt;AS$4,AS$4&gt;=$C$1),'General Inputs'!P$9*$H48,IF(AND(($D48+$C$1)&gt;AS$4,AS$4&gt;=$C$1),'General Inputs'!P$9*$G48,0))+IF(AND(($E48+$C$1)&gt;AS$4,AS$4&gt;=$C$1),'General Inputs'!P$10*$J48,IF(AND(($D48+$C$1)&gt;AS$4,AS$4&gt;=$C$1),'General Inputs'!P$10*$I48,0))</f>
        <v>0</v>
      </c>
      <c r="AT48" s="214">
        <f>IF(AND(($E48+$C$1)&gt;AT$4,AT$4&gt;=$C$1),'General Inputs'!Q$9*$H48,IF(AND(($D48+$C$1)&gt;AT$4,AT$4&gt;=$C$1),'General Inputs'!Q$9*$G48,0))+IF(AND(($E48+$C$1)&gt;AT$4,AT$4&gt;=$C$1),'General Inputs'!Q$10*$J48,IF(AND(($D48+$C$1)&gt;AT$4,AT$4&gt;=$C$1),'General Inputs'!Q$10*$I48,0))</f>
        <v>0</v>
      </c>
      <c r="AU48" s="214">
        <f>IF(AND(($E48+$C$1)&gt;AU$4,AU$4&gt;=$C$1),'General Inputs'!R$9*$H48,IF(AND(($D48+$C$1)&gt;AU$4,AU$4&gt;=$C$1),'General Inputs'!R$9*$G48,0))+IF(AND(($E48+$C$1)&gt;AU$4,AU$4&gt;=$C$1),'General Inputs'!R$10*$J48,IF(AND(($D48+$C$1)&gt;AU$4,AU$4&gt;=$C$1),'General Inputs'!R$10*$I48,0))</f>
        <v>0</v>
      </c>
      <c r="AV48" s="214">
        <f>IF(AND(($E48+$C$1)&gt;AV$4,AV$4&gt;=$C$1),'General Inputs'!S$9*$H48,IF(AND(($D48+$C$1)&gt;AV$4,AV$4&gt;=$C$1),'General Inputs'!S$9*$G48,0))+IF(AND(($E48+$C$1)&gt;AV$4,AV$4&gt;=$C$1),'General Inputs'!S$10*$J48,IF(AND(($D48+$C$1)&gt;AV$4,AV$4&gt;=$C$1),'General Inputs'!S$10*$I48,0))</f>
        <v>0</v>
      </c>
      <c r="AW48" s="214">
        <f>IF(AND(($E48+$C$1)&gt;AW$4,AW$4&gt;=$C$1),'General Inputs'!T$9*$H48,IF(AND(($D48+$C$1)&gt;AW$4,AW$4&gt;=$C$1),'General Inputs'!T$9*$G48,0))+IF(AND(($E48+$C$1)&gt;AW$4,AW$4&gt;=$C$1),'General Inputs'!T$10*$J48,IF(AND(($D48+$C$1)&gt;AW$4,AW$4&gt;=$C$1),'General Inputs'!T$10*$I48,0))</f>
        <v>0</v>
      </c>
      <c r="AX48" s="214">
        <f>IF(AND(($E48+$C$1)&gt;AX$4,AX$4&gt;=$C$1),'General Inputs'!U$9*$H48,IF(AND(($D48+$C$1)&gt;AX$4,AX$4&gt;=$C$1),'General Inputs'!U$9*$G48,0))+IF(AND(($E48+$C$1)&gt;AX$4,AX$4&gt;=$C$1),'General Inputs'!U$10*$J48,IF(AND(($D48+$C$1)&gt;AX$4,AX$4&gt;=$C$1),'General Inputs'!U$10*$I48,0))</f>
        <v>0</v>
      </c>
      <c r="AY48" s="214">
        <f>IF(AND(($E48+$C$1)&gt;AY$4,AY$4&gt;=$C$1),'General Inputs'!V$9*$H48,IF(AND(($D48+$C$1)&gt;AY$4,AY$4&gt;=$C$1),'General Inputs'!V$9*$G48,0))+IF(AND(($E48+$C$1)&gt;AY$4,AY$4&gt;=$C$1),'General Inputs'!V$10*$J48,IF(AND(($D48+$C$1)&gt;AY$4,AY$4&gt;=$C$1),'General Inputs'!V$10*$I48,0))</f>
        <v>0</v>
      </c>
      <c r="AZ48" s="214">
        <f>IF(AND(($E48+$C$1)&gt;AZ$4,AZ$4&gt;=$C$1),'General Inputs'!W$9*$H48,IF(AND(($D48+$C$1)&gt;AZ$4,AZ$4&gt;=$C$1),'General Inputs'!W$9*$G48,0))+IF(AND(($E48+$C$1)&gt;AZ$4,AZ$4&gt;=$C$1),'General Inputs'!W$10*$J48,IF(AND(($D48+$C$1)&gt;AZ$4,AZ$4&gt;=$C$1),'General Inputs'!W$10*$I48,0))</f>
        <v>0</v>
      </c>
      <c r="BB48" s="214">
        <f>IF(AND(($E48+$C$1)&gt;BB$4,BB$4&gt;=$C$1),'General Inputs'!D$11*$H48,IF(AND(($D48+$C$1)&gt;BB$4,BB$4&gt;=$C$1),'General Inputs'!D$11*$G48,0))</f>
        <v>0</v>
      </c>
      <c r="BC48" s="214">
        <f>IF(AND(($E48+$C$1)&gt;BC$4,BC$4&gt;=$C$1),'General Inputs'!E$11*$H48,IF(AND(($D48+$C$1)&gt;BC$4,BC$4&gt;=$C$1),'General Inputs'!E$11*$G48,0))</f>
        <v>31.730203826775</v>
      </c>
      <c r="BD48" s="214">
        <f>IF(AND(($E48+$C$1)&gt;BD$4,BD$4&gt;=$C$1),'General Inputs'!F$11*$H48,IF(AND(($D48+$C$1)&gt;BD$4,BD$4&gt;=$C$1),'General Inputs'!F$11*$G48,0))</f>
        <v>31.730203826775</v>
      </c>
      <c r="BE48" s="214">
        <f>IF(AND(($E48+$C$1)&gt;BE$4,BE$4&gt;=$C$1),'General Inputs'!G$11*$H48,IF(AND(($D48+$C$1)&gt;BE$4,BE$4&gt;=$C$1),'General Inputs'!G$11*$G48,0))</f>
        <v>31.730203826775</v>
      </c>
      <c r="BF48" s="214">
        <f>IF(AND(($E48+$C$1)&gt;BF$4,BF$4&gt;=$C$1),'General Inputs'!H$11*$H48,IF(AND(($D48+$C$1)&gt;BF$4,BF$4&gt;=$C$1),'General Inputs'!H$11*$G48,0))</f>
        <v>31.730203826775</v>
      </c>
      <c r="BG48" s="214">
        <f>IF(AND(($E48+$C$1)&gt;BG$4,BG$4&gt;=$C$1),'General Inputs'!I$11*$H48,IF(AND(($D48+$C$1)&gt;BG$4,BG$4&gt;=$C$1),'General Inputs'!I$11*$G48,0))</f>
        <v>31.730203826775</v>
      </c>
      <c r="BH48" s="214">
        <f>IF(AND(($E48+$C$1)&gt;BH$4,BH$4&gt;=$C$1),'General Inputs'!J$11*$H48,IF(AND(($D48+$C$1)&gt;BH$4,BH$4&gt;=$C$1),'General Inputs'!J$11*$G48,0))</f>
        <v>31.730203826775</v>
      </c>
      <c r="BI48" s="214">
        <f>IF(AND(($E48+$C$1)&gt;BI$4,BI$4&gt;=$C$1),'General Inputs'!K$11*$H48,IF(AND(($D48+$C$1)&gt;BI$4,BI$4&gt;=$C$1),'General Inputs'!K$11*$G48,0))</f>
        <v>31.730203826775</v>
      </c>
      <c r="BJ48" s="214">
        <f>IF(AND(($E48+$C$1)&gt;BJ$4,BJ$4&gt;=$C$1),'General Inputs'!L$11*$H48,IF(AND(($D48+$C$1)&gt;BJ$4,BJ$4&gt;=$C$1),'General Inputs'!L$11*$G48,0))</f>
        <v>31.730203826775</v>
      </c>
      <c r="BK48" s="214">
        <f>IF(AND(($E48+$C$1)&gt;BK$4,BK$4&gt;=$C$1),'General Inputs'!M$11*$H48,IF(AND(($D48+$C$1)&gt;BK$4,BK$4&gt;=$C$1),'General Inputs'!M$11*$G48,0))</f>
        <v>31.730203826775</v>
      </c>
      <c r="BL48" s="214">
        <f>IF(AND(($E48+$C$1)&gt;BL$4,BL$4&gt;=$C$1),'General Inputs'!N$11*$H48,IF(AND(($D48+$C$1)&gt;BL$4,BL$4&gt;=$C$1),'General Inputs'!N$11*$G48,0))</f>
        <v>31.730203826775</v>
      </c>
      <c r="BM48" s="214">
        <f>IF(AND(($E48+$C$1)&gt;BM$4,BM$4&gt;=$C$1),'General Inputs'!O$11*$H48,IF(AND(($D48+$C$1)&gt;BM$4,BM$4&gt;=$C$1),'General Inputs'!O$11*$G48,0))</f>
        <v>31.730203826775</v>
      </c>
      <c r="BN48" s="214">
        <f>IF(AND(($E48+$C$1)&gt;BN$4,BN$4&gt;=$C$1),'General Inputs'!P$11*$H48,IF(AND(($D48+$C$1)&gt;BN$4,BN$4&gt;=$C$1),'General Inputs'!P$11*$G48,0))</f>
        <v>0</v>
      </c>
      <c r="BO48" s="214">
        <f>IF(AND(($E48+$C$1)&gt;BO$4,BO$4&gt;=$C$1),'General Inputs'!Q$11*$H48,IF(AND(($D48+$C$1)&gt;BO$4,BO$4&gt;=$C$1),'General Inputs'!Q$11*$G48,0))</f>
        <v>0</v>
      </c>
      <c r="BP48" s="214">
        <f>IF(AND(($E48+$C$1)&gt;BP$4,BP$4&gt;=$C$1),'General Inputs'!R$11*$H48,IF(AND(($D48+$C$1)&gt;BP$4,BP$4&gt;=$C$1),'General Inputs'!R$11*$G48,0))</f>
        <v>0</v>
      </c>
      <c r="BQ48" s="214">
        <f>IF(AND(($E48+$C$1)&gt;BQ$4,BQ$4&gt;=$C$1),'General Inputs'!S$11*$H48,IF(AND(($D48+$C$1)&gt;BQ$4,BQ$4&gt;=$C$1),'General Inputs'!S$11*$G48,0))</f>
        <v>0</v>
      </c>
      <c r="BR48" s="214">
        <f>IF(AND(($E48+$C$1)&gt;BR$4,BR$4&gt;=$C$1),'General Inputs'!T$11*$H48,IF(AND(($D48+$C$1)&gt;BR$4,BR$4&gt;=$C$1),'General Inputs'!T$11*$G48,0))</f>
        <v>0</v>
      </c>
      <c r="BS48" s="214">
        <f>IF(AND(($E48+$C$1)&gt;BS$4,BS$4&gt;=$C$1),'General Inputs'!U$11*$H48,IF(AND(($D48+$C$1)&gt;BS$4,BS$4&gt;=$C$1),'General Inputs'!U$11*$G48,0))</f>
        <v>0</v>
      </c>
      <c r="BT48" s="214">
        <f>IF(AND(($E48+$C$1)&gt;BT$4,BT$4&gt;=$C$1),'General Inputs'!V$11*$H48,IF(AND(($D48+$C$1)&gt;BT$4,BT$4&gt;=$C$1),'General Inputs'!V$11*$G48,0))</f>
        <v>0</v>
      </c>
      <c r="BU48" s="214">
        <f>IF(AND(($E48+$C$1)&gt;BU$4,BU$4&gt;=$C$1),'General Inputs'!W$11*$H48,IF(AND(($D48+$C$1)&gt;BU$4,BU$4&gt;=$C$1),'General Inputs'!W$11*$G48,0))</f>
        <v>0</v>
      </c>
      <c r="BW48" s="214">
        <f>IF(AND(($E48+$C$1)&gt;BW$4,BW$4&gt;=$C$1),$H48,IF(AND(($D48+$C$1)&gt;BW$4,BW$4&gt;=$C$1),$G48,0))*IF($A48="Residential",'General Inputs'!D$14,'General Inputs'!D$19)</f>
        <v>0</v>
      </c>
      <c r="BX48" s="214">
        <f>IF(AND(($E48+$C$1)&gt;BX$4,BX$4&gt;=$C$1),$H48,IF(AND(($D48+$C$1)&gt;BX$4,BX$4&gt;=$C$1),$G48,0))*IF($A48="Residential",'General Inputs'!E$14,'General Inputs'!E$19)</f>
        <v>295.1294495962731</v>
      </c>
      <c r="BY48" s="214">
        <f>IF(AND(($E48+$C$1)&gt;BY$4,BY$4&gt;=$C$1),$H48,IF(AND(($D48+$C$1)&gt;BY$4,BY$4&gt;=$C$1),$G48,0))*IF($A48="Residential",'General Inputs'!F$14,'General Inputs'!F$19)</f>
        <v>299.55639134021726</v>
      </c>
      <c r="BZ48" s="214">
        <f>IF(AND(($E48+$C$1)&gt;BZ$4,BZ$4&gt;=$C$1),$H48,IF(AND(($D48+$C$1)&gt;BZ$4,BZ$4&gt;=$C$1),$G48,0))*IF($A48="Residential",'General Inputs'!G$14,'General Inputs'!G$19)</f>
        <v>304.04973721032047</v>
      </c>
      <c r="CA48" s="214">
        <f>IF(AND(($E48+$C$1)&gt;CA$4,CA$4&gt;=$C$1),$H48,IF(AND(($D48+$C$1)&gt;CA$4,CA$4&gt;=$C$1),$G48,0))*IF($A48="Residential",'General Inputs'!H$14,'General Inputs'!H$19)</f>
        <v>308.61048326847521</v>
      </c>
      <c r="CB48" s="214">
        <f>IF(AND(($E48+$C$1)&gt;CB$4,CB$4&gt;=$C$1),$H48,IF(AND(($D48+$C$1)&gt;CB$4,CB$4&gt;=$C$1),$G48,0))*IF($A48="Residential",'General Inputs'!I$14,'General Inputs'!I$19)</f>
        <v>313.23964051750227</v>
      </c>
      <c r="CC48" s="214">
        <f>IF(AND(($E48+$C$1)&gt;CC$4,CC$4&gt;=$C$1),$H48,IF(AND(($D48+$C$1)&gt;CC$4,CC$4&gt;=$C$1),$G48,0))*IF($A48="Residential",'General Inputs'!J$14,'General Inputs'!J$19)</f>
        <v>317.93823512526484</v>
      </c>
      <c r="CD48" s="214">
        <f>IF(AND(($E48+$C$1)&gt;CD$4,CD$4&gt;=$C$1),$H48,IF(AND(($D48+$C$1)&gt;CD$4,CD$4&gt;=$C$1),$G48,0))*IF($A48="Residential",'General Inputs'!K$14,'General Inputs'!K$19)</f>
        <v>322.70730865214375</v>
      </c>
      <c r="CE48" s="214">
        <f>IF(AND(($E48+$C$1)&gt;CE$4,CE$4&gt;=$C$1),$H48,IF(AND(($D48+$C$1)&gt;CE$4,CE$4&gt;=$C$1),$G48,0))*IF($A48="Residential",'General Inputs'!L$14,'General Inputs'!L$19)</f>
        <v>327.54791828192589</v>
      </c>
      <c r="CF48" s="214">
        <f>IF(AND(($E48+$C$1)&gt;CF$4,CF$4&gt;=$C$1),$H48,IF(AND(($D48+$C$1)&gt;CF$4,CF$4&gt;=$C$1),$G48,0))*IF($A48="Residential",'General Inputs'!M$14,'General Inputs'!M$19)</f>
        <v>332.46113705615471</v>
      </c>
      <c r="CG48" s="214">
        <f>IF(AND(($E48+$C$1)&gt;CG$4,CG$4&gt;=$C$1),$H48,IF(AND(($D48+$C$1)&gt;CG$4,CG$4&gt;=$C$1),$G48,0))*IF($A48="Residential",'General Inputs'!N$14,'General Inputs'!N$19)</f>
        <v>337.44805411199701</v>
      </c>
      <c r="CH48" s="214">
        <f>IF(AND(($E48+$C$1)&gt;CH$4,CH$4&gt;=$C$1),$H48,IF(AND(($D48+$C$1)&gt;CH$4,CH$4&gt;=$C$1),$G48,0))*IF($A48="Residential",'General Inputs'!O$14,'General Inputs'!O$19)</f>
        <v>342.5097749236769</v>
      </c>
      <c r="CI48" s="214">
        <f>IF(AND(($E48+$C$1)&gt;CI$4,CI$4&gt;=$C$1),$H48,IF(AND(($D48+$C$1)&gt;CI$4,CI$4&gt;=$C$1),$G48,0))*IF($A48="Residential",'General Inputs'!P$14,'General Inputs'!P$19)</f>
        <v>0</v>
      </c>
      <c r="CJ48" s="214">
        <f>IF(AND(($E48+$C$1)&gt;CJ$4,CJ$4&gt;=$C$1),$H48,IF(AND(($D48+$C$1)&gt;CJ$4,CJ$4&gt;=$C$1),$G48,0))*IF($A48="Residential",'General Inputs'!Q$14,'General Inputs'!Q$19)</f>
        <v>0</v>
      </c>
      <c r="CK48" s="214">
        <f>IF(AND(($E48+$C$1)&gt;CK$4,CK$4&gt;=$C$1),$H48,IF(AND(($D48+$C$1)&gt;CK$4,CK$4&gt;=$C$1),$G48,0))*IF($A48="Residential",'General Inputs'!R$14,'General Inputs'!R$19)</f>
        <v>0</v>
      </c>
      <c r="CL48" s="214">
        <f>IF(AND(($E48+$C$1)&gt;CL$4,CL$4&gt;=$C$1),$H48,IF(AND(($D48+$C$1)&gt;CL$4,CL$4&gt;=$C$1),$G48,0))*IF($A48="Residential",'General Inputs'!S$14,'General Inputs'!S$19)</f>
        <v>0</v>
      </c>
      <c r="CM48" s="214">
        <f>IF(AND(($E48+$C$1)&gt;CM$4,CM$4&gt;=$C$1),$H48,IF(AND(($D48+$C$1)&gt;CM$4,CM$4&gt;=$C$1),$G48,0))*IF($A48="Residential",'General Inputs'!T$14,'General Inputs'!T$19)</f>
        <v>0</v>
      </c>
      <c r="CN48" s="214">
        <f>IF(AND(($E48+$C$1)&gt;CN$4,CN$4&gt;=$C$1),$H48,IF(AND(($D48+$C$1)&gt;CN$4,CN$4&gt;=$C$1),$G48,0))*IF($A48="Residential",'General Inputs'!U$14,'General Inputs'!U$19)</f>
        <v>0</v>
      </c>
      <c r="CO48" s="214">
        <f>IF(AND(($E48+$C$1)&gt;CO$4,CO$4&gt;=$C$1),$H48,IF(AND(($D48+$C$1)&gt;CO$4,CO$4&gt;=$C$1),$G48,0))*IF($A48="Residential",'General Inputs'!V$14,'General Inputs'!V$19)</f>
        <v>0</v>
      </c>
      <c r="CP48" s="214">
        <f>IF(AND(($E48+$C$1)&gt;CP$4,CP$4&gt;=$C$1),$H48,IF(AND(($D48+$C$1)&gt;CP$4,CP$4&gt;=$C$1),$G48,0))*IF($A48="Residential",'General Inputs'!W$14,'General Inputs'!W$19)</f>
        <v>0</v>
      </c>
      <c r="CR48" s="214">
        <f>IF(AND(($E48+$C$1)&gt;CR$4,CR$4&gt;=$C$1),$H48,IF(AND(($D48+$C$1)&gt;CR$4,CR$4&gt;=$C$1),$G48,0))*IF($A48="Residential",'General Inputs'!D$15,'General Inputs'!D$19)</f>
        <v>0</v>
      </c>
      <c r="CS48" s="214">
        <f>IF(AND(($E48+$C$1)&gt;CS$4,CS$4&gt;=$C$1),$H48,IF(AND(($D48+$C$1)&gt;CS$4,CS$4&gt;=$C$1),$G48,0))*IF($A48="Residential",'General Inputs'!E$15,'General Inputs'!E$19)</f>
        <v>295.1294495962731</v>
      </c>
      <c r="CT48" s="214">
        <f>IF(AND(($E48+$C$1)&gt;CT$4,CT$4&gt;=$C$1),$H48,IF(AND(($D48+$C$1)&gt;CT$4,CT$4&gt;=$C$1),$G48,0))*IF($A48="Residential",'General Inputs'!F$15,'General Inputs'!F$19)</f>
        <v>299.55639134021726</v>
      </c>
      <c r="CU48" s="214">
        <f>IF(AND(($E48+$C$1)&gt;CU$4,CU$4&gt;=$C$1),$H48,IF(AND(($D48+$C$1)&gt;CU$4,CU$4&gt;=$C$1),$G48,0))*IF($A48="Residential",'General Inputs'!G$15,'General Inputs'!G$19)</f>
        <v>304.04973721032047</v>
      </c>
      <c r="CV48" s="214">
        <f>IF(AND(($E48+$C$1)&gt;CV$4,CV$4&gt;=$C$1),$H48,IF(AND(($D48+$C$1)&gt;CV$4,CV$4&gt;=$C$1),$G48,0))*IF($A48="Residential",'General Inputs'!H$15,'General Inputs'!H$19)</f>
        <v>308.61048326847521</v>
      </c>
      <c r="CW48" s="214">
        <f>IF(AND(($E48+$C$1)&gt;CW$4,CW$4&gt;=$C$1),$H48,IF(AND(($D48+$C$1)&gt;CW$4,CW$4&gt;=$C$1),$G48,0))*IF($A48="Residential",'General Inputs'!I$15,'General Inputs'!I$19)</f>
        <v>313.23964051750227</v>
      </c>
      <c r="CX48" s="214">
        <f>IF(AND(($E48+$C$1)&gt;CX$4,CX$4&gt;=$C$1),$H48,IF(AND(($D48+$C$1)&gt;CX$4,CX$4&gt;=$C$1),$G48,0))*IF($A48="Residential",'General Inputs'!J$15,'General Inputs'!J$19)</f>
        <v>317.93823512526484</v>
      </c>
      <c r="CY48" s="214">
        <f>IF(AND(($E48+$C$1)&gt;CY$4,CY$4&gt;=$C$1),$H48,IF(AND(($D48+$C$1)&gt;CY$4,CY$4&gt;=$C$1),$G48,0))*IF($A48="Residential",'General Inputs'!K$15,'General Inputs'!K$19)</f>
        <v>322.70730865214375</v>
      </c>
      <c r="CZ48" s="214">
        <f>IF(AND(($E48+$C$1)&gt;CZ$4,CZ$4&gt;=$C$1),$H48,IF(AND(($D48+$C$1)&gt;CZ$4,CZ$4&gt;=$C$1),$G48,0))*IF($A48="Residential",'General Inputs'!L$15,'General Inputs'!L$19)</f>
        <v>327.54791828192589</v>
      </c>
      <c r="DA48" s="214">
        <f>IF(AND(($E48+$C$1)&gt;DA$4,DA$4&gt;=$C$1),$H48,IF(AND(($D48+$C$1)&gt;DA$4,DA$4&gt;=$C$1),$G48,0))*IF($A48="Residential",'General Inputs'!M$15,'General Inputs'!M$19)</f>
        <v>332.46113705615471</v>
      </c>
      <c r="DB48" s="214">
        <f>IF(AND(($E48+$C$1)&gt;DB$4,DB$4&gt;=$C$1),$H48,IF(AND(($D48+$C$1)&gt;DB$4,DB$4&gt;=$C$1),$G48,0))*IF($A48="Residential",'General Inputs'!N$15,'General Inputs'!N$19)</f>
        <v>337.44805411199701</v>
      </c>
      <c r="DC48" s="214">
        <f>IF(AND(($E48+$C$1)&gt;DC$4,DC$4&gt;=$C$1),$H48,IF(AND(($D48+$C$1)&gt;DC$4,DC$4&gt;=$C$1),$G48,0))*IF($A48="Residential",'General Inputs'!O$15,'General Inputs'!O$19)</f>
        <v>342.5097749236769</v>
      </c>
      <c r="DD48" s="214">
        <f>IF(AND(($E48+$C$1)&gt;DD$4,DD$4&gt;=$C$1),$H48,IF(AND(($D48+$C$1)&gt;DD$4,DD$4&gt;=$C$1),$G48,0))*IF($A48="Residential",'General Inputs'!P$15,'General Inputs'!P$19)</f>
        <v>0</v>
      </c>
      <c r="DE48" s="214">
        <f>IF(AND(($E48+$C$1)&gt;DE$4,DE$4&gt;=$C$1),$H48,IF(AND(($D48+$C$1)&gt;DE$4,DE$4&gt;=$C$1),$G48,0))*IF($A48="Residential",'General Inputs'!Q$15,'General Inputs'!Q$19)</f>
        <v>0</v>
      </c>
      <c r="DF48" s="214">
        <f>IF(AND(($E48+$C$1)&gt;DF$4,DF$4&gt;=$C$1),$H48,IF(AND(($D48+$C$1)&gt;DF$4,DF$4&gt;=$C$1),$G48,0))*IF($A48="Residential",'General Inputs'!R$15,'General Inputs'!R$19)</f>
        <v>0</v>
      </c>
      <c r="DG48" s="214">
        <f>IF(AND(($E48+$C$1)&gt;DG$4,DG$4&gt;=$C$1),$H48,IF(AND(($D48+$C$1)&gt;DG$4,DG$4&gt;=$C$1),$G48,0))*IF($A48="Residential",'General Inputs'!S$15,'General Inputs'!S$19)</f>
        <v>0</v>
      </c>
      <c r="DH48" s="214">
        <f>IF(AND(($E48+$C$1)&gt;DH$4,DH$4&gt;=$C$1),$H48,IF(AND(($D48+$C$1)&gt;DH$4,DH$4&gt;=$C$1),$G48,0))*IF($A48="Residential",'General Inputs'!T$15,'General Inputs'!T$19)</f>
        <v>0</v>
      </c>
      <c r="DI48" s="214">
        <f>IF(AND(($E48+$C$1)&gt;DI$4,DI$4&gt;=$C$1),$H48,IF(AND(($D48+$C$1)&gt;DI$4,DI$4&gt;=$C$1),$G48,0))*IF($A48="Residential",'General Inputs'!U$15,'General Inputs'!U$19)</f>
        <v>0</v>
      </c>
      <c r="DJ48" s="214">
        <f>IF(AND(($E48+$C$1)&gt;DJ$4,DJ$4&gt;=$C$1),$H48,IF(AND(($D48+$C$1)&gt;DJ$4,DJ$4&gt;=$C$1),$G48,0))*IF($A48="Residential",'General Inputs'!V$15,'General Inputs'!V$19)</f>
        <v>0</v>
      </c>
      <c r="DK48" s="214">
        <f>IF(AND(($E48+$C$1)&gt;DK$4,DK$4&gt;=$C$1),$H48,IF(AND(($D48+$C$1)&gt;DK$4,DK$4&gt;=$C$1),$G48,0))*IF($A48="Residential",'General Inputs'!W$15,'General Inputs'!W$19)</f>
        <v>0</v>
      </c>
      <c r="DM48" s="214">
        <f t="shared" si="99"/>
        <v>0</v>
      </c>
      <c r="DN48" s="214">
        <f t="shared" si="99"/>
        <v>366</v>
      </c>
      <c r="DO48" s="214">
        <f t="shared" si="99"/>
        <v>0</v>
      </c>
      <c r="DP48" s="214">
        <f t="shared" si="99"/>
        <v>0</v>
      </c>
      <c r="DQ48" s="214">
        <f t="shared" si="99"/>
        <v>0</v>
      </c>
      <c r="DR48" s="214">
        <f t="shared" si="99"/>
        <v>0</v>
      </c>
      <c r="DS48" s="214">
        <f t="shared" si="99"/>
        <v>0</v>
      </c>
      <c r="DT48" s="214">
        <f t="shared" si="99"/>
        <v>0</v>
      </c>
      <c r="DU48" s="214">
        <f t="shared" si="99"/>
        <v>0</v>
      </c>
      <c r="DV48" s="214">
        <f t="shared" si="99"/>
        <v>0</v>
      </c>
      <c r="DW48" s="214">
        <f t="shared" si="99"/>
        <v>0</v>
      </c>
      <c r="DZ48" s="650"/>
      <c r="FI48" s="195"/>
      <c r="FJ48" s="195"/>
      <c r="FK48" s="195"/>
      <c r="FL48" s="195"/>
      <c r="FM48" s="195"/>
      <c r="FN48" s="195"/>
      <c r="FO48" s="195"/>
    </row>
    <row r="49" spans="1:171">
      <c r="A49" s="342" t="s">
        <v>112</v>
      </c>
      <c r="B49" s="427" t="str">
        <f>'Portfolio Inputs'!A48</f>
        <v>T8 (≤4 ft, 1-2 Lamp)</v>
      </c>
      <c r="C49" s="217">
        <f>IF($C$1=2014,'Portfolio Inputs'!$C48,IF($C$1=2015,'Portfolio Inputs'!$D48,'Portfolio Inputs'!$E48))</f>
        <v>8</v>
      </c>
      <c r="D49" s="504">
        <f>VLOOKUP(B49,Sources!$B$4:$J$104,2,FALSE)</f>
        <v>18</v>
      </c>
      <c r="E49" s="504">
        <f>VLOOKUP(B49,Sources!$B$4:$J$104,3,FALSE)</f>
        <v>0</v>
      </c>
      <c r="G49" s="504">
        <f>IF($C$1=2014,'Portfolio Inputs'!$G48,IF($C$1=2015,'Portfolio Inputs'!$H48,'Portfolio Inputs'!$I48))*EnergyLineLoss</f>
        <v>1905.5295299999998</v>
      </c>
      <c r="H49" s="504"/>
      <c r="I49" s="595">
        <f>IF($C$1=2014,'Portfolio Inputs'!$K48,IF($C$1=2015,'Portfolio Inputs'!$L48,'Portfolio Inputs'!$M48))*PeakLineLoss</f>
        <v>0.29465092799999998</v>
      </c>
      <c r="J49" s="510"/>
      <c r="L49" s="606">
        <f>IF($C$1=2014,'Portfolio Inputs'!$O48,IF($C$1=2015,'Portfolio Inputs'!$P48,'Portfolio Inputs'!$Q48))</f>
        <v>43</v>
      </c>
      <c r="M49" s="518">
        <f>VLOOKUP($B49,Sources!$B$4:$K$104,10,FALSE)</f>
        <v>0</v>
      </c>
      <c r="N49" s="419">
        <f>IF($C$1=2014,'Portfolio Inputs'!$W48,IF($C$1=2015,'Portfolio Inputs'!$X48,'Portfolio Inputs'!$Y48))</f>
        <v>40</v>
      </c>
      <c r="O49" s="419">
        <f>IF($C$1=2014,'Portfolio Inputs'!$AA48,IF($C$1=2015,'Portfolio Inputs'!$AB48,'Portfolio Inputs'!$AC48))</f>
        <v>0</v>
      </c>
      <c r="Q49" s="438">
        <f t="shared" si="67"/>
        <v>2.5127438112463003</v>
      </c>
      <c r="R49" s="439">
        <f t="shared" si="68"/>
        <v>21.609596776718181</v>
      </c>
      <c r="S49" s="439">
        <f t="shared" si="69"/>
        <v>3.1209994826958622</v>
      </c>
      <c r="T49" s="439">
        <f t="shared" si="70"/>
        <v>6.3472968714008271</v>
      </c>
      <c r="U49" s="439">
        <f t="shared" si="98"/>
        <v>6.3472968714008271</v>
      </c>
      <c r="V49" s="439">
        <f t="shared" si="72"/>
        <v>0.39587620717222671</v>
      </c>
      <c r="W49" s="439">
        <f t="shared" si="73"/>
        <v>0.39587620717222671</v>
      </c>
      <c r="Y49" s="215">
        <f t="shared" si="4"/>
        <v>794.17849234539437</v>
      </c>
      <c r="Z49" s="215">
        <f t="shared" si="5"/>
        <v>192.2454529388545</v>
      </c>
      <c r="AA49" s="215">
        <f t="shared" si="6"/>
        <v>1969.3771809646128</v>
      </c>
      <c r="AB49" s="215">
        <f t="shared" si="7"/>
        <v>1969.3771809646128</v>
      </c>
      <c r="AC49" s="216">
        <f t="shared" si="20"/>
        <v>0</v>
      </c>
      <c r="AD49" s="216">
        <f t="shared" si="21"/>
        <v>36.751194413818446</v>
      </c>
      <c r="AE49" s="215">
        <f t="shared" si="8"/>
        <v>316.06027195883865</v>
      </c>
      <c r="AG49" s="214">
        <f>IF(AND(($E49+$C$1)&gt;AG$4,AG$4&gt;=$C$1),'General Inputs'!D$9*$H49,IF(AND(($D49+$C$1)&gt;AG$4,AG$4&gt;=$C$1),'General Inputs'!D$9*$G49,0))+IF(AND(($E49+$C$1)&gt;AG$4,AG$4&gt;=$C$1),'General Inputs'!D$10*$J49,IF(AND(($D49+$C$1)&gt;AG$4,AG$4&gt;=$C$1),'General Inputs'!D$10*$I49,0))</f>
        <v>0</v>
      </c>
      <c r="AH49" s="214">
        <f>IF(AND(($E49+$C$1)&gt;AH$4,AH$4&gt;=$C$1),'General Inputs'!E$9*$H49,IF(AND(($D49+$C$1)&gt;AH$4,AH$4&gt;=$C$1),'General Inputs'!E$9*$G49,0))+IF(AND(($E49+$C$1)&gt;AH$4,AH$4&gt;=$C$1),'General Inputs'!E$10*$J49,IF(AND(($D49+$C$1)&gt;AH$4,AH$4&gt;=$C$1),'General Inputs'!E$10*$I49,0))</f>
        <v>81.479703648967487</v>
      </c>
      <c r="AI49" s="214">
        <f>IF(AND(($E49+$C$1)&gt;AI$4,AI$4&gt;=$C$1),'General Inputs'!F$9*$H49,IF(AND(($D49+$C$1)&gt;AI$4,AI$4&gt;=$C$1),'General Inputs'!F$9*$G49,0))+IF(AND(($E49+$C$1)&gt;AI$4,AI$4&gt;=$C$1),'General Inputs'!F$10*$J49,IF(AND(($D49+$C$1)&gt;AI$4,AI$4&gt;=$C$1),'General Inputs'!F$10*$I49,0))</f>
        <v>82.701899203701998</v>
      </c>
      <c r="AJ49" s="214">
        <f>IF(AND(($E49+$C$1)&gt;AJ$4,AJ$4&gt;=$C$1),'General Inputs'!G$9*$H49,IF(AND(($D49+$C$1)&gt;AJ$4,AJ$4&gt;=$C$1),'General Inputs'!G$9*$G49,0))+IF(AND(($E49+$C$1)&gt;AJ$4,AJ$4&gt;=$C$1),'General Inputs'!G$10*$J49,IF(AND(($D49+$C$1)&gt;AJ$4,AJ$4&gt;=$C$1),'General Inputs'!G$10*$I49,0))</f>
        <v>83.94242769175753</v>
      </c>
      <c r="AK49" s="214">
        <f>IF(AND(($E49+$C$1)&gt;AK$4,AK$4&gt;=$C$1),'General Inputs'!H$9*$H49,IF(AND(($D49+$C$1)&gt;AK$4,AK$4&gt;=$C$1),'General Inputs'!H$9*$G49,0))+IF(AND(($E49+$C$1)&gt;AK$4,AK$4&gt;=$C$1),'General Inputs'!H$10*$J49,IF(AND(($D49+$C$1)&gt;AK$4,AK$4&gt;=$C$1),'General Inputs'!H$10*$I49,0))</f>
        <v>85.201564107133876</v>
      </c>
      <c r="AL49" s="214">
        <f>IF(AND(($E49+$C$1)&gt;AL$4,AL$4&gt;=$C$1),'General Inputs'!I$9*$H49,IF(AND(($D49+$C$1)&gt;AL$4,AL$4&gt;=$C$1),'General Inputs'!I$9*$G49,0))+IF(AND(($E49+$C$1)&gt;AL$4,AL$4&gt;=$C$1),'General Inputs'!I$10*$J49,IF(AND(($D49+$C$1)&gt;AL$4,AL$4&gt;=$C$1),'General Inputs'!I$10*$I49,0))</f>
        <v>86.479587568740882</v>
      </c>
      <c r="AM49" s="214">
        <f>IF(AND(($E49+$C$1)&gt;AM$4,AM$4&gt;=$C$1),'General Inputs'!J$9*$H49,IF(AND(($D49+$C$1)&gt;AM$4,AM$4&gt;=$C$1),'General Inputs'!J$9*$G49,0))+IF(AND(($E49+$C$1)&gt;AM$4,AM$4&gt;=$C$1),'General Inputs'!J$10*$J49,IF(AND(($D49+$C$1)&gt;AM$4,AM$4&gt;=$C$1),'General Inputs'!J$10*$I49,0))</f>
        <v>87.776781382271977</v>
      </c>
      <c r="AN49" s="214">
        <f>IF(AND(($E49+$C$1)&gt;AN$4,AN$4&gt;=$C$1),'General Inputs'!K$9*$H49,IF(AND(($D49+$C$1)&gt;AN$4,AN$4&gt;=$C$1),'General Inputs'!K$9*$G49,0))+IF(AND(($E49+$C$1)&gt;AN$4,AN$4&gt;=$C$1),'General Inputs'!K$10*$J49,IF(AND(($D49+$C$1)&gt;AN$4,AN$4&gt;=$C$1),'General Inputs'!K$10*$I49,0))</f>
        <v>89.093433103006035</v>
      </c>
      <c r="AO49" s="214">
        <f>IF(AND(($E49+$C$1)&gt;AO$4,AO$4&gt;=$C$1),'General Inputs'!L$9*$H49,IF(AND(($D49+$C$1)&gt;AO$4,AO$4&gt;=$C$1),'General Inputs'!L$9*$G49,0))+IF(AND(($E49+$C$1)&gt;AO$4,AO$4&gt;=$C$1),'General Inputs'!L$10*$J49,IF(AND(($D49+$C$1)&gt;AO$4,AO$4&gt;=$C$1),'General Inputs'!L$10*$I49,0))</f>
        <v>90.429834599551128</v>
      </c>
      <c r="AP49" s="214">
        <f>IF(AND(($E49+$C$1)&gt;AP$4,AP$4&gt;=$C$1),'General Inputs'!M$9*$H49,IF(AND(($D49+$C$1)&gt;AP$4,AP$4&gt;=$C$1),'General Inputs'!M$9*$G49,0))+IF(AND(($E49+$C$1)&gt;AP$4,AP$4&gt;=$C$1),'General Inputs'!M$10*$J49,IF(AND(($D49+$C$1)&gt;AP$4,AP$4&gt;=$C$1),'General Inputs'!M$10*$I49,0))</f>
        <v>91.786282118544378</v>
      </c>
      <c r="AQ49" s="214">
        <f>IF(AND(($E49+$C$1)&gt;AQ$4,AQ$4&gt;=$C$1),'General Inputs'!N$9*$H49,IF(AND(($D49+$C$1)&gt;AQ$4,AQ$4&gt;=$C$1),'General Inputs'!N$9*$G49,0))+IF(AND(($E49+$C$1)&gt;AQ$4,AQ$4&gt;=$C$1),'General Inputs'!N$10*$J49,IF(AND(($D49+$C$1)&gt;AQ$4,AQ$4&gt;=$C$1),'General Inputs'!N$10*$I49,0))</f>
        <v>93.163076350322541</v>
      </c>
      <c r="AR49" s="214">
        <f>IF(AND(($E49+$C$1)&gt;AR$4,AR$4&gt;=$C$1),'General Inputs'!O$9*$H49,IF(AND(($D49+$C$1)&gt;AR$4,AR$4&gt;=$C$1),'General Inputs'!O$9*$G49,0))+IF(AND(($E49+$C$1)&gt;AR$4,AR$4&gt;=$C$1),'General Inputs'!O$10*$J49,IF(AND(($D49+$C$1)&gt;AR$4,AR$4&gt;=$C$1),'General Inputs'!O$10*$I49,0))</f>
        <v>94.560522495577359</v>
      </c>
      <c r="AS49" s="214">
        <f>IF(AND(($E49+$C$1)&gt;AS$4,AS$4&gt;=$C$1),'General Inputs'!P$9*$H49,IF(AND(($D49+$C$1)&gt;AS$4,AS$4&gt;=$C$1),'General Inputs'!P$9*$G49,0))+IF(AND(($E49+$C$1)&gt;AS$4,AS$4&gt;=$C$1),'General Inputs'!P$10*$J49,IF(AND(($D49+$C$1)&gt;AS$4,AS$4&gt;=$C$1),'General Inputs'!P$10*$I49,0))</f>
        <v>95.978930333011007</v>
      </c>
      <c r="AT49" s="214">
        <f>IF(AND(($E49+$C$1)&gt;AT$4,AT$4&gt;=$C$1),'General Inputs'!Q$9*$H49,IF(AND(($D49+$C$1)&gt;AT$4,AT$4&gt;=$C$1),'General Inputs'!Q$9*$G49,0))+IF(AND(($E49+$C$1)&gt;AT$4,AT$4&gt;=$C$1),'General Inputs'!Q$10*$J49,IF(AND(($D49+$C$1)&gt;AT$4,AT$4&gt;=$C$1),'General Inputs'!Q$10*$I49,0))</f>
        <v>97.418614288006168</v>
      </c>
      <c r="AU49" s="214">
        <f>IF(AND(($E49+$C$1)&gt;AU$4,AU$4&gt;=$C$1),'General Inputs'!R$9*$H49,IF(AND(($D49+$C$1)&gt;AU$4,AU$4&gt;=$C$1),'General Inputs'!R$9*$G49,0))+IF(AND(($E49+$C$1)&gt;AU$4,AU$4&gt;=$C$1),'General Inputs'!R$10*$J49,IF(AND(($D49+$C$1)&gt;AU$4,AU$4&gt;=$C$1),'General Inputs'!R$10*$I49,0))</f>
        <v>98.879893502326269</v>
      </c>
      <c r="AV49" s="214">
        <f>IF(AND(($E49+$C$1)&gt;AV$4,AV$4&gt;=$C$1),'General Inputs'!S$9*$H49,IF(AND(($D49+$C$1)&gt;AV$4,AV$4&gt;=$C$1),'General Inputs'!S$9*$G49,0))+IF(AND(($E49+$C$1)&gt;AV$4,AV$4&gt;=$C$1),'General Inputs'!S$10*$J49,IF(AND(($D49+$C$1)&gt;AV$4,AV$4&gt;=$C$1),'General Inputs'!S$10*$I49,0))</f>
        <v>100.36309190486115</v>
      </c>
      <c r="AW49" s="214">
        <f>IF(AND(($E49+$C$1)&gt;AW$4,AW$4&gt;=$C$1),'General Inputs'!T$9*$H49,IF(AND(($D49+$C$1)&gt;AW$4,AW$4&gt;=$C$1),'General Inputs'!T$9*$G49,0))+IF(AND(($E49+$C$1)&gt;AW$4,AW$4&gt;=$C$1),'General Inputs'!T$10*$J49,IF(AND(($D49+$C$1)&gt;AW$4,AW$4&gt;=$C$1),'General Inputs'!T$10*$I49,0))</f>
        <v>101.86853828343406</v>
      </c>
      <c r="AX49" s="214">
        <f>IF(AND(($E49+$C$1)&gt;AX$4,AX$4&gt;=$C$1),'General Inputs'!U$9*$H49,IF(AND(($D49+$C$1)&gt;AX$4,AX$4&gt;=$C$1),'General Inputs'!U$9*$G49,0))+IF(AND(($E49+$C$1)&gt;AX$4,AX$4&gt;=$C$1),'General Inputs'!U$10*$J49,IF(AND(($D49+$C$1)&gt;AX$4,AX$4&gt;=$C$1),'General Inputs'!U$10*$I49,0))</f>
        <v>103.39656635768556</v>
      </c>
      <c r="AY49" s="214">
        <f>IF(AND(($E49+$C$1)&gt;AY$4,AY$4&gt;=$C$1),'General Inputs'!V$9*$H49,IF(AND(($D49+$C$1)&gt;AY$4,AY$4&gt;=$C$1),'General Inputs'!V$9*$G49,0))+IF(AND(($E49+$C$1)&gt;AY$4,AY$4&gt;=$C$1),'General Inputs'!V$10*$J49,IF(AND(($D49+$C$1)&gt;AY$4,AY$4&gt;=$C$1),'General Inputs'!V$10*$I49,0))</f>
        <v>104.94751485305083</v>
      </c>
      <c r="AZ49" s="214">
        <f>IF(AND(($E49+$C$1)&gt;AZ$4,AZ$4&gt;=$C$1),'General Inputs'!W$9*$H49,IF(AND(($D49+$C$1)&gt;AZ$4,AZ$4&gt;=$C$1),'General Inputs'!W$9*$G49,0))+IF(AND(($E49+$C$1)&gt;AZ$4,AZ$4&gt;=$C$1),'General Inputs'!W$10*$J49,IF(AND(($D49+$C$1)&gt;AZ$4,AZ$4&gt;=$C$1),'General Inputs'!W$10*$I49,0))</f>
        <v>0</v>
      </c>
      <c r="BB49" s="214">
        <f>IF(AND(($E49+$C$1)&gt;BB$4,BB$4&gt;=$C$1),'General Inputs'!D$11*$H49,IF(AND(($D49+$C$1)&gt;BB$4,BB$4&gt;=$C$1),'General Inputs'!D$11*$G49,0))</f>
        <v>0</v>
      </c>
      <c r="BC49" s="214">
        <f>IF(AND(($E49+$C$1)&gt;BC$4,BC$4&gt;=$C$1),'General Inputs'!E$11*$H49,IF(AND(($D49+$C$1)&gt;BC$4,BC$4&gt;=$C$1),'General Inputs'!E$11*$G49,0))</f>
        <v>21.723036641999997</v>
      </c>
      <c r="BD49" s="214">
        <f>IF(AND(($E49+$C$1)&gt;BD$4,BD$4&gt;=$C$1),'General Inputs'!F$11*$H49,IF(AND(($D49+$C$1)&gt;BD$4,BD$4&gt;=$C$1),'General Inputs'!F$11*$G49,0))</f>
        <v>21.723036641999997</v>
      </c>
      <c r="BE49" s="214">
        <f>IF(AND(($E49+$C$1)&gt;BE$4,BE$4&gt;=$C$1),'General Inputs'!G$11*$H49,IF(AND(($D49+$C$1)&gt;BE$4,BE$4&gt;=$C$1),'General Inputs'!G$11*$G49,0))</f>
        <v>21.723036641999997</v>
      </c>
      <c r="BF49" s="214">
        <f>IF(AND(($E49+$C$1)&gt;BF$4,BF$4&gt;=$C$1),'General Inputs'!H$11*$H49,IF(AND(($D49+$C$1)&gt;BF$4,BF$4&gt;=$C$1),'General Inputs'!H$11*$G49,0))</f>
        <v>21.723036641999997</v>
      </c>
      <c r="BG49" s="214">
        <f>IF(AND(($E49+$C$1)&gt;BG$4,BG$4&gt;=$C$1),'General Inputs'!I$11*$H49,IF(AND(($D49+$C$1)&gt;BG$4,BG$4&gt;=$C$1),'General Inputs'!I$11*$G49,0))</f>
        <v>21.723036641999997</v>
      </c>
      <c r="BH49" s="214">
        <f>IF(AND(($E49+$C$1)&gt;BH$4,BH$4&gt;=$C$1),'General Inputs'!J$11*$H49,IF(AND(($D49+$C$1)&gt;BH$4,BH$4&gt;=$C$1),'General Inputs'!J$11*$G49,0))</f>
        <v>21.723036641999997</v>
      </c>
      <c r="BI49" s="214">
        <f>IF(AND(($E49+$C$1)&gt;BI$4,BI$4&gt;=$C$1),'General Inputs'!K$11*$H49,IF(AND(($D49+$C$1)&gt;BI$4,BI$4&gt;=$C$1),'General Inputs'!K$11*$G49,0))</f>
        <v>21.723036641999997</v>
      </c>
      <c r="BJ49" s="214">
        <f>IF(AND(($E49+$C$1)&gt;BJ$4,BJ$4&gt;=$C$1),'General Inputs'!L$11*$H49,IF(AND(($D49+$C$1)&gt;BJ$4,BJ$4&gt;=$C$1),'General Inputs'!L$11*$G49,0))</f>
        <v>21.723036641999997</v>
      </c>
      <c r="BK49" s="214">
        <f>IF(AND(($E49+$C$1)&gt;BK$4,BK$4&gt;=$C$1),'General Inputs'!M$11*$H49,IF(AND(($D49+$C$1)&gt;BK$4,BK$4&gt;=$C$1),'General Inputs'!M$11*$G49,0))</f>
        <v>21.723036641999997</v>
      </c>
      <c r="BL49" s="214">
        <f>IF(AND(($E49+$C$1)&gt;BL$4,BL$4&gt;=$C$1),'General Inputs'!N$11*$H49,IF(AND(($D49+$C$1)&gt;BL$4,BL$4&gt;=$C$1),'General Inputs'!N$11*$G49,0))</f>
        <v>21.723036641999997</v>
      </c>
      <c r="BM49" s="214">
        <f>IF(AND(($E49+$C$1)&gt;BM$4,BM$4&gt;=$C$1),'General Inputs'!O$11*$H49,IF(AND(($D49+$C$1)&gt;BM$4,BM$4&gt;=$C$1),'General Inputs'!O$11*$G49,0))</f>
        <v>21.723036641999997</v>
      </c>
      <c r="BN49" s="214">
        <f>IF(AND(($E49+$C$1)&gt;BN$4,BN$4&gt;=$C$1),'General Inputs'!P$11*$H49,IF(AND(($D49+$C$1)&gt;BN$4,BN$4&gt;=$C$1),'General Inputs'!P$11*$G49,0))</f>
        <v>21.723036641999997</v>
      </c>
      <c r="BO49" s="214">
        <f>IF(AND(($E49+$C$1)&gt;BO$4,BO$4&gt;=$C$1),'General Inputs'!Q$11*$H49,IF(AND(($D49+$C$1)&gt;BO$4,BO$4&gt;=$C$1),'General Inputs'!Q$11*$G49,0))</f>
        <v>21.723036641999997</v>
      </c>
      <c r="BP49" s="214">
        <f>IF(AND(($E49+$C$1)&gt;BP$4,BP$4&gt;=$C$1),'General Inputs'!R$11*$H49,IF(AND(($D49+$C$1)&gt;BP$4,BP$4&gt;=$C$1),'General Inputs'!R$11*$G49,0))</f>
        <v>21.723036641999997</v>
      </c>
      <c r="BQ49" s="214">
        <f>IF(AND(($E49+$C$1)&gt;BQ$4,BQ$4&gt;=$C$1),'General Inputs'!S$11*$H49,IF(AND(($D49+$C$1)&gt;BQ$4,BQ$4&gt;=$C$1),'General Inputs'!S$11*$G49,0))</f>
        <v>21.723036641999997</v>
      </c>
      <c r="BR49" s="214">
        <f>IF(AND(($E49+$C$1)&gt;BR$4,BR$4&gt;=$C$1),'General Inputs'!T$11*$H49,IF(AND(($D49+$C$1)&gt;BR$4,BR$4&gt;=$C$1),'General Inputs'!T$11*$G49,0))</f>
        <v>21.723036641999997</v>
      </c>
      <c r="BS49" s="214">
        <f>IF(AND(($E49+$C$1)&gt;BS$4,BS$4&gt;=$C$1),'General Inputs'!U$11*$H49,IF(AND(($D49+$C$1)&gt;BS$4,BS$4&gt;=$C$1),'General Inputs'!U$11*$G49,0))</f>
        <v>21.723036641999997</v>
      </c>
      <c r="BT49" s="214">
        <f>IF(AND(($E49+$C$1)&gt;BT$4,BT$4&gt;=$C$1),'General Inputs'!V$11*$H49,IF(AND(($D49+$C$1)&gt;BT$4,BT$4&gt;=$C$1),'General Inputs'!V$11*$G49,0))</f>
        <v>21.723036641999997</v>
      </c>
      <c r="BU49" s="214">
        <f>IF(AND(($E49+$C$1)&gt;BU$4,BU$4&gt;=$C$1),'General Inputs'!W$11*$H49,IF(AND(($D49+$C$1)&gt;BU$4,BU$4&gt;=$C$1),'General Inputs'!W$11*$G49,0))</f>
        <v>0</v>
      </c>
      <c r="BW49" s="214">
        <f>IF(AND(($E49+$C$1)&gt;BW$4,BW$4&gt;=$C$1),$H49,IF(AND(($D49+$C$1)&gt;BW$4,BW$4&gt;=$C$1),$G49,0))*IF($A49="Residential",'General Inputs'!D$14,'General Inputs'!D$19)</f>
        <v>0</v>
      </c>
      <c r="BX49" s="214">
        <f>IF(AND(($E49+$C$1)&gt;BX$4,BX$4&gt;=$C$1),$H49,IF(AND(($D49+$C$1)&gt;BX$4,BX$4&gt;=$C$1),$G49,0))*IF($A49="Residential",'General Inputs'!E$14,'General Inputs'!E$19)</f>
        <v>202.05063549901394</v>
      </c>
      <c r="BY49" s="214">
        <f>IF(AND(($E49+$C$1)&gt;BY$4,BY$4&gt;=$C$1),$H49,IF(AND(($D49+$C$1)&gt;BY$4,BY$4&gt;=$C$1),$G49,0))*IF($A49="Residential",'General Inputs'!F$14,'General Inputs'!F$19)</f>
        <v>205.08139503149917</v>
      </c>
      <c r="BZ49" s="214">
        <f>IF(AND(($E49+$C$1)&gt;BZ$4,BZ$4&gt;=$C$1),$H49,IF(AND(($D49+$C$1)&gt;BZ$4,BZ$4&gt;=$C$1),$G49,0))*IF($A49="Residential",'General Inputs'!G$14,'General Inputs'!G$19)</f>
        <v>208.15761595697163</v>
      </c>
      <c r="CA49" s="214">
        <f>IF(AND(($E49+$C$1)&gt;CA$4,CA$4&gt;=$C$1),$H49,IF(AND(($D49+$C$1)&gt;CA$4,CA$4&gt;=$C$1),$G49,0))*IF($A49="Residential",'General Inputs'!H$14,'General Inputs'!H$19)</f>
        <v>211.27998019632616</v>
      </c>
      <c r="CB49" s="214">
        <f>IF(AND(($E49+$C$1)&gt;CB$4,CB$4&gt;=$C$1),$H49,IF(AND(($D49+$C$1)&gt;CB$4,CB$4&gt;=$C$1),$G49,0))*IF($A49="Residential",'General Inputs'!I$14,'General Inputs'!I$19)</f>
        <v>214.449179899271</v>
      </c>
      <c r="CC49" s="214">
        <f>IF(AND(($E49+$C$1)&gt;CC$4,CC$4&gt;=$C$1),$H49,IF(AND(($D49+$C$1)&gt;CC$4,CC$4&gt;=$C$1),$G49,0))*IF($A49="Residential",'General Inputs'!J$14,'General Inputs'!J$19)</f>
        <v>217.66591759776009</v>
      </c>
      <c r="CD49" s="214">
        <f>IF(AND(($E49+$C$1)&gt;CD$4,CD$4&gt;=$C$1),$H49,IF(AND(($D49+$C$1)&gt;CD$4,CD$4&gt;=$C$1),$G49,0))*IF($A49="Residential",'General Inputs'!K$14,'General Inputs'!K$19)</f>
        <v>220.93090636172644</v>
      </c>
      <c r="CE49" s="214">
        <f>IF(AND(($E49+$C$1)&gt;CE$4,CE$4&gt;=$C$1),$H49,IF(AND(($D49+$C$1)&gt;CE$4,CE$4&gt;=$C$1),$G49,0))*IF($A49="Residential",'General Inputs'!L$14,'General Inputs'!L$19)</f>
        <v>224.24486995715233</v>
      </c>
      <c r="CF49" s="214">
        <f>IF(AND(($E49+$C$1)&gt;CF$4,CF$4&gt;=$C$1),$H49,IF(AND(($D49+$C$1)&gt;CF$4,CF$4&gt;=$C$1),$G49,0))*IF($A49="Residential",'General Inputs'!M$14,'General Inputs'!M$19)</f>
        <v>227.60854300650959</v>
      </c>
      <c r="CG49" s="214">
        <f>IF(AND(($E49+$C$1)&gt;CG$4,CG$4&gt;=$C$1),$H49,IF(AND(($D49+$C$1)&gt;CG$4,CG$4&gt;=$C$1),$G49,0))*IF($A49="Residential",'General Inputs'!N$14,'General Inputs'!N$19)</f>
        <v>231.02267115160723</v>
      </c>
      <c r="CH49" s="214">
        <f>IF(AND(($E49+$C$1)&gt;CH$4,CH$4&gt;=$C$1),$H49,IF(AND(($D49+$C$1)&gt;CH$4,CH$4&gt;=$C$1),$G49,0))*IF($A49="Residential",'General Inputs'!O$14,'General Inputs'!O$19)</f>
        <v>234.4880112188813</v>
      </c>
      <c r="CI49" s="214">
        <f>IF(AND(($E49+$C$1)&gt;CI$4,CI$4&gt;=$C$1),$H49,IF(AND(($D49+$C$1)&gt;CI$4,CI$4&gt;=$C$1),$G49,0))*IF($A49="Residential",'General Inputs'!P$14,'General Inputs'!P$19)</f>
        <v>238.00533138716449</v>
      </c>
      <c r="CJ49" s="214">
        <f>IF(AND(($E49+$C$1)&gt;CJ$4,CJ$4&gt;=$C$1),$H49,IF(AND(($D49+$C$1)&gt;CJ$4,CJ$4&gt;=$C$1),$G49,0))*IF($A49="Residential",'General Inputs'!Q$14,'General Inputs'!Q$19)</f>
        <v>241.57541135797194</v>
      </c>
      <c r="CK49" s="214">
        <f>IF(AND(($E49+$C$1)&gt;CK$4,CK$4&gt;=$C$1),$H49,IF(AND(($D49+$C$1)&gt;CK$4,CK$4&gt;=$C$1),$G49,0))*IF($A49="Residential",'General Inputs'!R$14,'General Inputs'!R$19)</f>
        <v>245.19904252834149</v>
      </c>
      <c r="CL49" s="214">
        <f>IF(AND(($E49+$C$1)&gt;CL$4,CL$4&gt;=$C$1),$H49,IF(AND(($D49+$C$1)&gt;CL$4,CL$4&gt;=$C$1),$G49,0))*IF($A49="Residential",'General Inputs'!S$14,'General Inputs'!S$19)</f>
        <v>248.8770281662666</v>
      </c>
      <c r="CM49" s="214">
        <f>IF(AND(($E49+$C$1)&gt;CM$4,CM$4&gt;=$C$1),$H49,IF(AND(($D49+$C$1)&gt;CM$4,CM$4&gt;=$C$1),$G49,0))*IF($A49="Residential",'General Inputs'!T$14,'General Inputs'!T$19)</f>
        <v>252.61018358876058</v>
      </c>
      <c r="CN49" s="214">
        <f>IF(AND(($E49+$C$1)&gt;CN$4,CN$4&gt;=$C$1),$H49,IF(AND(($D49+$C$1)&gt;CN$4,CN$4&gt;=$C$1),$G49,0))*IF($A49="Residential",'General Inputs'!U$14,'General Inputs'!U$19)</f>
        <v>256.39933634259194</v>
      </c>
      <c r="CO49" s="214">
        <f>IF(AND(($E49+$C$1)&gt;CO$4,CO$4&gt;=$C$1),$H49,IF(AND(($D49+$C$1)&gt;CO$4,CO$4&gt;=$C$1),$G49,0))*IF($A49="Residential",'General Inputs'!V$14,'General Inputs'!V$19)</f>
        <v>260.24532638773081</v>
      </c>
      <c r="CP49" s="214">
        <f>IF(AND(($E49+$C$1)&gt;CP$4,CP$4&gt;=$C$1),$H49,IF(AND(($D49+$C$1)&gt;CP$4,CP$4&gt;=$C$1),$G49,0))*IF($A49="Residential",'General Inputs'!W$14,'General Inputs'!W$19)</f>
        <v>0</v>
      </c>
      <c r="CR49" s="214">
        <f>IF(AND(($E49+$C$1)&gt;CR$4,CR$4&gt;=$C$1),$H49,IF(AND(($D49+$C$1)&gt;CR$4,CR$4&gt;=$C$1),$G49,0))*IF($A49="Residential",'General Inputs'!D$15,'General Inputs'!D$19)</f>
        <v>0</v>
      </c>
      <c r="CS49" s="214">
        <f>IF(AND(($E49+$C$1)&gt;CS$4,CS$4&gt;=$C$1),$H49,IF(AND(($D49+$C$1)&gt;CS$4,CS$4&gt;=$C$1),$G49,0))*IF($A49="Residential",'General Inputs'!E$15,'General Inputs'!E$19)</f>
        <v>202.05063549901394</v>
      </c>
      <c r="CT49" s="214">
        <f>IF(AND(($E49+$C$1)&gt;CT$4,CT$4&gt;=$C$1),$H49,IF(AND(($D49+$C$1)&gt;CT$4,CT$4&gt;=$C$1),$G49,0))*IF($A49="Residential",'General Inputs'!F$15,'General Inputs'!F$19)</f>
        <v>205.08139503149917</v>
      </c>
      <c r="CU49" s="214">
        <f>IF(AND(($E49+$C$1)&gt;CU$4,CU$4&gt;=$C$1),$H49,IF(AND(($D49+$C$1)&gt;CU$4,CU$4&gt;=$C$1),$G49,0))*IF($A49="Residential",'General Inputs'!G$15,'General Inputs'!G$19)</f>
        <v>208.15761595697163</v>
      </c>
      <c r="CV49" s="214">
        <f>IF(AND(($E49+$C$1)&gt;CV$4,CV$4&gt;=$C$1),$H49,IF(AND(($D49+$C$1)&gt;CV$4,CV$4&gt;=$C$1),$G49,0))*IF($A49="Residential",'General Inputs'!H$15,'General Inputs'!H$19)</f>
        <v>211.27998019632616</v>
      </c>
      <c r="CW49" s="214">
        <f>IF(AND(($E49+$C$1)&gt;CW$4,CW$4&gt;=$C$1),$H49,IF(AND(($D49+$C$1)&gt;CW$4,CW$4&gt;=$C$1),$G49,0))*IF($A49="Residential",'General Inputs'!I$15,'General Inputs'!I$19)</f>
        <v>214.449179899271</v>
      </c>
      <c r="CX49" s="214">
        <f>IF(AND(($E49+$C$1)&gt;CX$4,CX$4&gt;=$C$1),$H49,IF(AND(($D49+$C$1)&gt;CX$4,CX$4&gt;=$C$1),$G49,0))*IF($A49="Residential",'General Inputs'!J$15,'General Inputs'!J$19)</f>
        <v>217.66591759776009</v>
      </c>
      <c r="CY49" s="214">
        <f>IF(AND(($E49+$C$1)&gt;CY$4,CY$4&gt;=$C$1),$H49,IF(AND(($D49+$C$1)&gt;CY$4,CY$4&gt;=$C$1),$G49,0))*IF($A49="Residential",'General Inputs'!K$15,'General Inputs'!K$19)</f>
        <v>220.93090636172644</v>
      </c>
      <c r="CZ49" s="214">
        <f>IF(AND(($E49+$C$1)&gt;CZ$4,CZ$4&gt;=$C$1),$H49,IF(AND(($D49+$C$1)&gt;CZ$4,CZ$4&gt;=$C$1),$G49,0))*IF($A49="Residential",'General Inputs'!L$15,'General Inputs'!L$19)</f>
        <v>224.24486995715233</v>
      </c>
      <c r="DA49" s="214">
        <f>IF(AND(($E49+$C$1)&gt;DA$4,DA$4&gt;=$C$1),$H49,IF(AND(($D49+$C$1)&gt;DA$4,DA$4&gt;=$C$1),$G49,0))*IF($A49="Residential",'General Inputs'!M$15,'General Inputs'!M$19)</f>
        <v>227.60854300650959</v>
      </c>
      <c r="DB49" s="214">
        <f>IF(AND(($E49+$C$1)&gt;DB$4,DB$4&gt;=$C$1),$H49,IF(AND(($D49+$C$1)&gt;DB$4,DB$4&gt;=$C$1),$G49,0))*IF($A49="Residential",'General Inputs'!N$15,'General Inputs'!N$19)</f>
        <v>231.02267115160723</v>
      </c>
      <c r="DC49" s="214">
        <f>IF(AND(($E49+$C$1)&gt;DC$4,DC$4&gt;=$C$1),$H49,IF(AND(($D49+$C$1)&gt;DC$4,DC$4&gt;=$C$1),$G49,0))*IF($A49="Residential",'General Inputs'!O$15,'General Inputs'!O$19)</f>
        <v>234.4880112188813</v>
      </c>
      <c r="DD49" s="214">
        <f>IF(AND(($E49+$C$1)&gt;DD$4,DD$4&gt;=$C$1),$H49,IF(AND(($D49+$C$1)&gt;DD$4,DD$4&gt;=$C$1),$G49,0))*IF($A49="Residential",'General Inputs'!P$15,'General Inputs'!P$19)</f>
        <v>238.00533138716449</v>
      </c>
      <c r="DE49" s="214">
        <f>IF(AND(($E49+$C$1)&gt;DE$4,DE$4&gt;=$C$1),$H49,IF(AND(($D49+$C$1)&gt;DE$4,DE$4&gt;=$C$1),$G49,0))*IF($A49="Residential",'General Inputs'!Q$15,'General Inputs'!Q$19)</f>
        <v>241.57541135797194</v>
      </c>
      <c r="DF49" s="214">
        <f>IF(AND(($E49+$C$1)&gt;DF$4,DF$4&gt;=$C$1),$H49,IF(AND(($D49+$C$1)&gt;DF$4,DF$4&gt;=$C$1),$G49,0))*IF($A49="Residential",'General Inputs'!R$15,'General Inputs'!R$19)</f>
        <v>245.19904252834149</v>
      </c>
      <c r="DG49" s="214">
        <f>IF(AND(($E49+$C$1)&gt;DG$4,DG$4&gt;=$C$1),$H49,IF(AND(($D49+$C$1)&gt;DG$4,DG$4&gt;=$C$1),$G49,0))*IF($A49="Residential",'General Inputs'!S$15,'General Inputs'!S$19)</f>
        <v>248.8770281662666</v>
      </c>
      <c r="DH49" s="214">
        <f>IF(AND(($E49+$C$1)&gt;DH$4,DH$4&gt;=$C$1),$H49,IF(AND(($D49+$C$1)&gt;DH$4,DH$4&gt;=$C$1),$G49,0))*IF($A49="Residential",'General Inputs'!T$15,'General Inputs'!T$19)</f>
        <v>252.61018358876058</v>
      </c>
      <c r="DI49" s="214">
        <f>IF(AND(($E49+$C$1)&gt;DI$4,DI$4&gt;=$C$1),$H49,IF(AND(($D49+$C$1)&gt;DI$4,DI$4&gt;=$C$1),$G49,0))*IF($A49="Residential",'General Inputs'!U$15,'General Inputs'!U$19)</f>
        <v>256.39933634259194</v>
      </c>
      <c r="DJ49" s="214">
        <f>IF(AND(($E49+$C$1)&gt;DJ$4,DJ$4&gt;=$C$1),$H49,IF(AND(($D49+$C$1)&gt;DJ$4,DJ$4&gt;=$C$1),$G49,0))*IF($A49="Residential",'General Inputs'!V$15,'General Inputs'!V$19)</f>
        <v>260.24532638773081</v>
      </c>
      <c r="DK49" s="214">
        <f>IF(AND(($E49+$C$1)&gt;DK$4,DK$4&gt;=$C$1),$H49,IF(AND(($D49+$C$1)&gt;DK$4,DK$4&gt;=$C$1),$G49,0))*IF($A49="Residential",'General Inputs'!W$15,'General Inputs'!W$19)</f>
        <v>0</v>
      </c>
      <c r="DM49" s="214">
        <f t="shared" si="99"/>
        <v>0</v>
      </c>
      <c r="DN49" s="214">
        <f t="shared" si="99"/>
        <v>344</v>
      </c>
      <c r="DO49" s="214">
        <f t="shared" si="99"/>
        <v>0</v>
      </c>
      <c r="DP49" s="214">
        <f t="shared" si="99"/>
        <v>0</v>
      </c>
      <c r="DQ49" s="214">
        <f t="shared" si="99"/>
        <v>0</v>
      </c>
      <c r="DR49" s="214">
        <f t="shared" si="99"/>
        <v>0</v>
      </c>
      <c r="DS49" s="214">
        <f t="shared" si="99"/>
        <v>0</v>
      </c>
      <c r="DT49" s="214">
        <f t="shared" si="99"/>
        <v>0</v>
      </c>
      <c r="DU49" s="214">
        <f t="shared" si="99"/>
        <v>0</v>
      </c>
      <c r="DV49" s="214">
        <f t="shared" si="99"/>
        <v>0</v>
      </c>
      <c r="DW49" s="214">
        <f t="shared" si="99"/>
        <v>0</v>
      </c>
      <c r="DZ49" s="650"/>
      <c r="FI49" s="195"/>
      <c r="FJ49" s="195"/>
      <c r="FK49" s="195"/>
      <c r="FL49" s="195"/>
      <c r="FM49" s="195"/>
      <c r="FN49" s="195"/>
      <c r="FO49" s="195"/>
    </row>
    <row r="50" spans="1:171">
      <c r="A50" s="342" t="s">
        <v>112</v>
      </c>
      <c r="B50" s="427" t="str">
        <f>'Portfolio Inputs'!A49</f>
        <v>T8 (≤4 ft, 3-4 Lamp)</v>
      </c>
      <c r="C50" s="217">
        <f>IF($C$1=2014,'Portfolio Inputs'!$C49,IF($C$1=2015,'Portfolio Inputs'!$D49,'Portfolio Inputs'!$E49))</f>
        <v>8</v>
      </c>
      <c r="D50" s="504">
        <f>VLOOKUP(B50,Sources!$B$4:$J$104,2,FALSE)</f>
        <v>18</v>
      </c>
      <c r="E50" s="504">
        <f>VLOOKUP(B50,Sources!$B$4:$J$104,3,FALSE)</f>
        <v>0</v>
      </c>
      <c r="G50" s="504">
        <f>IF($C$1=2014,'Portfolio Inputs'!$G49,IF($C$1=2015,'Portfolio Inputs'!$H49,'Portfolio Inputs'!$I49))*EnergyLineLoss</f>
        <v>2928.0087899999994</v>
      </c>
      <c r="H50" s="504"/>
      <c r="I50" s="595">
        <f>IF($C$1=2014,'Portfolio Inputs'!$K49,IF($C$1=2015,'Portfolio Inputs'!$L49,'Portfolio Inputs'!$M49))*PeakLineLoss</f>
        <v>0.45275630399999994</v>
      </c>
      <c r="J50" s="510"/>
      <c r="L50" s="606">
        <f>IF($C$1=2014,'Portfolio Inputs'!$O49,IF($C$1=2015,'Portfolio Inputs'!$P49,'Portfolio Inputs'!$Q49))</f>
        <v>55</v>
      </c>
      <c r="M50" s="518">
        <f>VLOOKUP($B50,Sources!$B$4:$K$104,10,FALSE)</f>
        <v>0</v>
      </c>
      <c r="N50" s="419">
        <f>IF($C$1=2014,'Portfolio Inputs'!$W49,IF($C$1=2015,'Portfolio Inputs'!$X49,'Portfolio Inputs'!$Y49))</f>
        <v>72</v>
      </c>
      <c r="O50" s="419">
        <f>IF($C$1=2014,'Portfolio Inputs'!$AA49,IF($C$1=2015,'Portfolio Inputs'!$AB49,'Portfolio Inputs'!$AC49))</f>
        <v>0</v>
      </c>
      <c r="Q50" s="438">
        <f t="shared" si="67"/>
        <v>3.018635469918503</v>
      </c>
      <c r="R50" s="439">
        <f t="shared" si="68"/>
        <v>18.447216760613074</v>
      </c>
      <c r="S50" s="439">
        <f t="shared" si="69"/>
        <v>3.7493514849769785</v>
      </c>
      <c r="T50" s="439">
        <f t="shared" si="70"/>
        <v>7.6491473279932771</v>
      </c>
      <c r="U50" s="439">
        <f t="shared" si="98"/>
        <v>7.6491473279932771</v>
      </c>
      <c r="V50" s="439">
        <f t="shared" si="72"/>
        <v>0.39463685826410011</v>
      </c>
      <c r="W50" s="439">
        <f t="shared" si="73"/>
        <v>0.39463685826410011</v>
      </c>
      <c r="Y50" s="215">
        <f t="shared" si="4"/>
        <v>1220.3230492136543</v>
      </c>
      <c r="Z50" s="215">
        <f t="shared" si="5"/>
        <v>295.401549637752</v>
      </c>
      <c r="AA50" s="215">
        <f t="shared" si="6"/>
        <v>3026.1161561163563</v>
      </c>
      <c r="AB50" s="215">
        <f t="shared" si="7"/>
        <v>3026.1161561163563</v>
      </c>
      <c r="AC50" s="216">
        <f t="shared" si="20"/>
        <v>0</v>
      </c>
      <c r="AD50" s="216">
        <f t="shared" si="21"/>
        <v>66.152149944873202</v>
      </c>
      <c r="AE50" s="215">
        <f t="shared" si="8"/>
        <v>404.26313855200294</v>
      </c>
      <c r="AG50" s="214">
        <f>IF(AND(($E50+$C$1)&gt;AG$4,AG$4&gt;=$C$1),'General Inputs'!D$9*$H50,IF(AND(($D50+$C$1)&gt;AG$4,AG$4&gt;=$C$1),'General Inputs'!D$9*$G50,0))+IF(AND(($E50+$C$1)&gt;AG$4,AG$4&gt;=$C$1),'General Inputs'!D$10*$J50,IF(AND(($D50+$C$1)&gt;AG$4,AG$4&gt;=$C$1),'General Inputs'!D$10*$I50,0))</f>
        <v>0</v>
      </c>
      <c r="AH50" s="214">
        <f>IF(AND(($E50+$C$1)&gt;AH$4,AH$4&gt;=$C$1),'General Inputs'!E$9*$H50,IF(AND(($D50+$C$1)&gt;AH$4,AH$4&gt;=$C$1),'General Inputs'!E$9*$G50,0))+IF(AND(($E50+$C$1)&gt;AH$4,AH$4&gt;=$C$1),'General Inputs'!E$10*$J50,IF(AND(($D50+$C$1)&gt;AH$4,AH$4&gt;=$C$1),'General Inputs'!E$10*$I50,0))</f>
        <v>125.20052024109638</v>
      </c>
      <c r="AI50" s="214">
        <f>IF(AND(($E50+$C$1)&gt;AI$4,AI$4&gt;=$C$1),'General Inputs'!F$9*$H50,IF(AND(($D50+$C$1)&gt;AI$4,AI$4&gt;=$C$1),'General Inputs'!F$9*$G50,0))+IF(AND(($E50+$C$1)&gt;AI$4,AI$4&gt;=$C$1),'General Inputs'!F$10*$J50,IF(AND(($D50+$C$1)&gt;AI$4,AI$4&gt;=$C$1),'General Inputs'!F$10*$I50,0))</f>
        <v>127.07852804471283</v>
      </c>
      <c r="AJ50" s="214">
        <f>IF(AND(($E50+$C$1)&gt;AJ$4,AJ$4&gt;=$C$1),'General Inputs'!G$9*$H50,IF(AND(($D50+$C$1)&gt;AJ$4,AJ$4&gt;=$C$1),'General Inputs'!G$9*$G50,0))+IF(AND(($E50+$C$1)&gt;AJ$4,AJ$4&gt;=$C$1),'General Inputs'!G$10*$J50,IF(AND(($D50+$C$1)&gt;AJ$4,AJ$4&gt;=$C$1),'General Inputs'!G$10*$I50,0))</f>
        <v>128.98470596538351</v>
      </c>
      <c r="AK50" s="214">
        <f>IF(AND(($E50+$C$1)&gt;AK$4,AK$4&gt;=$C$1),'General Inputs'!H$9*$H50,IF(AND(($D50+$C$1)&gt;AK$4,AK$4&gt;=$C$1),'General Inputs'!H$9*$G50,0))+IF(AND(($E50+$C$1)&gt;AK$4,AK$4&gt;=$C$1),'General Inputs'!H$10*$J50,IF(AND(($D50+$C$1)&gt;AK$4,AK$4&gt;=$C$1),'General Inputs'!H$10*$I50,0))</f>
        <v>130.91947655486425</v>
      </c>
      <c r="AL50" s="214">
        <f>IF(AND(($E50+$C$1)&gt;AL$4,AL$4&gt;=$C$1),'General Inputs'!I$9*$H50,IF(AND(($D50+$C$1)&gt;AL$4,AL$4&gt;=$C$1),'General Inputs'!I$9*$G50,0))+IF(AND(($E50+$C$1)&gt;AL$4,AL$4&gt;=$C$1),'General Inputs'!I$10*$J50,IF(AND(($D50+$C$1)&gt;AL$4,AL$4&gt;=$C$1),'General Inputs'!I$10*$I50,0))</f>
        <v>132.88326870318718</v>
      </c>
      <c r="AM50" s="214">
        <f>IF(AND(($E50+$C$1)&gt;AM$4,AM$4&gt;=$C$1),'General Inputs'!J$9*$H50,IF(AND(($D50+$C$1)&gt;AM$4,AM$4&gt;=$C$1),'General Inputs'!J$9*$G50,0))+IF(AND(($E50+$C$1)&gt;AM$4,AM$4&gt;=$C$1),'General Inputs'!J$10*$J50,IF(AND(($D50+$C$1)&gt;AM$4,AM$4&gt;=$C$1),'General Inputs'!J$10*$I50,0))</f>
        <v>134.87651773373497</v>
      </c>
      <c r="AN50" s="214">
        <f>IF(AND(($E50+$C$1)&gt;AN$4,AN$4&gt;=$C$1),'General Inputs'!K$9*$H50,IF(AND(($D50+$C$1)&gt;AN$4,AN$4&gt;=$C$1),'General Inputs'!K$9*$G50,0))+IF(AND(($E50+$C$1)&gt;AN$4,AN$4&gt;=$C$1),'General Inputs'!K$10*$J50,IF(AND(($D50+$C$1)&gt;AN$4,AN$4&gt;=$C$1),'General Inputs'!K$10*$I50,0))</f>
        <v>136.89966549974099</v>
      </c>
      <c r="AO50" s="214">
        <f>IF(AND(($E50+$C$1)&gt;AO$4,AO$4&gt;=$C$1),'General Inputs'!L$9*$H50,IF(AND(($D50+$C$1)&gt;AO$4,AO$4&gt;=$C$1),'General Inputs'!L$9*$G50,0))+IF(AND(($E50+$C$1)&gt;AO$4,AO$4&gt;=$C$1),'General Inputs'!L$10*$J50,IF(AND(($D50+$C$1)&gt;AO$4,AO$4&gt;=$C$1),'General Inputs'!L$10*$I50,0))</f>
        <v>138.95316048223708</v>
      </c>
      <c r="AP50" s="214">
        <f>IF(AND(($E50+$C$1)&gt;AP$4,AP$4&gt;=$C$1),'General Inputs'!M$9*$H50,IF(AND(($D50+$C$1)&gt;AP$4,AP$4&gt;=$C$1),'General Inputs'!M$9*$G50,0))+IF(AND(($E50+$C$1)&gt;AP$4,AP$4&gt;=$C$1),'General Inputs'!M$10*$J50,IF(AND(($D50+$C$1)&gt;AP$4,AP$4&gt;=$C$1),'General Inputs'!M$10*$I50,0))</f>
        <v>141.0374578894706</v>
      </c>
      <c r="AQ50" s="214">
        <f>IF(AND(($E50+$C$1)&gt;AQ$4,AQ$4&gt;=$C$1),'General Inputs'!N$9*$H50,IF(AND(($D50+$C$1)&gt;AQ$4,AQ$4&gt;=$C$1),'General Inputs'!N$9*$G50,0))+IF(AND(($E50+$C$1)&gt;AQ$4,AQ$4&gt;=$C$1),'General Inputs'!N$10*$J50,IF(AND(($D50+$C$1)&gt;AQ$4,AQ$4&gt;=$C$1),'General Inputs'!N$10*$I50,0))</f>
        <v>143.15301975781264</v>
      </c>
      <c r="AR50" s="214">
        <f>IF(AND(($E50+$C$1)&gt;AR$4,AR$4&gt;=$C$1),'General Inputs'!O$9*$H50,IF(AND(($D50+$C$1)&gt;AR$4,AR$4&gt;=$C$1),'General Inputs'!O$9*$G50,0))+IF(AND(($E50+$C$1)&gt;AR$4,AR$4&gt;=$C$1),'General Inputs'!O$10*$J50,IF(AND(($D50+$C$1)&gt;AR$4,AR$4&gt;=$C$1),'General Inputs'!O$10*$I50,0))</f>
        <v>145.30031505417983</v>
      </c>
      <c r="AS50" s="214">
        <f>IF(AND(($E50+$C$1)&gt;AS$4,AS$4&gt;=$C$1),'General Inputs'!P$9*$H50,IF(AND(($D50+$C$1)&gt;AS$4,AS$4&gt;=$C$1),'General Inputs'!P$9*$G50,0))+IF(AND(($E50+$C$1)&gt;AS$4,AS$4&gt;=$C$1),'General Inputs'!P$10*$J50,IF(AND(($D50+$C$1)&gt;AS$4,AS$4&gt;=$C$1),'General Inputs'!P$10*$I50,0))</f>
        <v>147.47981977999251</v>
      </c>
      <c r="AT50" s="214">
        <f>IF(AND(($E50+$C$1)&gt;AT$4,AT$4&gt;=$C$1),'General Inputs'!Q$9*$H50,IF(AND(($D50+$C$1)&gt;AT$4,AT$4&gt;=$C$1),'General Inputs'!Q$9*$G50,0))+IF(AND(($E50+$C$1)&gt;AT$4,AT$4&gt;=$C$1),'General Inputs'!Q$10*$J50,IF(AND(($D50+$C$1)&gt;AT$4,AT$4&gt;=$C$1),'General Inputs'!Q$10*$I50,0))</f>
        <v>149.69201707669239</v>
      </c>
      <c r="AU50" s="214">
        <f>IF(AND(($E50+$C$1)&gt;AU$4,AU$4&gt;=$C$1),'General Inputs'!R$9*$H50,IF(AND(($D50+$C$1)&gt;AU$4,AU$4&gt;=$C$1),'General Inputs'!R$9*$G50,0))+IF(AND(($E50+$C$1)&gt;AU$4,AU$4&gt;=$C$1),'General Inputs'!R$10*$J50,IF(AND(($D50+$C$1)&gt;AU$4,AU$4&gt;=$C$1),'General Inputs'!R$10*$I50,0))</f>
        <v>151.93739733284278</v>
      </c>
      <c r="AV50" s="214">
        <f>IF(AND(($E50+$C$1)&gt;AV$4,AV$4&gt;=$C$1),'General Inputs'!S$9*$H50,IF(AND(($D50+$C$1)&gt;AV$4,AV$4&gt;=$C$1),'General Inputs'!S$9*$G50,0))+IF(AND(($E50+$C$1)&gt;AV$4,AV$4&gt;=$C$1),'General Inputs'!S$10*$J50,IF(AND(($D50+$C$1)&gt;AV$4,AV$4&gt;=$C$1),'General Inputs'!S$10*$I50,0))</f>
        <v>154.2164582928354</v>
      </c>
      <c r="AW50" s="214">
        <f>IF(AND(($E50+$C$1)&gt;AW$4,AW$4&gt;=$C$1),'General Inputs'!T$9*$H50,IF(AND(($D50+$C$1)&gt;AW$4,AW$4&gt;=$C$1),'General Inputs'!T$9*$G50,0))+IF(AND(($E50+$C$1)&gt;AW$4,AW$4&gt;=$C$1),'General Inputs'!T$10*$J50,IF(AND(($D50+$C$1)&gt;AW$4,AW$4&gt;=$C$1),'General Inputs'!T$10*$I50,0))</f>
        <v>156.52970516722795</v>
      </c>
      <c r="AX50" s="214">
        <f>IF(AND(($E50+$C$1)&gt;AX$4,AX$4&gt;=$C$1),'General Inputs'!U$9*$H50,IF(AND(($D50+$C$1)&gt;AX$4,AX$4&gt;=$C$1),'General Inputs'!U$9*$G50,0))+IF(AND(($E50+$C$1)&gt;AX$4,AX$4&gt;=$C$1),'General Inputs'!U$10*$J50,IF(AND(($D50+$C$1)&gt;AX$4,AX$4&gt;=$C$1),'General Inputs'!U$10*$I50,0))</f>
        <v>158.87765074473634</v>
      </c>
      <c r="AY50" s="214">
        <f>IF(AND(($E50+$C$1)&gt;AY$4,AY$4&gt;=$C$1),'General Inputs'!V$9*$H50,IF(AND(($D50+$C$1)&gt;AY$4,AY$4&gt;=$C$1),'General Inputs'!V$9*$G50,0))+IF(AND(($E50+$C$1)&gt;AY$4,AY$4&gt;=$C$1),'General Inputs'!V$10*$J50,IF(AND(($D50+$C$1)&gt;AY$4,AY$4&gt;=$C$1),'General Inputs'!V$10*$I50,0))</f>
        <v>161.26081550590737</v>
      </c>
      <c r="AZ50" s="214">
        <f>IF(AND(($E50+$C$1)&gt;AZ$4,AZ$4&gt;=$C$1),'General Inputs'!W$9*$H50,IF(AND(($D50+$C$1)&gt;AZ$4,AZ$4&gt;=$C$1),'General Inputs'!W$9*$G50,0))+IF(AND(($E50+$C$1)&gt;AZ$4,AZ$4&gt;=$C$1),'General Inputs'!W$10*$J50,IF(AND(($D50+$C$1)&gt;AZ$4,AZ$4&gt;=$C$1),'General Inputs'!W$10*$I50,0))</f>
        <v>0</v>
      </c>
      <c r="BB50" s="214">
        <f>IF(AND(($E50+$C$1)&gt;BB$4,BB$4&gt;=$C$1),'General Inputs'!D$11*$H50,IF(AND(($D50+$C$1)&gt;BB$4,BB$4&gt;=$C$1),'General Inputs'!D$11*$G50,0))</f>
        <v>0</v>
      </c>
      <c r="BC50" s="214">
        <f>IF(AND(($E50+$C$1)&gt;BC$4,BC$4&gt;=$C$1),'General Inputs'!E$11*$H50,IF(AND(($D50+$C$1)&gt;BC$4,BC$4&gt;=$C$1),'General Inputs'!E$11*$G50,0))</f>
        <v>33.379300205999996</v>
      </c>
      <c r="BD50" s="214">
        <f>IF(AND(($E50+$C$1)&gt;BD$4,BD$4&gt;=$C$1),'General Inputs'!F$11*$H50,IF(AND(($D50+$C$1)&gt;BD$4,BD$4&gt;=$C$1),'General Inputs'!F$11*$G50,0))</f>
        <v>33.379300205999996</v>
      </c>
      <c r="BE50" s="214">
        <f>IF(AND(($E50+$C$1)&gt;BE$4,BE$4&gt;=$C$1),'General Inputs'!G$11*$H50,IF(AND(($D50+$C$1)&gt;BE$4,BE$4&gt;=$C$1),'General Inputs'!G$11*$G50,0))</f>
        <v>33.379300205999996</v>
      </c>
      <c r="BF50" s="214">
        <f>IF(AND(($E50+$C$1)&gt;BF$4,BF$4&gt;=$C$1),'General Inputs'!H$11*$H50,IF(AND(($D50+$C$1)&gt;BF$4,BF$4&gt;=$C$1),'General Inputs'!H$11*$G50,0))</f>
        <v>33.379300205999996</v>
      </c>
      <c r="BG50" s="214">
        <f>IF(AND(($E50+$C$1)&gt;BG$4,BG$4&gt;=$C$1),'General Inputs'!I$11*$H50,IF(AND(($D50+$C$1)&gt;BG$4,BG$4&gt;=$C$1),'General Inputs'!I$11*$G50,0))</f>
        <v>33.379300205999996</v>
      </c>
      <c r="BH50" s="214">
        <f>IF(AND(($E50+$C$1)&gt;BH$4,BH$4&gt;=$C$1),'General Inputs'!J$11*$H50,IF(AND(($D50+$C$1)&gt;BH$4,BH$4&gt;=$C$1),'General Inputs'!J$11*$G50,0))</f>
        <v>33.379300205999996</v>
      </c>
      <c r="BI50" s="214">
        <f>IF(AND(($E50+$C$1)&gt;BI$4,BI$4&gt;=$C$1),'General Inputs'!K$11*$H50,IF(AND(($D50+$C$1)&gt;BI$4,BI$4&gt;=$C$1),'General Inputs'!K$11*$G50,0))</f>
        <v>33.379300205999996</v>
      </c>
      <c r="BJ50" s="214">
        <f>IF(AND(($E50+$C$1)&gt;BJ$4,BJ$4&gt;=$C$1),'General Inputs'!L$11*$H50,IF(AND(($D50+$C$1)&gt;BJ$4,BJ$4&gt;=$C$1),'General Inputs'!L$11*$G50,0))</f>
        <v>33.379300205999996</v>
      </c>
      <c r="BK50" s="214">
        <f>IF(AND(($E50+$C$1)&gt;BK$4,BK$4&gt;=$C$1),'General Inputs'!M$11*$H50,IF(AND(($D50+$C$1)&gt;BK$4,BK$4&gt;=$C$1),'General Inputs'!M$11*$G50,0))</f>
        <v>33.379300205999996</v>
      </c>
      <c r="BL50" s="214">
        <f>IF(AND(($E50+$C$1)&gt;BL$4,BL$4&gt;=$C$1),'General Inputs'!N$11*$H50,IF(AND(($D50+$C$1)&gt;BL$4,BL$4&gt;=$C$1),'General Inputs'!N$11*$G50,0))</f>
        <v>33.379300205999996</v>
      </c>
      <c r="BM50" s="214">
        <f>IF(AND(($E50+$C$1)&gt;BM$4,BM$4&gt;=$C$1),'General Inputs'!O$11*$H50,IF(AND(($D50+$C$1)&gt;BM$4,BM$4&gt;=$C$1),'General Inputs'!O$11*$G50,0))</f>
        <v>33.379300205999996</v>
      </c>
      <c r="BN50" s="214">
        <f>IF(AND(($E50+$C$1)&gt;BN$4,BN$4&gt;=$C$1),'General Inputs'!P$11*$H50,IF(AND(($D50+$C$1)&gt;BN$4,BN$4&gt;=$C$1),'General Inputs'!P$11*$G50,0))</f>
        <v>33.379300205999996</v>
      </c>
      <c r="BO50" s="214">
        <f>IF(AND(($E50+$C$1)&gt;BO$4,BO$4&gt;=$C$1),'General Inputs'!Q$11*$H50,IF(AND(($D50+$C$1)&gt;BO$4,BO$4&gt;=$C$1),'General Inputs'!Q$11*$G50,0))</f>
        <v>33.379300205999996</v>
      </c>
      <c r="BP50" s="214">
        <f>IF(AND(($E50+$C$1)&gt;BP$4,BP$4&gt;=$C$1),'General Inputs'!R$11*$H50,IF(AND(($D50+$C$1)&gt;BP$4,BP$4&gt;=$C$1),'General Inputs'!R$11*$G50,0))</f>
        <v>33.379300205999996</v>
      </c>
      <c r="BQ50" s="214">
        <f>IF(AND(($E50+$C$1)&gt;BQ$4,BQ$4&gt;=$C$1),'General Inputs'!S$11*$H50,IF(AND(($D50+$C$1)&gt;BQ$4,BQ$4&gt;=$C$1),'General Inputs'!S$11*$G50,0))</f>
        <v>33.379300205999996</v>
      </c>
      <c r="BR50" s="214">
        <f>IF(AND(($E50+$C$1)&gt;BR$4,BR$4&gt;=$C$1),'General Inputs'!T$11*$H50,IF(AND(($D50+$C$1)&gt;BR$4,BR$4&gt;=$C$1),'General Inputs'!T$11*$G50,0))</f>
        <v>33.379300205999996</v>
      </c>
      <c r="BS50" s="214">
        <f>IF(AND(($E50+$C$1)&gt;BS$4,BS$4&gt;=$C$1),'General Inputs'!U$11*$H50,IF(AND(($D50+$C$1)&gt;BS$4,BS$4&gt;=$C$1),'General Inputs'!U$11*$G50,0))</f>
        <v>33.379300205999996</v>
      </c>
      <c r="BT50" s="214">
        <f>IF(AND(($E50+$C$1)&gt;BT$4,BT$4&gt;=$C$1),'General Inputs'!V$11*$H50,IF(AND(($D50+$C$1)&gt;BT$4,BT$4&gt;=$C$1),'General Inputs'!V$11*$G50,0))</f>
        <v>33.379300205999996</v>
      </c>
      <c r="BU50" s="214">
        <f>IF(AND(($E50+$C$1)&gt;BU$4,BU$4&gt;=$C$1),'General Inputs'!W$11*$H50,IF(AND(($D50+$C$1)&gt;BU$4,BU$4&gt;=$C$1),'General Inputs'!W$11*$G50,0))</f>
        <v>0</v>
      </c>
      <c r="BW50" s="214">
        <f>IF(AND(($E50+$C$1)&gt;BW$4,BW$4&gt;=$C$1),$H50,IF(AND(($D50+$C$1)&gt;BW$4,BW$4&gt;=$C$1),$G50,0))*IF($A50="Residential",'General Inputs'!D$14,'General Inputs'!D$19)</f>
        <v>0</v>
      </c>
      <c r="BX50" s="214">
        <f>IF(AND(($E50+$C$1)&gt;BX$4,BX$4&gt;=$C$1),$H50,IF(AND(($D50+$C$1)&gt;BX$4,BX$4&gt;=$C$1),$G50,0))*IF($A50="Residential",'General Inputs'!E$14,'General Inputs'!E$19)</f>
        <v>310.4680496692165</v>
      </c>
      <c r="BY50" s="214">
        <f>IF(AND(($E50+$C$1)&gt;BY$4,BY$4&gt;=$C$1),$H50,IF(AND(($D50+$C$1)&gt;BY$4,BY$4&gt;=$C$1),$G50,0))*IF($A50="Residential",'General Inputs'!F$14,'General Inputs'!F$19)</f>
        <v>315.12507041425476</v>
      </c>
      <c r="BZ50" s="214">
        <f>IF(AND(($E50+$C$1)&gt;BZ$4,BZ$4&gt;=$C$1),$H50,IF(AND(($D50+$C$1)&gt;BZ$4,BZ$4&gt;=$C$1),$G50,0))*IF($A50="Residential",'General Inputs'!G$14,'General Inputs'!G$19)</f>
        <v>319.85194647046859</v>
      </c>
      <c r="CA50" s="214">
        <f>IF(AND(($E50+$C$1)&gt;CA$4,CA$4&gt;=$C$1),$H50,IF(AND(($D50+$C$1)&gt;CA$4,CA$4&gt;=$C$1),$G50,0))*IF($A50="Residential",'General Inputs'!H$14,'General Inputs'!H$19)</f>
        <v>324.6497256675255</v>
      </c>
      <c r="CB50" s="214">
        <f>IF(AND(($E50+$C$1)&gt;CB$4,CB$4&gt;=$C$1),$H50,IF(AND(($D50+$C$1)&gt;CB$4,CB$4&gt;=$C$1),$G50,0))*IF($A50="Residential",'General Inputs'!I$14,'General Inputs'!I$19)</f>
        <v>329.51947155253833</v>
      </c>
      <c r="CC50" s="214">
        <f>IF(AND(($E50+$C$1)&gt;CC$4,CC$4&gt;=$C$1),$H50,IF(AND(($D50+$C$1)&gt;CC$4,CC$4&gt;=$C$1),$G50,0))*IF($A50="Residential",'General Inputs'!J$14,'General Inputs'!J$19)</f>
        <v>334.46226362582644</v>
      </c>
      <c r="CD50" s="214">
        <f>IF(AND(($E50+$C$1)&gt;CD$4,CD$4&gt;=$C$1),$H50,IF(AND(($D50+$C$1)&gt;CD$4,CD$4&gt;=$C$1),$G50,0))*IF($A50="Residential",'General Inputs'!K$14,'General Inputs'!K$19)</f>
        <v>339.47919758021379</v>
      </c>
      <c r="CE50" s="214">
        <f>IF(AND(($E50+$C$1)&gt;CE$4,CE$4&gt;=$C$1),$H50,IF(AND(($D50+$C$1)&gt;CE$4,CE$4&gt;=$C$1),$G50,0))*IF($A50="Residential",'General Inputs'!L$14,'General Inputs'!L$19)</f>
        <v>344.57138554391696</v>
      </c>
      <c r="CF50" s="214">
        <f>IF(AND(($E50+$C$1)&gt;CF$4,CF$4&gt;=$C$1),$H50,IF(AND(($D50+$C$1)&gt;CF$4,CF$4&gt;=$C$1),$G50,0))*IF($A50="Residential",'General Inputs'!M$14,'General Inputs'!M$19)</f>
        <v>349.73995632707567</v>
      </c>
      <c r="CG50" s="214">
        <f>IF(AND(($E50+$C$1)&gt;CG$4,CG$4&gt;=$C$1),$H50,IF(AND(($D50+$C$1)&gt;CG$4,CG$4&gt;=$C$1),$G50,0))*IF($A50="Residential",'General Inputs'!N$14,'General Inputs'!N$19)</f>
        <v>354.98605567198177</v>
      </c>
      <c r="CH50" s="214">
        <f>IF(AND(($E50+$C$1)&gt;CH$4,CH$4&gt;=$C$1),$H50,IF(AND(($D50+$C$1)&gt;CH$4,CH$4&gt;=$C$1),$G50,0))*IF($A50="Residential",'General Inputs'!O$14,'General Inputs'!O$19)</f>
        <v>360.31084650706146</v>
      </c>
      <c r="CI50" s="214">
        <f>IF(AND(($E50+$C$1)&gt;CI$4,CI$4&gt;=$C$1),$H50,IF(AND(($D50+$C$1)&gt;CI$4,CI$4&gt;=$C$1),$G50,0))*IF($A50="Residential",'General Inputs'!P$14,'General Inputs'!P$19)</f>
        <v>365.71550920466734</v>
      </c>
      <c r="CJ50" s="214">
        <f>IF(AND(($E50+$C$1)&gt;CJ$4,CJ$4&gt;=$C$1),$H50,IF(AND(($D50+$C$1)&gt;CJ$4,CJ$4&gt;=$C$1),$G50,0))*IF($A50="Residential",'General Inputs'!Q$14,'General Inputs'!Q$19)</f>
        <v>371.20124184273737</v>
      </c>
      <c r="CK50" s="214">
        <f>IF(AND(($E50+$C$1)&gt;CK$4,CK$4&gt;=$C$1),$H50,IF(AND(($D50+$C$1)&gt;CK$4,CK$4&gt;=$C$1),$G50,0))*IF($A50="Residential",'General Inputs'!R$14,'General Inputs'!R$19)</f>
        <v>376.76926047037836</v>
      </c>
      <c r="CL50" s="214">
        <f>IF(AND(($E50+$C$1)&gt;CL$4,CL$4&gt;=$C$1),$H50,IF(AND(($D50+$C$1)&gt;CL$4,CL$4&gt;=$C$1),$G50,0))*IF($A50="Residential",'General Inputs'!S$14,'General Inputs'!S$19)</f>
        <v>382.42079937743404</v>
      </c>
      <c r="CM50" s="214">
        <f>IF(AND(($E50+$C$1)&gt;CM$4,CM$4&gt;=$C$1),$H50,IF(AND(($D50+$C$1)&gt;CM$4,CM$4&gt;=$C$1),$G50,0))*IF($A50="Residential",'General Inputs'!T$14,'General Inputs'!T$19)</f>
        <v>388.15711136809551</v>
      </c>
      <c r="CN50" s="214">
        <f>IF(AND(($E50+$C$1)&gt;CN$4,CN$4&gt;=$C$1),$H50,IF(AND(($D50+$C$1)&gt;CN$4,CN$4&gt;=$C$1),$G50,0))*IF($A50="Residential",'General Inputs'!U$14,'General Inputs'!U$19)</f>
        <v>393.97946803861686</v>
      </c>
      <c r="CO50" s="214">
        <f>IF(AND(($E50+$C$1)&gt;CO$4,CO$4&gt;=$C$1),$H50,IF(AND(($D50+$C$1)&gt;CO$4,CO$4&gt;=$C$1),$G50,0))*IF($A50="Residential",'General Inputs'!V$14,'General Inputs'!V$19)</f>
        <v>399.88916005919606</v>
      </c>
      <c r="CP50" s="214">
        <f>IF(AND(($E50+$C$1)&gt;CP$4,CP$4&gt;=$C$1),$H50,IF(AND(($D50+$C$1)&gt;CP$4,CP$4&gt;=$C$1),$G50,0))*IF($A50="Residential",'General Inputs'!W$14,'General Inputs'!W$19)</f>
        <v>0</v>
      </c>
      <c r="CR50" s="214">
        <f>IF(AND(($E50+$C$1)&gt;CR$4,CR$4&gt;=$C$1),$H50,IF(AND(($D50+$C$1)&gt;CR$4,CR$4&gt;=$C$1),$G50,0))*IF($A50="Residential",'General Inputs'!D$15,'General Inputs'!D$19)</f>
        <v>0</v>
      </c>
      <c r="CS50" s="214">
        <f>IF(AND(($E50+$C$1)&gt;CS$4,CS$4&gt;=$C$1),$H50,IF(AND(($D50+$C$1)&gt;CS$4,CS$4&gt;=$C$1),$G50,0))*IF($A50="Residential",'General Inputs'!E$15,'General Inputs'!E$19)</f>
        <v>310.4680496692165</v>
      </c>
      <c r="CT50" s="214">
        <f>IF(AND(($E50+$C$1)&gt;CT$4,CT$4&gt;=$C$1),$H50,IF(AND(($D50+$C$1)&gt;CT$4,CT$4&gt;=$C$1),$G50,0))*IF($A50="Residential",'General Inputs'!F$15,'General Inputs'!F$19)</f>
        <v>315.12507041425476</v>
      </c>
      <c r="CU50" s="214">
        <f>IF(AND(($E50+$C$1)&gt;CU$4,CU$4&gt;=$C$1),$H50,IF(AND(($D50+$C$1)&gt;CU$4,CU$4&gt;=$C$1),$G50,0))*IF($A50="Residential",'General Inputs'!G$15,'General Inputs'!G$19)</f>
        <v>319.85194647046859</v>
      </c>
      <c r="CV50" s="214">
        <f>IF(AND(($E50+$C$1)&gt;CV$4,CV$4&gt;=$C$1),$H50,IF(AND(($D50+$C$1)&gt;CV$4,CV$4&gt;=$C$1),$G50,0))*IF($A50="Residential",'General Inputs'!H$15,'General Inputs'!H$19)</f>
        <v>324.6497256675255</v>
      </c>
      <c r="CW50" s="214">
        <f>IF(AND(($E50+$C$1)&gt;CW$4,CW$4&gt;=$C$1),$H50,IF(AND(($D50+$C$1)&gt;CW$4,CW$4&gt;=$C$1),$G50,0))*IF($A50="Residential",'General Inputs'!I$15,'General Inputs'!I$19)</f>
        <v>329.51947155253833</v>
      </c>
      <c r="CX50" s="214">
        <f>IF(AND(($E50+$C$1)&gt;CX$4,CX$4&gt;=$C$1),$H50,IF(AND(($D50+$C$1)&gt;CX$4,CX$4&gt;=$C$1),$G50,0))*IF($A50="Residential",'General Inputs'!J$15,'General Inputs'!J$19)</f>
        <v>334.46226362582644</v>
      </c>
      <c r="CY50" s="214">
        <f>IF(AND(($E50+$C$1)&gt;CY$4,CY$4&gt;=$C$1),$H50,IF(AND(($D50+$C$1)&gt;CY$4,CY$4&gt;=$C$1),$G50,0))*IF($A50="Residential",'General Inputs'!K$15,'General Inputs'!K$19)</f>
        <v>339.47919758021379</v>
      </c>
      <c r="CZ50" s="214">
        <f>IF(AND(($E50+$C$1)&gt;CZ$4,CZ$4&gt;=$C$1),$H50,IF(AND(($D50+$C$1)&gt;CZ$4,CZ$4&gt;=$C$1),$G50,0))*IF($A50="Residential",'General Inputs'!L$15,'General Inputs'!L$19)</f>
        <v>344.57138554391696</v>
      </c>
      <c r="DA50" s="214">
        <f>IF(AND(($E50+$C$1)&gt;DA$4,DA$4&gt;=$C$1),$H50,IF(AND(($D50+$C$1)&gt;DA$4,DA$4&gt;=$C$1),$G50,0))*IF($A50="Residential",'General Inputs'!M$15,'General Inputs'!M$19)</f>
        <v>349.73995632707567</v>
      </c>
      <c r="DB50" s="214">
        <f>IF(AND(($E50+$C$1)&gt;DB$4,DB$4&gt;=$C$1),$H50,IF(AND(($D50+$C$1)&gt;DB$4,DB$4&gt;=$C$1),$G50,0))*IF($A50="Residential",'General Inputs'!N$15,'General Inputs'!N$19)</f>
        <v>354.98605567198177</v>
      </c>
      <c r="DC50" s="214">
        <f>IF(AND(($E50+$C$1)&gt;DC$4,DC$4&gt;=$C$1),$H50,IF(AND(($D50+$C$1)&gt;DC$4,DC$4&gt;=$C$1),$G50,0))*IF($A50="Residential",'General Inputs'!O$15,'General Inputs'!O$19)</f>
        <v>360.31084650706146</v>
      </c>
      <c r="DD50" s="214">
        <f>IF(AND(($E50+$C$1)&gt;DD$4,DD$4&gt;=$C$1),$H50,IF(AND(($D50+$C$1)&gt;DD$4,DD$4&gt;=$C$1),$G50,0))*IF($A50="Residential",'General Inputs'!P$15,'General Inputs'!P$19)</f>
        <v>365.71550920466734</v>
      </c>
      <c r="DE50" s="214">
        <f>IF(AND(($E50+$C$1)&gt;DE$4,DE$4&gt;=$C$1),$H50,IF(AND(($D50+$C$1)&gt;DE$4,DE$4&gt;=$C$1),$G50,0))*IF($A50="Residential",'General Inputs'!Q$15,'General Inputs'!Q$19)</f>
        <v>371.20124184273737</v>
      </c>
      <c r="DF50" s="214">
        <f>IF(AND(($E50+$C$1)&gt;DF$4,DF$4&gt;=$C$1),$H50,IF(AND(($D50+$C$1)&gt;DF$4,DF$4&gt;=$C$1),$G50,0))*IF($A50="Residential",'General Inputs'!R$15,'General Inputs'!R$19)</f>
        <v>376.76926047037836</v>
      </c>
      <c r="DG50" s="214">
        <f>IF(AND(($E50+$C$1)&gt;DG$4,DG$4&gt;=$C$1),$H50,IF(AND(($D50+$C$1)&gt;DG$4,DG$4&gt;=$C$1),$G50,0))*IF($A50="Residential",'General Inputs'!S$15,'General Inputs'!S$19)</f>
        <v>382.42079937743404</v>
      </c>
      <c r="DH50" s="214">
        <f>IF(AND(($E50+$C$1)&gt;DH$4,DH$4&gt;=$C$1),$H50,IF(AND(($D50+$C$1)&gt;DH$4,DH$4&gt;=$C$1),$G50,0))*IF($A50="Residential",'General Inputs'!T$15,'General Inputs'!T$19)</f>
        <v>388.15711136809551</v>
      </c>
      <c r="DI50" s="214">
        <f>IF(AND(($E50+$C$1)&gt;DI$4,DI$4&gt;=$C$1),$H50,IF(AND(($D50+$C$1)&gt;DI$4,DI$4&gt;=$C$1),$G50,0))*IF($A50="Residential",'General Inputs'!U$15,'General Inputs'!U$19)</f>
        <v>393.97946803861686</v>
      </c>
      <c r="DJ50" s="214">
        <f>IF(AND(($E50+$C$1)&gt;DJ$4,DJ$4&gt;=$C$1),$H50,IF(AND(($D50+$C$1)&gt;DJ$4,DJ$4&gt;=$C$1),$G50,0))*IF($A50="Residential",'General Inputs'!V$15,'General Inputs'!V$19)</f>
        <v>399.88916005919606</v>
      </c>
      <c r="DK50" s="214">
        <f>IF(AND(($E50+$C$1)&gt;DK$4,DK$4&gt;=$C$1),$H50,IF(AND(($D50+$C$1)&gt;DK$4,DK$4&gt;=$C$1),$G50,0))*IF($A50="Residential",'General Inputs'!W$15,'General Inputs'!W$19)</f>
        <v>0</v>
      </c>
      <c r="DM50" s="214">
        <f t="shared" si="99"/>
        <v>0</v>
      </c>
      <c r="DN50" s="214">
        <f t="shared" si="99"/>
        <v>440</v>
      </c>
      <c r="DO50" s="214">
        <f t="shared" si="99"/>
        <v>0</v>
      </c>
      <c r="DP50" s="214">
        <f t="shared" si="99"/>
        <v>0</v>
      </c>
      <c r="DQ50" s="214">
        <f t="shared" si="99"/>
        <v>0</v>
      </c>
      <c r="DR50" s="214">
        <f t="shared" si="99"/>
        <v>0</v>
      </c>
      <c r="DS50" s="214">
        <f t="shared" si="99"/>
        <v>0</v>
      </c>
      <c r="DT50" s="214">
        <f t="shared" si="99"/>
        <v>0</v>
      </c>
      <c r="DU50" s="214">
        <f t="shared" si="99"/>
        <v>0</v>
      </c>
      <c r="DV50" s="214">
        <f t="shared" si="99"/>
        <v>0</v>
      </c>
      <c r="DW50" s="214">
        <f t="shared" si="99"/>
        <v>0</v>
      </c>
      <c r="DZ50" s="650"/>
      <c r="FI50" s="195"/>
      <c r="FJ50" s="195"/>
      <c r="FK50" s="195"/>
      <c r="FL50" s="195"/>
      <c r="FM50" s="195"/>
      <c r="FN50" s="195"/>
      <c r="FO50" s="195"/>
    </row>
    <row r="51" spans="1:171">
      <c r="A51" s="342" t="s">
        <v>112</v>
      </c>
      <c r="B51" s="427" t="str">
        <f>'Portfolio Inputs'!A50</f>
        <v>T8 (5-8 ft, 1-2 Lamp)</v>
      </c>
      <c r="C51" s="217">
        <f>IF($C$1=2014,'Portfolio Inputs'!$C50,IF($C$1=2015,'Portfolio Inputs'!$D50,'Portfolio Inputs'!$E50))</f>
        <v>8</v>
      </c>
      <c r="D51" s="504">
        <f>VLOOKUP(B51,Sources!$B$4:$J$104,2,FALSE)</f>
        <v>18</v>
      </c>
      <c r="E51" s="504">
        <f>VLOOKUP(B51,Sources!$B$4:$J$104,3,FALSE)</f>
        <v>0</v>
      </c>
      <c r="G51" s="504">
        <f>IF($C$1=2014,'Portfolio Inputs'!$G50,IF($C$1=2015,'Portfolio Inputs'!$H50,'Portfolio Inputs'!$I50))*EnergyLineLoss</f>
        <v>2788.5797999999995</v>
      </c>
      <c r="H51" s="504"/>
      <c r="I51" s="595">
        <f>IF($C$1=2014,'Portfolio Inputs'!$K50,IF($C$1=2015,'Portfolio Inputs'!$L50,'Portfolio Inputs'!$M50))*PeakLineLoss</f>
        <v>0.43119647999999999</v>
      </c>
      <c r="J51" s="510"/>
      <c r="L51" s="606">
        <f>IF($C$1=2014,'Portfolio Inputs'!$O50,IF($C$1=2015,'Portfolio Inputs'!$P50,'Portfolio Inputs'!$Q50))</f>
        <v>93</v>
      </c>
      <c r="M51" s="518">
        <f>VLOOKUP($B51,Sources!$B$4:$K$104,10,FALSE)</f>
        <v>0</v>
      </c>
      <c r="N51" s="419">
        <f>IF($C$1=2014,'Portfolio Inputs'!$W50,IF($C$1=2015,'Portfolio Inputs'!$X50,'Portfolio Inputs'!$Y50))</f>
        <v>64</v>
      </c>
      <c r="O51" s="419">
        <f>IF($C$1=2014,'Portfolio Inputs'!$AA50,IF($C$1=2015,'Portfolio Inputs'!$AB50,'Portfolio Inputs'!$AC50))</f>
        <v>0</v>
      </c>
      <c r="Q51" s="438">
        <f t="shared" si="67"/>
        <v>1.7002043097339239</v>
      </c>
      <c r="R51" s="439">
        <f t="shared" si="68"/>
        <v>19.764875100656866</v>
      </c>
      <c r="S51" s="439">
        <f t="shared" si="69"/>
        <v>2.1117699096132498</v>
      </c>
      <c r="T51" s="439">
        <f t="shared" si="70"/>
        <v>4.3021311115169505</v>
      </c>
      <c r="U51" s="439">
        <f t="shared" si="98"/>
        <v>4.3021311115169505</v>
      </c>
      <c r="V51" s="439">
        <f t="shared" si="72"/>
        <v>0.39520048684300196</v>
      </c>
      <c r="W51" s="439">
        <f t="shared" si="73"/>
        <v>0.39520048684300196</v>
      </c>
      <c r="Y51" s="215">
        <f t="shared" si="4"/>
        <v>1162.2124278225278</v>
      </c>
      <c r="Z51" s="215">
        <f t="shared" si="5"/>
        <v>281.33480917881138</v>
      </c>
      <c r="AA51" s="215">
        <f t="shared" si="6"/>
        <v>2882.0153867774816</v>
      </c>
      <c r="AB51" s="215">
        <f t="shared" si="7"/>
        <v>2882.0153867774816</v>
      </c>
      <c r="AC51" s="216">
        <f t="shared" si="20"/>
        <v>0</v>
      </c>
      <c r="AD51" s="216">
        <f t="shared" si="21"/>
        <v>58.801911062109518</v>
      </c>
      <c r="AE51" s="215">
        <f t="shared" si="8"/>
        <v>683.5722160970231</v>
      </c>
      <c r="AG51" s="214">
        <f>IF(AND(($E51+$C$1)&gt;AG$4,AG$4&gt;=$C$1),'General Inputs'!D$9*$H51,IF(AND(($D51+$C$1)&gt;AG$4,AG$4&gt;=$C$1),'General Inputs'!D$9*$G51,0))+IF(AND(($E51+$C$1)&gt;AG$4,AG$4&gt;=$C$1),'General Inputs'!D$10*$J51,IF(AND(($D51+$C$1)&gt;AG$4,AG$4&gt;=$C$1),'General Inputs'!D$10*$I51,0))</f>
        <v>0</v>
      </c>
      <c r="AH51" s="214">
        <f>IF(AND(($E51+$C$1)&gt;AH$4,AH$4&gt;=$C$1),'General Inputs'!E$9*$H51,IF(AND(($D51+$C$1)&gt;AH$4,AH$4&gt;=$C$1),'General Inputs'!E$9*$G51,0))+IF(AND(($E51+$C$1)&gt;AH$4,AH$4&gt;=$C$1),'General Inputs'!E$10*$J51,IF(AND(($D51+$C$1)&gt;AH$4,AH$4&gt;=$C$1),'General Inputs'!E$10*$I51,0))</f>
        <v>119.23859070580609</v>
      </c>
      <c r="AI51" s="214">
        <f>IF(AND(($E51+$C$1)&gt;AI$4,AI$4&gt;=$C$1),'General Inputs'!F$9*$H51,IF(AND(($D51+$C$1)&gt;AI$4,AI$4&gt;=$C$1),'General Inputs'!F$9*$G51,0))+IF(AND(($E51+$C$1)&gt;AI$4,AI$4&gt;=$C$1),'General Inputs'!F$10*$J51,IF(AND(($D51+$C$1)&gt;AI$4,AI$4&gt;=$C$1),'General Inputs'!F$10*$I51,0))</f>
        <v>121.02716956639316</v>
      </c>
      <c r="AJ51" s="214">
        <f>IF(AND(($E51+$C$1)&gt;AJ$4,AJ$4&gt;=$C$1),'General Inputs'!G$9*$H51,IF(AND(($D51+$C$1)&gt;AJ$4,AJ$4&gt;=$C$1),'General Inputs'!G$9*$G51,0))+IF(AND(($E51+$C$1)&gt;AJ$4,AJ$4&gt;=$C$1),'General Inputs'!G$10*$J51,IF(AND(($D51+$C$1)&gt;AJ$4,AJ$4&gt;=$C$1),'General Inputs'!G$10*$I51,0))</f>
        <v>122.84257710988905</v>
      </c>
      <c r="AK51" s="214">
        <f>IF(AND(($E51+$C$1)&gt;AK$4,AK$4&gt;=$C$1),'General Inputs'!H$9*$H51,IF(AND(($D51+$C$1)&gt;AK$4,AK$4&gt;=$C$1),'General Inputs'!H$9*$G51,0))+IF(AND(($E51+$C$1)&gt;AK$4,AK$4&gt;=$C$1),'General Inputs'!H$10*$J51,IF(AND(($D51+$C$1)&gt;AK$4,AK$4&gt;=$C$1),'General Inputs'!H$10*$I51,0))</f>
        <v>124.68521576653737</v>
      </c>
      <c r="AL51" s="214">
        <f>IF(AND(($E51+$C$1)&gt;AL$4,AL$4&gt;=$C$1),'General Inputs'!I$9*$H51,IF(AND(($D51+$C$1)&gt;AL$4,AL$4&gt;=$C$1),'General Inputs'!I$9*$G51,0))+IF(AND(($E51+$C$1)&gt;AL$4,AL$4&gt;=$C$1),'General Inputs'!I$10*$J51,IF(AND(($D51+$C$1)&gt;AL$4,AL$4&gt;=$C$1),'General Inputs'!I$10*$I51,0))</f>
        <v>126.55549400303542</v>
      </c>
      <c r="AM51" s="214">
        <f>IF(AND(($E51+$C$1)&gt;AM$4,AM$4&gt;=$C$1),'General Inputs'!J$9*$H51,IF(AND(($D51+$C$1)&gt;AM$4,AM$4&gt;=$C$1),'General Inputs'!J$9*$G51,0))+IF(AND(($E51+$C$1)&gt;AM$4,AM$4&gt;=$C$1),'General Inputs'!J$10*$J51,IF(AND(($D51+$C$1)&gt;AM$4,AM$4&gt;=$C$1),'General Inputs'!J$10*$I51,0))</f>
        <v>128.45382641308095</v>
      </c>
      <c r="AN51" s="214">
        <f>IF(AND(($E51+$C$1)&gt;AN$4,AN$4&gt;=$C$1),'General Inputs'!K$9*$H51,IF(AND(($D51+$C$1)&gt;AN$4,AN$4&gt;=$C$1),'General Inputs'!K$9*$G51,0))+IF(AND(($E51+$C$1)&gt;AN$4,AN$4&gt;=$C$1),'General Inputs'!K$10*$J51,IF(AND(($D51+$C$1)&gt;AN$4,AN$4&gt;=$C$1),'General Inputs'!K$10*$I51,0))</f>
        <v>130.38063380927713</v>
      </c>
      <c r="AO51" s="214">
        <f>IF(AND(($E51+$C$1)&gt;AO$4,AO$4&gt;=$C$1),'General Inputs'!L$9*$H51,IF(AND(($D51+$C$1)&gt;AO$4,AO$4&gt;=$C$1),'General Inputs'!L$9*$G51,0))+IF(AND(($E51+$C$1)&gt;AO$4,AO$4&gt;=$C$1),'General Inputs'!L$10*$J51,IF(AND(($D51+$C$1)&gt;AO$4,AO$4&gt;=$C$1),'General Inputs'!L$10*$I51,0))</f>
        <v>132.33634331641628</v>
      </c>
      <c r="AP51" s="214">
        <f>IF(AND(($E51+$C$1)&gt;AP$4,AP$4&gt;=$C$1),'General Inputs'!M$9*$H51,IF(AND(($D51+$C$1)&gt;AP$4,AP$4&gt;=$C$1),'General Inputs'!M$9*$G51,0))+IF(AND(($E51+$C$1)&gt;AP$4,AP$4&gt;=$C$1),'General Inputs'!M$10*$J51,IF(AND(($D51+$C$1)&gt;AP$4,AP$4&gt;=$C$1),'General Inputs'!M$10*$I51,0))</f>
        <v>134.32138846616249</v>
      </c>
      <c r="AQ51" s="214">
        <f>IF(AND(($E51+$C$1)&gt;AQ$4,AQ$4&gt;=$C$1),'General Inputs'!N$9*$H51,IF(AND(($D51+$C$1)&gt;AQ$4,AQ$4&gt;=$C$1),'General Inputs'!N$9*$G51,0))+IF(AND(($E51+$C$1)&gt;AQ$4,AQ$4&gt;=$C$1),'General Inputs'!N$10*$J51,IF(AND(($D51+$C$1)&gt;AQ$4,AQ$4&gt;=$C$1),'General Inputs'!N$10*$I51,0))</f>
        <v>136.33620929315492</v>
      </c>
      <c r="AR51" s="214">
        <f>IF(AND(($E51+$C$1)&gt;AR$4,AR$4&gt;=$C$1),'General Inputs'!O$9*$H51,IF(AND(($D51+$C$1)&gt;AR$4,AR$4&gt;=$C$1),'General Inputs'!O$9*$G51,0))+IF(AND(($E51+$C$1)&gt;AR$4,AR$4&gt;=$C$1),'General Inputs'!O$10*$J51,IF(AND(($D51+$C$1)&gt;AR$4,AR$4&gt;=$C$1),'General Inputs'!O$10*$I51,0))</f>
        <v>138.38125243255223</v>
      </c>
      <c r="AS51" s="214">
        <f>IF(AND(($E51+$C$1)&gt;AS$4,AS$4&gt;=$C$1),'General Inputs'!P$9*$H51,IF(AND(($D51+$C$1)&gt;AS$4,AS$4&gt;=$C$1),'General Inputs'!P$9*$G51,0))+IF(AND(($E51+$C$1)&gt;AS$4,AS$4&gt;=$C$1),'General Inputs'!P$10*$J51,IF(AND(($D51+$C$1)&gt;AS$4,AS$4&gt;=$C$1),'General Inputs'!P$10*$I51,0))</f>
        <v>140.4569712190405</v>
      </c>
      <c r="AT51" s="214">
        <f>IF(AND(($E51+$C$1)&gt;AT$4,AT$4&gt;=$C$1),'General Inputs'!Q$9*$H51,IF(AND(($D51+$C$1)&gt;AT$4,AT$4&gt;=$C$1),'General Inputs'!Q$9*$G51,0))+IF(AND(($E51+$C$1)&gt;AT$4,AT$4&gt;=$C$1),'General Inputs'!Q$10*$J51,IF(AND(($D51+$C$1)&gt;AT$4,AT$4&gt;=$C$1),'General Inputs'!Q$10*$I51,0))</f>
        <v>142.5638257873261</v>
      </c>
      <c r="AU51" s="214">
        <f>IF(AND(($E51+$C$1)&gt;AU$4,AU$4&gt;=$C$1),'General Inputs'!R$9*$H51,IF(AND(($D51+$C$1)&gt;AU$4,AU$4&gt;=$C$1),'General Inputs'!R$9*$G51,0))+IF(AND(($E51+$C$1)&gt;AU$4,AU$4&gt;=$C$1),'General Inputs'!R$10*$J51,IF(AND(($D51+$C$1)&gt;AU$4,AU$4&gt;=$C$1),'General Inputs'!R$10*$I51,0))</f>
        <v>144.70228317413597</v>
      </c>
      <c r="AV51" s="214">
        <f>IF(AND(($E51+$C$1)&gt;AV$4,AV$4&gt;=$C$1),'General Inputs'!S$9*$H51,IF(AND(($D51+$C$1)&gt;AV$4,AV$4&gt;=$C$1),'General Inputs'!S$9*$G51,0))+IF(AND(($E51+$C$1)&gt;AV$4,AV$4&gt;=$C$1),'General Inputs'!S$10*$J51,IF(AND(($D51+$C$1)&gt;AV$4,AV$4&gt;=$C$1),'General Inputs'!S$10*$I51,0))</f>
        <v>146.87281742174801</v>
      </c>
      <c r="AW51" s="214">
        <f>IF(AND(($E51+$C$1)&gt;AW$4,AW$4&gt;=$C$1),'General Inputs'!T$9*$H51,IF(AND(($D51+$C$1)&gt;AW$4,AW$4&gt;=$C$1),'General Inputs'!T$9*$G51,0))+IF(AND(($E51+$C$1)&gt;AW$4,AW$4&gt;=$C$1),'General Inputs'!T$10*$J51,IF(AND(($D51+$C$1)&gt;AW$4,AW$4&gt;=$C$1),'General Inputs'!T$10*$I51,0))</f>
        <v>149.07590968307423</v>
      </c>
      <c r="AX51" s="214">
        <f>IF(AND(($E51+$C$1)&gt;AX$4,AX$4&gt;=$C$1),'General Inputs'!U$9*$H51,IF(AND(($D51+$C$1)&gt;AX$4,AX$4&gt;=$C$1),'General Inputs'!U$9*$G51,0))+IF(AND(($E51+$C$1)&gt;AX$4,AX$4&gt;=$C$1),'General Inputs'!U$10*$J51,IF(AND(($D51+$C$1)&gt;AX$4,AX$4&gt;=$C$1),'General Inputs'!U$10*$I51,0))</f>
        <v>151.31204832832032</v>
      </c>
      <c r="AY51" s="214">
        <f>IF(AND(($E51+$C$1)&gt;AY$4,AY$4&gt;=$C$1),'General Inputs'!V$9*$H51,IF(AND(($D51+$C$1)&gt;AY$4,AY$4&gt;=$C$1),'General Inputs'!V$9*$G51,0))+IF(AND(($E51+$C$1)&gt;AY$4,AY$4&gt;=$C$1),'General Inputs'!V$10*$J51,IF(AND(($D51+$C$1)&gt;AY$4,AY$4&gt;=$C$1),'General Inputs'!V$10*$I51,0))</f>
        <v>153.58172905324511</v>
      </c>
      <c r="AZ51" s="214">
        <f>IF(AND(($E51+$C$1)&gt;AZ$4,AZ$4&gt;=$C$1),'General Inputs'!W$9*$H51,IF(AND(($D51+$C$1)&gt;AZ$4,AZ$4&gt;=$C$1),'General Inputs'!W$9*$G51,0))+IF(AND(($E51+$C$1)&gt;AZ$4,AZ$4&gt;=$C$1),'General Inputs'!W$10*$J51,IF(AND(($D51+$C$1)&gt;AZ$4,AZ$4&gt;=$C$1),'General Inputs'!W$10*$I51,0))</f>
        <v>0</v>
      </c>
      <c r="BB51" s="214">
        <f>IF(AND(($E51+$C$1)&gt;BB$4,BB$4&gt;=$C$1),'General Inputs'!D$11*$H51,IF(AND(($D51+$C$1)&gt;BB$4,BB$4&gt;=$C$1),'General Inputs'!D$11*$G51,0))</f>
        <v>0</v>
      </c>
      <c r="BC51" s="214">
        <f>IF(AND(($E51+$C$1)&gt;BC$4,BC$4&gt;=$C$1),'General Inputs'!E$11*$H51,IF(AND(($D51+$C$1)&gt;BC$4,BC$4&gt;=$C$1),'General Inputs'!E$11*$G51,0))</f>
        <v>31.789809719999997</v>
      </c>
      <c r="BD51" s="214">
        <f>IF(AND(($E51+$C$1)&gt;BD$4,BD$4&gt;=$C$1),'General Inputs'!F$11*$H51,IF(AND(($D51+$C$1)&gt;BD$4,BD$4&gt;=$C$1),'General Inputs'!F$11*$G51,0))</f>
        <v>31.789809719999997</v>
      </c>
      <c r="BE51" s="214">
        <f>IF(AND(($E51+$C$1)&gt;BE$4,BE$4&gt;=$C$1),'General Inputs'!G$11*$H51,IF(AND(($D51+$C$1)&gt;BE$4,BE$4&gt;=$C$1),'General Inputs'!G$11*$G51,0))</f>
        <v>31.789809719999997</v>
      </c>
      <c r="BF51" s="214">
        <f>IF(AND(($E51+$C$1)&gt;BF$4,BF$4&gt;=$C$1),'General Inputs'!H$11*$H51,IF(AND(($D51+$C$1)&gt;BF$4,BF$4&gt;=$C$1),'General Inputs'!H$11*$G51,0))</f>
        <v>31.789809719999997</v>
      </c>
      <c r="BG51" s="214">
        <f>IF(AND(($E51+$C$1)&gt;BG$4,BG$4&gt;=$C$1),'General Inputs'!I$11*$H51,IF(AND(($D51+$C$1)&gt;BG$4,BG$4&gt;=$C$1),'General Inputs'!I$11*$G51,0))</f>
        <v>31.789809719999997</v>
      </c>
      <c r="BH51" s="214">
        <f>IF(AND(($E51+$C$1)&gt;BH$4,BH$4&gt;=$C$1),'General Inputs'!J$11*$H51,IF(AND(($D51+$C$1)&gt;BH$4,BH$4&gt;=$C$1),'General Inputs'!J$11*$G51,0))</f>
        <v>31.789809719999997</v>
      </c>
      <c r="BI51" s="214">
        <f>IF(AND(($E51+$C$1)&gt;BI$4,BI$4&gt;=$C$1),'General Inputs'!K$11*$H51,IF(AND(($D51+$C$1)&gt;BI$4,BI$4&gt;=$C$1),'General Inputs'!K$11*$G51,0))</f>
        <v>31.789809719999997</v>
      </c>
      <c r="BJ51" s="214">
        <f>IF(AND(($E51+$C$1)&gt;BJ$4,BJ$4&gt;=$C$1),'General Inputs'!L$11*$H51,IF(AND(($D51+$C$1)&gt;BJ$4,BJ$4&gt;=$C$1),'General Inputs'!L$11*$G51,0))</f>
        <v>31.789809719999997</v>
      </c>
      <c r="BK51" s="214">
        <f>IF(AND(($E51+$C$1)&gt;BK$4,BK$4&gt;=$C$1),'General Inputs'!M$11*$H51,IF(AND(($D51+$C$1)&gt;BK$4,BK$4&gt;=$C$1),'General Inputs'!M$11*$G51,0))</f>
        <v>31.789809719999997</v>
      </c>
      <c r="BL51" s="214">
        <f>IF(AND(($E51+$C$1)&gt;BL$4,BL$4&gt;=$C$1),'General Inputs'!N$11*$H51,IF(AND(($D51+$C$1)&gt;BL$4,BL$4&gt;=$C$1),'General Inputs'!N$11*$G51,0))</f>
        <v>31.789809719999997</v>
      </c>
      <c r="BM51" s="214">
        <f>IF(AND(($E51+$C$1)&gt;BM$4,BM$4&gt;=$C$1),'General Inputs'!O$11*$H51,IF(AND(($D51+$C$1)&gt;BM$4,BM$4&gt;=$C$1),'General Inputs'!O$11*$G51,0))</f>
        <v>31.789809719999997</v>
      </c>
      <c r="BN51" s="214">
        <f>IF(AND(($E51+$C$1)&gt;BN$4,BN$4&gt;=$C$1),'General Inputs'!P$11*$H51,IF(AND(($D51+$C$1)&gt;BN$4,BN$4&gt;=$C$1),'General Inputs'!P$11*$G51,0))</f>
        <v>31.789809719999997</v>
      </c>
      <c r="BO51" s="214">
        <f>IF(AND(($E51+$C$1)&gt;BO$4,BO$4&gt;=$C$1),'General Inputs'!Q$11*$H51,IF(AND(($D51+$C$1)&gt;BO$4,BO$4&gt;=$C$1),'General Inputs'!Q$11*$G51,0))</f>
        <v>31.789809719999997</v>
      </c>
      <c r="BP51" s="214">
        <f>IF(AND(($E51+$C$1)&gt;BP$4,BP$4&gt;=$C$1),'General Inputs'!R$11*$H51,IF(AND(($D51+$C$1)&gt;BP$4,BP$4&gt;=$C$1),'General Inputs'!R$11*$G51,0))</f>
        <v>31.789809719999997</v>
      </c>
      <c r="BQ51" s="214">
        <f>IF(AND(($E51+$C$1)&gt;BQ$4,BQ$4&gt;=$C$1),'General Inputs'!S$11*$H51,IF(AND(($D51+$C$1)&gt;BQ$4,BQ$4&gt;=$C$1),'General Inputs'!S$11*$G51,0))</f>
        <v>31.789809719999997</v>
      </c>
      <c r="BR51" s="214">
        <f>IF(AND(($E51+$C$1)&gt;BR$4,BR$4&gt;=$C$1),'General Inputs'!T$11*$H51,IF(AND(($D51+$C$1)&gt;BR$4,BR$4&gt;=$C$1),'General Inputs'!T$11*$G51,0))</f>
        <v>31.789809719999997</v>
      </c>
      <c r="BS51" s="214">
        <f>IF(AND(($E51+$C$1)&gt;BS$4,BS$4&gt;=$C$1),'General Inputs'!U$11*$H51,IF(AND(($D51+$C$1)&gt;BS$4,BS$4&gt;=$C$1),'General Inputs'!U$11*$G51,0))</f>
        <v>31.789809719999997</v>
      </c>
      <c r="BT51" s="214">
        <f>IF(AND(($E51+$C$1)&gt;BT$4,BT$4&gt;=$C$1),'General Inputs'!V$11*$H51,IF(AND(($D51+$C$1)&gt;BT$4,BT$4&gt;=$C$1),'General Inputs'!V$11*$G51,0))</f>
        <v>31.789809719999997</v>
      </c>
      <c r="BU51" s="214">
        <f>IF(AND(($E51+$C$1)&gt;BU$4,BU$4&gt;=$C$1),'General Inputs'!W$11*$H51,IF(AND(($D51+$C$1)&gt;BU$4,BU$4&gt;=$C$1),'General Inputs'!W$11*$G51,0))</f>
        <v>0</v>
      </c>
      <c r="BW51" s="214">
        <f>IF(AND(($E51+$C$1)&gt;BW$4,BW$4&gt;=$C$1),$H51,IF(AND(($D51+$C$1)&gt;BW$4,BW$4&gt;=$C$1),$G51,0))*IF($A51="Residential",'General Inputs'!D$14,'General Inputs'!D$19)</f>
        <v>0</v>
      </c>
      <c r="BX51" s="214">
        <f>IF(AND(($E51+$C$1)&gt;BX$4,BX$4&gt;=$C$1),$H51,IF(AND(($D51+$C$1)&gt;BX$4,BX$4&gt;=$C$1),$G51,0))*IF($A51="Residential",'General Inputs'!E$14,'General Inputs'!E$19)</f>
        <v>295.68385682782525</v>
      </c>
      <c r="BY51" s="214">
        <f>IF(AND(($E51+$C$1)&gt;BY$4,BY$4&gt;=$C$1),$H51,IF(AND(($D51+$C$1)&gt;BY$4,BY$4&gt;=$C$1),$G51,0))*IF($A51="Residential",'General Inputs'!F$14,'General Inputs'!F$19)</f>
        <v>300.11911468024266</v>
      </c>
      <c r="BZ51" s="214">
        <f>IF(AND(($E51+$C$1)&gt;BZ$4,BZ$4&gt;=$C$1),$H51,IF(AND(($D51+$C$1)&gt;BZ$4,BZ$4&gt;=$C$1),$G51,0))*IF($A51="Residential",'General Inputs'!G$14,'General Inputs'!G$19)</f>
        <v>304.62090140044626</v>
      </c>
      <c r="CA51" s="214">
        <f>IF(AND(($E51+$C$1)&gt;CA$4,CA$4&gt;=$C$1),$H51,IF(AND(($D51+$C$1)&gt;CA$4,CA$4&gt;=$C$1),$G51,0))*IF($A51="Residential",'General Inputs'!H$14,'General Inputs'!H$19)</f>
        <v>309.19021492145288</v>
      </c>
      <c r="CB51" s="214">
        <f>IF(AND(($E51+$C$1)&gt;CB$4,CB$4&gt;=$C$1),$H51,IF(AND(($D51+$C$1)&gt;CB$4,CB$4&gt;=$C$1),$G51,0))*IF($A51="Residential",'General Inputs'!I$14,'General Inputs'!I$19)</f>
        <v>313.82806814527464</v>
      </c>
      <c r="CC51" s="214">
        <f>IF(AND(($E51+$C$1)&gt;CC$4,CC$4&gt;=$C$1),$H51,IF(AND(($D51+$C$1)&gt;CC$4,CC$4&gt;=$C$1),$G51,0))*IF($A51="Residential",'General Inputs'!J$14,'General Inputs'!J$19)</f>
        <v>318.53548916745376</v>
      </c>
      <c r="CD51" s="214">
        <f>IF(AND(($E51+$C$1)&gt;CD$4,CD$4&gt;=$C$1),$H51,IF(AND(($D51+$C$1)&gt;CD$4,CD$4&gt;=$C$1),$G51,0))*IF($A51="Residential",'General Inputs'!K$14,'General Inputs'!K$19)</f>
        <v>323.31352150496554</v>
      </c>
      <c r="CE51" s="214">
        <f>IF(AND(($E51+$C$1)&gt;CE$4,CE$4&gt;=$C$1),$H51,IF(AND(($D51+$C$1)&gt;CE$4,CE$4&gt;=$C$1),$G51,0))*IF($A51="Residential",'General Inputs'!L$14,'General Inputs'!L$19)</f>
        <v>328.16322432753998</v>
      </c>
      <c r="CF51" s="214">
        <f>IF(AND(($E51+$C$1)&gt;CF$4,CF$4&gt;=$C$1),$H51,IF(AND(($D51+$C$1)&gt;CF$4,CF$4&gt;=$C$1),$G51,0))*IF($A51="Residential",'General Inputs'!M$14,'General Inputs'!M$19)</f>
        <v>333.08567269245304</v>
      </c>
      <c r="CG51" s="214">
        <f>IF(AND(($E51+$C$1)&gt;CG$4,CG$4&gt;=$C$1),$H51,IF(AND(($D51+$C$1)&gt;CG$4,CG$4&gt;=$C$1),$G51,0))*IF($A51="Residential",'General Inputs'!N$14,'General Inputs'!N$19)</f>
        <v>338.08195778283982</v>
      </c>
      <c r="CH51" s="214">
        <f>IF(AND(($E51+$C$1)&gt;CH$4,CH$4&gt;=$C$1),$H51,IF(AND(($D51+$C$1)&gt;CH$4,CH$4&gt;=$C$1),$G51,0))*IF($A51="Residential",'General Inputs'!O$14,'General Inputs'!O$19)</f>
        <v>343.15318714958232</v>
      </c>
      <c r="CI51" s="214">
        <f>IF(AND(($E51+$C$1)&gt;CI$4,CI$4&gt;=$C$1),$H51,IF(AND(($D51+$C$1)&gt;CI$4,CI$4&gt;=$C$1),$G51,0))*IF($A51="Residential",'General Inputs'!P$14,'General Inputs'!P$19)</f>
        <v>348.3004849568261</v>
      </c>
      <c r="CJ51" s="214">
        <f>IF(AND(($E51+$C$1)&gt;CJ$4,CJ$4&gt;=$C$1),$H51,IF(AND(($D51+$C$1)&gt;CJ$4,CJ$4&gt;=$C$1),$G51,0))*IF($A51="Residential",'General Inputs'!Q$14,'General Inputs'!Q$19)</f>
        <v>353.52499223117843</v>
      </c>
      <c r="CK51" s="214">
        <f>IF(AND(($E51+$C$1)&gt;CK$4,CK$4&gt;=$C$1),$H51,IF(AND(($D51+$C$1)&gt;CK$4,CK$4&gt;=$C$1),$G51,0))*IF($A51="Residential",'General Inputs'!R$14,'General Inputs'!R$19)</f>
        <v>358.82786711464604</v>
      </c>
      <c r="CL51" s="214">
        <f>IF(AND(($E51+$C$1)&gt;CL$4,CL$4&gt;=$C$1),$H51,IF(AND(($D51+$C$1)&gt;CL$4,CL$4&gt;=$C$1),$G51,0))*IF($A51="Residential",'General Inputs'!S$14,'General Inputs'!S$19)</f>
        <v>364.21028512136576</v>
      </c>
      <c r="CM51" s="214">
        <f>IF(AND(($E51+$C$1)&gt;CM$4,CM$4&gt;=$C$1),$H51,IF(AND(($D51+$C$1)&gt;CM$4,CM$4&gt;=$C$1),$G51,0))*IF($A51="Residential",'General Inputs'!T$14,'General Inputs'!T$19)</f>
        <v>369.67343939818619</v>
      </c>
      <c r="CN51" s="214">
        <f>IF(AND(($E51+$C$1)&gt;CN$4,CN$4&gt;=$C$1),$H51,IF(AND(($D51+$C$1)&gt;CN$4,CN$4&gt;=$C$1),$G51,0))*IF($A51="Residential",'General Inputs'!U$14,'General Inputs'!U$19)</f>
        <v>375.2185409891589</v>
      </c>
      <c r="CO51" s="214">
        <f>IF(AND(($E51+$C$1)&gt;CO$4,CO$4&gt;=$C$1),$H51,IF(AND(($D51+$C$1)&gt;CO$4,CO$4&gt;=$C$1),$G51,0))*IF($A51="Residential",'General Inputs'!V$14,'General Inputs'!V$19)</f>
        <v>380.84681910399627</v>
      </c>
      <c r="CP51" s="214">
        <f>IF(AND(($E51+$C$1)&gt;CP$4,CP$4&gt;=$C$1),$H51,IF(AND(($D51+$C$1)&gt;CP$4,CP$4&gt;=$C$1),$G51,0))*IF($A51="Residential",'General Inputs'!W$14,'General Inputs'!W$19)</f>
        <v>0</v>
      </c>
      <c r="CR51" s="214">
        <f>IF(AND(($E51+$C$1)&gt;CR$4,CR$4&gt;=$C$1),$H51,IF(AND(($D51+$C$1)&gt;CR$4,CR$4&gt;=$C$1),$G51,0))*IF($A51="Residential",'General Inputs'!D$15,'General Inputs'!D$19)</f>
        <v>0</v>
      </c>
      <c r="CS51" s="214">
        <f>IF(AND(($E51+$C$1)&gt;CS$4,CS$4&gt;=$C$1),$H51,IF(AND(($D51+$C$1)&gt;CS$4,CS$4&gt;=$C$1),$G51,0))*IF($A51="Residential",'General Inputs'!E$15,'General Inputs'!E$19)</f>
        <v>295.68385682782525</v>
      </c>
      <c r="CT51" s="214">
        <f>IF(AND(($E51+$C$1)&gt;CT$4,CT$4&gt;=$C$1),$H51,IF(AND(($D51+$C$1)&gt;CT$4,CT$4&gt;=$C$1),$G51,0))*IF($A51="Residential",'General Inputs'!F$15,'General Inputs'!F$19)</f>
        <v>300.11911468024266</v>
      </c>
      <c r="CU51" s="214">
        <f>IF(AND(($E51+$C$1)&gt;CU$4,CU$4&gt;=$C$1),$H51,IF(AND(($D51+$C$1)&gt;CU$4,CU$4&gt;=$C$1),$G51,0))*IF($A51="Residential",'General Inputs'!G$15,'General Inputs'!G$19)</f>
        <v>304.62090140044626</v>
      </c>
      <c r="CV51" s="214">
        <f>IF(AND(($E51+$C$1)&gt;CV$4,CV$4&gt;=$C$1),$H51,IF(AND(($D51+$C$1)&gt;CV$4,CV$4&gt;=$C$1),$G51,0))*IF($A51="Residential",'General Inputs'!H$15,'General Inputs'!H$19)</f>
        <v>309.19021492145288</v>
      </c>
      <c r="CW51" s="214">
        <f>IF(AND(($E51+$C$1)&gt;CW$4,CW$4&gt;=$C$1),$H51,IF(AND(($D51+$C$1)&gt;CW$4,CW$4&gt;=$C$1),$G51,0))*IF($A51="Residential",'General Inputs'!I$15,'General Inputs'!I$19)</f>
        <v>313.82806814527464</v>
      </c>
      <c r="CX51" s="214">
        <f>IF(AND(($E51+$C$1)&gt;CX$4,CX$4&gt;=$C$1),$H51,IF(AND(($D51+$C$1)&gt;CX$4,CX$4&gt;=$C$1),$G51,0))*IF($A51="Residential",'General Inputs'!J$15,'General Inputs'!J$19)</f>
        <v>318.53548916745376</v>
      </c>
      <c r="CY51" s="214">
        <f>IF(AND(($E51+$C$1)&gt;CY$4,CY$4&gt;=$C$1),$H51,IF(AND(($D51+$C$1)&gt;CY$4,CY$4&gt;=$C$1),$G51,0))*IF($A51="Residential",'General Inputs'!K$15,'General Inputs'!K$19)</f>
        <v>323.31352150496554</v>
      </c>
      <c r="CZ51" s="214">
        <f>IF(AND(($E51+$C$1)&gt;CZ$4,CZ$4&gt;=$C$1),$H51,IF(AND(($D51+$C$1)&gt;CZ$4,CZ$4&gt;=$C$1),$G51,0))*IF($A51="Residential",'General Inputs'!L$15,'General Inputs'!L$19)</f>
        <v>328.16322432753998</v>
      </c>
      <c r="DA51" s="214">
        <f>IF(AND(($E51+$C$1)&gt;DA$4,DA$4&gt;=$C$1),$H51,IF(AND(($D51+$C$1)&gt;DA$4,DA$4&gt;=$C$1),$G51,0))*IF($A51="Residential",'General Inputs'!M$15,'General Inputs'!M$19)</f>
        <v>333.08567269245304</v>
      </c>
      <c r="DB51" s="214">
        <f>IF(AND(($E51+$C$1)&gt;DB$4,DB$4&gt;=$C$1),$H51,IF(AND(($D51+$C$1)&gt;DB$4,DB$4&gt;=$C$1),$G51,0))*IF($A51="Residential",'General Inputs'!N$15,'General Inputs'!N$19)</f>
        <v>338.08195778283982</v>
      </c>
      <c r="DC51" s="214">
        <f>IF(AND(($E51+$C$1)&gt;DC$4,DC$4&gt;=$C$1),$H51,IF(AND(($D51+$C$1)&gt;DC$4,DC$4&gt;=$C$1),$G51,0))*IF($A51="Residential",'General Inputs'!O$15,'General Inputs'!O$19)</f>
        <v>343.15318714958232</v>
      </c>
      <c r="DD51" s="214">
        <f>IF(AND(($E51+$C$1)&gt;DD$4,DD$4&gt;=$C$1),$H51,IF(AND(($D51+$C$1)&gt;DD$4,DD$4&gt;=$C$1),$G51,0))*IF($A51="Residential",'General Inputs'!P$15,'General Inputs'!P$19)</f>
        <v>348.3004849568261</v>
      </c>
      <c r="DE51" s="214">
        <f>IF(AND(($E51+$C$1)&gt;DE$4,DE$4&gt;=$C$1),$H51,IF(AND(($D51+$C$1)&gt;DE$4,DE$4&gt;=$C$1),$G51,0))*IF($A51="Residential",'General Inputs'!Q$15,'General Inputs'!Q$19)</f>
        <v>353.52499223117843</v>
      </c>
      <c r="DF51" s="214">
        <f>IF(AND(($E51+$C$1)&gt;DF$4,DF$4&gt;=$C$1),$H51,IF(AND(($D51+$C$1)&gt;DF$4,DF$4&gt;=$C$1),$G51,0))*IF($A51="Residential",'General Inputs'!R$15,'General Inputs'!R$19)</f>
        <v>358.82786711464604</v>
      </c>
      <c r="DG51" s="214">
        <f>IF(AND(($E51+$C$1)&gt;DG$4,DG$4&gt;=$C$1),$H51,IF(AND(($D51+$C$1)&gt;DG$4,DG$4&gt;=$C$1),$G51,0))*IF($A51="Residential",'General Inputs'!S$15,'General Inputs'!S$19)</f>
        <v>364.21028512136576</v>
      </c>
      <c r="DH51" s="214">
        <f>IF(AND(($E51+$C$1)&gt;DH$4,DH$4&gt;=$C$1),$H51,IF(AND(($D51+$C$1)&gt;DH$4,DH$4&gt;=$C$1),$G51,0))*IF($A51="Residential",'General Inputs'!T$15,'General Inputs'!T$19)</f>
        <v>369.67343939818619</v>
      </c>
      <c r="DI51" s="214">
        <f>IF(AND(($E51+$C$1)&gt;DI$4,DI$4&gt;=$C$1),$H51,IF(AND(($D51+$C$1)&gt;DI$4,DI$4&gt;=$C$1),$G51,0))*IF($A51="Residential",'General Inputs'!U$15,'General Inputs'!U$19)</f>
        <v>375.2185409891589</v>
      </c>
      <c r="DJ51" s="214">
        <f>IF(AND(($E51+$C$1)&gt;DJ$4,DJ$4&gt;=$C$1),$H51,IF(AND(($D51+$C$1)&gt;DJ$4,DJ$4&gt;=$C$1),$G51,0))*IF($A51="Residential",'General Inputs'!V$15,'General Inputs'!V$19)</f>
        <v>380.84681910399627</v>
      </c>
      <c r="DK51" s="214">
        <f>IF(AND(($E51+$C$1)&gt;DK$4,DK$4&gt;=$C$1),$H51,IF(AND(($D51+$C$1)&gt;DK$4,DK$4&gt;=$C$1),$G51,0))*IF($A51="Residential",'General Inputs'!W$15,'General Inputs'!W$19)</f>
        <v>0</v>
      </c>
      <c r="DM51" s="214">
        <f t="shared" si="99"/>
        <v>0</v>
      </c>
      <c r="DN51" s="214">
        <f t="shared" si="99"/>
        <v>744</v>
      </c>
      <c r="DO51" s="214">
        <f t="shared" si="99"/>
        <v>0</v>
      </c>
      <c r="DP51" s="214">
        <f t="shared" si="99"/>
        <v>0</v>
      </c>
      <c r="DQ51" s="214">
        <f t="shared" si="99"/>
        <v>0</v>
      </c>
      <c r="DR51" s="214">
        <f t="shared" si="99"/>
        <v>0</v>
      </c>
      <c r="DS51" s="214">
        <f t="shared" si="99"/>
        <v>0</v>
      </c>
      <c r="DT51" s="214">
        <f t="shared" si="99"/>
        <v>0</v>
      </c>
      <c r="DU51" s="214">
        <f t="shared" si="99"/>
        <v>0</v>
      </c>
      <c r="DV51" s="214">
        <f t="shared" si="99"/>
        <v>0</v>
      </c>
      <c r="DW51" s="214">
        <f t="shared" si="99"/>
        <v>0</v>
      </c>
      <c r="DZ51" s="650"/>
      <c r="FI51" s="195"/>
      <c r="FJ51" s="195"/>
      <c r="FK51" s="195"/>
      <c r="FL51" s="195"/>
      <c r="FM51" s="195"/>
      <c r="FN51" s="195"/>
      <c r="FO51" s="195"/>
    </row>
    <row r="52" spans="1:171">
      <c r="A52" s="342" t="s">
        <v>112</v>
      </c>
      <c r="B52" s="427" t="str">
        <f>'Portfolio Inputs'!A51</f>
        <v>High Performance T8 (1-2 Lamp)</v>
      </c>
      <c r="C52" s="217">
        <f>IF($C$1=2014,'Portfolio Inputs'!$C51,IF($C$1=2015,'Portfolio Inputs'!$D51,'Portfolio Inputs'!$E51))</f>
        <v>13</v>
      </c>
      <c r="D52" s="504">
        <f>VLOOKUP(B52,Sources!$B$4:$J$104,2,FALSE)</f>
        <v>15</v>
      </c>
      <c r="E52" s="504">
        <f>VLOOKUP(B52,Sources!$B$4:$J$104,3,FALSE)</f>
        <v>0</v>
      </c>
      <c r="G52" s="504">
        <f>IF($C$1=2014,'Portfolio Inputs'!$G51,IF($C$1=2015,'Portfolio Inputs'!$H51,'Portfolio Inputs'!$I51))*EnergyLineLoss</f>
        <v>755.24036249999995</v>
      </c>
      <c r="H52" s="504"/>
      <c r="I52" s="595">
        <f>IF($C$1=2014,'Portfolio Inputs'!$K51,IF($C$1=2015,'Portfolio Inputs'!$L51,'Portfolio Inputs'!$M51))*PeakLineLoss</f>
        <v>0.11678238000000001</v>
      </c>
      <c r="J52" s="510"/>
      <c r="L52" s="606">
        <f>IF($C$1=2014,'Portfolio Inputs'!$O51,IF($C$1=2015,'Portfolio Inputs'!$P51,'Portfolio Inputs'!$Q51))</f>
        <v>15</v>
      </c>
      <c r="M52" s="518">
        <f>VLOOKUP($B52,Sources!$B$4:$K$104,10,FALSE)</f>
        <v>0</v>
      </c>
      <c r="N52" s="419">
        <f>IF($C$1=2014,'Portfolio Inputs'!$W51,IF($C$1=2015,'Portfolio Inputs'!$X51,'Portfolio Inputs'!$Y51))</f>
        <v>117</v>
      </c>
      <c r="O52" s="419">
        <f>IF($C$1=2014,'Portfolio Inputs'!$AA51,IF($C$1=2015,'Portfolio Inputs'!$AB51,'Portfolio Inputs'!$AC51))</f>
        <v>0</v>
      </c>
      <c r="Q52" s="438">
        <f t="shared" si="67"/>
        <v>1.5940415116966369</v>
      </c>
      <c r="R52" s="439">
        <f t="shared" si="68"/>
        <v>2.6567358528277283</v>
      </c>
      <c r="S52" s="439">
        <f t="shared" si="69"/>
        <v>1.9850887596537281</v>
      </c>
      <c r="T52" s="439">
        <f t="shared" si="70"/>
        <v>4.5528506612848449</v>
      </c>
      <c r="U52" s="439">
        <f t="shared" si="98"/>
        <v>4.5528506612848449</v>
      </c>
      <c r="V52" s="439">
        <f t="shared" si="72"/>
        <v>0.35011943731244366</v>
      </c>
      <c r="W52" s="439">
        <f t="shared" si="73"/>
        <v>0.35011943731244366</v>
      </c>
      <c r="Y52" s="215">
        <f t="shared" si="4"/>
        <v>285.59178131279327</v>
      </c>
      <c r="Z52" s="215">
        <f t="shared" si="5"/>
        <v>70.060835493966167</v>
      </c>
      <c r="AA52" s="215">
        <f t="shared" si="6"/>
        <v>708.20091781564201</v>
      </c>
      <c r="AB52" s="215">
        <f t="shared" si="7"/>
        <v>708.20091781564201</v>
      </c>
      <c r="AC52" s="216">
        <f t="shared" si="20"/>
        <v>0</v>
      </c>
      <c r="AD52" s="216">
        <f t="shared" si="21"/>
        <v>107.49724366041896</v>
      </c>
      <c r="AE52" s="215">
        <f t="shared" si="8"/>
        <v>179.16207276736495</v>
      </c>
      <c r="AG52" s="214">
        <f>IF(AND(($E52+$C$1)&gt;AG$4,AG$4&gt;=$C$1),'General Inputs'!D$9*$H52,IF(AND(($D52+$C$1)&gt;AG$4,AG$4&gt;=$C$1),'General Inputs'!D$9*$G52,0))+IF(AND(($E52+$C$1)&gt;AG$4,AG$4&gt;=$C$1),'General Inputs'!D$10*$J52,IF(AND(($D52+$C$1)&gt;AG$4,AG$4&gt;=$C$1),'General Inputs'!D$10*$I52,0))</f>
        <v>0</v>
      </c>
      <c r="AH52" s="214">
        <f>IF(AND(($E52+$C$1)&gt;AH$4,AH$4&gt;=$C$1),'General Inputs'!E$9*$H52,IF(AND(($D52+$C$1)&gt;AH$4,AH$4&gt;=$C$1),'General Inputs'!E$9*$G52,0))+IF(AND(($E52+$C$1)&gt;AH$4,AH$4&gt;=$C$1),'General Inputs'!E$10*$J52,IF(AND(($D52+$C$1)&gt;AH$4,AH$4&gt;=$C$1),'General Inputs'!E$10*$I52,0))</f>
        <v>32.293784982822487</v>
      </c>
      <c r="AI52" s="214">
        <f>IF(AND(($E52+$C$1)&gt;AI$4,AI$4&gt;=$C$1),'General Inputs'!F$9*$H52,IF(AND(($D52+$C$1)&gt;AI$4,AI$4&gt;=$C$1),'General Inputs'!F$9*$G52,0))+IF(AND(($E52+$C$1)&gt;AI$4,AI$4&gt;=$C$1),'General Inputs'!F$10*$J52,IF(AND(($D52+$C$1)&gt;AI$4,AI$4&gt;=$C$1),'General Inputs'!F$10*$I52,0))</f>
        <v>32.778191757564819</v>
      </c>
      <c r="AJ52" s="214">
        <f>IF(AND(($E52+$C$1)&gt;AJ$4,AJ$4&gt;=$C$1),'General Inputs'!G$9*$H52,IF(AND(($D52+$C$1)&gt;AJ$4,AJ$4&gt;=$C$1),'General Inputs'!G$9*$G52,0))+IF(AND(($E52+$C$1)&gt;AJ$4,AJ$4&gt;=$C$1),'General Inputs'!G$10*$J52,IF(AND(($D52+$C$1)&gt;AJ$4,AJ$4&gt;=$C$1),'General Inputs'!G$10*$I52,0))</f>
        <v>33.269864633928286</v>
      </c>
      <c r="AK52" s="214">
        <f>IF(AND(($E52+$C$1)&gt;AK$4,AK$4&gt;=$C$1),'General Inputs'!H$9*$H52,IF(AND(($D52+$C$1)&gt;AK$4,AK$4&gt;=$C$1),'General Inputs'!H$9*$G52,0))+IF(AND(($E52+$C$1)&gt;AK$4,AK$4&gt;=$C$1),'General Inputs'!H$10*$J52,IF(AND(($D52+$C$1)&gt;AK$4,AK$4&gt;=$C$1),'General Inputs'!H$10*$I52,0))</f>
        <v>33.768912603437208</v>
      </c>
      <c r="AL52" s="214">
        <f>IF(AND(($E52+$C$1)&gt;AL$4,AL$4&gt;=$C$1),'General Inputs'!I$9*$H52,IF(AND(($D52+$C$1)&gt;AL$4,AL$4&gt;=$C$1),'General Inputs'!I$9*$G52,0))+IF(AND(($E52+$C$1)&gt;AL$4,AL$4&gt;=$C$1),'General Inputs'!I$10*$J52,IF(AND(($D52+$C$1)&gt;AL$4,AL$4&gt;=$C$1),'General Inputs'!I$10*$I52,0))</f>
        <v>34.275446292488766</v>
      </c>
      <c r="AM52" s="214">
        <f>IF(AND(($E52+$C$1)&gt;AM$4,AM$4&gt;=$C$1),'General Inputs'!J$9*$H52,IF(AND(($D52+$C$1)&gt;AM$4,AM$4&gt;=$C$1),'General Inputs'!J$9*$G52,0))+IF(AND(($E52+$C$1)&gt;AM$4,AM$4&gt;=$C$1),'General Inputs'!J$10*$J52,IF(AND(($D52+$C$1)&gt;AM$4,AM$4&gt;=$C$1),'General Inputs'!J$10*$I52,0))</f>
        <v>34.78957798687609</v>
      </c>
      <c r="AN52" s="214">
        <f>IF(AND(($E52+$C$1)&gt;AN$4,AN$4&gt;=$C$1),'General Inputs'!K$9*$H52,IF(AND(($D52+$C$1)&gt;AN$4,AN$4&gt;=$C$1),'General Inputs'!K$9*$G52,0))+IF(AND(($E52+$C$1)&gt;AN$4,AN$4&gt;=$C$1),'General Inputs'!K$10*$J52,IF(AND(($D52+$C$1)&gt;AN$4,AN$4&gt;=$C$1),'General Inputs'!K$10*$I52,0))</f>
        <v>35.311421656679222</v>
      </c>
      <c r="AO52" s="214">
        <f>IF(AND(($E52+$C$1)&gt;AO$4,AO$4&gt;=$C$1),'General Inputs'!L$9*$H52,IF(AND(($D52+$C$1)&gt;AO$4,AO$4&gt;=$C$1),'General Inputs'!L$9*$G52,0))+IF(AND(($E52+$C$1)&gt;AO$4,AO$4&gt;=$C$1),'General Inputs'!L$10*$J52,IF(AND(($D52+$C$1)&gt;AO$4,AO$4&gt;=$C$1),'General Inputs'!L$10*$I52,0))</f>
        <v>35.841092981529407</v>
      </c>
      <c r="AP52" s="214">
        <f>IF(AND(($E52+$C$1)&gt;AP$4,AP$4&gt;=$C$1),'General Inputs'!M$9*$H52,IF(AND(($D52+$C$1)&gt;AP$4,AP$4&gt;=$C$1),'General Inputs'!M$9*$G52,0))+IF(AND(($E52+$C$1)&gt;AP$4,AP$4&gt;=$C$1),'General Inputs'!M$10*$J52,IF(AND(($D52+$C$1)&gt;AP$4,AP$4&gt;=$C$1),'General Inputs'!M$10*$I52,0))</f>
        <v>36.378709376252345</v>
      </c>
      <c r="AQ52" s="214">
        <f>IF(AND(($E52+$C$1)&gt;AQ$4,AQ$4&gt;=$C$1),'General Inputs'!N$9*$H52,IF(AND(($D52+$C$1)&gt;AQ$4,AQ$4&gt;=$C$1),'General Inputs'!N$9*$G52,0))+IF(AND(($E52+$C$1)&gt;AQ$4,AQ$4&gt;=$C$1),'General Inputs'!N$10*$J52,IF(AND(($D52+$C$1)&gt;AQ$4,AQ$4&gt;=$C$1),'General Inputs'!N$10*$I52,0))</f>
        <v>36.924390016896126</v>
      </c>
      <c r="AR52" s="214">
        <f>IF(AND(($E52+$C$1)&gt;AR$4,AR$4&gt;=$C$1),'General Inputs'!O$9*$H52,IF(AND(($D52+$C$1)&gt;AR$4,AR$4&gt;=$C$1),'General Inputs'!O$9*$G52,0))+IF(AND(($E52+$C$1)&gt;AR$4,AR$4&gt;=$C$1),'General Inputs'!O$10*$J52,IF(AND(($D52+$C$1)&gt;AR$4,AR$4&gt;=$C$1),'General Inputs'!O$10*$I52,0))</f>
        <v>37.478255867149564</v>
      </c>
      <c r="AS52" s="214">
        <f>IF(AND(($E52+$C$1)&gt;AS$4,AS$4&gt;=$C$1),'General Inputs'!P$9*$H52,IF(AND(($D52+$C$1)&gt;AS$4,AS$4&gt;=$C$1),'General Inputs'!P$9*$G52,0))+IF(AND(($E52+$C$1)&gt;AS$4,AS$4&gt;=$C$1),'General Inputs'!P$10*$J52,IF(AND(($D52+$C$1)&gt;AS$4,AS$4&gt;=$C$1),'General Inputs'!P$10*$I52,0))</f>
        <v>38.040429705156804</v>
      </c>
      <c r="AT52" s="214">
        <f>IF(AND(($E52+$C$1)&gt;AT$4,AT$4&gt;=$C$1),'General Inputs'!Q$9*$H52,IF(AND(($D52+$C$1)&gt;AT$4,AT$4&gt;=$C$1),'General Inputs'!Q$9*$G52,0))+IF(AND(($E52+$C$1)&gt;AT$4,AT$4&gt;=$C$1),'General Inputs'!Q$10*$J52,IF(AND(($D52+$C$1)&gt;AT$4,AT$4&gt;=$C$1),'General Inputs'!Q$10*$I52,0))</f>
        <v>38.611036150734158</v>
      </c>
      <c r="AU52" s="214">
        <f>IF(AND(($E52+$C$1)&gt;AU$4,AU$4&gt;=$C$1),'General Inputs'!R$9*$H52,IF(AND(($D52+$C$1)&gt;AU$4,AU$4&gt;=$C$1),'General Inputs'!R$9*$G52,0))+IF(AND(($E52+$C$1)&gt;AU$4,AU$4&gt;=$C$1),'General Inputs'!R$10*$J52,IF(AND(($D52+$C$1)&gt;AU$4,AU$4&gt;=$C$1),'General Inputs'!R$10*$I52,0))</f>
        <v>39.190201692995167</v>
      </c>
      <c r="AV52" s="214">
        <f>IF(AND(($E52+$C$1)&gt;AV$4,AV$4&gt;=$C$1),'General Inputs'!S$9*$H52,IF(AND(($D52+$C$1)&gt;AV$4,AV$4&gt;=$C$1),'General Inputs'!S$9*$G52,0))+IF(AND(($E52+$C$1)&gt;AV$4,AV$4&gt;=$C$1),'General Inputs'!S$10*$J52,IF(AND(($D52+$C$1)&gt;AV$4,AV$4&gt;=$C$1),'General Inputs'!S$10*$I52,0))</f>
        <v>39.778054718390088</v>
      </c>
      <c r="AW52" s="214">
        <f>IF(AND(($E52+$C$1)&gt;AW$4,AW$4&gt;=$C$1),'General Inputs'!T$9*$H52,IF(AND(($D52+$C$1)&gt;AW$4,AW$4&gt;=$C$1),'General Inputs'!T$9*$G52,0))+IF(AND(($E52+$C$1)&gt;AW$4,AW$4&gt;=$C$1),'General Inputs'!T$10*$J52,IF(AND(($D52+$C$1)&gt;AW$4,AW$4&gt;=$C$1),'General Inputs'!T$10*$I52,0))</f>
        <v>0</v>
      </c>
      <c r="AX52" s="214">
        <f>IF(AND(($E52+$C$1)&gt;AX$4,AX$4&gt;=$C$1),'General Inputs'!U$9*$H52,IF(AND(($D52+$C$1)&gt;AX$4,AX$4&gt;=$C$1),'General Inputs'!U$9*$G52,0))+IF(AND(($E52+$C$1)&gt;AX$4,AX$4&gt;=$C$1),'General Inputs'!U$10*$J52,IF(AND(($D52+$C$1)&gt;AX$4,AX$4&gt;=$C$1),'General Inputs'!U$10*$I52,0))</f>
        <v>0</v>
      </c>
      <c r="AY52" s="214">
        <f>IF(AND(($E52+$C$1)&gt;AY$4,AY$4&gt;=$C$1),'General Inputs'!V$9*$H52,IF(AND(($D52+$C$1)&gt;AY$4,AY$4&gt;=$C$1),'General Inputs'!V$9*$G52,0))+IF(AND(($E52+$C$1)&gt;AY$4,AY$4&gt;=$C$1),'General Inputs'!V$10*$J52,IF(AND(($D52+$C$1)&gt;AY$4,AY$4&gt;=$C$1),'General Inputs'!V$10*$I52,0))</f>
        <v>0</v>
      </c>
      <c r="AZ52" s="214">
        <f>IF(AND(($E52+$C$1)&gt;AZ$4,AZ$4&gt;=$C$1),'General Inputs'!W$9*$H52,IF(AND(($D52+$C$1)&gt;AZ$4,AZ$4&gt;=$C$1),'General Inputs'!W$9*$G52,0))+IF(AND(($E52+$C$1)&gt;AZ$4,AZ$4&gt;=$C$1),'General Inputs'!W$10*$J52,IF(AND(($D52+$C$1)&gt;AZ$4,AZ$4&gt;=$C$1),'General Inputs'!W$10*$I52,0))</f>
        <v>0</v>
      </c>
      <c r="BB52" s="214">
        <f>IF(AND(($E52+$C$1)&gt;BB$4,BB$4&gt;=$C$1),'General Inputs'!D$11*$H52,IF(AND(($D52+$C$1)&gt;BB$4,BB$4&gt;=$C$1),'General Inputs'!D$11*$G52,0))</f>
        <v>0</v>
      </c>
      <c r="BC52" s="214">
        <f>IF(AND(($E52+$C$1)&gt;BC$4,BC$4&gt;=$C$1),'General Inputs'!E$11*$H52,IF(AND(($D52+$C$1)&gt;BC$4,BC$4&gt;=$C$1),'General Inputs'!E$11*$G52,0))</f>
        <v>8.6097401324999989</v>
      </c>
      <c r="BD52" s="214">
        <f>IF(AND(($E52+$C$1)&gt;BD$4,BD$4&gt;=$C$1),'General Inputs'!F$11*$H52,IF(AND(($D52+$C$1)&gt;BD$4,BD$4&gt;=$C$1),'General Inputs'!F$11*$G52,0))</f>
        <v>8.6097401324999989</v>
      </c>
      <c r="BE52" s="214">
        <f>IF(AND(($E52+$C$1)&gt;BE$4,BE$4&gt;=$C$1),'General Inputs'!G$11*$H52,IF(AND(($D52+$C$1)&gt;BE$4,BE$4&gt;=$C$1),'General Inputs'!G$11*$G52,0))</f>
        <v>8.6097401324999989</v>
      </c>
      <c r="BF52" s="214">
        <f>IF(AND(($E52+$C$1)&gt;BF$4,BF$4&gt;=$C$1),'General Inputs'!H$11*$H52,IF(AND(($D52+$C$1)&gt;BF$4,BF$4&gt;=$C$1),'General Inputs'!H$11*$G52,0))</f>
        <v>8.6097401324999989</v>
      </c>
      <c r="BG52" s="214">
        <f>IF(AND(($E52+$C$1)&gt;BG$4,BG$4&gt;=$C$1),'General Inputs'!I$11*$H52,IF(AND(($D52+$C$1)&gt;BG$4,BG$4&gt;=$C$1),'General Inputs'!I$11*$G52,0))</f>
        <v>8.6097401324999989</v>
      </c>
      <c r="BH52" s="214">
        <f>IF(AND(($E52+$C$1)&gt;BH$4,BH$4&gt;=$C$1),'General Inputs'!J$11*$H52,IF(AND(($D52+$C$1)&gt;BH$4,BH$4&gt;=$C$1),'General Inputs'!J$11*$G52,0))</f>
        <v>8.6097401324999989</v>
      </c>
      <c r="BI52" s="214">
        <f>IF(AND(($E52+$C$1)&gt;BI$4,BI$4&gt;=$C$1),'General Inputs'!K$11*$H52,IF(AND(($D52+$C$1)&gt;BI$4,BI$4&gt;=$C$1),'General Inputs'!K$11*$G52,0))</f>
        <v>8.6097401324999989</v>
      </c>
      <c r="BJ52" s="214">
        <f>IF(AND(($E52+$C$1)&gt;BJ$4,BJ$4&gt;=$C$1),'General Inputs'!L$11*$H52,IF(AND(($D52+$C$1)&gt;BJ$4,BJ$4&gt;=$C$1),'General Inputs'!L$11*$G52,0))</f>
        <v>8.6097401324999989</v>
      </c>
      <c r="BK52" s="214">
        <f>IF(AND(($E52+$C$1)&gt;BK$4,BK$4&gt;=$C$1),'General Inputs'!M$11*$H52,IF(AND(($D52+$C$1)&gt;BK$4,BK$4&gt;=$C$1),'General Inputs'!M$11*$G52,0))</f>
        <v>8.6097401324999989</v>
      </c>
      <c r="BL52" s="214">
        <f>IF(AND(($E52+$C$1)&gt;BL$4,BL$4&gt;=$C$1),'General Inputs'!N$11*$H52,IF(AND(($D52+$C$1)&gt;BL$4,BL$4&gt;=$C$1),'General Inputs'!N$11*$G52,0))</f>
        <v>8.6097401324999989</v>
      </c>
      <c r="BM52" s="214">
        <f>IF(AND(($E52+$C$1)&gt;BM$4,BM$4&gt;=$C$1),'General Inputs'!O$11*$H52,IF(AND(($D52+$C$1)&gt;BM$4,BM$4&gt;=$C$1),'General Inputs'!O$11*$G52,0))</f>
        <v>8.6097401324999989</v>
      </c>
      <c r="BN52" s="214">
        <f>IF(AND(($E52+$C$1)&gt;BN$4,BN$4&gt;=$C$1),'General Inputs'!P$11*$H52,IF(AND(($D52+$C$1)&gt;BN$4,BN$4&gt;=$C$1),'General Inputs'!P$11*$G52,0))</f>
        <v>8.6097401324999989</v>
      </c>
      <c r="BO52" s="214">
        <f>IF(AND(($E52+$C$1)&gt;BO$4,BO$4&gt;=$C$1),'General Inputs'!Q$11*$H52,IF(AND(($D52+$C$1)&gt;BO$4,BO$4&gt;=$C$1),'General Inputs'!Q$11*$G52,0))</f>
        <v>8.6097401324999989</v>
      </c>
      <c r="BP52" s="214">
        <f>IF(AND(($E52+$C$1)&gt;BP$4,BP$4&gt;=$C$1),'General Inputs'!R$11*$H52,IF(AND(($D52+$C$1)&gt;BP$4,BP$4&gt;=$C$1),'General Inputs'!R$11*$G52,0))</f>
        <v>8.6097401324999989</v>
      </c>
      <c r="BQ52" s="214">
        <f>IF(AND(($E52+$C$1)&gt;BQ$4,BQ$4&gt;=$C$1),'General Inputs'!S$11*$H52,IF(AND(($D52+$C$1)&gt;BQ$4,BQ$4&gt;=$C$1),'General Inputs'!S$11*$G52,0))</f>
        <v>8.6097401324999989</v>
      </c>
      <c r="BR52" s="214">
        <f>IF(AND(($E52+$C$1)&gt;BR$4,BR$4&gt;=$C$1),'General Inputs'!T$11*$H52,IF(AND(($D52+$C$1)&gt;BR$4,BR$4&gt;=$C$1),'General Inputs'!T$11*$G52,0))</f>
        <v>0</v>
      </c>
      <c r="BS52" s="214">
        <f>IF(AND(($E52+$C$1)&gt;BS$4,BS$4&gt;=$C$1),'General Inputs'!U$11*$H52,IF(AND(($D52+$C$1)&gt;BS$4,BS$4&gt;=$C$1),'General Inputs'!U$11*$G52,0))</f>
        <v>0</v>
      </c>
      <c r="BT52" s="214">
        <f>IF(AND(($E52+$C$1)&gt;BT$4,BT$4&gt;=$C$1),'General Inputs'!V$11*$H52,IF(AND(($D52+$C$1)&gt;BT$4,BT$4&gt;=$C$1),'General Inputs'!V$11*$G52,0))</f>
        <v>0</v>
      </c>
      <c r="BU52" s="214">
        <f>IF(AND(($E52+$C$1)&gt;BU$4,BU$4&gt;=$C$1),'General Inputs'!W$11*$H52,IF(AND(($D52+$C$1)&gt;BU$4,BU$4&gt;=$C$1),'General Inputs'!W$11*$G52,0))</f>
        <v>0</v>
      </c>
      <c r="BW52" s="214">
        <f>IF(AND(($E52+$C$1)&gt;BW$4,BW$4&gt;=$C$1),$H52,IF(AND(($D52+$C$1)&gt;BW$4,BW$4&gt;=$C$1),$G52,0))*IF($A52="Residential",'General Inputs'!D$14,'General Inputs'!D$19)</f>
        <v>0</v>
      </c>
      <c r="BX52" s="214">
        <f>IF(AND(($E52+$C$1)&gt;BX$4,BX$4&gt;=$C$1),$H52,IF(AND(($D52+$C$1)&gt;BX$4,BX$4&gt;=$C$1),$G52,0))*IF($A52="Residential",'General Inputs'!E$14,'General Inputs'!E$19)</f>
        <v>80.081044557536018</v>
      </c>
      <c r="BY52" s="214">
        <f>IF(AND(($E52+$C$1)&gt;BY$4,BY$4&gt;=$C$1),$H52,IF(AND(($D52+$C$1)&gt;BY$4,BY$4&gt;=$C$1),$G52,0))*IF($A52="Residential",'General Inputs'!F$14,'General Inputs'!F$19)</f>
        <v>81.282260225899066</v>
      </c>
      <c r="BZ52" s="214">
        <f>IF(AND(($E52+$C$1)&gt;BZ$4,BZ$4&gt;=$C$1),$H52,IF(AND(($D52+$C$1)&gt;BZ$4,BZ$4&gt;=$C$1),$G52,0))*IF($A52="Residential",'General Inputs'!G$14,'General Inputs'!G$19)</f>
        <v>82.501494129287536</v>
      </c>
      <c r="CA52" s="214">
        <f>IF(AND(($E52+$C$1)&gt;CA$4,CA$4&gt;=$C$1),$H52,IF(AND(($D52+$C$1)&gt;CA$4,CA$4&gt;=$C$1),$G52,0))*IF($A52="Residential",'General Inputs'!H$14,'General Inputs'!H$19)</f>
        <v>83.739016541226832</v>
      </c>
      <c r="CB52" s="214">
        <f>IF(AND(($E52+$C$1)&gt;CB$4,CB$4&gt;=$C$1),$H52,IF(AND(($D52+$C$1)&gt;CB$4,CB$4&gt;=$C$1),$G52,0))*IF($A52="Residential",'General Inputs'!I$14,'General Inputs'!I$19)</f>
        <v>84.995101789345227</v>
      </c>
      <c r="CC52" s="214">
        <f>IF(AND(($E52+$C$1)&gt;CC$4,CC$4&gt;=$C$1),$H52,IF(AND(($D52+$C$1)&gt;CC$4,CC$4&gt;=$C$1),$G52,0))*IF($A52="Residential",'General Inputs'!J$14,'General Inputs'!J$19)</f>
        <v>86.270028316185403</v>
      </c>
      <c r="CD52" s="214">
        <f>IF(AND(($E52+$C$1)&gt;CD$4,CD$4&gt;=$C$1),$H52,IF(AND(($D52+$C$1)&gt;CD$4,CD$4&gt;=$C$1),$G52,0))*IF($A52="Residential",'General Inputs'!K$14,'General Inputs'!K$19)</f>
        <v>87.564078740928167</v>
      </c>
      <c r="CE52" s="214">
        <f>IF(AND(($E52+$C$1)&gt;CE$4,CE$4&gt;=$C$1),$H52,IF(AND(($D52+$C$1)&gt;CE$4,CE$4&gt;=$C$1),$G52,0))*IF($A52="Residential",'General Inputs'!L$14,'General Inputs'!L$19)</f>
        <v>88.877539922042075</v>
      </c>
      <c r="CF52" s="214">
        <f>IF(AND(($E52+$C$1)&gt;CF$4,CF$4&gt;=$C$1),$H52,IF(AND(($D52+$C$1)&gt;CF$4,CF$4&gt;=$C$1),$G52,0))*IF($A52="Residential",'General Inputs'!M$14,'General Inputs'!M$19)</f>
        <v>90.2107030208727</v>
      </c>
      <c r="CG52" s="214">
        <f>IF(AND(($E52+$C$1)&gt;CG$4,CG$4&gt;=$C$1),$H52,IF(AND(($D52+$C$1)&gt;CG$4,CG$4&gt;=$C$1),$G52,0))*IF($A52="Residential",'General Inputs'!N$14,'General Inputs'!N$19)</f>
        <v>91.563863566185788</v>
      </c>
      <c r="CH52" s="214">
        <f>IF(AND(($E52+$C$1)&gt;CH$4,CH$4&gt;=$C$1),$H52,IF(AND(($D52+$C$1)&gt;CH$4,CH$4&gt;=$C$1),$G52,0))*IF($A52="Residential",'General Inputs'!O$14,'General Inputs'!O$19)</f>
        <v>92.937321519678562</v>
      </c>
      <c r="CI52" s="214">
        <f>IF(AND(($E52+$C$1)&gt;CI$4,CI$4&gt;=$C$1),$H52,IF(AND(($D52+$C$1)&gt;CI$4,CI$4&gt;=$C$1),$G52,0))*IF($A52="Residential",'General Inputs'!P$14,'General Inputs'!P$19)</f>
        <v>94.331381342473733</v>
      </c>
      <c r="CJ52" s="214">
        <f>IF(AND(($E52+$C$1)&gt;CJ$4,CJ$4&gt;=$C$1),$H52,IF(AND(($D52+$C$1)&gt;CJ$4,CJ$4&gt;=$C$1),$G52,0))*IF($A52="Residential",'General Inputs'!Q$14,'General Inputs'!Q$19)</f>
        <v>95.746352062610839</v>
      </c>
      <c r="CK52" s="214">
        <f>IF(AND(($E52+$C$1)&gt;CK$4,CK$4&gt;=$C$1),$H52,IF(AND(($D52+$C$1)&gt;CK$4,CK$4&gt;=$C$1),$G52,0))*IF($A52="Residential",'General Inputs'!R$14,'General Inputs'!R$19)</f>
        <v>97.182547343549984</v>
      </c>
      <c r="CL52" s="214">
        <f>IF(AND(($E52+$C$1)&gt;CL$4,CL$4&gt;=$C$1),$H52,IF(AND(($D52+$C$1)&gt;CL$4,CL$4&gt;=$C$1),$G52,0))*IF($A52="Residential",'General Inputs'!S$14,'General Inputs'!S$19)</f>
        <v>98.640285553703237</v>
      </c>
      <c r="CM52" s="214">
        <f>IF(AND(($E52+$C$1)&gt;CM$4,CM$4&gt;=$C$1),$H52,IF(AND(($D52+$C$1)&gt;CM$4,CM$4&gt;=$C$1),$G52,0))*IF($A52="Residential",'General Inputs'!T$14,'General Inputs'!T$19)</f>
        <v>0</v>
      </c>
      <c r="CN52" s="214">
        <f>IF(AND(($E52+$C$1)&gt;CN$4,CN$4&gt;=$C$1),$H52,IF(AND(($D52+$C$1)&gt;CN$4,CN$4&gt;=$C$1),$G52,0))*IF($A52="Residential",'General Inputs'!U$14,'General Inputs'!U$19)</f>
        <v>0</v>
      </c>
      <c r="CO52" s="214">
        <f>IF(AND(($E52+$C$1)&gt;CO$4,CO$4&gt;=$C$1),$H52,IF(AND(($D52+$C$1)&gt;CO$4,CO$4&gt;=$C$1),$G52,0))*IF($A52="Residential",'General Inputs'!V$14,'General Inputs'!V$19)</f>
        <v>0</v>
      </c>
      <c r="CP52" s="214">
        <f>IF(AND(($E52+$C$1)&gt;CP$4,CP$4&gt;=$C$1),$H52,IF(AND(($D52+$C$1)&gt;CP$4,CP$4&gt;=$C$1),$G52,0))*IF($A52="Residential",'General Inputs'!W$14,'General Inputs'!W$19)</f>
        <v>0</v>
      </c>
      <c r="CR52" s="214">
        <f>IF(AND(($E52+$C$1)&gt;CR$4,CR$4&gt;=$C$1),$H52,IF(AND(($D52+$C$1)&gt;CR$4,CR$4&gt;=$C$1),$G52,0))*IF($A52="Residential",'General Inputs'!D$15,'General Inputs'!D$19)</f>
        <v>0</v>
      </c>
      <c r="CS52" s="214">
        <f>IF(AND(($E52+$C$1)&gt;CS$4,CS$4&gt;=$C$1),$H52,IF(AND(($D52+$C$1)&gt;CS$4,CS$4&gt;=$C$1),$G52,0))*IF($A52="Residential",'General Inputs'!E$15,'General Inputs'!E$19)</f>
        <v>80.081044557536018</v>
      </c>
      <c r="CT52" s="214">
        <f>IF(AND(($E52+$C$1)&gt;CT$4,CT$4&gt;=$C$1),$H52,IF(AND(($D52+$C$1)&gt;CT$4,CT$4&gt;=$C$1),$G52,0))*IF($A52="Residential",'General Inputs'!F$15,'General Inputs'!F$19)</f>
        <v>81.282260225899066</v>
      </c>
      <c r="CU52" s="214">
        <f>IF(AND(($E52+$C$1)&gt;CU$4,CU$4&gt;=$C$1),$H52,IF(AND(($D52+$C$1)&gt;CU$4,CU$4&gt;=$C$1),$G52,0))*IF($A52="Residential",'General Inputs'!G$15,'General Inputs'!G$19)</f>
        <v>82.501494129287536</v>
      </c>
      <c r="CV52" s="214">
        <f>IF(AND(($E52+$C$1)&gt;CV$4,CV$4&gt;=$C$1),$H52,IF(AND(($D52+$C$1)&gt;CV$4,CV$4&gt;=$C$1),$G52,0))*IF($A52="Residential",'General Inputs'!H$15,'General Inputs'!H$19)</f>
        <v>83.739016541226832</v>
      </c>
      <c r="CW52" s="214">
        <f>IF(AND(($E52+$C$1)&gt;CW$4,CW$4&gt;=$C$1),$H52,IF(AND(($D52+$C$1)&gt;CW$4,CW$4&gt;=$C$1),$G52,0))*IF($A52="Residential",'General Inputs'!I$15,'General Inputs'!I$19)</f>
        <v>84.995101789345227</v>
      </c>
      <c r="CX52" s="214">
        <f>IF(AND(($E52+$C$1)&gt;CX$4,CX$4&gt;=$C$1),$H52,IF(AND(($D52+$C$1)&gt;CX$4,CX$4&gt;=$C$1),$G52,0))*IF($A52="Residential",'General Inputs'!J$15,'General Inputs'!J$19)</f>
        <v>86.270028316185403</v>
      </c>
      <c r="CY52" s="214">
        <f>IF(AND(($E52+$C$1)&gt;CY$4,CY$4&gt;=$C$1),$H52,IF(AND(($D52+$C$1)&gt;CY$4,CY$4&gt;=$C$1),$G52,0))*IF($A52="Residential",'General Inputs'!K$15,'General Inputs'!K$19)</f>
        <v>87.564078740928167</v>
      </c>
      <c r="CZ52" s="214">
        <f>IF(AND(($E52+$C$1)&gt;CZ$4,CZ$4&gt;=$C$1),$H52,IF(AND(($D52+$C$1)&gt;CZ$4,CZ$4&gt;=$C$1),$G52,0))*IF($A52="Residential",'General Inputs'!L$15,'General Inputs'!L$19)</f>
        <v>88.877539922042075</v>
      </c>
      <c r="DA52" s="214">
        <f>IF(AND(($E52+$C$1)&gt;DA$4,DA$4&gt;=$C$1),$H52,IF(AND(($D52+$C$1)&gt;DA$4,DA$4&gt;=$C$1),$G52,0))*IF($A52="Residential",'General Inputs'!M$15,'General Inputs'!M$19)</f>
        <v>90.2107030208727</v>
      </c>
      <c r="DB52" s="214">
        <f>IF(AND(($E52+$C$1)&gt;DB$4,DB$4&gt;=$C$1),$H52,IF(AND(($D52+$C$1)&gt;DB$4,DB$4&gt;=$C$1),$G52,0))*IF($A52="Residential",'General Inputs'!N$15,'General Inputs'!N$19)</f>
        <v>91.563863566185788</v>
      </c>
      <c r="DC52" s="214">
        <f>IF(AND(($E52+$C$1)&gt;DC$4,DC$4&gt;=$C$1),$H52,IF(AND(($D52+$C$1)&gt;DC$4,DC$4&gt;=$C$1),$G52,0))*IF($A52="Residential",'General Inputs'!O$15,'General Inputs'!O$19)</f>
        <v>92.937321519678562</v>
      </c>
      <c r="DD52" s="214">
        <f>IF(AND(($E52+$C$1)&gt;DD$4,DD$4&gt;=$C$1),$H52,IF(AND(($D52+$C$1)&gt;DD$4,DD$4&gt;=$C$1),$G52,0))*IF($A52="Residential",'General Inputs'!P$15,'General Inputs'!P$19)</f>
        <v>94.331381342473733</v>
      </c>
      <c r="DE52" s="214">
        <f>IF(AND(($E52+$C$1)&gt;DE$4,DE$4&gt;=$C$1),$H52,IF(AND(($D52+$C$1)&gt;DE$4,DE$4&gt;=$C$1),$G52,0))*IF($A52="Residential",'General Inputs'!Q$15,'General Inputs'!Q$19)</f>
        <v>95.746352062610839</v>
      </c>
      <c r="DF52" s="214">
        <f>IF(AND(($E52+$C$1)&gt;DF$4,DF$4&gt;=$C$1),$H52,IF(AND(($D52+$C$1)&gt;DF$4,DF$4&gt;=$C$1),$G52,0))*IF($A52="Residential",'General Inputs'!R$15,'General Inputs'!R$19)</f>
        <v>97.182547343549984</v>
      </c>
      <c r="DG52" s="214">
        <f>IF(AND(($E52+$C$1)&gt;DG$4,DG$4&gt;=$C$1),$H52,IF(AND(($D52+$C$1)&gt;DG$4,DG$4&gt;=$C$1),$G52,0))*IF($A52="Residential",'General Inputs'!S$15,'General Inputs'!S$19)</f>
        <v>98.640285553703237</v>
      </c>
      <c r="DH52" s="214">
        <f>IF(AND(($E52+$C$1)&gt;DH$4,DH$4&gt;=$C$1),$H52,IF(AND(($D52+$C$1)&gt;DH$4,DH$4&gt;=$C$1),$G52,0))*IF($A52="Residential",'General Inputs'!T$15,'General Inputs'!T$19)</f>
        <v>0</v>
      </c>
      <c r="DI52" s="214">
        <f>IF(AND(($E52+$C$1)&gt;DI$4,DI$4&gt;=$C$1),$H52,IF(AND(($D52+$C$1)&gt;DI$4,DI$4&gt;=$C$1),$G52,0))*IF($A52="Residential",'General Inputs'!U$15,'General Inputs'!U$19)</f>
        <v>0</v>
      </c>
      <c r="DJ52" s="214">
        <f>IF(AND(($E52+$C$1)&gt;DJ$4,DJ$4&gt;=$C$1),$H52,IF(AND(($D52+$C$1)&gt;DJ$4,DJ$4&gt;=$C$1),$G52,0))*IF($A52="Residential",'General Inputs'!V$15,'General Inputs'!V$19)</f>
        <v>0</v>
      </c>
      <c r="DK52" s="214">
        <f>IF(AND(($E52+$C$1)&gt;DK$4,DK$4&gt;=$C$1),$H52,IF(AND(($D52+$C$1)&gt;DK$4,DK$4&gt;=$C$1),$G52,0))*IF($A52="Residential",'General Inputs'!W$15,'General Inputs'!W$19)</f>
        <v>0</v>
      </c>
      <c r="DM52" s="214">
        <f t="shared" si="99"/>
        <v>0</v>
      </c>
      <c r="DN52" s="214">
        <f t="shared" si="99"/>
        <v>195</v>
      </c>
      <c r="DO52" s="214">
        <f t="shared" si="99"/>
        <v>0</v>
      </c>
      <c r="DP52" s="214">
        <f t="shared" si="99"/>
        <v>0</v>
      </c>
      <c r="DQ52" s="214">
        <f t="shared" si="99"/>
        <v>0</v>
      </c>
      <c r="DR52" s="214">
        <f t="shared" si="99"/>
        <v>0</v>
      </c>
      <c r="DS52" s="214">
        <f t="shared" si="99"/>
        <v>0</v>
      </c>
      <c r="DT52" s="214">
        <f t="shared" si="99"/>
        <v>0</v>
      </c>
      <c r="DU52" s="214">
        <f t="shared" si="99"/>
        <v>0</v>
      </c>
      <c r="DV52" s="214">
        <f t="shared" si="99"/>
        <v>0</v>
      </c>
      <c r="DW52" s="214">
        <f t="shared" si="99"/>
        <v>0</v>
      </c>
      <c r="DZ52" s="650"/>
      <c r="FI52" s="195"/>
      <c r="FJ52" s="195"/>
      <c r="FK52" s="195"/>
      <c r="FL52" s="195"/>
      <c r="FM52" s="195"/>
      <c r="FN52" s="195"/>
      <c r="FO52" s="195"/>
    </row>
    <row r="53" spans="1:171">
      <c r="A53" s="342" t="s">
        <v>112</v>
      </c>
      <c r="B53" s="427" t="str">
        <f>'Portfolio Inputs'!A52</f>
        <v>High Performance T8 (3-4 Lamp)</v>
      </c>
      <c r="C53" s="217">
        <f>IF($C$1=2014,'Portfolio Inputs'!$C52,IF($C$1=2015,'Portfolio Inputs'!$D52,'Portfolio Inputs'!$E52))</f>
        <v>13</v>
      </c>
      <c r="D53" s="504">
        <f>VLOOKUP(B53,Sources!$B$4:$J$104,2,FALSE)</f>
        <v>15</v>
      </c>
      <c r="E53" s="504">
        <f>VLOOKUP(B53,Sources!$B$4:$J$104,3,FALSE)</f>
        <v>0</v>
      </c>
      <c r="G53" s="504">
        <f>IF($C$1=2014,'Portfolio Inputs'!$G52,IF($C$1=2015,'Portfolio Inputs'!$H52,'Portfolio Inputs'!$I52))*EnergyLineLoss</f>
        <v>1208.3845799999999</v>
      </c>
      <c r="H53" s="504"/>
      <c r="I53" s="595">
        <f>IF($C$1=2014,'Portfolio Inputs'!$K52,IF($C$1=2015,'Portfolio Inputs'!$L52,'Portfolio Inputs'!$M52))*PeakLineLoss</f>
        <v>0.18685180800000001</v>
      </c>
      <c r="J53" s="510"/>
      <c r="L53" s="606">
        <f>IF($C$1=2014,'Portfolio Inputs'!$O52,IF($C$1=2015,'Portfolio Inputs'!$P52,'Portfolio Inputs'!$Q52))</f>
        <v>18</v>
      </c>
      <c r="M53" s="518">
        <f>VLOOKUP($B53,Sources!$B$4:$K$104,10,FALSE)</f>
        <v>0</v>
      </c>
      <c r="N53" s="419">
        <f>IF($C$1=2014,'Portfolio Inputs'!$W52,IF($C$1=2015,'Portfolio Inputs'!$X52,'Portfolio Inputs'!$Y52))</f>
        <v>234</v>
      </c>
      <c r="O53" s="419">
        <f>IF($C$1=2014,'Portfolio Inputs'!$AA52,IF($C$1=2015,'Portfolio Inputs'!$AB52,'Portfolio Inputs'!$AC52))</f>
        <v>0</v>
      </c>
      <c r="Q53" s="438">
        <f t="shared" si="67"/>
        <v>2.1253886822621824</v>
      </c>
      <c r="R53" s="439">
        <f t="shared" si="68"/>
        <v>2.1253886822621824</v>
      </c>
      <c r="S53" s="439">
        <f t="shared" si="69"/>
        <v>2.6467850128716375</v>
      </c>
      <c r="T53" s="439">
        <f t="shared" si="70"/>
        <v>6.270467548379794</v>
      </c>
      <c r="U53" s="439">
        <f t="shared" si="98"/>
        <v>6.270467548379794</v>
      </c>
      <c r="V53" s="439">
        <f t="shared" si="72"/>
        <v>0.33895218591974929</v>
      </c>
      <c r="W53" s="439">
        <f t="shared" si="73"/>
        <v>0.33895218591974929</v>
      </c>
      <c r="Y53" s="215">
        <f t="shared" si="4"/>
        <v>456.94685010046919</v>
      </c>
      <c r="Z53" s="215">
        <f t="shared" si="5"/>
        <v>112.09733679034589</v>
      </c>
      <c r="AA53" s="215">
        <f t="shared" si="6"/>
        <v>1133.1214685050275</v>
      </c>
      <c r="AB53" s="215">
        <f t="shared" si="7"/>
        <v>1133.1214685050275</v>
      </c>
      <c r="AC53" s="216">
        <f t="shared" si="20"/>
        <v>0</v>
      </c>
      <c r="AD53" s="216">
        <f t="shared" si="21"/>
        <v>214.99448732083792</v>
      </c>
      <c r="AE53" s="215">
        <f t="shared" si="8"/>
        <v>214.99448732083792</v>
      </c>
      <c r="AG53" s="214">
        <f>IF(AND(($E53+$C$1)&gt;AG$4,AG$4&gt;=$C$1),'General Inputs'!D$9*$H53,IF(AND(($D53+$C$1)&gt;AG$4,AG$4&gt;=$C$1),'General Inputs'!D$9*$G53,0))+IF(AND(($E53+$C$1)&gt;AG$4,AG$4&gt;=$C$1),'General Inputs'!D$10*$J53,IF(AND(($D53+$C$1)&gt;AG$4,AG$4&gt;=$C$1),'General Inputs'!D$10*$I53,0))</f>
        <v>0</v>
      </c>
      <c r="AH53" s="214">
        <f>IF(AND(($E53+$C$1)&gt;AH$4,AH$4&gt;=$C$1),'General Inputs'!E$9*$H53,IF(AND(($D53+$C$1)&gt;AH$4,AH$4&gt;=$C$1),'General Inputs'!E$9*$G53,0))+IF(AND(($E53+$C$1)&gt;AH$4,AH$4&gt;=$C$1),'General Inputs'!E$10*$J53,IF(AND(($D53+$C$1)&gt;AH$4,AH$4&gt;=$C$1),'General Inputs'!E$10*$I53,0))</f>
        <v>51.670055972515975</v>
      </c>
      <c r="AI53" s="214">
        <f>IF(AND(($E53+$C$1)&gt;AI$4,AI$4&gt;=$C$1),'General Inputs'!F$9*$H53,IF(AND(($D53+$C$1)&gt;AI$4,AI$4&gt;=$C$1),'General Inputs'!F$9*$G53,0))+IF(AND(($E53+$C$1)&gt;AI$4,AI$4&gt;=$C$1),'General Inputs'!F$10*$J53,IF(AND(($D53+$C$1)&gt;AI$4,AI$4&gt;=$C$1),'General Inputs'!F$10*$I53,0))</f>
        <v>52.445106812103717</v>
      </c>
      <c r="AJ53" s="214">
        <f>IF(AND(($E53+$C$1)&gt;AJ$4,AJ$4&gt;=$C$1),'General Inputs'!G$9*$H53,IF(AND(($D53+$C$1)&gt;AJ$4,AJ$4&gt;=$C$1),'General Inputs'!G$9*$G53,0))+IF(AND(($E53+$C$1)&gt;AJ$4,AJ$4&gt;=$C$1),'General Inputs'!G$10*$J53,IF(AND(($D53+$C$1)&gt;AJ$4,AJ$4&gt;=$C$1),'General Inputs'!G$10*$I53,0))</f>
        <v>53.23178341428526</v>
      </c>
      <c r="AK53" s="214">
        <f>IF(AND(($E53+$C$1)&gt;AK$4,AK$4&gt;=$C$1),'General Inputs'!H$9*$H53,IF(AND(($D53+$C$1)&gt;AK$4,AK$4&gt;=$C$1),'General Inputs'!H$9*$G53,0))+IF(AND(($E53+$C$1)&gt;AK$4,AK$4&gt;=$C$1),'General Inputs'!H$10*$J53,IF(AND(($D53+$C$1)&gt;AK$4,AK$4&gt;=$C$1),'General Inputs'!H$10*$I53,0))</f>
        <v>54.030260165499534</v>
      </c>
      <c r="AL53" s="214">
        <f>IF(AND(($E53+$C$1)&gt;AL$4,AL$4&gt;=$C$1),'General Inputs'!I$9*$H53,IF(AND(($D53+$C$1)&gt;AL$4,AL$4&gt;=$C$1),'General Inputs'!I$9*$G53,0))+IF(AND(($E53+$C$1)&gt;AL$4,AL$4&gt;=$C$1),'General Inputs'!I$10*$J53,IF(AND(($D53+$C$1)&gt;AL$4,AL$4&gt;=$C$1),'General Inputs'!I$10*$I53,0))</f>
        <v>54.84071406798202</v>
      </c>
      <c r="AM53" s="214">
        <f>IF(AND(($E53+$C$1)&gt;AM$4,AM$4&gt;=$C$1),'General Inputs'!J$9*$H53,IF(AND(($D53+$C$1)&gt;AM$4,AM$4&gt;=$C$1),'General Inputs'!J$9*$G53,0))+IF(AND(($E53+$C$1)&gt;AM$4,AM$4&gt;=$C$1),'General Inputs'!J$10*$J53,IF(AND(($D53+$C$1)&gt;AM$4,AM$4&gt;=$C$1),'General Inputs'!J$10*$I53,0))</f>
        <v>55.663324779001741</v>
      </c>
      <c r="AN53" s="214">
        <f>IF(AND(($E53+$C$1)&gt;AN$4,AN$4&gt;=$C$1),'General Inputs'!K$9*$H53,IF(AND(($D53+$C$1)&gt;AN$4,AN$4&gt;=$C$1),'General Inputs'!K$9*$G53,0))+IF(AND(($E53+$C$1)&gt;AN$4,AN$4&gt;=$C$1),'General Inputs'!K$10*$J53,IF(AND(($D53+$C$1)&gt;AN$4,AN$4&gt;=$C$1),'General Inputs'!K$10*$I53,0))</f>
        <v>56.498274650686753</v>
      </c>
      <c r="AO53" s="214">
        <f>IF(AND(($E53+$C$1)&gt;AO$4,AO$4&gt;=$C$1),'General Inputs'!L$9*$H53,IF(AND(($D53+$C$1)&gt;AO$4,AO$4&gt;=$C$1),'General Inputs'!L$9*$G53,0))+IF(AND(($E53+$C$1)&gt;AO$4,AO$4&gt;=$C$1),'General Inputs'!L$10*$J53,IF(AND(($D53+$C$1)&gt;AO$4,AO$4&gt;=$C$1),'General Inputs'!L$10*$I53,0))</f>
        <v>57.345748770447052</v>
      </c>
      <c r="AP53" s="214">
        <f>IF(AND(($E53+$C$1)&gt;AP$4,AP$4&gt;=$C$1),'General Inputs'!M$9*$H53,IF(AND(($D53+$C$1)&gt;AP$4,AP$4&gt;=$C$1),'General Inputs'!M$9*$G53,0))+IF(AND(($E53+$C$1)&gt;AP$4,AP$4&gt;=$C$1),'General Inputs'!M$10*$J53,IF(AND(($D53+$C$1)&gt;AP$4,AP$4&gt;=$C$1),'General Inputs'!M$10*$I53,0))</f>
        <v>58.205935002003748</v>
      </c>
      <c r="AQ53" s="214">
        <f>IF(AND(($E53+$C$1)&gt;AQ$4,AQ$4&gt;=$C$1),'General Inputs'!N$9*$H53,IF(AND(($D53+$C$1)&gt;AQ$4,AQ$4&gt;=$C$1),'General Inputs'!N$9*$G53,0))+IF(AND(($E53+$C$1)&gt;AQ$4,AQ$4&gt;=$C$1),'General Inputs'!N$10*$J53,IF(AND(($D53+$C$1)&gt;AQ$4,AQ$4&gt;=$C$1),'General Inputs'!N$10*$I53,0))</f>
        <v>59.079024027033803</v>
      </c>
      <c r="AR53" s="214">
        <f>IF(AND(($E53+$C$1)&gt;AR$4,AR$4&gt;=$C$1),'General Inputs'!O$9*$H53,IF(AND(($D53+$C$1)&gt;AR$4,AR$4&gt;=$C$1),'General Inputs'!O$9*$G53,0))+IF(AND(($E53+$C$1)&gt;AR$4,AR$4&gt;=$C$1),'General Inputs'!O$10*$J53,IF(AND(($D53+$C$1)&gt;AR$4,AR$4&gt;=$C$1),'General Inputs'!O$10*$I53,0))</f>
        <v>59.965209387439309</v>
      </c>
      <c r="AS53" s="214">
        <f>IF(AND(($E53+$C$1)&gt;AS$4,AS$4&gt;=$C$1),'General Inputs'!P$9*$H53,IF(AND(($D53+$C$1)&gt;AS$4,AS$4&gt;=$C$1),'General Inputs'!P$9*$G53,0))+IF(AND(($E53+$C$1)&gt;AS$4,AS$4&gt;=$C$1),'General Inputs'!P$10*$J53,IF(AND(($D53+$C$1)&gt;AS$4,AS$4&gt;=$C$1),'General Inputs'!P$10*$I53,0))</f>
        <v>60.864687528250883</v>
      </c>
      <c r="AT53" s="214">
        <f>IF(AND(($E53+$C$1)&gt;AT$4,AT$4&gt;=$C$1),'General Inputs'!Q$9*$H53,IF(AND(($D53+$C$1)&gt;AT$4,AT$4&gt;=$C$1),'General Inputs'!Q$9*$G53,0))+IF(AND(($E53+$C$1)&gt;AT$4,AT$4&gt;=$C$1),'General Inputs'!Q$10*$J53,IF(AND(($D53+$C$1)&gt;AT$4,AT$4&gt;=$C$1),'General Inputs'!Q$10*$I53,0))</f>
        <v>61.777657841174644</v>
      </c>
      <c r="AU53" s="214">
        <f>IF(AND(($E53+$C$1)&gt;AU$4,AU$4&gt;=$C$1),'General Inputs'!R$9*$H53,IF(AND(($D53+$C$1)&gt;AU$4,AU$4&gt;=$C$1),'General Inputs'!R$9*$G53,0))+IF(AND(($E53+$C$1)&gt;AU$4,AU$4&gt;=$C$1),'General Inputs'!R$10*$J53,IF(AND(($D53+$C$1)&gt;AU$4,AU$4&gt;=$C$1),'General Inputs'!R$10*$I53,0))</f>
        <v>62.704322708792262</v>
      </c>
      <c r="AV53" s="214">
        <f>IF(AND(($E53+$C$1)&gt;AV$4,AV$4&gt;=$C$1),'General Inputs'!S$9*$H53,IF(AND(($D53+$C$1)&gt;AV$4,AV$4&gt;=$C$1),'General Inputs'!S$9*$G53,0))+IF(AND(($E53+$C$1)&gt;AV$4,AV$4&gt;=$C$1),'General Inputs'!S$10*$J53,IF(AND(($D53+$C$1)&gt;AV$4,AV$4&gt;=$C$1),'General Inputs'!S$10*$I53,0))</f>
        <v>63.644887549424141</v>
      </c>
      <c r="AW53" s="214">
        <f>IF(AND(($E53+$C$1)&gt;AW$4,AW$4&gt;=$C$1),'General Inputs'!T$9*$H53,IF(AND(($D53+$C$1)&gt;AW$4,AW$4&gt;=$C$1),'General Inputs'!T$9*$G53,0))+IF(AND(($E53+$C$1)&gt;AW$4,AW$4&gt;=$C$1),'General Inputs'!T$10*$J53,IF(AND(($D53+$C$1)&gt;AW$4,AW$4&gt;=$C$1),'General Inputs'!T$10*$I53,0))</f>
        <v>0</v>
      </c>
      <c r="AX53" s="214">
        <f>IF(AND(($E53+$C$1)&gt;AX$4,AX$4&gt;=$C$1),'General Inputs'!U$9*$H53,IF(AND(($D53+$C$1)&gt;AX$4,AX$4&gt;=$C$1),'General Inputs'!U$9*$G53,0))+IF(AND(($E53+$C$1)&gt;AX$4,AX$4&gt;=$C$1),'General Inputs'!U$10*$J53,IF(AND(($D53+$C$1)&gt;AX$4,AX$4&gt;=$C$1),'General Inputs'!U$10*$I53,0))</f>
        <v>0</v>
      </c>
      <c r="AY53" s="214">
        <f>IF(AND(($E53+$C$1)&gt;AY$4,AY$4&gt;=$C$1),'General Inputs'!V$9*$H53,IF(AND(($D53+$C$1)&gt;AY$4,AY$4&gt;=$C$1),'General Inputs'!V$9*$G53,0))+IF(AND(($E53+$C$1)&gt;AY$4,AY$4&gt;=$C$1),'General Inputs'!V$10*$J53,IF(AND(($D53+$C$1)&gt;AY$4,AY$4&gt;=$C$1),'General Inputs'!V$10*$I53,0))</f>
        <v>0</v>
      </c>
      <c r="AZ53" s="214">
        <f>IF(AND(($E53+$C$1)&gt;AZ$4,AZ$4&gt;=$C$1),'General Inputs'!W$9*$H53,IF(AND(($D53+$C$1)&gt;AZ$4,AZ$4&gt;=$C$1),'General Inputs'!W$9*$G53,0))+IF(AND(($E53+$C$1)&gt;AZ$4,AZ$4&gt;=$C$1),'General Inputs'!W$10*$J53,IF(AND(($D53+$C$1)&gt;AZ$4,AZ$4&gt;=$C$1),'General Inputs'!W$10*$I53,0))</f>
        <v>0</v>
      </c>
      <c r="BB53" s="214">
        <f>IF(AND(($E53+$C$1)&gt;BB$4,BB$4&gt;=$C$1),'General Inputs'!D$11*$H53,IF(AND(($D53+$C$1)&gt;BB$4,BB$4&gt;=$C$1),'General Inputs'!D$11*$G53,0))</f>
        <v>0</v>
      </c>
      <c r="BC53" s="214">
        <f>IF(AND(($E53+$C$1)&gt;BC$4,BC$4&gt;=$C$1),'General Inputs'!E$11*$H53,IF(AND(($D53+$C$1)&gt;BC$4,BC$4&gt;=$C$1),'General Inputs'!E$11*$G53,0))</f>
        <v>13.775584212</v>
      </c>
      <c r="BD53" s="214">
        <f>IF(AND(($E53+$C$1)&gt;BD$4,BD$4&gt;=$C$1),'General Inputs'!F$11*$H53,IF(AND(($D53+$C$1)&gt;BD$4,BD$4&gt;=$C$1),'General Inputs'!F$11*$G53,0))</f>
        <v>13.775584212</v>
      </c>
      <c r="BE53" s="214">
        <f>IF(AND(($E53+$C$1)&gt;BE$4,BE$4&gt;=$C$1),'General Inputs'!G$11*$H53,IF(AND(($D53+$C$1)&gt;BE$4,BE$4&gt;=$C$1),'General Inputs'!G$11*$G53,0))</f>
        <v>13.775584212</v>
      </c>
      <c r="BF53" s="214">
        <f>IF(AND(($E53+$C$1)&gt;BF$4,BF$4&gt;=$C$1),'General Inputs'!H$11*$H53,IF(AND(($D53+$C$1)&gt;BF$4,BF$4&gt;=$C$1),'General Inputs'!H$11*$G53,0))</f>
        <v>13.775584212</v>
      </c>
      <c r="BG53" s="214">
        <f>IF(AND(($E53+$C$1)&gt;BG$4,BG$4&gt;=$C$1),'General Inputs'!I$11*$H53,IF(AND(($D53+$C$1)&gt;BG$4,BG$4&gt;=$C$1),'General Inputs'!I$11*$G53,0))</f>
        <v>13.775584212</v>
      </c>
      <c r="BH53" s="214">
        <f>IF(AND(($E53+$C$1)&gt;BH$4,BH$4&gt;=$C$1),'General Inputs'!J$11*$H53,IF(AND(($D53+$C$1)&gt;BH$4,BH$4&gt;=$C$1),'General Inputs'!J$11*$G53,0))</f>
        <v>13.775584212</v>
      </c>
      <c r="BI53" s="214">
        <f>IF(AND(($E53+$C$1)&gt;BI$4,BI$4&gt;=$C$1),'General Inputs'!K$11*$H53,IF(AND(($D53+$C$1)&gt;BI$4,BI$4&gt;=$C$1),'General Inputs'!K$11*$G53,0))</f>
        <v>13.775584212</v>
      </c>
      <c r="BJ53" s="214">
        <f>IF(AND(($E53+$C$1)&gt;BJ$4,BJ$4&gt;=$C$1),'General Inputs'!L$11*$H53,IF(AND(($D53+$C$1)&gt;BJ$4,BJ$4&gt;=$C$1),'General Inputs'!L$11*$G53,0))</f>
        <v>13.775584212</v>
      </c>
      <c r="BK53" s="214">
        <f>IF(AND(($E53+$C$1)&gt;BK$4,BK$4&gt;=$C$1),'General Inputs'!M$11*$H53,IF(AND(($D53+$C$1)&gt;BK$4,BK$4&gt;=$C$1),'General Inputs'!M$11*$G53,0))</f>
        <v>13.775584212</v>
      </c>
      <c r="BL53" s="214">
        <f>IF(AND(($E53+$C$1)&gt;BL$4,BL$4&gt;=$C$1),'General Inputs'!N$11*$H53,IF(AND(($D53+$C$1)&gt;BL$4,BL$4&gt;=$C$1),'General Inputs'!N$11*$G53,0))</f>
        <v>13.775584212</v>
      </c>
      <c r="BM53" s="214">
        <f>IF(AND(($E53+$C$1)&gt;BM$4,BM$4&gt;=$C$1),'General Inputs'!O$11*$H53,IF(AND(($D53+$C$1)&gt;BM$4,BM$4&gt;=$C$1),'General Inputs'!O$11*$G53,0))</f>
        <v>13.775584212</v>
      </c>
      <c r="BN53" s="214">
        <f>IF(AND(($E53+$C$1)&gt;BN$4,BN$4&gt;=$C$1),'General Inputs'!P$11*$H53,IF(AND(($D53+$C$1)&gt;BN$4,BN$4&gt;=$C$1),'General Inputs'!P$11*$G53,0))</f>
        <v>13.775584212</v>
      </c>
      <c r="BO53" s="214">
        <f>IF(AND(($E53+$C$1)&gt;BO$4,BO$4&gt;=$C$1),'General Inputs'!Q$11*$H53,IF(AND(($D53+$C$1)&gt;BO$4,BO$4&gt;=$C$1),'General Inputs'!Q$11*$G53,0))</f>
        <v>13.775584212</v>
      </c>
      <c r="BP53" s="214">
        <f>IF(AND(($E53+$C$1)&gt;BP$4,BP$4&gt;=$C$1),'General Inputs'!R$11*$H53,IF(AND(($D53+$C$1)&gt;BP$4,BP$4&gt;=$C$1),'General Inputs'!R$11*$G53,0))</f>
        <v>13.775584212</v>
      </c>
      <c r="BQ53" s="214">
        <f>IF(AND(($E53+$C$1)&gt;BQ$4,BQ$4&gt;=$C$1),'General Inputs'!S$11*$H53,IF(AND(($D53+$C$1)&gt;BQ$4,BQ$4&gt;=$C$1),'General Inputs'!S$11*$G53,0))</f>
        <v>13.775584212</v>
      </c>
      <c r="BR53" s="214">
        <f>IF(AND(($E53+$C$1)&gt;BR$4,BR$4&gt;=$C$1),'General Inputs'!T$11*$H53,IF(AND(($D53+$C$1)&gt;BR$4,BR$4&gt;=$C$1),'General Inputs'!T$11*$G53,0))</f>
        <v>0</v>
      </c>
      <c r="BS53" s="214">
        <f>IF(AND(($E53+$C$1)&gt;BS$4,BS$4&gt;=$C$1),'General Inputs'!U$11*$H53,IF(AND(($D53+$C$1)&gt;BS$4,BS$4&gt;=$C$1),'General Inputs'!U$11*$G53,0))</f>
        <v>0</v>
      </c>
      <c r="BT53" s="214">
        <f>IF(AND(($E53+$C$1)&gt;BT$4,BT$4&gt;=$C$1),'General Inputs'!V$11*$H53,IF(AND(($D53+$C$1)&gt;BT$4,BT$4&gt;=$C$1),'General Inputs'!V$11*$G53,0))</f>
        <v>0</v>
      </c>
      <c r="BU53" s="214">
        <f>IF(AND(($E53+$C$1)&gt;BU$4,BU$4&gt;=$C$1),'General Inputs'!W$11*$H53,IF(AND(($D53+$C$1)&gt;BU$4,BU$4&gt;=$C$1),'General Inputs'!W$11*$G53,0))</f>
        <v>0</v>
      </c>
      <c r="BW53" s="214">
        <f>IF(AND(($E53+$C$1)&gt;BW$4,BW$4&gt;=$C$1),$H53,IF(AND(($D53+$C$1)&gt;BW$4,BW$4&gt;=$C$1),$G53,0))*IF($A53="Residential",'General Inputs'!D$14,'General Inputs'!D$19)</f>
        <v>0</v>
      </c>
      <c r="BX53" s="214">
        <f>IF(AND(($E53+$C$1)&gt;BX$4,BX$4&gt;=$C$1),$H53,IF(AND(($D53+$C$1)&gt;BX$4,BX$4&gt;=$C$1),$G53,0))*IF($A53="Residential",'General Inputs'!E$14,'General Inputs'!E$19)</f>
        <v>128.12967129205762</v>
      </c>
      <c r="BY53" s="214">
        <f>IF(AND(($E53+$C$1)&gt;BY$4,BY$4&gt;=$C$1),$H53,IF(AND(($D53+$C$1)&gt;BY$4,BY$4&gt;=$C$1),$G53,0))*IF($A53="Residential",'General Inputs'!F$14,'General Inputs'!F$19)</f>
        <v>130.05161636143851</v>
      </c>
      <c r="BZ53" s="214">
        <f>IF(AND(($E53+$C$1)&gt;BZ$4,BZ$4&gt;=$C$1),$H53,IF(AND(($D53+$C$1)&gt;BZ$4,BZ$4&gt;=$C$1),$G53,0))*IF($A53="Residential",'General Inputs'!G$14,'General Inputs'!G$19)</f>
        <v>132.00239060686008</v>
      </c>
      <c r="CA53" s="214">
        <f>IF(AND(($E53+$C$1)&gt;CA$4,CA$4&gt;=$C$1),$H53,IF(AND(($D53+$C$1)&gt;CA$4,CA$4&gt;=$C$1),$G53,0))*IF($A53="Residential",'General Inputs'!H$14,'General Inputs'!H$19)</f>
        <v>133.98242646596293</v>
      </c>
      <c r="CB53" s="214">
        <f>IF(AND(($E53+$C$1)&gt;CB$4,CB$4&gt;=$C$1),$H53,IF(AND(($D53+$C$1)&gt;CB$4,CB$4&gt;=$C$1),$G53,0))*IF($A53="Residential",'General Inputs'!I$14,'General Inputs'!I$19)</f>
        <v>135.99216286295234</v>
      </c>
      <c r="CC53" s="214">
        <f>IF(AND(($E53+$C$1)&gt;CC$4,CC$4&gt;=$C$1),$H53,IF(AND(($D53+$C$1)&gt;CC$4,CC$4&gt;=$C$1),$G53,0))*IF($A53="Residential",'General Inputs'!J$14,'General Inputs'!J$19)</f>
        <v>138.03204530589665</v>
      </c>
      <c r="CD53" s="214">
        <f>IF(AND(($E53+$C$1)&gt;CD$4,CD$4&gt;=$C$1),$H53,IF(AND(($D53+$C$1)&gt;CD$4,CD$4&gt;=$C$1),$G53,0))*IF($A53="Residential",'General Inputs'!K$14,'General Inputs'!K$19)</f>
        <v>140.10252598548507</v>
      </c>
      <c r="CE53" s="214">
        <f>IF(AND(($E53+$C$1)&gt;CE$4,CE$4&gt;=$C$1),$H53,IF(AND(($D53+$C$1)&gt;CE$4,CE$4&gt;=$C$1),$G53,0))*IF($A53="Residential",'General Inputs'!L$14,'General Inputs'!L$19)</f>
        <v>142.20406387526734</v>
      </c>
      <c r="CF53" s="214">
        <f>IF(AND(($E53+$C$1)&gt;CF$4,CF$4&gt;=$C$1),$H53,IF(AND(($D53+$C$1)&gt;CF$4,CF$4&gt;=$C$1),$G53,0))*IF($A53="Residential",'General Inputs'!M$14,'General Inputs'!M$19)</f>
        <v>144.33712483339633</v>
      </c>
      <c r="CG53" s="214">
        <f>IF(AND(($E53+$C$1)&gt;CG$4,CG$4&gt;=$C$1),$H53,IF(AND(($D53+$C$1)&gt;CG$4,CG$4&gt;=$C$1),$G53,0))*IF($A53="Residential",'General Inputs'!N$14,'General Inputs'!N$19)</f>
        <v>146.50218170589727</v>
      </c>
      <c r="CH53" s="214">
        <f>IF(AND(($E53+$C$1)&gt;CH$4,CH$4&gt;=$C$1),$H53,IF(AND(($D53+$C$1)&gt;CH$4,CH$4&gt;=$C$1),$G53,0))*IF($A53="Residential",'General Inputs'!O$14,'General Inputs'!O$19)</f>
        <v>148.69971443148569</v>
      </c>
      <c r="CI53" s="214">
        <f>IF(AND(($E53+$C$1)&gt;CI$4,CI$4&gt;=$C$1),$H53,IF(AND(($D53+$C$1)&gt;CI$4,CI$4&gt;=$C$1),$G53,0))*IF($A53="Residential",'General Inputs'!P$14,'General Inputs'!P$19)</f>
        <v>150.93021014795798</v>
      </c>
      <c r="CJ53" s="214">
        <f>IF(AND(($E53+$C$1)&gt;CJ$4,CJ$4&gt;=$C$1),$H53,IF(AND(($D53+$C$1)&gt;CJ$4,CJ$4&gt;=$C$1),$G53,0))*IF($A53="Residential",'General Inputs'!Q$14,'General Inputs'!Q$19)</f>
        <v>153.19416330017734</v>
      </c>
      <c r="CK53" s="214">
        <f>IF(AND(($E53+$C$1)&gt;CK$4,CK$4&gt;=$C$1),$H53,IF(AND(($D53+$C$1)&gt;CK$4,CK$4&gt;=$C$1),$G53,0))*IF($A53="Residential",'General Inputs'!R$14,'General Inputs'!R$19)</f>
        <v>155.49207574967997</v>
      </c>
      <c r="CL53" s="214">
        <f>IF(AND(($E53+$C$1)&gt;CL$4,CL$4&gt;=$C$1),$H53,IF(AND(($D53+$C$1)&gt;CL$4,CL$4&gt;=$C$1),$G53,0))*IF($A53="Residential",'General Inputs'!S$14,'General Inputs'!S$19)</f>
        <v>157.82445688592517</v>
      </c>
      <c r="CM53" s="214">
        <f>IF(AND(($E53+$C$1)&gt;CM$4,CM$4&gt;=$C$1),$H53,IF(AND(($D53+$C$1)&gt;CM$4,CM$4&gt;=$C$1),$G53,0))*IF($A53="Residential",'General Inputs'!T$14,'General Inputs'!T$19)</f>
        <v>0</v>
      </c>
      <c r="CN53" s="214">
        <f>IF(AND(($E53+$C$1)&gt;CN$4,CN$4&gt;=$C$1),$H53,IF(AND(($D53+$C$1)&gt;CN$4,CN$4&gt;=$C$1),$G53,0))*IF($A53="Residential",'General Inputs'!U$14,'General Inputs'!U$19)</f>
        <v>0</v>
      </c>
      <c r="CO53" s="214">
        <f>IF(AND(($E53+$C$1)&gt;CO$4,CO$4&gt;=$C$1),$H53,IF(AND(($D53+$C$1)&gt;CO$4,CO$4&gt;=$C$1),$G53,0))*IF($A53="Residential",'General Inputs'!V$14,'General Inputs'!V$19)</f>
        <v>0</v>
      </c>
      <c r="CP53" s="214">
        <f>IF(AND(($E53+$C$1)&gt;CP$4,CP$4&gt;=$C$1),$H53,IF(AND(($D53+$C$1)&gt;CP$4,CP$4&gt;=$C$1),$G53,0))*IF($A53="Residential",'General Inputs'!W$14,'General Inputs'!W$19)</f>
        <v>0</v>
      </c>
      <c r="CR53" s="214">
        <f>IF(AND(($E53+$C$1)&gt;CR$4,CR$4&gt;=$C$1),$H53,IF(AND(($D53+$C$1)&gt;CR$4,CR$4&gt;=$C$1),$G53,0))*IF($A53="Residential",'General Inputs'!D$15,'General Inputs'!D$19)</f>
        <v>0</v>
      </c>
      <c r="CS53" s="214">
        <f>IF(AND(($E53+$C$1)&gt;CS$4,CS$4&gt;=$C$1),$H53,IF(AND(($D53+$C$1)&gt;CS$4,CS$4&gt;=$C$1),$G53,0))*IF($A53="Residential",'General Inputs'!E$15,'General Inputs'!E$19)</f>
        <v>128.12967129205762</v>
      </c>
      <c r="CT53" s="214">
        <f>IF(AND(($E53+$C$1)&gt;CT$4,CT$4&gt;=$C$1),$H53,IF(AND(($D53+$C$1)&gt;CT$4,CT$4&gt;=$C$1),$G53,0))*IF($A53="Residential",'General Inputs'!F$15,'General Inputs'!F$19)</f>
        <v>130.05161636143851</v>
      </c>
      <c r="CU53" s="214">
        <f>IF(AND(($E53+$C$1)&gt;CU$4,CU$4&gt;=$C$1),$H53,IF(AND(($D53+$C$1)&gt;CU$4,CU$4&gt;=$C$1),$G53,0))*IF($A53="Residential",'General Inputs'!G$15,'General Inputs'!G$19)</f>
        <v>132.00239060686008</v>
      </c>
      <c r="CV53" s="214">
        <f>IF(AND(($E53+$C$1)&gt;CV$4,CV$4&gt;=$C$1),$H53,IF(AND(($D53+$C$1)&gt;CV$4,CV$4&gt;=$C$1),$G53,0))*IF($A53="Residential",'General Inputs'!H$15,'General Inputs'!H$19)</f>
        <v>133.98242646596293</v>
      </c>
      <c r="CW53" s="214">
        <f>IF(AND(($E53+$C$1)&gt;CW$4,CW$4&gt;=$C$1),$H53,IF(AND(($D53+$C$1)&gt;CW$4,CW$4&gt;=$C$1),$G53,0))*IF($A53="Residential",'General Inputs'!I$15,'General Inputs'!I$19)</f>
        <v>135.99216286295234</v>
      </c>
      <c r="CX53" s="214">
        <f>IF(AND(($E53+$C$1)&gt;CX$4,CX$4&gt;=$C$1),$H53,IF(AND(($D53+$C$1)&gt;CX$4,CX$4&gt;=$C$1),$G53,0))*IF($A53="Residential",'General Inputs'!J$15,'General Inputs'!J$19)</f>
        <v>138.03204530589665</v>
      </c>
      <c r="CY53" s="214">
        <f>IF(AND(($E53+$C$1)&gt;CY$4,CY$4&gt;=$C$1),$H53,IF(AND(($D53+$C$1)&gt;CY$4,CY$4&gt;=$C$1),$G53,0))*IF($A53="Residential",'General Inputs'!K$15,'General Inputs'!K$19)</f>
        <v>140.10252598548507</v>
      </c>
      <c r="CZ53" s="214">
        <f>IF(AND(($E53+$C$1)&gt;CZ$4,CZ$4&gt;=$C$1),$H53,IF(AND(($D53+$C$1)&gt;CZ$4,CZ$4&gt;=$C$1),$G53,0))*IF($A53="Residential",'General Inputs'!L$15,'General Inputs'!L$19)</f>
        <v>142.20406387526734</v>
      </c>
      <c r="DA53" s="214">
        <f>IF(AND(($E53+$C$1)&gt;DA$4,DA$4&gt;=$C$1),$H53,IF(AND(($D53+$C$1)&gt;DA$4,DA$4&gt;=$C$1),$G53,0))*IF($A53="Residential",'General Inputs'!M$15,'General Inputs'!M$19)</f>
        <v>144.33712483339633</v>
      </c>
      <c r="DB53" s="214">
        <f>IF(AND(($E53+$C$1)&gt;DB$4,DB$4&gt;=$C$1),$H53,IF(AND(($D53+$C$1)&gt;DB$4,DB$4&gt;=$C$1),$G53,0))*IF($A53="Residential",'General Inputs'!N$15,'General Inputs'!N$19)</f>
        <v>146.50218170589727</v>
      </c>
      <c r="DC53" s="214">
        <f>IF(AND(($E53+$C$1)&gt;DC$4,DC$4&gt;=$C$1),$H53,IF(AND(($D53+$C$1)&gt;DC$4,DC$4&gt;=$C$1),$G53,0))*IF($A53="Residential",'General Inputs'!O$15,'General Inputs'!O$19)</f>
        <v>148.69971443148569</v>
      </c>
      <c r="DD53" s="214">
        <f>IF(AND(($E53+$C$1)&gt;DD$4,DD$4&gt;=$C$1),$H53,IF(AND(($D53+$C$1)&gt;DD$4,DD$4&gt;=$C$1),$G53,0))*IF($A53="Residential",'General Inputs'!P$15,'General Inputs'!P$19)</f>
        <v>150.93021014795798</v>
      </c>
      <c r="DE53" s="214">
        <f>IF(AND(($E53+$C$1)&gt;DE$4,DE$4&gt;=$C$1),$H53,IF(AND(($D53+$C$1)&gt;DE$4,DE$4&gt;=$C$1),$G53,0))*IF($A53="Residential",'General Inputs'!Q$15,'General Inputs'!Q$19)</f>
        <v>153.19416330017734</v>
      </c>
      <c r="DF53" s="214">
        <f>IF(AND(($E53+$C$1)&gt;DF$4,DF$4&gt;=$C$1),$H53,IF(AND(($D53+$C$1)&gt;DF$4,DF$4&gt;=$C$1),$G53,0))*IF($A53="Residential",'General Inputs'!R$15,'General Inputs'!R$19)</f>
        <v>155.49207574967997</v>
      </c>
      <c r="DG53" s="214">
        <f>IF(AND(($E53+$C$1)&gt;DG$4,DG$4&gt;=$C$1),$H53,IF(AND(($D53+$C$1)&gt;DG$4,DG$4&gt;=$C$1),$G53,0))*IF($A53="Residential",'General Inputs'!S$15,'General Inputs'!S$19)</f>
        <v>157.82445688592517</v>
      </c>
      <c r="DH53" s="214">
        <f>IF(AND(($E53+$C$1)&gt;DH$4,DH$4&gt;=$C$1),$H53,IF(AND(($D53+$C$1)&gt;DH$4,DH$4&gt;=$C$1),$G53,0))*IF($A53="Residential",'General Inputs'!T$15,'General Inputs'!T$19)</f>
        <v>0</v>
      </c>
      <c r="DI53" s="214">
        <f>IF(AND(($E53+$C$1)&gt;DI$4,DI$4&gt;=$C$1),$H53,IF(AND(($D53+$C$1)&gt;DI$4,DI$4&gt;=$C$1),$G53,0))*IF($A53="Residential",'General Inputs'!U$15,'General Inputs'!U$19)</f>
        <v>0</v>
      </c>
      <c r="DJ53" s="214">
        <f>IF(AND(($E53+$C$1)&gt;DJ$4,DJ$4&gt;=$C$1),$H53,IF(AND(($D53+$C$1)&gt;DJ$4,DJ$4&gt;=$C$1),$G53,0))*IF($A53="Residential",'General Inputs'!V$15,'General Inputs'!V$19)</f>
        <v>0</v>
      </c>
      <c r="DK53" s="214">
        <f>IF(AND(($E53+$C$1)&gt;DK$4,DK$4&gt;=$C$1),$H53,IF(AND(($D53+$C$1)&gt;DK$4,DK$4&gt;=$C$1),$G53,0))*IF($A53="Residential",'General Inputs'!W$15,'General Inputs'!W$19)</f>
        <v>0</v>
      </c>
      <c r="DM53" s="214">
        <f t="shared" si="99"/>
        <v>0</v>
      </c>
      <c r="DN53" s="214">
        <f t="shared" si="99"/>
        <v>234</v>
      </c>
      <c r="DO53" s="214">
        <f t="shared" si="99"/>
        <v>0</v>
      </c>
      <c r="DP53" s="214">
        <f t="shared" si="99"/>
        <v>0</v>
      </c>
      <c r="DQ53" s="214">
        <f t="shared" si="99"/>
        <v>0</v>
      </c>
      <c r="DR53" s="214">
        <f t="shared" si="99"/>
        <v>0</v>
      </c>
      <c r="DS53" s="214">
        <f t="shared" si="99"/>
        <v>0</v>
      </c>
      <c r="DT53" s="214">
        <f t="shared" si="99"/>
        <v>0</v>
      </c>
      <c r="DU53" s="214">
        <f t="shared" si="99"/>
        <v>0</v>
      </c>
      <c r="DV53" s="214">
        <f t="shared" si="99"/>
        <v>0</v>
      </c>
      <c r="DW53" s="214">
        <f t="shared" si="99"/>
        <v>0</v>
      </c>
      <c r="DZ53" s="650"/>
      <c r="FI53" s="195"/>
      <c r="FJ53" s="195"/>
      <c r="FK53" s="195"/>
      <c r="FL53" s="195"/>
      <c r="FM53" s="195"/>
      <c r="FN53" s="195"/>
      <c r="FO53" s="195"/>
    </row>
    <row r="54" spans="1:171">
      <c r="A54" s="342" t="s">
        <v>112</v>
      </c>
      <c r="B54" s="427" t="str">
        <f>'Portfolio Inputs'!A53</f>
        <v xml:space="preserve">Low-Wattage T8 </v>
      </c>
      <c r="C54" s="217">
        <f>IF($C$1=2014,'Portfolio Inputs'!$C53,IF($C$1=2015,'Portfolio Inputs'!$D53,'Portfolio Inputs'!$E53))</f>
        <v>10</v>
      </c>
      <c r="D54" s="504">
        <f>VLOOKUP(B54,Sources!$B$4:$J$104,2,FALSE)</f>
        <v>6</v>
      </c>
      <c r="E54" s="504">
        <f>VLOOKUP(B54,Sources!$B$4:$J$104,3,FALSE)</f>
        <v>0</v>
      </c>
      <c r="G54" s="504">
        <f>IF($C$1=2014,'Portfolio Inputs'!$G53,IF($C$1=2015,'Portfolio Inputs'!$H53,'Portfolio Inputs'!$I53))*EnergyLineLoss</f>
        <v>406.66788750000001</v>
      </c>
      <c r="H54" s="504"/>
      <c r="I54" s="595">
        <f>IF($C$1=2014,'Portfolio Inputs'!$K53,IF($C$1=2015,'Portfolio Inputs'!$L53,'Portfolio Inputs'!$M53))*PeakLineLoss</f>
        <v>6.2882819999999992E-2</v>
      </c>
      <c r="J54" s="510"/>
      <c r="L54" s="606">
        <f>IF($C$1=2014,'Portfolio Inputs'!$O53,IF($C$1=2015,'Portfolio Inputs'!$P53,'Portfolio Inputs'!$Q53))</f>
        <v>2</v>
      </c>
      <c r="M54" s="518">
        <f>VLOOKUP($B54,Sources!$B$4:$K$104,10,FALSE)</f>
        <v>0</v>
      </c>
      <c r="N54" s="419">
        <f>IF($C$1=2014,'Portfolio Inputs'!$W53,IF($C$1=2015,'Portfolio Inputs'!$X53,'Portfolio Inputs'!$Y53))</f>
        <v>5</v>
      </c>
      <c r="O54" s="419">
        <f>IF($C$1=2014,'Portfolio Inputs'!$AA53,IF($C$1=2015,'Portfolio Inputs'!$AB53,'Portfolio Inputs'!$AC53))</f>
        <v>0</v>
      </c>
      <c r="Q54" s="438">
        <f t="shared" si="67"/>
        <v>4.4123657336977491</v>
      </c>
      <c r="R54" s="439">
        <f t="shared" si="68"/>
        <v>17.649462934790996</v>
      </c>
      <c r="S54" s="439">
        <f t="shared" si="69"/>
        <v>5.5495458509641153</v>
      </c>
      <c r="T54" s="439">
        <f t="shared" si="70"/>
        <v>11.191636513414105</v>
      </c>
      <c r="U54" s="439">
        <f t="shared" si="98"/>
        <v>11.191636513414105</v>
      </c>
      <c r="V54" s="439">
        <f t="shared" si="72"/>
        <v>0.39425563262434071</v>
      </c>
      <c r="W54" s="439">
        <f t="shared" si="73"/>
        <v>0.39425563262434071</v>
      </c>
      <c r="Y54" s="215">
        <f t="shared" si="4"/>
        <v>81.079855451998327</v>
      </c>
      <c r="Z54" s="215">
        <f t="shared" si="5"/>
        <v>20.896363786592531</v>
      </c>
      <c r="AA54" s="215">
        <f t="shared" si="6"/>
        <v>201.05910535490821</v>
      </c>
      <c r="AB54" s="215">
        <f t="shared" si="7"/>
        <v>201.05910535490821</v>
      </c>
      <c r="AC54" s="216">
        <f t="shared" si="20"/>
        <v>0</v>
      </c>
      <c r="AD54" s="216">
        <f t="shared" si="21"/>
        <v>4.5938993017273058</v>
      </c>
      <c r="AE54" s="215">
        <f t="shared" si="8"/>
        <v>18.375597206909223</v>
      </c>
      <c r="AG54" s="214">
        <f>IF(AND(($E54+$C$1)&gt;AG$4,AG$4&gt;=$C$1),'General Inputs'!D$9*$H54,IF(AND(($D54+$C$1)&gt;AG$4,AG$4&gt;=$C$1),'General Inputs'!D$9*$G54,0))+IF(AND(($E54+$C$1)&gt;AG$4,AG$4&gt;=$C$1),'General Inputs'!D$10*$J54,IF(AND(($D54+$C$1)&gt;AG$4,AG$4&gt;=$C$1),'General Inputs'!D$10*$I54,0))</f>
        <v>0</v>
      </c>
      <c r="AH54" s="214">
        <f>IF(AND(($E54+$C$1)&gt;AH$4,AH$4&gt;=$C$1),'General Inputs'!E$9*$H54,IF(AND(($D54+$C$1)&gt;AH$4,AH$4&gt;=$C$1),'General Inputs'!E$9*$G54,0))+IF(AND(($E54+$C$1)&gt;AH$4,AH$4&gt;=$C$1),'General Inputs'!E$10*$J54,IF(AND(($D54+$C$1)&gt;AH$4,AH$4&gt;=$C$1),'General Inputs'!E$10*$I54,0))</f>
        <v>17.388961144596724</v>
      </c>
      <c r="AI54" s="214">
        <f>IF(AND(($E54+$C$1)&gt;AI$4,AI$4&gt;=$C$1),'General Inputs'!F$9*$H54,IF(AND(($D54+$C$1)&gt;AI$4,AI$4&gt;=$C$1),'General Inputs'!F$9*$G54,0))+IF(AND(($E54+$C$1)&gt;AI$4,AI$4&gt;=$C$1),'General Inputs'!F$10*$J54,IF(AND(($D54+$C$1)&gt;AI$4,AI$4&gt;=$C$1),'General Inputs'!F$10*$I54,0))</f>
        <v>17.649795561765671</v>
      </c>
      <c r="AJ54" s="214">
        <f>IF(AND(($E54+$C$1)&gt;AJ$4,AJ$4&gt;=$C$1),'General Inputs'!G$9*$H54,IF(AND(($D54+$C$1)&gt;AJ$4,AJ$4&gt;=$C$1),'General Inputs'!G$9*$G54,0))+IF(AND(($E54+$C$1)&gt;AJ$4,AJ$4&gt;=$C$1),'General Inputs'!G$10*$J54,IF(AND(($D54+$C$1)&gt;AJ$4,AJ$4&gt;=$C$1),'General Inputs'!G$10*$I54,0))</f>
        <v>17.914542495192155</v>
      </c>
      <c r="AK54" s="214">
        <f>IF(AND(($E54+$C$1)&gt;AK$4,AK$4&gt;=$C$1),'General Inputs'!H$9*$H54,IF(AND(($D54+$C$1)&gt;AK$4,AK$4&gt;=$C$1),'General Inputs'!H$9*$G54,0))+IF(AND(($E54+$C$1)&gt;AK$4,AK$4&gt;=$C$1),'General Inputs'!H$10*$J54,IF(AND(($D54+$C$1)&gt;AK$4,AK$4&gt;=$C$1),'General Inputs'!H$10*$I54,0))</f>
        <v>18.183260632620037</v>
      </c>
      <c r="AL54" s="214">
        <f>IF(AND(($E54+$C$1)&gt;AL$4,AL$4&gt;=$C$1),'General Inputs'!I$9*$H54,IF(AND(($D54+$C$1)&gt;AL$4,AL$4&gt;=$C$1),'General Inputs'!I$9*$G54,0))+IF(AND(($E54+$C$1)&gt;AL$4,AL$4&gt;=$C$1),'General Inputs'!I$10*$J54,IF(AND(($D54+$C$1)&gt;AL$4,AL$4&gt;=$C$1),'General Inputs'!I$10*$I54,0))</f>
        <v>18.456009542109335</v>
      </c>
      <c r="AM54" s="214">
        <f>IF(AND(($E54+$C$1)&gt;AM$4,AM$4&gt;=$C$1),'General Inputs'!J$9*$H54,IF(AND(($D54+$C$1)&gt;AM$4,AM$4&gt;=$C$1),'General Inputs'!J$9*$G54,0))+IF(AND(($E54+$C$1)&gt;AM$4,AM$4&gt;=$C$1),'General Inputs'!J$10*$J54,IF(AND(($D54+$C$1)&gt;AM$4,AM$4&gt;=$C$1),'General Inputs'!J$10*$I54,0))</f>
        <v>18.732849685240971</v>
      </c>
      <c r="AN54" s="214">
        <f>IF(AND(($E54+$C$1)&gt;AN$4,AN$4&gt;=$C$1),'General Inputs'!K$9*$H54,IF(AND(($D54+$C$1)&gt;AN$4,AN$4&gt;=$C$1),'General Inputs'!K$9*$G54,0))+IF(AND(($E54+$C$1)&gt;AN$4,AN$4&gt;=$C$1),'General Inputs'!K$10*$J54,IF(AND(($D54+$C$1)&gt;AN$4,AN$4&gt;=$C$1),'General Inputs'!K$10*$I54,0))</f>
        <v>0</v>
      </c>
      <c r="AO54" s="214">
        <f>IF(AND(($E54+$C$1)&gt;AO$4,AO$4&gt;=$C$1),'General Inputs'!L$9*$H54,IF(AND(($D54+$C$1)&gt;AO$4,AO$4&gt;=$C$1),'General Inputs'!L$9*$G54,0))+IF(AND(($E54+$C$1)&gt;AO$4,AO$4&gt;=$C$1),'General Inputs'!L$10*$J54,IF(AND(($D54+$C$1)&gt;AO$4,AO$4&gt;=$C$1),'General Inputs'!L$10*$I54,0))</f>
        <v>0</v>
      </c>
      <c r="AP54" s="214">
        <f>IF(AND(($E54+$C$1)&gt;AP$4,AP$4&gt;=$C$1),'General Inputs'!M$9*$H54,IF(AND(($D54+$C$1)&gt;AP$4,AP$4&gt;=$C$1),'General Inputs'!M$9*$G54,0))+IF(AND(($E54+$C$1)&gt;AP$4,AP$4&gt;=$C$1),'General Inputs'!M$10*$J54,IF(AND(($D54+$C$1)&gt;AP$4,AP$4&gt;=$C$1),'General Inputs'!M$10*$I54,0))</f>
        <v>0</v>
      </c>
      <c r="AQ54" s="214">
        <f>IF(AND(($E54+$C$1)&gt;AQ$4,AQ$4&gt;=$C$1),'General Inputs'!N$9*$H54,IF(AND(($D54+$C$1)&gt;AQ$4,AQ$4&gt;=$C$1),'General Inputs'!N$9*$G54,0))+IF(AND(($E54+$C$1)&gt;AQ$4,AQ$4&gt;=$C$1),'General Inputs'!N$10*$J54,IF(AND(($D54+$C$1)&gt;AQ$4,AQ$4&gt;=$C$1),'General Inputs'!N$10*$I54,0))</f>
        <v>0</v>
      </c>
      <c r="AR54" s="214">
        <f>IF(AND(($E54+$C$1)&gt;AR$4,AR$4&gt;=$C$1),'General Inputs'!O$9*$H54,IF(AND(($D54+$C$1)&gt;AR$4,AR$4&gt;=$C$1),'General Inputs'!O$9*$G54,0))+IF(AND(($E54+$C$1)&gt;AR$4,AR$4&gt;=$C$1),'General Inputs'!O$10*$J54,IF(AND(($D54+$C$1)&gt;AR$4,AR$4&gt;=$C$1),'General Inputs'!O$10*$I54,0))</f>
        <v>0</v>
      </c>
      <c r="AS54" s="214">
        <f>IF(AND(($E54+$C$1)&gt;AS$4,AS$4&gt;=$C$1),'General Inputs'!P$9*$H54,IF(AND(($D54+$C$1)&gt;AS$4,AS$4&gt;=$C$1),'General Inputs'!P$9*$G54,0))+IF(AND(($E54+$C$1)&gt;AS$4,AS$4&gt;=$C$1),'General Inputs'!P$10*$J54,IF(AND(($D54+$C$1)&gt;AS$4,AS$4&gt;=$C$1),'General Inputs'!P$10*$I54,0))</f>
        <v>0</v>
      </c>
      <c r="AT54" s="214">
        <f>IF(AND(($E54+$C$1)&gt;AT$4,AT$4&gt;=$C$1),'General Inputs'!Q$9*$H54,IF(AND(($D54+$C$1)&gt;AT$4,AT$4&gt;=$C$1),'General Inputs'!Q$9*$G54,0))+IF(AND(($E54+$C$1)&gt;AT$4,AT$4&gt;=$C$1),'General Inputs'!Q$10*$J54,IF(AND(($D54+$C$1)&gt;AT$4,AT$4&gt;=$C$1),'General Inputs'!Q$10*$I54,0))</f>
        <v>0</v>
      </c>
      <c r="AU54" s="214">
        <f>IF(AND(($E54+$C$1)&gt;AU$4,AU$4&gt;=$C$1),'General Inputs'!R$9*$H54,IF(AND(($D54+$C$1)&gt;AU$4,AU$4&gt;=$C$1),'General Inputs'!R$9*$G54,0))+IF(AND(($E54+$C$1)&gt;AU$4,AU$4&gt;=$C$1),'General Inputs'!R$10*$J54,IF(AND(($D54+$C$1)&gt;AU$4,AU$4&gt;=$C$1),'General Inputs'!R$10*$I54,0))</f>
        <v>0</v>
      </c>
      <c r="AV54" s="214">
        <f>IF(AND(($E54+$C$1)&gt;AV$4,AV$4&gt;=$C$1),'General Inputs'!S$9*$H54,IF(AND(($D54+$C$1)&gt;AV$4,AV$4&gt;=$C$1),'General Inputs'!S$9*$G54,0))+IF(AND(($E54+$C$1)&gt;AV$4,AV$4&gt;=$C$1),'General Inputs'!S$10*$J54,IF(AND(($D54+$C$1)&gt;AV$4,AV$4&gt;=$C$1),'General Inputs'!S$10*$I54,0))</f>
        <v>0</v>
      </c>
      <c r="AW54" s="214">
        <f>IF(AND(($E54+$C$1)&gt;AW$4,AW$4&gt;=$C$1),'General Inputs'!T$9*$H54,IF(AND(($D54+$C$1)&gt;AW$4,AW$4&gt;=$C$1),'General Inputs'!T$9*$G54,0))+IF(AND(($E54+$C$1)&gt;AW$4,AW$4&gt;=$C$1),'General Inputs'!T$10*$J54,IF(AND(($D54+$C$1)&gt;AW$4,AW$4&gt;=$C$1),'General Inputs'!T$10*$I54,0))</f>
        <v>0</v>
      </c>
      <c r="AX54" s="214">
        <f>IF(AND(($E54+$C$1)&gt;AX$4,AX$4&gt;=$C$1),'General Inputs'!U$9*$H54,IF(AND(($D54+$C$1)&gt;AX$4,AX$4&gt;=$C$1),'General Inputs'!U$9*$G54,0))+IF(AND(($E54+$C$1)&gt;AX$4,AX$4&gt;=$C$1),'General Inputs'!U$10*$J54,IF(AND(($D54+$C$1)&gt;AX$4,AX$4&gt;=$C$1),'General Inputs'!U$10*$I54,0))</f>
        <v>0</v>
      </c>
      <c r="AY54" s="214">
        <f>IF(AND(($E54+$C$1)&gt;AY$4,AY$4&gt;=$C$1),'General Inputs'!V$9*$H54,IF(AND(($D54+$C$1)&gt;AY$4,AY$4&gt;=$C$1),'General Inputs'!V$9*$G54,0))+IF(AND(($E54+$C$1)&gt;AY$4,AY$4&gt;=$C$1),'General Inputs'!V$10*$J54,IF(AND(($D54+$C$1)&gt;AY$4,AY$4&gt;=$C$1),'General Inputs'!V$10*$I54,0))</f>
        <v>0</v>
      </c>
      <c r="AZ54" s="214">
        <f>IF(AND(($E54+$C$1)&gt;AZ$4,AZ$4&gt;=$C$1),'General Inputs'!W$9*$H54,IF(AND(($D54+$C$1)&gt;AZ$4,AZ$4&gt;=$C$1),'General Inputs'!W$9*$G54,0))+IF(AND(($E54+$C$1)&gt;AZ$4,AZ$4&gt;=$C$1),'General Inputs'!W$10*$J54,IF(AND(($D54+$C$1)&gt;AZ$4,AZ$4&gt;=$C$1),'General Inputs'!W$10*$I54,0))</f>
        <v>0</v>
      </c>
      <c r="BB54" s="214">
        <f>IF(AND(($E54+$C$1)&gt;BB$4,BB$4&gt;=$C$1),'General Inputs'!D$11*$H54,IF(AND(($D54+$C$1)&gt;BB$4,BB$4&gt;=$C$1),'General Inputs'!D$11*$G54,0))</f>
        <v>0</v>
      </c>
      <c r="BC54" s="214">
        <f>IF(AND(($E54+$C$1)&gt;BC$4,BC$4&gt;=$C$1),'General Inputs'!E$11*$H54,IF(AND(($D54+$C$1)&gt;BC$4,BC$4&gt;=$C$1),'General Inputs'!E$11*$G54,0))</f>
        <v>4.6360139175000006</v>
      </c>
      <c r="BD54" s="214">
        <f>IF(AND(($E54+$C$1)&gt;BD$4,BD$4&gt;=$C$1),'General Inputs'!F$11*$H54,IF(AND(($D54+$C$1)&gt;BD$4,BD$4&gt;=$C$1),'General Inputs'!F$11*$G54,0))</f>
        <v>4.6360139175000006</v>
      </c>
      <c r="BE54" s="214">
        <f>IF(AND(($E54+$C$1)&gt;BE$4,BE$4&gt;=$C$1),'General Inputs'!G$11*$H54,IF(AND(($D54+$C$1)&gt;BE$4,BE$4&gt;=$C$1),'General Inputs'!G$11*$G54,0))</f>
        <v>4.6360139175000006</v>
      </c>
      <c r="BF54" s="214">
        <f>IF(AND(($E54+$C$1)&gt;BF$4,BF$4&gt;=$C$1),'General Inputs'!H$11*$H54,IF(AND(($D54+$C$1)&gt;BF$4,BF$4&gt;=$C$1),'General Inputs'!H$11*$G54,0))</f>
        <v>4.6360139175000006</v>
      </c>
      <c r="BG54" s="214">
        <f>IF(AND(($E54+$C$1)&gt;BG$4,BG$4&gt;=$C$1),'General Inputs'!I$11*$H54,IF(AND(($D54+$C$1)&gt;BG$4,BG$4&gt;=$C$1),'General Inputs'!I$11*$G54,0))</f>
        <v>4.6360139175000006</v>
      </c>
      <c r="BH54" s="214">
        <f>IF(AND(($E54+$C$1)&gt;BH$4,BH$4&gt;=$C$1),'General Inputs'!J$11*$H54,IF(AND(($D54+$C$1)&gt;BH$4,BH$4&gt;=$C$1),'General Inputs'!J$11*$G54,0))</f>
        <v>4.6360139175000006</v>
      </c>
      <c r="BI54" s="214">
        <f>IF(AND(($E54+$C$1)&gt;BI$4,BI$4&gt;=$C$1),'General Inputs'!K$11*$H54,IF(AND(($D54+$C$1)&gt;BI$4,BI$4&gt;=$C$1),'General Inputs'!K$11*$G54,0))</f>
        <v>0</v>
      </c>
      <c r="BJ54" s="214">
        <f>IF(AND(($E54+$C$1)&gt;BJ$4,BJ$4&gt;=$C$1),'General Inputs'!L$11*$H54,IF(AND(($D54+$C$1)&gt;BJ$4,BJ$4&gt;=$C$1),'General Inputs'!L$11*$G54,0))</f>
        <v>0</v>
      </c>
      <c r="BK54" s="214">
        <f>IF(AND(($E54+$C$1)&gt;BK$4,BK$4&gt;=$C$1),'General Inputs'!M$11*$H54,IF(AND(($D54+$C$1)&gt;BK$4,BK$4&gt;=$C$1),'General Inputs'!M$11*$G54,0))</f>
        <v>0</v>
      </c>
      <c r="BL54" s="214">
        <f>IF(AND(($E54+$C$1)&gt;BL$4,BL$4&gt;=$C$1),'General Inputs'!N$11*$H54,IF(AND(($D54+$C$1)&gt;BL$4,BL$4&gt;=$C$1),'General Inputs'!N$11*$G54,0))</f>
        <v>0</v>
      </c>
      <c r="BM54" s="214">
        <f>IF(AND(($E54+$C$1)&gt;BM$4,BM$4&gt;=$C$1),'General Inputs'!O$11*$H54,IF(AND(($D54+$C$1)&gt;BM$4,BM$4&gt;=$C$1),'General Inputs'!O$11*$G54,0))</f>
        <v>0</v>
      </c>
      <c r="BN54" s="214">
        <f>IF(AND(($E54+$C$1)&gt;BN$4,BN$4&gt;=$C$1),'General Inputs'!P$11*$H54,IF(AND(($D54+$C$1)&gt;BN$4,BN$4&gt;=$C$1),'General Inputs'!P$11*$G54,0))</f>
        <v>0</v>
      </c>
      <c r="BO54" s="214">
        <f>IF(AND(($E54+$C$1)&gt;BO$4,BO$4&gt;=$C$1),'General Inputs'!Q$11*$H54,IF(AND(($D54+$C$1)&gt;BO$4,BO$4&gt;=$C$1),'General Inputs'!Q$11*$G54,0))</f>
        <v>0</v>
      </c>
      <c r="BP54" s="214">
        <f>IF(AND(($E54+$C$1)&gt;BP$4,BP$4&gt;=$C$1),'General Inputs'!R$11*$H54,IF(AND(($D54+$C$1)&gt;BP$4,BP$4&gt;=$C$1),'General Inputs'!R$11*$G54,0))</f>
        <v>0</v>
      </c>
      <c r="BQ54" s="214">
        <f>IF(AND(($E54+$C$1)&gt;BQ$4,BQ$4&gt;=$C$1),'General Inputs'!S$11*$H54,IF(AND(($D54+$C$1)&gt;BQ$4,BQ$4&gt;=$C$1),'General Inputs'!S$11*$G54,0))</f>
        <v>0</v>
      </c>
      <c r="BR54" s="214">
        <f>IF(AND(($E54+$C$1)&gt;BR$4,BR$4&gt;=$C$1),'General Inputs'!T$11*$H54,IF(AND(($D54+$C$1)&gt;BR$4,BR$4&gt;=$C$1),'General Inputs'!T$11*$G54,0))</f>
        <v>0</v>
      </c>
      <c r="BS54" s="214">
        <f>IF(AND(($E54+$C$1)&gt;BS$4,BS$4&gt;=$C$1),'General Inputs'!U$11*$H54,IF(AND(($D54+$C$1)&gt;BS$4,BS$4&gt;=$C$1),'General Inputs'!U$11*$G54,0))</f>
        <v>0</v>
      </c>
      <c r="BT54" s="214">
        <f>IF(AND(($E54+$C$1)&gt;BT$4,BT$4&gt;=$C$1),'General Inputs'!V$11*$H54,IF(AND(($D54+$C$1)&gt;BT$4,BT$4&gt;=$C$1),'General Inputs'!V$11*$G54,0))</f>
        <v>0</v>
      </c>
      <c r="BU54" s="214">
        <f>IF(AND(($E54+$C$1)&gt;BU$4,BU$4&gt;=$C$1),'General Inputs'!W$11*$H54,IF(AND(($D54+$C$1)&gt;BU$4,BU$4&gt;=$C$1),'General Inputs'!W$11*$G54,0))</f>
        <v>0</v>
      </c>
      <c r="BW54" s="214">
        <f>IF(AND(($E54+$C$1)&gt;BW$4,BW$4&gt;=$C$1),$H54,IF(AND(($D54+$C$1)&gt;BW$4,BW$4&gt;=$C$1),$G54,0))*IF($A54="Residential",'General Inputs'!D$14,'General Inputs'!D$19)</f>
        <v>0</v>
      </c>
      <c r="BX54" s="214">
        <f>IF(AND(($E54+$C$1)&gt;BX$4,BX$4&gt;=$C$1),$H54,IF(AND(($D54+$C$1)&gt;BX$4,BX$4&gt;=$C$1),$G54,0))*IF($A54="Residential",'General Inputs'!E$14,'General Inputs'!E$19)</f>
        <v>43.120562454057861</v>
      </c>
      <c r="BY54" s="214">
        <f>IF(AND(($E54+$C$1)&gt;BY$4,BY$4&gt;=$C$1),$H54,IF(AND(($D54+$C$1)&gt;BY$4,BY$4&gt;=$C$1),$G54,0))*IF($A54="Residential",'General Inputs'!F$14,'General Inputs'!F$19)</f>
        <v>43.767370890868726</v>
      </c>
      <c r="BZ54" s="214">
        <f>IF(AND(($E54+$C$1)&gt;BZ$4,BZ$4&gt;=$C$1),$H54,IF(AND(($D54+$C$1)&gt;BZ$4,BZ$4&gt;=$C$1),$G54,0))*IF($A54="Residential",'General Inputs'!G$14,'General Inputs'!G$19)</f>
        <v>44.423881454231754</v>
      </c>
      <c r="CA54" s="214">
        <f>IF(AND(($E54+$C$1)&gt;CA$4,CA$4&gt;=$C$1),$H54,IF(AND(($D54+$C$1)&gt;CA$4,CA$4&gt;=$C$1),$G54,0))*IF($A54="Residential",'General Inputs'!H$14,'General Inputs'!H$19)</f>
        <v>45.090239676045222</v>
      </c>
      <c r="CB54" s="214">
        <f>IF(AND(($E54+$C$1)&gt;CB$4,CB$4&gt;=$C$1),$H54,IF(AND(($D54+$C$1)&gt;CB$4,CB$4&gt;=$C$1),$G54,0))*IF($A54="Residential",'General Inputs'!I$14,'General Inputs'!I$19)</f>
        <v>45.76659327118589</v>
      </c>
      <c r="CC54" s="214">
        <f>IF(AND(($E54+$C$1)&gt;CC$4,CC$4&gt;=$C$1),$H54,IF(AND(($D54+$C$1)&gt;CC$4,CC$4&gt;=$C$1),$G54,0))*IF($A54="Residential",'General Inputs'!J$14,'General Inputs'!J$19)</f>
        <v>46.453092170253683</v>
      </c>
      <c r="CD54" s="214">
        <f>IF(AND(($E54+$C$1)&gt;CD$4,CD$4&gt;=$C$1),$H54,IF(AND(($D54+$C$1)&gt;CD$4,CD$4&gt;=$C$1),$G54,0))*IF($A54="Residential",'General Inputs'!K$14,'General Inputs'!K$19)</f>
        <v>0</v>
      </c>
      <c r="CE54" s="214">
        <f>IF(AND(($E54+$C$1)&gt;CE$4,CE$4&gt;=$C$1),$H54,IF(AND(($D54+$C$1)&gt;CE$4,CE$4&gt;=$C$1),$G54,0))*IF($A54="Residential",'General Inputs'!L$14,'General Inputs'!L$19)</f>
        <v>0</v>
      </c>
      <c r="CF54" s="214">
        <f>IF(AND(($E54+$C$1)&gt;CF$4,CF$4&gt;=$C$1),$H54,IF(AND(($D54+$C$1)&gt;CF$4,CF$4&gt;=$C$1),$G54,0))*IF($A54="Residential",'General Inputs'!M$14,'General Inputs'!M$19)</f>
        <v>0</v>
      </c>
      <c r="CG54" s="214">
        <f>IF(AND(($E54+$C$1)&gt;CG$4,CG$4&gt;=$C$1),$H54,IF(AND(($D54+$C$1)&gt;CG$4,CG$4&gt;=$C$1),$G54,0))*IF($A54="Residential",'General Inputs'!N$14,'General Inputs'!N$19)</f>
        <v>0</v>
      </c>
      <c r="CH54" s="214">
        <f>IF(AND(($E54+$C$1)&gt;CH$4,CH$4&gt;=$C$1),$H54,IF(AND(($D54+$C$1)&gt;CH$4,CH$4&gt;=$C$1),$G54,0))*IF($A54="Residential",'General Inputs'!O$14,'General Inputs'!O$19)</f>
        <v>0</v>
      </c>
      <c r="CI54" s="214">
        <f>IF(AND(($E54+$C$1)&gt;CI$4,CI$4&gt;=$C$1),$H54,IF(AND(($D54+$C$1)&gt;CI$4,CI$4&gt;=$C$1),$G54,0))*IF($A54="Residential",'General Inputs'!P$14,'General Inputs'!P$19)</f>
        <v>0</v>
      </c>
      <c r="CJ54" s="214">
        <f>IF(AND(($E54+$C$1)&gt;CJ$4,CJ$4&gt;=$C$1),$H54,IF(AND(($D54+$C$1)&gt;CJ$4,CJ$4&gt;=$C$1),$G54,0))*IF($A54="Residential",'General Inputs'!Q$14,'General Inputs'!Q$19)</f>
        <v>0</v>
      </c>
      <c r="CK54" s="214">
        <f>IF(AND(($E54+$C$1)&gt;CK$4,CK$4&gt;=$C$1),$H54,IF(AND(($D54+$C$1)&gt;CK$4,CK$4&gt;=$C$1),$G54,0))*IF($A54="Residential",'General Inputs'!R$14,'General Inputs'!R$19)</f>
        <v>0</v>
      </c>
      <c r="CL54" s="214">
        <f>IF(AND(($E54+$C$1)&gt;CL$4,CL$4&gt;=$C$1),$H54,IF(AND(($D54+$C$1)&gt;CL$4,CL$4&gt;=$C$1),$G54,0))*IF($A54="Residential",'General Inputs'!S$14,'General Inputs'!S$19)</f>
        <v>0</v>
      </c>
      <c r="CM54" s="214">
        <f>IF(AND(($E54+$C$1)&gt;CM$4,CM$4&gt;=$C$1),$H54,IF(AND(($D54+$C$1)&gt;CM$4,CM$4&gt;=$C$1),$G54,0))*IF($A54="Residential",'General Inputs'!T$14,'General Inputs'!T$19)</f>
        <v>0</v>
      </c>
      <c r="CN54" s="214">
        <f>IF(AND(($E54+$C$1)&gt;CN$4,CN$4&gt;=$C$1),$H54,IF(AND(($D54+$C$1)&gt;CN$4,CN$4&gt;=$C$1),$G54,0))*IF($A54="Residential",'General Inputs'!U$14,'General Inputs'!U$19)</f>
        <v>0</v>
      </c>
      <c r="CO54" s="214">
        <f>IF(AND(($E54+$C$1)&gt;CO$4,CO$4&gt;=$C$1),$H54,IF(AND(($D54+$C$1)&gt;CO$4,CO$4&gt;=$C$1),$G54,0))*IF($A54="Residential",'General Inputs'!V$14,'General Inputs'!V$19)</f>
        <v>0</v>
      </c>
      <c r="CP54" s="214">
        <f>IF(AND(($E54+$C$1)&gt;CP$4,CP$4&gt;=$C$1),$H54,IF(AND(($D54+$C$1)&gt;CP$4,CP$4&gt;=$C$1),$G54,0))*IF($A54="Residential",'General Inputs'!W$14,'General Inputs'!W$19)</f>
        <v>0</v>
      </c>
      <c r="CR54" s="214">
        <f>IF(AND(($E54+$C$1)&gt;CR$4,CR$4&gt;=$C$1),$H54,IF(AND(($D54+$C$1)&gt;CR$4,CR$4&gt;=$C$1),$G54,0))*IF($A54="Residential",'General Inputs'!D$15,'General Inputs'!D$19)</f>
        <v>0</v>
      </c>
      <c r="CS54" s="214">
        <f>IF(AND(($E54+$C$1)&gt;CS$4,CS$4&gt;=$C$1),$H54,IF(AND(($D54+$C$1)&gt;CS$4,CS$4&gt;=$C$1),$G54,0))*IF($A54="Residential",'General Inputs'!E$15,'General Inputs'!E$19)</f>
        <v>43.120562454057861</v>
      </c>
      <c r="CT54" s="214">
        <f>IF(AND(($E54+$C$1)&gt;CT$4,CT$4&gt;=$C$1),$H54,IF(AND(($D54+$C$1)&gt;CT$4,CT$4&gt;=$C$1),$G54,0))*IF($A54="Residential",'General Inputs'!F$15,'General Inputs'!F$19)</f>
        <v>43.767370890868726</v>
      </c>
      <c r="CU54" s="214">
        <f>IF(AND(($E54+$C$1)&gt;CU$4,CU$4&gt;=$C$1),$H54,IF(AND(($D54+$C$1)&gt;CU$4,CU$4&gt;=$C$1),$G54,0))*IF($A54="Residential",'General Inputs'!G$15,'General Inputs'!G$19)</f>
        <v>44.423881454231754</v>
      </c>
      <c r="CV54" s="214">
        <f>IF(AND(($E54+$C$1)&gt;CV$4,CV$4&gt;=$C$1),$H54,IF(AND(($D54+$C$1)&gt;CV$4,CV$4&gt;=$C$1),$G54,0))*IF($A54="Residential",'General Inputs'!H$15,'General Inputs'!H$19)</f>
        <v>45.090239676045222</v>
      </c>
      <c r="CW54" s="214">
        <f>IF(AND(($E54+$C$1)&gt;CW$4,CW$4&gt;=$C$1),$H54,IF(AND(($D54+$C$1)&gt;CW$4,CW$4&gt;=$C$1),$G54,0))*IF($A54="Residential",'General Inputs'!I$15,'General Inputs'!I$19)</f>
        <v>45.76659327118589</v>
      </c>
      <c r="CX54" s="214">
        <f>IF(AND(($E54+$C$1)&gt;CX$4,CX$4&gt;=$C$1),$H54,IF(AND(($D54+$C$1)&gt;CX$4,CX$4&gt;=$C$1),$G54,0))*IF($A54="Residential",'General Inputs'!J$15,'General Inputs'!J$19)</f>
        <v>46.453092170253683</v>
      </c>
      <c r="CY54" s="214">
        <f>IF(AND(($E54+$C$1)&gt;CY$4,CY$4&gt;=$C$1),$H54,IF(AND(($D54+$C$1)&gt;CY$4,CY$4&gt;=$C$1),$G54,0))*IF($A54="Residential",'General Inputs'!K$15,'General Inputs'!K$19)</f>
        <v>0</v>
      </c>
      <c r="CZ54" s="214">
        <f>IF(AND(($E54+$C$1)&gt;CZ$4,CZ$4&gt;=$C$1),$H54,IF(AND(($D54+$C$1)&gt;CZ$4,CZ$4&gt;=$C$1),$G54,0))*IF($A54="Residential",'General Inputs'!L$15,'General Inputs'!L$19)</f>
        <v>0</v>
      </c>
      <c r="DA54" s="214">
        <f>IF(AND(($E54+$C$1)&gt;DA$4,DA$4&gt;=$C$1),$H54,IF(AND(($D54+$C$1)&gt;DA$4,DA$4&gt;=$C$1),$G54,0))*IF($A54="Residential",'General Inputs'!M$15,'General Inputs'!M$19)</f>
        <v>0</v>
      </c>
      <c r="DB54" s="214">
        <f>IF(AND(($E54+$C$1)&gt;DB$4,DB$4&gt;=$C$1),$H54,IF(AND(($D54+$C$1)&gt;DB$4,DB$4&gt;=$C$1),$G54,0))*IF($A54="Residential",'General Inputs'!N$15,'General Inputs'!N$19)</f>
        <v>0</v>
      </c>
      <c r="DC54" s="214">
        <f>IF(AND(($E54+$C$1)&gt;DC$4,DC$4&gt;=$C$1),$H54,IF(AND(($D54+$C$1)&gt;DC$4,DC$4&gt;=$C$1),$G54,0))*IF($A54="Residential",'General Inputs'!O$15,'General Inputs'!O$19)</f>
        <v>0</v>
      </c>
      <c r="DD54" s="214">
        <f>IF(AND(($E54+$C$1)&gt;DD$4,DD$4&gt;=$C$1),$H54,IF(AND(($D54+$C$1)&gt;DD$4,DD$4&gt;=$C$1),$G54,0))*IF($A54="Residential",'General Inputs'!P$15,'General Inputs'!P$19)</f>
        <v>0</v>
      </c>
      <c r="DE54" s="214">
        <f>IF(AND(($E54+$C$1)&gt;DE$4,DE$4&gt;=$C$1),$H54,IF(AND(($D54+$C$1)&gt;DE$4,DE$4&gt;=$C$1),$G54,0))*IF($A54="Residential",'General Inputs'!Q$15,'General Inputs'!Q$19)</f>
        <v>0</v>
      </c>
      <c r="DF54" s="214">
        <f>IF(AND(($E54+$C$1)&gt;DF$4,DF$4&gt;=$C$1),$H54,IF(AND(($D54+$C$1)&gt;DF$4,DF$4&gt;=$C$1),$G54,0))*IF($A54="Residential",'General Inputs'!R$15,'General Inputs'!R$19)</f>
        <v>0</v>
      </c>
      <c r="DG54" s="214">
        <f>IF(AND(($E54+$C$1)&gt;DG$4,DG$4&gt;=$C$1),$H54,IF(AND(($D54+$C$1)&gt;DG$4,DG$4&gt;=$C$1),$G54,0))*IF($A54="Residential",'General Inputs'!S$15,'General Inputs'!S$19)</f>
        <v>0</v>
      </c>
      <c r="DH54" s="214">
        <f>IF(AND(($E54+$C$1)&gt;DH$4,DH$4&gt;=$C$1),$H54,IF(AND(($D54+$C$1)&gt;DH$4,DH$4&gt;=$C$1),$G54,0))*IF($A54="Residential",'General Inputs'!T$15,'General Inputs'!T$19)</f>
        <v>0</v>
      </c>
      <c r="DI54" s="214">
        <f>IF(AND(($E54+$C$1)&gt;DI$4,DI$4&gt;=$C$1),$H54,IF(AND(($D54+$C$1)&gt;DI$4,DI$4&gt;=$C$1),$G54,0))*IF($A54="Residential",'General Inputs'!U$15,'General Inputs'!U$19)</f>
        <v>0</v>
      </c>
      <c r="DJ54" s="214">
        <f>IF(AND(($E54+$C$1)&gt;DJ$4,DJ$4&gt;=$C$1),$H54,IF(AND(($D54+$C$1)&gt;DJ$4,DJ$4&gt;=$C$1),$G54,0))*IF($A54="Residential",'General Inputs'!V$15,'General Inputs'!V$19)</f>
        <v>0</v>
      </c>
      <c r="DK54" s="214">
        <f>IF(AND(($E54+$C$1)&gt;DK$4,DK$4&gt;=$C$1),$H54,IF(AND(($D54+$C$1)&gt;DK$4,DK$4&gt;=$C$1),$G54,0))*IF($A54="Residential",'General Inputs'!W$15,'General Inputs'!W$19)</f>
        <v>0</v>
      </c>
      <c r="DM54" s="214">
        <f t="shared" si="99"/>
        <v>0</v>
      </c>
      <c r="DN54" s="214">
        <f t="shared" si="99"/>
        <v>20</v>
      </c>
      <c r="DO54" s="214">
        <f t="shared" si="99"/>
        <v>0</v>
      </c>
      <c r="DP54" s="214">
        <f t="shared" si="99"/>
        <v>0</v>
      </c>
      <c r="DQ54" s="214">
        <f t="shared" si="99"/>
        <v>0</v>
      </c>
      <c r="DR54" s="214">
        <f t="shared" si="99"/>
        <v>0</v>
      </c>
      <c r="DS54" s="214">
        <f t="shared" si="99"/>
        <v>0</v>
      </c>
      <c r="DT54" s="214">
        <f t="shared" si="99"/>
        <v>0</v>
      </c>
      <c r="DU54" s="214">
        <f t="shared" si="99"/>
        <v>0</v>
      </c>
      <c r="DV54" s="214">
        <f t="shared" si="99"/>
        <v>0</v>
      </c>
      <c r="DW54" s="214">
        <f t="shared" si="99"/>
        <v>0</v>
      </c>
      <c r="DZ54" s="650"/>
      <c r="FI54" s="195"/>
      <c r="FJ54" s="195"/>
      <c r="FK54" s="195"/>
      <c r="FL54" s="195"/>
      <c r="FM54" s="195"/>
      <c r="FN54" s="195"/>
      <c r="FO54" s="195"/>
    </row>
    <row r="55" spans="1:171">
      <c r="A55" s="342" t="s">
        <v>112</v>
      </c>
      <c r="B55" s="427" t="str">
        <f>'Portfolio Inputs'!A54</f>
        <v>Fluorescent Fixture Specular Reflector 4-ft</v>
      </c>
      <c r="C55" s="217">
        <f>IF($C$1=2014,'Portfolio Inputs'!$C54,IF($C$1=2015,'Portfolio Inputs'!$D54,'Portfolio Inputs'!$E54))</f>
        <v>0</v>
      </c>
      <c r="D55" s="504">
        <f>VLOOKUP(B55,Sources!$B$4:$J$104,2,FALSE)</f>
        <v>15</v>
      </c>
      <c r="E55" s="504">
        <f>VLOOKUP(B55,Sources!$B$4:$J$104,3,FALSE)</f>
        <v>0</v>
      </c>
      <c r="G55" s="504">
        <f>IF($C$1=2014,'Portfolio Inputs'!$G54,IF($C$1=2015,'Portfolio Inputs'!$H54,'Portfolio Inputs'!$I54))*EnergyLineLoss</f>
        <v>0</v>
      </c>
      <c r="H55" s="504"/>
      <c r="I55" s="595">
        <f>IF($C$1=2014,'Portfolio Inputs'!$K54,IF($C$1=2015,'Portfolio Inputs'!$L54,'Portfolio Inputs'!$M54))*PeakLineLoss</f>
        <v>0</v>
      </c>
      <c r="J55" s="510"/>
      <c r="L55" s="606">
        <f>IF($C$1=2014,'Portfolio Inputs'!$O54,IF($C$1=2015,'Portfolio Inputs'!$P54,'Portfolio Inputs'!$Q54))</f>
        <v>30</v>
      </c>
      <c r="M55" s="518">
        <f>VLOOKUP($B55,Sources!$B$4:$K$104,10,FALSE)</f>
        <v>0</v>
      </c>
      <c r="N55" s="419">
        <f>IF($C$1=2014,'Portfolio Inputs'!$W54,IF($C$1=2015,'Portfolio Inputs'!$X54,'Portfolio Inputs'!$Y54))</f>
        <v>0</v>
      </c>
      <c r="O55" s="419">
        <f>IF($C$1=2014,'Portfolio Inputs'!$AA54,IF($C$1=2015,'Portfolio Inputs'!$AB54,'Portfolio Inputs'!$AC54))</f>
        <v>0</v>
      </c>
      <c r="Q55" s="438" t="str">
        <f t="shared" si="67"/>
        <v>n/a</v>
      </c>
      <c r="R55" s="439" t="str">
        <f t="shared" si="68"/>
        <v>n/a</v>
      </c>
      <c r="S55" s="439" t="str">
        <f t="shared" si="69"/>
        <v>n/a</v>
      </c>
      <c r="T55" s="439" t="str">
        <f t="shared" si="70"/>
        <v>n/a</v>
      </c>
      <c r="U55" s="439" t="str">
        <f t="shared" si="98"/>
        <v>n/a</v>
      </c>
      <c r="V55" s="439" t="str">
        <f t="shared" si="72"/>
        <v>n/a</v>
      </c>
      <c r="W55" s="439" t="str">
        <f t="shared" si="73"/>
        <v>n/a</v>
      </c>
      <c r="Y55" s="215">
        <f t="shared" si="4"/>
        <v>0</v>
      </c>
      <c r="Z55" s="215">
        <f t="shared" si="5"/>
        <v>0</v>
      </c>
      <c r="AA55" s="215">
        <f t="shared" si="6"/>
        <v>0</v>
      </c>
      <c r="AB55" s="215">
        <f t="shared" si="7"/>
        <v>0</v>
      </c>
      <c r="AC55" s="216">
        <f t="shared" si="20"/>
        <v>0</v>
      </c>
      <c r="AD55" s="216">
        <f t="shared" si="21"/>
        <v>0</v>
      </c>
      <c r="AE55" s="215">
        <f t="shared" si="8"/>
        <v>0</v>
      </c>
      <c r="AG55" s="214">
        <f>IF(AND(($E55+$C$1)&gt;AG$4,AG$4&gt;=$C$1),'General Inputs'!D$9*$H55,IF(AND(($D55+$C$1)&gt;AG$4,AG$4&gt;=$C$1),'General Inputs'!D$9*$G55,0))+IF(AND(($E55+$C$1)&gt;AG$4,AG$4&gt;=$C$1),'General Inputs'!D$10*$J55,IF(AND(($D55+$C$1)&gt;AG$4,AG$4&gt;=$C$1),'General Inputs'!D$10*$I55,0))</f>
        <v>0</v>
      </c>
      <c r="AH55" s="214">
        <f>IF(AND(($E55+$C$1)&gt;AH$4,AH$4&gt;=$C$1),'General Inputs'!E$9*$H55,IF(AND(($D55+$C$1)&gt;AH$4,AH$4&gt;=$C$1),'General Inputs'!E$9*$G55,0))+IF(AND(($E55+$C$1)&gt;AH$4,AH$4&gt;=$C$1),'General Inputs'!E$10*$J55,IF(AND(($D55+$C$1)&gt;AH$4,AH$4&gt;=$C$1),'General Inputs'!E$10*$I55,0))</f>
        <v>0</v>
      </c>
      <c r="AI55" s="214">
        <f>IF(AND(($E55+$C$1)&gt;AI$4,AI$4&gt;=$C$1),'General Inputs'!F$9*$H55,IF(AND(($D55+$C$1)&gt;AI$4,AI$4&gt;=$C$1),'General Inputs'!F$9*$G55,0))+IF(AND(($E55+$C$1)&gt;AI$4,AI$4&gt;=$C$1),'General Inputs'!F$10*$J55,IF(AND(($D55+$C$1)&gt;AI$4,AI$4&gt;=$C$1),'General Inputs'!F$10*$I55,0))</f>
        <v>0</v>
      </c>
      <c r="AJ55" s="214">
        <f>IF(AND(($E55+$C$1)&gt;AJ$4,AJ$4&gt;=$C$1),'General Inputs'!G$9*$H55,IF(AND(($D55+$C$1)&gt;AJ$4,AJ$4&gt;=$C$1),'General Inputs'!G$9*$G55,0))+IF(AND(($E55+$C$1)&gt;AJ$4,AJ$4&gt;=$C$1),'General Inputs'!G$10*$J55,IF(AND(($D55+$C$1)&gt;AJ$4,AJ$4&gt;=$C$1),'General Inputs'!G$10*$I55,0))</f>
        <v>0</v>
      </c>
      <c r="AK55" s="214">
        <f>IF(AND(($E55+$C$1)&gt;AK$4,AK$4&gt;=$C$1),'General Inputs'!H$9*$H55,IF(AND(($D55+$C$1)&gt;AK$4,AK$4&gt;=$C$1),'General Inputs'!H$9*$G55,0))+IF(AND(($E55+$C$1)&gt;AK$4,AK$4&gt;=$C$1),'General Inputs'!H$10*$J55,IF(AND(($D55+$C$1)&gt;AK$4,AK$4&gt;=$C$1),'General Inputs'!H$10*$I55,0))</f>
        <v>0</v>
      </c>
      <c r="AL55" s="214">
        <f>IF(AND(($E55+$C$1)&gt;AL$4,AL$4&gt;=$C$1),'General Inputs'!I$9*$H55,IF(AND(($D55+$C$1)&gt;AL$4,AL$4&gt;=$C$1),'General Inputs'!I$9*$G55,0))+IF(AND(($E55+$C$1)&gt;AL$4,AL$4&gt;=$C$1),'General Inputs'!I$10*$J55,IF(AND(($D55+$C$1)&gt;AL$4,AL$4&gt;=$C$1),'General Inputs'!I$10*$I55,0))</f>
        <v>0</v>
      </c>
      <c r="AM55" s="214">
        <f>IF(AND(($E55+$C$1)&gt;AM$4,AM$4&gt;=$C$1),'General Inputs'!J$9*$H55,IF(AND(($D55+$C$1)&gt;AM$4,AM$4&gt;=$C$1),'General Inputs'!J$9*$G55,0))+IF(AND(($E55+$C$1)&gt;AM$4,AM$4&gt;=$C$1),'General Inputs'!J$10*$J55,IF(AND(($D55+$C$1)&gt;AM$4,AM$4&gt;=$C$1),'General Inputs'!J$10*$I55,0))</f>
        <v>0</v>
      </c>
      <c r="AN55" s="214">
        <f>IF(AND(($E55+$C$1)&gt;AN$4,AN$4&gt;=$C$1),'General Inputs'!K$9*$H55,IF(AND(($D55+$C$1)&gt;AN$4,AN$4&gt;=$C$1),'General Inputs'!K$9*$G55,0))+IF(AND(($E55+$C$1)&gt;AN$4,AN$4&gt;=$C$1),'General Inputs'!K$10*$J55,IF(AND(($D55+$C$1)&gt;AN$4,AN$4&gt;=$C$1),'General Inputs'!K$10*$I55,0))</f>
        <v>0</v>
      </c>
      <c r="AO55" s="214">
        <f>IF(AND(($E55+$C$1)&gt;AO$4,AO$4&gt;=$C$1),'General Inputs'!L$9*$H55,IF(AND(($D55+$C$1)&gt;AO$4,AO$4&gt;=$C$1),'General Inputs'!L$9*$G55,0))+IF(AND(($E55+$C$1)&gt;AO$4,AO$4&gt;=$C$1),'General Inputs'!L$10*$J55,IF(AND(($D55+$C$1)&gt;AO$4,AO$4&gt;=$C$1),'General Inputs'!L$10*$I55,0))</f>
        <v>0</v>
      </c>
      <c r="AP55" s="214">
        <f>IF(AND(($E55+$C$1)&gt;AP$4,AP$4&gt;=$C$1),'General Inputs'!M$9*$H55,IF(AND(($D55+$C$1)&gt;AP$4,AP$4&gt;=$C$1),'General Inputs'!M$9*$G55,0))+IF(AND(($E55+$C$1)&gt;AP$4,AP$4&gt;=$C$1),'General Inputs'!M$10*$J55,IF(AND(($D55+$C$1)&gt;AP$4,AP$4&gt;=$C$1),'General Inputs'!M$10*$I55,0))</f>
        <v>0</v>
      </c>
      <c r="AQ55" s="214">
        <f>IF(AND(($E55+$C$1)&gt;AQ$4,AQ$4&gt;=$C$1),'General Inputs'!N$9*$H55,IF(AND(($D55+$C$1)&gt;AQ$4,AQ$4&gt;=$C$1),'General Inputs'!N$9*$G55,0))+IF(AND(($E55+$C$1)&gt;AQ$4,AQ$4&gt;=$C$1),'General Inputs'!N$10*$J55,IF(AND(($D55+$C$1)&gt;AQ$4,AQ$4&gt;=$C$1),'General Inputs'!N$10*$I55,0))</f>
        <v>0</v>
      </c>
      <c r="AR55" s="214">
        <f>IF(AND(($E55+$C$1)&gt;AR$4,AR$4&gt;=$C$1),'General Inputs'!O$9*$H55,IF(AND(($D55+$C$1)&gt;AR$4,AR$4&gt;=$C$1),'General Inputs'!O$9*$G55,0))+IF(AND(($E55+$C$1)&gt;AR$4,AR$4&gt;=$C$1),'General Inputs'!O$10*$J55,IF(AND(($D55+$C$1)&gt;AR$4,AR$4&gt;=$C$1),'General Inputs'!O$10*$I55,0))</f>
        <v>0</v>
      </c>
      <c r="AS55" s="214">
        <f>IF(AND(($E55+$C$1)&gt;AS$4,AS$4&gt;=$C$1),'General Inputs'!P$9*$H55,IF(AND(($D55+$C$1)&gt;AS$4,AS$4&gt;=$C$1),'General Inputs'!P$9*$G55,0))+IF(AND(($E55+$C$1)&gt;AS$4,AS$4&gt;=$C$1),'General Inputs'!P$10*$J55,IF(AND(($D55+$C$1)&gt;AS$4,AS$4&gt;=$C$1),'General Inputs'!P$10*$I55,0))</f>
        <v>0</v>
      </c>
      <c r="AT55" s="214">
        <f>IF(AND(($E55+$C$1)&gt;AT$4,AT$4&gt;=$C$1),'General Inputs'!Q$9*$H55,IF(AND(($D55+$C$1)&gt;AT$4,AT$4&gt;=$C$1),'General Inputs'!Q$9*$G55,0))+IF(AND(($E55+$C$1)&gt;AT$4,AT$4&gt;=$C$1),'General Inputs'!Q$10*$J55,IF(AND(($D55+$C$1)&gt;AT$4,AT$4&gt;=$C$1),'General Inputs'!Q$10*$I55,0))</f>
        <v>0</v>
      </c>
      <c r="AU55" s="214">
        <f>IF(AND(($E55+$C$1)&gt;AU$4,AU$4&gt;=$C$1),'General Inputs'!R$9*$H55,IF(AND(($D55+$C$1)&gt;AU$4,AU$4&gt;=$C$1),'General Inputs'!R$9*$G55,0))+IF(AND(($E55+$C$1)&gt;AU$4,AU$4&gt;=$C$1),'General Inputs'!R$10*$J55,IF(AND(($D55+$C$1)&gt;AU$4,AU$4&gt;=$C$1),'General Inputs'!R$10*$I55,0))</f>
        <v>0</v>
      </c>
      <c r="AV55" s="214">
        <f>IF(AND(($E55+$C$1)&gt;AV$4,AV$4&gt;=$C$1),'General Inputs'!S$9*$H55,IF(AND(($D55+$C$1)&gt;AV$4,AV$4&gt;=$C$1),'General Inputs'!S$9*$G55,0))+IF(AND(($E55+$C$1)&gt;AV$4,AV$4&gt;=$C$1),'General Inputs'!S$10*$J55,IF(AND(($D55+$C$1)&gt;AV$4,AV$4&gt;=$C$1),'General Inputs'!S$10*$I55,0))</f>
        <v>0</v>
      </c>
      <c r="AW55" s="214">
        <f>IF(AND(($E55+$C$1)&gt;AW$4,AW$4&gt;=$C$1),'General Inputs'!T$9*$H55,IF(AND(($D55+$C$1)&gt;AW$4,AW$4&gt;=$C$1),'General Inputs'!T$9*$G55,0))+IF(AND(($E55+$C$1)&gt;AW$4,AW$4&gt;=$C$1),'General Inputs'!T$10*$J55,IF(AND(($D55+$C$1)&gt;AW$4,AW$4&gt;=$C$1),'General Inputs'!T$10*$I55,0))</f>
        <v>0</v>
      </c>
      <c r="AX55" s="214">
        <f>IF(AND(($E55+$C$1)&gt;AX$4,AX$4&gt;=$C$1),'General Inputs'!U$9*$H55,IF(AND(($D55+$C$1)&gt;AX$4,AX$4&gt;=$C$1),'General Inputs'!U$9*$G55,0))+IF(AND(($E55+$C$1)&gt;AX$4,AX$4&gt;=$C$1),'General Inputs'!U$10*$J55,IF(AND(($D55+$C$1)&gt;AX$4,AX$4&gt;=$C$1),'General Inputs'!U$10*$I55,0))</f>
        <v>0</v>
      </c>
      <c r="AY55" s="214">
        <f>IF(AND(($E55+$C$1)&gt;AY$4,AY$4&gt;=$C$1),'General Inputs'!V$9*$H55,IF(AND(($D55+$C$1)&gt;AY$4,AY$4&gt;=$C$1),'General Inputs'!V$9*$G55,0))+IF(AND(($E55+$C$1)&gt;AY$4,AY$4&gt;=$C$1),'General Inputs'!V$10*$J55,IF(AND(($D55+$C$1)&gt;AY$4,AY$4&gt;=$C$1),'General Inputs'!V$10*$I55,0))</f>
        <v>0</v>
      </c>
      <c r="AZ55" s="214">
        <f>IF(AND(($E55+$C$1)&gt;AZ$4,AZ$4&gt;=$C$1),'General Inputs'!W$9*$H55,IF(AND(($D55+$C$1)&gt;AZ$4,AZ$4&gt;=$C$1),'General Inputs'!W$9*$G55,0))+IF(AND(($E55+$C$1)&gt;AZ$4,AZ$4&gt;=$C$1),'General Inputs'!W$10*$J55,IF(AND(($D55+$C$1)&gt;AZ$4,AZ$4&gt;=$C$1),'General Inputs'!W$10*$I55,0))</f>
        <v>0</v>
      </c>
      <c r="BB55" s="214">
        <f>IF(AND(($E55+$C$1)&gt;BB$4,BB$4&gt;=$C$1),'General Inputs'!D$11*$H55,IF(AND(($D55+$C$1)&gt;BB$4,BB$4&gt;=$C$1),'General Inputs'!D$11*$G55,0))</f>
        <v>0</v>
      </c>
      <c r="BC55" s="214">
        <f>IF(AND(($E55+$C$1)&gt;BC$4,BC$4&gt;=$C$1),'General Inputs'!E$11*$H55,IF(AND(($D55+$C$1)&gt;BC$4,BC$4&gt;=$C$1),'General Inputs'!E$11*$G55,0))</f>
        <v>0</v>
      </c>
      <c r="BD55" s="214">
        <f>IF(AND(($E55+$C$1)&gt;BD$4,BD$4&gt;=$C$1),'General Inputs'!F$11*$H55,IF(AND(($D55+$C$1)&gt;BD$4,BD$4&gt;=$C$1),'General Inputs'!F$11*$G55,0))</f>
        <v>0</v>
      </c>
      <c r="BE55" s="214">
        <f>IF(AND(($E55+$C$1)&gt;BE$4,BE$4&gt;=$C$1),'General Inputs'!G$11*$H55,IF(AND(($D55+$C$1)&gt;BE$4,BE$4&gt;=$C$1),'General Inputs'!G$11*$G55,0))</f>
        <v>0</v>
      </c>
      <c r="BF55" s="214">
        <f>IF(AND(($E55+$C$1)&gt;BF$4,BF$4&gt;=$C$1),'General Inputs'!H$11*$H55,IF(AND(($D55+$C$1)&gt;BF$4,BF$4&gt;=$C$1),'General Inputs'!H$11*$G55,0))</f>
        <v>0</v>
      </c>
      <c r="BG55" s="214">
        <f>IF(AND(($E55+$C$1)&gt;BG$4,BG$4&gt;=$C$1),'General Inputs'!I$11*$H55,IF(AND(($D55+$C$1)&gt;BG$4,BG$4&gt;=$C$1),'General Inputs'!I$11*$G55,0))</f>
        <v>0</v>
      </c>
      <c r="BH55" s="214">
        <f>IF(AND(($E55+$C$1)&gt;BH$4,BH$4&gt;=$C$1),'General Inputs'!J$11*$H55,IF(AND(($D55+$C$1)&gt;BH$4,BH$4&gt;=$C$1),'General Inputs'!J$11*$G55,0))</f>
        <v>0</v>
      </c>
      <c r="BI55" s="214">
        <f>IF(AND(($E55+$C$1)&gt;BI$4,BI$4&gt;=$C$1),'General Inputs'!K$11*$H55,IF(AND(($D55+$C$1)&gt;BI$4,BI$4&gt;=$C$1),'General Inputs'!K$11*$G55,0))</f>
        <v>0</v>
      </c>
      <c r="BJ55" s="214">
        <f>IF(AND(($E55+$C$1)&gt;BJ$4,BJ$4&gt;=$C$1),'General Inputs'!L$11*$H55,IF(AND(($D55+$C$1)&gt;BJ$4,BJ$4&gt;=$C$1),'General Inputs'!L$11*$G55,0))</f>
        <v>0</v>
      </c>
      <c r="BK55" s="214">
        <f>IF(AND(($E55+$C$1)&gt;BK$4,BK$4&gt;=$C$1),'General Inputs'!M$11*$H55,IF(AND(($D55+$C$1)&gt;BK$4,BK$4&gt;=$C$1),'General Inputs'!M$11*$G55,0))</f>
        <v>0</v>
      </c>
      <c r="BL55" s="214">
        <f>IF(AND(($E55+$C$1)&gt;BL$4,BL$4&gt;=$C$1),'General Inputs'!N$11*$H55,IF(AND(($D55+$C$1)&gt;BL$4,BL$4&gt;=$C$1),'General Inputs'!N$11*$G55,0))</f>
        <v>0</v>
      </c>
      <c r="BM55" s="214">
        <f>IF(AND(($E55+$C$1)&gt;BM$4,BM$4&gt;=$C$1),'General Inputs'!O$11*$H55,IF(AND(($D55+$C$1)&gt;BM$4,BM$4&gt;=$C$1),'General Inputs'!O$11*$G55,0))</f>
        <v>0</v>
      </c>
      <c r="BN55" s="214">
        <f>IF(AND(($E55+$C$1)&gt;BN$4,BN$4&gt;=$C$1),'General Inputs'!P$11*$H55,IF(AND(($D55+$C$1)&gt;BN$4,BN$4&gt;=$C$1),'General Inputs'!P$11*$G55,0))</f>
        <v>0</v>
      </c>
      <c r="BO55" s="214">
        <f>IF(AND(($E55+$C$1)&gt;BO$4,BO$4&gt;=$C$1),'General Inputs'!Q$11*$H55,IF(AND(($D55+$C$1)&gt;BO$4,BO$4&gt;=$C$1),'General Inputs'!Q$11*$G55,0))</f>
        <v>0</v>
      </c>
      <c r="BP55" s="214">
        <f>IF(AND(($E55+$C$1)&gt;BP$4,BP$4&gt;=$C$1),'General Inputs'!R$11*$H55,IF(AND(($D55+$C$1)&gt;BP$4,BP$4&gt;=$C$1),'General Inputs'!R$11*$G55,0))</f>
        <v>0</v>
      </c>
      <c r="BQ55" s="214">
        <f>IF(AND(($E55+$C$1)&gt;BQ$4,BQ$4&gt;=$C$1),'General Inputs'!S$11*$H55,IF(AND(($D55+$C$1)&gt;BQ$4,BQ$4&gt;=$C$1),'General Inputs'!S$11*$G55,0))</f>
        <v>0</v>
      </c>
      <c r="BR55" s="214">
        <f>IF(AND(($E55+$C$1)&gt;BR$4,BR$4&gt;=$C$1),'General Inputs'!T$11*$H55,IF(AND(($D55+$C$1)&gt;BR$4,BR$4&gt;=$C$1),'General Inputs'!T$11*$G55,0))</f>
        <v>0</v>
      </c>
      <c r="BS55" s="214">
        <f>IF(AND(($E55+$C$1)&gt;BS$4,BS$4&gt;=$C$1),'General Inputs'!U$11*$H55,IF(AND(($D55+$C$1)&gt;BS$4,BS$4&gt;=$C$1),'General Inputs'!U$11*$G55,0))</f>
        <v>0</v>
      </c>
      <c r="BT55" s="214">
        <f>IF(AND(($E55+$C$1)&gt;BT$4,BT$4&gt;=$C$1),'General Inputs'!V$11*$H55,IF(AND(($D55+$C$1)&gt;BT$4,BT$4&gt;=$C$1),'General Inputs'!V$11*$G55,0))</f>
        <v>0</v>
      </c>
      <c r="BU55" s="214">
        <f>IF(AND(($E55+$C$1)&gt;BU$4,BU$4&gt;=$C$1),'General Inputs'!W$11*$H55,IF(AND(($D55+$C$1)&gt;BU$4,BU$4&gt;=$C$1),'General Inputs'!W$11*$G55,0))</f>
        <v>0</v>
      </c>
      <c r="BW55" s="214">
        <f>IF(AND(($E55+$C$1)&gt;BW$4,BW$4&gt;=$C$1),$H55,IF(AND(($D55+$C$1)&gt;BW$4,BW$4&gt;=$C$1),$G55,0))*IF($A55="Residential",'General Inputs'!D$14,'General Inputs'!D$19)</f>
        <v>0</v>
      </c>
      <c r="BX55" s="214">
        <f>IF(AND(($E55+$C$1)&gt;BX$4,BX$4&gt;=$C$1),$H55,IF(AND(($D55+$C$1)&gt;BX$4,BX$4&gt;=$C$1),$G55,0))*IF($A55="Residential",'General Inputs'!E$14,'General Inputs'!E$19)</f>
        <v>0</v>
      </c>
      <c r="BY55" s="214">
        <f>IF(AND(($E55+$C$1)&gt;BY$4,BY$4&gt;=$C$1),$H55,IF(AND(($D55+$C$1)&gt;BY$4,BY$4&gt;=$C$1),$G55,0))*IF($A55="Residential",'General Inputs'!F$14,'General Inputs'!F$19)</f>
        <v>0</v>
      </c>
      <c r="BZ55" s="214">
        <f>IF(AND(($E55+$C$1)&gt;BZ$4,BZ$4&gt;=$C$1),$H55,IF(AND(($D55+$C$1)&gt;BZ$4,BZ$4&gt;=$C$1),$G55,0))*IF($A55="Residential",'General Inputs'!G$14,'General Inputs'!G$19)</f>
        <v>0</v>
      </c>
      <c r="CA55" s="214">
        <f>IF(AND(($E55+$C$1)&gt;CA$4,CA$4&gt;=$C$1),$H55,IF(AND(($D55+$C$1)&gt;CA$4,CA$4&gt;=$C$1),$G55,0))*IF($A55="Residential",'General Inputs'!H$14,'General Inputs'!H$19)</f>
        <v>0</v>
      </c>
      <c r="CB55" s="214">
        <f>IF(AND(($E55+$C$1)&gt;CB$4,CB$4&gt;=$C$1),$H55,IF(AND(($D55+$C$1)&gt;CB$4,CB$4&gt;=$C$1),$G55,0))*IF($A55="Residential",'General Inputs'!I$14,'General Inputs'!I$19)</f>
        <v>0</v>
      </c>
      <c r="CC55" s="214">
        <f>IF(AND(($E55+$C$1)&gt;CC$4,CC$4&gt;=$C$1),$H55,IF(AND(($D55+$C$1)&gt;CC$4,CC$4&gt;=$C$1),$G55,0))*IF($A55="Residential",'General Inputs'!J$14,'General Inputs'!J$19)</f>
        <v>0</v>
      </c>
      <c r="CD55" s="214">
        <f>IF(AND(($E55+$C$1)&gt;CD$4,CD$4&gt;=$C$1),$H55,IF(AND(($D55+$C$1)&gt;CD$4,CD$4&gt;=$C$1),$G55,0))*IF($A55="Residential",'General Inputs'!K$14,'General Inputs'!K$19)</f>
        <v>0</v>
      </c>
      <c r="CE55" s="214">
        <f>IF(AND(($E55+$C$1)&gt;CE$4,CE$4&gt;=$C$1),$H55,IF(AND(($D55+$C$1)&gt;CE$4,CE$4&gt;=$C$1),$G55,0))*IF($A55="Residential",'General Inputs'!L$14,'General Inputs'!L$19)</f>
        <v>0</v>
      </c>
      <c r="CF55" s="214">
        <f>IF(AND(($E55+$C$1)&gt;CF$4,CF$4&gt;=$C$1),$H55,IF(AND(($D55+$C$1)&gt;CF$4,CF$4&gt;=$C$1),$G55,0))*IF($A55="Residential",'General Inputs'!M$14,'General Inputs'!M$19)</f>
        <v>0</v>
      </c>
      <c r="CG55" s="214">
        <f>IF(AND(($E55+$C$1)&gt;CG$4,CG$4&gt;=$C$1),$H55,IF(AND(($D55+$C$1)&gt;CG$4,CG$4&gt;=$C$1),$G55,0))*IF($A55="Residential",'General Inputs'!N$14,'General Inputs'!N$19)</f>
        <v>0</v>
      </c>
      <c r="CH55" s="214">
        <f>IF(AND(($E55+$C$1)&gt;CH$4,CH$4&gt;=$C$1),$H55,IF(AND(($D55+$C$1)&gt;CH$4,CH$4&gt;=$C$1),$G55,0))*IF($A55="Residential",'General Inputs'!O$14,'General Inputs'!O$19)</f>
        <v>0</v>
      </c>
      <c r="CI55" s="214">
        <f>IF(AND(($E55+$C$1)&gt;CI$4,CI$4&gt;=$C$1),$H55,IF(AND(($D55+$C$1)&gt;CI$4,CI$4&gt;=$C$1),$G55,0))*IF($A55="Residential",'General Inputs'!P$14,'General Inputs'!P$19)</f>
        <v>0</v>
      </c>
      <c r="CJ55" s="214">
        <f>IF(AND(($E55+$C$1)&gt;CJ$4,CJ$4&gt;=$C$1),$H55,IF(AND(($D55+$C$1)&gt;CJ$4,CJ$4&gt;=$C$1),$G55,0))*IF($A55="Residential",'General Inputs'!Q$14,'General Inputs'!Q$19)</f>
        <v>0</v>
      </c>
      <c r="CK55" s="214">
        <f>IF(AND(($E55+$C$1)&gt;CK$4,CK$4&gt;=$C$1),$H55,IF(AND(($D55+$C$1)&gt;CK$4,CK$4&gt;=$C$1),$G55,0))*IF($A55="Residential",'General Inputs'!R$14,'General Inputs'!R$19)</f>
        <v>0</v>
      </c>
      <c r="CL55" s="214">
        <f>IF(AND(($E55+$C$1)&gt;CL$4,CL$4&gt;=$C$1),$H55,IF(AND(($D55+$C$1)&gt;CL$4,CL$4&gt;=$C$1),$G55,0))*IF($A55="Residential",'General Inputs'!S$14,'General Inputs'!S$19)</f>
        <v>0</v>
      </c>
      <c r="CM55" s="214">
        <f>IF(AND(($E55+$C$1)&gt;CM$4,CM$4&gt;=$C$1),$H55,IF(AND(($D55+$C$1)&gt;CM$4,CM$4&gt;=$C$1),$G55,0))*IF($A55="Residential",'General Inputs'!T$14,'General Inputs'!T$19)</f>
        <v>0</v>
      </c>
      <c r="CN55" s="214">
        <f>IF(AND(($E55+$C$1)&gt;CN$4,CN$4&gt;=$C$1),$H55,IF(AND(($D55+$C$1)&gt;CN$4,CN$4&gt;=$C$1),$G55,0))*IF($A55="Residential",'General Inputs'!U$14,'General Inputs'!U$19)</f>
        <v>0</v>
      </c>
      <c r="CO55" s="214">
        <f>IF(AND(($E55+$C$1)&gt;CO$4,CO$4&gt;=$C$1),$H55,IF(AND(($D55+$C$1)&gt;CO$4,CO$4&gt;=$C$1),$G55,0))*IF($A55="Residential",'General Inputs'!V$14,'General Inputs'!V$19)</f>
        <v>0</v>
      </c>
      <c r="CP55" s="214">
        <f>IF(AND(($E55+$C$1)&gt;CP$4,CP$4&gt;=$C$1),$H55,IF(AND(($D55+$C$1)&gt;CP$4,CP$4&gt;=$C$1),$G55,0))*IF($A55="Residential",'General Inputs'!W$14,'General Inputs'!W$19)</f>
        <v>0</v>
      </c>
      <c r="CR55" s="214">
        <f>IF(AND(($E55+$C$1)&gt;CR$4,CR$4&gt;=$C$1),$H55,IF(AND(($D55+$C$1)&gt;CR$4,CR$4&gt;=$C$1),$G55,0))*IF($A55="Residential",'General Inputs'!D$15,'General Inputs'!D$19)</f>
        <v>0</v>
      </c>
      <c r="CS55" s="214">
        <f>IF(AND(($E55+$C$1)&gt;CS$4,CS$4&gt;=$C$1),$H55,IF(AND(($D55+$C$1)&gt;CS$4,CS$4&gt;=$C$1),$G55,0))*IF($A55="Residential",'General Inputs'!E$15,'General Inputs'!E$19)</f>
        <v>0</v>
      </c>
      <c r="CT55" s="214">
        <f>IF(AND(($E55+$C$1)&gt;CT$4,CT$4&gt;=$C$1),$H55,IF(AND(($D55+$C$1)&gt;CT$4,CT$4&gt;=$C$1),$G55,0))*IF($A55="Residential",'General Inputs'!F$15,'General Inputs'!F$19)</f>
        <v>0</v>
      </c>
      <c r="CU55" s="214">
        <f>IF(AND(($E55+$C$1)&gt;CU$4,CU$4&gt;=$C$1),$H55,IF(AND(($D55+$C$1)&gt;CU$4,CU$4&gt;=$C$1),$G55,0))*IF($A55="Residential",'General Inputs'!G$15,'General Inputs'!G$19)</f>
        <v>0</v>
      </c>
      <c r="CV55" s="214">
        <f>IF(AND(($E55+$C$1)&gt;CV$4,CV$4&gt;=$C$1),$H55,IF(AND(($D55+$C$1)&gt;CV$4,CV$4&gt;=$C$1),$G55,0))*IF($A55="Residential",'General Inputs'!H$15,'General Inputs'!H$19)</f>
        <v>0</v>
      </c>
      <c r="CW55" s="214">
        <f>IF(AND(($E55+$C$1)&gt;CW$4,CW$4&gt;=$C$1),$H55,IF(AND(($D55+$C$1)&gt;CW$4,CW$4&gt;=$C$1),$G55,0))*IF($A55="Residential",'General Inputs'!I$15,'General Inputs'!I$19)</f>
        <v>0</v>
      </c>
      <c r="CX55" s="214">
        <f>IF(AND(($E55+$C$1)&gt;CX$4,CX$4&gt;=$C$1),$H55,IF(AND(($D55+$C$1)&gt;CX$4,CX$4&gt;=$C$1),$G55,0))*IF($A55="Residential",'General Inputs'!J$15,'General Inputs'!J$19)</f>
        <v>0</v>
      </c>
      <c r="CY55" s="214">
        <f>IF(AND(($E55+$C$1)&gt;CY$4,CY$4&gt;=$C$1),$H55,IF(AND(($D55+$C$1)&gt;CY$4,CY$4&gt;=$C$1),$G55,0))*IF($A55="Residential",'General Inputs'!K$15,'General Inputs'!K$19)</f>
        <v>0</v>
      </c>
      <c r="CZ55" s="214">
        <f>IF(AND(($E55+$C$1)&gt;CZ$4,CZ$4&gt;=$C$1),$H55,IF(AND(($D55+$C$1)&gt;CZ$4,CZ$4&gt;=$C$1),$G55,0))*IF($A55="Residential",'General Inputs'!L$15,'General Inputs'!L$19)</f>
        <v>0</v>
      </c>
      <c r="DA55" s="214">
        <f>IF(AND(($E55+$C$1)&gt;DA$4,DA$4&gt;=$C$1),$H55,IF(AND(($D55+$C$1)&gt;DA$4,DA$4&gt;=$C$1),$G55,0))*IF($A55="Residential",'General Inputs'!M$15,'General Inputs'!M$19)</f>
        <v>0</v>
      </c>
      <c r="DB55" s="214">
        <f>IF(AND(($E55+$C$1)&gt;DB$4,DB$4&gt;=$C$1),$H55,IF(AND(($D55+$C$1)&gt;DB$4,DB$4&gt;=$C$1),$G55,0))*IF($A55="Residential",'General Inputs'!N$15,'General Inputs'!N$19)</f>
        <v>0</v>
      </c>
      <c r="DC55" s="214">
        <f>IF(AND(($E55+$C$1)&gt;DC$4,DC$4&gt;=$C$1),$H55,IF(AND(($D55+$C$1)&gt;DC$4,DC$4&gt;=$C$1),$G55,0))*IF($A55="Residential",'General Inputs'!O$15,'General Inputs'!O$19)</f>
        <v>0</v>
      </c>
      <c r="DD55" s="214">
        <f>IF(AND(($E55+$C$1)&gt;DD$4,DD$4&gt;=$C$1),$H55,IF(AND(($D55+$C$1)&gt;DD$4,DD$4&gt;=$C$1),$G55,0))*IF($A55="Residential",'General Inputs'!P$15,'General Inputs'!P$19)</f>
        <v>0</v>
      </c>
      <c r="DE55" s="214">
        <f>IF(AND(($E55+$C$1)&gt;DE$4,DE$4&gt;=$C$1),$H55,IF(AND(($D55+$C$1)&gt;DE$4,DE$4&gt;=$C$1),$G55,0))*IF($A55="Residential",'General Inputs'!Q$15,'General Inputs'!Q$19)</f>
        <v>0</v>
      </c>
      <c r="DF55" s="214">
        <f>IF(AND(($E55+$C$1)&gt;DF$4,DF$4&gt;=$C$1),$H55,IF(AND(($D55+$C$1)&gt;DF$4,DF$4&gt;=$C$1),$G55,0))*IF($A55="Residential",'General Inputs'!R$15,'General Inputs'!R$19)</f>
        <v>0</v>
      </c>
      <c r="DG55" s="214">
        <f>IF(AND(($E55+$C$1)&gt;DG$4,DG$4&gt;=$C$1),$H55,IF(AND(($D55+$C$1)&gt;DG$4,DG$4&gt;=$C$1),$G55,0))*IF($A55="Residential",'General Inputs'!S$15,'General Inputs'!S$19)</f>
        <v>0</v>
      </c>
      <c r="DH55" s="214">
        <f>IF(AND(($E55+$C$1)&gt;DH$4,DH$4&gt;=$C$1),$H55,IF(AND(($D55+$C$1)&gt;DH$4,DH$4&gt;=$C$1),$G55,0))*IF($A55="Residential",'General Inputs'!T$15,'General Inputs'!T$19)</f>
        <v>0</v>
      </c>
      <c r="DI55" s="214">
        <f>IF(AND(($E55+$C$1)&gt;DI$4,DI$4&gt;=$C$1),$H55,IF(AND(($D55+$C$1)&gt;DI$4,DI$4&gt;=$C$1),$G55,0))*IF($A55="Residential",'General Inputs'!U$15,'General Inputs'!U$19)</f>
        <v>0</v>
      </c>
      <c r="DJ55" s="214">
        <f>IF(AND(($E55+$C$1)&gt;DJ$4,DJ$4&gt;=$C$1),$H55,IF(AND(($D55+$C$1)&gt;DJ$4,DJ$4&gt;=$C$1),$G55,0))*IF($A55="Residential",'General Inputs'!V$15,'General Inputs'!V$19)</f>
        <v>0</v>
      </c>
      <c r="DK55" s="214">
        <f>IF(AND(($E55+$C$1)&gt;DK$4,DK$4&gt;=$C$1),$H55,IF(AND(($D55+$C$1)&gt;DK$4,DK$4&gt;=$C$1),$G55,0))*IF($A55="Residential",'General Inputs'!W$15,'General Inputs'!W$19)</f>
        <v>0</v>
      </c>
      <c r="DM55" s="214">
        <f t="shared" si="99"/>
        <v>0</v>
      </c>
      <c r="DN55" s="214">
        <f t="shared" si="99"/>
        <v>0</v>
      </c>
      <c r="DO55" s="214">
        <f t="shared" si="99"/>
        <v>0</v>
      </c>
      <c r="DP55" s="214">
        <f t="shared" si="99"/>
        <v>0</v>
      </c>
      <c r="DQ55" s="214">
        <f t="shared" si="99"/>
        <v>0</v>
      </c>
      <c r="DR55" s="214">
        <f t="shared" si="99"/>
        <v>0</v>
      </c>
      <c r="DS55" s="214">
        <f t="shared" si="99"/>
        <v>0</v>
      </c>
      <c r="DT55" s="214">
        <f t="shared" si="99"/>
        <v>0</v>
      </c>
      <c r="DU55" s="214">
        <f t="shared" si="99"/>
        <v>0</v>
      </c>
      <c r="DV55" s="214">
        <f t="shared" si="99"/>
        <v>0</v>
      </c>
      <c r="DW55" s="214">
        <f t="shared" si="99"/>
        <v>0</v>
      </c>
      <c r="DZ55" s="650"/>
      <c r="FI55" s="195"/>
      <c r="FJ55" s="195"/>
      <c r="FK55" s="195"/>
      <c r="FL55" s="195"/>
      <c r="FM55" s="195"/>
      <c r="FN55" s="195"/>
      <c r="FO55" s="195"/>
    </row>
    <row r="56" spans="1:171">
      <c r="A56" s="342" t="s">
        <v>112</v>
      </c>
      <c r="B56" s="427" t="str">
        <f>'Portfolio Inputs'!A55</f>
        <v>Fluorescent Fixture Specular Reflector two 4-ft</v>
      </c>
      <c r="C56" s="217">
        <f>IF($C$1=2014,'Portfolio Inputs'!$C55,IF($C$1=2015,'Portfolio Inputs'!$D55,'Portfolio Inputs'!$E55))</f>
        <v>0</v>
      </c>
      <c r="D56" s="504">
        <f>VLOOKUP(B56,Sources!$B$4:$J$104,2,FALSE)</f>
        <v>15</v>
      </c>
      <c r="E56" s="504">
        <f>VLOOKUP(B56,Sources!$B$4:$J$104,3,FALSE)</f>
        <v>0</v>
      </c>
      <c r="G56" s="504">
        <f>IF($C$1=2014,'Portfolio Inputs'!$G55,IF($C$1=2015,'Portfolio Inputs'!$H55,'Portfolio Inputs'!$I55))*EnergyLineLoss</f>
        <v>0</v>
      </c>
      <c r="H56" s="504"/>
      <c r="I56" s="595">
        <f>IF($C$1=2014,'Portfolio Inputs'!$K55,IF($C$1=2015,'Portfolio Inputs'!$L55,'Portfolio Inputs'!$M55))*PeakLineLoss</f>
        <v>0</v>
      </c>
      <c r="J56" s="510"/>
      <c r="L56" s="606">
        <f>IF($C$1=2014,'Portfolio Inputs'!$O55,IF($C$1=2015,'Portfolio Inputs'!$P55,'Portfolio Inputs'!$Q55))</f>
        <v>30</v>
      </c>
      <c r="M56" s="518">
        <f>VLOOKUP($B56,Sources!$B$4:$K$104,10,FALSE)</f>
        <v>0</v>
      </c>
      <c r="N56" s="419">
        <f>IF($C$1=2014,'Portfolio Inputs'!$W55,IF($C$1=2015,'Portfolio Inputs'!$X55,'Portfolio Inputs'!$Y55))</f>
        <v>0</v>
      </c>
      <c r="O56" s="419">
        <f>IF($C$1=2014,'Portfolio Inputs'!$AA55,IF($C$1=2015,'Portfolio Inputs'!$AB55,'Portfolio Inputs'!$AC55))</f>
        <v>0</v>
      </c>
      <c r="Q56" s="438" t="str">
        <f t="shared" si="67"/>
        <v>n/a</v>
      </c>
      <c r="R56" s="439" t="str">
        <f t="shared" si="68"/>
        <v>n/a</v>
      </c>
      <c r="S56" s="439" t="str">
        <f t="shared" si="69"/>
        <v>n/a</v>
      </c>
      <c r="T56" s="439" t="str">
        <f t="shared" si="70"/>
        <v>n/a</v>
      </c>
      <c r="U56" s="439" t="str">
        <f t="shared" si="98"/>
        <v>n/a</v>
      </c>
      <c r="V56" s="439" t="str">
        <f t="shared" si="72"/>
        <v>n/a</v>
      </c>
      <c r="W56" s="439" t="str">
        <f t="shared" si="73"/>
        <v>n/a</v>
      </c>
      <c r="Y56" s="215">
        <f t="shared" si="4"/>
        <v>0</v>
      </c>
      <c r="Z56" s="215">
        <f t="shared" si="5"/>
        <v>0</v>
      </c>
      <c r="AA56" s="215">
        <f t="shared" si="6"/>
        <v>0</v>
      </c>
      <c r="AB56" s="215">
        <f t="shared" si="7"/>
        <v>0</v>
      </c>
      <c r="AC56" s="216">
        <f t="shared" si="20"/>
        <v>0</v>
      </c>
      <c r="AD56" s="216">
        <f t="shared" si="21"/>
        <v>0</v>
      </c>
      <c r="AE56" s="215">
        <f t="shared" si="8"/>
        <v>0</v>
      </c>
      <c r="AG56" s="214">
        <f>IF(AND(($E56+$C$1)&gt;AG$4,AG$4&gt;=$C$1),'General Inputs'!D$9*$H56,IF(AND(($D56+$C$1)&gt;AG$4,AG$4&gt;=$C$1),'General Inputs'!D$9*$G56,0))+IF(AND(($E56+$C$1)&gt;AG$4,AG$4&gt;=$C$1),'General Inputs'!D$10*$J56,IF(AND(($D56+$C$1)&gt;AG$4,AG$4&gt;=$C$1),'General Inputs'!D$10*$I56,0))</f>
        <v>0</v>
      </c>
      <c r="AH56" s="214">
        <f>IF(AND(($E56+$C$1)&gt;AH$4,AH$4&gt;=$C$1),'General Inputs'!E$9*$H56,IF(AND(($D56+$C$1)&gt;AH$4,AH$4&gt;=$C$1),'General Inputs'!E$9*$G56,0))+IF(AND(($E56+$C$1)&gt;AH$4,AH$4&gt;=$C$1),'General Inputs'!E$10*$J56,IF(AND(($D56+$C$1)&gt;AH$4,AH$4&gt;=$C$1),'General Inputs'!E$10*$I56,0))</f>
        <v>0</v>
      </c>
      <c r="AI56" s="214">
        <f>IF(AND(($E56+$C$1)&gt;AI$4,AI$4&gt;=$C$1),'General Inputs'!F$9*$H56,IF(AND(($D56+$C$1)&gt;AI$4,AI$4&gt;=$C$1),'General Inputs'!F$9*$G56,0))+IF(AND(($E56+$C$1)&gt;AI$4,AI$4&gt;=$C$1),'General Inputs'!F$10*$J56,IF(AND(($D56+$C$1)&gt;AI$4,AI$4&gt;=$C$1),'General Inputs'!F$10*$I56,0))</f>
        <v>0</v>
      </c>
      <c r="AJ56" s="214">
        <f>IF(AND(($E56+$C$1)&gt;AJ$4,AJ$4&gt;=$C$1),'General Inputs'!G$9*$H56,IF(AND(($D56+$C$1)&gt;AJ$4,AJ$4&gt;=$C$1),'General Inputs'!G$9*$G56,0))+IF(AND(($E56+$C$1)&gt;AJ$4,AJ$4&gt;=$C$1),'General Inputs'!G$10*$J56,IF(AND(($D56+$C$1)&gt;AJ$4,AJ$4&gt;=$C$1),'General Inputs'!G$10*$I56,0))</f>
        <v>0</v>
      </c>
      <c r="AK56" s="214">
        <f>IF(AND(($E56+$C$1)&gt;AK$4,AK$4&gt;=$C$1),'General Inputs'!H$9*$H56,IF(AND(($D56+$C$1)&gt;AK$4,AK$4&gt;=$C$1),'General Inputs'!H$9*$G56,0))+IF(AND(($E56+$C$1)&gt;AK$4,AK$4&gt;=$C$1),'General Inputs'!H$10*$J56,IF(AND(($D56+$C$1)&gt;AK$4,AK$4&gt;=$C$1),'General Inputs'!H$10*$I56,0))</f>
        <v>0</v>
      </c>
      <c r="AL56" s="214">
        <f>IF(AND(($E56+$C$1)&gt;AL$4,AL$4&gt;=$C$1),'General Inputs'!I$9*$H56,IF(AND(($D56+$C$1)&gt;AL$4,AL$4&gt;=$C$1),'General Inputs'!I$9*$G56,0))+IF(AND(($E56+$C$1)&gt;AL$4,AL$4&gt;=$C$1),'General Inputs'!I$10*$J56,IF(AND(($D56+$C$1)&gt;AL$4,AL$4&gt;=$C$1),'General Inputs'!I$10*$I56,0))</f>
        <v>0</v>
      </c>
      <c r="AM56" s="214">
        <f>IF(AND(($E56+$C$1)&gt;AM$4,AM$4&gt;=$C$1),'General Inputs'!J$9*$H56,IF(AND(($D56+$C$1)&gt;AM$4,AM$4&gt;=$C$1),'General Inputs'!J$9*$G56,0))+IF(AND(($E56+$C$1)&gt;AM$4,AM$4&gt;=$C$1),'General Inputs'!J$10*$J56,IF(AND(($D56+$C$1)&gt;AM$4,AM$4&gt;=$C$1),'General Inputs'!J$10*$I56,0))</f>
        <v>0</v>
      </c>
      <c r="AN56" s="214">
        <f>IF(AND(($E56+$C$1)&gt;AN$4,AN$4&gt;=$C$1),'General Inputs'!K$9*$H56,IF(AND(($D56+$C$1)&gt;AN$4,AN$4&gt;=$C$1),'General Inputs'!K$9*$G56,0))+IF(AND(($E56+$C$1)&gt;AN$4,AN$4&gt;=$C$1),'General Inputs'!K$10*$J56,IF(AND(($D56+$C$1)&gt;AN$4,AN$4&gt;=$C$1),'General Inputs'!K$10*$I56,0))</f>
        <v>0</v>
      </c>
      <c r="AO56" s="214">
        <f>IF(AND(($E56+$C$1)&gt;AO$4,AO$4&gt;=$C$1),'General Inputs'!L$9*$H56,IF(AND(($D56+$C$1)&gt;AO$4,AO$4&gt;=$C$1),'General Inputs'!L$9*$G56,0))+IF(AND(($E56+$C$1)&gt;AO$4,AO$4&gt;=$C$1),'General Inputs'!L$10*$J56,IF(AND(($D56+$C$1)&gt;AO$4,AO$4&gt;=$C$1),'General Inputs'!L$10*$I56,0))</f>
        <v>0</v>
      </c>
      <c r="AP56" s="214">
        <f>IF(AND(($E56+$C$1)&gt;AP$4,AP$4&gt;=$C$1),'General Inputs'!M$9*$H56,IF(AND(($D56+$C$1)&gt;AP$4,AP$4&gt;=$C$1),'General Inputs'!M$9*$G56,0))+IF(AND(($E56+$C$1)&gt;AP$4,AP$4&gt;=$C$1),'General Inputs'!M$10*$J56,IF(AND(($D56+$C$1)&gt;AP$4,AP$4&gt;=$C$1),'General Inputs'!M$10*$I56,0))</f>
        <v>0</v>
      </c>
      <c r="AQ56" s="214">
        <f>IF(AND(($E56+$C$1)&gt;AQ$4,AQ$4&gt;=$C$1),'General Inputs'!N$9*$H56,IF(AND(($D56+$C$1)&gt;AQ$4,AQ$4&gt;=$C$1),'General Inputs'!N$9*$G56,0))+IF(AND(($E56+$C$1)&gt;AQ$4,AQ$4&gt;=$C$1),'General Inputs'!N$10*$J56,IF(AND(($D56+$C$1)&gt;AQ$4,AQ$4&gt;=$C$1),'General Inputs'!N$10*$I56,0))</f>
        <v>0</v>
      </c>
      <c r="AR56" s="214">
        <f>IF(AND(($E56+$C$1)&gt;AR$4,AR$4&gt;=$C$1),'General Inputs'!O$9*$H56,IF(AND(($D56+$C$1)&gt;AR$4,AR$4&gt;=$C$1),'General Inputs'!O$9*$G56,0))+IF(AND(($E56+$C$1)&gt;AR$4,AR$4&gt;=$C$1),'General Inputs'!O$10*$J56,IF(AND(($D56+$C$1)&gt;AR$4,AR$4&gt;=$C$1),'General Inputs'!O$10*$I56,0))</f>
        <v>0</v>
      </c>
      <c r="AS56" s="214">
        <f>IF(AND(($E56+$C$1)&gt;AS$4,AS$4&gt;=$C$1),'General Inputs'!P$9*$H56,IF(AND(($D56+$C$1)&gt;AS$4,AS$4&gt;=$C$1),'General Inputs'!P$9*$G56,0))+IF(AND(($E56+$C$1)&gt;AS$4,AS$4&gt;=$C$1),'General Inputs'!P$10*$J56,IF(AND(($D56+$C$1)&gt;AS$4,AS$4&gt;=$C$1),'General Inputs'!P$10*$I56,0))</f>
        <v>0</v>
      </c>
      <c r="AT56" s="214">
        <f>IF(AND(($E56+$C$1)&gt;AT$4,AT$4&gt;=$C$1),'General Inputs'!Q$9*$H56,IF(AND(($D56+$C$1)&gt;AT$4,AT$4&gt;=$C$1),'General Inputs'!Q$9*$G56,0))+IF(AND(($E56+$C$1)&gt;AT$4,AT$4&gt;=$C$1),'General Inputs'!Q$10*$J56,IF(AND(($D56+$C$1)&gt;AT$4,AT$4&gt;=$C$1),'General Inputs'!Q$10*$I56,0))</f>
        <v>0</v>
      </c>
      <c r="AU56" s="214">
        <f>IF(AND(($E56+$C$1)&gt;AU$4,AU$4&gt;=$C$1),'General Inputs'!R$9*$H56,IF(AND(($D56+$C$1)&gt;AU$4,AU$4&gt;=$C$1),'General Inputs'!R$9*$G56,0))+IF(AND(($E56+$C$1)&gt;AU$4,AU$4&gt;=$C$1),'General Inputs'!R$10*$J56,IF(AND(($D56+$C$1)&gt;AU$4,AU$4&gt;=$C$1),'General Inputs'!R$10*$I56,0))</f>
        <v>0</v>
      </c>
      <c r="AV56" s="214">
        <f>IF(AND(($E56+$C$1)&gt;AV$4,AV$4&gt;=$C$1),'General Inputs'!S$9*$H56,IF(AND(($D56+$C$1)&gt;AV$4,AV$4&gt;=$C$1),'General Inputs'!S$9*$G56,0))+IF(AND(($E56+$C$1)&gt;AV$4,AV$4&gt;=$C$1),'General Inputs'!S$10*$J56,IF(AND(($D56+$C$1)&gt;AV$4,AV$4&gt;=$C$1),'General Inputs'!S$10*$I56,0))</f>
        <v>0</v>
      </c>
      <c r="AW56" s="214">
        <f>IF(AND(($E56+$C$1)&gt;AW$4,AW$4&gt;=$C$1),'General Inputs'!T$9*$H56,IF(AND(($D56+$C$1)&gt;AW$4,AW$4&gt;=$C$1),'General Inputs'!T$9*$G56,0))+IF(AND(($E56+$C$1)&gt;AW$4,AW$4&gt;=$C$1),'General Inputs'!T$10*$J56,IF(AND(($D56+$C$1)&gt;AW$4,AW$4&gt;=$C$1),'General Inputs'!T$10*$I56,0))</f>
        <v>0</v>
      </c>
      <c r="AX56" s="214">
        <f>IF(AND(($E56+$C$1)&gt;AX$4,AX$4&gt;=$C$1),'General Inputs'!U$9*$H56,IF(AND(($D56+$C$1)&gt;AX$4,AX$4&gt;=$C$1),'General Inputs'!U$9*$G56,0))+IF(AND(($E56+$C$1)&gt;AX$4,AX$4&gt;=$C$1),'General Inputs'!U$10*$J56,IF(AND(($D56+$C$1)&gt;AX$4,AX$4&gt;=$C$1),'General Inputs'!U$10*$I56,0))</f>
        <v>0</v>
      </c>
      <c r="AY56" s="214">
        <f>IF(AND(($E56+$C$1)&gt;AY$4,AY$4&gt;=$C$1),'General Inputs'!V$9*$H56,IF(AND(($D56+$C$1)&gt;AY$4,AY$4&gt;=$C$1),'General Inputs'!V$9*$G56,0))+IF(AND(($E56+$C$1)&gt;AY$4,AY$4&gt;=$C$1),'General Inputs'!V$10*$J56,IF(AND(($D56+$C$1)&gt;AY$4,AY$4&gt;=$C$1),'General Inputs'!V$10*$I56,0))</f>
        <v>0</v>
      </c>
      <c r="AZ56" s="214">
        <f>IF(AND(($E56+$C$1)&gt;AZ$4,AZ$4&gt;=$C$1),'General Inputs'!W$9*$H56,IF(AND(($D56+$C$1)&gt;AZ$4,AZ$4&gt;=$C$1),'General Inputs'!W$9*$G56,0))+IF(AND(($E56+$C$1)&gt;AZ$4,AZ$4&gt;=$C$1),'General Inputs'!W$10*$J56,IF(AND(($D56+$C$1)&gt;AZ$4,AZ$4&gt;=$C$1),'General Inputs'!W$10*$I56,0))</f>
        <v>0</v>
      </c>
      <c r="BB56" s="214">
        <f>IF(AND(($E56+$C$1)&gt;BB$4,BB$4&gt;=$C$1),'General Inputs'!D$11*$H56,IF(AND(($D56+$C$1)&gt;BB$4,BB$4&gt;=$C$1),'General Inputs'!D$11*$G56,0))</f>
        <v>0</v>
      </c>
      <c r="BC56" s="214">
        <f>IF(AND(($E56+$C$1)&gt;BC$4,BC$4&gt;=$C$1),'General Inputs'!E$11*$H56,IF(AND(($D56+$C$1)&gt;BC$4,BC$4&gt;=$C$1),'General Inputs'!E$11*$G56,0))</f>
        <v>0</v>
      </c>
      <c r="BD56" s="214">
        <f>IF(AND(($E56+$C$1)&gt;BD$4,BD$4&gt;=$C$1),'General Inputs'!F$11*$H56,IF(AND(($D56+$C$1)&gt;BD$4,BD$4&gt;=$C$1),'General Inputs'!F$11*$G56,0))</f>
        <v>0</v>
      </c>
      <c r="BE56" s="214">
        <f>IF(AND(($E56+$C$1)&gt;BE$4,BE$4&gt;=$C$1),'General Inputs'!G$11*$H56,IF(AND(($D56+$C$1)&gt;BE$4,BE$4&gt;=$C$1),'General Inputs'!G$11*$G56,0))</f>
        <v>0</v>
      </c>
      <c r="BF56" s="214">
        <f>IF(AND(($E56+$C$1)&gt;BF$4,BF$4&gt;=$C$1),'General Inputs'!H$11*$H56,IF(AND(($D56+$C$1)&gt;BF$4,BF$4&gt;=$C$1),'General Inputs'!H$11*$G56,0))</f>
        <v>0</v>
      </c>
      <c r="BG56" s="214">
        <f>IF(AND(($E56+$C$1)&gt;BG$4,BG$4&gt;=$C$1),'General Inputs'!I$11*$H56,IF(AND(($D56+$C$1)&gt;BG$4,BG$4&gt;=$C$1),'General Inputs'!I$11*$G56,0))</f>
        <v>0</v>
      </c>
      <c r="BH56" s="214">
        <f>IF(AND(($E56+$C$1)&gt;BH$4,BH$4&gt;=$C$1),'General Inputs'!J$11*$H56,IF(AND(($D56+$C$1)&gt;BH$4,BH$4&gt;=$C$1),'General Inputs'!J$11*$G56,0))</f>
        <v>0</v>
      </c>
      <c r="BI56" s="214">
        <f>IF(AND(($E56+$C$1)&gt;BI$4,BI$4&gt;=$C$1),'General Inputs'!K$11*$H56,IF(AND(($D56+$C$1)&gt;BI$4,BI$4&gt;=$C$1),'General Inputs'!K$11*$G56,0))</f>
        <v>0</v>
      </c>
      <c r="BJ56" s="214">
        <f>IF(AND(($E56+$C$1)&gt;BJ$4,BJ$4&gt;=$C$1),'General Inputs'!L$11*$H56,IF(AND(($D56+$C$1)&gt;BJ$4,BJ$4&gt;=$C$1),'General Inputs'!L$11*$G56,0))</f>
        <v>0</v>
      </c>
      <c r="BK56" s="214">
        <f>IF(AND(($E56+$C$1)&gt;BK$4,BK$4&gt;=$C$1),'General Inputs'!M$11*$H56,IF(AND(($D56+$C$1)&gt;BK$4,BK$4&gt;=$C$1),'General Inputs'!M$11*$G56,0))</f>
        <v>0</v>
      </c>
      <c r="BL56" s="214">
        <f>IF(AND(($E56+$C$1)&gt;BL$4,BL$4&gt;=$C$1),'General Inputs'!N$11*$H56,IF(AND(($D56+$C$1)&gt;BL$4,BL$4&gt;=$C$1),'General Inputs'!N$11*$G56,0))</f>
        <v>0</v>
      </c>
      <c r="BM56" s="214">
        <f>IF(AND(($E56+$C$1)&gt;BM$4,BM$4&gt;=$C$1),'General Inputs'!O$11*$H56,IF(AND(($D56+$C$1)&gt;BM$4,BM$4&gt;=$C$1),'General Inputs'!O$11*$G56,0))</f>
        <v>0</v>
      </c>
      <c r="BN56" s="214">
        <f>IF(AND(($E56+$C$1)&gt;BN$4,BN$4&gt;=$C$1),'General Inputs'!P$11*$H56,IF(AND(($D56+$C$1)&gt;BN$4,BN$4&gt;=$C$1),'General Inputs'!P$11*$G56,0))</f>
        <v>0</v>
      </c>
      <c r="BO56" s="214">
        <f>IF(AND(($E56+$C$1)&gt;BO$4,BO$4&gt;=$C$1),'General Inputs'!Q$11*$H56,IF(AND(($D56+$C$1)&gt;BO$4,BO$4&gt;=$C$1),'General Inputs'!Q$11*$G56,0))</f>
        <v>0</v>
      </c>
      <c r="BP56" s="214">
        <f>IF(AND(($E56+$C$1)&gt;BP$4,BP$4&gt;=$C$1),'General Inputs'!R$11*$H56,IF(AND(($D56+$C$1)&gt;BP$4,BP$4&gt;=$C$1),'General Inputs'!R$11*$G56,0))</f>
        <v>0</v>
      </c>
      <c r="BQ56" s="214">
        <f>IF(AND(($E56+$C$1)&gt;BQ$4,BQ$4&gt;=$C$1),'General Inputs'!S$11*$H56,IF(AND(($D56+$C$1)&gt;BQ$4,BQ$4&gt;=$C$1),'General Inputs'!S$11*$G56,0))</f>
        <v>0</v>
      </c>
      <c r="BR56" s="214">
        <f>IF(AND(($E56+$C$1)&gt;BR$4,BR$4&gt;=$C$1),'General Inputs'!T$11*$H56,IF(AND(($D56+$C$1)&gt;BR$4,BR$4&gt;=$C$1),'General Inputs'!T$11*$G56,0))</f>
        <v>0</v>
      </c>
      <c r="BS56" s="214">
        <f>IF(AND(($E56+$C$1)&gt;BS$4,BS$4&gt;=$C$1),'General Inputs'!U$11*$H56,IF(AND(($D56+$C$1)&gt;BS$4,BS$4&gt;=$C$1),'General Inputs'!U$11*$G56,0))</f>
        <v>0</v>
      </c>
      <c r="BT56" s="214">
        <f>IF(AND(($E56+$C$1)&gt;BT$4,BT$4&gt;=$C$1),'General Inputs'!V$11*$H56,IF(AND(($D56+$C$1)&gt;BT$4,BT$4&gt;=$C$1),'General Inputs'!V$11*$G56,0))</f>
        <v>0</v>
      </c>
      <c r="BU56" s="214">
        <f>IF(AND(($E56+$C$1)&gt;BU$4,BU$4&gt;=$C$1),'General Inputs'!W$11*$H56,IF(AND(($D56+$C$1)&gt;BU$4,BU$4&gt;=$C$1),'General Inputs'!W$11*$G56,0))</f>
        <v>0</v>
      </c>
      <c r="BW56" s="214">
        <f>IF(AND(($E56+$C$1)&gt;BW$4,BW$4&gt;=$C$1),$H56,IF(AND(($D56+$C$1)&gt;BW$4,BW$4&gt;=$C$1),$G56,0))*IF($A56="Residential",'General Inputs'!D$14,'General Inputs'!D$19)</f>
        <v>0</v>
      </c>
      <c r="BX56" s="214">
        <f>IF(AND(($E56+$C$1)&gt;BX$4,BX$4&gt;=$C$1),$H56,IF(AND(($D56+$C$1)&gt;BX$4,BX$4&gt;=$C$1),$G56,0))*IF($A56="Residential",'General Inputs'!E$14,'General Inputs'!E$19)</f>
        <v>0</v>
      </c>
      <c r="BY56" s="214">
        <f>IF(AND(($E56+$C$1)&gt;BY$4,BY$4&gt;=$C$1),$H56,IF(AND(($D56+$C$1)&gt;BY$4,BY$4&gt;=$C$1),$G56,0))*IF($A56="Residential",'General Inputs'!F$14,'General Inputs'!F$19)</f>
        <v>0</v>
      </c>
      <c r="BZ56" s="214">
        <f>IF(AND(($E56+$C$1)&gt;BZ$4,BZ$4&gt;=$C$1),$H56,IF(AND(($D56+$C$1)&gt;BZ$4,BZ$4&gt;=$C$1),$G56,0))*IF($A56="Residential",'General Inputs'!G$14,'General Inputs'!G$19)</f>
        <v>0</v>
      </c>
      <c r="CA56" s="214">
        <f>IF(AND(($E56+$C$1)&gt;CA$4,CA$4&gt;=$C$1),$H56,IF(AND(($D56+$C$1)&gt;CA$4,CA$4&gt;=$C$1),$G56,0))*IF($A56="Residential",'General Inputs'!H$14,'General Inputs'!H$19)</f>
        <v>0</v>
      </c>
      <c r="CB56" s="214">
        <f>IF(AND(($E56+$C$1)&gt;CB$4,CB$4&gt;=$C$1),$H56,IF(AND(($D56+$C$1)&gt;CB$4,CB$4&gt;=$C$1),$G56,0))*IF($A56="Residential",'General Inputs'!I$14,'General Inputs'!I$19)</f>
        <v>0</v>
      </c>
      <c r="CC56" s="214">
        <f>IF(AND(($E56+$C$1)&gt;CC$4,CC$4&gt;=$C$1),$H56,IF(AND(($D56+$C$1)&gt;CC$4,CC$4&gt;=$C$1),$G56,0))*IF($A56="Residential",'General Inputs'!J$14,'General Inputs'!J$19)</f>
        <v>0</v>
      </c>
      <c r="CD56" s="214">
        <f>IF(AND(($E56+$C$1)&gt;CD$4,CD$4&gt;=$C$1),$H56,IF(AND(($D56+$C$1)&gt;CD$4,CD$4&gt;=$C$1),$G56,0))*IF($A56="Residential",'General Inputs'!K$14,'General Inputs'!K$19)</f>
        <v>0</v>
      </c>
      <c r="CE56" s="214">
        <f>IF(AND(($E56+$C$1)&gt;CE$4,CE$4&gt;=$C$1),$H56,IF(AND(($D56+$C$1)&gt;CE$4,CE$4&gt;=$C$1),$G56,0))*IF($A56="Residential",'General Inputs'!L$14,'General Inputs'!L$19)</f>
        <v>0</v>
      </c>
      <c r="CF56" s="214">
        <f>IF(AND(($E56+$C$1)&gt;CF$4,CF$4&gt;=$C$1),$H56,IF(AND(($D56+$C$1)&gt;CF$4,CF$4&gt;=$C$1),$G56,0))*IF($A56="Residential",'General Inputs'!M$14,'General Inputs'!M$19)</f>
        <v>0</v>
      </c>
      <c r="CG56" s="214">
        <f>IF(AND(($E56+$C$1)&gt;CG$4,CG$4&gt;=$C$1),$H56,IF(AND(($D56+$C$1)&gt;CG$4,CG$4&gt;=$C$1),$G56,0))*IF($A56="Residential",'General Inputs'!N$14,'General Inputs'!N$19)</f>
        <v>0</v>
      </c>
      <c r="CH56" s="214">
        <f>IF(AND(($E56+$C$1)&gt;CH$4,CH$4&gt;=$C$1),$H56,IF(AND(($D56+$C$1)&gt;CH$4,CH$4&gt;=$C$1),$G56,0))*IF($A56="Residential",'General Inputs'!O$14,'General Inputs'!O$19)</f>
        <v>0</v>
      </c>
      <c r="CI56" s="214">
        <f>IF(AND(($E56+$C$1)&gt;CI$4,CI$4&gt;=$C$1),$H56,IF(AND(($D56+$C$1)&gt;CI$4,CI$4&gt;=$C$1),$G56,0))*IF($A56="Residential",'General Inputs'!P$14,'General Inputs'!P$19)</f>
        <v>0</v>
      </c>
      <c r="CJ56" s="214">
        <f>IF(AND(($E56+$C$1)&gt;CJ$4,CJ$4&gt;=$C$1),$H56,IF(AND(($D56+$C$1)&gt;CJ$4,CJ$4&gt;=$C$1),$G56,0))*IF($A56="Residential",'General Inputs'!Q$14,'General Inputs'!Q$19)</f>
        <v>0</v>
      </c>
      <c r="CK56" s="214">
        <f>IF(AND(($E56+$C$1)&gt;CK$4,CK$4&gt;=$C$1),$H56,IF(AND(($D56+$C$1)&gt;CK$4,CK$4&gt;=$C$1),$G56,0))*IF($A56="Residential",'General Inputs'!R$14,'General Inputs'!R$19)</f>
        <v>0</v>
      </c>
      <c r="CL56" s="214">
        <f>IF(AND(($E56+$C$1)&gt;CL$4,CL$4&gt;=$C$1),$H56,IF(AND(($D56+$C$1)&gt;CL$4,CL$4&gt;=$C$1),$G56,0))*IF($A56="Residential",'General Inputs'!S$14,'General Inputs'!S$19)</f>
        <v>0</v>
      </c>
      <c r="CM56" s="214">
        <f>IF(AND(($E56+$C$1)&gt;CM$4,CM$4&gt;=$C$1),$H56,IF(AND(($D56+$C$1)&gt;CM$4,CM$4&gt;=$C$1),$G56,0))*IF($A56="Residential",'General Inputs'!T$14,'General Inputs'!T$19)</f>
        <v>0</v>
      </c>
      <c r="CN56" s="214">
        <f>IF(AND(($E56+$C$1)&gt;CN$4,CN$4&gt;=$C$1),$H56,IF(AND(($D56+$C$1)&gt;CN$4,CN$4&gt;=$C$1),$G56,0))*IF($A56="Residential",'General Inputs'!U$14,'General Inputs'!U$19)</f>
        <v>0</v>
      </c>
      <c r="CO56" s="214">
        <f>IF(AND(($E56+$C$1)&gt;CO$4,CO$4&gt;=$C$1),$H56,IF(AND(($D56+$C$1)&gt;CO$4,CO$4&gt;=$C$1),$G56,0))*IF($A56="Residential",'General Inputs'!V$14,'General Inputs'!V$19)</f>
        <v>0</v>
      </c>
      <c r="CP56" s="214">
        <f>IF(AND(($E56+$C$1)&gt;CP$4,CP$4&gt;=$C$1),$H56,IF(AND(($D56+$C$1)&gt;CP$4,CP$4&gt;=$C$1),$G56,0))*IF($A56="Residential",'General Inputs'!W$14,'General Inputs'!W$19)</f>
        <v>0</v>
      </c>
      <c r="CR56" s="214">
        <f>IF(AND(($E56+$C$1)&gt;CR$4,CR$4&gt;=$C$1),$H56,IF(AND(($D56+$C$1)&gt;CR$4,CR$4&gt;=$C$1),$G56,0))*IF($A56="Residential",'General Inputs'!D$15,'General Inputs'!D$19)</f>
        <v>0</v>
      </c>
      <c r="CS56" s="214">
        <f>IF(AND(($E56+$C$1)&gt;CS$4,CS$4&gt;=$C$1),$H56,IF(AND(($D56+$C$1)&gt;CS$4,CS$4&gt;=$C$1),$G56,0))*IF($A56="Residential",'General Inputs'!E$15,'General Inputs'!E$19)</f>
        <v>0</v>
      </c>
      <c r="CT56" s="214">
        <f>IF(AND(($E56+$C$1)&gt;CT$4,CT$4&gt;=$C$1),$H56,IF(AND(($D56+$C$1)&gt;CT$4,CT$4&gt;=$C$1),$G56,0))*IF($A56="Residential",'General Inputs'!F$15,'General Inputs'!F$19)</f>
        <v>0</v>
      </c>
      <c r="CU56" s="214">
        <f>IF(AND(($E56+$C$1)&gt;CU$4,CU$4&gt;=$C$1),$H56,IF(AND(($D56+$C$1)&gt;CU$4,CU$4&gt;=$C$1),$G56,0))*IF($A56="Residential",'General Inputs'!G$15,'General Inputs'!G$19)</f>
        <v>0</v>
      </c>
      <c r="CV56" s="214">
        <f>IF(AND(($E56+$C$1)&gt;CV$4,CV$4&gt;=$C$1),$H56,IF(AND(($D56+$C$1)&gt;CV$4,CV$4&gt;=$C$1),$G56,0))*IF($A56="Residential",'General Inputs'!H$15,'General Inputs'!H$19)</f>
        <v>0</v>
      </c>
      <c r="CW56" s="214">
        <f>IF(AND(($E56+$C$1)&gt;CW$4,CW$4&gt;=$C$1),$H56,IF(AND(($D56+$C$1)&gt;CW$4,CW$4&gt;=$C$1),$G56,0))*IF($A56="Residential",'General Inputs'!I$15,'General Inputs'!I$19)</f>
        <v>0</v>
      </c>
      <c r="CX56" s="214">
        <f>IF(AND(($E56+$C$1)&gt;CX$4,CX$4&gt;=$C$1),$H56,IF(AND(($D56+$C$1)&gt;CX$4,CX$4&gt;=$C$1),$G56,0))*IF($A56="Residential",'General Inputs'!J$15,'General Inputs'!J$19)</f>
        <v>0</v>
      </c>
      <c r="CY56" s="214">
        <f>IF(AND(($E56+$C$1)&gt;CY$4,CY$4&gt;=$C$1),$H56,IF(AND(($D56+$C$1)&gt;CY$4,CY$4&gt;=$C$1),$G56,0))*IF($A56="Residential",'General Inputs'!K$15,'General Inputs'!K$19)</f>
        <v>0</v>
      </c>
      <c r="CZ56" s="214">
        <f>IF(AND(($E56+$C$1)&gt;CZ$4,CZ$4&gt;=$C$1),$H56,IF(AND(($D56+$C$1)&gt;CZ$4,CZ$4&gt;=$C$1),$G56,0))*IF($A56="Residential",'General Inputs'!L$15,'General Inputs'!L$19)</f>
        <v>0</v>
      </c>
      <c r="DA56" s="214">
        <f>IF(AND(($E56+$C$1)&gt;DA$4,DA$4&gt;=$C$1),$H56,IF(AND(($D56+$C$1)&gt;DA$4,DA$4&gt;=$C$1),$G56,0))*IF($A56="Residential",'General Inputs'!M$15,'General Inputs'!M$19)</f>
        <v>0</v>
      </c>
      <c r="DB56" s="214">
        <f>IF(AND(($E56+$C$1)&gt;DB$4,DB$4&gt;=$C$1),$H56,IF(AND(($D56+$C$1)&gt;DB$4,DB$4&gt;=$C$1),$G56,0))*IF($A56="Residential",'General Inputs'!N$15,'General Inputs'!N$19)</f>
        <v>0</v>
      </c>
      <c r="DC56" s="214">
        <f>IF(AND(($E56+$C$1)&gt;DC$4,DC$4&gt;=$C$1),$H56,IF(AND(($D56+$C$1)&gt;DC$4,DC$4&gt;=$C$1),$G56,0))*IF($A56="Residential",'General Inputs'!O$15,'General Inputs'!O$19)</f>
        <v>0</v>
      </c>
      <c r="DD56" s="214">
        <f>IF(AND(($E56+$C$1)&gt;DD$4,DD$4&gt;=$C$1),$H56,IF(AND(($D56+$C$1)&gt;DD$4,DD$4&gt;=$C$1),$G56,0))*IF($A56="Residential",'General Inputs'!P$15,'General Inputs'!P$19)</f>
        <v>0</v>
      </c>
      <c r="DE56" s="214">
        <f>IF(AND(($E56+$C$1)&gt;DE$4,DE$4&gt;=$C$1),$H56,IF(AND(($D56+$C$1)&gt;DE$4,DE$4&gt;=$C$1),$G56,0))*IF($A56="Residential",'General Inputs'!Q$15,'General Inputs'!Q$19)</f>
        <v>0</v>
      </c>
      <c r="DF56" s="214">
        <f>IF(AND(($E56+$C$1)&gt;DF$4,DF$4&gt;=$C$1),$H56,IF(AND(($D56+$C$1)&gt;DF$4,DF$4&gt;=$C$1),$G56,0))*IF($A56="Residential",'General Inputs'!R$15,'General Inputs'!R$19)</f>
        <v>0</v>
      </c>
      <c r="DG56" s="214">
        <f>IF(AND(($E56+$C$1)&gt;DG$4,DG$4&gt;=$C$1),$H56,IF(AND(($D56+$C$1)&gt;DG$4,DG$4&gt;=$C$1),$G56,0))*IF($A56="Residential",'General Inputs'!S$15,'General Inputs'!S$19)</f>
        <v>0</v>
      </c>
      <c r="DH56" s="214">
        <f>IF(AND(($E56+$C$1)&gt;DH$4,DH$4&gt;=$C$1),$H56,IF(AND(($D56+$C$1)&gt;DH$4,DH$4&gt;=$C$1),$G56,0))*IF($A56="Residential",'General Inputs'!T$15,'General Inputs'!T$19)</f>
        <v>0</v>
      </c>
      <c r="DI56" s="214">
        <f>IF(AND(($E56+$C$1)&gt;DI$4,DI$4&gt;=$C$1),$H56,IF(AND(($D56+$C$1)&gt;DI$4,DI$4&gt;=$C$1),$G56,0))*IF($A56="Residential",'General Inputs'!U$15,'General Inputs'!U$19)</f>
        <v>0</v>
      </c>
      <c r="DJ56" s="214">
        <f>IF(AND(($E56+$C$1)&gt;DJ$4,DJ$4&gt;=$C$1),$H56,IF(AND(($D56+$C$1)&gt;DJ$4,DJ$4&gt;=$C$1),$G56,0))*IF($A56="Residential",'General Inputs'!V$15,'General Inputs'!V$19)</f>
        <v>0</v>
      </c>
      <c r="DK56" s="214">
        <f>IF(AND(($E56+$C$1)&gt;DK$4,DK$4&gt;=$C$1),$H56,IF(AND(($D56+$C$1)&gt;DK$4,DK$4&gt;=$C$1),$G56,0))*IF($A56="Residential",'General Inputs'!W$15,'General Inputs'!W$19)</f>
        <v>0</v>
      </c>
      <c r="DM56" s="214">
        <f t="shared" si="99"/>
        <v>0</v>
      </c>
      <c r="DN56" s="214">
        <f t="shared" si="99"/>
        <v>0</v>
      </c>
      <c r="DO56" s="214">
        <f t="shared" si="99"/>
        <v>0</v>
      </c>
      <c r="DP56" s="214">
        <f t="shared" si="99"/>
        <v>0</v>
      </c>
      <c r="DQ56" s="214">
        <f t="shared" si="99"/>
        <v>0</v>
      </c>
      <c r="DR56" s="214">
        <f t="shared" si="99"/>
        <v>0</v>
      </c>
      <c r="DS56" s="214">
        <f t="shared" si="99"/>
        <v>0</v>
      </c>
      <c r="DT56" s="214">
        <f t="shared" si="99"/>
        <v>0</v>
      </c>
      <c r="DU56" s="214">
        <f t="shared" si="99"/>
        <v>0</v>
      </c>
      <c r="DV56" s="214">
        <f t="shared" si="99"/>
        <v>0</v>
      </c>
      <c r="DW56" s="214">
        <f t="shared" si="99"/>
        <v>0</v>
      </c>
      <c r="DZ56" s="650"/>
      <c r="FI56" s="195"/>
      <c r="FJ56" s="195"/>
      <c r="FK56" s="195"/>
      <c r="FL56" s="195"/>
      <c r="FM56" s="195"/>
      <c r="FN56" s="195"/>
      <c r="FO56" s="195"/>
    </row>
    <row r="57" spans="1:171">
      <c r="A57" s="342" t="s">
        <v>112</v>
      </c>
      <c r="B57" s="427" t="str">
        <f>'Portfolio Inputs'!A56</f>
        <v>Fluorescent Fixture Specular Reflector 8-ft</v>
      </c>
      <c r="C57" s="217">
        <f>IF($C$1=2014,'Portfolio Inputs'!$C56,IF($C$1=2015,'Portfolio Inputs'!$D56,'Portfolio Inputs'!$E56))</f>
        <v>0</v>
      </c>
      <c r="D57" s="504">
        <f>VLOOKUP(B57,Sources!$B$4:$J$104,2,FALSE)</f>
        <v>15</v>
      </c>
      <c r="E57" s="504">
        <f>VLOOKUP(B57,Sources!$B$4:$J$104,3,FALSE)</f>
        <v>0</v>
      </c>
      <c r="G57" s="504">
        <f>IF($C$1=2014,'Portfolio Inputs'!$G56,IF($C$1=2015,'Portfolio Inputs'!$H56,'Portfolio Inputs'!$I56))*EnergyLineLoss</f>
        <v>0</v>
      </c>
      <c r="H57" s="504"/>
      <c r="I57" s="595">
        <f>IF($C$1=2014,'Portfolio Inputs'!$K56,IF($C$1=2015,'Portfolio Inputs'!$L56,'Portfolio Inputs'!$M56))*PeakLineLoss</f>
        <v>0</v>
      </c>
      <c r="J57" s="510"/>
      <c r="L57" s="606">
        <f>IF($C$1=2014,'Portfolio Inputs'!$O56,IF($C$1=2015,'Portfolio Inputs'!$P56,'Portfolio Inputs'!$Q56))</f>
        <v>50</v>
      </c>
      <c r="M57" s="518">
        <f>VLOOKUP($B57,Sources!$B$4:$K$104,10,FALSE)</f>
        <v>0</v>
      </c>
      <c r="N57" s="419">
        <f>IF($C$1=2014,'Portfolio Inputs'!$W56,IF($C$1=2015,'Portfolio Inputs'!$X56,'Portfolio Inputs'!$Y56))</f>
        <v>0</v>
      </c>
      <c r="O57" s="419">
        <f>IF($C$1=2014,'Portfolio Inputs'!$AA56,IF($C$1=2015,'Portfolio Inputs'!$AB56,'Portfolio Inputs'!$AC56))</f>
        <v>0</v>
      </c>
      <c r="Q57" s="438" t="str">
        <f t="shared" si="67"/>
        <v>n/a</v>
      </c>
      <c r="R57" s="439" t="str">
        <f t="shared" si="68"/>
        <v>n/a</v>
      </c>
      <c r="S57" s="439" t="str">
        <f t="shared" si="69"/>
        <v>n/a</v>
      </c>
      <c r="T57" s="439" t="str">
        <f t="shared" si="70"/>
        <v>n/a</v>
      </c>
      <c r="U57" s="439" t="str">
        <f t="shared" si="98"/>
        <v>n/a</v>
      </c>
      <c r="V57" s="439" t="str">
        <f t="shared" si="72"/>
        <v>n/a</v>
      </c>
      <c r="W57" s="439" t="str">
        <f t="shared" si="73"/>
        <v>n/a</v>
      </c>
      <c r="Y57" s="215">
        <f t="shared" si="4"/>
        <v>0</v>
      </c>
      <c r="Z57" s="215">
        <f t="shared" si="5"/>
        <v>0</v>
      </c>
      <c r="AA57" s="215">
        <f t="shared" si="6"/>
        <v>0</v>
      </c>
      <c r="AB57" s="215">
        <f t="shared" si="7"/>
        <v>0</v>
      </c>
      <c r="AC57" s="216">
        <f t="shared" si="20"/>
        <v>0</v>
      </c>
      <c r="AD57" s="216">
        <f t="shared" si="21"/>
        <v>0</v>
      </c>
      <c r="AE57" s="215">
        <f t="shared" si="8"/>
        <v>0</v>
      </c>
      <c r="AG57" s="214">
        <f>IF(AND(($E57+$C$1)&gt;AG$4,AG$4&gt;=$C$1),'General Inputs'!D$9*$H57,IF(AND(($D57+$C$1)&gt;AG$4,AG$4&gt;=$C$1),'General Inputs'!D$9*$G57,0))+IF(AND(($E57+$C$1)&gt;AG$4,AG$4&gt;=$C$1),'General Inputs'!D$10*$J57,IF(AND(($D57+$C$1)&gt;AG$4,AG$4&gt;=$C$1),'General Inputs'!D$10*$I57,0))</f>
        <v>0</v>
      </c>
      <c r="AH57" s="214">
        <f>IF(AND(($E57+$C$1)&gt;AH$4,AH$4&gt;=$C$1),'General Inputs'!E$9*$H57,IF(AND(($D57+$C$1)&gt;AH$4,AH$4&gt;=$C$1),'General Inputs'!E$9*$G57,0))+IF(AND(($E57+$C$1)&gt;AH$4,AH$4&gt;=$C$1),'General Inputs'!E$10*$J57,IF(AND(($D57+$C$1)&gt;AH$4,AH$4&gt;=$C$1),'General Inputs'!E$10*$I57,0))</f>
        <v>0</v>
      </c>
      <c r="AI57" s="214">
        <f>IF(AND(($E57+$C$1)&gt;AI$4,AI$4&gt;=$C$1),'General Inputs'!F$9*$H57,IF(AND(($D57+$C$1)&gt;AI$4,AI$4&gt;=$C$1),'General Inputs'!F$9*$G57,0))+IF(AND(($E57+$C$1)&gt;AI$4,AI$4&gt;=$C$1),'General Inputs'!F$10*$J57,IF(AND(($D57+$C$1)&gt;AI$4,AI$4&gt;=$C$1),'General Inputs'!F$10*$I57,0))</f>
        <v>0</v>
      </c>
      <c r="AJ57" s="214">
        <f>IF(AND(($E57+$C$1)&gt;AJ$4,AJ$4&gt;=$C$1),'General Inputs'!G$9*$H57,IF(AND(($D57+$C$1)&gt;AJ$4,AJ$4&gt;=$C$1),'General Inputs'!G$9*$G57,0))+IF(AND(($E57+$C$1)&gt;AJ$4,AJ$4&gt;=$C$1),'General Inputs'!G$10*$J57,IF(AND(($D57+$C$1)&gt;AJ$4,AJ$4&gt;=$C$1),'General Inputs'!G$10*$I57,0))</f>
        <v>0</v>
      </c>
      <c r="AK57" s="214">
        <f>IF(AND(($E57+$C$1)&gt;AK$4,AK$4&gt;=$C$1),'General Inputs'!H$9*$H57,IF(AND(($D57+$C$1)&gt;AK$4,AK$4&gt;=$C$1),'General Inputs'!H$9*$G57,0))+IF(AND(($E57+$C$1)&gt;AK$4,AK$4&gt;=$C$1),'General Inputs'!H$10*$J57,IF(AND(($D57+$C$1)&gt;AK$4,AK$4&gt;=$C$1),'General Inputs'!H$10*$I57,0))</f>
        <v>0</v>
      </c>
      <c r="AL57" s="214">
        <f>IF(AND(($E57+$C$1)&gt;AL$4,AL$4&gt;=$C$1),'General Inputs'!I$9*$H57,IF(AND(($D57+$C$1)&gt;AL$4,AL$4&gt;=$C$1),'General Inputs'!I$9*$G57,0))+IF(AND(($E57+$C$1)&gt;AL$4,AL$4&gt;=$C$1),'General Inputs'!I$10*$J57,IF(AND(($D57+$C$1)&gt;AL$4,AL$4&gt;=$C$1),'General Inputs'!I$10*$I57,0))</f>
        <v>0</v>
      </c>
      <c r="AM57" s="214">
        <f>IF(AND(($E57+$C$1)&gt;AM$4,AM$4&gt;=$C$1),'General Inputs'!J$9*$H57,IF(AND(($D57+$C$1)&gt;AM$4,AM$4&gt;=$C$1),'General Inputs'!J$9*$G57,0))+IF(AND(($E57+$C$1)&gt;AM$4,AM$4&gt;=$C$1),'General Inputs'!J$10*$J57,IF(AND(($D57+$C$1)&gt;AM$4,AM$4&gt;=$C$1),'General Inputs'!J$10*$I57,0))</f>
        <v>0</v>
      </c>
      <c r="AN57" s="214">
        <f>IF(AND(($E57+$C$1)&gt;AN$4,AN$4&gt;=$C$1),'General Inputs'!K$9*$H57,IF(AND(($D57+$C$1)&gt;AN$4,AN$4&gt;=$C$1),'General Inputs'!K$9*$G57,0))+IF(AND(($E57+$C$1)&gt;AN$4,AN$4&gt;=$C$1),'General Inputs'!K$10*$J57,IF(AND(($D57+$C$1)&gt;AN$4,AN$4&gt;=$C$1),'General Inputs'!K$10*$I57,0))</f>
        <v>0</v>
      </c>
      <c r="AO57" s="214">
        <f>IF(AND(($E57+$C$1)&gt;AO$4,AO$4&gt;=$C$1),'General Inputs'!L$9*$H57,IF(AND(($D57+$C$1)&gt;AO$4,AO$4&gt;=$C$1),'General Inputs'!L$9*$G57,0))+IF(AND(($E57+$C$1)&gt;AO$4,AO$4&gt;=$C$1),'General Inputs'!L$10*$J57,IF(AND(($D57+$C$1)&gt;AO$4,AO$4&gt;=$C$1),'General Inputs'!L$10*$I57,0))</f>
        <v>0</v>
      </c>
      <c r="AP57" s="214">
        <f>IF(AND(($E57+$C$1)&gt;AP$4,AP$4&gt;=$C$1),'General Inputs'!M$9*$H57,IF(AND(($D57+$C$1)&gt;AP$4,AP$4&gt;=$C$1),'General Inputs'!M$9*$G57,0))+IF(AND(($E57+$C$1)&gt;AP$4,AP$4&gt;=$C$1),'General Inputs'!M$10*$J57,IF(AND(($D57+$C$1)&gt;AP$4,AP$4&gt;=$C$1),'General Inputs'!M$10*$I57,0))</f>
        <v>0</v>
      </c>
      <c r="AQ57" s="214">
        <f>IF(AND(($E57+$C$1)&gt;AQ$4,AQ$4&gt;=$C$1),'General Inputs'!N$9*$H57,IF(AND(($D57+$C$1)&gt;AQ$4,AQ$4&gt;=$C$1),'General Inputs'!N$9*$G57,0))+IF(AND(($E57+$C$1)&gt;AQ$4,AQ$4&gt;=$C$1),'General Inputs'!N$10*$J57,IF(AND(($D57+$C$1)&gt;AQ$4,AQ$4&gt;=$C$1),'General Inputs'!N$10*$I57,0))</f>
        <v>0</v>
      </c>
      <c r="AR57" s="214">
        <f>IF(AND(($E57+$C$1)&gt;AR$4,AR$4&gt;=$C$1),'General Inputs'!O$9*$H57,IF(AND(($D57+$C$1)&gt;AR$4,AR$4&gt;=$C$1),'General Inputs'!O$9*$G57,0))+IF(AND(($E57+$C$1)&gt;AR$4,AR$4&gt;=$C$1),'General Inputs'!O$10*$J57,IF(AND(($D57+$C$1)&gt;AR$4,AR$4&gt;=$C$1),'General Inputs'!O$10*$I57,0))</f>
        <v>0</v>
      </c>
      <c r="AS57" s="214">
        <f>IF(AND(($E57+$C$1)&gt;AS$4,AS$4&gt;=$C$1),'General Inputs'!P$9*$H57,IF(AND(($D57+$C$1)&gt;AS$4,AS$4&gt;=$C$1),'General Inputs'!P$9*$G57,0))+IF(AND(($E57+$C$1)&gt;AS$4,AS$4&gt;=$C$1),'General Inputs'!P$10*$J57,IF(AND(($D57+$C$1)&gt;AS$4,AS$4&gt;=$C$1),'General Inputs'!P$10*$I57,0))</f>
        <v>0</v>
      </c>
      <c r="AT57" s="214">
        <f>IF(AND(($E57+$C$1)&gt;AT$4,AT$4&gt;=$C$1),'General Inputs'!Q$9*$H57,IF(AND(($D57+$C$1)&gt;AT$4,AT$4&gt;=$C$1),'General Inputs'!Q$9*$G57,0))+IF(AND(($E57+$C$1)&gt;AT$4,AT$4&gt;=$C$1),'General Inputs'!Q$10*$J57,IF(AND(($D57+$C$1)&gt;AT$4,AT$4&gt;=$C$1),'General Inputs'!Q$10*$I57,0))</f>
        <v>0</v>
      </c>
      <c r="AU57" s="214">
        <f>IF(AND(($E57+$C$1)&gt;AU$4,AU$4&gt;=$C$1),'General Inputs'!R$9*$H57,IF(AND(($D57+$C$1)&gt;AU$4,AU$4&gt;=$C$1),'General Inputs'!R$9*$G57,0))+IF(AND(($E57+$C$1)&gt;AU$4,AU$4&gt;=$C$1),'General Inputs'!R$10*$J57,IF(AND(($D57+$C$1)&gt;AU$4,AU$4&gt;=$C$1),'General Inputs'!R$10*$I57,0))</f>
        <v>0</v>
      </c>
      <c r="AV57" s="214">
        <f>IF(AND(($E57+$C$1)&gt;AV$4,AV$4&gt;=$C$1),'General Inputs'!S$9*$H57,IF(AND(($D57+$C$1)&gt;AV$4,AV$4&gt;=$C$1),'General Inputs'!S$9*$G57,0))+IF(AND(($E57+$C$1)&gt;AV$4,AV$4&gt;=$C$1),'General Inputs'!S$10*$J57,IF(AND(($D57+$C$1)&gt;AV$4,AV$4&gt;=$C$1),'General Inputs'!S$10*$I57,0))</f>
        <v>0</v>
      </c>
      <c r="AW57" s="214">
        <f>IF(AND(($E57+$C$1)&gt;AW$4,AW$4&gt;=$C$1),'General Inputs'!T$9*$H57,IF(AND(($D57+$C$1)&gt;AW$4,AW$4&gt;=$C$1),'General Inputs'!T$9*$G57,0))+IF(AND(($E57+$C$1)&gt;AW$4,AW$4&gt;=$C$1),'General Inputs'!T$10*$J57,IF(AND(($D57+$C$1)&gt;AW$4,AW$4&gt;=$C$1),'General Inputs'!T$10*$I57,0))</f>
        <v>0</v>
      </c>
      <c r="AX57" s="214">
        <f>IF(AND(($E57+$C$1)&gt;AX$4,AX$4&gt;=$C$1),'General Inputs'!U$9*$H57,IF(AND(($D57+$C$1)&gt;AX$4,AX$4&gt;=$C$1),'General Inputs'!U$9*$G57,0))+IF(AND(($E57+$C$1)&gt;AX$4,AX$4&gt;=$C$1),'General Inputs'!U$10*$J57,IF(AND(($D57+$C$1)&gt;AX$4,AX$4&gt;=$C$1),'General Inputs'!U$10*$I57,0))</f>
        <v>0</v>
      </c>
      <c r="AY57" s="214">
        <f>IF(AND(($E57+$C$1)&gt;AY$4,AY$4&gt;=$C$1),'General Inputs'!V$9*$H57,IF(AND(($D57+$C$1)&gt;AY$4,AY$4&gt;=$C$1),'General Inputs'!V$9*$G57,0))+IF(AND(($E57+$C$1)&gt;AY$4,AY$4&gt;=$C$1),'General Inputs'!V$10*$J57,IF(AND(($D57+$C$1)&gt;AY$4,AY$4&gt;=$C$1),'General Inputs'!V$10*$I57,0))</f>
        <v>0</v>
      </c>
      <c r="AZ57" s="214">
        <f>IF(AND(($E57+$C$1)&gt;AZ$4,AZ$4&gt;=$C$1),'General Inputs'!W$9*$H57,IF(AND(($D57+$C$1)&gt;AZ$4,AZ$4&gt;=$C$1),'General Inputs'!W$9*$G57,0))+IF(AND(($E57+$C$1)&gt;AZ$4,AZ$4&gt;=$C$1),'General Inputs'!W$10*$J57,IF(AND(($D57+$C$1)&gt;AZ$4,AZ$4&gt;=$C$1),'General Inputs'!W$10*$I57,0))</f>
        <v>0</v>
      </c>
      <c r="BB57" s="214">
        <f>IF(AND(($E57+$C$1)&gt;BB$4,BB$4&gt;=$C$1),'General Inputs'!D$11*$H57,IF(AND(($D57+$C$1)&gt;BB$4,BB$4&gt;=$C$1),'General Inputs'!D$11*$G57,0))</f>
        <v>0</v>
      </c>
      <c r="BC57" s="214">
        <f>IF(AND(($E57+$C$1)&gt;BC$4,BC$4&gt;=$C$1),'General Inputs'!E$11*$H57,IF(AND(($D57+$C$1)&gt;BC$4,BC$4&gt;=$C$1),'General Inputs'!E$11*$G57,0))</f>
        <v>0</v>
      </c>
      <c r="BD57" s="214">
        <f>IF(AND(($E57+$C$1)&gt;BD$4,BD$4&gt;=$C$1),'General Inputs'!F$11*$H57,IF(AND(($D57+$C$1)&gt;BD$4,BD$4&gt;=$C$1),'General Inputs'!F$11*$G57,0))</f>
        <v>0</v>
      </c>
      <c r="BE57" s="214">
        <f>IF(AND(($E57+$C$1)&gt;BE$4,BE$4&gt;=$C$1),'General Inputs'!G$11*$H57,IF(AND(($D57+$C$1)&gt;BE$4,BE$4&gt;=$C$1),'General Inputs'!G$11*$G57,0))</f>
        <v>0</v>
      </c>
      <c r="BF57" s="214">
        <f>IF(AND(($E57+$C$1)&gt;BF$4,BF$4&gt;=$C$1),'General Inputs'!H$11*$H57,IF(AND(($D57+$C$1)&gt;BF$4,BF$4&gt;=$C$1),'General Inputs'!H$11*$G57,0))</f>
        <v>0</v>
      </c>
      <c r="BG57" s="214">
        <f>IF(AND(($E57+$C$1)&gt;BG$4,BG$4&gt;=$C$1),'General Inputs'!I$11*$H57,IF(AND(($D57+$C$1)&gt;BG$4,BG$4&gt;=$C$1),'General Inputs'!I$11*$G57,0))</f>
        <v>0</v>
      </c>
      <c r="BH57" s="214">
        <f>IF(AND(($E57+$C$1)&gt;BH$4,BH$4&gt;=$C$1),'General Inputs'!J$11*$H57,IF(AND(($D57+$C$1)&gt;BH$4,BH$4&gt;=$C$1),'General Inputs'!J$11*$G57,0))</f>
        <v>0</v>
      </c>
      <c r="BI57" s="214">
        <f>IF(AND(($E57+$C$1)&gt;BI$4,BI$4&gt;=$C$1),'General Inputs'!K$11*$H57,IF(AND(($D57+$C$1)&gt;BI$4,BI$4&gt;=$C$1),'General Inputs'!K$11*$G57,0))</f>
        <v>0</v>
      </c>
      <c r="BJ57" s="214">
        <f>IF(AND(($E57+$C$1)&gt;BJ$4,BJ$4&gt;=$C$1),'General Inputs'!L$11*$H57,IF(AND(($D57+$C$1)&gt;BJ$4,BJ$4&gt;=$C$1),'General Inputs'!L$11*$G57,0))</f>
        <v>0</v>
      </c>
      <c r="BK57" s="214">
        <f>IF(AND(($E57+$C$1)&gt;BK$4,BK$4&gt;=$C$1),'General Inputs'!M$11*$H57,IF(AND(($D57+$C$1)&gt;BK$4,BK$4&gt;=$C$1),'General Inputs'!M$11*$G57,0))</f>
        <v>0</v>
      </c>
      <c r="BL57" s="214">
        <f>IF(AND(($E57+$C$1)&gt;BL$4,BL$4&gt;=$C$1),'General Inputs'!N$11*$H57,IF(AND(($D57+$C$1)&gt;BL$4,BL$4&gt;=$C$1),'General Inputs'!N$11*$G57,0))</f>
        <v>0</v>
      </c>
      <c r="BM57" s="214">
        <f>IF(AND(($E57+$C$1)&gt;BM$4,BM$4&gt;=$C$1),'General Inputs'!O$11*$H57,IF(AND(($D57+$C$1)&gt;BM$4,BM$4&gt;=$C$1),'General Inputs'!O$11*$G57,0))</f>
        <v>0</v>
      </c>
      <c r="BN57" s="214">
        <f>IF(AND(($E57+$C$1)&gt;BN$4,BN$4&gt;=$C$1),'General Inputs'!P$11*$H57,IF(AND(($D57+$C$1)&gt;BN$4,BN$4&gt;=$C$1),'General Inputs'!P$11*$G57,0))</f>
        <v>0</v>
      </c>
      <c r="BO57" s="214">
        <f>IF(AND(($E57+$C$1)&gt;BO$4,BO$4&gt;=$C$1),'General Inputs'!Q$11*$H57,IF(AND(($D57+$C$1)&gt;BO$4,BO$4&gt;=$C$1),'General Inputs'!Q$11*$G57,0))</f>
        <v>0</v>
      </c>
      <c r="BP57" s="214">
        <f>IF(AND(($E57+$C$1)&gt;BP$4,BP$4&gt;=$C$1),'General Inputs'!R$11*$H57,IF(AND(($D57+$C$1)&gt;BP$4,BP$4&gt;=$C$1),'General Inputs'!R$11*$G57,0))</f>
        <v>0</v>
      </c>
      <c r="BQ57" s="214">
        <f>IF(AND(($E57+$C$1)&gt;BQ$4,BQ$4&gt;=$C$1),'General Inputs'!S$11*$H57,IF(AND(($D57+$C$1)&gt;BQ$4,BQ$4&gt;=$C$1),'General Inputs'!S$11*$G57,0))</f>
        <v>0</v>
      </c>
      <c r="BR57" s="214">
        <f>IF(AND(($E57+$C$1)&gt;BR$4,BR$4&gt;=$C$1),'General Inputs'!T$11*$H57,IF(AND(($D57+$C$1)&gt;BR$4,BR$4&gt;=$C$1),'General Inputs'!T$11*$G57,0))</f>
        <v>0</v>
      </c>
      <c r="BS57" s="214">
        <f>IF(AND(($E57+$C$1)&gt;BS$4,BS$4&gt;=$C$1),'General Inputs'!U$11*$H57,IF(AND(($D57+$C$1)&gt;BS$4,BS$4&gt;=$C$1),'General Inputs'!U$11*$G57,0))</f>
        <v>0</v>
      </c>
      <c r="BT57" s="214">
        <f>IF(AND(($E57+$C$1)&gt;BT$4,BT$4&gt;=$C$1),'General Inputs'!V$11*$H57,IF(AND(($D57+$C$1)&gt;BT$4,BT$4&gt;=$C$1),'General Inputs'!V$11*$G57,0))</f>
        <v>0</v>
      </c>
      <c r="BU57" s="214">
        <f>IF(AND(($E57+$C$1)&gt;BU$4,BU$4&gt;=$C$1),'General Inputs'!W$11*$H57,IF(AND(($D57+$C$1)&gt;BU$4,BU$4&gt;=$C$1),'General Inputs'!W$11*$G57,0))</f>
        <v>0</v>
      </c>
      <c r="BW57" s="214">
        <f>IF(AND(($E57+$C$1)&gt;BW$4,BW$4&gt;=$C$1),$H57,IF(AND(($D57+$C$1)&gt;BW$4,BW$4&gt;=$C$1),$G57,0))*IF($A57="Residential",'General Inputs'!D$14,'General Inputs'!D$19)</f>
        <v>0</v>
      </c>
      <c r="BX57" s="214">
        <f>IF(AND(($E57+$C$1)&gt;BX$4,BX$4&gt;=$C$1),$H57,IF(AND(($D57+$C$1)&gt;BX$4,BX$4&gt;=$C$1),$G57,0))*IF($A57="Residential",'General Inputs'!E$14,'General Inputs'!E$19)</f>
        <v>0</v>
      </c>
      <c r="BY57" s="214">
        <f>IF(AND(($E57+$C$1)&gt;BY$4,BY$4&gt;=$C$1),$H57,IF(AND(($D57+$C$1)&gt;BY$4,BY$4&gt;=$C$1),$G57,0))*IF($A57="Residential",'General Inputs'!F$14,'General Inputs'!F$19)</f>
        <v>0</v>
      </c>
      <c r="BZ57" s="214">
        <f>IF(AND(($E57+$C$1)&gt;BZ$4,BZ$4&gt;=$C$1),$H57,IF(AND(($D57+$C$1)&gt;BZ$4,BZ$4&gt;=$C$1),$G57,0))*IF($A57="Residential",'General Inputs'!G$14,'General Inputs'!G$19)</f>
        <v>0</v>
      </c>
      <c r="CA57" s="214">
        <f>IF(AND(($E57+$C$1)&gt;CA$4,CA$4&gt;=$C$1),$H57,IF(AND(($D57+$C$1)&gt;CA$4,CA$4&gt;=$C$1),$G57,0))*IF($A57="Residential",'General Inputs'!H$14,'General Inputs'!H$19)</f>
        <v>0</v>
      </c>
      <c r="CB57" s="214">
        <f>IF(AND(($E57+$C$1)&gt;CB$4,CB$4&gt;=$C$1),$H57,IF(AND(($D57+$C$1)&gt;CB$4,CB$4&gt;=$C$1),$G57,0))*IF($A57="Residential",'General Inputs'!I$14,'General Inputs'!I$19)</f>
        <v>0</v>
      </c>
      <c r="CC57" s="214">
        <f>IF(AND(($E57+$C$1)&gt;CC$4,CC$4&gt;=$C$1),$H57,IF(AND(($D57+$C$1)&gt;CC$4,CC$4&gt;=$C$1),$G57,0))*IF($A57="Residential",'General Inputs'!J$14,'General Inputs'!J$19)</f>
        <v>0</v>
      </c>
      <c r="CD57" s="214">
        <f>IF(AND(($E57+$C$1)&gt;CD$4,CD$4&gt;=$C$1),$H57,IF(AND(($D57+$C$1)&gt;CD$4,CD$4&gt;=$C$1),$G57,0))*IF($A57="Residential",'General Inputs'!K$14,'General Inputs'!K$19)</f>
        <v>0</v>
      </c>
      <c r="CE57" s="214">
        <f>IF(AND(($E57+$C$1)&gt;CE$4,CE$4&gt;=$C$1),$H57,IF(AND(($D57+$C$1)&gt;CE$4,CE$4&gt;=$C$1),$G57,0))*IF($A57="Residential",'General Inputs'!L$14,'General Inputs'!L$19)</f>
        <v>0</v>
      </c>
      <c r="CF57" s="214">
        <f>IF(AND(($E57+$C$1)&gt;CF$4,CF$4&gt;=$C$1),$H57,IF(AND(($D57+$C$1)&gt;CF$4,CF$4&gt;=$C$1),$G57,0))*IF($A57="Residential",'General Inputs'!M$14,'General Inputs'!M$19)</f>
        <v>0</v>
      </c>
      <c r="CG57" s="214">
        <f>IF(AND(($E57+$C$1)&gt;CG$4,CG$4&gt;=$C$1),$H57,IF(AND(($D57+$C$1)&gt;CG$4,CG$4&gt;=$C$1),$G57,0))*IF($A57="Residential",'General Inputs'!N$14,'General Inputs'!N$19)</f>
        <v>0</v>
      </c>
      <c r="CH57" s="214">
        <f>IF(AND(($E57+$C$1)&gt;CH$4,CH$4&gt;=$C$1),$H57,IF(AND(($D57+$C$1)&gt;CH$4,CH$4&gt;=$C$1),$G57,0))*IF($A57="Residential",'General Inputs'!O$14,'General Inputs'!O$19)</f>
        <v>0</v>
      </c>
      <c r="CI57" s="214">
        <f>IF(AND(($E57+$C$1)&gt;CI$4,CI$4&gt;=$C$1),$H57,IF(AND(($D57+$C$1)&gt;CI$4,CI$4&gt;=$C$1),$G57,0))*IF($A57="Residential",'General Inputs'!P$14,'General Inputs'!P$19)</f>
        <v>0</v>
      </c>
      <c r="CJ57" s="214">
        <f>IF(AND(($E57+$C$1)&gt;CJ$4,CJ$4&gt;=$C$1),$H57,IF(AND(($D57+$C$1)&gt;CJ$4,CJ$4&gt;=$C$1),$G57,0))*IF($A57="Residential",'General Inputs'!Q$14,'General Inputs'!Q$19)</f>
        <v>0</v>
      </c>
      <c r="CK57" s="214">
        <f>IF(AND(($E57+$C$1)&gt;CK$4,CK$4&gt;=$C$1),$H57,IF(AND(($D57+$C$1)&gt;CK$4,CK$4&gt;=$C$1),$G57,0))*IF($A57="Residential",'General Inputs'!R$14,'General Inputs'!R$19)</f>
        <v>0</v>
      </c>
      <c r="CL57" s="214">
        <f>IF(AND(($E57+$C$1)&gt;CL$4,CL$4&gt;=$C$1),$H57,IF(AND(($D57+$C$1)&gt;CL$4,CL$4&gt;=$C$1),$G57,0))*IF($A57="Residential",'General Inputs'!S$14,'General Inputs'!S$19)</f>
        <v>0</v>
      </c>
      <c r="CM57" s="214">
        <f>IF(AND(($E57+$C$1)&gt;CM$4,CM$4&gt;=$C$1),$H57,IF(AND(($D57+$C$1)&gt;CM$4,CM$4&gt;=$C$1),$G57,0))*IF($A57="Residential",'General Inputs'!T$14,'General Inputs'!T$19)</f>
        <v>0</v>
      </c>
      <c r="CN57" s="214">
        <f>IF(AND(($E57+$C$1)&gt;CN$4,CN$4&gt;=$C$1),$H57,IF(AND(($D57+$C$1)&gt;CN$4,CN$4&gt;=$C$1),$G57,0))*IF($A57="Residential",'General Inputs'!U$14,'General Inputs'!U$19)</f>
        <v>0</v>
      </c>
      <c r="CO57" s="214">
        <f>IF(AND(($E57+$C$1)&gt;CO$4,CO$4&gt;=$C$1),$H57,IF(AND(($D57+$C$1)&gt;CO$4,CO$4&gt;=$C$1),$G57,0))*IF($A57="Residential",'General Inputs'!V$14,'General Inputs'!V$19)</f>
        <v>0</v>
      </c>
      <c r="CP57" s="214">
        <f>IF(AND(($E57+$C$1)&gt;CP$4,CP$4&gt;=$C$1),$H57,IF(AND(($D57+$C$1)&gt;CP$4,CP$4&gt;=$C$1),$G57,0))*IF($A57="Residential",'General Inputs'!W$14,'General Inputs'!W$19)</f>
        <v>0</v>
      </c>
      <c r="CR57" s="214">
        <f>IF(AND(($E57+$C$1)&gt;CR$4,CR$4&gt;=$C$1),$H57,IF(AND(($D57+$C$1)&gt;CR$4,CR$4&gt;=$C$1),$G57,0))*IF($A57="Residential",'General Inputs'!D$15,'General Inputs'!D$19)</f>
        <v>0</v>
      </c>
      <c r="CS57" s="214">
        <f>IF(AND(($E57+$C$1)&gt;CS$4,CS$4&gt;=$C$1),$H57,IF(AND(($D57+$C$1)&gt;CS$4,CS$4&gt;=$C$1),$G57,0))*IF($A57="Residential",'General Inputs'!E$15,'General Inputs'!E$19)</f>
        <v>0</v>
      </c>
      <c r="CT57" s="214">
        <f>IF(AND(($E57+$C$1)&gt;CT$4,CT$4&gt;=$C$1),$H57,IF(AND(($D57+$C$1)&gt;CT$4,CT$4&gt;=$C$1),$G57,0))*IF($A57="Residential",'General Inputs'!F$15,'General Inputs'!F$19)</f>
        <v>0</v>
      </c>
      <c r="CU57" s="214">
        <f>IF(AND(($E57+$C$1)&gt;CU$4,CU$4&gt;=$C$1),$H57,IF(AND(($D57+$C$1)&gt;CU$4,CU$4&gt;=$C$1),$G57,0))*IF($A57="Residential",'General Inputs'!G$15,'General Inputs'!G$19)</f>
        <v>0</v>
      </c>
      <c r="CV57" s="214">
        <f>IF(AND(($E57+$C$1)&gt;CV$4,CV$4&gt;=$C$1),$H57,IF(AND(($D57+$C$1)&gt;CV$4,CV$4&gt;=$C$1),$G57,0))*IF($A57="Residential",'General Inputs'!H$15,'General Inputs'!H$19)</f>
        <v>0</v>
      </c>
      <c r="CW57" s="214">
        <f>IF(AND(($E57+$C$1)&gt;CW$4,CW$4&gt;=$C$1),$H57,IF(AND(($D57+$C$1)&gt;CW$4,CW$4&gt;=$C$1),$G57,0))*IF($A57="Residential",'General Inputs'!I$15,'General Inputs'!I$19)</f>
        <v>0</v>
      </c>
      <c r="CX57" s="214">
        <f>IF(AND(($E57+$C$1)&gt;CX$4,CX$4&gt;=$C$1),$H57,IF(AND(($D57+$C$1)&gt;CX$4,CX$4&gt;=$C$1),$G57,0))*IF($A57="Residential",'General Inputs'!J$15,'General Inputs'!J$19)</f>
        <v>0</v>
      </c>
      <c r="CY57" s="214">
        <f>IF(AND(($E57+$C$1)&gt;CY$4,CY$4&gt;=$C$1),$H57,IF(AND(($D57+$C$1)&gt;CY$4,CY$4&gt;=$C$1),$G57,0))*IF($A57="Residential",'General Inputs'!K$15,'General Inputs'!K$19)</f>
        <v>0</v>
      </c>
      <c r="CZ57" s="214">
        <f>IF(AND(($E57+$C$1)&gt;CZ$4,CZ$4&gt;=$C$1),$H57,IF(AND(($D57+$C$1)&gt;CZ$4,CZ$4&gt;=$C$1),$G57,0))*IF($A57="Residential",'General Inputs'!L$15,'General Inputs'!L$19)</f>
        <v>0</v>
      </c>
      <c r="DA57" s="214">
        <f>IF(AND(($E57+$C$1)&gt;DA$4,DA$4&gt;=$C$1),$H57,IF(AND(($D57+$C$1)&gt;DA$4,DA$4&gt;=$C$1),$G57,0))*IF($A57="Residential",'General Inputs'!M$15,'General Inputs'!M$19)</f>
        <v>0</v>
      </c>
      <c r="DB57" s="214">
        <f>IF(AND(($E57+$C$1)&gt;DB$4,DB$4&gt;=$C$1),$H57,IF(AND(($D57+$C$1)&gt;DB$4,DB$4&gt;=$C$1),$G57,0))*IF($A57="Residential",'General Inputs'!N$15,'General Inputs'!N$19)</f>
        <v>0</v>
      </c>
      <c r="DC57" s="214">
        <f>IF(AND(($E57+$C$1)&gt;DC$4,DC$4&gt;=$C$1),$H57,IF(AND(($D57+$C$1)&gt;DC$4,DC$4&gt;=$C$1),$G57,0))*IF($A57="Residential",'General Inputs'!O$15,'General Inputs'!O$19)</f>
        <v>0</v>
      </c>
      <c r="DD57" s="214">
        <f>IF(AND(($E57+$C$1)&gt;DD$4,DD$4&gt;=$C$1),$H57,IF(AND(($D57+$C$1)&gt;DD$4,DD$4&gt;=$C$1),$G57,0))*IF($A57="Residential",'General Inputs'!P$15,'General Inputs'!P$19)</f>
        <v>0</v>
      </c>
      <c r="DE57" s="214">
        <f>IF(AND(($E57+$C$1)&gt;DE$4,DE$4&gt;=$C$1),$H57,IF(AND(($D57+$C$1)&gt;DE$4,DE$4&gt;=$C$1),$G57,0))*IF($A57="Residential",'General Inputs'!Q$15,'General Inputs'!Q$19)</f>
        <v>0</v>
      </c>
      <c r="DF57" s="214">
        <f>IF(AND(($E57+$C$1)&gt;DF$4,DF$4&gt;=$C$1),$H57,IF(AND(($D57+$C$1)&gt;DF$4,DF$4&gt;=$C$1),$G57,0))*IF($A57="Residential",'General Inputs'!R$15,'General Inputs'!R$19)</f>
        <v>0</v>
      </c>
      <c r="DG57" s="214">
        <f>IF(AND(($E57+$C$1)&gt;DG$4,DG$4&gt;=$C$1),$H57,IF(AND(($D57+$C$1)&gt;DG$4,DG$4&gt;=$C$1),$G57,0))*IF($A57="Residential",'General Inputs'!S$15,'General Inputs'!S$19)</f>
        <v>0</v>
      </c>
      <c r="DH57" s="214">
        <f>IF(AND(($E57+$C$1)&gt;DH$4,DH$4&gt;=$C$1),$H57,IF(AND(($D57+$C$1)&gt;DH$4,DH$4&gt;=$C$1),$G57,0))*IF($A57="Residential",'General Inputs'!T$15,'General Inputs'!T$19)</f>
        <v>0</v>
      </c>
      <c r="DI57" s="214">
        <f>IF(AND(($E57+$C$1)&gt;DI$4,DI$4&gt;=$C$1),$H57,IF(AND(($D57+$C$1)&gt;DI$4,DI$4&gt;=$C$1),$G57,0))*IF($A57="Residential",'General Inputs'!U$15,'General Inputs'!U$19)</f>
        <v>0</v>
      </c>
      <c r="DJ57" s="214">
        <f>IF(AND(($E57+$C$1)&gt;DJ$4,DJ$4&gt;=$C$1),$H57,IF(AND(($D57+$C$1)&gt;DJ$4,DJ$4&gt;=$C$1),$G57,0))*IF($A57="Residential",'General Inputs'!V$15,'General Inputs'!V$19)</f>
        <v>0</v>
      </c>
      <c r="DK57" s="214">
        <f>IF(AND(($E57+$C$1)&gt;DK$4,DK$4&gt;=$C$1),$H57,IF(AND(($D57+$C$1)&gt;DK$4,DK$4&gt;=$C$1),$G57,0))*IF($A57="Residential",'General Inputs'!W$15,'General Inputs'!W$19)</f>
        <v>0</v>
      </c>
      <c r="DM57" s="214">
        <f t="shared" si="99"/>
        <v>0</v>
      </c>
      <c r="DN57" s="214">
        <f t="shared" si="99"/>
        <v>0</v>
      </c>
      <c r="DO57" s="214">
        <f t="shared" si="99"/>
        <v>0</v>
      </c>
      <c r="DP57" s="214">
        <f t="shared" si="99"/>
        <v>0</v>
      </c>
      <c r="DQ57" s="214">
        <f t="shared" si="99"/>
        <v>0</v>
      </c>
      <c r="DR57" s="214">
        <f t="shared" si="99"/>
        <v>0</v>
      </c>
      <c r="DS57" s="214">
        <f t="shared" si="99"/>
        <v>0</v>
      </c>
      <c r="DT57" s="214">
        <f t="shared" si="99"/>
        <v>0</v>
      </c>
      <c r="DU57" s="214">
        <f t="shared" si="99"/>
        <v>0</v>
      </c>
      <c r="DV57" s="214">
        <f t="shared" si="99"/>
        <v>0</v>
      </c>
      <c r="DW57" s="214">
        <f t="shared" si="99"/>
        <v>0</v>
      </c>
      <c r="DZ57" s="650"/>
      <c r="FI57" s="195"/>
      <c r="FJ57" s="195"/>
      <c r="FK57" s="195"/>
      <c r="FL57" s="195"/>
      <c r="FM57" s="195"/>
      <c r="FN57" s="195"/>
      <c r="FO57" s="195"/>
    </row>
    <row r="58" spans="1:171">
      <c r="A58" s="342" t="s">
        <v>112</v>
      </c>
      <c r="B58" s="427" t="str">
        <f>'Portfolio Inputs'!A57</f>
        <v>Fluorescent Fixture Specular Reflector two 8-ft</v>
      </c>
      <c r="C58" s="217">
        <f>IF($C$1=2014,'Portfolio Inputs'!$C57,IF($C$1=2015,'Portfolio Inputs'!$D57,'Portfolio Inputs'!$E57))</f>
        <v>0</v>
      </c>
      <c r="D58" s="504">
        <f>VLOOKUP(B58,Sources!$B$4:$J$104,2,FALSE)</f>
        <v>15</v>
      </c>
      <c r="E58" s="504">
        <f>VLOOKUP(B58,Sources!$B$4:$J$104,3,FALSE)</f>
        <v>0</v>
      </c>
      <c r="G58" s="504">
        <f>IF($C$1=2014,'Portfolio Inputs'!$G57,IF($C$1=2015,'Portfolio Inputs'!$H57,'Portfolio Inputs'!$I57))*EnergyLineLoss</f>
        <v>0</v>
      </c>
      <c r="H58" s="504"/>
      <c r="I58" s="595">
        <f>IF($C$1=2014,'Portfolio Inputs'!$K57,IF($C$1=2015,'Portfolio Inputs'!$L57,'Portfolio Inputs'!$M57))*PeakLineLoss</f>
        <v>0</v>
      </c>
      <c r="J58" s="510"/>
      <c r="L58" s="606">
        <f>IF($C$1=2014,'Portfolio Inputs'!$O57,IF($C$1=2015,'Portfolio Inputs'!$P57,'Portfolio Inputs'!$Q57))</f>
        <v>50</v>
      </c>
      <c r="M58" s="518">
        <f>VLOOKUP($B58,Sources!$B$4:$K$104,10,FALSE)</f>
        <v>0</v>
      </c>
      <c r="N58" s="419">
        <f>IF($C$1=2014,'Portfolio Inputs'!$W57,IF($C$1=2015,'Portfolio Inputs'!$X57,'Portfolio Inputs'!$Y57))</f>
        <v>0</v>
      </c>
      <c r="O58" s="419">
        <f>IF($C$1=2014,'Portfolio Inputs'!$AA57,IF($C$1=2015,'Portfolio Inputs'!$AB57,'Portfolio Inputs'!$AC57))</f>
        <v>0</v>
      </c>
      <c r="Q58" s="438" t="str">
        <f t="shared" si="67"/>
        <v>n/a</v>
      </c>
      <c r="R58" s="439" t="str">
        <f t="shared" si="68"/>
        <v>n/a</v>
      </c>
      <c r="S58" s="439" t="str">
        <f t="shared" si="69"/>
        <v>n/a</v>
      </c>
      <c r="T58" s="439" t="str">
        <f t="shared" si="70"/>
        <v>n/a</v>
      </c>
      <c r="U58" s="439" t="str">
        <f t="shared" si="98"/>
        <v>n/a</v>
      </c>
      <c r="V58" s="439" t="str">
        <f t="shared" si="72"/>
        <v>n/a</v>
      </c>
      <c r="W58" s="439" t="str">
        <f t="shared" si="73"/>
        <v>n/a</v>
      </c>
      <c r="Y58" s="215">
        <f t="shared" si="4"/>
        <v>0</v>
      </c>
      <c r="Z58" s="215">
        <f t="shared" si="5"/>
        <v>0</v>
      </c>
      <c r="AA58" s="215">
        <f t="shared" si="6"/>
        <v>0</v>
      </c>
      <c r="AB58" s="215">
        <f t="shared" si="7"/>
        <v>0</v>
      </c>
      <c r="AC58" s="216">
        <f t="shared" si="20"/>
        <v>0</v>
      </c>
      <c r="AD58" s="216">
        <f t="shared" si="21"/>
        <v>0</v>
      </c>
      <c r="AE58" s="215">
        <f t="shared" si="8"/>
        <v>0</v>
      </c>
      <c r="AG58" s="214">
        <f>IF(AND(($E58+$C$1)&gt;AG$4,AG$4&gt;=$C$1),'General Inputs'!D$9*$H58,IF(AND(($D58+$C$1)&gt;AG$4,AG$4&gt;=$C$1),'General Inputs'!D$9*$G58,0))+IF(AND(($E58+$C$1)&gt;AG$4,AG$4&gt;=$C$1),'General Inputs'!D$10*$J58,IF(AND(($D58+$C$1)&gt;AG$4,AG$4&gt;=$C$1),'General Inputs'!D$10*$I58,0))</f>
        <v>0</v>
      </c>
      <c r="AH58" s="214">
        <f>IF(AND(($E58+$C$1)&gt;AH$4,AH$4&gt;=$C$1),'General Inputs'!E$9*$H58,IF(AND(($D58+$C$1)&gt;AH$4,AH$4&gt;=$C$1),'General Inputs'!E$9*$G58,0))+IF(AND(($E58+$C$1)&gt;AH$4,AH$4&gt;=$C$1),'General Inputs'!E$10*$J58,IF(AND(($D58+$C$1)&gt;AH$4,AH$4&gt;=$C$1),'General Inputs'!E$10*$I58,0))</f>
        <v>0</v>
      </c>
      <c r="AI58" s="214">
        <f>IF(AND(($E58+$C$1)&gt;AI$4,AI$4&gt;=$C$1),'General Inputs'!F$9*$H58,IF(AND(($D58+$C$1)&gt;AI$4,AI$4&gt;=$C$1),'General Inputs'!F$9*$G58,0))+IF(AND(($E58+$C$1)&gt;AI$4,AI$4&gt;=$C$1),'General Inputs'!F$10*$J58,IF(AND(($D58+$C$1)&gt;AI$4,AI$4&gt;=$C$1),'General Inputs'!F$10*$I58,0))</f>
        <v>0</v>
      </c>
      <c r="AJ58" s="214">
        <f>IF(AND(($E58+$C$1)&gt;AJ$4,AJ$4&gt;=$C$1),'General Inputs'!G$9*$H58,IF(AND(($D58+$C$1)&gt;AJ$4,AJ$4&gt;=$C$1),'General Inputs'!G$9*$G58,0))+IF(AND(($E58+$C$1)&gt;AJ$4,AJ$4&gt;=$C$1),'General Inputs'!G$10*$J58,IF(AND(($D58+$C$1)&gt;AJ$4,AJ$4&gt;=$C$1),'General Inputs'!G$10*$I58,0))</f>
        <v>0</v>
      </c>
      <c r="AK58" s="214">
        <f>IF(AND(($E58+$C$1)&gt;AK$4,AK$4&gt;=$C$1),'General Inputs'!H$9*$H58,IF(AND(($D58+$C$1)&gt;AK$4,AK$4&gt;=$C$1),'General Inputs'!H$9*$G58,0))+IF(AND(($E58+$C$1)&gt;AK$4,AK$4&gt;=$C$1),'General Inputs'!H$10*$J58,IF(AND(($D58+$C$1)&gt;AK$4,AK$4&gt;=$C$1),'General Inputs'!H$10*$I58,0))</f>
        <v>0</v>
      </c>
      <c r="AL58" s="214">
        <f>IF(AND(($E58+$C$1)&gt;AL$4,AL$4&gt;=$C$1),'General Inputs'!I$9*$H58,IF(AND(($D58+$C$1)&gt;AL$4,AL$4&gt;=$C$1),'General Inputs'!I$9*$G58,0))+IF(AND(($E58+$C$1)&gt;AL$4,AL$4&gt;=$C$1),'General Inputs'!I$10*$J58,IF(AND(($D58+$C$1)&gt;AL$4,AL$4&gt;=$C$1),'General Inputs'!I$10*$I58,0))</f>
        <v>0</v>
      </c>
      <c r="AM58" s="214">
        <f>IF(AND(($E58+$C$1)&gt;AM$4,AM$4&gt;=$C$1),'General Inputs'!J$9*$H58,IF(AND(($D58+$C$1)&gt;AM$4,AM$4&gt;=$C$1),'General Inputs'!J$9*$G58,0))+IF(AND(($E58+$C$1)&gt;AM$4,AM$4&gt;=$C$1),'General Inputs'!J$10*$J58,IF(AND(($D58+$C$1)&gt;AM$4,AM$4&gt;=$C$1),'General Inputs'!J$10*$I58,0))</f>
        <v>0</v>
      </c>
      <c r="AN58" s="214">
        <f>IF(AND(($E58+$C$1)&gt;AN$4,AN$4&gt;=$C$1),'General Inputs'!K$9*$H58,IF(AND(($D58+$C$1)&gt;AN$4,AN$4&gt;=$C$1),'General Inputs'!K$9*$G58,0))+IF(AND(($E58+$C$1)&gt;AN$4,AN$4&gt;=$C$1),'General Inputs'!K$10*$J58,IF(AND(($D58+$C$1)&gt;AN$4,AN$4&gt;=$C$1),'General Inputs'!K$10*$I58,0))</f>
        <v>0</v>
      </c>
      <c r="AO58" s="214">
        <f>IF(AND(($E58+$C$1)&gt;AO$4,AO$4&gt;=$C$1),'General Inputs'!L$9*$H58,IF(AND(($D58+$C$1)&gt;AO$4,AO$4&gt;=$C$1),'General Inputs'!L$9*$G58,0))+IF(AND(($E58+$C$1)&gt;AO$4,AO$4&gt;=$C$1),'General Inputs'!L$10*$J58,IF(AND(($D58+$C$1)&gt;AO$4,AO$4&gt;=$C$1),'General Inputs'!L$10*$I58,0))</f>
        <v>0</v>
      </c>
      <c r="AP58" s="214">
        <f>IF(AND(($E58+$C$1)&gt;AP$4,AP$4&gt;=$C$1),'General Inputs'!M$9*$H58,IF(AND(($D58+$C$1)&gt;AP$4,AP$4&gt;=$C$1),'General Inputs'!M$9*$G58,0))+IF(AND(($E58+$C$1)&gt;AP$4,AP$4&gt;=$C$1),'General Inputs'!M$10*$J58,IF(AND(($D58+$C$1)&gt;AP$4,AP$4&gt;=$C$1),'General Inputs'!M$10*$I58,0))</f>
        <v>0</v>
      </c>
      <c r="AQ58" s="214">
        <f>IF(AND(($E58+$C$1)&gt;AQ$4,AQ$4&gt;=$C$1),'General Inputs'!N$9*$H58,IF(AND(($D58+$C$1)&gt;AQ$4,AQ$4&gt;=$C$1),'General Inputs'!N$9*$G58,0))+IF(AND(($E58+$C$1)&gt;AQ$4,AQ$4&gt;=$C$1),'General Inputs'!N$10*$J58,IF(AND(($D58+$C$1)&gt;AQ$4,AQ$4&gt;=$C$1),'General Inputs'!N$10*$I58,0))</f>
        <v>0</v>
      </c>
      <c r="AR58" s="214">
        <f>IF(AND(($E58+$C$1)&gt;AR$4,AR$4&gt;=$C$1),'General Inputs'!O$9*$H58,IF(AND(($D58+$C$1)&gt;AR$4,AR$4&gt;=$C$1),'General Inputs'!O$9*$G58,0))+IF(AND(($E58+$C$1)&gt;AR$4,AR$4&gt;=$C$1),'General Inputs'!O$10*$J58,IF(AND(($D58+$C$1)&gt;AR$4,AR$4&gt;=$C$1),'General Inputs'!O$10*$I58,0))</f>
        <v>0</v>
      </c>
      <c r="AS58" s="214">
        <f>IF(AND(($E58+$C$1)&gt;AS$4,AS$4&gt;=$C$1),'General Inputs'!P$9*$H58,IF(AND(($D58+$C$1)&gt;AS$4,AS$4&gt;=$C$1),'General Inputs'!P$9*$G58,0))+IF(AND(($E58+$C$1)&gt;AS$4,AS$4&gt;=$C$1),'General Inputs'!P$10*$J58,IF(AND(($D58+$C$1)&gt;AS$4,AS$4&gt;=$C$1),'General Inputs'!P$10*$I58,0))</f>
        <v>0</v>
      </c>
      <c r="AT58" s="214">
        <f>IF(AND(($E58+$C$1)&gt;AT$4,AT$4&gt;=$C$1),'General Inputs'!Q$9*$H58,IF(AND(($D58+$C$1)&gt;AT$4,AT$4&gt;=$C$1),'General Inputs'!Q$9*$G58,0))+IF(AND(($E58+$C$1)&gt;AT$4,AT$4&gt;=$C$1),'General Inputs'!Q$10*$J58,IF(AND(($D58+$C$1)&gt;AT$4,AT$4&gt;=$C$1),'General Inputs'!Q$10*$I58,0))</f>
        <v>0</v>
      </c>
      <c r="AU58" s="214">
        <f>IF(AND(($E58+$C$1)&gt;AU$4,AU$4&gt;=$C$1),'General Inputs'!R$9*$H58,IF(AND(($D58+$C$1)&gt;AU$4,AU$4&gt;=$C$1),'General Inputs'!R$9*$G58,0))+IF(AND(($E58+$C$1)&gt;AU$4,AU$4&gt;=$C$1),'General Inputs'!R$10*$J58,IF(AND(($D58+$C$1)&gt;AU$4,AU$4&gt;=$C$1),'General Inputs'!R$10*$I58,0))</f>
        <v>0</v>
      </c>
      <c r="AV58" s="214">
        <f>IF(AND(($E58+$C$1)&gt;AV$4,AV$4&gt;=$C$1),'General Inputs'!S$9*$H58,IF(AND(($D58+$C$1)&gt;AV$4,AV$4&gt;=$C$1),'General Inputs'!S$9*$G58,0))+IF(AND(($E58+$C$1)&gt;AV$4,AV$4&gt;=$C$1),'General Inputs'!S$10*$J58,IF(AND(($D58+$C$1)&gt;AV$4,AV$4&gt;=$C$1),'General Inputs'!S$10*$I58,0))</f>
        <v>0</v>
      </c>
      <c r="AW58" s="214">
        <f>IF(AND(($E58+$C$1)&gt;AW$4,AW$4&gt;=$C$1),'General Inputs'!T$9*$H58,IF(AND(($D58+$C$1)&gt;AW$4,AW$4&gt;=$C$1),'General Inputs'!T$9*$G58,0))+IF(AND(($E58+$C$1)&gt;AW$4,AW$4&gt;=$C$1),'General Inputs'!T$10*$J58,IF(AND(($D58+$C$1)&gt;AW$4,AW$4&gt;=$C$1),'General Inputs'!T$10*$I58,0))</f>
        <v>0</v>
      </c>
      <c r="AX58" s="214">
        <f>IF(AND(($E58+$C$1)&gt;AX$4,AX$4&gt;=$C$1),'General Inputs'!U$9*$H58,IF(AND(($D58+$C$1)&gt;AX$4,AX$4&gt;=$C$1),'General Inputs'!U$9*$G58,0))+IF(AND(($E58+$C$1)&gt;AX$4,AX$4&gt;=$C$1),'General Inputs'!U$10*$J58,IF(AND(($D58+$C$1)&gt;AX$4,AX$4&gt;=$C$1),'General Inputs'!U$10*$I58,0))</f>
        <v>0</v>
      </c>
      <c r="AY58" s="214">
        <f>IF(AND(($E58+$C$1)&gt;AY$4,AY$4&gt;=$C$1),'General Inputs'!V$9*$H58,IF(AND(($D58+$C$1)&gt;AY$4,AY$4&gt;=$C$1),'General Inputs'!V$9*$G58,0))+IF(AND(($E58+$C$1)&gt;AY$4,AY$4&gt;=$C$1),'General Inputs'!V$10*$J58,IF(AND(($D58+$C$1)&gt;AY$4,AY$4&gt;=$C$1),'General Inputs'!V$10*$I58,0))</f>
        <v>0</v>
      </c>
      <c r="AZ58" s="214">
        <f>IF(AND(($E58+$C$1)&gt;AZ$4,AZ$4&gt;=$C$1),'General Inputs'!W$9*$H58,IF(AND(($D58+$C$1)&gt;AZ$4,AZ$4&gt;=$C$1),'General Inputs'!W$9*$G58,0))+IF(AND(($E58+$C$1)&gt;AZ$4,AZ$4&gt;=$C$1),'General Inputs'!W$10*$J58,IF(AND(($D58+$C$1)&gt;AZ$4,AZ$4&gt;=$C$1),'General Inputs'!W$10*$I58,0))</f>
        <v>0</v>
      </c>
      <c r="BB58" s="214">
        <f>IF(AND(($E58+$C$1)&gt;BB$4,BB$4&gt;=$C$1),'General Inputs'!D$11*$H58,IF(AND(($D58+$C$1)&gt;BB$4,BB$4&gt;=$C$1),'General Inputs'!D$11*$G58,0))</f>
        <v>0</v>
      </c>
      <c r="BC58" s="214">
        <f>IF(AND(($E58+$C$1)&gt;BC$4,BC$4&gt;=$C$1),'General Inputs'!E$11*$H58,IF(AND(($D58+$C$1)&gt;BC$4,BC$4&gt;=$C$1),'General Inputs'!E$11*$G58,0))</f>
        <v>0</v>
      </c>
      <c r="BD58" s="214">
        <f>IF(AND(($E58+$C$1)&gt;BD$4,BD$4&gt;=$C$1),'General Inputs'!F$11*$H58,IF(AND(($D58+$C$1)&gt;BD$4,BD$4&gt;=$C$1),'General Inputs'!F$11*$G58,0))</f>
        <v>0</v>
      </c>
      <c r="BE58" s="214">
        <f>IF(AND(($E58+$C$1)&gt;BE$4,BE$4&gt;=$C$1),'General Inputs'!G$11*$H58,IF(AND(($D58+$C$1)&gt;BE$4,BE$4&gt;=$C$1),'General Inputs'!G$11*$G58,0))</f>
        <v>0</v>
      </c>
      <c r="BF58" s="214">
        <f>IF(AND(($E58+$C$1)&gt;BF$4,BF$4&gt;=$C$1),'General Inputs'!H$11*$H58,IF(AND(($D58+$C$1)&gt;BF$4,BF$4&gt;=$C$1),'General Inputs'!H$11*$G58,0))</f>
        <v>0</v>
      </c>
      <c r="BG58" s="214">
        <f>IF(AND(($E58+$C$1)&gt;BG$4,BG$4&gt;=$C$1),'General Inputs'!I$11*$H58,IF(AND(($D58+$C$1)&gt;BG$4,BG$4&gt;=$C$1),'General Inputs'!I$11*$G58,0))</f>
        <v>0</v>
      </c>
      <c r="BH58" s="214">
        <f>IF(AND(($E58+$C$1)&gt;BH$4,BH$4&gt;=$C$1),'General Inputs'!J$11*$H58,IF(AND(($D58+$C$1)&gt;BH$4,BH$4&gt;=$C$1),'General Inputs'!J$11*$G58,0))</f>
        <v>0</v>
      </c>
      <c r="BI58" s="214">
        <f>IF(AND(($E58+$C$1)&gt;BI$4,BI$4&gt;=$C$1),'General Inputs'!K$11*$H58,IF(AND(($D58+$C$1)&gt;BI$4,BI$4&gt;=$C$1),'General Inputs'!K$11*$G58,0))</f>
        <v>0</v>
      </c>
      <c r="BJ58" s="214">
        <f>IF(AND(($E58+$C$1)&gt;BJ$4,BJ$4&gt;=$C$1),'General Inputs'!L$11*$H58,IF(AND(($D58+$C$1)&gt;BJ$4,BJ$4&gt;=$C$1),'General Inputs'!L$11*$G58,0))</f>
        <v>0</v>
      </c>
      <c r="BK58" s="214">
        <f>IF(AND(($E58+$C$1)&gt;BK$4,BK$4&gt;=$C$1),'General Inputs'!M$11*$H58,IF(AND(($D58+$C$1)&gt;BK$4,BK$4&gt;=$C$1),'General Inputs'!M$11*$G58,0))</f>
        <v>0</v>
      </c>
      <c r="BL58" s="214">
        <f>IF(AND(($E58+$C$1)&gt;BL$4,BL$4&gt;=$C$1),'General Inputs'!N$11*$H58,IF(AND(($D58+$C$1)&gt;BL$4,BL$4&gt;=$C$1),'General Inputs'!N$11*$G58,0))</f>
        <v>0</v>
      </c>
      <c r="BM58" s="214">
        <f>IF(AND(($E58+$C$1)&gt;BM$4,BM$4&gt;=$C$1),'General Inputs'!O$11*$H58,IF(AND(($D58+$C$1)&gt;BM$4,BM$4&gt;=$C$1),'General Inputs'!O$11*$G58,0))</f>
        <v>0</v>
      </c>
      <c r="BN58" s="214">
        <f>IF(AND(($E58+$C$1)&gt;BN$4,BN$4&gt;=$C$1),'General Inputs'!P$11*$H58,IF(AND(($D58+$C$1)&gt;BN$4,BN$4&gt;=$C$1),'General Inputs'!P$11*$G58,0))</f>
        <v>0</v>
      </c>
      <c r="BO58" s="214">
        <f>IF(AND(($E58+$C$1)&gt;BO$4,BO$4&gt;=$C$1),'General Inputs'!Q$11*$H58,IF(AND(($D58+$C$1)&gt;BO$4,BO$4&gt;=$C$1),'General Inputs'!Q$11*$G58,0))</f>
        <v>0</v>
      </c>
      <c r="BP58" s="214">
        <f>IF(AND(($E58+$C$1)&gt;BP$4,BP$4&gt;=$C$1),'General Inputs'!R$11*$H58,IF(AND(($D58+$C$1)&gt;BP$4,BP$4&gt;=$C$1),'General Inputs'!R$11*$G58,0))</f>
        <v>0</v>
      </c>
      <c r="BQ58" s="214">
        <f>IF(AND(($E58+$C$1)&gt;BQ$4,BQ$4&gt;=$C$1),'General Inputs'!S$11*$H58,IF(AND(($D58+$C$1)&gt;BQ$4,BQ$4&gt;=$C$1),'General Inputs'!S$11*$G58,0))</f>
        <v>0</v>
      </c>
      <c r="BR58" s="214">
        <f>IF(AND(($E58+$C$1)&gt;BR$4,BR$4&gt;=$C$1),'General Inputs'!T$11*$H58,IF(AND(($D58+$C$1)&gt;BR$4,BR$4&gt;=$C$1),'General Inputs'!T$11*$G58,0))</f>
        <v>0</v>
      </c>
      <c r="BS58" s="214">
        <f>IF(AND(($E58+$C$1)&gt;BS$4,BS$4&gt;=$C$1),'General Inputs'!U$11*$H58,IF(AND(($D58+$C$1)&gt;BS$4,BS$4&gt;=$C$1),'General Inputs'!U$11*$G58,0))</f>
        <v>0</v>
      </c>
      <c r="BT58" s="214">
        <f>IF(AND(($E58+$C$1)&gt;BT$4,BT$4&gt;=$C$1),'General Inputs'!V$11*$H58,IF(AND(($D58+$C$1)&gt;BT$4,BT$4&gt;=$C$1),'General Inputs'!V$11*$G58,0))</f>
        <v>0</v>
      </c>
      <c r="BU58" s="214">
        <f>IF(AND(($E58+$C$1)&gt;BU$4,BU$4&gt;=$C$1),'General Inputs'!W$11*$H58,IF(AND(($D58+$C$1)&gt;BU$4,BU$4&gt;=$C$1),'General Inputs'!W$11*$G58,0))</f>
        <v>0</v>
      </c>
      <c r="BW58" s="214">
        <f>IF(AND(($E58+$C$1)&gt;BW$4,BW$4&gt;=$C$1),$H58,IF(AND(($D58+$C$1)&gt;BW$4,BW$4&gt;=$C$1),$G58,0))*IF($A58="Residential",'General Inputs'!D$14,'General Inputs'!D$19)</f>
        <v>0</v>
      </c>
      <c r="BX58" s="214">
        <f>IF(AND(($E58+$C$1)&gt;BX$4,BX$4&gt;=$C$1),$H58,IF(AND(($D58+$C$1)&gt;BX$4,BX$4&gt;=$C$1),$G58,0))*IF($A58="Residential",'General Inputs'!E$14,'General Inputs'!E$19)</f>
        <v>0</v>
      </c>
      <c r="BY58" s="214">
        <f>IF(AND(($E58+$C$1)&gt;BY$4,BY$4&gt;=$C$1),$H58,IF(AND(($D58+$C$1)&gt;BY$4,BY$4&gt;=$C$1),$G58,0))*IF($A58="Residential",'General Inputs'!F$14,'General Inputs'!F$19)</f>
        <v>0</v>
      </c>
      <c r="BZ58" s="214">
        <f>IF(AND(($E58+$C$1)&gt;BZ$4,BZ$4&gt;=$C$1),$H58,IF(AND(($D58+$C$1)&gt;BZ$4,BZ$4&gt;=$C$1),$G58,0))*IF($A58="Residential",'General Inputs'!G$14,'General Inputs'!G$19)</f>
        <v>0</v>
      </c>
      <c r="CA58" s="214">
        <f>IF(AND(($E58+$C$1)&gt;CA$4,CA$4&gt;=$C$1),$H58,IF(AND(($D58+$C$1)&gt;CA$4,CA$4&gt;=$C$1),$G58,0))*IF($A58="Residential",'General Inputs'!H$14,'General Inputs'!H$19)</f>
        <v>0</v>
      </c>
      <c r="CB58" s="214">
        <f>IF(AND(($E58+$C$1)&gt;CB$4,CB$4&gt;=$C$1),$H58,IF(AND(($D58+$C$1)&gt;CB$4,CB$4&gt;=$C$1),$G58,0))*IF($A58="Residential",'General Inputs'!I$14,'General Inputs'!I$19)</f>
        <v>0</v>
      </c>
      <c r="CC58" s="214">
        <f>IF(AND(($E58+$C$1)&gt;CC$4,CC$4&gt;=$C$1),$H58,IF(AND(($D58+$C$1)&gt;CC$4,CC$4&gt;=$C$1),$G58,0))*IF($A58="Residential",'General Inputs'!J$14,'General Inputs'!J$19)</f>
        <v>0</v>
      </c>
      <c r="CD58" s="214">
        <f>IF(AND(($E58+$C$1)&gt;CD$4,CD$4&gt;=$C$1),$H58,IF(AND(($D58+$C$1)&gt;CD$4,CD$4&gt;=$C$1),$G58,0))*IF($A58="Residential",'General Inputs'!K$14,'General Inputs'!K$19)</f>
        <v>0</v>
      </c>
      <c r="CE58" s="214">
        <f>IF(AND(($E58+$C$1)&gt;CE$4,CE$4&gt;=$C$1),$H58,IF(AND(($D58+$C$1)&gt;CE$4,CE$4&gt;=$C$1),$G58,0))*IF($A58="Residential",'General Inputs'!L$14,'General Inputs'!L$19)</f>
        <v>0</v>
      </c>
      <c r="CF58" s="214">
        <f>IF(AND(($E58+$C$1)&gt;CF$4,CF$4&gt;=$C$1),$H58,IF(AND(($D58+$C$1)&gt;CF$4,CF$4&gt;=$C$1),$G58,0))*IF($A58="Residential",'General Inputs'!M$14,'General Inputs'!M$19)</f>
        <v>0</v>
      </c>
      <c r="CG58" s="214">
        <f>IF(AND(($E58+$C$1)&gt;CG$4,CG$4&gt;=$C$1),$H58,IF(AND(($D58+$C$1)&gt;CG$4,CG$4&gt;=$C$1),$G58,0))*IF($A58="Residential",'General Inputs'!N$14,'General Inputs'!N$19)</f>
        <v>0</v>
      </c>
      <c r="CH58" s="214">
        <f>IF(AND(($E58+$C$1)&gt;CH$4,CH$4&gt;=$C$1),$H58,IF(AND(($D58+$C$1)&gt;CH$4,CH$4&gt;=$C$1),$G58,0))*IF($A58="Residential",'General Inputs'!O$14,'General Inputs'!O$19)</f>
        <v>0</v>
      </c>
      <c r="CI58" s="214">
        <f>IF(AND(($E58+$C$1)&gt;CI$4,CI$4&gt;=$C$1),$H58,IF(AND(($D58+$C$1)&gt;CI$4,CI$4&gt;=$C$1),$G58,0))*IF($A58="Residential",'General Inputs'!P$14,'General Inputs'!P$19)</f>
        <v>0</v>
      </c>
      <c r="CJ58" s="214">
        <f>IF(AND(($E58+$C$1)&gt;CJ$4,CJ$4&gt;=$C$1),$H58,IF(AND(($D58+$C$1)&gt;CJ$4,CJ$4&gt;=$C$1),$G58,0))*IF($A58="Residential",'General Inputs'!Q$14,'General Inputs'!Q$19)</f>
        <v>0</v>
      </c>
      <c r="CK58" s="214">
        <f>IF(AND(($E58+$C$1)&gt;CK$4,CK$4&gt;=$C$1),$H58,IF(AND(($D58+$C$1)&gt;CK$4,CK$4&gt;=$C$1),$G58,0))*IF($A58="Residential",'General Inputs'!R$14,'General Inputs'!R$19)</f>
        <v>0</v>
      </c>
      <c r="CL58" s="214">
        <f>IF(AND(($E58+$C$1)&gt;CL$4,CL$4&gt;=$C$1),$H58,IF(AND(($D58+$C$1)&gt;CL$4,CL$4&gt;=$C$1),$G58,0))*IF($A58="Residential",'General Inputs'!S$14,'General Inputs'!S$19)</f>
        <v>0</v>
      </c>
      <c r="CM58" s="214">
        <f>IF(AND(($E58+$C$1)&gt;CM$4,CM$4&gt;=$C$1),$H58,IF(AND(($D58+$C$1)&gt;CM$4,CM$4&gt;=$C$1),$G58,0))*IF($A58="Residential",'General Inputs'!T$14,'General Inputs'!T$19)</f>
        <v>0</v>
      </c>
      <c r="CN58" s="214">
        <f>IF(AND(($E58+$C$1)&gt;CN$4,CN$4&gt;=$C$1),$H58,IF(AND(($D58+$C$1)&gt;CN$4,CN$4&gt;=$C$1),$G58,0))*IF($A58="Residential",'General Inputs'!U$14,'General Inputs'!U$19)</f>
        <v>0</v>
      </c>
      <c r="CO58" s="214">
        <f>IF(AND(($E58+$C$1)&gt;CO$4,CO$4&gt;=$C$1),$H58,IF(AND(($D58+$C$1)&gt;CO$4,CO$4&gt;=$C$1),$G58,0))*IF($A58="Residential",'General Inputs'!V$14,'General Inputs'!V$19)</f>
        <v>0</v>
      </c>
      <c r="CP58" s="214">
        <f>IF(AND(($E58+$C$1)&gt;CP$4,CP$4&gt;=$C$1),$H58,IF(AND(($D58+$C$1)&gt;CP$4,CP$4&gt;=$C$1),$G58,0))*IF($A58="Residential",'General Inputs'!W$14,'General Inputs'!W$19)</f>
        <v>0</v>
      </c>
      <c r="CR58" s="214">
        <f>IF(AND(($E58+$C$1)&gt;CR$4,CR$4&gt;=$C$1),$H58,IF(AND(($D58+$C$1)&gt;CR$4,CR$4&gt;=$C$1),$G58,0))*IF($A58="Residential",'General Inputs'!D$15,'General Inputs'!D$19)</f>
        <v>0</v>
      </c>
      <c r="CS58" s="214">
        <f>IF(AND(($E58+$C$1)&gt;CS$4,CS$4&gt;=$C$1),$H58,IF(AND(($D58+$C$1)&gt;CS$4,CS$4&gt;=$C$1),$G58,0))*IF($A58="Residential",'General Inputs'!E$15,'General Inputs'!E$19)</f>
        <v>0</v>
      </c>
      <c r="CT58" s="214">
        <f>IF(AND(($E58+$C$1)&gt;CT$4,CT$4&gt;=$C$1),$H58,IF(AND(($D58+$C$1)&gt;CT$4,CT$4&gt;=$C$1),$G58,0))*IF($A58="Residential",'General Inputs'!F$15,'General Inputs'!F$19)</f>
        <v>0</v>
      </c>
      <c r="CU58" s="214">
        <f>IF(AND(($E58+$C$1)&gt;CU$4,CU$4&gt;=$C$1),$H58,IF(AND(($D58+$C$1)&gt;CU$4,CU$4&gt;=$C$1),$G58,0))*IF($A58="Residential",'General Inputs'!G$15,'General Inputs'!G$19)</f>
        <v>0</v>
      </c>
      <c r="CV58" s="214">
        <f>IF(AND(($E58+$C$1)&gt;CV$4,CV$4&gt;=$C$1),$H58,IF(AND(($D58+$C$1)&gt;CV$4,CV$4&gt;=$C$1),$G58,0))*IF($A58="Residential",'General Inputs'!H$15,'General Inputs'!H$19)</f>
        <v>0</v>
      </c>
      <c r="CW58" s="214">
        <f>IF(AND(($E58+$C$1)&gt;CW$4,CW$4&gt;=$C$1),$H58,IF(AND(($D58+$C$1)&gt;CW$4,CW$4&gt;=$C$1),$G58,0))*IF($A58="Residential",'General Inputs'!I$15,'General Inputs'!I$19)</f>
        <v>0</v>
      </c>
      <c r="CX58" s="214">
        <f>IF(AND(($E58+$C$1)&gt;CX$4,CX$4&gt;=$C$1),$H58,IF(AND(($D58+$C$1)&gt;CX$4,CX$4&gt;=$C$1),$G58,0))*IF($A58="Residential",'General Inputs'!J$15,'General Inputs'!J$19)</f>
        <v>0</v>
      </c>
      <c r="CY58" s="214">
        <f>IF(AND(($E58+$C$1)&gt;CY$4,CY$4&gt;=$C$1),$H58,IF(AND(($D58+$C$1)&gt;CY$4,CY$4&gt;=$C$1),$G58,0))*IF($A58="Residential",'General Inputs'!K$15,'General Inputs'!K$19)</f>
        <v>0</v>
      </c>
      <c r="CZ58" s="214">
        <f>IF(AND(($E58+$C$1)&gt;CZ$4,CZ$4&gt;=$C$1),$H58,IF(AND(($D58+$C$1)&gt;CZ$4,CZ$4&gt;=$C$1),$G58,0))*IF($A58="Residential",'General Inputs'!L$15,'General Inputs'!L$19)</f>
        <v>0</v>
      </c>
      <c r="DA58" s="214">
        <f>IF(AND(($E58+$C$1)&gt;DA$4,DA$4&gt;=$C$1),$H58,IF(AND(($D58+$C$1)&gt;DA$4,DA$4&gt;=$C$1),$G58,0))*IF($A58="Residential",'General Inputs'!M$15,'General Inputs'!M$19)</f>
        <v>0</v>
      </c>
      <c r="DB58" s="214">
        <f>IF(AND(($E58+$C$1)&gt;DB$4,DB$4&gt;=$C$1),$H58,IF(AND(($D58+$C$1)&gt;DB$4,DB$4&gt;=$C$1),$G58,0))*IF($A58="Residential",'General Inputs'!N$15,'General Inputs'!N$19)</f>
        <v>0</v>
      </c>
      <c r="DC58" s="214">
        <f>IF(AND(($E58+$C$1)&gt;DC$4,DC$4&gt;=$C$1),$H58,IF(AND(($D58+$C$1)&gt;DC$4,DC$4&gt;=$C$1),$G58,0))*IF($A58="Residential",'General Inputs'!O$15,'General Inputs'!O$19)</f>
        <v>0</v>
      </c>
      <c r="DD58" s="214">
        <f>IF(AND(($E58+$C$1)&gt;DD$4,DD$4&gt;=$C$1),$H58,IF(AND(($D58+$C$1)&gt;DD$4,DD$4&gt;=$C$1),$G58,0))*IF($A58="Residential",'General Inputs'!P$15,'General Inputs'!P$19)</f>
        <v>0</v>
      </c>
      <c r="DE58" s="214">
        <f>IF(AND(($E58+$C$1)&gt;DE$4,DE$4&gt;=$C$1),$H58,IF(AND(($D58+$C$1)&gt;DE$4,DE$4&gt;=$C$1),$G58,0))*IF($A58="Residential",'General Inputs'!Q$15,'General Inputs'!Q$19)</f>
        <v>0</v>
      </c>
      <c r="DF58" s="214">
        <f>IF(AND(($E58+$C$1)&gt;DF$4,DF$4&gt;=$C$1),$H58,IF(AND(($D58+$C$1)&gt;DF$4,DF$4&gt;=$C$1),$G58,0))*IF($A58="Residential",'General Inputs'!R$15,'General Inputs'!R$19)</f>
        <v>0</v>
      </c>
      <c r="DG58" s="214">
        <f>IF(AND(($E58+$C$1)&gt;DG$4,DG$4&gt;=$C$1),$H58,IF(AND(($D58+$C$1)&gt;DG$4,DG$4&gt;=$C$1),$G58,0))*IF($A58="Residential",'General Inputs'!S$15,'General Inputs'!S$19)</f>
        <v>0</v>
      </c>
      <c r="DH58" s="214">
        <f>IF(AND(($E58+$C$1)&gt;DH$4,DH$4&gt;=$C$1),$H58,IF(AND(($D58+$C$1)&gt;DH$4,DH$4&gt;=$C$1),$G58,0))*IF($A58="Residential",'General Inputs'!T$15,'General Inputs'!T$19)</f>
        <v>0</v>
      </c>
      <c r="DI58" s="214">
        <f>IF(AND(($E58+$C$1)&gt;DI$4,DI$4&gt;=$C$1),$H58,IF(AND(($D58+$C$1)&gt;DI$4,DI$4&gt;=$C$1),$G58,0))*IF($A58="Residential",'General Inputs'!U$15,'General Inputs'!U$19)</f>
        <v>0</v>
      </c>
      <c r="DJ58" s="214">
        <f>IF(AND(($E58+$C$1)&gt;DJ$4,DJ$4&gt;=$C$1),$H58,IF(AND(($D58+$C$1)&gt;DJ$4,DJ$4&gt;=$C$1),$G58,0))*IF($A58="Residential",'General Inputs'!V$15,'General Inputs'!V$19)</f>
        <v>0</v>
      </c>
      <c r="DK58" s="214">
        <f>IF(AND(($E58+$C$1)&gt;DK$4,DK$4&gt;=$C$1),$H58,IF(AND(($D58+$C$1)&gt;DK$4,DK$4&gt;=$C$1),$G58,0))*IF($A58="Residential",'General Inputs'!W$15,'General Inputs'!W$19)</f>
        <v>0</v>
      </c>
      <c r="DM58" s="214">
        <f t="shared" si="99"/>
        <v>0</v>
      </c>
      <c r="DN58" s="214">
        <f t="shared" si="99"/>
        <v>0</v>
      </c>
      <c r="DO58" s="214">
        <f t="shared" si="99"/>
        <v>0</v>
      </c>
      <c r="DP58" s="214">
        <f t="shared" si="99"/>
        <v>0</v>
      </c>
      <c r="DQ58" s="214">
        <f t="shared" si="99"/>
        <v>0</v>
      </c>
      <c r="DR58" s="214">
        <f t="shared" si="99"/>
        <v>0</v>
      </c>
      <c r="DS58" s="214">
        <f t="shared" si="99"/>
        <v>0</v>
      </c>
      <c r="DT58" s="214">
        <f t="shared" si="99"/>
        <v>0</v>
      </c>
      <c r="DU58" s="214">
        <f t="shared" si="99"/>
        <v>0</v>
      </c>
      <c r="DV58" s="214">
        <f t="shared" si="99"/>
        <v>0</v>
      </c>
      <c r="DW58" s="214">
        <f t="shared" si="99"/>
        <v>0</v>
      </c>
      <c r="DZ58" s="650"/>
      <c r="FI58" s="195"/>
      <c r="FJ58" s="195"/>
      <c r="FK58" s="195"/>
      <c r="FL58" s="195"/>
      <c r="FM58" s="195"/>
      <c r="FN58" s="195"/>
      <c r="FO58" s="195"/>
    </row>
    <row r="59" spans="1:171">
      <c r="A59" s="342" t="s">
        <v>112</v>
      </c>
      <c r="B59" s="427" t="str">
        <f>'Portfolio Inputs'!A58</f>
        <v>High Bay Fluorescent Fixture (replace 400W HID)</v>
      </c>
      <c r="C59" s="217">
        <f>IF($C$1=2014,'Portfolio Inputs'!$C58,IF($C$1=2015,'Portfolio Inputs'!$D58,'Portfolio Inputs'!$E58))</f>
        <v>3</v>
      </c>
      <c r="D59" s="504">
        <f>VLOOKUP(B59,Sources!$B$4:$J$104,2,FALSE)</f>
        <v>18</v>
      </c>
      <c r="E59" s="504">
        <f>VLOOKUP(B59,Sources!$B$4:$J$104,3,FALSE)</f>
        <v>0</v>
      </c>
      <c r="G59" s="504">
        <f>IF($C$1=2014,'Portfolio Inputs'!$G58,IF($C$1=2015,'Portfolio Inputs'!$H58,'Portfolio Inputs'!$I58))*EnergyLineLoss</f>
        <v>4217.7269475000003</v>
      </c>
      <c r="H59" s="504"/>
      <c r="I59" s="595">
        <f>IF($C$1=2014,'Portfolio Inputs'!$K58,IF($C$1=2015,'Portfolio Inputs'!$L58,'Portfolio Inputs'!$M58))*PeakLineLoss</f>
        <v>0.65218467599999996</v>
      </c>
      <c r="J59" s="510"/>
      <c r="L59" s="606">
        <f>IF($C$1=2014,'Portfolio Inputs'!$O58,IF($C$1=2015,'Portfolio Inputs'!$P58,'Portfolio Inputs'!$Q58))</f>
        <v>102</v>
      </c>
      <c r="M59" s="518">
        <f>VLOOKUP($B59,Sources!$B$4:$K$104,10,FALSE)</f>
        <v>0</v>
      </c>
      <c r="N59" s="419">
        <f>IF($C$1=2014,'Portfolio Inputs'!$W58,IF($C$1=2015,'Portfolio Inputs'!$X58,'Portfolio Inputs'!$Y58))</f>
        <v>225</v>
      </c>
      <c r="O59" s="419">
        <f>IF($C$1=2014,'Portfolio Inputs'!$AA58,IF($C$1=2015,'Portfolio Inputs'!$AB58,'Portfolio Inputs'!$AC58))</f>
        <v>0</v>
      </c>
      <c r="Q59" s="438">
        <f t="shared" si="67"/>
        <v>6.2524180056979901</v>
      </c>
      <c r="R59" s="439">
        <f t="shared" si="68"/>
        <v>8.503288487749268</v>
      </c>
      <c r="S59" s="439">
        <f t="shared" si="69"/>
        <v>7.7659303244699025</v>
      </c>
      <c r="T59" s="439">
        <f t="shared" si="70"/>
        <v>16.239830522189624</v>
      </c>
      <c r="U59" s="439">
        <f t="shared" si="98"/>
        <v>16.239830522189624</v>
      </c>
      <c r="V59" s="439">
        <f t="shared" si="72"/>
        <v>0.38500512657166408</v>
      </c>
      <c r="W59" s="439">
        <f t="shared" si="73"/>
        <v>0.38500512657166408</v>
      </c>
      <c r="Y59" s="215">
        <f t="shared" si="4"/>
        <v>1757.846297081574</v>
      </c>
      <c r="Z59" s="215">
        <f t="shared" si="5"/>
        <v>425.51889888295233</v>
      </c>
      <c r="AA59" s="215">
        <f t="shared" si="6"/>
        <v>4359.0482725009424</v>
      </c>
      <c r="AB59" s="215">
        <f t="shared" si="7"/>
        <v>4359.0482725009424</v>
      </c>
      <c r="AC59" s="216">
        <f t="shared" si="20"/>
        <v>0</v>
      </c>
      <c r="AD59" s="216">
        <f t="shared" si="21"/>
        <v>206.72546857772878</v>
      </c>
      <c r="AE59" s="215">
        <f t="shared" si="8"/>
        <v>281.14663726571115</v>
      </c>
      <c r="AG59" s="214">
        <f>IF(AND(($E59+$C$1)&gt;AG$4,AG$4&gt;=$C$1),'General Inputs'!D$9*$H59,IF(AND(($D59+$C$1)&gt;AG$4,AG$4&gt;=$C$1),'General Inputs'!D$9*$G59,0))+IF(AND(($E59+$C$1)&gt;AG$4,AG$4&gt;=$C$1),'General Inputs'!D$10*$J59,IF(AND(($D59+$C$1)&gt;AG$4,AG$4&gt;=$C$1),'General Inputs'!D$10*$I59,0))</f>
        <v>0</v>
      </c>
      <c r="AH59" s="214">
        <f>IF(AND(($E59+$C$1)&gt;AH$4,AH$4&gt;=$C$1),'General Inputs'!E$9*$H59,IF(AND(($D59+$C$1)&gt;AH$4,AH$4&gt;=$C$1),'General Inputs'!E$9*$G59,0))+IF(AND(($E59+$C$1)&gt;AH$4,AH$4&gt;=$C$1),'General Inputs'!E$10*$J59,IF(AND(($D59+$C$1)&gt;AH$4,AH$4&gt;=$C$1),'General Inputs'!E$10*$I59,0))</f>
        <v>180.34836844253175</v>
      </c>
      <c r="AI59" s="214">
        <f>IF(AND(($E59+$C$1)&gt;AI$4,AI$4&gt;=$C$1),'General Inputs'!F$9*$H59,IF(AND(($D59+$C$1)&gt;AI$4,AI$4&gt;=$C$1),'General Inputs'!F$9*$G59,0))+IF(AND(($E59+$C$1)&gt;AI$4,AI$4&gt;=$C$1),'General Inputs'!F$10*$J59,IF(AND(($D59+$C$1)&gt;AI$4,AI$4&gt;=$C$1),'General Inputs'!F$10*$I59,0))</f>
        <v>183.0535939691697</v>
      </c>
      <c r="AJ59" s="214">
        <f>IF(AND(($E59+$C$1)&gt;AJ$4,AJ$4&gt;=$C$1),'General Inputs'!G$9*$H59,IF(AND(($D59+$C$1)&gt;AJ$4,AJ$4&gt;=$C$1),'General Inputs'!G$9*$G59,0))+IF(AND(($E59+$C$1)&gt;AJ$4,AJ$4&gt;=$C$1),'General Inputs'!G$10*$J59,IF(AND(($D59+$C$1)&gt;AJ$4,AJ$4&gt;=$C$1),'General Inputs'!G$10*$I59,0))</f>
        <v>185.79939787870725</v>
      </c>
      <c r="AK59" s="214">
        <f>IF(AND(($E59+$C$1)&gt;AK$4,AK$4&gt;=$C$1),'General Inputs'!H$9*$H59,IF(AND(($D59+$C$1)&gt;AK$4,AK$4&gt;=$C$1),'General Inputs'!H$9*$G59,0))+IF(AND(($E59+$C$1)&gt;AK$4,AK$4&gt;=$C$1),'General Inputs'!H$10*$J59,IF(AND(($D59+$C$1)&gt;AK$4,AK$4&gt;=$C$1),'General Inputs'!H$10*$I59,0))</f>
        <v>188.58638884688781</v>
      </c>
      <c r="AL59" s="214">
        <f>IF(AND(($E59+$C$1)&gt;AL$4,AL$4&gt;=$C$1),'General Inputs'!I$9*$H59,IF(AND(($D59+$C$1)&gt;AL$4,AL$4&gt;=$C$1),'General Inputs'!I$9*$G59,0))+IF(AND(($E59+$C$1)&gt;AL$4,AL$4&gt;=$C$1),'General Inputs'!I$10*$J59,IF(AND(($D59+$C$1)&gt;AL$4,AL$4&gt;=$C$1),'General Inputs'!I$10*$I59,0))</f>
        <v>191.41518467959111</v>
      </c>
      <c r="AM59" s="214">
        <f>IF(AND(($E59+$C$1)&gt;AM$4,AM$4&gt;=$C$1),'General Inputs'!J$9*$H59,IF(AND(($D59+$C$1)&gt;AM$4,AM$4&gt;=$C$1),'General Inputs'!J$9*$G59,0))+IF(AND(($E59+$C$1)&gt;AM$4,AM$4&gt;=$C$1),'General Inputs'!J$10*$J59,IF(AND(($D59+$C$1)&gt;AM$4,AM$4&gt;=$C$1),'General Inputs'!J$10*$I59,0))</f>
        <v>194.28641244978493</v>
      </c>
      <c r="AN59" s="214">
        <f>IF(AND(($E59+$C$1)&gt;AN$4,AN$4&gt;=$C$1),'General Inputs'!K$9*$H59,IF(AND(($D59+$C$1)&gt;AN$4,AN$4&gt;=$C$1),'General Inputs'!K$9*$G59,0))+IF(AND(($E59+$C$1)&gt;AN$4,AN$4&gt;=$C$1),'General Inputs'!K$10*$J59,IF(AND(($D59+$C$1)&gt;AN$4,AN$4&gt;=$C$1),'General Inputs'!K$10*$I59,0))</f>
        <v>197.20070863653172</v>
      </c>
      <c r="AO59" s="214">
        <f>IF(AND(($E59+$C$1)&gt;AO$4,AO$4&gt;=$C$1),'General Inputs'!L$9*$H59,IF(AND(($D59+$C$1)&gt;AO$4,AO$4&gt;=$C$1),'General Inputs'!L$9*$G59,0))+IF(AND(($E59+$C$1)&gt;AO$4,AO$4&gt;=$C$1),'General Inputs'!L$10*$J59,IF(AND(($D59+$C$1)&gt;AO$4,AO$4&gt;=$C$1),'General Inputs'!L$10*$I59,0))</f>
        <v>200.15871926607966</v>
      </c>
      <c r="AP59" s="214">
        <f>IF(AND(($E59+$C$1)&gt;AP$4,AP$4&gt;=$C$1),'General Inputs'!M$9*$H59,IF(AND(($D59+$C$1)&gt;AP$4,AP$4&gt;=$C$1),'General Inputs'!M$9*$G59,0))+IF(AND(($E59+$C$1)&gt;AP$4,AP$4&gt;=$C$1),'General Inputs'!M$10*$J59,IF(AND(($D59+$C$1)&gt;AP$4,AP$4&gt;=$C$1),'General Inputs'!M$10*$I59,0))</f>
        <v>203.16110005507082</v>
      </c>
      <c r="AQ59" s="214">
        <f>IF(AND(($E59+$C$1)&gt;AQ$4,AQ$4&gt;=$C$1),'General Inputs'!N$9*$H59,IF(AND(($D59+$C$1)&gt;AQ$4,AQ$4&gt;=$C$1),'General Inputs'!N$9*$G59,0))+IF(AND(($E59+$C$1)&gt;AQ$4,AQ$4&gt;=$C$1),'General Inputs'!N$10*$J59,IF(AND(($D59+$C$1)&gt;AQ$4,AQ$4&gt;=$C$1),'General Inputs'!N$10*$I59,0))</f>
        <v>206.20851655589686</v>
      </c>
      <c r="AR59" s="214">
        <f>IF(AND(($E59+$C$1)&gt;AR$4,AR$4&gt;=$C$1),'General Inputs'!O$9*$H59,IF(AND(($D59+$C$1)&gt;AR$4,AR$4&gt;=$C$1),'General Inputs'!O$9*$G59,0))+IF(AND(($E59+$C$1)&gt;AR$4,AR$4&gt;=$C$1),'General Inputs'!O$10*$J59,IF(AND(($D59+$C$1)&gt;AR$4,AR$4&gt;=$C$1),'General Inputs'!O$10*$I59,0))</f>
        <v>209.30164430423528</v>
      </c>
      <c r="AS59" s="214">
        <f>IF(AND(($E59+$C$1)&gt;AS$4,AS$4&gt;=$C$1),'General Inputs'!P$9*$H59,IF(AND(($D59+$C$1)&gt;AS$4,AS$4&gt;=$C$1),'General Inputs'!P$9*$G59,0))+IF(AND(($E59+$C$1)&gt;AS$4,AS$4&gt;=$C$1),'General Inputs'!P$10*$J59,IF(AND(($D59+$C$1)&gt;AS$4,AS$4&gt;=$C$1),'General Inputs'!P$10*$I59,0))</f>
        <v>212.44116896879882</v>
      </c>
      <c r="AT59" s="214">
        <f>IF(AND(($E59+$C$1)&gt;AT$4,AT$4&gt;=$C$1),'General Inputs'!Q$9*$H59,IF(AND(($D59+$C$1)&gt;AT$4,AT$4&gt;=$C$1),'General Inputs'!Q$9*$G59,0))+IF(AND(($E59+$C$1)&gt;AT$4,AT$4&gt;=$C$1),'General Inputs'!Q$10*$J59,IF(AND(($D59+$C$1)&gt;AT$4,AT$4&gt;=$C$1),'General Inputs'!Q$10*$I59,0))</f>
        <v>215.62778650333078</v>
      </c>
      <c r="AU59" s="214">
        <f>IF(AND(($E59+$C$1)&gt;AU$4,AU$4&gt;=$C$1),'General Inputs'!R$9*$H59,IF(AND(($D59+$C$1)&gt;AU$4,AU$4&gt;=$C$1),'General Inputs'!R$9*$G59,0))+IF(AND(($E59+$C$1)&gt;AU$4,AU$4&gt;=$C$1),'General Inputs'!R$10*$J59,IF(AND(($D59+$C$1)&gt;AU$4,AU$4&gt;=$C$1),'General Inputs'!R$10*$I59,0))</f>
        <v>218.86220330088071</v>
      </c>
      <c r="AV59" s="214">
        <f>IF(AND(($E59+$C$1)&gt;AV$4,AV$4&gt;=$C$1),'General Inputs'!S$9*$H59,IF(AND(($D59+$C$1)&gt;AV$4,AV$4&gt;=$C$1),'General Inputs'!S$9*$G59,0))+IF(AND(($E59+$C$1)&gt;AV$4,AV$4&gt;=$C$1),'General Inputs'!S$10*$J59,IF(AND(($D59+$C$1)&gt;AV$4,AV$4&gt;=$C$1),'General Inputs'!S$10*$I59,0))</f>
        <v>222.14513635039393</v>
      </c>
      <c r="AW59" s="214">
        <f>IF(AND(($E59+$C$1)&gt;AW$4,AW$4&gt;=$C$1),'General Inputs'!T$9*$H59,IF(AND(($D59+$C$1)&gt;AW$4,AW$4&gt;=$C$1),'General Inputs'!T$9*$G59,0))+IF(AND(($E59+$C$1)&gt;AW$4,AW$4&gt;=$C$1),'General Inputs'!T$10*$J59,IF(AND(($D59+$C$1)&gt;AW$4,AW$4&gt;=$C$1),'General Inputs'!T$10*$I59,0))</f>
        <v>225.47731339564979</v>
      </c>
      <c r="AX59" s="214">
        <f>IF(AND(($E59+$C$1)&gt;AX$4,AX$4&gt;=$C$1),'General Inputs'!U$9*$H59,IF(AND(($D59+$C$1)&gt;AX$4,AX$4&gt;=$C$1),'General Inputs'!U$9*$G59,0))+IF(AND(($E59+$C$1)&gt;AX$4,AX$4&gt;=$C$1),'General Inputs'!U$10*$J59,IF(AND(($D59+$C$1)&gt;AX$4,AX$4&gt;=$C$1),'General Inputs'!U$10*$I59,0))</f>
        <v>228.85947309658454</v>
      </c>
      <c r="AY59" s="214">
        <f>IF(AND(($E59+$C$1)&gt;AY$4,AY$4&gt;=$C$1),'General Inputs'!V$9*$H59,IF(AND(($D59+$C$1)&gt;AY$4,AY$4&gt;=$C$1),'General Inputs'!V$9*$G59,0))+IF(AND(($E59+$C$1)&gt;AY$4,AY$4&gt;=$C$1),'General Inputs'!V$10*$J59,IF(AND(($D59+$C$1)&gt;AY$4,AY$4&gt;=$C$1),'General Inputs'!V$10*$I59,0))</f>
        <v>232.29236519303328</v>
      </c>
      <c r="AZ59" s="214">
        <f>IF(AND(($E59+$C$1)&gt;AZ$4,AZ$4&gt;=$C$1),'General Inputs'!W$9*$H59,IF(AND(($D59+$C$1)&gt;AZ$4,AZ$4&gt;=$C$1),'General Inputs'!W$9*$G59,0))+IF(AND(($E59+$C$1)&gt;AZ$4,AZ$4&gt;=$C$1),'General Inputs'!W$10*$J59,IF(AND(($D59+$C$1)&gt;AZ$4,AZ$4&gt;=$C$1),'General Inputs'!W$10*$I59,0))</f>
        <v>0</v>
      </c>
      <c r="BB59" s="214">
        <f>IF(AND(($E59+$C$1)&gt;BB$4,BB$4&gt;=$C$1),'General Inputs'!D$11*$H59,IF(AND(($D59+$C$1)&gt;BB$4,BB$4&gt;=$C$1),'General Inputs'!D$11*$G59,0))</f>
        <v>0</v>
      </c>
      <c r="BC59" s="214">
        <f>IF(AND(($E59+$C$1)&gt;BC$4,BC$4&gt;=$C$1),'General Inputs'!E$11*$H59,IF(AND(($D59+$C$1)&gt;BC$4,BC$4&gt;=$C$1),'General Inputs'!E$11*$G59,0))</f>
        <v>48.082087201500002</v>
      </c>
      <c r="BD59" s="214">
        <f>IF(AND(($E59+$C$1)&gt;BD$4,BD$4&gt;=$C$1),'General Inputs'!F$11*$H59,IF(AND(($D59+$C$1)&gt;BD$4,BD$4&gt;=$C$1),'General Inputs'!F$11*$G59,0))</f>
        <v>48.082087201500002</v>
      </c>
      <c r="BE59" s="214">
        <f>IF(AND(($E59+$C$1)&gt;BE$4,BE$4&gt;=$C$1),'General Inputs'!G$11*$H59,IF(AND(($D59+$C$1)&gt;BE$4,BE$4&gt;=$C$1),'General Inputs'!G$11*$G59,0))</f>
        <v>48.082087201500002</v>
      </c>
      <c r="BF59" s="214">
        <f>IF(AND(($E59+$C$1)&gt;BF$4,BF$4&gt;=$C$1),'General Inputs'!H$11*$H59,IF(AND(($D59+$C$1)&gt;BF$4,BF$4&gt;=$C$1),'General Inputs'!H$11*$G59,0))</f>
        <v>48.082087201500002</v>
      </c>
      <c r="BG59" s="214">
        <f>IF(AND(($E59+$C$1)&gt;BG$4,BG$4&gt;=$C$1),'General Inputs'!I$11*$H59,IF(AND(($D59+$C$1)&gt;BG$4,BG$4&gt;=$C$1),'General Inputs'!I$11*$G59,0))</f>
        <v>48.082087201500002</v>
      </c>
      <c r="BH59" s="214">
        <f>IF(AND(($E59+$C$1)&gt;BH$4,BH$4&gt;=$C$1),'General Inputs'!J$11*$H59,IF(AND(($D59+$C$1)&gt;BH$4,BH$4&gt;=$C$1),'General Inputs'!J$11*$G59,0))</f>
        <v>48.082087201500002</v>
      </c>
      <c r="BI59" s="214">
        <f>IF(AND(($E59+$C$1)&gt;BI$4,BI$4&gt;=$C$1),'General Inputs'!K$11*$H59,IF(AND(($D59+$C$1)&gt;BI$4,BI$4&gt;=$C$1),'General Inputs'!K$11*$G59,0))</f>
        <v>48.082087201500002</v>
      </c>
      <c r="BJ59" s="214">
        <f>IF(AND(($E59+$C$1)&gt;BJ$4,BJ$4&gt;=$C$1),'General Inputs'!L$11*$H59,IF(AND(($D59+$C$1)&gt;BJ$4,BJ$4&gt;=$C$1),'General Inputs'!L$11*$G59,0))</f>
        <v>48.082087201500002</v>
      </c>
      <c r="BK59" s="214">
        <f>IF(AND(($E59+$C$1)&gt;BK$4,BK$4&gt;=$C$1),'General Inputs'!M$11*$H59,IF(AND(($D59+$C$1)&gt;BK$4,BK$4&gt;=$C$1),'General Inputs'!M$11*$G59,0))</f>
        <v>48.082087201500002</v>
      </c>
      <c r="BL59" s="214">
        <f>IF(AND(($E59+$C$1)&gt;BL$4,BL$4&gt;=$C$1),'General Inputs'!N$11*$H59,IF(AND(($D59+$C$1)&gt;BL$4,BL$4&gt;=$C$1),'General Inputs'!N$11*$G59,0))</f>
        <v>48.082087201500002</v>
      </c>
      <c r="BM59" s="214">
        <f>IF(AND(($E59+$C$1)&gt;BM$4,BM$4&gt;=$C$1),'General Inputs'!O$11*$H59,IF(AND(($D59+$C$1)&gt;BM$4,BM$4&gt;=$C$1),'General Inputs'!O$11*$G59,0))</f>
        <v>48.082087201500002</v>
      </c>
      <c r="BN59" s="214">
        <f>IF(AND(($E59+$C$1)&gt;BN$4,BN$4&gt;=$C$1),'General Inputs'!P$11*$H59,IF(AND(($D59+$C$1)&gt;BN$4,BN$4&gt;=$C$1),'General Inputs'!P$11*$G59,0))</f>
        <v>48.082087201500002</v>
      </c>
      <c r="BO59" s="214">
        <f>IF(AND(($E59+$C$1)&gt;BO$4,BO$4&gt;=$C$1),'General Inputs'!Q$11*$H59,IF(AND(($D59+$C$1)&gt;BO$4,BO$4&gt;=$C$1),'General Inputs'!Q$11*$G59,0))</f>
        <v>48.082087201500002</v>
      </c>
      <c r="BP59" s="214">
        <f>IF(AND(($E59+$C$1)&gt;BP$4,BP$4&gt;=$C$1),'General Inputs'!R$11*$H59,IF(AND(($D59+$C$1)&gt;BP$4,BP$4&gt;=$C$1),'General Inputs'!R$11*$G59,0))</f>
        <v>48.082087201500002</v>
      </c>
      <c r="BQ59" s="214">
        <f>IF(AND(($E59+$C$1)&gt;BQ$4,BQ$4&gt;=$C$1),'General Inputs'!S$11*$H59,IF(AND(($D59+$C$1)&gt;BQ$4,BQ$4&gt;=$C$1),'General Inputs'!S$11*$G59,0))</f>
        <v>48.082087201500002</v>
      </c>
      <c r="BR59" s="214">
        <f>IF(AND(($E59+$C$1)&gt;BR$4,BR$4&gt;=$C$1),'General Inputs'!T$11*$H59,IF(AND(($D59+$C$1)&gt;BR$4,BR$4&gt;=$C$1),'General Inputs'!T$11*$G59,0))</f>
        <v>48.082087201500002</v>
      </c>
      <c r="BS59" s="214">
        <f>IF(AND(($E59+$C$1)&gt;BS$4,BS$4&gt;=$C$1),'General Inputs'!U$11*$H59,IF(AND(($D59+$C$1)&gt;BS$4,BS$4&gt;=$C$1),'General Inputs'!U$11*$G59,0))</f>
        <v>48.082087201500002</v>
      </c>
      <c r="BT59" s="214">
        <f>IF(AND(($E59+$C$1)&gt;BT$4,BT$4&gt;=$C$1),'General Inputs'!V$11*$H59,IF(AND(($D59+$C$1)&gt;BT$4,BT$4&gt;=$C$1),'General Inputs'!V$11*$G59,0))</f>
        <v>48.082087201500002</v>
      </c>
      <c r="BU59" s="214">
        <f>IF(AND(($E59+$C$1)&gt;BU$4,BU$4&gt;=$C$1),'General Inputs'!W$11*$H59,IF(AND(($D59+$C$1)&gt;BU$4,BU$4&gt;=$C$1),'General Inputs'!W$11*$G59,0))</f>
        <v>0</v>
      </c>
      <c r="BW59" s="214">
        <f>IF(AND(($E59+$C$1)&gt;BW$4,BW$4&gt;=$C$1),$H59,IF(AND(($D59+$C$1)&gt;BW$4,BW$4&gt;=$C$1),$G59,0))*IF($A59="Residential",'General Inputs'!D$14,'General Inputs'!D$19)</f>
        <v>0</v>
      </c>
      <c r="BX59" s="214">
        <f>IF(AND(($E59+$C$1)&gt;BX$4,BX$4&gt;=$C$1),$H59,IF(AND(($D59+$C$1)&gt;BX$4,BX$4&gt;=$C$1),$G59,0))*IF($A59="Residential",'General Inputs'!E$14,'General Inputs'!E$19)</f>
        <v>447.22183345208583</v>
      </c>
      <c r="BY59" s="214">
        <f>IF(AND(($E59+$C$1)&gt;BY$4,BY$4&gt;=$C$1),$H59,IF(AND(($D59+$C$1)&gt;BY$4,BY$4&gt;=$C$1),$G59,0))*IF($A59="Residential",'General Inputs'!F$14,'General Inputs'!F$19)</f>
        <v>453.93016095386713</v>
      </c>
      <c r="BZ59" s="214">
        <f>IF(AND(($E59+$C$1)&gt;BZ$4,BZ$4&gt;=$C$1),$H59,IF(AND(($D59+$C$1)&gt;BZ$4,BZ$4&gt;=$C$1),$G59,0))*IF($A59="Residential",'General Inputs'!G$14,'General Inputs'!G$19)</f>
        <v>460.73911336817508</v>
      </c>
      <c r="CA59" s="214">
        <f>IF(AND(($E59+$C$1)&gt;CA$4,CA$4&gt;=$C$1),$H59,IF(AND(($D59+$C$1)&gt;CA$4,CA$4&gt;=$C$1),$G59,0))*IF($A59="Residential",'General Inputs'!H$14,'General Inputs'!H$19)</f>
        <v>467.65020006869759</v>
      </c>
      <c r="CB59" s="214">
        <f>IF(AND(($E59+$C$1)&gt;CB$4,CB$4&gt;=$C$1),$H59,IF(AND(($D59+$C$1)&gt;CB$4,CB$4&gt;=$C$1),$G59,0))*IF($A59="Residential",'General Inputs'!I$14,'General Inputs'!I$19)</f>
        <v>474.66495306972797</v>
      </c>
      <c r="CC59" s="214">
        <f>IF(AND(($E59+$C$1)&gt;CC$4,CC$4&gt;=$C$1),$H59,IF(AND(($D59+$C$1)&gt;CC$4,CC$4&gt;=$C$1),$G59,0))*IF($A59="Residential",'General Inputs'!J$14,'General Inputs'!J$19)</f>
        <v>481.78492736577391</v>
      </c>
      <c r="CD59" s="214">
        <f>IF(AND(($E59+$C$1)&gt;CD$4,CD$4&gt;=$C$1),$H59,IF(AND(($D59+$C$1)&gt;CD$4,CD$4&gt;=$C$1),$G59,0))*IF($A59="Residential",'General Inputs'!K$14,'General Inputs'!K$19)</f>
        <v>489.01170127626045</v>
      </c>
      <c r="CE59" s="214">
        <f>IF(AND(($E59+$C$1)&gt;CE$4,CE$4&gt;=$C$1),$H59,IF(AND(($D59+$C$1)&gt;CE$4,CE$4&gt;=$C$1),$G59,0))*IF($A59="Residential",'General Inputs'!L$14,'General Inputs'!L$19)</f>
        <v>496.34687679540428</v>
      </c>
      <c r="CF59" s="214">
        <f>IF(AND(($E59+$C$1)&gt;CF$4,CF$4&gt;=$C$1),$H59,IF(AND(($D59+$C$1)&gt;CF$4,CF$4&gt;=$C$1),$G59,0))*IF($A59="Residential",'General Inputs'!M$14,'General Inputs'!M$19)</f>
        <v>503.79207994733531</v>
      </c>
      <c r="CG59" s="214">
        <f>IF(AND(($E59+$C$1)&gt;CG$4,CG$4&gt;=$C$1),$H59,IF(AND(($D59+$C$1)&gt;CG$4,CG$4&gt;=$C$1),$G59,0))*IF($A59="Residential",'General Inputs'!N$14,'General Inputs'!N$19)</f>
        <v>511.34896114654532</v>
      </c>
      <c r="CH59" s="214">
        <f>IF(AND(($E59+$C$1)&gt;CH$4,CH$4&gt;=$C$1),$H59,IF(AND(($D59+$C$1)&gt;CH$4,CH$4&gt;=$C$1),$G59,0))*IF($A59="Residential",'General Inputs'!O$14,'General Inputs'!O$19)</f>
        <v>519.01919556374344</v>
      </c>
      <c r="CI59" s="214">
        <f>IF(AND(($E59+$C$1)&gt;CI$4,CI$4&gt;=$C$1),$H59,IF(AND(($D59+$C$1)&gt;CI$4,CI$4&gt;=$C$1),$G59,0))*IF($A59="Residential",'General Inputs'!P$14,'General Inputs'!P$19)</f>
        <v>526.80448349719961</v>
      </c>
      <c r="CJ59" s="214">
        <f>IF(AND(($E59+$C$1)&gt;CJ$4,CJ$4&gt;=$C$1),$H59,IF(AND(($D59+$C$1)&gt;CJ$4,CJ$4&gt;=$C$1),$G59,0))*IF($A59="Residential",'General Inputs'!Q$14,'General Inputs'!Q$19)</f>
        <v>534.70655074965748</v>
      </c>
      <c r="CK59" s="214">
        <f>IF(AND(($E59+$C$1)&gt;CK$4,CK$4&gt;=$C$1),$H59,IF(AND(($D59+$C$1)&gt;CK$4,CK$4&gt;=$C$1),$G59,0))*IF($A59="Residential",'General Inputs'!R$14,'General Inputs'!R$19)</f>
        <v>542.72714901090228</v>
      </c>
      <c r="CL59" s="214">
        <f>IF(AND(($E59+$C$1)&gt;CL$4,CL$4&gt;=$C$1),$H59,IF(AND(($D59+$C$1)&gt;CL$4,CL$4&gt;=$C$1),$G59,0))*IF($A59="Residential",'General Inputs'!S$14,'General Inputs'!S$19)</f>
        <v>550.86805624606586</v>
      </c>
      <c r="CM59" s="214">
        <f>IF(AND(($E59+$C$1)&gt;CM$4,CM$4&gt;=$C$1),$H59,IF(AND(($D59+$C$1)&gt;CM$4,CM$4&gt;=$C$1),$G59,0))*IF($A59="Residential",'General Inputs'!T$14,'General Inputs'!T$19)</f>
        <v>559.13107708975679</v>
      </c>
      <c r="CN59" s="214">
        <f>IF(AND(($E59+$C$1)&gt;CN$4,CN$4&gt;=$C$1),$H59,IF(AND(($D59+$C$1)&gt;CN$4,CN$4&gt;=$C$1),$G59,0))*IF($A59="Residential",'General Inputs'!U$14,'General Inputs'!U$19)</f>
        <v>567.51804324610305</v>
      </c>
      <c r="CO59" s="214">
        <f>IF(AND(($E59+$C$1)&gt;CO$4,CO$4&gt;=$C$1),$H59,IF(AND(($D59+$C$1)&gt;CO$4,CO$4&gt;=$C$1),$G59,0))*IF($A59="Residential",'General Inputs'!V$14,'General Inputs'!V$19)</f>
        <v>576.03081389479451</v>
      </c>
      <c r="CP59" s="214">
        <f>IF(AND(($E59+$C$1)&gt;CP$4,CP$4&gt;=$C$1),$H59,IF(AND(($D59+$C$1)&gt;CP$4,CP$4&gt;=$C$1),$G59,0))*IF($A59="Residential",'General Inputs'!W$14,'General Inputs'!W$19)</f>
        <v>0</v>
      </c>
      <c r="CR59" s="214">
        <f>IF(AND(($E59+$C$1)&gt;CR$4,CR$4&gt;=$C$1),$H59,IF(AND(($D59+$C$1)&gt;CR$4,CR$4&gt;=$C$1),$G59,0))*IF($A59="Residential",'General Inputs'!D$15,'General Inputs'!D$19)</f>
        <v>0</v>
      </c>
      <c r="CS59" s="214">
        <f>IF(AND(($E59+$C$1)&gt;CS$4,CS$4&gt;=$C$1),$H59,IF(AND(($D59+$C$1)&gt;CS$4,CS$4&gt;=$C$1),$G59,0))*IF($A59="Residential",'General Inputs'!E$15,'General Inputs'!E$19)</f>
        <v>447.22183345208583</v>
      </c>
      <c r="CT59" s="214">
        <f>IF(AND(($E59+$C$1)&gt;CT$4,CT$4&gt;=$C$1),$H59,IF(AND(($D59+$C$1)&gt;CT$4,CT$4&gt;=$C$1),$G59,0))*IF($A59="Residential",'General Inputs'!F$15,'General Inputs'!F$19)</f>
        <v>453.93016095386713</v>
      </c>
      <c r="CU59" s="214">
        <f>IF(AND(($E59+$C$1)&gt;CU$4,CU$4&gt;=$C$1),$H59,IF(AND(($D59+$C$1)&gt;CU$4,CU$4&gt;=$C$1),$G59,0))*IF($A59="Residential",'General Inputs'!G$15,'General Inputs'!G$19)</f>
        <v>460.73911336817508</v>
      </c>
      <c r="CV59" s="214">
        <f>IF(AND(($E59+$C$1)&gt;CV$4,CV$4&gt;=$C$1),$H59,IF(AND(($D59+$C$1)&gt;CV$4,CV$4&gt;=$C$1),$G59,0))*IF($A59="Residential",'General Inputs'!H$15,'General Inputs'!H$19)</f>
        <v>467.65020006869759</v>
      </c>
      <c r="CW59" s="214">
        <f>IF(AND(($E59+$C$1)&gt;CW$4,CW$4&gt;=$C$1),$H59,IF(AND(($D59+$C$1)&gt;CW$4,CW$4&gt;=$C$1),$G59,0))*IF($A59="Residential",'General Inputs'!I$15,'General Inputs'!I$19)</f>
        <v>474.66495306972797</v>
      </c>
      <c r="CX59" s="214">
        <f>IF(AND(($E59+$C$1)&gt;CX$4,CX$4&gt;=$C$1),$H59,IF(AND(($D59+$C$1)&gt;CX$4,CX$4&gt;=$C$1),$G59,0))*IF($A59="Residential",'General Inputs'!J$15,'General Inputs'!J$19)</f>
        <v>481.78492736577391</v>
      </c>
      <c r="CY59" s="214">
        <f>IF(AND(($E59+$C$1)&gt;CY$4,CY$4&gt;=$C$1),$H59,IF(AND(($D59+$C$1)&gt;CY$4,CY$4&gt;=$C$1),$G59,0))*IF($A59="Residential",'General Inputs'!K$15,'General Inputs'!K$19)</f>
        <v>489.01170127626045</v>
      </c>
      <c r="CZ59" s="214">
        <f>IF(AND(($E59+$C$1)&gt;CZ$4,CZ$4&gt;=$C$1),$H59,IF(AND(($D59+$C$1)&gt;CZ$4,CZ$4&gt;=$C$1),$G59,0))*IF($A59="Residential",'General Inputs'!L$15,'General Inputs'!L$19)</f>
        <v>496.34687679540428</v>
      </c>
      <c r="DA59" s="214">
        <f>IF(AND(($E59+$C$1)&gt;DA$4,DA$4&gt;=$C$1),$H59,IF(AND(($D59+$C$1)&gt;DA$4,DA$4&gt;=$C$1),$G59,0))*IF($A59="Residential",'General Inputs'!M$15,'General Inputs'!M$19)</f>
        <v>503.79207994733531</v>
      </c>
      <c r="DB59" s="214">
        <f>IF(AND(($E59+$C$1)&gt;DB$4,DB$4&gt;=$C$1),$H59,IF(AND(($D59+$C$1)&gt;DB$4,DB$4&gt;=$C$1),$G59,0))*IF($A59="Residential",'General Inputs'!N$15,'General Inputs'!N$19)</f>
        <v>511.34896114654532</v>
      </c>
      <c r="DC59" s="214">
        <f>IF(AND(($E59+$C$1)&gt;DC$4,DC$4&gt;=$C$1),$H59,IF(AND(($D59+$C$1)&gt;DC$4,DC$4&gt;=$C$1),$G59,0))*IF($A59="Residential",'General Inputs'!O$15,'General Inputs'!O$19)</f>
        <v>519.01919556374344</v>
      </c>
      <c r="DD59" s="214">
        <f>IF(AND(($E59+$C$1)&gt;DD$4,DD$4&gt;=$C$1),$H59,IF(AND(($D59+$C$1)&gt;DD$4,DD$4&gt;=$C$1),$G59,0))*IF($A59="Residential",'General Inputs'!P$15,'General Inputs'!P$19)</f>
        <v>526.80448349719961</v>
      </c>
      <c r="DE59" s="214">
        <f>IF(AND(($E59+$C$1)&gt;DE$4,DE$4&gt;=$C$1),$H59,IF(AND(($D59+$C$1)&gt;DE$4,DE$4&gt;=$C$1),$G59,0))*IF($A59="Residential",'General Inputs'!Q$15,'General Inputs'!Q$19)</f>
        <v>534.70655074965748</v>
      </c>
      <c r="DF59" s="214">
        <f>IF(AND(($E59+$C$1)&gt;DF$4,DF$4&gt;=$C$1),$H59,IF(AND(($D59+$C$1)&gt;DF$4,DF$4&gt;=$C$1),$G59,0))*IF($A59="Residential",'General Inputs'!R$15,'General Inputs'!R$19)</f>
        <v>542.72714901090228</v>
      </c>
      <c r="DG59" s="214">
        <f>IF(AND(($E59+$C$1)&gt;DG$4,DG$4&gt;=$C$1),$H59,IF(AND(($D59+$C$1)&gt;DG$4,DG$4&gt;=$C$1),$G59,0))*IF($A59="Residential",'General Inputs'!S$15,'General Inputs'!S$19)</f>
        <v>550.86805624606586</v>
      </c>
      <c r="DH59" s="214">
        <f>IF(AND(($E59+$C$1)&gt;DH$4,DH$4&gt;=$C$1),$H59,IF(AND(($D59+$C$1)&gt;DH$4,DH$4&gt;=$C$1),$G59,0))*IF($A59="Residential",'General Inputs'!T$15,'General Inputs'!T$19)</f>
        <v>559.13107708975679</v>
      </c>
      <c r="DI59" s="214">
        <f>IF(AND(($E59+$C$1)&gt;DI$4,DI$4&gt;=$C$1),$H59,IF(AND(($D59+$C$1)&gt;DI$4,DI$4&gt;=$C$1),$G59,0))*IF($A59="Residential",'General Inputs'!U$15,'General Inputs'!U$19)</f>
        <v>567.51804324610305</v>
      </c>
      <c r="DJ59" s="214">
        <f>IF(AND(($E59+$C$1)&gt;DJ$4,DJ$4&gt;=$C$1),$H59,IF(AND(($D59+$C$1)&gt;DJ$4,DJ$4&gt;=$C$1),$G59,0))*IF($A59="Residential",'General Inputs'!V$15,'General Inputs'!V$19)</f>
        <v>576.03081389479451</v>
      </c>
      <c r="DK59" s="214">
        <f>IF(AND(($E59+$C$1)&gt;DK$4,DK$4&gt;=$C$1),$H59,IF(AND(($D59+$C$1)&gt;DK$4,DK$4&gt;=$C$1),$G59,0))*IF($A59="Residential",'General Inputs'!W$15,'General Inputs'!W$19)</f>
        <v>0</v>
      </c>
      <c r="DM59" s="214">
        <f t="shared" si="99"/>
        <v>0</v>
      </c>
      <c r="DN59" s="214">
        <f t="shared" si="99"/>
        <v>306</v>
      </c>
      <c r="DO59" s="214">
        <f t="shared" si="99"/>
        <v>0</v>
      </c>
      <c r="DP59" s="214">
        <f t="shared" si="99"/>
        <v>0</v>
      </c>
      <c r="DQ59" s="214">
        <f t="shared" si="99"/>
        <v>0</v>
      </c>
      <c r="DR59" s="214">
        <f t="shared" si="99"/>
        <v>0</v>
      </c>
      <c r="DS59" s="214">
        <f t="shared" si="99"/>
        <v>0</v>
      </c>
      <c r="DT59" s="214">
        <f t="shared" si="99"/>
        <v>0</v>
      </c>
      <c r="DU59" s="214">
        <f t="shared" si="99"/>
        <v>0</v>
      </c>
      <c r="DV59" s="214">
        <f t="shared" si="99"/>
        <v>0</v>
      </c>
      <c r="DW59" s="214">
        <f t="shared" si="99"/>
        <v>0</v>
      </c>
      <c r="DZ59" s="650"/>
      <c r="FI59" s="195"/>
      <c r="FJ59" s="195"/>
      <c r="FK59" s="195"/>
      <c r="FL59" s="195"/>
      <c r="FM59" s="195"/>
      <c r="FN59" s="195"/>
      <c r="FO59" s="195"/>
    </row>
    <row r="60" spans="1:171">
      <c r="A60" s="342" t="s">
        <v>112</v>
      </c>
      <c r="B60" s="427" t="str">
        <f>'Portfolio Inputs'!A59</f>
        <v>High Bay Fluorescent Fixture (replace 1000 W HID)</v>
      </c>
      <c r="C60" s="217">
        <f>IF($C$1=2014,'Portfolio Inputs'!$C59,IF($C$1=2015,'Portfolio Inputs'!$D59,'Portfolio Inputs'!$E59))</f>
        <v>3</v>
      </c>
      <c r="D60" s="504">
        <f>VLOOKUP(B60,Sources!$B$4:$J$104,2,FALSE)</f>
        <v>18</v>
      </c>
      <c r="E60" s="504">
        <f>VLOOKUP(B60,Sources!$B$4:$J$104,3,FALSE)</f>
        <v>0</v>
      </c>
      <c r="G60" s="504">
        <f>IF($C$1=2014,'Portfolio Inputs'!$G59,IF($C$1=2015,'Portfolio Inputs'!$H59,'Portfolio Inputs'!$I59))*EnergyLineLoss</f>
        <v>8505.1683899999989</v>
      </c>
      <c r="H60" s="504"/>
      <c r="I60" s="595">
        <f>IF($C$1=2014,'Portfolio Inputs'!$K59,IF($C$1=2015,'Portfolio Inputs'!$L59,'Portfolio Inputs'!$M59))*PeakLineLoss</f>
        <v>1.3151492640000002</v>
      </c>
      <c r="J60" s="510"/>
      <c r="L60" s="606">
        <f>IF($C$1=2014,'Portfolio Inputs'!$O59,IF($C$1=2015,'Portfolio Inputs'!$P59,'Portfolio Inputs'!$Q59))</f>
        <v>169</v>
      </c>
      <c r="M60" s="518">
        <f>VLOOKUP($B60,Sources!$B$4:$K$104,10,FALSE)</f>
        <v>0</v>
      </c>
      <c r="N60" s="419">
        <f>IF($C$1=2014,'Portfolio Inputs'!$W59,IF($C$1=2015,'Portfolio Inputs'!$X59,'Portfolio Inputs'!$Y59))</f>
        <v>375</v>
      </c>
      <c r="O60" s="419">
        <f>IF($C$1=2014,'Portfolio Inputs'!$AA59,IF($C$1=2015,'Portfolio Inputs'!$AB59,'Portfolio Inputs'!$AC59))</f>
        <v>0</v>
      </c>
      <c r="Q60" s="438">
        <f t="shared" si="67"/>
        <v>7.6096718336256819</v>
      </c>
      <c r="R60" s="439">
        <f t="shared" si="68"/>
        <v>10.288276319061922</v>
      </c>
      <c r="S60" s="439">
        <f t="shared" si="69"/>
        <v>9.4517323055116105</v>
      </c>
      <c r="T60" s="439">
        <f t="shared" si="70"/>
        <v>19.609853882158319</v>
      </c>
      <c r="U60" s="439">
        <f t="shared" si="98"/>
        <v>19.609853882158319</v>
      </c>
      <c r="V60" s="439">
        <f t="shared" si="72"/>
        <v>0.38805346941158025</v>
      </c>
      <c r="W60" s="439">
        <f t="shared" si="73"/>
        <v>0.38805346941158025</v>
      </c>
      <c r="Y60" s="215">
        <f t="shared" si="4"/>
        <v>3544.7479048587106</v>
      </c>
      <c r="Z60" s="215">
        <f t="shared" si="5"/>
        <v>858.07116799537471</v>
      </c>
      <c r="AA60" s="215">
        <f t="shared" si="6"/>
        <v>8790.1469296713221</v>
      </c>
      <c r="AB60" s="215">
        <f t="shared" si="7"/>
        <v>8790.1469296713221</v>
      </c>
      <c r="AC60" s="216">
        <f t="shared" si="20"/>
        <v>0</v>
      </c>
      <c r="AD60" s="216">
        <f t="shared" si="21"/>
        <v>344.54244762954795</v>
      </c>
      <c r="AE60" s="215">
        <f t="shared" si="8"/>
        <v>465.82138919514881</v>
      </c>
      <c r="AG60" s="214">
        <f>IF(AND(($E60+$C$1)&gt;AG$4,AG$4&gt;=$C$1),'General Inputs'!D$9*$H60,IF(AND(($D60+$C$1)&gt;AG$4,AG$4&gt;=$C$1),'General Inputs'!D$9*$G60,0))+IF(AND(($E60+$C$1)&gt;AG$4,AG$4&gt;=$C$1),'General Inputs'!D$10*$J60,IF(AND(($D60+$C$1)&gt;AG$4,AG$4&gt;=$C$1),'General Inputs'!D$10*$I60,0))</f>
        <v>0</v>
      </c>
      <c r="AH60" s="214">
        <f>IF(AND(($E60+$C$1)&gt;AH$4,AH$4&gt;=$C$1),'General Inputs'!E$9*$H60,IF(AND(($D60+$C$1)&gt;AH$4,AH$4&gt;=$C$1),'General Inputs'!E$9*$G60,0))+IF(AND(($E60+$C$1)&gt;AH$4,AH$4&gt;=$C$1),'General Inputs'!E$10*$J60,IF(AND(($D60+$C$1)&gt;AH$4,AH$4&gt;=$C$1),'General Inputs'!E$10*$I60,0))</f>
        <v>363.67770165270861</v>
      </c>
      <c r="AI60" s="214">
        <f>IF(AND(($E60+$C$1)&gt;AI$4,AI$4&gt;=$C$1),'General Inputs'!F$9*$H60,IF(AND(($D60+$C$1)&gt;AI$4,AI$4&gt;=$C$1),'General Inputs'!F$9*$G60,0))+IF(AND(($E60+$C$1)&gt;AI$4,AI$4&gt;=$C$1),'General Inputs'!F$10*$J60,IF(AND(($D60+$C$1)&gt;AI$4,AI$4&gt;=$C$1),'General Inputs'!F$10*$I60,0))</f>
        <v>369.13286717749918</v>
      </c>
      <c r="AJ60" s="214">
        <f>IF(AND(($E60+$C$1)&gt;AJ$4,AJ$4&gt;=$C$1),'General Inputs'!G$9*$H60,IF(AND(($D60+$C$1)&gt;AJ$4,AJ$4&gt;=$C$1),'General Inputs'!G$9*$G60,0))+IF(AND(($E60+$C$1)&gt;AJ$4,AJ$4&gt;=$C$1),'General Inputs'!G$10*$J60,IF(AND(($D60+$C$1)&gt;AJ$4,AJ$4&gt;=$C$1),'General Inputs'!G$10*$I60,0))</f>
        <v>374.66986018516167</v>
      </c>
      <c r="AK60" s="214">
        <f>IF(AND(($E60+$C$1)&gt;AK$4,AK$4&gt;=$C$1),'General Inputs'!H$9*$H60,IF(AND(($D60+$C$1)&gt;AK$4,AK$4&gt;=$C$1),'General Inputs'!H$9*$G60,0))+IF(AND(($E60+$C$1)&gt;AK$4,AK$4&gt;=$C$1),'General Inputs'!H$10*$J60,IF(AND(($D60+$C$1)&gt;AK$4,AK$4&gt;=$C$1),'General Inputs'!H$10*$I60,0))</f>
        <v>380.28990808793901</v>
      </c>
      <c r="AL60" s="214">
        <f>IF(AND(($E60+$C$1)&gt;AL$4,AL$4&gt;=$C$1),'General Inputs'!I$9*$H60,IF(AND(($D60+$C$1)&gt;AL$4,AL$4&gt;=$C$1),'General Inputs'!I$9*$G60,0))+IF(AND(($E60+$C$1)&gt;AL$4,AL$4&gt;=$C$1),'General Inputs'!I$10*$J60,IF(AND(($D60+$C$1)&gt;AL$4,AL$4&gt;=$C$1),'General Inputs'!I$10*$I60,0))</f>
        <v>385.99425670925802</v>
      </c>
      <c r="AM60" s="214">
        <f>IF(AND(($E60+$C$1)&gt;AM$4,AM$4&gt;=$C$1),'General Inputs'!J$9*$H60,IF(AND(($D60+$C$1)&gt;AM$4,AM$4&gt;=$C$1),'General Inputs'!J$9*$G60,0))+IF(AND(($E60+$C$1)&gt;AM$4,AM$4&gt;=$C$1),'General Inputs'!J$10*$J60,IF(AND(($D60+$C$1)&gt;AM$4,AM$4&gt;=$C$1),'General Inputs'!J$10*$I60,0))</f>
        <v>391.78417055989684</v>
      </c>
      <c r="AN60" s="214">
        <f>IF(AND(($E60+$C$1)&gt;AN$4,AN$4&gt;=$C$1),'General Inputs'!K$9*$H60,IF(AND(($D60+$C$1)&gt;AN$4,AN$4&gt;=$C$1),'General Inputs'!K$9*$G60,0))+IF(AND(($E60+$C$1)&gt;AN$4,AN$4&gt;=$C$1),'General Inputs'!K$10*$J60,IF(AND(($D60+$C$1)&gt;AN$4,AN$4&gt;=$C$1),'General Inputs'!K$10*$I60,0))</f>
        <v>397.66093311829519</v>
      </c>
      <c r="AO60" s="214">
        <f>IF(AND(($E60+$C$1)&gt;AO$4,AO$4&gt;=$C$1),'General Inputs'!L$9*$H60,IF(AND(($D60+$C$1)&gt;AO$4,AO$4&gt;=$C$1),'General Inputs'!L$9*$G60,0))+IF(AND(($E60+$C$1)&gt;AO$4,AO$4&gt;=$C$1),'General Inputs'!L$10*$J60,IF(AND(($D60+$C$1)&gt;AO$4,AO$4&gt;=$C$1),'General Inputs'!L$10*$I60,0))</f>
        <v>403.62584711506963</v>
      </c>
      <c r="AP60" s="214">
        <f>IF(AND(($E60+$C$1)&gt;AP$4,AP$4&gt;=$C$1),'General Inputs'!M$9*$H60,IF(AND(($D60+$C$1)&gt;AP$4,AP$4&gt;=$C$1),'General Inputs'!M$9*$G60,0))+IF(AND(($E60+$C$1)&gt;AP$4,AP$4&gt;=$C$1),'General Inputs'!M$10*$J60,IF(AND(($D60+$C$1)&gt;AP$4,AP$4&gt;=$C$1),'General Inputs'!M$10*$I60,0))</f>
        <v>409.68023482179564</v>
      </c>
      <c r="AQ60" s="214">
        <f>IF(AND(($E60+$C$1)&gt;AQ$4,AQ$4&gt;=$C$1),'General Inputs'!N$9*$H60,IF(AND(($D60+$C$1)&gt;AQ$4,AQ$4&gt;=$C$1),'General Inputs'!N$9*$G60,0))+IF(AND(($E60+$C$1)&gt;AQ$4,AQ$4&gt;=$C$1),'General Inputs'!N$10*$J60,IF(AND(($D60+$C$1)&gt;AQ$4,AQ$4&gt;=$C$1),'General Inputs'!N$10*$I60,0))</f>
        <v>415.82543834412252</v>
      </c>
      <c r="AR60" s="214">
        <f>IF(AND(($E60+$C$1)&gt;AR$4,AR$4&gt;=$C$1),'General Inputs'!O$9*$H60,IF(AND(($D60+$C$1)&gt;AR$4,AR$4&gt;=$C$1),'General Inputs'!O$9*$G60,0))+IF(AND(($E60+$C$1)&gt;AR$4,AR$4&gt;=$C$1),'General Inputs'!O$10*$J60,IF(AND(($D60+$C$1)&gt;AR$4,AR$4&gt;=$C$1),'General Inputs'!O$10*$I60,0))</f>
        <v>422.06281991928432</v>
      </c>
      <c r="AS60" s="214">
        <f>IF(AND(($E60+$C$1)&gt;AS$4,AS$4&gt;=$C$1),'General Inputs'!P$9*$H60,IF(AND(($D60+$C$1)&gt;AS$4,AS$4&gt;=$C$1),'General Inputs'!P$9*$G60,0))+IF(AND(($E60+$C$1)&gt;AS$4,AS$4&gt;=$C$1),'General Inputs'!P$10*$J60,IF(AND(($D60+$C$1)&gt;AS$4,AS$4&gt;=$C$1),'General Inputs'!P$10*$I60,0))</f>
        <v>428.39376221807356</v>
      </c>
      <c r="AT60" s="214">
        <f>IF(AND(($E60+$C$1)&gt;AT$4,AT$4&gt;=$C$1),'General Inputs'!Q$9*$H60,IF(AND(($D60+$C$1)&gt;AT$4,AT$4&gt;=$C$1),'General Inputs'!Q$9*$G60,0))+IF(AND(($E60+$C$1)&gt;AT$4,AT$4&gt;=$C$1),'General Inputs'!Q$10*$J60,IF(AND(($D60+$C$1)&gt;AT$4,AT$4&gt;=$C$1),'General Inputs'!Q$10*$I60,0))</f>
        <v>434.81966865134461</v>
      </c>
      <c r="AU60" s="214">
        <f>IF(AND(($E60+$C$1)&gt;AU$4,AU$4&gt;=$C$1),'General Inputs'!R$9*$H60,IF(AND(($D60+$C$1)&gt;AU$4,AU$4&gt;=$C$1),'General Inputs'!R$9*$G60,0))+IF(AND(($E60+$C$1)&gt;AU$4,AU$4&gt;=$C$1),'General Inputs'!R$10*$J60,IF(AND(($D60+$C$1)&gt;AU$4,AU$4&gt;=$C$1),'General Inputs'!R$10*$I60,0))</f>
        <v>441.34196368111475</v>
      </c>
      <c r="AV60" s="214">
        <f>IF(AND(($E60+$C$1)&gt;AV$4,AV$4&gt;=$C$1),'General Inputs'!S$9*$H60,IF(AND(($D60+$C$1)&gt;AV$4,AV$4&gt;=$C$1),'General Inputs'!S$9*$G60,0))+IF(AND(($E60+$C$1)&gt;AV$4,AV$4&gt;=$C$1),'General Inputs'!S$10*$J60,IF(AND(($D60+$C$1)&gt;AV$4,AV$4&gt;=$C$1),'General Inputs'!S$10*$I60,0))</f>
        <v>447.96209313633148</v>
      </c>
      <c r="AW60" s="214">
        <f>IF(AND(($E60+$C$1)&gt;AW$4,AW$4&gt;=$C$1),'General Inputs'!T$9*$H60,IF(AND(($D60+$C$1)&gt;AW$4,AW$4&gt;=$C$1),'General Inputs'!T$9*$G60,0))+IF(AND(($E60+$C$1)&gt;AW$4,AW$4&gt;=$C$1),'General Inputs'!T$10*$J60,IF(AND(($D60+$C$1)&gt;AW$4,AW$4&gt;=$C$1),'General Inputs'!T$10*$I60,0))</f>
        <v>454.68152453337638</v>
      </c>
      <c r="AX60" s="214">
        <f>IF(AND(($E60+$C$1)&gt;AX$4,AX$4&gt;=$C$1),'General Inputs'!U$9*$H60,IF(AND(($D60+$C$1)&gt;AX$4,AX$4&gt;=$C$1),'General Inputs'!U$9*$G60,0))+IF(AND(($E60+$C$1)&gt;AX$4,AX$4&gt;=$C$1),'General Inputs'!U$10*$J60,IF(AND(($D60+$C$1)&gt;AX$4,AX$4&gt;=$C$1),'General Inputs'!U$10*$I60,0))</f>
        <v>461.50174740137703</v>
      </c>
      <c r="AY60" s="214">
        <f>IF(AND(($E60+$C$1)&gt;AY$4,AY$4&gt;=$C$1),'General Inputs'!V$9*$H60,IF(AND(($D60+$C$1)&gt;AY$4,AY$4&gt;=$C$1),'General Inputs'!V$9*$G60,0))+IF(AND(($E60+$C$1)&gt;AY$4,AY$4&gt;=$C$1),'General Inputs'!V$10*$J60,IF(AND(($D60+$C$1)&gt;AY$4,AY$4&gt;=$C$1),'General Inputs'!V$10*$I60,0))</f>
        <v>468.42427361239766</v>
      </c>
      <c r="AZ60" s="214">
        <f>IF(AND(($E60+$C$1)&gt;AZ$4,AZ$4&gt;=$C$1),'General Inputs'!W$9*$H60,IF(AND(($D60+$C$1)&gt;AZ$4,AZ$4&gt;=$C$1),'General Inputs'!W$9*$G60,0))+IF(AND(($E60+$C$1)&gt;AZ$4,AZ$4&gt;=$C$1),'General Inputs'!W$10*$J60,IF(AND(($D60+$C$1)&gt;AZ$4,AZ$4&gt;=$C$1),'General Inputs'!W$10*$I60,0))</f>
        <v>0</v>
      </c>
      <c r="BB60" s="214">
        <f>IF(AND(($E60+$C$1)&gt;BB$4,BB$4&gt;=$C$1),'General Inputs'!D$11*$H60,IF(AND(($D60+$C$1)&gt;BB$4,BB$4&gt;=$C$1),'General Inputs'!D$11*$G60,0))</f>
        <v>0</v>
      </c>
      <c r="BC60" s="214">
        <f>IF(AND(($E60+$C$1)&gt;BC$4,BC$4&gt;=$C$1),'General Inputs'!E$11*$H60,IF(AND(($D60+$C$1)&gt;BC$4,BC$4&gt;=$C$1),'General Inputs'!E$11*$G60,0))</f>
        <v>96.958919645999984</v>
      </c>
      <c r="BD60" s="214">
        <f>IF(AND(($E60+$C$1)&gt;BD$4,BD$4&gt;=$C$1),'General Inputs'!F$11*$H60,IF(AND(($D60+$C$1)&gt;BD$4,BD$4&gt;=$C$1),'General Inputs'!F$11*$G60,0))</f>
        <v>96.958919645999984</v>
      </c>
      <c r="BE60" s="214">
        <f>IF(AND(($E60+$C$1)&gt;BE$4,BE$4&gt;=$C$1),'General Inputs'!G$11*$H60,IF(AND(($D60+$C$1)&gt;BE$4,BE$4&gt;=$C$1),'General Inputs'!G$11*$G60,0))</f>
        <v>96.958919645999984</v>
      </c>
      <c r="BF60" s="214">
        <f>IF(AND(($E60+$C$1)&gt;BF$4,BF$4&gt;=$C$1),'General Inputs'!H$11*$H60,IF(AND(($D60+$C$1)&gt;BF$4,BF$4&gt;=$C$1),'General Inputs'!H$11*$G60,0))</f>
        <v>96.958919645999984</v>
      </c>
      <c r="BG60" s="214">
        <f>IF(AND(($E60+$C$1)&gt;BG$4,BG$4&gt;=$C$1),'General Inputs'!I$11*$H60,IF(AND(($D60+$C$1)&gt;BG$4,BG$4&gt;=$C$1),'General Inputs'!I$11*$G60,0))</f>
        <v>96.958919645999984</v>
      </c>
      <c r="BH60" s="214">
        <f>IF(AND(($E60+$C$1)&gt;BH$4,BH$4&gt;=$C$1),'General Inputs'!J$11*$H60,IF(AND(($D60+$C$1)&gt;BH$4,BH$4&gt;=$C$1),'General Inputs'!J$11*$G60,0))</f>
        <v>96.958919645999984</v>
      </c>
      <c r="BI60" s="214">
        <f>IF(AND(($E60+$C$1)&gt;BI$4,BI$4&gt;=$C$1),'General Inputs'!K$11*$H60,IF(AND(($D60+$C$1)&gt;BI$4,BI$4&gt;=$C$1),'General Inputs'!K$11*$G60,0))</f>
        <v>96.958919645999984</v>
      </c>
      <c r="BJ60" s="214">
        <f>IF(AND(($E60+$C$1)&gt;BJ$4,BJ$4&gt;=$C$1),'General Inputs'!L$11*$H60,IF(AND(($D60+$C$1)&gt;BJ$4,BJ$4&gt;=$C$1),'General Inputs'!L$11*$G60,0))</f>
        <v>96.958919645999984</v>
      </c>
      <c r="BK60" s="214">
        <f>IF(AND(($E60+$C$1)&gt;BK$4,BK$4&gt;=$C$1),'General Inputs'!M$11*$H60,IF(AND(($D60+$C$1)&gt;BK$4,BK$4&gt;=$C$1),'General Inputs'!M$11*$G60,0))</f>
        <v>96.958919645999984</v>
      </c>
      <c r="BL60" s="214">
        <f>IF(AND(($E60+$C$1)&gt;BL$4,BL$4&gt;=$C$1),'General Inputs'!N$11*$H60,IF(AND(($D60+$C$1)&gt;BL$4,BL$4&gt;=$C$1),'General Inputs'!N$11*$G60,0))</f>
        <v>96.958919645999984</v>
      </c>
      <c r="BM60" s="214">
        <f>IF(AND(($E60+$C$1)&gt;BM$4,BM$4&gt;=$C$1),'General Inputs'!O$11*$H60,IF(AND(($D60+$C$1)&gt;BM$4,BM$4&gt;=$C$1),'General Inputs'!O$11*$G60,0))</f>
        <v>96.958919645999984</v>
      </c>
      <c r="BN60" s="214">
        <f>IF(AND(($E60+$C$1)&gt;BN$4,BN$4&gt;=$C$1),'General Inputs'!P$11*$H60,IF(AND(($D60+$C$1)&gt;BN$4,BN$4&gt;=$C$1),'General Inputs'!P$11*$G60,0))</f>
        <v>96.958919645999984</v>
      </c>
      <c r="BO60" s="214">
        <f>IF(AND(($E60+$C$1)&gt;BO$4,BO$4&gt;=$C$1),'General Inputs'!Q$11*$H60,IF(AND(($D60+$C$1)&gt;BO$4,BO$4&gt;=$C$1),'General Inputs'!Q$11*$G60,0))</f>
        <v>96.958919645999984</v>
      </c>
      <c r="BP60" s="214">
        <f>IF(AND(($E60+$C$1)&gt;BP$4,BP$4&gt;=$C$1),'General Inputs'!R$11*$H60,IF(AND(($D60+$C$1)&gt;BP$4,BP$4&gt;=$C$1),'General Inputs'!R$11*$G60,0))</f>
        <v>96.958919645999984</v>
      </c>
      <c r="BQ60" s="214">
        <f>IF(AND(($E60+$C$1)&gt;BQ$4,BQ$4&gt;=$C$1),'General Inputs'!S$11*$H60,IF(AND(($D60+$C$1)&gt;BQ$4,BQ$4&gt;=$C$1),'General Inputs'!S$11*$G60,0))</f>
        <v>96.958919645999984</v>
      </c>
      <c r="BR60" s="214">
        <f>IF(AND(($E60+$C$1)&gt;BR$4,BR$4&gt;=$C$1),'General Inputs'!T$11*$H60,IF(AND(($D60+$C$1)&gt;BR$4,BR$4&gt;=$C$1),'General Inputs'!T$11*$G60,0))</f>
        <v>96.958919645999984</v>
      </c>
      <c r="BS60" s="214">
        <f>IF(AND(($E60+$C$1)&gt;BS$4,BS$4&gt;=$C$1),'General Inputs'!U$11*$H60,IF(AND(($D60+$C$1)&gt;BS$4,BS$4&gt;=$C$1),'General Inputs'!U$11*$G60,0))</f>
        <v>96.958919645999984</v>
      </c>
      <c r="BT60" s="214">
        <f>IF(AND(($E60+$C$1)&gt;BT$4,BT$4&gt;=$C$1),'General Inputs'!V$11*$H60,IF(AND(($D60+$C$1)&gt;BT$4,BT$4&gt;=$C$1),'General Inputs'!V$11*$G60,0))</f>
        <v>96.958919645999984</v>
      </c>
      <c r="BU60" s="214">
        <f>IF(AND(($E60+$C$1)&gt;BU$4,BU$4&gt;=$C$1),'General Inputs'!W$11*$H60,IF(AND(($D60+$C$1)&gt;BU$4,BU$4&gt;=$C$1),'General Inputs'!W$11*$G60,0))</f>
        <v>0</v>
      </c>
      <c r="BW60" s="214">
        <f>IF(AND(($E60+$C$1)&gt;BW$4,BW$4&gt;=$C$1),$H60,IF(AND(($D60+$C$1)&gt;BW$4,BW$4&gt;=$C$1),$G60,0))*IF($A60="Residential",'General Inputs'!D$14,'General Inputs'!D$19)</f>
        <v>0</v>
      </c>
      <c r="BX60" s="214">
        <f>IF(AND(($E60+$C$1)&gt;BX$4,BX$4&gt;=$C$1),$H60,IF(AND(($D60+$C$1)&gt;BX$4,BX$4&gt;=$C$1),$G60,0))*IF($A60="Residential",'General Inputs'!E$14,'General Inputs'!E$19)</f>
        <v>901.83576332486712</v>
      </c>
      <c r="BY60" s="214">
        <f>IF(AND(($E60+$C$1)&gt;BY$4,BY$4&gt;=$C$1),$H60,IF(AND(($D60+$C$1)&gt;BY$4,BY$4&gt;=$C$1),$G60,0))*IF($A60="Residential",'General Inputs'!F$14,'General Inputs'!F$19)</f>
        <v>915.3632997747402</v>
      </c>
      <c r="BZ60" s="214">
        <f>IF(AND(($E60+$C$1)&gt;BZ$4,BZ$4&gt;=$C$1),$H60,IF(AND(($D60+$C$1)&gt;BZ$4,BZ$4&gt;=$C$1),$G60,0))*IF($A60="Residential",'General Inputs'!G$14,'General Inputs'!G$19)</f>
        <v>929.09374927136116</v>
      </c>
      <c r="CA60" s="214">
        <f>IF(AND(($E60+$C$1)&gt;CA$4,CA$4&gt;=$C$1),$H60,IF(AND(($D60+$C$1)&gt;CA$4,CA$4&gt;=$C$1),$G60,0))*IF($A60="Residential",'General Inputs'!H$14,'General Inputs'!H$19)</f>
        <v>943.03015551043131</v>
      </c>
      <c r="CB60" s="214">
        <f>IF(AND(($E60+$C$1)&gt;CB$4,CB$4&gt;=$C$1),$H60,IF(AND(($D60+$C$1)&gt;CB$4,CB$4&gt;=$C$1),$G60,0))*IF($A60="Residential",'General Inputs'!I$14,'General Inputs'!I$19)</f>
        <v>957.17560784308762</v>
      </c>
      <c r="CC60" s="214">
        <f>IF(AND(($E60+$C$1)&gt;CC$4,CC$4&gt;=$C$1),$H60,IF(AND(($D60+$C$1)&gt;CC$4,CC$4&gt;=$C$1),$G60,0))*IF($A60="Residential",'General Inputs'!J$14,'General Inputs'!J$19)</f>
        <v>971.53324196073402</v>
      </c>
      <c r="CD60" s="214">
        <f>IF(AND(($E60+$C$1)&gt;CD$4,CD$4&gt;=$C$1),$H60,IF(AND(($D60+$C$1)&gt;CD$4,CD$4&gt;=$C$1),$G60,0))*IF($A60="Residential",'General Inputs'!K$14,'General Inputs'!K$19)</f>
        <v>986.10624059014481</v>
      </c>
      <c r="CE60" s="214">
        <f>IF(AND(($E60+$C$1)&gt;CE$4,CE$4&gt;=$C$1),$H60,IF(AND(($D60+$C$1)&gt;CE$4,CE$4&gt;=$C$1),$G60,0))*IF($A60="Residential",'General Inputs'!L$14,'General Inputs'!L$19)</f>
        <v>1000.897834198997</v>
      </c>
      <c r="CF60" s="214">
        <f>IF(AND(($E60+$C$1)&gt;CF$4,CF$4&gt;=$C$1),$H60,IF(AND(($D60+$C$1)&gt;CF$4,CF$4&gt;=$C$1),$G60,0))*IF($A60="Residential",'General Inputs'!M$14,'General Inputs'!M$19)</f>
        <v>1015.9113017119818</v>
      </c>
      <c r="CG60" s="214">
        <f>IF(AND(($E60+$C$1)&gt;CG$4,CG$4&gt;=$C$1),$H60,IF(AND(($D60+$C$1)&gt;CG$4,CG$4&gt;=$C$1),$G60,0))*IF($A60="Residential",'General Inputs'!N$14,'General Inputs'!N$19)</f>
        <v>1031.1499712376615</v>
      </c>
      <c r="CH60" s="214">
        <f>IF(AND(($E60+$C$1)&gt;CH$4,CH$4&gt;=$C$1),$H60,IF(AND(($D60+$C$1)&gt;CH$4,CH$4&gt;=$C$1),$G60,0))*IF($A60="Residential",'General Inputs'!O$14,'General Inputs'!O$19)</f>
        <v>1046.6172208062262</v>
      </c>
      <c r="CI60" s="214">
        <f>IF(AND(($E60+$C$1)&gt;CI$4,CI$4&gt;=$C$1),$H60,IF(AND(($D60+$C$1)&gt;CI$4,CI$4&gt;=$C$1),$G60,0))*IF($A60="Residential",'General Inputs'!P$14,'General Inputs'!P$19)</f>
        <v>1062.3164791183196</v>
      </c>
      <c r="CJ60" s="214">
        <f>IF(AND(($E60+$C$1)&gt;CJ$4,CJ$4&gt;=$C$1),$H60,IF(AND(($D60+$C$1)&gt;CJ$4,CJ$4&gt;=$C$1),$G60,0))*IF($A60="Residential",'General Inputs'!Q$14,'General Inputs'!Q$19)</f>
        <v>1078.2512263050942</v>
      </c>
      <c r="CK60" s="214">
        <f>IF(AND(($E60+$C$1)&gt;CK$4,CK$4&gt;=$C$1),$H60,IF(AND(($D60+$C$1)&gt;CK$4,CK$4&gt;=$C$1),$G60,0))*IF($A60="Residential",'General Inputs'!R$14,'General Inputs'!R$19)</f>
        <v>1094.4249946996706</v>
      </c>
      <c r="CL60" s="214">
        <f>IF(AND(($E60+$C$1)&gt;CL$4,CL$4&gt;=$C$1),$H60,IF(AND(($D60+$C$1)&gt;CL$4,CL$4&gt;=$C$1),$G60,0))*IF($A60="Residential",'General Inputs'!S$14,'General Inputs'!S$19)</f>
        <v>1110.8413696201656</v>
      </c>
      <c r="CM60" s="214">
        <f>IF(AND(($E60+$C$1)&gt;CM$4,CM$4&gt;=$C$1),$H60,IF(AND(($D60+$C$1)&gt;CM$4,CM$4&gt;=$C$1),$G60,0))*IF($A60="Residential",'General Inputs'!T$14,'General Inputs'!T$19)</f>
        <v>1127.503990164468</v>
      </c>
      <c r="CN60" s="214">
        <f>IF(AND(($E60+$C$1)&gt;CN$4,CN$4&gt;=$C$1),$H60,IF(AND(($D60+$C$1)&gt;CN$4,CN$4&gt;=$C$1),$G60,0))*IF($A60="Residential",'General Inputs'!U$14,'General Inputs'!U$19)</f>
        <v>1144.4165500169347</v>
      </c>
      <c r="CO60" s="214">
        <f>IF(AND(($E60+$C$1)&gt;CO$4,CO$4&gt;=$C$1),$H60,IF(AND(($D60+$C$1)&gt;CO$4,CO$4&gt;=$C$1),$G60,0))*IF($A60="Residential",'General Inputs'!V$14,'General Inputs'!V$19)</f>
        <v>1161.5827982671885</v>
      </c>
      <c r="CP60" s="214">
        <f>IF(AND(($E60+$C$1)&gt;CP$4,CP$4&gt;=$C$1),$H60,IF(AND(($D60+$C$1)&gt;CP$4,CP$4&gt;=$C$1),$G60,0))*IF($A60="Residential",'General Inputs'!W$14,'General Inputs'!W$19)</f>
        <v>0</v>
      </c>
      <c r="CR60" s="214">
        <f>IF(AND(($E60+$C$1)&gt;CR$4,CR$4&gt;=$C$1),$H60,IF(AND(($D60+$C$1)&gt;CR$4,CR$4&gt;=$C$1),$G60,0))*IF($A60="Residential",'General Inputs'!D$15,'General Inputs'!D$19)</f>
        <v>0</v>
      </c>
      <c r="CS60" s="214">
        <f>IF(AND(($E60+$C$1)&gt;CS$4,CS$4&gt;=$C$1),$H60,IF(AND(($D60+$C$1)&gt;CS$4,CS$4&gt;=$C$1),$G60,0))*IF($A60="Residential",'General Inputs'!E$15,'General Inputs'!E$19)</f>
        <v>901.83576332486712</v>
      </c>
      <c r="CT60" s="214">
        <f>IF(AND(($E60+$C$1)&gt;CT$4,CT$4&gt;=$C$1),$H60,IF(AND(($D60+$C$1)&gt;CT$4,CT$4&gt;=$C$1),$G60,0))*IF($A60="Residential",'General Inputs'!F$15,'General Inputs'!F$19)</f>
        <v>915.3632997747402</v>
      </c>
      <c r="CU60" s="214">
        <f>IF(AND(($E60+$C$1)&gt;CU$4,CU$4&gt;=$C$1),$H60,IF(AND(($D60+$C$1)&gt;CU$4,CU$4&gt;=$C$1),$G60,0))*IF($A60="Residential",'General Inputs'!G$15,'General Inputs'!G$19)</f>
        <v>929.09374927136116</v>
      </c>
      <c r="CV60" s="214">
        <f>IF(AND(($E60+$C$1)&gt;CV$4,CV$4&gt;=$C$1),$H60,IF(AND(($D60+$C$1)&gt;CV$4,CV$4&gt;=$C$1),$G60,0))*IF($A60="Residential",'General Inputs'!H$15,'General Inputs'!H$19)</f>
        <v>943.03015551043131</v>
      </c>
      <c r="CW60" s="214">
        <f>IF(AND(($E60+$C$1)&gt;CW$4,CW$4&gt;=$C$1),$H60,IF(AND(($D60+$C$1)&gt;CW$4,CW$4&gt;=$C$1),$G60,0))*IF($A60="Residential",'General Inputs'!I$15,'General Inputs'!I$19)</f>
        <v>957.17560784308762</v>
      </c>
      <c r="CX60" s="214">
        <f>IF(AND(($E60+$C$1)&gt;CX$4,CX$4&gt;=$C$1),$H60,IF(AND(($D60+$C$1)&gt;CX$4,CX$4&gt;=$C$1),$G60,0))*IF($A60="Residential",'General Inputs'!J$15,'General Inputs'!J$19)</f>
        <v>971.53324196073402</v>
      </c>
      <c r="CY60" s="214">
        <f>IF(AND(($E60+$C$1)&gt;CY$4,CY$4&gt;=$C$1),$H60,IF(AND(($D60+$C$1)&gt;CY$4,CY$4&gt;=$C$1),$G60,0))*IF($A60="Residential",'General Inputs'!K$15,'General Inputs'!K$19)</f>
        <v>986.10624059014481</v>
      </c>
      <c r="CZ60" s="214">
        <f>IF(AND(($E60+$C$1)&gt;CZ$4,CZ$4&gt;=$C$1),$H60,IF(AND(($D60+$C$1)&gt;CZ$4,CZ$4&gt;=$C$1),$G60,0))*IF($A60="Residential",'General Inputs'!L$15,'General Inputs'!L$19)</f>
        <v>1000.897834198997</v>
      </c>
      <c r="DA60" s="214">
        <f>IF(AND(($E60+$C$1)&gt;DA$4,DA$4&gt;=$C$1),$H60,IF(AND(($D60+$C$1)&gt;DA$4,DA$4&gt;=$C$1),$G60,0))*IF($A60="Residential",'General Inputs'!M$15,'General Inputs'!M$19)</f>
        <v>1015.9113017119818</v>
      </c>
      <c r="DB60" s="214">
        <f>IF(AND(($E60+$C$1)&gt;DB$4,DB$4&gt;=$C$1),$H60,IF(AND(($D60+$C$1)&gt;DB$4,DB$4&gt;=$C$1),$G60,0))*IF($A60="Residential",'General Inputs'!N$15,'General Inputs'!N$19)</f>
        <v>1031.1499712376615</v>
      </c>
      <c r="DC60" s="214">
        <f>IF(AND(($E60+$C$1)&gt;DC$4,DC$4&gt;=$C$1),$H60,IF(AND(($D60+$C$1)&gt;DC$4,DC$4&gt;=$C$1),$G60,0))*IF($A60="Residential",'General Inputs'!O$15,'General Inputs'!O$19)</f>
        <v>1046.6172208062262</v>
      </c>
      <c r="DD60" s="214">
        <f>IF(AND(($E60+$C$1)&gt;DD$4,DD$4&gt;=$C$1),$H60,IF(AND(($D60+$C$1)&gt;DD$4,DD$4&gt;=$C$1),$G60,0))*IF($A60="Residential",'General Inputs'!P$15,'General Inputs'!P$19)</f>
        <v>1062.3164791183196</v>
      </c>
      <c r="DE60" s="214">
        <f>IF(AND(($E60+$C$1)&gt;DE$4,DE$4&gt;=$C$1),$H60,IF(AND(($D60+$C$1)&gt;DE$4,DE$4&gt;=$C$1),$G60,0))*IF($A60="Residential",'General Inputs'!Q$15,'General Inputs'!Q$19)</f>
        <v>1078.2512263050942</v>
      </c>
      <c r="DF60" s="214">
        <f>IF(AND(($E60+$C$1)&gt;DF$4,DF$4&gt;=$C$1),$H60,IF(AND(($D60+$C$1)&gt;DF$4,DF$4&gt;=$C$1),$G60,0))*IF($A60="Residential",'General Inputs'!R$15,'General Inputs'!R$19)</f>
        <v>1094.4249946996706</v>
      </c>
      <c r="DG60" s="214">
        <f>IF(AND(($E60+$C$1)&gt;DG$4,DG$4&gt;=$C$1),$H60,IF(AND(($D60+$C$1)&gt;DG$4,DG$4&gt;=$C$1),$G60,0))*IF($A60="Residential",'General Inputs'!S$15,'General Inputs'!S$19)</f>
        <v>1110.8413696201656</v>
      </c>
      <c r="DH60" s="214">
        <f>IF(AND(($E60+$C$1)&gt;DH$4,DH$4&gt;=$C$1),$H60,IF(AND(($D60+$C$1)&gt;DH$4,DH$4&gt;=$C$1),$G60,0))*IF($A60="Residential",'General Inputs'!T$15,'General Inputs'!T$19)</f>
        <v>1127.503990164468</v>
      </c>
      <c r="DI60" s="214">
        <f>IF(AND(($E60+$C$1)&gt;DI$4,DI$4&gt;=$C$1),$H60,IF(AND(($D60+$C$1)&gt;DI$4,DI$4&gt;=$C$1),$G60,0))*IF($A60="Residential",'General Inputs'!U$15,'General Inputs'!U$19)</f>
        <v>1144.4165500169347</v>
      </c>
      <c r="DJ60" s="214">
        <f>IF(AND(($E60+$C$1)&gt;DJ$4,DJ$4&gt;=$C$1),$H60,IF(AND(($D60+$C$1)&gt;DJ$4,DJ$4&gt;=$C$1),$G60,0))*IF($A60="Residential",'General Inputs'!V$15,'General Inputs'!V$19)</f>
        <v>1161.5827982671885</v>
      </c>
      <c r="DK60" s="214">
        <f>IF(AND(($E60+$C$1)&gt;DK$4,DK$4&gt;=$C$1),$H60,IF(AND(($D60+$C$1)&gt;DK$4,DK$4&gt;=$C$1),$G60,0))*IF($A60="Residential",'General Inputs'!W$15,'General Inputs'!W$19)</f>
        <v>0</v>
      </c>
      <c r="DM60" s="214">
        <f t="shared" si="99"/>
        <v>0</v>
      </c>
      <c r="DN60" s="214">
        <f t="shared" si="99"/>
        <v>507</v>
      </c>
      <c r="DO60" s="214">
        <f t="shared" si="99"/>
        <v>0</v>
      </c>
      <c r="DP60" s="214">
        <f t="shared" si="99"/>
        <v>0</v>
      </c>
      <c r="DQ60" s="214">
        <f t="shared" si="99"/>
        <v>0</v>
      </c>
      <c r="DR60" s="214">
        <f t="shared" si="99"/>
        <v>0</v>
      </c>
      <c r="DS60" s="214">
        <f t="shared" si="99"/>
        <v>0</v>
      </c>
      <c r="DT60" s="214">
        <f t="shared" si="99"/>
        <v>0</v>
      </c>
      <c r="DU60" s="214">
        <f t="shared" si="99"/>
        <v>0</v>
      </c>
      <c r="DV60" s="214">
        <f t="shared" si="99"/>
        <v>0</v>
      </c>
      <c r="DW60" s="214">
        <f t="shared" si="99"/>
        <v>0</v>
      </c>
      <c r="DZ60" s="650"/>
      <c r="FI60" s="195"/>
      <c r="FJ60" s="195"/>
      <c r="FK60" s="195"/>
      <c r="FL60" s="195"/>
      <c r="FM60" s="195"/>
      <c r="FN60" s="195"/>
      <c r="FO60" s="195"/>
    </row>
    <row r="61" spans="1:171">
      <c r="A61" s="342" t="s">
        <v>112</v>
      </c>
      <c r="B61" s="427" t="str">
        <f>'Portfolio Inputs'!A60</f>
        <v>Pin-Based CFL ≤18W</v>
      </c>
      <c r="C61" s="217">
        <f>IF($C$1=2014,'Portfolio Inputs'!$C60,IF($C$1=2015,'Portfolio Inputs'!$D60,'Portfolio Inputs'!$E60))</f>
        <v>8</v>
      </c>
      <c r="D61" s="504">
        <f>VLOOKUP(B61,Sources!$B$4:$J$104,2,FALSE)</f>
        <v>10</v>
      </c>
      <c r="E61" s="504">
        <f>VLOOKUP(B61,Sources!$B$4:$J$104,3,FALSE)</f>
        <v>0</v>
      </c>
      <c r="G61" s="504">
        <f>IF($C$1=2014,'Portfolio Inputs'!$G60,IF($C$1=2015,'Portfolio Inputs'!$H60,'Portfolio Inputs'!$I60))*EnergyLineLoss</f>
        <v>2928.0087899999994</v>
      </c>
      <c r="H61" s="504"/>
      <c r="I61" s="595">
        <f>IF($C$1=2014,'Portfolio Inputs'!$K60,IF($C$1=2015,'Portfolio Inputs'!$L60,'Portfolio Inputs'!$M60))*PeakLineLoss</f>
        <v>0.45275630399999994</v>
      </c>
      <c r="J61" s="510"/>
      <c r="L61" s="606">
        <f>IF($C$1=2014,'Portfolio Inputs'!$O60,IF($C$1=2015,'Portfolio Inputs'!$P60,'Portfolio Inputs'!$Q60))</f>
        <v>20</v>
      </c>
      <c r="M61" s="518">
        <f>VLOOKUP($B61,Sources!$B$4:$K$104,10,FALSE)</f>
        <v>0</v>
      </c>
      <c r="N61" s="419">
        <f>IF($C$1=2014,'Portfolio Inputs'!$W60,IF($C$1=2015,'Portfolio Inputs'!$X60,'Portfolio Inputs'!$Y60))</f>
        <v>64</v>
      </c>
      <c r="O61" s="419">
        <f>IF($C$1=2014,'Portfolio Inputs'!$AA60,IF($C$1=2015,'Portfolio Inputs'!$AB60,'Portfolio Inputs'!$AC60))</f>
        <v>0</v>
      </c>
      <c r="Q61" s="438">
        <f t="shared" si="67"/>
        <v>5.8308585224310114</v>
      </c>
      <c r="R61" s="439">
        <f t="shared" si="68"/>
        <v>14.577146306077529</v>
      </c>
      <c r="S61" s="439">
        <f t="shared" si="69"/>
        <v>7.2983880928186347</v>
      </c>
      <c r="T61" s="439">
        <f t="shared" si="70"/>
        <v>14.859167341079999</v>
      </c>
      <c r="U61" s="439">
        <f t="shared" si="98"/>
        <v>14.859167341079999</v>
      </c>
      <c r="V61" s="439">
        <f t="shared" si="72"/>
        <v>0.39240816047012844</v>
      </c>
      <c r="W61" s="439">
        <f t="shared" si="73"/>
        <v>0.39240816047012844</v>
      </c>
      <c r="Y61" s="215">
        <f t="shared" si="4"/>
        <v>857.16406062932913</v>
      </c>
      <c r="Z61" s="215">
        <f t="shared" si="5"/>
        <v>215.73385819737189</v>
      </c>
      <c r="AA61" s="215">
        <f t="shared" si="6"/>
        <v>2125.5666800558615</v>
      </c>
      <c r="AB61" s="215">
        <f t="shared" si="7"/>
        <v>2125.5666800558615</v>
      </c>
      <c r="AC61" s="216">
        <f t="shared" si="20"/>
        <v>0</v>
      </c>
      <c r="AD61" s="216">
        <f t="shared" si="21"/>
        <v>58.801911062109518</v>
      </c>
      <c r="AE61" s="215">
        <f t="shared" si="8"/>
        <v>147.00477765527378</v>
      </c>
      <c r="AG61" s="214">
        <f>IF(AND(($E61+$C$1)&gt;AG$4,AG$4&gt;=$C$1),'General Inputs'!D$9*$H61,IF(AND(($D61+$C$1)&gt;AG$4,AG$4&gt;=$C$1),'General Inputs'!D$9*$G61,0))+IF(AND(($E61+$C$1)&gt;AG$4,AG$4&gt;=$C$1),'General Inputs'!D$10*$J61,IF(AND(($D61+$C$1)&gt;AG$4,AG$4&gt;=$C$1),'General Inputs'!D$10*$I61,0))</f>
        <v>0</v>
      </c>
      <c r="AH61" s="214">
        <f>IF(AND(($E61+$C$1)&gt;AH$4,AH$4&gt;=$C$1),'General Inputs'!E$9*$H61,IF(AND(($D61+$C$1)&gt;AH$4,AH$4&gt;=$C$1),'General Inputs'!E$9*$G61,0))+IF(AND(($E61+$C$1)&gt;AH$4,AH$4&gt;=$C$1),'General Inputs'!E$10*$J61,IF(AND(($D61+$C$1)&gt;AH$4,AH$4&gt;=$C$1),'General Inputs'!E$10*$I61,0))</f>
        <v>125.20052024109638</v>
      </c>
      <c r="AI61" s="214">
        <f>IF(AND(($E61+$C$1)&gt;AI$4,AI$4&gt;=$C$1),'General Inputs'!F$9*$H61,IF(AND(($D61+$C$1)&gt;AI$4,AI$4&gt;=$C$1),'General Inputs'!F$9*$G61,0))+IF(AND(($E61+$C$1)&gt;AI$4,AI$4&gt;=$C$1),'General Inputs'!F$10*$J61,IF(AND(($D61+$C$1)&gt;AI$4,AI$4&gt;=$C$1),'General Inputs'!F$10*$I61,0))</f>
        <v>127.07852804471283</v>
      </c>
      <c r="AJ61" s="214">
        <f>IF(AND(($E61+$C$1)&gt;AJ$4,AJ$4&gt;=$C$1),'General Inputs'!G$9*$H61,IF(AND(($D61+$C$1)&gt;AJ$4,AJ$4&gt;=$C$1),'General Inputs'!G$9*$G61,0))+IF(AND(($E61+$C$1)&gt;AJ$4,AJ$4&gt;=$C$1),'General Inputs'!G$10*$J61,IF(AND(($D61+$C$1)&gt;AJ$4,AJ$4&gt;=$C$1),'General Inputs'!G$10*$I61,0))</f>
        <v>128.98470596538351</v>
      </c>
      <c r="AK61" s="214">
        <f>IF(AND(($E61+$C$1)&gt;AK$4,AK$4&gt;=$C$1),'General Inputs'!H$9*$H61,IF(AND(($D61+$C$1)&gt;AK$4,AK$4&gt;=$C$1),'General Inputs'!H$9*$G61,0))+IF(AND(($E61+$C$1)&gt;AK$4,AK$4&gt;=$C$1),'General Inputs'!H$10*$J61,IF(AND(($D61+$C$1)&gt;AK$4,AK$4&gt;=$C$1),'General Inputs'!H$10*$I61,0))</f>
        <v>130.91947655486425</v>
      </c>
      <c r="AL61" s="214">
        <f>IF(AND(($E61+$C$1)&gt;AL$4,AL$4&gt;=$C$1),'General Inputs'!I$9*$H61,IF(AND(($D61+$C$1)&gt;AL$4,AL$4&gt;=$C$1),'General Inputs'!I$9*$G61,0))+IF(AND(($E61+$C$1)&gt;AL$4,AL$4&gt;=$C$1),'General Inputs'!I$10*$J61,IF(AND(($D61+$C$1)&gt;AL$4,AL$4&gt;=$C$1),'General Inputs'!I$10*$I61,0))</f>
        <v>132.88326870318718</v>
      </c>
      <c r="AM61" s="214">
        <f>IF(AND(($E61+$C$1)&gt;AM$4,AM$4&gt;=$C$1),'General Inputs'!J$9*$H61,IF(AND(($D61+$C$1)&gt;AM$4,AM$4&gt;=$C$1),'General Inputs'!J$9*$G61,0))+IF(AND(($E61+$C$1)&gt;AM$4,AM$4&gt;=$C$1),'General Inputs'!J$10*$J61,IF(AND(($D61+$C$1)&gt;AM$4,AM$4&gt;=$C$1),'General Inputs'!J$10*$I61,0))</f>
        <v>134.87651773373497</v>
      </c>
      <c r="AN61" s="214">
        <f>IF(AND(($E61+$C$1)&gt;AN$4,AN$4&gt;=$C$1),'General Inputs'!K$9*$H61,IF(AND(($D61+$C$1)&gt;AN$4,AN$4&gt;=$C$1),'General Inputs'!K$9*$G61,0))+IF(AND(($E61+$C$1)&gt;AN$4,AN$4&gt;=$C$1),'General Inputs'!K$10*$J61,IF(AND(($D61+$C$1)&gt;AN$4,AN$4&gt;=$C$1),'General Inputs'!K$10*$I61,0))</f>
        <v>136.89966549974099</v>
      </c>
      <c r="AO61" s="214">
        <f>IF(AND(($E61+$C$1)&gt;AO$4,AO$4&gt;=$C$1),'General Inputs'!L$9*$H61,IF(AND(($D61+$C$1)&gt;AO$4,AO$4&gt;=$C$1),'General Inputs'!L$9*$G61,0))+IF(AND(($E61+$C$1)&gt;AO$4,AO$4&gt;=$C$1),'General Inputs'!L$10*$J61,IF(AND(($D61+$C$1)&gt;AO$4,AO$4&gt;=$C$1),'General Inputs'!L$10*$I61,0))</f>
        <v>138.95316048223708</v>
      </c>
      <c r="AP61" s="214">
        <f>IF(AND(($E61+$C$1)&gt;AP$4,AP$4&gt;=$C$1),'General Inputs'!M$9*$H61,IF(AND(($D61+$C$1)&gt;AP$4,AP$4&gt;=$C$1),'General Inputs'!M$9*$G61,0))+IF(AND(($E61+$C$1)&gt;AP$4,AP$4&gt;=$C$1),'General Inputs'!M$10*$J61,IF(AND(($D61+$C$1)&gt;AP$4,AP$4&gt;=$C$1),'General Inputs'!M$10*$I61,0))</f>
        <v>141.0374578894706</v>
      </c>
      <c r="AQ61" s="214">
        <f>IF(AND(($E61+$C$1)&gt;AQ$4,AQ$4&gt;=$C$1),'General Inputs'!N$9*$H61,IF(AND(($D61+$C$1)&gt;AQ$4,AQ$4&gt;=$C$1),'General Inputs'!N$9*$G61,0))+IF(AND(($E61+$C$1)&gt;AQ$4,AQ$4&gt;=$C$1),'General Inputs'!N$10*$J61,IF(AND(($D61+$C$1)&gt;AQ$4,AQ$4&gt;=$C$1),'General Inputs'!N$10*$I61,0))</f>
        <v>143.15301975781264</v>
      </c>
      <c r="AR61" s="214">
        <f>IF(AND(($E61+$C$1)&gt;AR$4,AR$4&gt;=$C$1),'General Inputs'!O$9*$H61,IF(AND(($D61+$C$1)&gt;AR$4,AR$4&gt;=$C$1),'General Inputs'!O$9*$G61,0))+IF(AND(($E61+$C$1)&gt;AR$4,AR$4&gt;=$C$1),'General Inputs'!O$10*$J61,IF(AND(($D61+$C$1)&gt;AR$4,AR$4&gt;=$C$1),'General Inputs'!O$10*$I61,0))</f>
        <v>0</v>
      </c>
      <c r="AS61" s="214">
        <f>IF(AND(($E61+$C$1)&gt;AS$4,AS$4&gt;=$C$1),'General Inputs'!P$9*$H61,IF(AND(($D61+$C$1)&gt;AS$4,AS$4&gt;=$C$1),'General Inputs'!P$9*$G61,0))+IF(AND(($E61+$C$1)&gt;AS$4,AS$4&gt;=$C$1),'General Inputs'!P$10*$J61,IF(AND(($D61+$C$1)&gt;AS$4,AS$4&gt;=$C$1),'General Inputs'!P$10*$I61,0))</f>
        <v>0</v>
      </c>
      <c r="AT61" s="214">
        <f>IF(AND(($E61+$C$1)&gt;AT$4,AT$4&gt;=$C$1),'General Inputs'!Q$9*$H61,IF(AND(($D61+$C$1)&gt;AT$4,AT$4&gt;=$C$1),'General Inputs'!Q$9*$G61,0))+IF(AND(($E61+$C$1)&gt;AT$4,AT$4&gt;=$C$1),'General Inputs'!Q$10*$J61,IF(AND(($D61+$C$1)&gt;AT$4,AT$4&gt;=$C$1),'General Inputs'!Q$10*$I61,0))</f>
        <v>0</v>
      </c>
      <c r="AU61" s="214">
        <f>IF(AND(($E61+$C$1)&gt;AU$4,AU$4&gt;=$C$1),'General Inputs'!R$9*$H61,IF(AND(($D61+$C$1)&gt;AU$4,AU$4&gt;=$C$1),'General Inputs'!R$9*$G61,0))+IF(AND(($E61+$C$1)&gt;AU$4,AU$4&gt;=$C$1),'General Inputs'!R$10*$J61,IF(AND(($D61+$C$1)&gt;AU$4,AU$4&gt;=$C$1),'General Inputs'!R$10*$I61,0))</f>
        <v>0</v>
      </c>
      <c r="AV61" s="214">
        <f>IF(AND(($E61+$C$1)&gt;AV$4,AV$4&gt;=$C$1),'General Inputs'!S$9*$H61,IF(AND(($D61+$C$1)&gt;AV$4,AV$4&gt;=$C$1),'General Inputs'!S$9*$G61,0))+IF(AND(($E61+$C$1)&gt;AV$4,AV$4&gt;=$C$1),'General Inputs'!S$10*$J61,IF(AND(($D61+$C$1)&gt;AV$4,AV$4&gt;=$C$1),'General Inputs'!S$10*$I61,0))</f>
        <v>0</v>
      </c>
      <c r="AW61" s="214">
        <f>IF(AND(($E61+$C$1)&gt;AW$4,AW$4&gt;=$C$1),'General Inputs'!T$9*$H61,IF(AND(($D61+$C$1)&gt;AW$4,AW$4&gt;=$C$1),'General Inputs'!T$9*$G61,0))+IF(AND(($E61+$C$1)&gt;AW$4,AW$4&gt;=$C$1),'General Inputs'!T$10*$J61,IF(AND(($D61+$C$1)&gt;AW$4,AW$4&gt;=$C$1),'General Inputs'!T$10*$I61,0))</f>
        <v>0</v>
      </c>
      <c r="AX61" s="214">
        <f>IF(AND(($E61+$C$1)&gt;AX$4,AX$4&gt;=$C$1),'General Inputs'!U$9*$H61,IF(AND(($D61+$C$1)&gt;AX$4,AX$4&gt;=$C$1),'General Inputs'!U$9*$G61,0))+IF(AND(($E61+$C$1)&gt;AX$4,AX$4&gt;=$C$1),'General Inputs'!U$10*$J61,IF(AND(($D61+$C$1)&gt;AX$4,AX$4&gt;=$C$1),'General Inputs'!U$10*$I61,0))</f>
        <v>0</v>
      </c>
      <c r="AY61" s="214">
        <f>IF(AND(($E61+$C$1)&gt;AY$4,AY$4&gt;=$C$1),'General Inputs'!V$9*$H61,IF(AND(($D61+$C$1)&gt;AY$4,AY$4&gt;=$C$1),'General Inputs'!V$9*$G61,0))+IF(AND(($E61+$C$1)&gt;AY$4,AY$4&gt;=$C$1),'General Inputs'!V$10*$J61,IF(AND(($D61+$C$1)&gt;AY$4,AY$4&gt;=$C$1),'General Inputs'!V$10*$I61,0))</f>
        <v>0</v>
      </c>
      <c r="AZ61" s="214">
        <f>IF(AND(($E61+$C$1)&gt;AZ$4,AZ$4&gt;=$C$1),'General Inputs'!W$9*$H61,IF(AND(($D61+$C$1)&gt;AZ$4,AZ$4&gt;=$C$1),'General Inputs'!W$9*$G61,0))+IF(AND(($E61+$C$1)&gt;AZ$4,AZ$4&gt;=$C$1),'General Inputs'!W$10*$J61,IF(AND(($D61+$C$1)&gt;AZ$4,AZ$4&gt;=$C$1),'General Inputs'!W$10*$I61,0))</f>
        <v>0</v>
      </c>
      <c r="BB61" s="214">
        <f>IF(AND(($E61+$C$1)&gt;BB$4,BB$4&gt;=$C$1),'General Inputs'!D$11*$H61,IF(AND(($D61+$C$1)&gt;BB$4,BB$4&gt;=$C$1),'General Inputs'!D$11*$G61,0))</f>
        <v>0</v>
      </c>
      <c r="BC61" s="214">
        <f>IF(AND(($E61+$C$1)&gt;BC$4,BC$4&gt;=$C$1),'General Inputs'!E$11*$H61,IF(AND(($D61+$C$1)&gt;BC$4,BC$4&gt;=$C$1),'General Inputs'!E$11*$G61,0))</f>
        <v>33.379300205999996</v>
      </c>
      <c r="BD61" s="214">
        <f>IF(AND(($E61+$C$1)&gt;BD$4,BD$4&gt;=$C$1),'General Inputs'!F$11*$H61,IF(AND(($D61+$C$1)&gt;BD$4,BD$4&gt;=$C$1),'General Inputs'!F$11*$G61,0))</f>
        <v>33.379300205999996</v>
      </c>
      <c r="BE61" s="214">
        <f>IF(AND(($E61+$C$1)&gt;BE$4,BE$4&gt;=$C$1),'General Inputs'!G$11*$H61,IF(AND(($D61+$C$1)&gt;BE$4,BE$4&gt;=$C$1),'General Inputs'!G$11*$G61,0))</f>
        <v>33.379300205999996</v>
      </c>
      <c r="BF61" s="214">
        <f>IF(AND(($E61+$C$1)&gt;BF$4,BF$4&gt;=$C$1),'General Inputs'!H$11*$H61,IF(AND(($D61+$C$1)&gt;BF$4,BF$4&gt;=$C$1),'General Inputs'!H$11*$G61,0))</f>
        <v>33.379300205999996</v>
      </c>
      <c r="BG61" s="214">
        <f>IF(AND(($E61+$C$1)&gt;BG$4,BG$4&gt;=$C$1),'General Inputs'!I$11*$H61,IF(AND(($D61+$C$1)&gt;BG$4,BG$4&gt;=$C$1),'General Inputs'!I$11*$G61,0))</f>
        <v>33.379300205999996</v>
      </c>
      <c r="BH61" s="214">
        <f>IF(AND(($E61+$C$1)&gt;BH$4,BH$4&gt;=$C$1),'General Inputs'!J$11*$H61,IF(AND(($D61+$C$1)&gt;BH$4,BH$4&gt;=$C$1),'General Inputs'!J$11*$G61,0))</f>
        <v>33.379300205999996</v>
      </c>
      <c r="BI61" s="214">
        <f>IF(AND(($E61+$C$1)&gt;BI$4,BI$4&gt;=$C$1),'General Inputs'!K$11*$H61,IF(AND(($D61+$C$1)&gt;BI$4,BI$4&gt;=$C$1),'General Inputs'!K$11*$G61,0))</f>
        <v>33.379300205999996</v>
      </c>
      <c r="BJ61" s="214">
        <f>IF(AND(($E61+$C$1)&gt;BJ$4,BJ$4&gt;=$C$1),'General Inputs'!L$11*$H61,IF(AND(($D61+$C$1)&gt;BJ$4,BJ$4&gt;=$C$1),'General Inputs'!L$11*$G61,0))</f>
        <v>33.379300205999996</v>
      </c>
      <c r="BK61" s="214">
        <f>IF(AND(($E61+$C$1)&gt;BK$4,BK$4&gt;=$C$1),'General Inputs'!M$11*$H61,IF(AND(($D61+$C$1)&gt;BK$4,BK$4&gt;=$C$1),'General Inputs'!M$11*$G61,0))</f>
        <v>33.379300205999996</v>
      </c>
      <c r="BL61" s="214">
        <f>IF(AND(($E61+$C$1)&gt;BL$4,BL$4&gt;=$C$1),'General Inputs'!N$11*$H61,IF(AND(($D61+$C$1)&gt;BL$4,BL$4&gt;=$C$1),'General Inputs'!N$11*$G61,0))</f>
        <v>33.379300205999996</v>
      </c>
      <c r="BM61" s="214">
        <f>IF(AND(($E61+$C$1)&gt;BM$4,BM$4&gt;=$C$1),'General Inputs'!O$11*$H61,IF(AND(($D61+$C$1)&gt;BM$4,BM$4&gt;=$C$1),'General Inputs'!O$11*$G61,0))</f>
        <v>0</v>
      </c>
      <c r="BN61" s="214">
        <f>IF(AND(($E61+$C$1)&gt;BN$4,BN$4&gt;=$C$1),'General Inputs'!P$11*$H61,IF(AND(($D61+$C$1)&gt;BN$4,BN$4&gt;=$C$1),'General Inputs'!P$11*$G61,0))</f>
        <v>0</v>
      </c>
      <c r="BO61" s="214">
        <f>IF(AND(($E61+$C$1)&gt;BO$4,BO$4&gt;=$C$1),'General Inputs'!Q$11*$H61,IF(AND(($D61+$C$1)&gt;BO$4,BO$4&gt;=$C$1),'General Inputs'!Q$11*$G61,0))</f>
        <v>0</v>
      </c>
      <c r="BP61" s="214">
        <f>IF(AND(($E61+$C$1)&gt;BP$4,BP$4&gt;=$C$1),'General Inputs'!R$11*$H61,IF(AND(($D61+$C$1)&gt;BP$4,BP$4&gt;=$C$1),'General Inputs'!R$11*$G61,0))</f>
        <v>0</v>
      </c>
      <c r="BQ61" s="214">
        <f>IF(AND(($E61+$C$1)&gt;BQ$4,BQ$4&gt;=$C$1),'General Inputs'!S$11*$H61,IF(AND(($D61+$C$1)&gt;BQ$4,BQ$4&gt;=$C$1),'General Inputs'!S$11*$G61,0))</f>
        <v>0</v>
      </c>
      <c r="BR61" s="214">
        <f>IF(AND(($E61+$C$1)&gt;BR$4,BR$4&gt;=$C$1),'General Inputs'!T$11*$H61,IF(AND(($D61+$C$1)&gt;BR$4,BR$4&gt;=$C$1),'General Inputs'!T$11*$G61,0))</f>
        <v>0</v>
      </c>
      <c r="BS61" s="214">
        <f>IF(AND(($E61+$C$1)&gt;BS$4,BS$4&gt;=$C$1),'General Inputs'!U$11*$H61,IF(AND(($D61+$C$1)&gt;BS$4,BS$4&gt;=$C$1),'General Inputs'!U$11*$G61,0))</f>
        <v>0</v>
      </c>
      <c r="BT61" s="214">
        <f>IF(AND(($E61+$C$1)&gt;BT$4,BT$4&gt;=$C$1),'General Inputs'!V$11*$H61,IF(AND(($D61+$C$1)&gt;BT$4,BT$4&gt;=$C$1),'General Inputs'!V$11*$G61,0))</f>
        <v>0</v>
      </c>
      <c r="BU61" s="214">
        <f>IF(AND(($E61+$C$1)&gt;BU$4,BU$4&gt;=$C$1),'General Inputs'!W$11*$H61,IF(AND(($D61+$C$1)&gt;BU$4,BU$4&gt;=$C$1),'General Inputs'!W$11*$G61,0))</f>
        <v>0</v>
      </c>
      <c r="BW61" s="214">
        <f>IF(AND(($E61+$C$1)&gt;BW$4,BW$4&gt;=$C$1),$H61,IF(AND(($D61+$C$1)&gt;BW$4,BW$4&gt;=$C$1),$G61,0))*IF($A61="Residential",'General Inputs'!D$14,'General Inputs'!D$19)</f>
        <v>0</v>
      </c>
      <c r="BX61" s="214">
        <f>IF(AND(($E61+$C$1)&gt;BX$4,BX$4&gt;=$C$1),$H61,IF(AND(($D61+$C$1)&gt;BX$4,BX$4&gt;=$C$1),$G61,0))*IF($A61="Residential",'General Inputs'!E$14,'General Inputs'!E$19)</f>
        <v>310.4680496692165</v>
      </c>
      <c r="BY61" s="214">
        <f>IF(AND(($E61+$C$1)&gt;BY$4,BY$4&gt;=$C$1),$H61,IF(AND(($D61+$C$1)&gt;BY$4,BY$4&gt;=$C$1),$G61,0))*IF($A61="Residential",'General Inputs'!F$14,'General Inputs'!F$19)</f>
        <v>315.12507041425476</v>
      </c>
      <c r="BZ61" s="214">
        <f>IF(AND(($E61+$C$1)&gt;BZ$4,BZ$4&gt;=$C$1),$H61,IF(AND(($D61+$C$1)&gt;BZ$4,BZ$4&gt;=$C$1),$G61,0))*IF($A61="Residential",'General Inputs'!G$14,'General Inputs'!G$19)</f>
        <v>319.85194647046859</v>
      </c>
      <c r="CA61" s="214">
        <f>IF(AND(($E61+$C$1)&gt;CA$4,CA$4&gt;=$C$1),$H61,IF(AND(($D61+$C$1)&gt;CA$4,CA$4&gt;=$C$1),$G61,0))*IF($A61="Residential",'General Inputs'!H$14,'General Inputs'!H$19)</f>
        <v>324.6497256675255</v>
      </c>
      <c r="CB61" s="214">
        <f>IF(AND(($E61+$C$1)&gt;CB$4,CB$4&gt;=$C$1),$H61,IF(AND(($D61+$C$1)&gt;CB$4,CB$4&gt;=$C$1),$G61,0))*IF($A61="Residential",'General Inputs'!I$14,'General Inputs'!I$19)</f>
        <v>329.51947155253833</v>
      </c>
      <c r="CC61" s="214">
        <f>IF(AND(($E61+$C$1)&gt;CC$4,CC$4&gt;=$C$1),$H61,IF(AND(($D61+$C$1)&gt;CC$4,CC$4&gt;=$C$1),$G61,0))*IF($A61="Residential",'General Inputs'!J$14,'General Inputs'!J$19)</f>
        <v>334.46226362582644</v>
      </c>
      <c r="CD61" s="214">
        <f>IF(AND(($E61+$C$1)&gt;CD$4,CD$4&gt;=$C$1),$H61,IF(AND(($D61+$C$1)&gt;CD$4,CD$4&gt;=$C$1),$G61,0))*IF($A61="Residential",'General Inputs'!K$14,'General Inputs'!K$19)</f>
        <v>339.47919758021379</v>
      </c>
      <c r="CE61" s="214">
        <f>IF(AND(($E61+$C$1)&gt;CE$4,CE$4&gt;=$C$1),$H61,IF(AND(($D61+$C$1)&gt;CE$4,CE$4&gt;=$C$1),$G61,0))*IF($A61="Residential",'General Inputs'!L$14,'General Inputs'!L$19)</f>
        <v>344.57138554391696</v>
      </c>
      <c r="CF61" s="214">
        <f>IF(AND(($E61+$C$1)&gt;CF$4,CF$4&gt;=$C$1),$H61,IF(AND(($D61+$C$1)&gt;CF$4,CF$4&gt;=$C$1),$G61,0))*IF($A61="Residential",'General Inputs'!M$14,'General Inputs'!M$19)</f>
        <v>349.73995632707567</v>
      </c>
      <c r="CG61" s="214">
        <f>IF(AND(($E61+$C$1)&gt;CG$4,CG$4&gt;=$C$1),$H61,IF(AND(($D61+$C$1)&gt;CG$4,CG$4&gt;=$C$1),$G61,0))*IF($A61="Residential",'General Inputs'!N$14,'General Inputs'!N$19)</f>
        <v>354.98605567198177</v>
      </c>
      <c r="CH61" s="214">
        <f>IF(AND(($E61+$C$1)&gt;CH$4,CH$4&gt;=$C$1),$H61,IF(AND(($D61+$C$1)&gt;CH$4,CH$4&gt;=$C$1),$G61,0))*IF($A61="Residential",'General Inputs'!O$14,'General Inputs'!O$19)</f>
        <v>0</v>
      </c>
      <c r="CI61" s="214">
        <f>IF(AND(($E61+$C$1)&gt;CI$4,CI$4&gt;=$C$1),$H61,IF(AND(($D61+$C$1)&gt;CI$4,CI$4&gt;=$C$1),$G61,0))*IF($A61="Residential",'General Inputs'!P$14,'General Inputs'!P$19)</f>
        <v>0</v>
      </c>
      <c r="CJ61" s="214">
        <f>IF(AND(($E61+$C$1)&gt;CJ$4,CJ$4&gt;=$C$1),$H61,IF(AND(($D61+$C$1)&gt;CJ$4,CJ$4&gt;=$C$1),$G61,0))*IF($A61="Residential",'General Inputs'!Q$14,'General Inputs'!Q$19)</f>
        <v>0</v>
      </c>
      <c r="CK61" s="214">
        <f>IF(AND(($E61+$C$1)&gt;CK$4,CK$4&gt;=$C$1),$H61,IF(AND(($D61+$C$1)&gt;CK$4,CK$4&gt;=$C$1),$G61,0))*IF($A61="Residential",'General Inputs'!R$14,'General Inputs'!R$19)</f>
        <v>0</v>
      </c>
      <c r="CL61" s="214">
        <f>IF(AND(($E61+$C$1)&gt;CL$4,CL$4&gt;=$C$1),$H61,IF(AND(($D61+$C$1)&gt;CL$4,CL$4&gt;=$C$1),$G61,0))*IF($A61="Residential",'General Inputs'!S$14,'General Inputs'!S$19)</f>
        <v>0</v>
      </c>
      <c r="CM61" s="214">
        <f>IF(AND(($E61+$C$1)&gt;CM$4,CM$4&gt;=$C$1),$H61,IF(AND(($D61+$C$1)&gt;CM$4,CM$4&gt;=$C$1),$G61,0))*IF($A61="Residential",'General Inputs'!T$14,'General Inputs'!T$19)</f>
        <v>0</v>
      </c>
      <c r="CN61" s="214">
        <f>IF(AND(($E61+$C$1)&gt;CN$4,CN$4&gt;=$C$1),$H61,IF(AND(($D61+$C$1)&gt;CN$4,CN$4&gt;=$C$1),$G61,0))*IF($A61="Residential",'General Inputs'!U$14,'General Inputs'!U$19)</f>
        <v>0</v>
      </c>
      <c r="CO61" s="214">
        <f>IF(AND(($E61+$C$1)&gt;CO$4,CO$4&gt;=$C$1),$H61,IF(AND(($D61+$C$1)&gt;CO$4,CO$4&gt;=$C$1),$G61,0))*IF($A61="Residential",'General Inputs'!V$14,'General Inputs'!V$19)</f>
        <v>0</v>
      </c>
      <c r="CP61" s="214">
        <f>IF(AND(($E61+$C$1)&gt;CP$4,CP$4&gt;=$C$1),$H61,IF(AND(($D61+$C$1)&gt;CP$4,CP$4&gt;=$C$1),$G61,0))*IF($A61="Residential",'General Inputs'!W$14,'General Inputs'!W$19)</f>
        <v>0</v>
      </c>
      <c r="CR61" s="214">
        <f>IF(AND(($E61+$C$1)&gt;CR$4,CR$4&gt;=$C$1),$H61,IF(AND(($D61+$C$1)&gt;CR$4,CR$4&gt;=$C$1),$G61,0))*IF($A61="Residential",'General Inputs'!D$15,'General Inputs'!D$19)</f>
        <v>0</v>
      </c>
      <c r="CS61" s="214">
        <f>IF(AND(($E61+$C$1)&gt;CS$4,CS$4&gt;=$C$1),$H61,IF(AND(($D61+$C$1)&gt;CS$4,CS$4&gt;=$C$1),$G61,0))*IF($A61="Residential",'General Inputs'!E$15,'General Inputs'!E$19)</f>
        <v>310.4680496692165</v>
      </c>
      <c r="CT61" s="214">
        <f>IF(AND(($E61+$C$1)&gt;CT$4,CT$4&gt;=$C$1),$H61,IF(AND(($D61+$C$1)&gt;CT$4,CT$4&gt;=$C$1),$G61,0))*IF($A61="Residential",'General Inputs'!F$15,'General Inputs'!F$19)</f>
        <v>315.12507041425476</v>
      </c>
      <c r="CU61" s="214">
        <f>IF(AND(($E61+$C$1)&gt;CU$4,CU$4&gt;=$C$1),$H61,IF(AND(($D61+$C$1)&gt;CU$4,CU$4&gt;=$C$1),$G61,0))*IF($A61="Residential",'General Inputs'!G$15,'General Inputs'!G$19)</f>
        <v>319.85194647046859</v>
      </c>
      <c r="CV61" s="214">
        <f>IF(AND(($E61+$C$1)&gt;CV$4,CV$4&gt;=$C$1),$H61,IF(AND(($D61+$C$1)&gt;CV$4,CV$4&gt;=$C$1),$G61,0))*IF($A61="Residential",'General Inputs'!H$15,'General Inputs'!H$19)</f>
        <v>324.6497256675255</v>
      </c>
      <c r="CW61" s="214">
        <f>IF(AND(($E61+$C$1)&gt;CW$4,CW$4&gt;=$C$1),$H61,IF(AND(($D61+$C$1)&gt;CW$4,CW$4&gt;=$C$1),$G61,0))*IF($A61="Residential",'General Inputs'!I$15,'General Inputs'!I$19)</f>
        <v>329.51947155253833</v>
      </c>
      <c r="CX61" s="214">
        <f>IF(AND(($E61+$C$1)&gt;CX$4,CX$4&gt;=$C$1),$H61,IF(AND(($D61+$C$1)&gt;CX$4,CX$4&gt;=$C$1),$G61,0))*IF($A61="Residential",'General Inputs'!J$15,'General Inputs'!J$19)</f>
        <v>334.46226362582644</v>
      </c>
      <c r="CY61" s="214">
        <f>IF(AND(($E61+$C$1)&gt;CY$4,CY$4&gt;=$C$1),$H61,IF(AND(($D61+$C$1)&gt;CY$4,CY$4&gt;=$C$1),$G61,0))*IF($A61="Residential",'General Inputs'!K$15,'General Inputs'!K$19)</f>
        <v>339.47919758021379</v>
      </c>
      <c r="CZ61" s="214">
        <f>IF(AND(($E61+$C$1)&gt;CZ$4,CZ$4&gt;=$C$1),$H61,IF(AND(($D61+$C$1)&gt;CZ$4,CZ$4&gt;=$C$1),$G61,0))*IF($A61="Residential",'General Inputs'!L$15,'General Inputs'!L$19)</f>
        <v>344.57138554391696</v>
      </c>
      <c r="DA61" s="214">
        <f>IF(AND(($E61+$C$1)&gt;DA$4,DA$4&gt;=$C$1),$H61,IF(AND(($D61+$C$1)&gt;DA$4,DA$4&gt;=$C$1),$G61,0))*IF($A61="Residential",'General Inputs'!M$15,'General Inputs'!M$19)</f>
        <v>349.73995632707567</v>
      </c>
      <c r="DB61" s="214">
        <f>IF(AND(($E61+$C$1)&gt;DB$4,DB$4&gt;=$C$1),$H61,IF(AND(($D61+$C$1)&gt;DB$4,DB$4&gt;=$C$1),$G61,0))*IF($A61="Residential",'General Inputs'!N$15,'General Inputs'!N$19)</f>
        <v>354.98605567198177</v>
      </c>
      <c r="DC61" s="214">
        <f>IF(AND(($E61+$C$1)&gt;DC$4,DC$4&gt;=$C$1),$H61,IF(AND(($D61+$C$1)&gt;DC$4,DC$4&gt;=$C$1),$G61,0))*IF($A61="Residential",'General Inputs'!O$15,'General Inputs'!O$19)</f>
        <v>0</v>
      </c>
      <c r="DD61" s="214">
        <f>IF(AND(($E61+$C$1)&gt;DD$4,DD$4&gt;=$C$1),$H61,IF(AND(($D61+$C$1)&gt;DD$4,DD$4&gt;=$C$1),$G61,0))*IF($A61="Residential",'General Inputs'!P$15,'General Inputs'!P$19)</f>
        <v>0</v>
      </c>
      <c r="DE61" s="214">
        <f>IF(AND(($E61+$C$1)&gt;DE$4,DE$4&gt;=$C$1),$H61,IF(AND(($D61+$C$1)&gt;DE$4,DE$4&gt;=$C$1),$G61,0))*IF($A61="Residential",'General Inputs'!Q$15,'General Inputs'!Q$19)</f>
        <v>0</v>
      </c>
      <c r="DF61" s="214">
        <f>IF(AND(($E61+$C$1)&gt;DF$4,DF$4&gt;=$C$1),$H61,IF(AND(($D61+$C$1)&gt;DF$4,DF$4&gt;=$C$1),$G61,0))*IF($A61="Residential",'General Inputs'!R$15,'General Inputs'!R$19)</f>
        <v>0</v>
      </c>
      <c r="DG61" s="214">
        <f>IF(AND(($E61+$C$1)&gt;DG$4,DG$4&gt;=$C$1),$H61,IF(AND(($D61+$C$1)&gt;DG$4,DG$4&gt;=$C$1),$G61,0))*IF($A61="Residential",'General Inputs'!S$15,'General Inputs'!S$19)</f>
        <v>0</v>
      </c>
      <c r="DH61" s="214">
        <f>IF(AND(($E61+$C$1)&gt;DH$4,DH$4&gt;=$C$1),$H61,IF(AND(($D61+$C$1)&gt;DH$4,DH$4&gt;=$C$1),$G61,0))*IF($A61="Residential",'General Inputs'!T$15,'General Inputs'!T$19)</f>
        <v>0</v>
      </c>
      <c r="DI61" s="214">
        <f>IF(AND(($E61+$C$1)&gt;DI$4,DI$4&gt;=$C$1),$H61,IF(AND(($D61+$C$1)&gt;DI$4,DI$4&gt;=$C$1),$G61,0))*IF($A61="Residential",'General Inputs'!U$15,'General Inputs'!U$19)</f>
        <v>0</v>
      </c>
      <c r="DJ61" s="214">
        <f>IF(AND(($E61+$C$1)&gt;DJ$4,DJ$4&gt;=$C$1),$H61,IF(AND(($D61+$C$1)&gt;DJ$4,DJ$4&gt;=$C$1),$G61,0))*IF($A61="Residential",'General Inputs'!V$15,'General Inputs'!V$19)</f>
        <v>0</v>
      </c>
      <c r="DK61" s="214">
        <f>IF(AND(($E61+$C$1)&gt;DK$4,DK$4&gt;=$C$1),$H61,IF(AND(($D61+$C$1)&gt;DK$4,DK$4&gt;=$C$1),$G61,0))*IF($A61="Residential",'General Inputs'!W$15,'General Inputs'!W$19)</f>
        <v>0</v>
      </c>
      <c r="DM61" s="214">
        <f t="shared" si="99"/>
        <v>0</v>
      </c>
      <c r="DN61" s="214">
        <f t="shared" si="99"/>
        <v>160</v>
      </c>
      <c r="DO61" s="214">
        <f t="shared" si="99"/>
        <v>0</v>
      </c>
      <c r="DP61" s="214">
        <f t="shared" si="99"/>
        <v>0</v>
      </c>
      <c r="DQ61" s="214">
        <f t="shared" si="99"/>
        <v>0</v>
      </c>
      <c r="DR61" s="214">
        <f t="shared" si="99"/>
        <v>0</v>
      </c>
      <c r="DS61" s="214">
        <f t="shared" si="99"/>
        <v>0</v>
      </c>
      <c r="DT61" s="214">
        <f t="shared" si="99"/>
        <v>0</v>
      </c>
      <c r="DU61" s="214">
        <f t="shared" si="99"/>
        <v>0</v>
      </c>
      <c r="DV61" s="214">
        <f t="shared" si="99"/>
        <v>0</v>
      </c>
      <c r="DW61" s="214">
        <f t="shared" si="99"/>
        <v>0</v>
      </c>
      <c r="DZ61" s="650"/>
      <c r="FI61" s="195"/>
      <c r="FJ61" s="195"/>
      <c r="FK61" s="195"/>
      <c r="FL61" s="195"/>
      <c r="FM61" s="195"/>
      <c r="FN61" s="195"/>
      <c r="FO61" s="195"/>
    </row>
    <row r="62" spans="1:171">
      <c r="A62" s="342" t="s">
        <v>112</v>
      </c>
      <c r="B62" s="427" t="str">
        <f>'Portfolio Inputs'!A61</f>
        <v>Pin-Based CFL 19W or 32W</v>
      </c>
      <c r="C62" s="217">
        <f>IF($C$1=2014,'Portfolio Inputs'!$C61,IF($C$1=2015,'Portfolio Inputs'!$D61,'Portfolio Inputs'!$E61))</f>
        <v>8</v>
      </c>
      <c r="D62" s="504">
        <f>VLOOKUP(B62,Sources!$B$4:$J$104,2,FALSE)</f>
        <v>10</v>
      </c>
      <c r="E62" s="504">
        <f>VLOOKUP(B62,Sources!$B$4:$J$104,3,FALSE)</f>
        <v>0</v>
      </c>
      <c r="G62" s="504">
        <f>IF($C$1=2014,'Portfolio Inputs'!$G61,IF($C$1=2015,'Portfolio Inputs'!$H61,'Portfolio Inputs'!$I61))*EnergyLineLoss</f>
        <v>5112.3963000000003</v>
      </c>
      <c r="H62" s="504"/>
      <c r="I62" s="595">
        <f>IF($C$1=2014,'Portfolio Inputs'!$K61,IF($C$1=2015,'Portfolio Inputs'!$L61,'Portfolio Inputs'!$M61))*PeakLineLoss</f>
        <v>0.79052688000000004</v>
      </c>
      <c r="J62" s="510"/>
      <c r="L62" s="606">
        <f>IF($C$1=2014,'Portfolio Inputs'!$O61,IF($C$1=2015,'Portfolio Inputs'!$P61,'Portfolio Inputs'!$Q61))</f>
        <v>40</v>
      </c>
      <c r="M62" s="518">
        <f>VLOOKUP($B62,Sources!$B$4:$K$104,10,FALSE)</f>
        <v>0</v>
      </c>
      <c r="N62" s="419">
        <f>IF($C$1=2014,'Portfolio Inputs'!$W61,IF($C$1=2015,'Portfolio Inputs'!$X61,'Portfolio Inputs'!$Y61))</f>
        <v>144</v>
      </c>
      <c r="O62" s="419">
        <f>IF($C$1=2014,'Portfolio Inputs'!$AA61,IF($C$1=2015,'Portfolio Inputs'!$AB61,'Portfolio Inputs'!$AC61))</f>
        <v>0</v>
      </c>
      <c r="Q62" s="438">
        <f t="shared" si="67"/>
        <v>5.0904320433921546</v>
      </c>
      <c r="R62" s="439">
        <f t="shared" si="68"/>
        <v>11.312071207538121</v>
      </c>
      <c r="S62" s="439">
        <f t="shared" si="69"/>
        <v>6.3716086524607141</v>
      </c>
      <c r="T62" s="439">
        <f t="shared" si="70"/>
        <v>13.073082599355558</v>
      </c>
      <c r="U62" s="439">
        <f t="shared" si="98"/>
        <v>13.073082599355558</v>
      </c>
      <c r="V62" s="439">
        <f t="shared" si="72"/>
        <v>0.38938268803129022</v>
      </c>
      <c r="W62" s="439">
        <f t="shared" si="73"/>
        <v>0.38938268803129022</v>
      </c>
      <c r="Y62" s="215">
        <f t="shared" si="4"/>
        <v>1496.6356614162894</v>
      </c>
      <c r="Z62" s="215">
        <f t="shared" si="5"/>
        <v>376.67816510652244</v>
      </c>
      <c r="AA62" s="215">
        <f t="shared" si="6"/>
        <v>3711.306901684839</v>
      </c>
      <c r="AB62" s="215">
        <f t="shared" si="7"/>
        <v>3711.306901684839</v>
      </c>
      <c r="AC62" s="216">
        <f t="shared" si="20"/>
        <v>0</v>
      </c>
      <c r="AD62" s="216">
        <f t="shared" si="21"/>
        <v>132.3042998897464</v>
      </c>
      <c r="AE62" s="215">
        <f t="shared" si="8"/>
        <v>294.00955531054757</v>
      </c>
      <c r="AG62" s="214">
        <f>IF(AND(($E62+$C$1)&gt;AG$4,AG$4&gt;=$C$1),'General Inputs'!D$9*$H62,IF(AND(($D62+$C$1)&gt;AG$4,AG$4&gt;=$C$1),'General Inputs'!D$9*$G62,0))+IF(AND(($E62+$C$1)&gt;AG$4,AG$4&gt;=$C$1),'General Inputs'!D$10*$J62,IF(AND(($D62+$C$1)&gt;AG$4,AG$4&gt;=$C$1),'General Inputs'!D$10*$I62,0))</f>
        <v>0</v>
      </c>
      <c r="AH62" s="214">
        <f>IF(AND(($E62+$C$1)&gt;AH$4,AH$4&gt;=$C$1),'General Inputs'!E$9*$H62,IF(AND(($D62+$C$1)&gt;AH$4,AH$4&gt;=$C$1),'General Inputs'!E$9*$G62,0))+IF(AND(($E62+$C$1)&gt;AH$4,AH$4&gt;=$C$1),'General Inputs'!E$10*$J62,IF(AND(($D62+$C$1)&gt;AH$4,AH$4&gt;=$C$1),'General Inputs'!E$10*$I62,0))</f>
        <v>218.60408296064455</v>
      </c>
      <c r="AI62" s="214">
        <f>IF(AND(($E62+$C$1)&gt;AI$4,AI$4&gt;=$C$1),'General Inputs'!F$9*$H62,IF(AND(($D62+$C$1)&gt;AI$4,AI$4&gt;=$C$1),'General Inputs'!F$9*$G62,0))+IF(AND(($E62+$C$1)&gt;AI$4,AI$4&gt;=$C$1),'General Inputs'!F$10*$J62,IF(AND(($D62+$C$1)&gt;AI$4,AI$4&gt;=$C$1),'General Inputs'!F$10*$I62,0))</f>
        <v>221.88314420505418</v>
      </c>
      <c r="AJ62" s="214">
        <f>IF(AND(($E62+$C$1)&gt;AJ$4,AJ$4&gt;=$C$1),'General Inputs'!G$9*$H62,IF(AND(($D62+$C$1)&gt;AJ$4,AJ$4&gt;=$C$1),'General Inputs'!G$9*$G62,0))+IF(AND(($E62+$C$1)&gt;AJ$4,AJ$4&gt;=$C$1),'General Inputs'!G$10*$J62,IF(AND(($D62+$C$1)&gt;AJ$4,AJ$4&gt;=$C$1),'General Inputs'!G$10*$I62,0))</f>
        <v>225.21139136812997</v>
      </c>
      <c r="AK62" s="214">
        <f>IF(AND(($E62+$C$1)&gt;AK$4,AK$4&gt;=$C$1),'General Inputs'!H$9*$H62,IF(AND(($D62+$C$1)&gt;AK$4,AK$4&gt;=$C$1),'General Inputs'!H$9*$G62,0))+IF(AND(($E62+$C$1)&gt;AK$4,AK$4&gt;=$C$1),'General Inputs'!H$10*$J62,IF(AND(($D62+$C$1)&gt;AK$4,AK$4&gt;=$C$1),'General Inputs'!H$10*$I62,0))</f>
        <v>228.58956223865192</v>
      </c>
      <c r="AL62" s="214">
        <f>IF(AND(($E62+$C$1)&gt;AL$4,AL$4&gt;=$C$1),'General Inputs'!I$9*$H62,IF(AND(($D62+$C$1)&gt;AL$4,AL$4&gt;=$C$1),'General Inputs'!I$9*$G62,0))+IF(AND(($E62+$C$1)&gt;AL$4,AL$4&gt;=$C$1),'General Inputs'!I$10*$J62,IF(AND(($D62+$C$1)&gt;AL$4,AL$4&gt;=$C$1),'General Inputs'!I$10*$I62,0))</f>
        <v>232.01840567223164</v>
      </c>
      <c r="AM62" s="214">
        <f>IF(AND(($E62+$C$1)&gt;AM$4,AM$4&gt;=$C$1),'General Inputs'!J$9*$H62,IF(AND(($D62+$C$1)&gt;AM$4,AM$4&gt;=$C$1),'General Inputs'!J$9*$G62,0))+IF(AND(($E62+$C$1)&gt;AM$4,AM$4&gt;=$C$1),'General Inputs'!J$10*$J62,IF(AND(($D62+$C$1)&gt;AM$4,AM$4&gt;=$C$1),'General Inputs'!J$10*$I62,0))</f>
        <v>235.49868175731507</v>
      </c>
      <c r="AN62" s="214">
        <f>IF(AND(($E62+$C$1)&gt;AN$4,AN$4&gt;=$C$1),'General Inputs'!K$9*$H62,IF(AND(($D62+$C$1)&gt;AN$4,AN$4&gt;=$C$1),'General Inputs'!K$9*$G62,0))+IF(AND(($E62+$C$1)&gt;AN$4,AN$4&gt;=$C$1),'General Inputs'!K$10*$J62,IF(AND(($D62+$C$1)&gt;AN$4,AN$4&gt;=$C$1),'General Inputs'!K$10*$I62,0))</f>
        <v>239.03116198367476</v>
      </c>
      <c r="AO62" s="214">
        <f>IF(AND(($E62+$C$1)&gt;AO$4,AO$4&gt;=$C$1),'General Inputs'!L$9*$H62,IF(AND(($D62+$C$1)&gt;AO$4,AO$4&gt;=$C$1),'General Inputs'!L$9*$G62,0))+IF(AND(($E62+$C$1)&gt;AO$4,AO$4&gt;=$C$1),'General Inputs'!L$10*$J62,IF(AND(($D62+$C$1)&gt;AO$4,AO$4&gt;=$C$1),'General Inputs'!L$10*$I62,0))</f>
        <v>242.61662941342988</v>
      </c>
      <c r="AP62" s="214">
        <f>IF(AND(($E62+$C$1)&gt;AP$4,AP$4&gt;=$C$1),'General Inputs'!M$9*$H62,IF(AND(($D62+$C$1)&gt;AP$4,AP$4&gt;=$C$1),'General Inputs'!M$9*$G62,0))+IF(AND(($E62+$C$1)&gt;AP$4,AP$4&gt;=$C$1),'General Inputs'!M$10*$J62,IF(AND(($D62+$C$1)&gt;AP$4,AP$4&gt;=$C$1),'General Inputs'!M$10*$I62,0))</f>
        <v>246.25587885463131</v>
      </c>
      <c r="AQ62" s="214">
        <f>IF(AND(($E62+$C$1)&gt;AQ$4,AQ$4&gt;=$C$1),'General Inputs'!N$9*$H62,IF(AND(($D62+$C$1)&gt;AQ$4,AQ$4&gt;=$C$1),'General Inputs'!N$9*$G62,0))+IF(AND(($E62+$C$1)&gt;AQ$4,AQ$4&gt;=$C$1),'General Inputs'!N$10*$J62,IF(AND(($D62+$C$1)&gt;AQ$4,AQ$4&gt;=$C$1),'General Inputs'!N$10*$I62,0))</f>
        <v>249.94971703745074</v>
      </c>
      <c r="AR62" s="214">
        <f>IF(AND(($E62+$C$1)&gt;AR$4,AR$4&gt;=$C$1),'General Inputs'!O$9*$H62,IF(AND(($D62+$C$1)&gt;AR$4,AR$4&gt;=$C$1),'General Inputs'!O$9*$G62,0))+IF(AND(($E62+$C$1)&gt;AR$4,AR$4&gt;=$C$1),'General Inputs'!O$10*$J62,IF(AND(($D62+$C$1)&gt;AR$4,AR$4&gt;=$C$1),'General Inputs'!O$10*$I62,0))</f>
        <v>0</v>
      </c>
      <c r="AS62" s="214">
        <f>IF(AND(($E62+$C$1)&gt;AS$4,AS$4&gt;=$C$1),'General Inputs'!P$9*$H62,IF(AND(($D62+$C$1)&gt;AS$4,AS$4&gt;=$C$1),'General Inputs'!P$9*$G62,0))+IF(AND(($E62+$C$1)&gt;AS$4,AS$4&gt;=$C$1),'General Inputs'!P$10*$J62,IF(AND(($D62+$C$1)&gt;AS$4,AS$4&gt;=$C$1),'General Inputs'!P$10*$I62,0))</f>
        <v>0</v>
      </c>
      <c r="AT62" s="214">
        <f>IF(AND(($E62+$C$1)&gt;AT$4,AT$4&gt;=$C$1),'General Inputs'!Q$9*$H62,IF(AND(($D62+$C$1)&gt;AT$4,AT$4&gt;=$C$1),'General Inputs'!Q$9*$G62,0))+IF(AND(($E62+$C$1)&gt;AT$4,AT$4&gt;=$C$1),'General Inputs'!Q$10*$J62,IF(AND(($D62+$C$1)&gt;AT$4,AT$4&gt;=$C$1),'General Inputs'!Q$10*$I62,0))</f>
        <v>0</v>
      </c>
      <c r="AU62" s="214">
        <f>IF(AND(($E62+$C$1)&gt;AU$4,AU$4&gt;=$C$1),'General Inputs'!R$9*$H62,IF(AND(($D62+$C$1)&gt;AU$4,AU$4&gt;=$C$1),'General Inputs'!R$9*$G62,0))+IF(AND(($E62+$C$1)&gt;AU$4,AU$4&gt;=$C$1),'General Inputs'!R$10*$J62,IF(AND(($D62+$C$1)&gt;AU$4,AU$4&gt;=$C$1),'General Inputs'!R$10*$I62,0))</f>
        <v>0</v>
      </c>
      <c r="AV62" s="214">
        <f>IF(AND(($E62+$C$1)&gt;AV$4,AV$4&gt;=$C$1),'General Inputs'!S$9*$H62,IF(AND(($D62+$C$1)&gt;AV$4,AV$4&gt;=$C$1),'General Inputs'!S$9*$G62,0))+IF(AND(($E62+$C$1)&gt;AV$4,AV$4&gt;=$C$1),'General Inputs'!S$10*$J62,IF(AND(($D62+$C$1)&gt;AV$4,AV$4&gt;=$C$1),'General Inputs'!S$10*$I62,0))</f>
        <v>0</v>
      </c>
      <c r="AW62" s="214">
        <f>IF(AND(($E62+$C$1)&gt;AW$4,AW$4&gt;=$C$1),'General Inputs'!T$9*$H62,IF(AND(($D62+$C$1)&gt;AW$4,AW$4&gt;=$C$1),'General Inputs'!T$9*$G62,0))+IF(AND(($E62+$C$1)&gt;AW$4,AW$4&gt;=$C$1),'General Inputs'!T$10*$J62,IF(AND(($D62+$C$1)&gt;AW$4,AW$4&gt;=$C$1),'General Inputs'!T$10*$I62,0))</f>
        <v>0</v>
      </c>
      <c r="AX62" s="214">
        <f>IF(AND(($E62+$C$1)&gt;AX$4,AX$4&gt;=$C$1),'General Inputs'!U$9*$H62,IF(AND(($D62+$C$1)&gt;AX$4,AX$4&gt;=$C$1),'General Inputs'!U$9*$G62,0))+IF(AND(($E62+$C$1)&gt;AX$4,AX$4&gt;=$C$1),'General Inputs'!U$10*$J62,IF(AND(($D62+$C$1)&gt;AX$4,AX$4&gt;=$C$1),'General Inputs'!U$10*$I62,0))</f>
        <v>0</v>
      </c>
      <c r="AY62" s="214">
        <f>IF(AND(($E62+$C$1)&gt;AY$4,AY$4&gt;=$C$1),'General Inputs'!V$9*$H62,IF(AND(($D62+$C$1)&gt;AY$4,AY$4&gt;=$C$1),'General Inputs'!V$9*$G62,0))+IF(AND(($E62+$C$1)&gt;AY$4,AY$4&gt;=$C$1),'General Inputs'!V$10*$J62,IF(AND(($D62+$C$1)&gt;AY$4,AY$4&gt;=$C$1),'General Inputs'!V$10*$I62,0))</f>
        <v>0</v>
      </c>
      <c r="AZ62" s="214">
        <f>IF(AND(($E62+$C$1)&gt;AZ$4,AZ$4&gt;=$C$1),'General Inputs'!W$9*$H62,IF(AND(($D62+$C$1)&gt;AZ$4,AZ$4&gt;=$C$1),'General Inputs'!W$9*$G62,0))+IF(AND(($E62+$C$1)&gt;AZ$4,AZ$4&gt;=$C$1),'General Inputs'!W$10*$J62,IF(AND(($D62+$C$1)&gt;AZ$4,AZ$4&gt;=$C$1),'General Inputs'!W$10*$I62,0))</f>
        <v>0</v>
      </c>
      <c r="BB62" s="214">
        <f>IF(AND(($E62+$C$1)&gt;BB$4,BB$4&gt;=$C$1),'General Inputs'!D$11*$H62,IF(AND(($D62+$C$1)&gt;BB$4,BB$4&gt;=$C$1),'General Inputs'!D$11*$G62,0))</f>
        <v>0</v>
      </c>
      <c r="BC62" s="214">
        <f>IF(AND(($E62+$C$1)&gt;BC$4,BC$4&gt;=$C$1),'General Inputs'!E$11*$H62,IF(AND(($D62+$C$1)&gt;BC$4,BC$4&gt;=$C$1),'General Inputs'!E$11*$G62,0))</f>
        <v>58.281317820000005</v>
      </c>
      <c r="BD62" s="214">
        <f>IF(AND(($E62+$C$1)&gt;BD$4,BD$4&gt;=$C$1),'General Inputs'!F$11*$H62,IF(AND(($D62+$C$1)&gt;BD$4,BD$4&gt;=$C$1),'General Inputs'!F$11*$G62,0))</f>
        <v>58.281317820000005</v>
      </c>
      <c r="BE62" s="214">
        <f>IF(AND(($E62+$C$1)&gt;BE$4,BE$4&gt;=$C$1),'General Inputs'!G$11*$H62,IF(AND(($D62+$C$1)&gt;BE$4,BE$4&gt;=$C$1),'General Inputs'!G$11*$G62,0))</f>
        <v>58.281317820000005</v>
      </c>
      <c r="BF62" s="214">
        <f>IF(AND(($E62+$C$1)&gt;BF$4,BF$4&gt;=$C$1),'General Inputs'!H$11*$H62,IF(AND(($D62+$C$1)&gt;BF$4,BF$4&gt;=$C$1),'General Inputs'!H$11*$G62,0))</f>
        <v>58.281317820000005</v>
      </c>
      <c r="BG62" s="214">
        <f>IF(AND(($E62+$C$1)&gt;BG$4,BG$4&gt;=$C$1),'General Inputs'!I$11*$H62,IF(AND(($D62+$C$1)&gt;BG$4,BG$4&gt;=$C$1),'General Inputs'!I$11*$G62,0))</f>
        <v>58.281317820000005</v>
      </c>
      <c r="BH62" s="214">
        <f>IF(AND(($E62+$C$1)&gt;BH$4,BH$4&gt;=$C$1),'General Inputs'!J$11*$H62,IF(AND(($D62+$C$1)&gt;BH$4,BH$4&gt;=$C$1),'General Inputs'!J$11*$G62,0))</f>
        <v>58.281317820000005</v>
      </c>
      <c r="BI62" s="214">
        <f>IF(AND(($E62+$C$1)&gt;BI$4,BI$4&gt;=$C$1),'General Inputs'!K$11*$H62,IF(AND(($D62+$C$1)&gt;BI$4,BI$4&gt;=$C$1),'General Inputs'!K$11*$G62,0))</f>
        <v>58.281317820000005</v>
      </c>
      <c r="BJ62" s="214">
        <f>IF(AND(($E62+$C$1)&gt;BJ$4,BJ$4&gt;=$C$1),'General Inputs'!L$11*$H62,IF(AND(($D62+$C$1)&gt;BJ$4,BJ$4&gt;=$C$1),'General Inputs'!L$11*$G62,0))</f>
        <v>58.281317820000005</v>
      </c>
      <c r="BK62" s="214">
        <f>IF(AND(($E62+$C$1)&gt;BK$4,BK$4&gt;=$C$1),'General Inputs'!M$11*$H62,IF(AND(($D62+$C$1)&gt;BK$4,BK$4&gt;=$C$1),'General Inputs'!M$11*$G62,0))</f>
        <v>58.281317820000005</v>
      </c>
      <c r="BL62" s="214">
        <f>IF(AND(($E62+$C$1)&gt;BL$4,BL$4&gt;=$C$1),'General Inputs'!N$11*$H62,IF(AND(($D62+$C$1)&gt;BL$4,BL$4&gt;=$C$1),'General Inputs'!N$11*$G62,0))</f>
        <v>58.281317820000005</v>
      </c>
      <c r="BM62" s="214">
        <f>IF(AND(($E62+$C$1)&gt;BM$4,BM$4&gt;=$C$1),'General Inputs'!O$11*$H62,IF(AND(($D62+$C$1)&gt;BM$4,BM$4&gt;=$C$1),'General Inputs'!O$11*$G62,0))</f>
        <v>0</v>
      </c>
      <c r="BN62" s="214">
        <f>IF(AND(($E62+$C$1)&gt;BN$4,BN$4&gt;=$C$1),'General Inputs'!P$11*$H62,IF(AND(($D62+$C$1)&gt;BN$4,BN$4&gt;=$C$1),'General Inputs'!P$11*$G62,0))</f>
        <v>0</v>
      </c>
      <c r="BO62" s="214">
        <f>IF(AND(($E62+$C$1)&gt;BO$4,BO$4&gt;=$C$1),'General Inputs'!Q$11*$H62,IF(AND(($D62+$C$1)&gt;BO$4,BO$4&gt;=$C$1),'General Inputs'!Q$11*$G62,0))</f>
        <v>0</v>
      </c>
      <c r="BP62" s="214">
        <f>IF(AND(($E62+$C$1)&gt;BP$4,BP$4&gt;=$C$1),'General Inputs'!R$11*$H62,IF(AND(($D62+$C$1)&gt;BP$4,BP$4&gt;=$C$1),'General Inputs'!R$11*$G62,0))</f>
        <v>0</v>
      </c>
      <c r="BQ62" s="214">
        <f>IF(AND(($E62+$C$1)&gt;BQ$4,BQ$4&gt;=$C$1),'General Inputs'!S$11*$H62,IF(AND(($D62+$C$1)&gt;BQ$4,BQ$4&gt;=$C$1),'General Inputs'!S$11*$G62,0))</f>
        <v>0</v>
      </c>
      <c r="BR62" s="214">
        <f>IF(AND(($E62+$C$1)&gt;BR$4,BR$4&gt;=$C$1),'General Inputs'!T$11*$H62,IF(AND(($D62+$C$1)&gt;BR$4,BR$4&gt;=$C$1),'General Inputs'!T$11*$G62,0))</f>
        <v>0</v>
      </c>
      <c r="BS62" s="214">
        <f>IF(AND(($E62+$C$1)&gt;BS$4,BS$4&gt;=$C$1),'General Inputs'!U$11*$H62,IF(AND(($D62+$C$1)&gt;BS$4,BS$4&gt;=$C$1),'General Inputs'!U$11*$G62,0))</f>
        <v>0</v>
      </c>
      <c r="BT62" s="214">
        <f>IF(AND(($E62+$C$1)&gt;BT$4,BT$4&gt;=$C$1),'General Inputs'!V$11*$H62,IF(AND(($D62+$C$1)&gt;BT$4,BT$4&gt;=$C$1),'General Inputs'!V$11*$G62,0))</f>
        <v>0</v>
      </c>
      <c r="BU62" s="214">
        <f>IF(AND(($E62+$C$1)&gt;BU$4,BU$4&gt;=$C$1),'General Inputs'!W$11*$H62,IF(AND(($D62+$C$1)&gt;BU$4,BU$4&gt;=$C$1),'General Inputs'!W$11*$G62,0))</f>
        <v>0</v>
      </c>
      <c r="BW62" s="214">
        <f>IF(AND(($E62+$C$1)&gt;BW$4,BW$4&gt;=$C$1),$H62,IF(AND(($D62+$C$1)&gt;BW$4,BW$4&gt;=$C$1),$G62,0))*IF($A62="Residential",'General Inputs'!D$14,'General Inputs'!D$19)</f>
        <v>0</v>
      </c>
      <c r="BX62" s="214">
        <f>IF(AND(($E62+$C$1)&gt;BX$4,BX$4&gt;=$C$1),$H62,IF(AND(($D62+$C$1)&gt;BX$4,BX$4&gt;=$C$1),$G62,0))*IF($A62="Residential",'General Inputs'!E$14,'General Inputs'!E$19)</f>
        <v>542.0870708510131</v>
      </c>
      <c r="BY62" s="214">
        <f>IF(AND(($E62+$C$1)&gt;BY$4,BY$4&gt;=$C$1),$H62,IF(AND(($D62+$C$1)&gt;BY$4,BY$4&gt;=$C$1),$G62,0))*IF($A62="Residential",'General Inputs'!F$14,'General Inputs'!F$19)</f>
        <v>550.21837691377834</v>
      </c>
      <c r="BZ62" s="214">
        <f>IF(AND(($E62+$C$1)&gt;BZ$4,BZ$4&gt;=$C$1),$H62,IF(AND(($D62+$C$1)&gt;BZ$4,BZ$4&gt;=$C$1),$G62,0))*IF($A62="Residential",'General Inputs'!G$14,'General Inputs'!G$19)</f>
        <v>558.47165256748497</v>
      </c>
      <c r="CA62" s="214">
        <f>IF(AND(($E62+$C$1)&gt;CA$4,CA$4&gt;=$C$1),$H62,IF(AND(($D62+$C$1)&gt;CA$4,CA$4&gt;=$C$1),$G62,0))*IF($A62="Residential",'General Inputs'!H$14,'General Inputs'!H$19)</f>
        <v>566.84872735599708</v>
      </c>
      <c r="CB62" s="214">
        <f>IF(AND(($E62+$C$1)&gt;CB$4,CB$4&gt;=$C$1),$H62,IF(AND(($D62+$C$1)&gt;CB$4,CB$4&gt;=$C$1),$G62,0))*IF($A62="Residential",'General Inputs'!I$14,'General Inputs'!I$19)</f>
        <v>575.35145826633698</v>
      </c>
      <c r="CC62" s="214">
        <f>IF(AND(($E62+$C$1)&gt;CC$4,CC$4&gt;=$C$1),$H62,IF(AND(($D62+$C$1)&gt;CC$4,CC$4&gt;=$C$1),$G62,0))*IF($A62="Residential",'General Inputs'!J$14,'General Inputs'!J$19)</f>
        <v>583.98173014033205</v>
      </c>
      <c r="CD62" s="214">
        <f>IF(AND(($E62+$C$1)&gt;CD$4,CD$4&gt;=$C$1),$H62,IF(AND(($D62+$C$1)&gt;CD$4,CD$4&gt;=$C$1),$G62,0))*IF($A62="Residential",'General Inputs'!K$14,'General Inputs'!K$19)</f>
        <v>592.74145609243692</v>
      </c>
      <c r="CE62" s="214">
        <f>IF(AND(($E62+$C$1)&gt;CE$4,CE$4&gt;=$C$1),$H62,IF(AND(($D62+$C$1)&gt;CE$4,CE$4&gt;=$C$1),$G62,0))*IF($A62="Residential",'General Inputs'!L$14,'General Inputs'!L$19)</f>
        <v>601.63257793382343</v>
      </c>
      <c r="CF62" s="214">
        <f>IF(AND(($E62+$C$1)&gt;CF$4,CF$4&gt;=$C$1),$H62,IF(AND(($D62+$C$1)&gt;CF$4,CF$4&gt;=$C$1),$G62,0))*IF($A62="Residential",'General Inputs'!M$14,'General Inputs'!M$19)</f>
        <v>610.6570666028307</v>
      </c>
      <c r="CG62" s="214">
        <f>IF(AND(($E62+$C$1)&gt;CG$4,CG$4&gt;=$C$1),$H62,IF(AND(($D62+$C$1)&gt;CG$4,CG$4&gt;=$C$1),$G62,0))*IF($A62="Residential",'General Inputs'!N$14,'General Inputs'!N$19)</f>
        <v>619.8169226018731</v>
      </c>
      <c r="CH62" s="214">
        <f>IF(AND(($E62+$C$1)&gt;CH$4,CH$4&gt;=$C$1),$H62,IF(AND(($D62+$C$1)&gt;CH$4,CH$4&gt;=$C$1),$G62,0))*IF($A62="Residential",'General Inputs'!O$14,'General Inputs'!O$19)</f>
        <v>0</v>
      </c>
      <c r="CI62" s="214">
        <f>IF(AND(($E62+$C$1)&gt;CI$4,CI$4&gt;=$C$1),$H62,IF(AND(($D62+$C$1)&gt;CI$4,CI$4&gt;=$C$1),$G62,0))*IF($A62="Residential",'General Inputs'!P$14,'General Inputs'!P$19)</f>
        <v>0</v>
      </c>
      <c r="CJ62" s="214">
        <f>IF(AND(($E62+$C$1)&gt;CJ$4,CJ$4&gt;=$C$1),$H62,IF(AND(($D62+$C$1)&gt;CJ$4,CJ$4&gt;=$C$1),$G62,0))*IF($A62="Residential",'General Inputs'!Q$14,'General Inputs'!Q$19)</f>
        <v>0</v>
      </c>
      <c r="CK62" s="214">
        <f>IF(AND(($E62+$C$1)&gt;CK$4,CK$4&gt;=$C$1),$H62,IF(AND(($D62+$C$1)&gt;CK$4,CK$4&gt;=$C$1),$G62,0))*IF($A62="Residential",'General Inputs'!R$14,'General Inputs'!R$19)</f>
        <v>0</v>
      </c>
      <c r="CL62" s="214">
        <f>IF(AND(($E62+$C$1)&gt;CL$4,CL$4&gt;=$C$1),$H62,IF(AND(($D62+$C$1)&gt;CL$4,CL$4&gt;=$C$1),$G62,0))*IF($A62="Residential",'General Inputs'!S$14,'General Inputs'!S$19)</f>
        <v>0</v>
      </c>
      <c r="CM62" s="214">
        <f>IF(AND(($E62+$C$1)&gt;CM$4,CM$4&gt;=$C$1),$H62,IF(AND(($D62+$C$1)&gt;CM$4,CM$4&gt;=$C$1),$G62,0))*IF($A62="Residential",'General Inputs'!T$14,'General Inputs'!T$19)</f>
        <v>0</v>
      </c>
      <c r="CN62" s="214">
        <f>IF(AND(($E62+$C$1)&gt;CN$4,CN$4&gt;=$C$1),$H62,IF(AND(($D62+$C$1)&gt;CN$4,CN$4&gt;=$C$1),$G62,0))*IF($A62="Residential",'General Inputs'!U$14,'General Inputs'!U$19)</f>
        <v>0</v>
      </c>
      <c r="CO62" s="214">
        <f>IF(AND(($E62+$C$1)&gt;CO$4,CO$4&gt;=$C$1),$H62,IF(AND(($D62+$C$1)&gt;CO$4,CO$4&gt;=$C$1),$G62,0))*IF($A62="Residential",'General Inputs'!V$14,'General Inputs'!V$19)</f>
        <v>0</v>
      </c>
      <c r="CP62" s="214">
        <f>IF(AND(($E62+$C$1)&gt;CP$4,CP$4&gt;=$C$1),$H62,IF(AND(($D62+$C$1)&gt;CP$4,CP$4&gt;=$C$1),$G62,0))*IF($A62="Residential",'General Inputs'!W$14,'General Inputs'!W$19)</f>
        <v>0</v>
      </c>
      <c r="CR62" s="214">
        <f>IF(AND(($E62+$C$1)&gt;CR$4,CR$4&gt;=$C$1),$H62,IF(AND(($D62+$C$1)&gt;CR$4,CR$4&gt;=$C$1),$G62,0))*IF($A62="Residential",'General Inputs'!D$15,'General Inputs'!D$19)</f>
        <v>0</v>
      </c>
      <c r="CS62" s="214">
        <f>IF(AND(($E62+$C$1)&gt;CS$4,CS$4&gt;=$C$1),$H62,IF(AND(($D62+$C$1)&gt;CS$4,CS$4&gt;=$C$1),$G62,0))*IF($A62="Residential",'General Inputs'!E$15,'General Inputs'!E$19)</f>
        <v>542.0870708510131</v>
      </c>
      <c r="CT62" s="214">
        <f>IF(AND(($E62+$C$1)&gt;CT$4,CT$4&gt;=$C$1),$H62,IF(AND(($D62+$C$1)&gt;CT$4,CT$4&gt;=$C$1),$G62,0))*IF($A62="Residential",'General Inputs'!F$15,'General Inputs'!F$19)</f>
        <v>550.21837691377834</v>
      </c>
      <c r="CU62" s="214">
        <f>IF(AND(($E62+$C$1)&gt;CU$4,CU$4&gt;=$C$1),$H62,IF(AND(($D62+$C$1)&gt;CU$4,CU$4&gt;=$C$1),$G62,0))*IF($A62="Residential",'General Inputs'!G$15,'General Inputs'!G$19)</f>
        <v>558.47165256748497</v>
      </c>
      <c r="CV62" s="214">
        <f>IF(AND(($E62+$C$1)&gt;CV$4,CV$4&gt;=$C$1),$H62,IF(AND(($D62+$C$1)&gt;CV$4,CV$4&gt;=$C$1),$G62,0))*IF($A62="Residential",'General Inputs'!H$15,'General Inputs'!H$19)</f>
        <v>566.84872735599708</v>
      </c>
      <c r="CW62" s="214">
        <f>IF(AND(($E62+$C$1)&gt;CW$4,CW$4&gt;=$C$1),$H62,IF(AND(($D62+$C$1)&gt;CW$4,CW$4&gt;=$C$1),$G62,0))*IF($A62="Residential",'General Inputs'!I$15,'General Inputs'!I$19)</f>
        <v>575.35145826633698</v>
      </c>
      <c r="CX62" s="214">
        <f>IF(AND(($E62+$C$1)&gt;CX$4,CX$4&gt;=$C$1),$H62,IF(AND(($D62+$C$1)&gt;CX$4,CX$4&gt;=$C$1),$G62,0))*IF($A62="Residential",'General Inputs'!J$15,'General Inputs'!J$19)</f>
        <v>583.98173014033205</v>
      </c>
      <c r="CY62" s="214">
        <f>IF(AND(($E62+$C$1)&gt;CY$4,CY$4&gt;=$C$1),$H62,IF(AND(($D62+$C$1)&gt;CY$4,CY$4&gt;=$C$1),$G62,0))*IF($A62="Residential",'General Inputs'!K$15,'General Inputs'!K$19)</f>
        <v>592.74145609243692</v>
      </c>
      <c r="CZ62" s="214">
        <f>IF(AND(($E62+$C$1)&gt;CZ$4,CZ$4&gt;=$C$1),$H62,IF(AND(($D62+$C$1)&gt;CZ$4,CZ$4&gt;=$C$1),$G62,0))*IF($A62="Residential",'General Inputs'!L$15,'General Inputs'!L$19)</f>
        <v>601.63257793382343</v>
      </c>
      <c r="DA62" s="214">
        <f>IF(AND(($E62+$C$1)&gt;DA$4,DA$4&gt;=$C$1),$H62,IF(AND(($D62+$C$1)&gt;DA$4,DA$4&gt;=$C$1),$G62,0))*IF($A62="Residential",'General Inputs'!M$15,'General Inputs'!M$19)</f>
        <v>610.6570666028307</v>
      </c>
      <c r="DB62" s="214">
        <f>IF(AND(($E62+$C$1)&gt;DB$4,DB$4&gt;=$C$1),$H62,IF(AND(($D62+$C$1)&gt;DB$4,DB$4&gt;=$C$1),$G62,0))*IF($A62="Residential",'General Inputs'!N$15,'General Inputs'!N$19)</f>
        <v>619.8169226018731</v>
      </c>
      <c r="DC62" s="214">
        <f>IF(AND(($E62+$C$1)&gt;DC$4,DC$4&gt;=$C$1),$H62,IF(AND(($D62+$C$1)&gt;DC$4,DC$4&gt;=$C$1),$G62,0))*IF($A62="Residential",'General Inputs'!O$15,'General Inputs'!O$19)</f>
        <v>0</v>
      </c>
      <c r="DD62" s="214">
        <f>IF(AND(($E62+$C$1)&gt;DD$4,DD$4&gt;=$C$1),$H62,IF(AND(($D62+$C$1)&gt;DD$4,DD$4&gt;=$C$1),$G62,0))*IF($A62="Residential",'General Inputs'!P$15,'General Inputs'!P$19)</f>
        <v>0</v>
      </c>
      <c r="DE62" s="214">
        <f>IF(AND(($E62+$C$1)&gt;DE$4,DE$4&gt;=$C$1),$H62,IF(AND(($D62+$C$1)&gt;DE$4,DE$4&gt;=$C$1),$G62,0))*IF($A62="Residential",'General Inputs'!Q$15,'General Inputs'!Q$19)</f>
        <v>0</v>
      </c>
      <c r="DF62" s="214">
        <f>IF(AND(($E62+$C$1)&gt;DF$4,DF$4&gt;=$C$1),$H62,IF(AND(($D62+$C$1)&gt;DF$4,DF$4&gt;=$C$1),$G62,0))*IF($A62="Residential",'General Inputs'!R$15,'General Inputs'!R$19)</f>
        <v>0</v>
      </c>
      <c r="DG62" s="214">
        <f>IF(AND(($E62+$C$1)&gt;DG$4,DG$4&gt;=$C$1),$H62,IF(AND(($D62+$C$1)&gt;DG$4,DG$4&gt;=$C$1),$G62,0))*IF($A62="Residential",'General Inputs'!S$15,'General Inputs'!S$19)</f>
        <v>0</v>
      </c>
      <c r="DH62" s="214">
        <f>IF(AND(($E62+$C$1)&gt;DH$4,DH$4&gt;=$C$1),$H62,IF(AND(($D62+$C$1)&gt;DH$4,DH$4&gt;=$C$1),$G62,0))*IF($A62="Residential",'General Inputs'!T$15,'General Inputs'!T$19)</f>
        <v>0</v>
      </c>
      <c r="DI62" s="214">
        <f>IF(AND(($E62+$C$1)&gt;DI$4,DI$4&gt;=$C$1),$H62,IF(AND(($D62+$C$1)&gt;DI$4,DI$4&gt;=$C$1),$G62,0))*IF($A62="Residential",'General Inputs'!U$15,'General Inputs'!U$19)</f>
        <v>0</v>
      </c>
      <c r="DJ62" s="214">
        <f>IF(AND(($E62+$C$1)&gt;DJ$4,DJ$4&gt;=$C$1),$H62,IF(AND(($D62+$C$1)&gt;DJ$4,DJ$4&gt;=$C$1),$G62,0))*IF($A62="Residential",'General Inputs'!V$15,'General Inputs'!V$19)</f>
        <v>0</v>
      </c>
      <c r="DK62" s="214">
        <f>IF(AND(($E62+$C$1)&gt;DK$4,DK$4&gt;=$C$1),$H62,IF(AND(($D62+$C$1)&gt;DK$4,DK$4&gt;=$C$1),$G62,0))*IF($A62="Residential",'General Inputs'!W$15,'General Inputs'!W$19)</f>
        <v>0</v>
      </c>
      <c r="DM62" s="214">
        <f t="shared" si="99"/>
        <v>0</v>
      </c>
      <c r="DN62" s="214">
        <f t="shared" si="99"/>
        <v>320</v>
      </c>
      <c r="DO62" s="214">
        <f t="shared" si="99"/>
        <v>0</v>
      </c>
      <c r="DP62" s="214">
        <f t="shared" si="99"/>
        <v>0</v>
      </c>
      <c r="DQ62" s="214">
        <f t="shared" si="99"/>
        <v>0</v>
      </c>
      <c r="DR62" s="214">
        <f t="shared" si="99"/>
        <v>0</v>
      </c>
      <c r="DS62" s="214">
        <f t="shared" si="99"/>
        <v>0</v>
      </c>
      <c r="DT62" s="214">
        <f t="shared" si="99"/>
        <v>0</v>
      </c>
      <c r="DU62" s="214">
        <f t="shared" si="99"/>
        <v>0</v>
      </c>
      <c r="DV62" s="214">
        <f t="shared" si="99"/>
        <v>0</v>
      </c>
      <c r="DW62" s="214">
        <f t="shared" si="99"/>
        <v>0</v>
      </c>
      <c r="DZ62" s="650"/>
      <c r="FI62" s="195"/>
      <c r="FJ62" s="195"/>
      <c r="FK62" s="195"/>
      <c r="FL62" s="195"/>
      <c r="FM62" s="195"/>
      <c r="FN62" s="195"/>
      <c r="FO62" s="195"/>
    </row>
    <row r="63" spans="1:171">
      <c r="A63" s="342" t="s">
        <v>112</v>
      </c>
      <c r="B63" s="427" t="str">
        <f>'Portfolio Inputs'!A62</f>
        <v>Pin-Based CFL ≥32W</v>
      </c>
      <c r="C63" s="217">
        <f>IF($C$1=2014,'Portfolio Inputs'!$C62,IF($C$1=2015,'Portfolio Inputs'!$D62,'Portfolio Inputs'!$E62))</f>
        <v>8</v>
      </c>
      <c r="D63" s="504">
        <f>VLOOKUP(B63,Sources!$B$4:$J$104,2,FALSE)</f>
        <v>10</v>
      </c>
      <c r="E63" s="504">
        <f>VLOOKUP(B63,Sources!$B$4:$J$104,3,FALSE)</f>
        <v>0</v>
      </c>
      <c r="G63" s="504">
        <f>IF($C$1=2014,'Portfolio Inputs'!$G62,IF($C$1=2015,'Portfolio Inputs'!$H62,'Portfolio Inputs'!$I62))*EnergyLineLoss</f>
        <v>8598.1210499999997</v>
      </c>
      <c r="H63" s="504"/>
      <c r="I63" s="595">
        <f>IF($C$1=2014,'Portfolio Inputs'!$K62,IF($C$1=2015,'Portfolio Inputs'!$L62,'Portfolio Inputs'!$M62))*PeakLineLoss</f>
        <v>1.3295224800000001</v>
      </c>
      <c r="J63" s="510"/>
      <c r="L63" s="606">
        <f>IF($C$1=2014,'Portfolio Inputs'!$O62,IF($C$1=2015,'Portfolio Inputs'!$P62,'Portfolio Inputs'!$Q62))</f>
        <v>50</v>
      </c>
      <c r="M63" s="518">
        <f>VLOOKUP($B63,Sources!$B$4:$K$104,10,FALSE)</f>
        <v>0</v>
      </c>
      <c r="N63" s="419">
        <f>IF($C$1=2014,'Portfolio Inputs'!$W62,IF($C$1=2015,'Portfolio Inputs'!$X62,'Portfolio Inputs'!$Y62))</f>
        <v>192</v>
      </c>
      <c r="O63" s="419">
        <f>IF($C$1=2014,'Portfolio Inputs'!$AA62,IF($C$1=2015,'Portfolio Inputs'!$AB62,'Portfolio Inputs'!$AC62))</f>
        <v>0</v>
      </c>
      <c r="Q63" s="438">
        <f t="shared" si="67"/>
        <v>6.8489449311094441</v>
      </c>
      <c r="R63" s="439">
        <f t="shared" si="68"/>
        <v>14.268635273144676</v>
      </c>
      <c r="S63" s="439">
        <f t="shared" si="69"/>
        <v>8.5727098233107792</v>
      </c>
      <c r="T63" s="439">
        <f t="shared" si="70"/>
        <v>17.463783860951111</v>
      </c>
      <c r="U63" s="439">
        <f t="shared" si="98"/>
        <v>17.463783860951111</v>
      </c>
      <c r="V63" s="439">
        <f t="shared" si="72"/>
        <v>0.39217989558515054</v>
      </c>
      <c r="W63" s="439">
        <f t="shared" si="73"/>
        <v>0.39217989558515054</v>
      </c>
      <c r="Y63" s="215">
        <f t="shared" si="4"/>
        <v>2517.0690669273959</v>
      </c>
      <c r="Z63" s="215">
        <f t="shared" si="5"/>
        <v>633.50418677006041</v>
      </c>
      <c r="AA63" s="215">
        <f t="shared" si="6"/>
        <v>6241.7434255608641</v>
      </c>
      <c r="AB63" s="215">
        <f t="shared" si="7"/>
        <v>6241.7434255608641</v>
      </c>
      <c r="AC63" s="216">
        <f t="shared" si="20"/>
        <v>0</v>
      </c>
      <c r="AD63" s="216">
        <f t="shared" si="21"/>
        <v>176.40573318632855</v>
      </c>
      <c r="AE63" s="215">
        <f t="shared" si="8"/>
        <v>367.5119441381845</v>
      </c>
      <c r="AG63" s="214">
        <f>IF(AND(($E63+$C$1)&gt;AG$4,AG$4&gt;=$C$1),'General Inputs'!D$9*$H63,IF(AND(($D63+$C$1)&gt;AG$4,AG$4&gt;=$C$1),'General Inputs'!D$9*$G63,0))+IF(AND(($E63+$C$1)&gt;AG$4,AG$4&gt;=$C$1),'General Inputs'!D$10*$J63,IF(AND(($D63+$C$1)&gt;AG$4,AG$4&gt;=$C$1),'General Inputs'!D$10*$I63,0))</f>
        <v>0</v>
      </c>
      <c r="AH63" s="214">
        <f>IF(AND(($E63+$C$1)&gt;AH$4,AH$4&gt;=$C$1),'General Inputs'!E$9*$H63,IF(AND(($D63+$C$1)&gt;AH$4,AH$4&gt;=$C$1),'General Inputs'!E$9*$G63,0))+IF(AND(($E63+$C$1)&gt;AH$4,AH$4&gt;=$C$1),'General Inputs'!E$10*$J63,IF(AND(($D63+$C$1)&gt;AH$4,AH$4&gt;=$C$1),'General Inputs'!E$10*$I63,0))</f>
        <v>367.65232134290216</v>
      </c>
      <c r="AI63" s="214">
        <f>IF(AND(($E63+$C$1)&gt;AI$4,AI$4&gt;=$C$1),'General Inputs'!F$9*$H63,IF(AND(($D63+$C$1)&gt;AI$4,AI$4&gt;=$C$1),'General Inputs'!F$9*$G63,0))+IF(AND(($E63+$C$1)&gt;AI$4,AI$4&gt;=$C$1),'General Inputs'!F$10*$J63,IF(AND(($D63+$C$1)&gt;AI$4,AI$4&gt;=$C$1),'General Inputs'!F$10*$I63,0))</f>
        <v>373.16710616304567</v>
      </c>
      <c r="AJ63" s="214">
        <f>IF(AND(($E63+$C$1)&gt;AJ$4,AJ$4&gt;=$C$1),'General Inputs'!G$9*$H63,IF(AND(($D63+$C$1)&gt;AJ$4,AJ$4&gt;=$C$1),'General Inputs'!G$9*$G63,0))+IF(AND(($E63+$C$1)&gt;AJ$4,AJ$4&gt;=$C$1),'General Inputs'!G$10*$J63,IF(AND(($D63+$C$1)&gt;AJ$4,AJ$4&gt;=$C$1),'General Inputs'!G$10*$I63,0))</f>
        <v>378.76461275549133</v>
      </c>
      <c r="AK63" s="214">
        <f>IF(AND(($E63+$C$1)&gt;AK$4,AK$4&gt;=$C$1),'General Inputs'!H$9*$H63,IF(AND(($D63+$C$1)&gt;AK$4,AK$4&gt;=$C$1),'General Inputs'!H$9*$G63,0))+IF(AND(($E63+$C$1)&gt;AK$4,AK$4&gt;=$C$1),'General Inputs'!H$10*$J63,IF(AND(($D63+$C$1)&gt;AK$4,AK$4&gt;=$C$1),'General Inputs'!H$10*$I63,0))</f>
        <v>384.4460819468236</v>
      </c>
      <c r="AL63" s="214">
        <f>IF(AND(($E63+$C$1)&gt;AL$4,AL$4&gt;=$C$1),'General Inputs'!I$9*$H63,IF(AND(($D63+$C$1)&gt;AL$4,AL$4&gt;=$C$1),'General Inputs'!I$9*$G63,0))+IF(AND(($E63+$C$1)&gt;AL$4,AL$4&gt;=$C$1),'General Inputs'!I$10*$J63,IF(AND(($D63+$C$1)&gt;AL$4,AL$4&gt;=$C$1),'General Inputs'!I$10*$I63,0))</f>
        <v>390.21277317602596</v>
      </c>
      <c r="AM63" s="214">
        <f>IF(AND(($E63+$C$1)&gt;AM$4,AM$4&gt;=$C$1),'General Inputs'!J$9*$H63,IF(AND(($D63+$C$1)&gt;AM$4,AM$4&gt;=$C$1),'General Inputs'!J$9*$G63,0))+IF(AND(($E63+$C$1)&gt;AM$4,AM$4&gt;=$C$1),'General Inputs'!J$10*$J63,IF(AND(($D63+$C$1)&gt;AM$4,AM$4&gt;=$C$1),'General Inputs'!J$10*$I63,0))</f>
        <v>396.06596477366622</v>
      </c>
      <c r="AN63" s="214">
        <f>IF(AND(($E63+$C$1)&gt;AN$4,AN$4&gt;=$C$1),'General Inputs'!K$9*$H63,IF(AND(($D63+$C$1)&gt;AN$4,AN$4&gt;=$C$1),'General Inputs'!K$9*$G63,0))+IF(AND(($E63+$C$1)&gt;AN$4,AN$4&gt;=$C$1),'General Inputs'!K$10*$J63,IF(AND(($D63+$C$1)&gt;AN$4,AN$4&gt;=$C$1),'General Inputs'!K$10*$I63,0))</f>
        <v>402.00695424527117</v>
      </c>
      <c r="AO63" s="214">
        <f>IF(AND(($E63+$C$1)&gt;AO$4,AO$4&gt;=$C$1),'General Inputs'!L$9*$H63,IF(AND(($D63+$C$1)&gt;AO$4,AO$4&gt;=$C$1),'General Inputs'!L$9*$G63,0))+IF(AND(($E63+$C$1)&gt;AO$4,AO$4&gt;=$C$1),'General Inputs'!L$10*$J63,IF(AND(($D63+$C$1)&gt;AO$4,AO$4&gt;=$C$1),'General Inputs'!L$10*$I63,0))</f>
        <v>408.03705855895021</v>
      </c>
      <c r="AP63" s="214">
        <f>IF(AND(($E63+$C$1)&gt;AP$4,AP$4&gt;=$C$1),'General Inputs'!M$9*$H63,IF(AND(($D63+$C$1)&gt;AP$4,AP$4&gt;=$C$1),'General Inputs'!M$9*$G63,0))+IF(AND(($E63+$C$1)&gt;AP$4,AP$4&gt;=$C$1),'General Inputs'!M$10*$J63,IF(AND(($D63+$C$1)&gt;AP$4,AP$4&gt;=$C$1),'General Inputs'!M$10*$I63,0))</f>
        <v>414.15761443733442</v>
      </c>
      <c r="AQ63" s="214">
        <f>IF(AND(($E63+$C$1)&gt;AQ$4,AQ$4&gt;=$C$1),'General Inputs'!N$9*$H63,IF(AND(($D63+$C$1)&gt;AQ$4,AQ$4&gt;=$C$1),'General Inputs'!N$9*$G63,0))+IF(AND(($E63+$C$1)&gt;AQ$4,AQ$4&gt;=$C$1),'General Inputs'!N$10*$J63,IF(AND(($D63+$C$1)&gt;AQ$4,AQ$4&gt;=$C$1),'General Inputs'!N$10*$I63,0))</f>
        <v>420.36997865389441</v>
      </c>
      <c r="AR63" s="214">
        <f>IF(AND(($E63+$C$1)&gt;AR$4,AR$4&gt;=$C$1),'General Inputs'!O$9*$H63,IF(AND(($D63+$C$1)&gt;AR$4,AR$4&gt;=$C$1),'General Inputs'!O$9*$G63,0))+IF(AND(($E63+$C$1)&gt;AR$4,AR$4&gt;=$C$1),'General Inputs'!O$10*$J63,IF(AND(($D63+$C$1)&gt;AR$4,AR$4&gt;=$C$1),'General Inputs'!O$10*$I63,0))</f>
        <v>0</v>
      </c>
      <c r="AS63" s="214">
        <f>IF(AND(($E63+$C$1)&gt;AS$4,AS$4&gt;=$C$1),'General Inputs'!P$9*$H63,IF(AND(($D63+$C$1)&gt;AS$4,AS$4&gt;=$C$1),'General Inputs'!P$9*$G63,0))+IF(AND(($E63+$C$1)&gt;AS$4,AS$4&gt;=$C$1),'General Inputs'!P$10*$J63,IF(AND(($D63+$C$1)&gt;AS$4,AS$4&gt;=$C$1),'General Inputs'!P$10*$I63,0))</f>
        <v>0</v>
      </c>
      <c r="AT63" s="214">
        <f>IF(AND(($E63+$C$1)&gt;AT$4,AT$4&gt;=$C$1),'General Inputs'!Q$9*$H63,IF(AND(($D63+$C$1)&gt;AT$4,AT$4&gt;=$C$1),'General Inputs'!Q$9*$G63,0))+IF(AND(($E63+$C$1)&gt;AT$4,AT$4&gt;=$C$1),'General Inputs'!Q$10*$J63,IF(AND(($D63+$C$1)&gt;AT$4,AT$4&gt;=$C$1),'General Inputs'!Q$10*$I63,0))</f>
        <v>0</v>
      </c>
      <c r="AU63" s="214">
        <f>IF(AND(($E63+$C$1)&gt;AU$4,AU$4&gt;=$C$1),'General Inputs'!R$9*$H63,IF(AND(($D63+$C$1)&gt;AU$4,AU$4&gt;=$C$1),'General Inputs'!R$9*$G63,0))+IF(AND(($E63+$C$1)&gt;AU$4,AU$4&gt;=$C$1),'General Inputs'!R$10*$J63,IF(AND(($D63+$C$1)&gt;AU$4,AU$4&gt;=$C$1),'General Inputs'!R$10*$I63,0))</f>
        <v>0</v>
      </c>
      <c r="AV63" s="214">
        <f>IF(AND(($E63+$C$1)&gt;AV$4,AV$4&gt;=$C$1),'General Inputs'!S$9*$H63,IF(AND(($D63+$C$1)&gt;AV$4,AV$4&gt;=$C$1),'General Inputs'!S$9*$G63,0))+IF(AND(($E63+$C$1)&gt;AV$4,AV$4&gt;=$C$1),'General Inputs'!S$10*$J63,IF(AND(($D63+$C$1)&gt;AV$4,AV$4&gt;=$C$1),'General Inputs'!S$10*$I63,0))</f>
        <v>0</v>
      </c>
      <c r="AW63" s="214">
        <f>IF(AND(($E63+$C$1)&gt;AW$4,AW$4&gt;=$C$1),'General Inputs'!T$9*$H63,IF(AND(($D63+$C$1)&gt;AW$4,AW$4&gt;=$C$1),'General Inputs'!T$9*$G63,0))+IF(AND(($E63+$C$1)&gt;AW$4,AW$4&gt;=$C$1),'General Inputs'!T$10*$J63,IF(AND(($D63+$C$1)&gt;AW$4,AW$4&gt;=$C$1),'General Inputs'!T$10*$I63,0))</f>
        <v>0</v>
      </c>
      <c r="AX63" s="214">
        <f>IF(AND(($E63+$C$1)&gt;AX$4,AX$4&gt;=$C$1),'General Inputs'!U$9*$H63,IF(AND(($D63+$C$1)&gt;AX$4,AX$4&gt;=$C$1),'General Inputs'!U$9*$G63,0))+IF(AND(($E63+$C$1)&gt;AX$4,AX$4&gt;=$C$1),'General Inputs'!U$10*$J63,IF(AND(($D63+$C$1)&gt;AX$4,AX$4&gt;=$C$1),'General Inputs'!U$10*$I63,0))</f>
        <v>0</v>
      </c>
      <c r="AY63" s="214">
        <f>IF(AND(($E63+$C$1)&gt;AY$4,AY$4&gt;=$C$1),'General Inputs'!V$9*$H63,IF(AND(($D63+$C$1)&gt;AY$4,AY$4&gt;=$C$1),'General Inputs'!V$9*$G63,0))+IF(AND(($E63+$C$1)&gt;AY$4,AY$4&gt;=$C$1),'General Inputs'!V$10*$J63,IF(AND(($D63+$C$1)&gt;AY$4,AY$4&gt;=$C$1),'General Inputs'!V$10*$I63,0))</f>
        <v>0</v>
      </c>
      <c r="AZ63" s="214">
        <f>IF(AND(($E63+$C$1)&gt;AZ$4,AZ$4&gt;=$C$1),'General Inputs'!W$9*$H63,IF(AND(($D63+$C$1)&gt;AZ$4,AZ$4&gt;=$C$1),'General Inputs'!W$9*$G63,0))+IF(AND(($E63+$C$1)&gt;AZ$4,AZ$4&gt;=$C$1),'General Inputs'!W$10*$J63,IF(AND(($D63+$C$1)&gt;AZ$4,AZ$4&gt;=$C$1),'General Inputs'!W$10*$I63,0))</f>
        <v>0</v>
      </c>
      <c r="BB63" s="214">
        <f>IF(AND(($E63+$C$1)&gt;BB$4,BB$4&gt;=$C$1),'General Inputs'!D$11*$H63,IF(AND(($D63+$C$1)&gt;BB$4,BB$4&gt;=$C$1),'General Inputs'!D$11*$G63,0))</f>
        <v>0</v>
      </c>
      <c r="BC63" s="214">
        <f>IF(AND(($E63+$C$1)&gt;BC$4,BC$4&gt;=$C$1),'General Inputs'!E$11*$H63,IF(AND(($D63+$C$1)&gt;BC$4,BC$4&gt;=$C$1),'General Inputs'!E$11*$G63,0))</f>
        <v>98.018579970000005</v>
      </c>
      <c r="BD63" s="214">
        <f>IF(AND(($E63+$C$1)&gt;BD$4,BD$4&gt;=$C$1),'General Inputs'!F$11*$H63,IF(AND(($D63+$C$1)&gt;BD$4,BD$4&gt;=$C$1),'General Inputs'!F$11*$G63,0))</f>
        <v>98.018579970000005</v>
      </c>
      <c r="BE63" s="214">
        <f>IF(AND(($E63+$C$1)&gt;BE$4,BE$4&gt;=$C$1),'General Inputs'!G$11*$H63,IF(AND(($D63+$C$1)&gt;BE$4,BE$4&gt;=$C$1),'General Inputs'!G$11*$G63,0))</f>
        <v>98.018579970000005</v>
      </c>
      <c r="BF63" s="214">
        <f>IF(AND(($E63+$C$1)&gt;BF$4,BF$4&gt;=$C$1),'General Inputs'!H$11*$H63,IF(AND(($D63+$C$1)&gt;BF$4,BF$4&gt;=$C$1),'General Inputs'!H$11*$G63,0))</f>
        <v>98.018579970000005</v>
      </c>
      <c r="BG63" s="214">
        <f>IF(AND(($E63+$C$1)&gt;BG$4,BG$4&gt;=$C$1),'General Inputs'!I$11*$H63,IF(AND(($D63+$C$1)&gt;BG$4,BG$4&gt;=$C$1),'General Inputs'!I$11*$G63,0))</f>
        <v>98.018579970000005</v>
      </c>
      <c r="BH63" s="214">
        <f>IF(AND(($E63+$C$1)&gt;BH$4,BH$4&gt;=$C$1),'General Inputs'!J$11*$H63,IF(AND(($D63+$C$1)&gt;BH$4,BH$4&gt;=$C$1),'General Inputs'!J$11*$G63,0))</f>
        <v>98.018579970000005</v>
      </c>
      <c r="BI63" s="214">
        <f>IF(AND(($E63+$C$1)&gt;BI$4,BI$4&gt;=$C$1),'General Inputs'!K$11*$H63,IF(AND(($D63+$C$1)&gt;BI$4,BI$4&gt;=$C$1),'General Inputs'!K$11*$G63,0))</f>
        <v>98.018579970000005</v>
      </c>
      <c r="BJ63" s="214">
        <f>IF(AND(($E63+$C$1)&gt;BJ$4,BJ$4&gt;=$C$1),'General Inputs'!L$11*$H63,IF(AND(($D63+$C$1)&gt;BJ$4,BJ$4&gt;=$C$1),'General Inputs'!L$11*$G63,0))</f>
        <v>98.018579970000005</v>
      </c>
      <c r="BK63" s="214">
        <f>IF(AND(($E63+$C$1)&gt;BK$4,BK$4&gt;=$C$1),'General Inputs'!M$11*$H63,IF(AND(($D63+$C$1)&gt;BK$4,BK$4&gt;=$C$1),'General Inputs'!M$11*$G63,0))</f>
        <v>98.018579970000005</v>
      </c>
      <c r="BL63" s="214">
        <f>IF(AND(($E63+$C$1)&gt;BL$4,BL$4&gt;=$C$1),'General Inputs'!N$11*$H63,IF(AND(($D63+$C$1)&gt;BL$4,BL$4&gt;=$C$1),'General Inputs'!N$11*$G63,0))</f>
        <v>98.018579970000005</v>
      </c>
      <c r="BM63" s="214">
        <f>IF(AND(($E63+$C$1)&gt;BM$4,BM$4&gt;=$C$1),'General Inputs'!O$11*$H63,IF(AND(($D63+$C$1)&gt;BM$4,BM$4&gt;=$C$1),'General Inputs'!O$11*$G63,0))</f>
        <v>0</v>
      </c>
      <c r="BN63" s="214">
        <f>IF(AND(($E63+$C$1)&gt;BN$4,BN$4&gt;=$C$1),'General Inputs'!P$11*$H63,IF(AND(($D63+$C$1)&gt;BN$4,BN$4&gt;=$C$1),'General Inputs'!P$11*$G63,0))</f>
        <v>0</v>
      </c>
      <c r="BO63" s="214">
        <f>IF(AND(($E63+$C$1)&gt;BO$4,BO$4&gt;=$C$1),'General Inputs'!Q$11*$H63,IF(AND(($D63+$C$1)&gt;BO$4,BO$4&gt;=$C$1),'General Inputs'!Q$11*$G63,0))</f>
        <v>0</v>
      </c>
      <c r="BP63" s="214">
        <f>IF(AND(($E63+$C$1)&gt;BP$4,BP$4&gt;=$C$1),'General Inputs'!R$11*$H63,IF(AND(($D63+$C$1)&gt;BP$4,BP$4&gt;=$C$1),'General Inputs'!R$11*$G63,0))</f>
        <v>0</v>
      </c>
      <c r="BQ63" s="214">
        <f>IF(AND(($E63+$C$1)&gt;BQ$4,BQ$4&gt;=$C$1),'General Inputs'!S$11*$H63,IF(AND(($D63+$C$1)&gt;BQ$4,BQ$4&gt;=$C$1),'General Inputs'!S$11*$G63,0))</f>
        <v>0</v>
      </c>
      <c r="BR63" s="214">
        <f>IF(AND(($E63+$C$1)&gt;BR$4,BR$4&gt;=$C$1),'General Inputs'!T$11*$H63,IF(AND(($D63+$C$1)&gt;BR$4,BR$4&gt;=$C$1),'General Inputs'!T$11*$G63,0))</f>
        <v>0</v>
      </c>
      <c r="BS63" s="214">
        <f>IF(AND(($E63+$C$1)&gt;BS$4,BS$4&gt;=$C$1),'General Inputs'!U$11*$H63,IF(AND(($D63+$C$1)&gt;BS$4,BS$4&gt;=$C$1),'General Inputs'!U$11*$G63,0))</f>
        <v>0</v>
      </c>
      <c r="BT63" s="214">
        <f>IF(AND(($E63+$C$1)&gt;BT$4,BT$4&gt;=$C$1),'General Inputs'!V$11*$H63,IF(AND(($D63+$C$1)&gt;BT$4,BT$4&gt;=$C$1),'General Inputs'!V$11*$G63,0))</f>
        <v>0</v>
      </c>
      <c r="BU63" s="214">
        <f>IF(AND(($E63+$C$1)&gt;BU$4,BU$4&gt;=$C$1),'General Inputs'!W$11*$H63,IF(AND(($D63+$C$1)&gt;BU$4,BU$4&gt;=$C$1),'General Inputs'!W$11*$G63,0))</f>
        <v>0</v>
      </c>
      <c r="BW63" s="214">
        <f>IF(AND(($E63+$C$1)&gt;BW$4,BW$4&gt;=$C$1),$H63,IF(AND(($D63+$C$1)&gt;BW$4,BW$4&gt;=$C$1),$G63,0))*IF($A63="Residential",'General Inputs'!D$14,'General Inputs'!D$19)</f>
        <v>0</v>
      </c>
      <c r="BX63" s="214">
        <f>IF(AND(($E63+$C$1)&gt;BX$4,BX$4&gt;=$C$1),$H63,IF(AND(($D63+$C$1)&gt;BX$4,BX$4&gt;=$C$1),$G63,0))*IF($A63="Residential",'General Inputs'!E$14,'General Inputs'!E$19)</f>
        <v>911.69189188579469</v>
      </c>
      <c r="BY63" s="214">
        <f>IF(AND(($E63+$C$1)&gt;BY$4,BY$4&gt;=$C$1),$H63,IF(AND(($D63+$C$1)&gt;BY$4,BY$4&gt;=$C$1),$G63,0))*IF($A63="Residential",'General Inputs'!F$14,'General Inputs'!F$19)</f>
        <v>925.36727026408164</v>
      </c>
      <c r="BZ63" s="214">
        <f>IF(AND(($E63+$C$1)&gt;BZ$4,BZ$4&gt;=$C$1),$H63,IF(AND(($D63+$C$1)&gt;BZ$4,BZ$4&gt;=$C$1),$G63,0))*IF($A63="Residential",'General Inputs'!G$14,'General Inputs'!G$19)</f>
        <v>939.24777931804283</v>
      </c>
      <c r="CA63" s="214">
        <f>IF(AND(($E63+$C$1)&gt;CA$4,CA$4&gt;=$C$1),$H63,IF(AND(($D63+$C$1)&gt;CA$4,CA$4&gt;=$C$1),$G63,0))*IF($A63="Residential",'General Inputs'!H$14,'General Inputs'!H$19)</f>
        <v>953.33649600781325</v>
      </c>
      <c r="CB63" s="214">
        <f>IF(AND(($E63+$C$1)&gt;CB$4,CB$4&gt;=$C$1),$H63,IF(AND(($D63+$C$1)&gt;CB$4,CB$4&gt;=$C$1),$G63,0))*IF($A63="Residential",'General Inputs'!I$14,'General Inputs'!I$19)</f>
        <v>967.63654344793019</v>
      </c>
      <c r="CC63" s="214">
        <f>IF(AND(($E63+$C$1)&gt;CC$4,CC$4&gt;=$C$1),$H63,IF(AND(($D63+$C$1)&gt;CC$4,CC$4&gt;=$C$1),$G63,0))*IF($A63="Residential",'General Inputs'!J$14,'General Inputs'!J$19)</f>
        <v>982.15109159964925</v>
      </c>
      <c r="CD63" s="214">
        <f>IF(AND(($E63+$C$1)&gt;CD$4,CD$4&gt;=$C$1),$H63,IF(AND(($D63+$C$1)&gt;CD$4,CD$4&gt;=$C$1),$G63,0))*IF($A63="Residential",'General Inputs'!K$14,'General Inputs'!K$19)</f>
        <v>996.8833579736438</v>
      </c>
      <c r="CE63" s="214">
        <f>IF(AND(($E63+$C$1)&gt;CE$4,CE$4&gt;=$C$1),$H63,IF(AND(($D63+$C$1)&gt;CE$4,CE$4&gt;=$C$1),$G63,0))*IF($A63="Residential",'General Inputs'!L$14,'General Inputs'!L$19)</f>
        <v>1011.8366083432484</v>
      </c>
      <c r="CF63" s="214">
        <f>IF(AND(($E63+$C$1)&gt;CF$4,CF$4&gt;=$C$1),$H63,IF(AND(($D63+$C$1)&gt;CF$4,CF$4&gt;=$C$1),$G63,0))*IF($A63="Residential",'General Inputs'!M$14,'General Inputs'!M$19)</f>
        <v>1027.0141574683969</v>
      </c>
      <c r="CG63" s="214">
        <f>IF(AND(($E63+$C$1)&gt;CG$4,CG$4&gt;=$C$1),$H63,IF(AND(($D63+$C$1)&gt;CG$4,CG$4&gt;=$C$1),$G63,0))*IF($A63="Residential",'General Inputs'!N$14,'General Inputs'!N$19)</f>
        <v>1042.419369830423</v>
      </c>
      <c r="CH63" s="214">
        <f>IF(AND(($E63+$C$1)&gt;CH$4,CH$4&gt;=$C$1),$H63,IF(AND(($D63+$C$1)&gt;CH$4,CH$4&gt;=$C$1),$G63,0))*IF($A63="Residential",'General Inputs'!O$14,'General Inputs'!O$19)</f>
        <v>0</v>
      </c>
      <c r="CI63" s="214">
        <f>IF(AND(($E63+$C$1)&gt;CI$4,CI$4&gt;=$C$1),$H63,IF(AND(($D63+$C$1)&gt;CI$4,CI$4&gt;=$C$1),$G63,0))*IF($A63="Residential",'General Inputs'!P$14,'General Inputs'!P$19)</f>
        <v>0</v>
      </c>
      <c r="CJ63" s="214">
        <f>IF(AND(($E63+$C$1)&gt;CJ$4,CJ$4&gt;=$C$1),$H63,IF(AND(($D63+$C$1)&gt;CJ$4,CJ$4&gt;=$C$1),$G63,0))*IF($A63="Residential",'General Inputs'!Q$14,'General Inputs'!Q$19)</f>
        <v>0</v>
      </c>
      <c r="CK63" s="214">
        <f>IF(AND(($E63+$C$1)&gt;CK$4,CK$4&gt;=$C$1),$H63,IF(AND(($D63+$C$1)&gt;CK$4,CK$4&gt;=$C$1),$G63,0))*IF($A63="Residential",'General Inputs'!R$14,'General Inputs'!R$19)</f>
        <v>0</v>
      </c>
      <c r="CL63" s="214">
        <f>IF(AND(($E63+$C$1)&gt;CL$4,CL$4&gt;=$C$1),$H63,IF(AND(($D63+$C$1)&gt;CL$4,CL$4&gt;=$C$1),$G63,0))*IF($A63="Residential",'General Inputs'!S$14,'General Inputs'!S$19)</f>
        <v>0</v>
      </c>
      <c r="CM63" s="214">
        <f>IF(AND(($E63+$C$1)&gt;CM$4,CM$4&gt;=$C$1),$H63,IF(AND(($D63+$C$1)&gt;CM$4,CM$4&gt;=$C$1),$G63,0))*IF($A63="Residential",'General Inputs'!T$14,'General Inputs'!T$19)</f>
        <v>0</v>
      </c>
      <c r="CN63" s="214">
        <f>IF(AND(($E63+$C$1)&gt;CN$4,CN$4&gt;=$C$1),$H63,IF(AND(($D63+$C$1)&gt;CN$4,CN$4&gt;=$C$1),$G63,0))*IF($A63="Residential",'General Inputs'!U$14,'General Inputs'!U$19)</f>
        <v>0</v>
      </c>
      <c r="CO63" s="214">
        <f>IF(AND(($E63+$C$1)&gt;CO$4,CO$4&gt;=$C$1),$H63,IF(AND(($D63+$C$1)&gt;CO$4,CO$4&gt;=$C$1),$G63,0))*IF($A63="Residential",'General Inputs'!V$14,'General Inputs'!V$19)</f>
        <v>0</v>
      </c>
      <c r="CP63" s="214">
        <f>IF(AND(($E63+$C$1)&gt;CP$4,CP$4&gt;=$C$1),$H63,IF(AND(($D63+$C$1)&gt;CP$4,CP$4&gt;=$C$1),$G63,0))*IF($A63="Residential",'General Inputs'!W$14,'General Inputs'!W$19)</f>
        <v>0</v>
      </c>
      <c r="CR63" s="214">
        <f>IF(AND(($E63+$C$1)&gt;CR$4,CR$4&gt;=$C$1),$H63,IF(AND(($D63+$C$1)&gt;CR$4,CR$4&gt;=$C$1),$G63,0))*IF($A63="Residential",'General Inputs'!D$15,'General Inputs'!D$19)</f>
        <v>0</v>
      </c>
      <c r="CS63" s="214">
        <f>IF(AND(($E63+$C$1)&gt;CS$4,CS$4&gt;=$C$1),$H63,IF(AND(($D63+$C$1)&gt;CS$4,CS$4&gt;=$C$1),$G63,0))*IF($A63="Residential",'General Inputs'!E$15,'General Inputs'!E$19)</f>
        <v>911.69189188579469</v>
      </c>
      <c r="CT63" s="214">
        <f>IF(AND(($E63+$C$1)&gt;CT$4,CT$4&gt;=$C$1),$H63,IF(AND(($D63+$C$1)&gt;CT$4,CT$4&gt;=$C$1),$G63,0))*IF($A63="Residential",'General Inputs'!F$15,'General Inputs'!F$19)</f>
        <v>925.36727026408164</v>
      </c>
      <c r="CU63" s="214">
        <f>IF(AND(($E63+$C$1)&gt;CU$4,CU$4&gt;=$C$1),$H63,IF(AND(($D63+$C$1)&gt;CU$4,CU$4&gt;=$C$1),$G63,0))*IF($A63="Residential",'General Inputs'!G$15,'General Inputs'!G$19)</f>
        <v>939.24777931804283</v>
      </c>
      <c r="CV63" s="214">
        <f>IF(AND(($E63+$C$1)&gt;CV$4,CV$4&gt;=$C$1),$H63,IF(AND(($D63+$C$1)&gt;CV$4,CV$4&gt;=$C$1),$G63,0))*IF($A63="Residential",'General Inputs'!H$15,'General Inputs'!H$19)</f>
        <v>953.33649600781325</v>
      </c>
      <c r="CW63" s="214">
        <f>IF(AND(($E63+$C$1)&gt;CW$4,CW$4&gt;=$C$1),$H63,IF(AND(($D63+$C$1)&gt;CW$4,CW$4&gt;=$C$1),$G63,0))*IF($A63="Residential",'General Inputs'!I$15,'General Inputs'!I$19)</f>
        <v>967.63654344793019</v>
      </c>
      <c r="CX63" s="214">
        <f>IF(AND(($E63+$C$1)&gt;CX$4,CX$4&gt;=$C$1),$H63,IF(AND(($D63+$C$1)&gt;CX$4,CX$4&gt;=$C$1),$G63,0))*IF($A63="Residential",'General Inputs'!J$15,'General Inputs'!J$19)</f>
        <v>982.15109159964925</v>
      </c>
      <c r="CY63" s="214">
        <f>IF(AND(($E63+$C$1)&gt;CY$4,CY$4&gt;=$C$1),$H63,IF(AND(($D63+$C$1)&gt;CY$4,CY$4&gt;=$C$1),$G63,0))*IF($A63="Residential",'General Inputs'!K$15,'General Inputs'!K$19)</f>
        <v>996.8833579736438</v>
      </c>
      <c r="CZ63" s="214">
        <f>IF(AND(($E63+$C$1)&gt;CZ$4,CZ$4&gt;=$C$1),$H63,IF(AND(($D63+$C$1)&gt;CZ$4,CZ$4&gt;=$C$1),$G63,0))*IF($A63="Residential",'General Inputs'!L$15,'General Inputs'!L$19)</f>
        <v>1011.8366083432484</v>
      </c>
      <c r="DA63" s="214">
        <f>IF(AND(($E63+$C$1)&gt;DA$4,DA$4&gt;=$C$1),$H63,IF(AND(($D63+$C$1)&gt;DA$4,DA$4&gt;=$C$1),$G63,0))*IF($A63="Residential",'General Inputs'!M$15,'General Inputs'!M$19)</f>
        <v>1027.0141574683969</v>
      </c>
      <c r="DB63" s="214">
        <f>IF(AND(($E63+$C$1)&gt;DB$4,DB$4&gt;=$C$1),$H63,IF(AND(($D63+$C$1)&gt;DB$4,DB$4&gt;=$C$1),$G63,0))*IF($A63="Residential",'General Inputs'!N$15,'General Inputs'!N$19)</f>
        <v>1042.419369830423</v>
      </c>
      <c r="DC63" s="214">
        <f>IF(AND(($E63+$C$1)&gt;DC$4,DC$4&gt;=$C$1),$H63,IF(AND(($D63+$C$1)&gt;DC$4,DC$4&gt;=$C$1),$G63,0))*IF($A63="Residential",'General Inputs'!O$15,'General Inputs'!O$19)</f>
        <v>0</v>
      </c>
      <c r="DD63" s="214">
        <f>IF(AND(($E63+$C$1)&gt;DD$4,DD$4&gt;=$C$1),$H63,IF(AND(($D63+$C$1)&gt;DD$4,DD$4&gt;=$C$1),$G63,0))*IF($A63="Residential",'General Inputs'!P$15,'General Inputs'!P$19)</f>
        <v>0</v>
      </c>
      <c r="DE63" s="214">
        <f>IF(AND(($E63+$C$1)&gt;DE$4,DE$4&gt;=$C$1),$H63,IF(AND(($D63+$C$1)&gt;DE$4,DE$4&gt;=$C$1),$G63,0))*IF($A63="Residential",'General Inputs'!Q$15,'General Inputs'!Q$19)</f>
        <v>0</v>
      </c>
      <c r="DF63" s="214">
        <f>IF(AND(($E63+$C$1)&gt;DF$4,DF$4&gt;=$C$1),$H63,IF(AND(($D63+$C$1)&gt;DF$4,DF$4&gt;=$C$1),$G63,0))*IF($A63="Residential",'General Inputs'!R$15,'General Inputs'!R$19)</f>
        <v>0</v>
      </c>
      <c r="DG63" s="214">
        <f>IF(AND(($E63+$C$1)&gt;DG$4,DG$4&gt;=$C$1),$H63,IF(AND(($D63+$C$1)&gt;DG$4,DG$4&gt;=$C$1),$G63,0))*IF($A63="Residential",'General Inputs'!S$15,'General Inputs'!S$19)</f>
        <v>0</v>
      </c>
      <c r="DH63" s="214">
        <f>IF(AND(($E63+$C$1)&gt;DH$4,DH$4&gt;=$C$1),$H63,IF(AND(($D63+$C$1)&gt;DH$4,DH$4&gt;=$C$1),$G63,0))*IF($A63="Residential",'General Inputs'!T$15,'General Inputs'!T$19)</f>
        <v>0</v>
      </c>
      <c r="DI63" s="214">
        <f>IF(AND(($E63+$C$1)&gt;DI$4,DI$4&gt;=$C$1),$H63,IF(AND(($D63+$C$1)&gt;DI$4,DI$4&gt;=$C$1),$G63,0))*IF($A63="Residential",'General Inputs'!U$15,'General Inputs'!U$19)</f>
        <v>0</v>
      </c>
      <c r="DJ63" s="214">
        <f>IF(AND(($E63+$C$1)&gt;DJ$4,DJ$4&gt;=$C$1),$H63,IF(AND(($D63+$C$1)&gt;DJ$4,DJ$4&gt;=$C$1),$G63,0))*IF($A63="Residential",'General Inputs'!V$15,'General Inputs'!V$19)</f>
        <v>0</v>
      </c>
      <c r="DK63" s="214">
        <f>IF(AND(($E63+$C$1)&gt;DK$4,DK$4&gt;=$C$1),$H63,IF(AND(($D63+$C$1)&gt;DK$4,DK$4&gt;=$C$1),$G63,0))*IF($A63="Residential",'General Inputs'!W$15,'General Inputs'!W$19)</f>
        <v>0</v>
      </c>
      <c r="DM63" s="214">
        <f t="shared" si="99"/>
        <v>0</v>
      </c>
      <c r="DN63" s="214">
        <f t="shared" si="99"/>
        <v>400</v>
      </c>
      <c r="DO63" s="214">
        <f t="shared" si="99"/>
        <v>0</v>
      </c>
      <c r="DP63" s="214">
        <f t="shared" si="99"/>
        <v>0</v>
      </c>
      <c r="DQ63" s="214">
        <f t="shared" si="99"/>
        <v>0</v>
      </c>
      <c r="DR63" s="214">
        <f t="shared" si="99"/>
        <v>0</v>
      </c>
      <c r="DS63" s="214">
        <f t="shared" si="99"/>
        <v>0</v>
      </c>
      <c r="DT63" s="214">
        <f t="shared" si="99"/>
        <v>0</v>
      </c>
      <c r="DU63" s="214">
        <f t="shared" si="99"/>
        <v>0</v>
      </c>
      <c r="DV63" s="214">
        <f t="shared" si="99"/>
        <v>0</v>
      </c>
      <c r="DW63" s="214">
        <f t="shared" si="99"/>
        <v>0</v>
      </c>
      <c r="DZ63" s="650"/>
      <c r="FI63" s="195"/>
      <c r="FJ63" s="195"/>
      <c r="FK63" s="195"/>
      <c r="FL63" s="195"/>
      <c r="FM63" s="195"/>
      <c r="FN63" s="195"/>
      <c r="FO63" s="195"/>
    </row>
    <row r="64" spans="1:171">
      <c r="A64" s="342" t="s">
        <v>112</v>
      </c>
      <c r="B64" s="427" t="str">
        <f>'Portfolio Inputs'!A63</f>
        <v>Multi-CFL Fixture</v>
      </c>
      <c r="C64" s="217">
        <f>IF($C$1=2014,'Portfolio Inputs'!$C63,IF($C$1=2015,'Portfolio Inputs'!$D63,'Portfolio Inputs'!$E63))</f>
        <v>5</v>
      </c>
      <c r="D64" s="504">
        <f>VLOOKUP(B64,Sources!$B$4:$J$104,2,FALSE)</f>
        <v>18</v>
      </c>
      <c r="E64" s="504">
        <f>VLOOKUP(B64,Sources!$B$4:$J$104,3,FALSE)</f>
        <v>0</v>
      </c>
      <c r="G64" s="504">
        <f>IF($C$1=2014,'Portfolio Inputs'!$G63,IF($C$1=2015,'Portfolio Inputs'!$H63,'Portfolio Inputs'!$I63))*EnergyLineLoss</f>
        <v>6216.2091375</v>
      </c>
      <c r="H64" s="504"/>
      <c r="I64" s="595">
        <f>IF($C$1=2014,'Portfolio Inputs'!$K63,IF($C$1=2015,'Portfolio Inputs'!$L63,'Portfolio Inputs'!$M63))*PeakLineLoss</f>
        <v>0.96120882000000007</v>
      </c>
      <c r="J64" s="510"/>
      <c r="L64" s="606">
        <f>IF($C$1=2014,'Portfolio Inputs'!$O63,IF($C$1=2015,'Portfolio Inputs'!$P63,'Portfolio Inputs'!$Q63))</f>
        <v>98</v>
      </c>
      <c r="M64" s="518">
        <f>VLOOKUP($B64,Sources!$B$4:$K$104,10,FALSE)</f>
        <v>0</v>
      </c>
      <c r="N64" s="419">
        <f>IF($C$1=2014,'Portfolio Inputs'!$W63,IF($C$1=2015,'Portfolio Inputs'!$X63,'Portfolio Inputs'!$Y63))</f>
        <v>125</v>
      </c>
      <c r="O64" s="419">
        <f>IF($C$1=2014,'Portfolio Inputs'!$AA63,IF($C$1=2015,'Portfolio Inputs'!$AB63,'Portfolio Inputs'!$AC63))</f>
        <v>0</v>
      </c>
      <c r="Q64" s="438">
        <f t="shared" si="67"/>
        <v>5.754671117742272</v>
      </c>
      <c r="R64" s="439">
        <f t="shared" si="68"/>
        <v>22.558310781549707</v>
      </c>
      <c r="S64" s="439">
        <f t="shared" si="69"/>
        <v>7.1476946838644384</v>
      </c>
      <c r="T64" s="439">
        <f t="shared" si="70"/>
        <v>14.525342411804486</v>
      </c>
      <c r="U64" s="439">
        <f t="shared" si="98"/>
        <v>14.525342411804486</v>
      </c>
      <c r="V64" s="439">
        <f t="shared" si="72"/>
        <v>0.39618144306639919</v>
      </c>
      <c r="W64" s="439">
        <f t="shared" si="73"/>
        <v>0.39618144306639919</v>
      </c>
      <c r="Y64" s="215">
        <f t="shared" si="4"/>
        <v>2590.7652036877189</v>
      </c>
      <c r="Z64" s="215">
        <f t="shared" si="5"/>
        <v>627.1421787944339</v>
      </c>
      <c r="AA64" s="215">
        <f t="shared" si="6"/>
        <v>6424.4926330248045</v>
      </c>
      <c r="AB64" s="215">
        <f t="shared" si="7"/>
        <v>6424.4926330248045</v>
      </c>
      <c r="AC64" s="216">
        <f t="shared" si="20"/>
        <v>0</v>
      </c>
      <c r="AD64" s="216">
        <f t="shared" si="21"/>
        <v>114.84748254318265</v>
      </c>
      <c r="AE64" s="215">
        <f t="shared" si="8"/>
        <v>450.20213156927599</v>
      </c>
      <c r="AG64" s="214">
        <f>IF(AND(($E64+$C$1)&gt;AG$4,AG$4&gt;=$C$1),'General Inputs'!D$9*$H64,IF(AND(($D64+$C$1)&gt;AG$4,AG$4&gt;=$C$1),'General Inputs'!D$9*$G64,0))+IF(AND(($E64+$C$1)&gt;AG$4,AG$4&gt;=$C$1),'General Inputs'!D$10*$J64,IF(AND(($D64+$C$1)&gt;AG$4,AG$4&gt;=$C$1),'General Inputs'!D$10*$I64,0))</f>
        <v>0</v>
      </c>
      <c r="AH64" s="214">
        <f>IF(AND(($E64+$C$1)&gt;AH$4,AH$4&gt;=$C$1),'General Inputs'!E$9*$H64,IF(AND(($D64+$C$1)&gt;AH$4,AH$4&gt;=$C$1),'General Inputs'!E$9*$G64,0))+IF(AND(($E64+$C$1)&gt;AH$4,AH$4&gt;=$C$1),'General Inputs'!E$10*$J64,IF(AND(($D64+$C$1)&gt;AH$4,AH$4&gt;=$C$1),'General Inputs'!E$10*$I64,0))</f>
        <v>265.80269178169277</v>
      </c>
      <c r="AI64" s="214">
        <f>IF(AND(($E64+$C$1)&gt;AI$4,AI$4&gt;=$C$1),'General Inputs'!F$9*$H64,IF(AND(($D64+$C$1)&gt;AI$4,AI$4&gt;=$C$1),'General Inputs'!F$9*$G64,0))+IF(AND(($E64+$C$1)&gt;AI$4,AI$4&gt;=$C$1),'General Inputs'!F$10*$J64,IF(AND(($D64+$C$1)&gt;AI$4,AI$4&gt;=$C$1),'General Inputs'!F$10*$I64,0))</f>
        <v>269.78973215841813</v>
      </c>
      <c r="AJ64" s="214">
        <f>IF(AND(($E64+$C$1)&gt;AJ$4,AJ$4&gt;=$C$1),'General Inputs'!G$9*$H64,IF(AND(($D64+$C$1)&gt;AJ$4,AJ$4&gt;=$C$1),'General Inputs'!G$9*$G64,0))+IF(AND(($E64+$C$1)&gt;AJ$4,AJ$4&gt;=$C$1),'General Inputs'!G$10*$J64,IF(AND(($D64+$C$1)&gt;AJ$4,AJ$4&gt;=$C$1),'General Inputs'!G$10*$I64,0))</f>
        <v>273.83657814079436</v>
      </c>
      <c r="AK64" s="214">
        <f>IF(AND(($E64+$C$1)&gt;AK$4,AK$4&gt;=$C$1),'General Inputs'!H$9*$H64,IF(AND(($D64+$C$1)&gt;AK$4,AK$4&gt;=$C$1),'General Inputs'!H$9*$G64,0))+IF(AND(($E64+$C$1)&gt;AK$4,AK$4&gt;=$C$1),'General Inputs'!H$10*$J64,IF(AND(($D64+$C$1)&gt;AK$4,AK$4&gt;=$C$1),'General Inputs'!H$10*$I64,0))</f>
        <v>277.94412681290623</v>
      </c>
      <c r="AL64" s="214">
        <f>IF(AND(($E64+$C$1)&gt;AL$4,AL$4&gt;=$C$1),'General Inputs'!I$9*$H64,IF(AND(($D64+$C$1)&gt;AL$4,AL$4&gt;=$C$1),'General Inputs'!I$9*$G64,0))+IF(AND(($E64+$C$1)&gt;AL$4,AL$4&gt;=$C$1),'General Inputs'!I$10*$J64,IF(AND(($D64+$C$1)&gt;AL$4,AL$4&gt;=$C$1),'General Inputs'!I$10*$I64,0))</f>
        <v>282.11328871509983</v>
      </c>
      <c r="AM64" s="214">
        <f>IF(AND(($E64+$C$1)&gt;AM$4,AM$4&gt;=$C$1),'General Inputs'!J$9*$H64,IF(AND(($D64+$C$1)&gt;AM$4,AM$4&gt;=$C$1),'General Inputs'!J$9*$G64,0))+IF(AND(($E64+$C$1)&gt;AM$4,AM$4&gt;=$C$1),'General Inputs'!J$10*$J64,IF(AND(($D64+$C$1)&gt;AM$4,AM$4&gt;=$C$1),'General Inputs'!J$10*$I64,0))</f>
        <v>286.34498804582626</v>
      </c>
      <c r="AN64" s="214">
        <f>IF(AND(($E64+$C$1)&gt;AN$4,AN$4&gt;=$C$1),'General Inputs'!K$9*$H64,IF(AND(($D64+$C$1)&gt;AN$4,AN$4&gt;=$C$1),'General Inputs'!K$9*$G64,0))+IF(AND(($E64+$C$1)&gt;AN$4,AN$4&gt;=$C$1),'General Inputs'!K$10*$J64,IF(AND(($D64+$C$1)&gt;AN$4,AN$4&gt;=$C$1),'General Inputs'!K$10*$I64,0))</f>
        <v>290.64016286651361</v>
      </c>
      <c r="AO64" s="214">
        <f>IF(AND(($E64+$C$1)&gt;AO$4,AO$4&gt;=$C$1),'General Inputs'!L$9*$H64,IF(AND(($D64+$C$1)&gt;AO$4,AO$4&gt;=$C$1),'General Inputs'!L$9*$G64,0))+IF(AND(($E64+$C$1)&gt;AO$4,AO$4&gt;=$C$1),'General Inputs'!L$10*$J64,IF(AND(($D64+$C$1)&gt;AO$4,AO$4&gt;=$C$1),'General Inputs'!L$10*$I64,0))</f>
        <v>294.99976530951136</v>
      </c>
      <c r="AP64" s="214">
        <f>IF(AND(($E64+$C$1)&gt;AP$4,AP$4&gt;=$C$1),'General Inputs'!M$9*$H64,IF(AND(($D64+$C$1)&gt;AP$4,AP$4&gt;=$C$1),'General Inputs'!M$9*$G64,0))+IF(AND(($E64+$C$1)&gt;AP$4,AP$4&gt;=$C$1),'General Inputs'!M$10*$J64,IF(AND(($D64+$C$1)&gt;AP$4,AP$4&gt;=$C$1),'General Inputs'!M$10*$I64,0))</f>
        <v>299.42476178915393</v>
      </c>
      <c r="AQ64" s="214">
        <f>IF(AND(($E64+$C$1)&gt;AQ$4,AQ$4&gt;=$C$1),'General Inputs'!N$9*$H64,IF(AND(($D64+$C$1)&gt;AQ$4,AQ$4&gt;=$C$1),'General Inputs'!N$9*$G64,0))+IF(AND(($E64+$C$1)&gt;AQ$4,AQ$4&gt;=$C$1),'General Inputs'!N$10*$J64,IF(AND(($D64+$C$1)&gt;AQ$4,AQ$4&gt;=$C$1),'General Inputs'!N$10*$I64,0))</f>
        <v>303.91613321599124</v>
      </c>
      <c r="AR64" s="214">
        <f>IF(AND(($E64+$C$1)&gt;AR$4,AR$4&gt;=$C$1),'General Inputs'!O$9*$H64,IF(AND(($D64+$C$1)&gt;AR$4,AR$4&gt;=$C$1),'General Inputs'!O$9*$G64,0))+IF(AND(($E64+$C$1)&gt;AR$4,AR$4&gt;=$C$1),'General Inputs'!O$10*$J64,IF(AND(($D64+$C$1)&gt;AR$4,AR$4&gt;=$C$1),'General Inputs'!O$10*$I64,0))</f>
        <v>308.47487521423102</v>
      </c>
      <c r="AS64" s="214">
        <f>IF(AND(($E64+$C$1)&gt;AS$4,AS$4&gt;=$C$1),'General Inputs'!P$9*$H64,IF(AND(($D64+$C$1)&gt;AS$4,AS$4&gt;=$C$1),'General Inputs'!P$9*$G64,0))+IF(AND(($E64+$C$1)&gt;AS$4,AS$4&gt;=$C$1),'General Inputs'!P$10*$J64,IF(AND(($D64+$C$1)&gt;AS$4,AS$4&gt;=$C$1),'General Inputs'!P$10*$I64,0))</f>
        <v>313.10199834244452</v>
      </c>
      <c r="AT64" s="214">
        <f>IF(AND(($E64+$C$1)&gt;AT$4,AT$4&gt;=$C$1),'General Inputs'!Q$9*$H64,IF(AND(($D64+$C$1)&gt;AT$4,AT$4&gt;=$C$1),'General Inputs'!Q$9*$G64,0))+IF(AND(($E64+$C$1)&gt;AT$4,AT$4&gt;=$C$1),'General Inputs'!Q$10*$J64,IF(AND(($D64+$C$1)&gt;AT$4,AT$4&gt;=$C$1),'General Inputs'!Q$10*$I64,0))</f>
        <v>317.79852831758114</v>
      </c>
      <c r="AU64" s="214">
        <f>IF(AND(($E64+$C$1)&gt;AU$4,AU$4&gt;=$C$1),'General Inputs'!R$9*$H64,IF(AND(($D64+$C$1)&gt;AU$4,AU$4&gt;=$C$1),'General Inputs'!R$9*$G64,0))+IF(AND(($E64+$C$1)&gt;AU$4,AU$4&gt;=$C$1),'General Inputs'!R$10*$J64,IF(AND(($D64+$C$1)&gt;AU$4,AU$4&gt;=$C$1),'General Inputs'!R$10*$I64,0))</f>
        <v>322.56550624234484</v>
      </c>
      <c r="AV64" s="214">
        <f>IF(AND(($E64+$C$1)&gt;AV$4,AV$4&gt;=$C$1),'General Inputs'!S$9*$H64,IF(AND(($D64+$C$1)&gt;AV$4,AV$4&gt;=$C$1),'General Inputs'!S$9*$G64,0))+IF(AND(($E64+$C$1)&gt;AV$4,AV$4&gt;=$C$1),'General Inputs'!S$10*$J64,IF(AND(($D64+$C$1)&gt;AV$4,AV$4&gt;=$C$1),'General Inputs'!S$10*$I64,0))</f>
        <v>327.40398883597999</v>
      </c>
      <c r="AW64" s="214">
        <f>IF(AND(($E64+$C$1)&gt;AW$4,AW$4&gt;=$C$1),'General Inputs'!T$9*$H64,IF(AND(($D64+$C$1)&gt;AW$4,AW$4&gt;=$C$1),'General Inputs'!T$9*$G64,0))+IF(AND(($E64+$C$1)&gt;AW$4,AW$4&gt;=$C$1),'General Inputs'!T$10*$J64,IF(AND(($D64+$C$1)&gt;AW$4,AW$4&gt;=$C$1),'General Inputs'!T$10*$I64,0))</f>
        <v>332.31504866851969</v>
      </c>
      <c r="AX64" s="214">
        <f>IF(AND(($E64+$C$1)&gt;AX$4,AX$4&gt;=$C$1),'General Inputs'!U$9*$H64,IF(AND(($D64+$C$1)&gt;AX$4,AX$4&gt;=$C$1),'General Inputs'!U$9*$G64,0))+IF(AND(($E64+$C$1)&gt;AX$4,AX$4&gt;=$C$1),'General Inputs'!U$10*$J64,IF(AND(($D64+$C$1)&gt;AX$4,AX$4&gt;=$C$1),'General Inputs'!U$10*$I64,0))</f>
        <v>337.29977439854747</v>
      </c>
      <c r="AY64" s="214">
        <f>IF(AND(($E64+$C$1)&gt;AY$4,AY$4&gt;=$C$1),'General Inputs'!V$9*$H64,IF(AND(($D64+$C$1)&gt;AY$4,AY$4&gt;=$C$1),'General Inputs'!V$9*$G64,0))+IF(AND(($E64+$C$1)&gt;AY$4,AY$4&gt;=$C$1),'General Inputs'!V$10*$J64,IF(AND(($D64+$C$1)&gt;AY$4,AY$4&gt;=$C$1),'General Inputs'!V$10*$I64,0))</f>
        <v>342.35927101452563</v>
      </c>
      <c r="AZ64" s="214">
        <f>IF(AND(($E64+$C$1)&gt;AZ$4,AZ$4&gt;=$C$1),'General Inputs'!W$9*$H64,IF(AND(($D64+$C$1)&gt;AZ$4,AZ$4&gt;=$C$1),'General Inputs'!W$9*$G64,0))+IF(AND(($E64+$C$1)&gt;AZ$4,AZ$4&gt;=$C$1),'General Inputs'!W$10*$J64,IF(AND(($D64+$C$1)&gt;AZ$4,AZ$4&gt;=$C$1),'General Inputs'!W$10*$I64,0))</f>
        <v>0</v>
      </c>
      <c r="BB64" s="214">
        <f>IF(AND(($E64+$C$1)&gt;BB$4,BB$4&gt;=$C$1),'General Inputs'!D$11*$H64,IF(AND(($D64+$C$1)&gt;BB$4,BB$4&gt;=$C$1),'General Inputs'!D$11*$G64,0))</f>
        <v>0</v>
      </c>
      <c r="BC64" s="214">
        <f>IF(AND(($E64+$C$1)&gt;BC$4,BC$4&gt;=$C$1),'General Inputs'!E$11*$H64,IF(AND(($D64+$C$1)&gt;BC$4,BC$4&gt;=$C$1),'General Inputs'!E$11*$G64,0))</f>
        <v>70.864784167500005</v>
      </c>
      <c r="BD64" s="214">
        <f>IF(AND(($E64+$C$1)&gt;BD$4,BD$4&gt;=$C$1),'General Inputs'!F$11*$H64,IF(AND(($D64+$C$1)&gt;BD$4,BD$4&gt;=$C$1),'General Inputs'!F$11*$G64,0))</f>
        <v>70.864784167500005</v>
      </c>
      <c r="BE64" s="214">
        <f>IF(AND(($E64+$C$1)&gt;BE$4,BE$4&gt;=$C$1),'General Inputs'!G$11*$H64,IF(AND(($D64+$C$1)&gt;BE$4,BE$4&gt;=$C$1),'General Inputs'!G$11*$G64,0))</f>
        <v>70.864784167500005</v>
      </c>
      <c r="BF64" s="214">
        <f>IF(AND(($E64+$C$1)&gt;BF$4,BF$4&gt;=$C$1),'General Inputs'!H$11*$H64,IF(AND(($D64+$C$1)&gt;BF$4,BF$4&gt;=$C$1),'General Inputs'!H$11*$G64,0))</f>
        <v>70.864784167500005</v>
      </c>
      <c r="BG64" s="214">
        <f>IF(AND(($E64+$C$1)&gt;BG$4,BG$4&gt;=$C$1),'General Inputs'!I$11*$H64,IF(AND(($D64+$C$1)&gt;BG$4,BG$4&gt;=$C$1),'General Inputs'!I$11*$G64,0))</f>
        <v>70.864784167500005</v>
      </c>
      <c r="BH64" s="214">
        <f>IF(AND(($E64+$C$1)&gt;BH$4,BH$4&gt;=$C$1),'General Inputs'!J$11*$H64,IF(AND(($D64+$C$1)&gt;BH$4,BH$4&gt;=$C$1),'General Inputs'!J$11*$G64,0))</f>
        <v>70.864784167500005</v>
      </c>
      <c r="BI64" s="214">
        <f>IF(AND(($E64+$C$1)&gt;BI$4,BI$4&gt;=$C$1),'General Inputs'!K$11*$H64,IF(AND(($D64+$C$1)&gt;BI$4,BI$4&gt;=$C$1),'General Inputs'!K$11*$G64,0))</f>
        <v>70.864784167500005</v>
      </c>
      <c r="BJ64" s="214">
        <f>IF(AND(($E64+$C$1)&gt;BJ$4,BJ$4&gt;=$C$1),'General Inputs'!L$11*$H64,IF(AND(($D64+$C$1)&gt;BJ$4,BJ$4&gt;=$C$1),'General Inputs'!L$11*$G64,0))</f>
        <v>70.864784167500005</v>
      </c>
      <c r="BK64" s="214">
        <f>IF(AND(($E64+$C$1)&gt;BK$4,BK$4&gt;=$C$1),'General Inputs'!M$11*$H64,IF(AND(($D64+$C$1)&gt;BK$4,BK$4&gt;=$C$1),'General Inputs'!M$11*$G64,0))</f>
        <v>70.864784167500005</v>
      </c>
      <c r="BL64" s="214">
        <f>IF(AND(($E64+$C$1)&gt;BL$4,BL$4&gt;=$C$1),'General Inputs'!N$11*$H64,IF(AND(($D64+$C$1)&gt;BL$4,BL$4&gt;=$C$1),'General Inputs'!N$11*$G64,0))</f>
        <v>70.864784167500005</v>
      </c>
      <c r="BM64" s="214">
        <f>IF(AND(($E64+$C$1)&gt;BM$4,BM$4&gt;=$C$1),'General Inputs'!O$11*$H64,IF(AND(($D64+$C$1)&gt;BM$4,BM$4&gt;=$C$1),'General Inputs'!O$11*$G64,0))</f>
        <v>70.864784167500005</v>
      </c>
      <c r="BN64" s="214">
        <f>IF(AND(($E64+$C$1)&gt;BN$4,BN$4&gt;=$C$1),'General Inputs'!P$11*$H64,IF(AND(($D64+$C$1)&gt;BN$4,BN$4&gt;=$C$1),'General Inputs'!P$11*$G64,0))</f>
        <v>70.864784167500005</v>
      </c>
      <c r="BO64" s="214">
        <f>IF(AND(($E64+$C$1)&gt;BO$4,BO$4&gt;=$C$1),'General Inputs'!Q$11*$H64,IF(AND(($D64+$C$1)&gt;BO$4,BO$4&gt;=$C$1),'General Inputs'!Q$11*$G64,0))</f>
        <v>70.864784167500005</v>
      </c>
      <c r="BP64" s="214">
        <f>IF(AND(($E64+$C$1)&gt;BP$4,BP$4&gt;=$C$1),'General Inputs'!R$11*$H64,IF(AND(($D64+$C$1)&gt;BP$4,BP$4&gt;=$C$1),'General Inputs'!R$11*$G64,0))</f>
        <v>70.864784167500005</v>
      </c>
      <c r="BQ64" s="214">
        <f>IF(AND(($E64+$C$1)&gt;BQ$4,BQ$4&gt;=$C$1),'General Inputs'!S$11*$H64,IF(AND(($D64+$C$1)&gt;BQ$4,BQ$4&gt;=$C$1),'General Inputs'!S$11*$G64,0))</f>
        <v>70.864784167500005</v>
      </c>
      <c r="BR64" s="214">
        <f>IF(AND(($E64+$C$1)&gt;BR$4,BR$4&gt;=$C$1),'General Inputs'!T$11*$H64,IF(AND(($D64+$C$1)&gt;BR$4,BR$4&gt;=$C$1),'General Inputs'!T$11*$G64,0))</f>
        <v>70.864784167500005</v>
      </c>
      <c r="BS64" s="214">
        <f>IF(AND(($E64+$C$1)&gt;BS$4,BS$4&gt;=$C$1),'General Inputs'!U$11*$H64,IF(AND(($D64+$C$1)&gt;BS$4,BS$4&gt;=$C$1),'General Inputs'!U$11*$G64,0))</f>
        <v>70.864784167500005</v>
      </c>
      <c r="BT64" s="214">
        <f>IF(AND(($E64+$C$1)&gt;BT$4,BT$4&gt;=$C$1),'General Inputs'!V$11*$H64,IF(AND(($D64+$C$1)&gt;BT$4,BT$4&gt;=$C$1),'General Inputs'!V$11*$G64,0))</f>
        <v>70.864784167500005</v>
      </c>
      <c r="BU64" s="214">
        <f>IF(AND(($E64+$C$1)&gt;BU$4,BU$4&gt;=$C$1),'General Inputs'!W$11*$H64,IF(AND(($D64+$C$1)&gt;BU$4,BU$4&gt;=$C$1),'General Inputs'!W$11*$G64,0))</f>
        <v>0</v>
      </c>
      <c r="BW64" s="214">
        <f>IF(AND(($E64+$C$1)&gt;BW$4,BW$4&gt;=$C$1),$H64,IF(AND(($D64+$C$1)&gt;BW$4,BW$4&gt;=$C$1),$G64,0))*IF($A64="Residential",'General Inputs'!D$14,'General Inputs'!D$19)</f>
        <v>0</v>
      </c>
      <c r="BX64" s="214">
        <f>IF(AND(($E64+$C$1)&gt;BX$4,BX$4&gt;=$C$1),$H64,IF(AND(($D64+$C$1)&gt;BX$4,BX$4&gt;=$C$1),$G64,0))*IF($A64="Residential",'General Inputs'!E$14,'General Inputs'!E$19)</f>
        <v>659.12859751202723</v>
      </c>
      <c r="BY64" s="214">
        <f>IF(AND(($E64+$C$1)&gt;BY$4,BY$4&gt;=$C$1),$H64,IF(AND(($D64+$C$1)&gt;BY$4,BY$4&gt;=$C$1),$G64,0))*IF($A64="Residential",'General Inputs'!F$14,'General Inputs'!F$19)</f>
        <v>669.01552647470771</v>
      </c>
      <c r="BZ64" s="214">
        <f>IF(AND(($E64+$C$1)&gt;BZ$4,BZ$4&gt;=$C$1),$H64,IF(AND(($D64+$C$1)&gt;BZ$4,BZ$4&gt;=$C$1),$G64,0))*IF($A64="Residential",'General Inputs'!G$14,'General Inputs'!G$19)</f>
        <v>679.05075937182824</v>
      </c>
      <c r="CA64" s="214">
        <f>IF(AND(($E64+$C$1)&gt;CA$4,CA$4&gt;=$C$1),$H64,IF(AND(($D64+$C$1)&gt;CA$4,CA$4&gt;=$C$1),$G64,0))*IF($A64="Residential",'General Inputs'!H$14,'General Inputs'!H$19)</f>
        <v>689.23652076240546</v>
      </c>
      <c r="CB64" s="214">
        <f>IF(AND(($E64+$C$1)&gt;CB$4,CB$4&gt;=$C$1),$H64,IF(AND(($D64+$C$1)&gt;CB$4,CB$4&gt;=$C$1),$G64,0))*IF($A64="Residential",'General Inputs'!I$14,'General Inputs'!I$19)</f>
        <v>699.57506857384146</v>
      </c>
      <c r="CC64" s="214">
        <f>IF(AND(($E64+$C$1)&gt;CC$4,CC$4&gt;=$C$1),$H64,IF(AND(($D64+$C$1)&gt;CC$4,CC$4&gt;=$C$1),$G64,0))*IF($A64="Residential",'General Inputs'!J$14,'General Inputs'!J$19)</f>
        <v>710.06869460244911</v>
      </c>
      <c r="CD64" s="214">
        <f>IF(AND(($E64+$C$1)&gt;CD$4,CD$4&gt;=$C$1),$H64,IF(AND(($D64+$C$1)&gt;CD$4,CD$4&gt;=$C$1),$G64,0))*IF($A64="Residential",'General Inputs'!K$14,'General Inputs'!K$19)</f>
        <v>720.71972502148571</v>
      </c>
      <c r="CE64" s="214">
        <f>IF(AND(($E64+$C$1)&gt;CE$4,CE$4&gt;=$C$1),$H64,IF(AND(($D64+$C$1)&gt;CE$4,CE$4&gt;=$C$1),$G64,0))*IF($A64="Residential",'General Inputs'!L$14,'General Inputs'!L$19)</f>
        <v>731.53052089680796</v>
      </c>
      <c r="CF64" s="214">
        <f>IF(AND(($E64+$C$1)&gt;CF$4,CF$4&gt;=$C$1),$H64,IF(AND(($D64+$C$1)&gt;CF$4,CF$4&gt;=$C$1),$G64,0))*IF($A64="Residential",'General Inputs'!M$14,'General Inputs'!M$19)</f>
        <v>742.50347871025997</v>
      </c>
      <c r="CG64" s="214">
        <f>IF(AND(($E64+$C$1)&gt;CG$4,CG$4&gt;=$C$1),$H64,IF(AND(($D64+$C$1)&gt;CG$4,CG$4&gt;=$C$1),$G64,0))*IF($A64="Residential",'General Inputs'!N$14,'General Inputs'!N$19)</f>
        <v>753.64103089091384</v>
      </c>
      <c r="CH64" s="214">
        <f>IF(AND(($E64+$C$1)&gt;CH$4,CH$4&gt;=$C$1),$H64,IF(AND(($D64+$C$1)&gt;CH$4,CH$4&gt;=$C$1),$G64,0))*IF($A64="Residential",'General Inputs'!O$14,'General Inputs'!O$19)</f>
        <v>764.94564635427741</v>
      </c>
      <c r="CI64" s="214">
        <f>IF(AND(($E64+$C$1)&gt;CI$4,CI$4&gt;=$C$1),$H64,IF(AND(($D64+$C$1)&gt;CI$4,CI$4&gt;=$C$1),$G64,0))*IF($A64="Residential",'General Inputs'!P$14,'General Inputs'!P$19)</f>
        <v>776.41983104959161</v>
      </c>
      <c r="CJ64" s="214">
        <f>IF(AND(($E64+$C$1)&gt;CJ$4,CJ$4&gt;=$C$1),$H64,IF(AND(($D64+$C$1)&gt;CJ$4,CJ$4&gt;=$C$1),$G64,0))*IF($A64="Residential",'General Inputs'!Q$14,'General Inputs'!Q$19)</f>
        <v>788.06612851533544</v>
      </c>
      <c r="CK64" s="214">
        <f>IF(AND(($E64+$C$1)&gt;CK$4,CK$4&gt;=$C$1),$H64,IF(AND(($D64+$C$1)&gt;CK$4,CK$4&gt;=$C$1),$G64,0))*IF($A64="Residential",'General Inputs'!R$14,'General Inputs'!R$19)</f>
        <v>799.88712044306533</v>
      </c>
      <c r="CL64" s="214">
        <f>IF(AND(($E64+$C$1)&gt;CL$4,CL$4&gt;=$C$1),$H64,IF(AND(($D64+$C$1)&gt;CL$4,CL$4&gt;=$C$1),$G64,0))*IF($A64="Residential",'General Inputs'!S$14,'General Inputs'!S$19)</f>
        <v>811.88542724971126</v>
      </c>
      <c r="CM64" s="214">
        <f>IF(AND(($E64+$C$1)&gt;CM$4,CM$4&gt;=$C$1),$H64,IF(AND(($D64+$C$1)&gt;CM$4,CM$4&gt;=$C$1),$G64,0))*IF($A64="Residential",'General Inputs'!T$14,'General Inputs'!T$19)</f>
        <v>824.0637086584569</v>
      </c>
      <c r="CN64" s="214">
        <f>IF(AND(($E64+$C$1)&gt;CN$4,CN$4&gt;=$C$1),$H64,IF(AND(($D64+$C$1)&gt;CN$4,CN$4&gt;=$C$1),$G64,0))*IF($A64="Residential",'General Inputs'!U$14,'General Inputs'!U$19)</f>
        <v>836.42466428833359</v>
      </c>
      <c r="CO64" s="214">
        <f>IF(AND(($E64+$C$1)&gt;CO$4,CO$4&gt;=$C$1),$H64,IF(AND(($D64+$C$1)&gt;CO$4,CO$4&gt;=$C$1),$G64,0))*IF($A64="Residential",'General Inputs'!V$14,'General Inputs'!V$19)</f>
        <v>848.97103425265846</v>
      </c>
      <c r="CP64" s="214">
        <f>IF(AND(($E64+$C$1)&gt;CP$4,CP$4&gt;=$C$1),$H64,IF(AND(($D64+$C$1)&gt;CP$4,CP$4&gt;=$C$1),$G64,0))*IF($A64="Residential",'General Inputs'!W$14,'General Inputs'!W$19)</f>
        <v>0</v>
      </c>
      <c r="CR64" s="214">
        <f>IF(AND(($E64+$C$1)&gt;CR$4,CR$4&gt;=$C$1),$H64,IF(AND(($D64+$C$1)&gt;CR$4,CR$4&gt;=$C$1),$G64,0))*IF($A64="Residential",'General Inputs'!D$15,'General Inputs'!D$19)</f>
        <v>0</v>
      </c>
      <c r="CS64" s="214">
        <f>IF(AND(($E64+$C$1)&gt;CS$4,CS$4&gt;=$C$1),$H64,IF(AND(($D64+$C$1)&gt;CS$4,CS$4&gt;=$C$1),$G64,0))*IF($A64="Residential",'General Inputs'!E$15,'General Inputs'!E$19)</f>
        <v>659.12859751202723</v>
      </c>
      <c r="CT64" s="214">
        <f>IF(AND(($E64+$C$1)&gt;CT$4,CT$4&gt;=$C$1),$H64,IF(AND(($D64+$C$1)&gt;CT$4,CT$4&gt;=$C$1),$G64,0))*IF($A64="Residential",'General Inputs'!F$15,'General Inputs'!F$19)</f>
        <v>669.01552647470771</v>
      </c>
      <c r="CU64" s="214">
        <f>IF(AND(($E64+$C$1)&gt;CU$4,CU$4&gt;=$C$1),$H64,IF(AND(($D64+$C$1)&gt;CU$4,CU$4&gt;=$C$1),$G64,0))*IF($A64="Residential",'General Inputs'!G$15,'General Inputs'!G$19)</f>
        <v>679.05075937182824</v>
      </c>
      <c r="CV64" s="214">
        <f>IF(AND(($E64+$C$1)&gt;CV$4,CV$4&gt;=$C$1),$H64,IF(AND(($D64+$C$1)&gt;CV$4,CV$4&gt;=$C$1),$G64,0))*IF($A64="Residential",'General Inputs'!H$15,'General Inputs'!H$19)</f>
        <v>689.23652076240546</v>
      </c>
      <c r="CW64" s="214">
        <f>IF(AND(($E64+$C$1)&gt;CW$4,CW$4&gt;=$C$1),$H64,IF(AND(($D64+$C$1)&gt;CW$4,CW$4&gt;=$C$1),$G64,0))*IF($A64="Residential",'General Inputs'!I$15,'General Inputs'!I$19)</f>
        <v>699.57506857384146</v>
      </c>
      <c r="CX64" s="214">
        <f>IF(AND(($E64+$C$1)&gt;CX$4,CX$4&gt;=$C$1),$H64,IF(AND(($D64+$C$1)&gt;CX$4,CX$4&gt;=$C$1),$G64,0))*IF($A64="Residential",'General Inputs'!J$15,'General Inputs'!J$19)</f>
        <v>710.06869460244911</v>
      </c>
      <c r="CY64" s="214">
        <f>IF(AND(($E64+$C$1)&gt;CY$4,CY$4&gt;=$C$1),$H64,IF(AND(($D64+$C$1)&gt;CY$4,CY$4&gt;=$C$1),$G64,0))*IF($A64="Residential",'General Inputs'!K$15,'General Inputs'!K$19)</f>
        <v>720.71972502148571</v>
      </c>
      <c r="CZ64" s="214">
        <f>IF(AND(($E64+$C$1)&gt;CZ$4,CZ$4&gt;=$C$1),$H64,IF(AND(($D64+$C$1)&gt;CZ$4,CZ$4&gt;=$C$1),$G64,0))*IF($A64="Residential",'General Inputs'!L$15,'General Inputs'!L$19)</f>
        <v>731.53052089680796</v>
      </c>
      <c r="DA64" s="214">
        <f>IF(AND(($E64+$C$1)&gt;DA$4,DA$4&gt;=$C$1),$H64,IF(AND(($D64+$C$1)&gt;DA$4,DA$4&gt;=$C$1),$G64,0))*IF($A64="Residential",'General Inputs'!M$15,'General Inputs'!M$19)</f>
        <v>742.50347871025997</v>
      </c>
      <c r="DB64" s="214">
        <f>IF(AND(($E64+$C$1)&gt;DB$4,DB$4&gt;=$C$1),$H64,IF(AND(($D64+$C$1)&gt;DB$4,DB$4&gt;=$C$1),$G64,0))*IF($A64="Residential",'General Inputs'!N$15,'General Inputs'!N$19)</f>
        <v>753.64103089091384</v>
      </c>
      <c r="DC64" s="214">
        <f>IF(AND(($E64+$C$1)&gt;DC$4,DC$4&gt;=$C$1),$H64,IF(AND(($D64+$C$1)&gt;DC$4,DC$4&gt;=$C$1),$G64,0))*IF($A64="Residential",'General Inputs'!O$15,'General Inputs'!O$19)</f>
        <v>764.94564635427741</v>
      </c>
      <c r="DD64" s="214">
        <f>IF(AND(($E64+$C$1)&gt;DD$4,DD$4&gt;=$C$1),$H64,IF(AND(($D64+$C$1)&gt;DD$4,DD$4&gt;=$C$1),$G64,0))*IF($A64="Residential",'General Inputs'!P$15,'General Inputs'!P$19)</f>
        <v>776.41983104959161</v>
      </c>
      <c r="DE64" s="214">
        <f>IF(AND(($E64+$C$1)&gt;DE$4,DE$4&gt;=$C$1),$H64,IF(AND(($D64+$C$1)&gt;DE$4,DE$4&gt;=$C$1),$G64,0))*IF($A64="Residential",'General Inputs'!Q$15,'General Inputs'!Q$19)</f>
        <v>788.06612851533544</v>
      </c>
      <c r="DF64" s="214">
        <f>IF(AND(($E64+$C$1)&gt;DF$4,DF$4&gt;=$C$1),$H64,IF(AND(($D64+$C$1)&gt;DF$4,DF$4&gt;=$C$1),$G64,0))*IF($A64="Residential",'General Inputs'!R$15,'General Inputs'!R$19)</f>
        <v>799.88712044306533</v>
      </c>
      <c r="DG64" s="214">
        <f>IF(AND(($E64+$C$1)&gt;DG$4,DG$4&gt;=$C$1),$H64,IF(AND(($D64+$C$1)&gt;DG$4,DG$4&gt;=$C$1),$G64,0))*IF($A64="Residential",'General Inputs'!S$15,'General Inputs'!S$19)</f>
        <v>811.88542724971126</v>
      </c>
      <c r="DH64" s="214">
        <f>IF(AND(($E64+$C$1)&gt;DH$4,DH$4&gt;=$C$1),$H64,IF(AND(($D64+$C$1)&gt;DH$4,DH$4&gt;=$C$1),$G64,0))*IF($A64="Residential",'General Inputs'!T$15,'General Inputs'!T$19)</f>
        <v>824.0637086584569</v>
      </c>
      <c r="DI64" s="214">
        <f>IF(AND(($E64+$C$1)&gt;DI$4,DI$4&gt;=$C$1),$H64,IF(AND(($D64+$C$1)&gt;DI$4,DI$4&gt;=$C$1),$G64,0))*IF($A64="Residential",'General Inputs'!U$15,'General Inputs'!U$19)</f>
        <v>836.42466428833359</v>
      </c>
      <c r="DJ64" s="214">
        <f>IF(AND(($E64+$C$1)&gt;DJ$4,DJ$4&gt;=$C$1),$H64,IF(AND(($D64+$C$1)&gt;DJ$4,DJ$4&gt;=$C$1),$G64,0))*IF($A64="Residential",'General Inputs'!V$15,'General Inputs'!V$19)</f>
        <v>848.97103425265846</v>
      </c>
      <c r="DK64" s="214">
        <f>IF(AND(($E64+$C$1)&gt;DK$4,DK$4&gt;=$C$1),$H64,IF(AND(($D64+$C$1)&gt;DK$4,DK$4&gt;=$C$1),$G64,0))*IF($A64="Residential",'General Inputs'!W$15,'General Inputs'!W$19)</f>
        <v>0</v>
      </c>
      <c r="DM64" s="214">
        <f t="shared" si="99"/>
        <v>0</v>
      </c>
      <c r="DN64" s="214">
        <f t="shared" si="99"/>
        <v>490</v>
      </c>
      <c r="DO64" s="214">
        <f t="shared" si="99"/>
        <v>0</v>
      </c>
      <c r="DP64" s="214">
        <f t="shared" si="99"/>
        <v>0</v>
      </c>
      <c r="DQ64" s="214">
        <f t="shared" si="99"/>
        <v>0</v>
      </c>
      <c r="DR64" s="214">
        <f t="shared" si="99"/>
        <v>0</v>
      </c>
      <c r="DS64" s="214">
        <f t="shared" si="99"/>
        <v>0</v>
      </c>
      <c r="DT64" s="214">
        <f t="shared" si="99"/>
        <v>0</v>
      </c>
      <c r="DU64" s="214">
        <f t="shared" si="99"/>
        <v>0</v>
      </c>
      <c r="DV64" s="214">
        <f t="shared" si="99"/>
        <v>0</v>
      </c>
      <c r="DW64" s="214">
        <f t="shared" si="99"/>
        <v>0</v>
      </c>
      <c r="DZ64" s="650"/>
      <c r="FI64" s="195"/>
      <c r="FJ64" s="195"/>
      <c r="FK64" s="195"/>
      <c r="FL64" s="195"/>
      <c r="FM64" s="195"/>
      <c r="FN64" s="195"/>
      <c r="FO64" s="195"/>
    </row>
    <row r="65" spans="1:171">
      <c r="A65" s="342" t="s">
        <v>112</v>
      </c>
      <c r="B65" s="427" t="str">
        <f>'Portfolio Inputs'!A64</f>
        <v>Indirect Fixture</v>
      </c>
      <c r="C65" s="217">
        <f>IF($C$1=2014,'Portfolio Inputs'!$C64,IF($C$1=2015,'Portfolio Inputs'!$D64,'Portfolio Inputs'!$E64))</f>
        <v>0</v>
      </c>
      <c r="D65" s="504">
        <f>VLOOKUP(B65,Sources!$B$4:$J$104,2,FALSE)</f>
        <v>18</v>
      </c>
      <c r="E65" s="504">
        <f>VLOOKUP(B65,Sources!$B$4:$J$104,3,FALSE)</f>
        <v>0</v>
      </c>
      <c r="G65" s="504">
        <f>IF($C$1=2014,'Portfolio Inputs'!$G64,IF($C$1=2015,'Portfolio Inputs'!$H64,'Portfolio Inputs'!$I64))*EnergyLineLoss</f>
        <v>0</v>
      </c>
      <c r="H65" s="504"/>
      <c r="I65" s="595">
        <f>IF($C$1=2014,'Portfolio Inputs'!$K64,IF($C$1=2015,'Portfolio Inputs'!$L64,'Portfolio Inputs'!$M64))*PeakLineLoss</f>
        <v>0</v>
      </c>
      <c r="J65" s="510"/>
      <c r="L65" s="606">
        <f>IF($C$1=2014,'Portfolio Inputs'!$O64,IF($C$1=2015,'Portfolio Inputs'!$P64,'Portfolio Inputs'!$Q64))</f>
        <v>60</v>
      </c>
      <c r="M65" s="518">
        <f>VLOOKUP($B65,Sources!$B$4:$K$104,10,FALSE)</f>
        <v>0</v>
      </c>
      <c r="N65" s="419">
        <f>IF($C$1=2014,'Portfolio Inputs'!$W64,IF($C$1=2015,'Portfolio Inputs'!$X64,'Portfolio Inputs'!$Y64))</f>
        <v>0</v>
      </c>
      <c r="O65" s="419">
        <f>IF($C$1=2014,'Portfolio Inputs'!$AA64,IF($C$1=2015,'Portfolio Inputs'!$AB64,'Portfolio Inputs'!$AC64))</f>
        <v>0</v>
      </c>
      <c r="Q65" s="438" t="str">
        <f t="shared" si="67"/>
        <v>n/a</v>
      </c>
      <c r="R65" s="439" t="str">
        <f t="shared" si="68"/>
        <v>n/a</v>
      </c>
      <c r="S65" s="439" t="str">
        <f t="shared" si="69"/>
        <v>n/a</v>
      </c>
      <c r="T65" s="439" t="str">
        <f t="shared" si="70"/>
        <v>n/a</v>
      </c>
      <c r="U65" s="439" t="str">
        <f t="shared" si="98"/>
        <v>n/a</v>
      </c>
      <c r="V65" s="439" t="str">
        <f t="shared" si="72"/>
        <v>n/a</v>
      </c>
      <c r="W65" s="439" t="str">
        <f t="shared" si="73"/>
        <v>n/a</v>
      </c>
      <c r="Y65" s="215">
        <f t="shared" si="4"/>
        <v>0</v>
      </c>
      <c r="Z65" s="215">
        <f t="shared" si="5"/>
        <v>0</v>
      </c>
      <c r="AA65" s="215">
        <f t="shared" si="6"/>
        <v>0</v>
      </c>
      <c r="AB65" s="215">
        <f t="shared" si="7"/>
        <v>0</v>
      </c>
      <c r="AC65" s="216">
        <f t="shared" si="20"/>
        <v>0</v>
      </c>
      <c r="AD65" s="216">
        <f t="shared" si="21"/>
        <v>0</v>
      </c>
      <c r="AE65" s="215">
        <f t="shared" si="8"/>
        <v>0</v>
      </c>
      <c r="AG65" s="214">
        <f>IF(AND(($E65+$C$1)&gt;AG$4,AG$4&gt;=$C$1),'General Inputs'!D$9*$H65,IF(AND(($D65+$C$1)&gt;AG$4,AG$4&gt;=$C$1),'General Inputs'!D$9*$G65,0))+IF(AND(($E65+$C$1)&gt;AG$4,AG$4&gt;=$C$1),'General Inputs'!D$10*$J65,IF(AND(($D65+$C$1)&gt;AG$4,AG$4&gt;=$C$1),'General Inputs'!D$10*$I65,0))</f>
        <v>0</v>
      </c>
      <c r="AH65" s="214">
        <f>IF(AND(($E65+$C$1)&gt;AH$4,AH$4&gt;=$C$1),'General Inputs'!E$9*$H65,IF(AND(($D65+$C$1)&gt;AH$4,AH$4&gt;=$C$1),'General Inputs'!E$9*$G65,0))+IF(AND(($E65+$C$1)&gt;AH$4,AH$4&gt;=$C$1),'General Inputs'!E$10*$J65,IF(AND(($D65+$C$1)&gt;AH$4,AH$4&gt;=$C$1),'General Inputs'!E$10*$I65,0))</f>
        <v>0</v>
      </c>
      <c r="AI65" s="214">
        <f>IF(AND(($E65+$C$1)&gt;AI$4,AI$4&gt;=$C$1),'General Inputs'!F$9*$H65,IF(AND(($D65+$C$1)&gt;AI$4,AI$4&gt;=$C$1),'General Inputs'!F$9*$G65,0))+IF(AND(($E65+$C$1)&gt;AI$4,AI$4&gt;=$C$1),'General Inputs'!F$10*$J65,IF(AND(($D65+$C$1)&gt;AI$4,AI$4&gt;=$C$1),'General Inputs'!F$10*$I65,0))</f>
        <v>0</v>
      </c>
      <c r="AJ65" s="214">
        <f>IF(AND(($E65+$C$1)&gt;AJ$4,AJ$4&gt;=$C$1),'General Inputs'!G$9*$H65,IF(AND(($D65+$C$1)&gt;AJ$4,AJ$4&gt;=$C$1),'General Inputs'!G$9*$G65,0))+IF(AND(($E65+$C$1)&gt;AJ$4,AJ$4&gt;=$C$1),'General Inputs'!G$10*$J65,IF(AND(($D65+$C$1)&gt;AJ$4,AJ$4&gt;=$C$1),'General Inputs'!G$10*$I65,0))</f>
        <v>0</v>
      </c>
      <c r="AK65" s="214">
        <f>IF(AND(($E65+$C$1)&gt;AK$4,AK$4&gt;=$C$1),'General Inputs'!H$9*$H65,IF(AND(($D65+$C$1)&gt;AK$4,AK$4&gt;=$C$1),'General Inputs'!H$9*$G65,0))+IF(AND(($E65+$C$1)&gt;AK$4,AK$4&gt;=$C$1),'General Inputs'!H$10*$J65,IF(AND(($D65+$C$1)&gt;AK$4,AK$4&gt;=$C$1),'General Inputs'!H$10*$I65,0))</f>
        <v>0</v>
      </c>
      <c r="AL65" s="214">
        <f>IF(AND(($E65+$C$1)&gt;AL$4,AL$4&gt;=$C$1),'General Inputs'!I$9*$H65,IF(AND(($D65+$C$1)&gt;AL$4,AL$4&gt;=$C$1),'General Inputs'!I$9*$G65,0))+IF(AND(($E65+$C$1)&gt;AL$4,AL$4&gt;=$C$1),'General Inputs'!I$10*$J65,IF(AND(($D65+$C$1)&gt;AL$4,AL$4&gt;=$C$1),'General Inputs'!I$10*$I65,0))</f>
        <v>0</v>
      </c>
      <c r="AM65" s="214">
        <f>IF(AND(($E65+$C$1)&gt;AM$4,AM$4&gt;=$C$1),'General Inputs'!J$9*$H65,IF(AND(($D65+$C$1)&gt;AM$4,AM$4&gt;=$C$1),'General Inputs'!J$9*$G65,0))+IF(AND(($E65+$C$1)&gt;AM$4,AM$4&gt;=$C$1),'General Inputs'!J$10*$J65,IF(AND(($D65+$C$1)&gt;AM$4,AM$4&gt;=$C$1),'General Inputs'!J$10*$I65,0))</f>
        <v>0</v>
      </c>
      <c r="AN65" s="214">
        <f>IF(AND(($E65+$C$1)&gt;AN$4,AN$4&gt;=$C$1),'General Inputs'!K$9*$H65,IF(AND(($D65+$C$1)&gt;AN$4,AN$4&gt;=$C$1),'General Inputs'!K$9*$G65,0))+IF(AND(($E65+$C$1)&gt;AN$4,AN$4&gt;=$C$1),'General Inputs'!K$10*$J65,IF(AND(($D65+$C$1)&gt;AN$4,AN$4&gt;=$C$1),'General Inputs'!K$10*$I65,0))</f>
        <v>0</v>
      </c>
      <c r="AO65" s="214">
        <f>IF(AND(($E65+$C$1)&gt;AO$4,AO$4&gt;=$C$1),'General Inputs'!L$9*$H65,IF(AND(($D65+$C$1)&gt;AO$4,AO$4&gt;=$C$1),'General Inputs'!L$9*$G65,0))+IF(AND(($E65+$C$1)&gt;AO$4,AO$4&gt;=$C$1),'General Inputs'!L$10*$J65,IF(AND(($D65+$C$1)&gt;AO$4,AO$4&gt;=$C$1),'General Inputs'!L$10*$I65,0))</f>
        <v>0</v>
      </c>
      <c r="AP65" s="214">
        <f>IF(AND(($E65+$C$1)&gt;AP$4,AP$4&gt;=$C$1),'General Inputs'!M$9*$H65,IF(AND(($D65+$C$1)&gt;AP$4,AP$4&gt;=$C$1),'General Inputs'!M$9*$G65,0))+IF(AND(($E65+$C$1)&gt;AP$4,AP$4&gt;=$C$1),'General Inputs'!M$10*$J65,IF(AND(($D65+$C$1)&gt;AP$4,AP$4&gt;=$C$1),'General Inputs'!M$10*$I65,0))</f>
        <v>0</v>
      </c>
      <c r="AQ65" s="214">
        <f>IF(AND(($E65+$C$1)&gt;AQ$4,AQ$4&gt;=$C$1),'General Inputs'!N$9*$H65,IF(AND(($D65+$C$1)&gt;AQ$4,AQ$4&gt;=$C$1),'General Inputs'!N$9*$G65,0))+IF(AND(($E65+$C$1)&gt;AQ$4,AQ$4&gt;=$C$1),'General Inputs'!N$10*$J65,IF(AND(($D65+$C$1)&gt;AQ$4,AQ$4&gt;=$C$1),'General Inputs'!N$10*$I65,0))</f>
        <v>0</v>
      </c>
      <c r="AR65" s="214">
        <f>IF(AND(($E65+$C$1)&gt;AR$4,AR$4&gt;=$C$1),'General Inputs'!O$9*$H65,IF(AND(($D65+$C$1)&gt;AR$4,AR$4&gt;=$C$1),'General Inputs'!O$9*$G65,0))+IF(AND(($E65+$C$1)&gt;AR$4,AR$4&gt;=$C$1),'General Inputs'!O$10*$J65,IF(AND(($D65+$C$1)&gt;AR$4,AR$4&gt;=$C$1),'General Inputs'!O$10*$I65,0))</f>
        <v>0</v>
      </c>
      <c r="AS65" s="214">
        <f>IF(AND(($E65+$C$1)&gt;AS$4,AS$4&gt;=$C$1),'General Inputs'!P$9*$H65,IF(AND(($D65+$C$1)&gt;AS$4,AS$4&gt;=$C$1),'General Inputs'!P$9*$G65,0))+IF(AND(($E65+$C$1)&gt;AS$4,AS$4&gt;=$C$1),'General Inputs'!P$10*$J65,IF(AND(($D65+$C$1)&gt;AS$4,AS$4&gt;=$C$1),'General Inputs'!P$10*$I65,0))</f>
        <v>0</v>
      </c>
      <c r="AT65" s="214">
        <f>IF(AND(($E65+$C$1)&gt;AT$4,AT$4&gt;=$C$1),'General Inputs'!Q$9*$H65,IF(AND(($D65+$C$1)&gt;AT$4,AT$4&gt;=$C$1),'General Inputs'!Q$9*$G65,0))+IF(AND(($E65+$C$1)&gt;AT$4,AT$4&gt;=$C$1),'General Inputs'!Q$10*$J65,IF(AND(($D65+$C$1)&gt;AT$4,AT$4&gt;=$C$1),'General Inputs'!Q$10*$I65,0))</f>
        <v>0</v>
      </c>
      <c r="AU65" s="214">
        <f>IF(AND(($E65+$C$1)&gt;AU$4,AU$4&gt;=$C$1),'General Inputs'!R$9*$H65,IF(AND(($D65+$C$1)&gt;AU$4,AU$4&gt;=$C$1),'General Inputs'!R$9*$G65,0))+IF(AND(($E65+$C$1)&gt;AU$4,AU$4&gt;=$C$1),'General Inputs'!R$10*$J65,IF(AND(($D65+$C$1)&gt;AU$4,AU$4&gt;=$C$1),'General Inputs'!R$10*$I65,0))</f>
        <v>0</v>
      </c>
      <c r="AV65" s="214">
        <f>IF(AND(($E65+$C$1)&gt;AV$4,AV$4&gt;=$C$1),'General Inputs'!S$9*$H65,IF(AND(($D65+$C$1)&gt;AV$4,AV$4&gt;=$C$1),'General Inputs'!S$9*$G65,0))+IF(AND(($E65+$C$1)&gt;AV$4,AV$4&gt;=$C$1),'General Inputs'!S$10*$J65,IF(AND(($D65+$C$1)&gt;AV$4,AV$4&gt;=$C$1),'General Inputs'!S$10*$I65,0))</f>
        <v>0</v>
      </c>
      <c r="AW65" s="214">
        <f>IF(AND(($E65+$C$1)&gt;AW$4,AW$4&gt;=$C$1),'General Inputs'!T$9*$H65,IF(AND(($D65+$C$1)&gt;AW$4,AW$4&gt;=$C$1),'General Inputs'!T$9*$G65,0))+IF(AND(($E65+$C$1)&gt;AW$4,AW$4&gt;=$C$1),'General Inputs'!T$10*$J65,IF(AND(($D65+$C$1)&gt;AW$4,AW$4&gt;=$C$1),'General Inputs'!T$10*$I65,0))</f>
        <v>0</v>
      </c>
      <c r="AX65" s="214">
        <f>IF(AND(($E65+$C$1)&gt;AX$4,AX$4&gt;=$C$1),'General Inputs'!U$9*$H65,IF(AND(($D65+$C$1)&gt;AX$4,AX$4&gt;=$C$1),'General Inputs'!U$9*$G65,0))+IF(AND(($E65+$C$1)&gt;AX$4,AX$4&gt;=$C$1),'General Inputs'!U$10*$J65,IF(AND(($D65+$C$1)&gt;AX$4,AX$4&gt;=$C$1),'General Inputs'!U$10*$I65,0))</f>
        <v>0</v>
      </c>
      <c r="AY65" s="214">
        <f>IF(AND(($E65+$C$1)&gt;AY$4,AY$4&gt;=$C$1),'General Inputs'!V$9*$H65,IF(AND(($D65+$C$1)&gt;AY$4,AY$4&gt;=$C$1),'General Inputs'!V$9*$G65,0))+IF(AND(($E65+$C$1)&gt;AY$4,AY$4&gt;=$C$1),'General Inputs'!V$10*$J65,IF(AND(($D65+$C$1)&gt;AY$4,AY$4&gt;=$C$1),'General Inputs'!V$10*$I65,0))</f>
        <v>0</v>
      </c>
      <c r="AZ65" s="214">
        <f>IF(AND(($E65+$C$1)&gt;AZ$4,AZ$4&gt;=$C$1),'General Inputs'!W$9*$H65,IF(AND(($D65+$C$1)&gt;AZ$4,AZ$4&gt;=$C$1),'General Inputs'!W$9*$G65,0))+IF(AND(($E65+$C$1)&gt;AZ$4,AZ$4&gt;=$C$1),'General Inputs'!W$10*$J65,IF(AND(($D65+$C$1)&gt;AZ$4,AZ$4&gt;=$C$1),'General Inputs'!W$10*$I65,0))</f>
        <v>0</v>
      </c>
      <c r="BB65" s="214">
        <f>IF(AND(($E65+$C$1)&gt;BB$4,BB$4&gt;=$C$1),'General Inputs'!D$11*$H65,IF(AND(($D65+$C$1)&gt;BB$4,BB$4&gt;=$C$1),'General Inputs'!D$11*$G65,0))</f>
        <v>0</v>
      </c>
      <c r="BC65" s="214">
        <f>IF(AND(($E65+$C$1)&gt;BC$4,BC$4&gt;=$C$1),'General Inputs'!E$11*$H65,IF(AND(($D65+$C$1)&gt;BC$4,BC$4&gt;=$C$1),'General Inputs'!E$11*$G65,0))</f>
        <v>0</v>
      </c>
      <c r="BD65" s="214">
        <f>IF(AND(($E65+$C$1)&gt;BD$4,BD$4&gt;=$C$1),'General Inputs'!F$11*$H65,IF(AND(($D65+$C$1)&gt;BD$4,BD$4&gt;=$C$1),'General Inputs'!F$11*$G65,0))</f>
        <v>0</v>
      </c>
      <c r="BE65" s="214">
        <f>IF(AND(($E65+$C$1)&gt;BE$4,BE$4&gt;=$C$1),'General Inputs'!G$11*$H65,IF(AND(($D65+$C$1)&gt;BE$4,BE$4&gt;=$C$1),'General Inputs'!G$11*$G65,0))</f>
        <v>0</v>
      </c>
      <c r="BF65" s="214">
        <f>IF(AND(($E65+$C$1)&gt;BF$4,BF$4&gt;=$C$1),'General Inputs'!H$11*$H65,IF(AND(($D65+$C$1)&gt;BF$4,BF$4&gt;=$C$1),'General Inputs'!H$11*$G65,0))</f>
        <v>0</v>
      </c>
      <c r="BG65" s="214">
        <f>IF(AND(($E65+$C$1)&gt;BG$4,BG$4&gt;=$C$1),'General Inputs'!I$11*$H65,IF(AND(($D65+$C$1)&gt;BG$4,BG$4&gt;=$C$1),'General Inputs'!I$11*$G65,0))</f>
        <v>0</v>
      </c>
      <c r="BH65" s="214">
        <f>IF(AND(($E65+$C$1)&gt;BH$4,BH$4&gt;=$C$1),'General Inputs'!J$11*$H65,IF(AND(($D65+$C$1)&gt;BH$4,BH$4&gt;=$C$1),'General Inputs'!J$11*$G65,0))</f>
        <v>0</v>
      </c>
      <c r="BI65" s="214">
        <f>IF(AND(($E65+$C$1)&gt;BI$4,BI$4&gt;=$C$1),'General Inputs'!K$11*$H65,IF(AND(($D65+$C$1)&gt;BI$4,BI$4&gt;=$C$1),'General Inputs'!K$11*$G65,0))</f>
        <v>0</v>
      </c>
      <c r="BJ65" s="214">
        <f>IF(AND(($E65+$C$1)&gt;BJ$4,BJ$4&gt;=$C$1),'General Inputs'!L$11*$H65,IF(AND(($D65+$C$1)&gt;BJ$4,BJ$4&gt;=$C$1),'General Inputs'!L$11*$G65,0))</f>
        <v>0</v>
      </c>
      <c r="BK65" s="214">
        <f>IF(AND(($E65+$C$1)&gt;BK$4,BK$4&gt;=$C$1),'General Inputs'!M$11*$H65,IF(AND(($D65+$C$1)&gt;BK$4,BK$4&gt;=$C$1),'General Inputs'!M$11*$G65,0))</f>
        <v>0</v>
      </c>
      <c r="BL65" s="214">
        <f>IF(AND(($E65+$C$1)&gt;BL$4,BL$4&gt;=$C$1),'General Inputs'!N$11*$H65,IF(AND(($D65+$C$1)&gt;BL$4,BL$4&gt;=$C$1),'General Inputs'!N$11*$G65,0))</f>
        <v>0</v>
      </c>
      <c r="BM65" s="214">
        <f>IF(AND(($E65+$C$1)&gt;BM$4,BM$4&gt;=$C$1),'General Inputs'!O$11*$H65,IF(AND(($D65+$C$1)&gt;BM$4,BM$4&gt;=$C$1),'General Inputs'!O$11*$G65,0))</f>
        <v>0</v>
      </c>
      <c r="BN65" s="214">
        <f>IF(AND(($E65+$C$1)&gt;BN$4,BN$4&gt;=$C$1),'General Inputs'!P$11*$H65,IF(AND(($D65+$C$1)&gt;BN$4,BN$4&gt;=$C$1),'General Inputs'!P$11*$G65,0))</f>
        <v>0</v>
      </c>
      <c r="BO65" s="214">
        <f>IF(AND(($E65+$C$1)&gt;BO$4,BO$4&gt;=$C$1),'General Inputs'!Q$11*$H65,IF(AND(($D65+$C$1)&gt;BO$4,BO$4&gt;=$C$1),'General Inputs'!Q$11*$G65,0))</f>
        <v>0</v>
      </c>
      <c r="BP65" s="214">
        <f>IF(AND(($E65+$C$1)&gt;BP$4,BP$4&gt;=$C$1),'General Inputs'!R$11*$H65,IF(AND(($D65+$C$1)&gt;BP$4,BP$4&gt;=$C$1),'General Inputs'!R$11*$G65,0))</f>
        <v>0</v>
      </c>
      <c r="BQ65" s="214">
        <f>IF(AND(($E65+$C$1)&gt;BQ$4,BQ$4&gt;=$C$1),'General Inputs'!S$11*$H65,IF(AND(($D65+$C$1)&gt;BQ$4,BQ$4&gt;=$C$1),'General Inputs'!S$11*$G65,0))</f>
        <v>0</v>
      </c>
      <c r="BR65" s="214">
        <f>IF(AND(($E65+$C$1)&gt;BR$4,BR$4&gt;=$C$1),'General Inputs'!T$11*$H65,IF(AND(($D65+$C$1)&gt;BR$4,BR$4&gt;=$C$1),'General Inputs'!T$11*$G65,0))</f>
        <v>0</v>
      </c>
      <c r="BS65" s="214">
        <f>IF(AND(($E65+$C$1)&gt;BS$4,BS$4&gt;=$C$1),'General Inputs'!U$11*$H65,IF(AND(($D65+$C$1)&gt;BS$4,BS$4&gt;=$C$1),'General Inputs'!U$11*$G65,0))</f>
        <v>0</v>
      </c>
      <c r="BT65" s="214">
        <f>IF(AND(($E65+$C$1)&gt;BT$4,BT$4&gt;=$C$1),'General Inputs'!V$11*$H65,IF(AND(($D65+$C$1)&gt;BT$4,BT$4&gt;=$C$1),'General Inputs'!V$11*$G65,0))</f>
        <v>0</v>
      </c>
      <c r="BU65" s="214">
        <f>IF(AND(($E65+$C$1)&gt;BU$4,BU$4&gt;=$C$1),'General Inputs'!W$11*$H65,IF(AND(($D65+$C$1)&gt;BU$4,BU$4&gt;=$C$1),'General Inputs'!W$11*$G65,0))</f>
        <v>0</v>
      </c>
      <c r="BW65" s="214">
        <f>IF(AND(($E65+$C$1)&gt;BW$4,BW$4&gt;=$C$1),$H65,IF(AND(($D65+$C$1)&gt;BW$4,BW$4&gt;=$C$1),$G65,0))*IF($A65="Residential",'General Inputs'!D$14,'General Inputs'!D$19)</f>
        <v>0</v>
      </c>
      <c r="BX65" s="214">
        <f>IF(AND(($E65+$C$1)&gt;BX$4,BX$4&gt;=$C$1),$H65,IF(AND(($D65+$C$1)&gt;BX$4,BX$4&gt;=$C$1),$G65,0))*IF($A65="Residential",'General Inputs'!E$14,'General Inputs'!E$19)</f>
        <v>0</v>
      </c>
      <c r="BY65" s="214">
        <f>IF(AND(($E65+$C$1)&gt;BY$4,BY$4&gt;=$C$1),$H65,IF(AND(($D65+$C$1)&gt;BY$4,BY$4&gt;=$C$1),$G65,0))*IF($A65="Residential",'General Inputs'!F$14,'General Inputs'!F$19)</f>
        <v>0</v>
      </c>
      <c r="BZ65" s="214">
        <f>IF(AND(($E65+$C$1)&gt;BZ$4,BZ$4&gt;=$C$1),$H65,IF(AND(($D65+$C$1)&gt;BZ$4,BZ$4&gt;=$C$1),$G65,0))*IF($A65="Residential",'General Inputs'!G$14,'General Inputs'!G$19)</f>
        <v>0</v>
      </c>
      <c r="CA65" s="214">
        <f>IF(AND(($E65+$C$1)&gt;CA$4,CA$4&gt;=$C$1),$H65,IF(AND(($D65+$C$1)&gt;CA$4,CA$4&gt;=$C$1),$G65,0))*IF($A65="Residential",'General Inputs'!H$14,'General Inputs'!H$19)</f>
        <v>0</v>
      </c>
      <c r="CB65" s="214">
        <f>IF(AND(($E65+$C$1)&gt;CB$4,CB$4&gt;=$C$1),$H65,IF(AND(($D65+$C$1)&gt;CB$4,CB$4&gt;=$C$1),$G65,0))*IF($A65="Residential",'General Inputs'!I$14,'General Inputs'!I$19)</f>
        <v>0</v>
      </c>
      <c r="CC65" s="214">
        <f>IF(AND(($E65+$C$1)&gt;CC$4,CC$4&gt;=$C$1),$H65,IF(AND(($D65+$C$1)&gt;CC$4,CC$4&gt;=$C$1),$G65,0))*IF($A65="Residential",'General Inputs'!J$14,'General Inputs'!J$19)</f>
        <v>0</v>
      </c>
      <c r="CD65" s="214">
        <f>IF(AND(($E65+$C$1)&gt;CD$4,CD$4&gt;=$C$1),$H65,IF(AND(($D65+$C$1)&gt;CD$4,CD$4&gt;=$C$1),$G65,0))*IF($A65="Residential",'General Inputs'!K$14,'General Inputs'!K$19)</f>
        <v>0</v>
      </c>
      <c r="CE65" s="214">
        <f>IF(AND(($E65+$C$1)&gt;CE$4,CE$4&gt;=$C$1),$H65,IF(AND(($D65+$C$1)&gt;CE$4,CE$4&gt;=$C$1),$G65,0))*IF($A65="Residential",'General Inputs'!L$14,'General Inputs'!L$19)</f>
        <v>0</v>
      </c>
      <c r="CF65" s="214">
        <f>IF(AND(($E65+$C$1)&gt;CF$4,CF$4&gt;=$C$1),$H65,IF(AND(($D65+$C$1)&gt;CF$4,CF$4&gt;=$C$1),$G65,0))*IF($A65="Residential",'General Inputs'!M$14,'General Inputs'!M$19)</f>
        <v>0</v>
      </c>
      <c r="CG65" s="214">
        <f>IF(AND(($E65+$C$1)&gt;CG$4,CG$4&gt;=$C$1),$H65,IF(AND(($D65+$C$1)&gt;CG$4,CG$4&gt;=$C$1),$G65,0))*IF($A65="Residential",'General Inputs'!N$14,'General Inputs'!N$19)</f>
        <v>0</v>
      </c>
      <c r="CH65" s="214">
        <f>IF(AND(($E65+$C$1)&gt;CH$4,CH$4&gt;=$C$1),$H65,IF(AND(($D65+$C$1)&gt;CH$4,CH$4&gt;=$C$1),$G65,0))*IF($A65="Residential",'General Inputs'!O$14,'General Inputs'!O$19)</f>
        <v>0</v>
      </c>
      <c r="CI65" s="214">
        <f>IF(AND(($E65+$C$1)&gt;CI$4,CI$4&gt;=$C$1),$H65,IF(AND(($D65+$C$1)&gt;CI$4,CI$4&gt;=$C$1),$G65,0))*IF($A65="Residential",'General Inputs'!P$14,'General Inputs'!P$19)</f>
        <v>0</v>
      </c>
      <c r="CJ65" s="214">
        <f>IF(AND(($E65+$C$1)&gt;CJ$4,CJ$4&gt;=$C$1),$H65,IF(AND(($D65+$C$1)&gt;CJ$4,CJ$4&gt;=$C$1),$G65,0))*IF($A65="Residential",'General Inputs'!Q$14,'General Inputs'!Q$19)</f>
        <v>0</v>
      </c>
      <c r="CK65" s="214">
        <f>IF(AND(($E65+$C$1)&gt;CK$4,CK$4&gt;=$C$1),$H65,IF(AND(($D65+$C$1)&gt;CK$4,CK$4&gt;=$C$1),$G65,0))*IF($A65="Residential",'General Inputs'!R$14,'General Inputs'!R$19)</f>
        <v>0</v>
      </c>
      <c r="CL65" s="214">
        <f>IF(AND(($E65+$C$1)&gt;CL$4,CL$4&gt;=$C$1),$H65,IF(AND(($D65+$C$1)&gt;CL$4,CL$4&gt;=$C$1),$G65,0))*IF($A65="Residential",'General Inputs'!S$14,'General Inputs'!S$19)</f>
        <v>0</v>
      </c>
      <c r="CM65" s="214">
        <f>IF(AND(($E65+$C$1)&gt;CM$4,CM$4&gt;=$C$1),$H65,IF(AND(($D65+$C$1)&gt;CM$4,CM$4&gt;=$C$1),$G65,0))*IF($A65="Residential",'General Inputs'!T$14,'General Inputs'!T$19)</f>
        <v>0</v>
      </c>
      <c r="CN65" s="214">
        <f>IF(AND(($E65+$C$1)&gt;CN$4,CN$4&gt;=$C$1),$H65,IF(AND(($D65+$C$1)&gt;CN$4,CN$4&gt;=$C$1),$G65,0))*IF($A65="Residential",'General Inputs'!U$14,'General Inputs'!U$19)</f>
        <v>0</v>
      </c>
      <c r="CO65" s="214">
        <f>IF(AND(($E65+$C$1)&gt;CO$4,CO$4&gt;=$C$1),$H65,IF(AND(($D65+$C$1)&gt;CO$4,CO$4&gt;=$C$1),$G65,0))*IF($A65="Residential",'General Inputs'!V$14,'General Inputs'!V$19)</f>
        <v>0</v>
      </c>
      <c r="CP65" s="214">
        <f>IF(AND(($E65+$C$1)&gt;CP$4,CP$4&gt;=$C$1),$H65,IF(AND(($D65+$C$1)&gt;CP$4,CP$4&gt;=$C$1),$G65,0))*IF($A65="Residential",'General Inputs'!W$14,'General Inputs'!W$19)</f>
        <v>0</v>
      </c>
      <c r="CR65" s="214">
        <f>IF(AND(($E65+$C$1)&gt;CR$4,CR$4&gt;=$C$1),$H65,IF(AND(($D65+$C$1)&gt;CR$4,CR$4&gt;=$C$1),$G65,0))*IF($A65="Residential",'General Inputs'!D$15,'General Inputs'!D$19)</f>
        <v>0</v>
      </c>
      <c r="CS65" s="214">
        <f>IF(AND(($E65+$C$1)&gt;CS$4,CS$4&gt;=$C$1),$H65,IF(AND(($D65+$C$1)&gt;CS$4,CS$4&gt;=$C$1),$G65,0))*IF($A65="Residential",'General Inputs'!E$15,'General Inputs'!E$19)</f>
        <v>0</v>
      </c>
      <c r="CT65" s="214">
        <f>IF(AND(($E65+$C$1)&gt;CT$4,CT$4&gt;=$C$1),$H65,IF(AND(($D65+$C$1)&gt;CT$4,CT$4&gt;=$C$1),$G65,0))*IF($A65="Residential",'General Inputs'!F$15,'General Inputs'!F$19)</f>
        <v>0</v>
      </c>
      <c r="CU65" s="214">
        <f>IF(AND(($E65+$C$1)&gt;CU$4,CU$4&gt;=$C$1),$H65,IF(AND(($D65+$C$1)&gt;CU$4,CU$4&gt;=$C$1),$G65,0))*IF($A65="Residential",'General Inputs'!G$15,'General Inputs'!G$19)</f>
        <v>0</v>
      </c>
      <c r="CV65" s="214">
        <f>IF(AND(($E65+$C$1)&gt;CV$4,CV$4&gt;=$C$1),$H65,IF(AND(($D65+$C$1)&gt;CV$4,CV$4&gt;=$C$1),$G65,0))*IF($A65="Residential",'General Inputs'!H$15,'General Inputs'!H$19)</f>
        <v>0</v>
      </c>
      <c r="CW65" s="214">
        <f>IF(AND(($E65+$C$1)&gt;CW$4,CW$4&gt;=$C$1),$H65,IF(AND(($D65+$C$1)&gt;CW$4,CW$4&gt;=$C$1),$G65,0))*IF($A65="Residential",'General Inputs'!I$15,'General Inputs'!I$19)</f>
        <v>0</v>
      </c>
      <c r="CX65" s="214">
        <f>IF(AND(($E65+$C$1)&gt;CX$4,CX$4&gt;=$C$1),$H65,IF(AND(($D65+$C$1)&gt;CX$4,CX$4&gt;=$C$1),$G65,0))*IF($A65="Residential",'General Inputs'!J$15,'General Inputs'!J$19)</f>
        <v>0</v>
      </c>
      <c r="CY65" s="214">
        <f>IF(AND(($E65+$C$1)&gt;CY$4,CY$4&gt;=$C$1),$H65,IF(AND(($D65+$C$1)&gt;CY$4,CY$4&gt;=$C$1),$G65,0))*IF($A65="Residential",'General Inputs'!K$15,'General Inputs'!K$19)</f>
        <v>0</v>
      </c>
      <c r="CZ65" s="214">
        <f>IF(AND(($E65+$C$1)&gt;CZ$4,CZ$4&gt;=$C$1),$H65,IF(AND(($D65+$C$1)&gt;CZ$4,CZ$4&gt;=$C$1),$G65,0))*IF($A65="Residential",'General Inputs'!L$15,'General Inputs'!L$19)</f>
        <v>0</v>
      </c>
      <c r="DA65" s="214">
        <f>IF(AND(($E65+$C$1)&gt;DA$4,DA$4&gt;=$C$1),$H65,IF(AND(($D65+$C$1)&gt;DA$4,DA$4&gt;=$C$1),$G65,0))*IF($A65="Residential",'General Inputs'!M$15,'General Inputs'!M$19)</f>
        <v>0</v>
      </c>
      <c r="DB65" s="214">
        <f>IF(AND(($E65+$C$1)&gt;DB$4,DB$4&gt;=$C$1),$H65,IF(AND(($D65+$C$1)&gt;DB$4,DB$4&gt;=$C$1),$G65,0))*IF($A65="Residential",'General Inputs'!N$15,'General Inputs'!N$19)</f>
        <v>0</v>
      </c>
      <c r="DC65" s="214">
        <f>IF(AND(($E65+$C$1)&gt;DC$4,DC$4&gt;=$C$1),$H65,IF(AND(($D65+$C$1)&gt;DC$4,DC$4&gt;=$C$1),$G65,0))*IF($A65="Residential",'General Inputs'!O$15,'General Inputs'!O$19)</f>
        <v>0</v>
      </c>
      <c r="DD65" s="214">
        <f>IF(AND(($E65+$C$1)&gt;DD$4,DD$4&gt;=$C$1),$H65,IF(AND(($D65+$C$1)&gt;DD$4,DD$4&gt;=$C$1),$G65,0))*IF($A65="Residential",'General Inputs'!P$15,'General Inputs'!P$19)</f>
        <v>0</v>
      </c>
      <c r="DE65" s="214">
        <f>IF(AND(($E65+$C$1)&gt;DE$4,DE$4&gt;=$C$1),$H65,IF(AND(($D65+$C$1)&gt;DE$4,DE$4&gt;=$C$1),$G65,0))*IF($A65="Residential",'General Inputs'!Q$15,'General Inputs'!Q$19)</f>
        <v>0</v>
      </c>
      <c r="DF65" s="214">
        <f>IF(AND(($E65+$C$1)&gt;DF$4,DF$4&gt;=$C$1),$H65,IF(AND(($D65+$C$1)&gt;DF$4,DF$4&gt;=$C$1),$G65,0))*IF($A65="Residential",'General Inputs'!R$15,'General Inputs'!R$19)</f>
        <v>0</v>
      </c>
      <c r="DG65" s="214">
        <f>IF(AND(($E65+$C$1)&gt;DG$4,DG$4&gt;=$C$1),$H65,IF(AND(($D65+$C$1)&gt;DG$4,DG$4&gt;=$C$1),$G65,0))*IF($A65="Residential",'General Inputs'!S$15,'General Inputs'!S$19)</f>
        <v>0</v>
      </c>
      <c r="DH65" s="214">
        <f>IF(AND(($E65+$C$1)&gt;DH$4,DH$4&gt;=$C$1),$H65,IF(AND(($D65+$C$1)&gt;DH$4,DH$4&gt;=$C$1),$G65,0))*IF($A65="Residential",'General Inputs'!T$15,'General Inputs'!T$19)</f>
        <v>0</v>
      </c>
      <c r="DI65" s="214">
        <f>IF(AND(($E65+$C$1)&gt;DI$4,DI$4&gt;=$C$1),$H65,IF(AND(($D65+$C$1)&gt;DI$4,DI$4&gt;=$C$1),$G65,0))*IF($A65="Residential",'General Inputs'!U$15,'General Inputs'!U$19)</f>
        <v>0</v>
      </c>
      <c r="DJ65" s="214">
        <f>IF(AND(($E65+$C$1)&gt;DJ$4,DJ$4&gt;=$C$1),$H65,IF(AND(($D65+$C$1)&gt;DJ$4,DJ$4&gt;=$C$1),$G65,0))*IF($A65="Residential",'General Inputs'!V$15,'General Inputs'!V$19)</f>
        <v>0</v>
      </c>
      <c r="DK65" s="214">
        <f>IF(AND(($E65+$C$1)&gt;DK$4,DK$4&gt;=$C$1),$H65,IF(AND(($D65+$C$1)&gt;DK$4,DK$4&gt;=$C$1),$G65,0))*IF($A65="Residential",'General Inputs'!W$15,'General Inputs'!W$19)</f>
        <v>0</v>
      </c>
      <c r="DM65" s="214">
        <f t="shared" si="99"/>
        <v>0</v>
      </c>
      <c r="DN65" s="214">
        <f t="shared" si="99"/>
        <v>0</v>
      </c>
      <c r="DO65" s="214">
        <f t="shared" si="99"/>
        <v>0</v>
      </c>
      <c r="DP65" s="214">
        <f t="shared" si="99"/>
        <v>0</v>
      </c>
      <c r="DQ65" s="214">
        <f t="shared" si="99"/>
        <v>0</v>
      </c>
      <c r="DR65" s="214">
        <f t="shared" si="99"/>
        <v>0</v>
      </c>
      <c r="DS65" s="214">
        <f t="shared" si="99"/>
        <v>0</v>
      </c>
      <c r="DT65" s="214">
        <f t="shared" si="99"/>
        <v>0</v>
      </c>
      <c r="DU65" s="214">
        <f t="shared" si="99"/>
        <v>0</v>
      </c>
      <c r="DV65" s="214">
        <f t="shared" si="99"/>
        <v>0</v>
      </c>
      <c r="DW65" s="214">
        <f t="shared" si="99"/>
        <v>0</v>
      </c>
      <c r="DZ65" s="650"/>
      <c r="FI65" s="195"/>
      <c r="FJ65" s="195"/>
      <c r="FK65" s="195"/>
      <c r="FL65" s="195"/>
      <c r="FM65" s="195"/>
      <c r="FN65" s="195"/>
      <c r="FO65" s="195"/>
    </row>
    <row r="66" spans="1:171">
      <c r="A66" s="342" t="s">
        <v>112</v>
      </c>
      <c r="B66" s="427" t="str">
        <f>'Portfolio Inputs'!A65</f>
        <v>Ceramic Integrated Metal Halide (≤150W)</v>
      </c>
      <c r="C66" s="217">
        <f>IF($C$1=2014,'Portfolio Inputs'!$C65,IF($C$1=2015,'Portfolio Inputs'!$D65,'Portfolio Inputs'!$E65))</f>
        <v>3</v>
      </c>
      <c r="D66" s="504">
        <f>VLOOKUP(B66,Sources!$B$4:$J$104,2,FALSE)</f>
        <v>18</v>
      </c>
      <c r="E66" s="504">
        <f>VLOOKUP(B66,Sources!$B$4:$J$104,3,FALSE)</f>
        <v>0</v>
      </c>
      <c r="G66" s="504">
        <f>IF($C$1=2014,'Portfolio Inputs'!$G65,IF($C$1=2015,'Portfolio Inputs'!$H65,'Portfolio Inputs'!$I65))*EnergyLineLoss</f>
        <v>2840.8656712499997</v>
      </c>
      <c r="H66" s="504"/>
      <c r="I66" s="595">
        <f>IF($C$1=2014,'Portfolio Inputs'!$K65,IF($C$1=2015,'Portfolio Inputs'!$L65,'Portfolio Inputs'!$M65))*PeakLineLoss</f>
        <v>0.43928141399999998</v>
      </c>
      <c r="J66" s="510"/>
      <c r="L66" s="606">
        <f>IF($C$1=2014,'Portfolio Inputs'!$O65,IF($C$1=2015,'Portfolio Inputs'!$P65,'Portfolio Inputs'!$Q65))</f>
        <v>145</v>
      </c>
      <c r="M66" s="518">
        <f>VLOOKUP($B66,Sources!$B$4:$K$104,10,FALSE)</f>
        <v>0</v>
      </c>
      <c r="N66" s="419">
        <f>IF($C$1=2014,'Portfolio Inputs'!$W65,IF($C$1=2015,'Portfolio Inputs'!$X65,'Portfolio Inputs'!$Y65))</f>
        <v>51</v>
      </c>
      <c r="O66" s="419">
        <f>IF($C$1=2014,'Portfolio Inputs'!$AA65,IF($C$1=2015,'Portfolio Inputs'!$AB65,'Portfolio Inputs'!$AC65))</f>
        <v>0</v>
      </c>
      <c r="Q66" s="438">
        <f t="shared" si="67"/>
        <v>2.9624594403743161</v>
      </c>
      <c r="R66" s="439">
        <f t="shared" si="68"/>
        <v>25.268036403192696</v>
      </c>
      <c r="S66" s="439">
        <f t="shared" si="69"/>
        <v>3.6795770183709484</v>
      </c>
      <c r="T66" s="439">
        <f t="shared" si="70"/>
        <v>7.4634489102856838</v>
      </c>
      <c r="U66" s="439">
        <f t="shared" si="98"/>
        <v>7.4634489102856838</v>
      </c>
      <c r="V66" s="439">
        <f t="shared" si="72"/>
        <v>0.39692901713196294</v>
      </c>
      <c r="W66" s="439">
        <f t="shared" si="73"/>
        <v>0.39692901713196294</v>
      </c>
      <c r="Y66" s="215">
        <f t="shared" si="4"/>
        <v>1184.0039108442002</v>
      </c>
      <c r="Z66" s="215">
        <f t="shared" si="5"/>
        <v>286.60983685091412</v>
      </c>
      <c r="AA66" s="215">
        <f t="shared" si="6"/>
        <v>2936.0531752795591</v>
      </c>
      <c r="AB66" s="215">
        <f t="shared" si="7"/>
        <v>2936.0531752795591</v>
      </c>
      <c r="AC66" s="216">
        <f t="shared" si="20"/>
        <v>0</v>
      </c>
      <c r="AD66" s="216">
        <f t="shared" si="21"/>
        <v>46.857772877618523</v>
      </c>
      <c r="AE66" s="215">
        <f t="shared" si="8"/>
        <v>399.66923925027561</v>
      </c>
      <c r="AG66" s="214">
        <f>IF(AND(($E66+$C$1)&gt;AG$4,AG$4&gt;=$C$1),'General Inputs'!D$9*$H66,IF(AND(($D66+$C$1)&gt;AG$4,AG$4&gt;=$C$1),'General Inputs'!D$9*$G66,0))+IF(AND(($E66+$C$1)&gt;AG$4,AG$4&gt;=$C$1),'General Inputs'!D$10*$J66,IF(AND(($D66+$C$1)&gt;AG$4,AG$4&gt;=$C$1),'General Inputs'!D$10*$I66,0))</f>
        <v>0</v>
      </c>
      <c r="AH66" s="214">
        <f>IF(AND(($E66+$C$1)&gt;AH$4,AH$4&gt;=$C$1),'General Inputs'!E$9*$H66,IF(AND(($D66+$C$1)&gt;AH$4,AH$4&gt;=$C$1),'General Inputs'!E$9*$G66,0))+IF(AND(($E66+$C$1)&gt;AH$4,AH$4&gt;=$C$1),'General Inputs'!E$10*$J66,IF(AND(($D66+$C$1)&gt;AH$4,AH$4&gt;=$C$1),'General Inputs'!E$10*$I66,0))</f>
        <v>121.47431428153996</v>
      </c>
      <c r="AI66" s="214">
        <f>IF(AND(($E66+$C$1)&gt;AI$4,AI$4&gt;=$C$1),'General Inputs'!F$9*$H66,IF(AND(($D66+$C$1)&gt;AI$4,AI$4&gt;=$C$1),'General Inputs'!F$9*$G66,0))+IF(AND(($E66+$C$1)&gt;AI$4,AI$4&gt;=$C$1),'General Inputs'!F$10*$J66,IF(AND(($D66+$C$1)&gt;AI$4,AI$4&gt;=$C$1),'General Inputs'!F$10*$I66,0))</f>
        <v>123.29642899576305</v>
      </c>
      <c r="AJ66" s="214">
        <f>IF(AND(($E66+$C$1)&gt;AJ$4,AJ$4&gt;=$C$1),'General Inputs'!G$9*$H66,IF(AND(($D66+$C$1)&gt;AJ$4,AJ$4&gt;=$C$1),'General Inputs'!G$9*$G66,0))+IF(AND(($E66+$C$1)&gt;AJ$4,AJ$4&gt;=$C$1),'General Inputs'!G$10*$J66,IF(AND(($D66+$C$1)&gt;AJ$4,AJ$4&gt;=$C$1),'General Inputs'!G$10*$I66,0))</f>
        <v>125.14587543069948</v>
      </c>
      <c r="AK66" s="214">
        <f>IF(AND(($E66+$C$1)&gt;AK$4,AK$4&gt;=$C$1),'General Inputs'!H$9*$H66,IF(AND(($D66+$C$1)&gt;AK$4,AK$4&gt;=$C$1),'General Inputs'!H$9*$G66,0))+IF(AND(($E66+$C$1)&gt;AK$4,AK$4&gt;=$C$1),'General Inputs'!H$10*$J66,IF(AND(($D66+$C$1)&gt;AK$4,AK$4&gt;=$C$1),'General Inputs'!H$10*$I66,0))</f>
        <v>127.02306356215996</v>
      </c>
      <c r="AL66" s="214">
        <f>IF(AND(($E66+$C$1)&gt;AL$4,AL$4&gt;=$C$1),'General Inputs'!I$9*$H66,IF(AND(($D66+$C$1)&gt;AL$4,AL$4&gt;=$C$1),'General Inputs'!I$9*$G66,0))+IF(AND(($E66+$C$1)&gt;AL$4,AL$4&gt;=$C$1),'General Inputs'!I$10*$J66,IF(AND(($D66+$C$1)&gt;AL$4,AL$4&gt;=$C$1),'General Inputs'!I$10*$I66,0))</f>
        <v>128.92840951559234</v>
      </c>
      <c r="AM66" s="214">
        <f>IF(AND(($E66+$C$1)&gt;AM$4,AM$4&gt;=$C$1),'General Inputs'!J$9*$H66,IF(AND(($D66+$C$1)&gt;AM$4,AM$4&gt;=$C$1),'General Inputs'!J$9*$G66,0))+IF(AND(($E66+$C$1)&gt;AM$4,AM$4&gt;=$C$1),'General Inputs'!J$10*$J66,IF(AND(($D66+$C$1)&gt;AM$4,AM$4&gt;=$C$1),'General Inputs'!J$10*$I66,0))</f>
        <v>130.8623356583262</v>
      </c>
      <c r="AN66" s="214">
        <f>IF(AND(($E66+$C$1)&gt;AN$4,AN$4&gt;=$C$1),'General Inputs'!K$9*$H66,IF(AND(($D66+$C$1)&gt;AN$4,AN$4&gt;=$C$1),'General Inputs'!K$9*$G66,0))+IF(AND(($E66+$C$1)&gt;AN$4,AN$4&gt;=$C$1),'General Inputs'!K$10*$J66,IF(AND(($D66+$C$1)&gt;AN$4,AN$4&gt;=$C$1),'General Inputs'!K$10*$I66,0))</f>
        <v>132.82527069320108</v>
      </c>
      <c r="AO66" s="214">
        <f>IF(AND(($E66+$C$1)&gt;AO$4,AO$4&gt;=$C$1),'General Inputs'!L$9*$H66,IF(AND(($D66+$C$1)&gt;AO$4,AO$4&gt;=$C$1),'General Inputs'!L$9*$G66,0))+IF(AND(($E66+$C$1)&gt;AO$4,AO$4&gt;=$C$1),'General Inputs'!L$10*$J66,IF(AND(($D66+$C$1)&gt;AO$4,AO$4&gt;=$C$1),'General Inputs'!L$10*$I66,0))</f>
        <v>134.81764975359908</v>
      </c>
      <c r="AP66" s="214">
        <f>IF(AND(($E66+$C$1)&gt;AP$4,AP$4&gt;=$C$1),'General Inputs'!M$9*$H66,IF(AND(($D66+$C$1)&gt;AP$4,AP$4&gt;=$C$1),'General Inputs'!M$9*$G66,0))+IF(AND(($E66+$C$1)&gt;AP$4,AP$4&gt;=$C$1),'General Inputs'!M$10*$J66,IF(AND(($D66+$C$1)&gt;AP$4,AP$4&gt;=$C$1),'General Inputs'!M$10*$I66,0))</f>
        <v>136.83991449990305</v>
      </c>
      <c r="AQ66" s="214">
        <f>IF(AND(($E66+$C$1)&gt;AQ$4,AQ$4&gt;=$C$1),'General Inputs'!N$9*$H66,IF(AND(($D66+$C$1)&gt;AQ$4,AQ$4&gt;=$C$1),'General Inputs'!N$9*$G66,0))+IF(AND(($E66+$C$1)&gt;AQ$4,AQ$4&gt;=$C$1),'General Inputs'!N$10*$J66,IF(AND(($D66+$C$1)&gt;AQ$4,AQ$4&gt;=$C$1),'General Inputs'!N$10*$I66,0))</f>
        <v>138.89251321740159</v>
      </c>
      <c r="AR66" s="214">
        <f>IF(AND(($E66+$C$1)&gt;AR$4,AR$4&gt;=$C$1),'General Inputs'!O$9*$H66,IF(AND(($D66+$C$1)&gt;AR$4,AR$4&gt;=$C$1),'General Inputs'!O$9*$G66,0))+IF(AND(($E66+$C$1)&gt;AR$4,AR$4&gt;=$C$1),'General Inputs'!O$10*$J66,IF(AND(($D66+$C$1)&gt;AR$4,AR$4&gt;=$C$1),'General Inputs'!O$10*$I66,0))</f>
        <v>140.97590091566258</v>
      </c>
      <c r="AS66" s="214">
        <f>IF(AND(($E66+$C$1)&gt;AS$4,AS$4&gt;=$C$1),'General Inputs'!P$9*$H66,IF(AND(($D66+$C$1)&gt;AS$4,AS$4&gt;=$C$1),'General Inputs'!P$9*$G66,0))+IF(AND(($E66+$C$1)&gt;AS$4,AS$4&gt;=$C$1),'General Inputs'!P$10*$J66,IF(AND(($D66+$C$1)&gt;AS$4,AS$4&gt;=$C$1),'General Inputs'!P$10*$I66,0))</f>
        <v>143.09053942939752</v>
      </c>
      <c r="AT66" s="214">
        <f>IF(AND(($E66+$C$1)&gt;AT$4,AT$4&gt;=$C$1),'General Inputs'!Q$9*$H66,IF(AND(($D66+$C$1)&gt;AT$4,AT$4&gt;=$C$1),'General Inputs'!Q$9*$G66,0))+IF(AND(($E66+$C$1)&gt;AT$4,AT$4&gt;=$C$1),'General Inputs'!Q$10*$J66,IF(AND(($D66+$C$1)&gt;AT$4,AT$4&gt;=$C$1),'General Inputs'!Q$10*$I66,0))</f>
        <v>145.23689752083848</v>
      </c>
      <c r="AU66" s="214">
        <f>IF(AND(($E66+$C$1)&gt;AU$4,AU$4&gt;=$C$1),'General Inputs'!R$9*$H66,IF(AND(($D66+$C$1)&gt;AU$4,AU$4&gt;=$C$1),'General Inputs'!R$9*$G66,0))+IF(AND(($E66+$C$1)&gt;AU$4,AU$4&gt;=$C$1),'General Inputs'!R$10*$J66,IF(AND(($D66+$C$1)&gt;AU$4,AU$4&gt;=$C$1),'General Inputs'!R$10*$I66,0))</f>
        <v>147.41545098365106</v>
      </c>
      <c r="AV66" s="214">
        <f>IF(AND(($E66+$C$1)&gt;AV$4,AV$4&gt;=$C$1),'General Inputs'!S$9*$H66,IF(AND(($D66+$C$1)&gt;AV$4,AV$4&gt;=$C$1),'General Inputs'!S$9*$G66,0))+IF(AND(($E66+$C$1)&gt;AV$4,AV$4&gt;=$C$1),'General Inputs'!S$10*$J66,IF(AND(($D66+$C$1)&gt;AV$4,AV$4&gt;=$C$1),'General Inputs'!S$10*$I66,0))</f>
        <v>149.62668274840578</v>
      </c>
      <c r="AW66" s="214">
        <f>IF(AND(($E66+$C$1)&gt;AW$4,AW$4&gt;=$C$1),'General Inputs'!T$9*$H66,IF(AND(($D66+$C$1)&gt;AW$4,AW$4&gt;=$C$1),'General Inputs'!T$9*$G66,0))+IF(AND(($E66+$C$1)&gt;AW$4,AW$4&gt;=$C$1),'General Inputs'!T$10*$J66,IF(AND(($D66+$C$1)&gt;AW$4,AW$4&gt;=$C$1),'General Inputs'!T$10*$I66,0))</f>
        <v>151.87108298963187</v>
      </c>
      <c r="AX66" s="214">
        <f>IF(AND(($E66+$C$1)&gt;AX$4,AX$4&gt;=$C$1),'General Inputs'!U$9*$H66,IF(AND(($D66+$C$1)&gt;AX$4,AX$4&gt;=$C$1),'General Inputs'!U$9*$G66,0))+IF(AND(($E66+$C$1)&gt;AX$4,AX$4&gt;=$C$1),'General Inputs'!U$10*$J66,IF(AND(($D66+$C$1)&gt;AX$4,AX$4&gt;=$C$1),'General Inputs'!U$10*$I66,0))</f>
        <v>154.14914923447634</v>
      </c>
      <c r="AY66" s="214">
        <f>IF(AND(($E66+$C$1)&gt;AY$4,AY$4&gt;=$C$1),'General Inputs'!V$9*$H66,IF(AND(($D66+$C$1)&gt;AY$4,AY$4&gt;=$C$1),'General Inputs'!V$9*$G66,0))+IF(AND(($E66+$C$1)&gt;AY$4,AY$4&gt;=$C$1),'General Inputs'!V$10*$J66,IF(AND(($D66+$C$1)&gt;AY$4,AY$4&gt;=$C$1),'General Inputs'!V$10*$I66,0))</f>
        <v>156.46138647299347</v>
      </c>
      <c r="AZ66" s="214">
        <f>IF(AND(($E66+$C$1)&gt;AZ$4,AZ$4&gt;=$C$1),'General Inputs'!W$9*$H66,IF(AND(($D66+$C$1)&gt;AZ$4,AZ$4&gt;=$C$1),'General Inputs'!W$9*$G66,0))+IF(AND(($E66+$C$1)&gt;AZ$4,AZ$4&gt;=$C$1),'General Inputs'!W$10*$J66,IF(AND(($D66+$C$1)&gt;AZ$4,AZ$4&gt;=$C$1),'General Inputs'!W$10*$I66,0))</f>
        <v>0</v>
      </c>
      <c r="BB66" s="214">
        <f>IF(AND(($E66+$C$1)&gt;BB$4,BB$4&gt;=$C$1),'General Inputs'!D$11*$H66,IF(AND(($D66+$C$1)&gt;BB$4,BB$4&gt;=$C$1),'General Inputs'!D$11*$G66,0))</f>
        <v>0</v>
      </c>
      <c r="BC66" s="214">
        <f>IF(AND(($E66+$C$1)&gt;BC$4,BC$4&gt;=$C$1),'General Inputs'!E$11*$H66,IF(AND(($D66+$C$1)&gt;BC$4,BC$4&gt;=$C$1),'General Inputs'!E$11*$G66,0))</f>
        <v>32.385868652249997</v>
      </c>
      <c r="BD66" s="214">
        <f>IF(AND(($E66+$C$1)&gt;BD$4,BD$4&gt;=$C$1),'General Inputs'!F$11*$H66,IF(AND(($D66+$C$1)&gt;BD$4,BD$4&gt;=$C$1),'General Inputs'!F$11*$G66,0))</f>
        <v>32.385868652249997</v>
      </c>
      <c r="BE66" s="214">
        <f>IF(AND(($E66+$C$1)&gt;BE$4,BE$4&gt;=$C$1),'General Inputs'!G$11*$H66,IF(AND(($D66+$C$1)&gt;BE$4,BE$4&gt;=$C$1),'General Inputs'!G$11*$G66,0))</f>
        <v>32.385868652249997</v>
      </c>
      <c r="BF66" s="214">
        <f>IF(AND(($E66+$C$1)&gt;BF$4,BF$4&gt;=$C$1),'General Inputs'!H$11*$H66,IF(AND(($D66+$C$1)&gt;BF$4,BF$4&gt;=$C$1),'General Inputs'!H$11*$G66,0))</f>
        <v>32.385868652249997</v>
      </c>
      <c r="BG66" s="214">
        <f>IF(AND(($E66+$C$1)&gt;BG$4,BG$4&gt;=$C$1),'General Inputs'!I$11*$H66,IF(AND(($D66+$C$1)&gt;BG$4,BG$4&gt;=$C$1),'General Inputs'!I$11*$G66,0))</f>
        <v>32.385868652249997</v>
      </c>
      <c r="BH66" s="214">
        <f>IF(AND(($E66+$C$1)&gt;BH$4,BH$4&gt;=$C$1),'General Inputs'!J$11*$H66,IF(AND(($D66+$C$1)&gt;BH$4,BH$4&gt;=$C$1),'General Inputs'!J$11*$G66,0))</f>
        <v>32.385868652249997</v>
      </c>
      <c r="BI66" s="214">
        <f>IF(AND(($E66+$C$1)&gt;BI$4,BI$4&gt;=$C$1),'General Inputs'!K$11*$H66,IF(AND(($D66+$C$1)&gt;BI$4,BI$4&gt;=$C$1),'General Inputs'!K$11*$G66,0))</f>
        <v>32.385868652249997</v>
      </c>
      <c r="BJ66" s="214">
        <f>IF(AND(($E66+$C$1)&gt;BJ$4,BJ$4&gt;=$C$1),'General Inputs'!L$11*$H66,IF(AND(($D66+$C$1)&gt;BJ$4,BJ$4&gt;=$C$1),'General Inputs'!L$11*$G66,0))</f>
        <v>32.385868652249997</v>
      </c>
      <c r="BK66" s="214">
        <f>IF(AND(($E66+$C$1)&gt;BK$4,BK$4&gt;=$C$1),'General Inputs'!M$11*$H66,IF(AND(($D66+$C$1)&gt;BK$4,BK$4&gt;=$C$1),'General Inputs'!M$11*$G66,0))</f>
        <v>32.385868652249997</v>
      </c>
      <c r="BL66" s="214">
        <f>IF(AND(($E66+$C$1)&gt;BL$4,BL$4&gt;=$C$1),'General Inputs'!N$11*$H66,IF(AND(($D66+$C$1)&gt;BL$4,BL$4&gt;=$C$1),'General Inputs'!N$11*$G66,0))</f>
        <v>32.385868652249997</v>
      </c>
      <c r="BM66" s="214">
        <f>IF(AND(($E66+$C$1)&gt;BM$4,BM$4&gt;=$C$1),'General Inputs'!O$11*$H66,IF(AND(($D66+$C$1)&gt;BM$4,BM$4&gt;=$C$1),'General Inputs'!O$11*$G66,0))</f>
        <v>32.385868652249997</v>
      </c>
      <c r="BN66" s="214">
        <f>IF(AND(($E66+$C$1)&gt;BN$4,BN$4&gt;=$C$1),'General Inputs'!P$11*$H66,IF(AND(($D66+$C$1)&gt;BN$4,BN$4&gt;=$C$1),'General Inputs'!P$11*$G66,0))</f>
        <v>32.385868652249997</v>
      </c>
      <c r="BO66" s="214">
        <f>IF(AND(($E66+$C$1)&gt;BO$4,BO$4&gt;=$C$1),'General Inputs'!Q$11*$H66,IF(AND(($D66+$C$1)&gt;BO$4,BO$4&gt;=$C$1),'General Inputs'!Q$11*$G66,0))</f>
        <v>32.385868652249997</v>
      </c>
      <c r="BP66" s="214">
        <f>IF(AND(($E66+$C$1)&gt;BP$4,BP$4&gt;=$C$1),'General Inputs'!R$11*$H66,IF(AND(($D66+$C$1)&gt;BP$4,BP$4&gt;=$C$1),'General Inputs'!R$11*$G66,0))</f>
        <v>32.385868652249997</v>
      </c>
      <c r="BQ66" s="214">
        <f>IF(AND(($E66+$C$1)&gt;BQ$4,BQ$4&gt;=$C$1),'General Inputs'!S$11*$H66,IF(AND(($D66+$C$1)&gt;BQ$4,BQ$4&gt;=$C$1),'General Inputs'!S$11*$G66,0))</f>
        <v>32.385868652249997</v>
      </c>
      <c r="BR66" s="214">
        <f>IF(AND(($E66+$C$1)&gt;BR$4,BR$4&gt;=$C$1),'General Inputs'!T$11*$H66,IF(AND(($D66+$C$1)&gt;BR$4,BR$4&gt;=$C$1),'General Inputs'!T$11*$G66,0))</f>
        <v>32.385868652249997</v>
      </c>
      <c r="BS66" s="214">
        <f>IF(AND(($E66+$C$1)&gt;BS$4,BS$4&gt;=$C$1),'General Inputs'!U$11*$H66,IF(AND(($D66+$C$1)&gt;BS$4,BS$4&gt;=$C$1),'General Inputs'!U$11*$G66,0))</f>
        <v>32.385868652249997</v>
      </c>
      <c r="BT66" s="214">
        <f>IF(AND(($E66+$C$1)&gt;BT$4,BT$4&gt;=$C$1),'General Inputs'!V$11*$H66,IF(AND(($D66+$C$1)&gt;BT$4,BT$4&gt;=$C$1),'General Inputs'!V$11*$G66,0))</f>
        <v>32.385868652249997</v>
      </c>
      <c r="BU66" s="214">
        <f>IF(AND(($E66+$C$1)&gt;BU$4,BU$4&gt;=$C$1),'General Inputs'!W$11*$H66,IF(AND(($D66+$C$1)&gt;BU$4,BU$4&gt;=$C$1),'General Inputs'!W$11*$G66,0))</f>
        <v>0</v>
      </c>
      <c r="BW66" s="214">
        <f>IF(AND(($E66+$C$1)&gt;BW$4,BW$4&gt;=$C$1),$H66,IF(AND(($D66+$C$1)&gt;BW$4,BW$4&gt;=$C$1),$G66,0))*IF($A66="Residential",'General Inputs'!D$14,'General Inputs'!D$19)</f>
        <v>0</v>
      </c>
      <c r="BX66" s="214">
        <f>IF(AND(($E66+$C$1)&gt;BX$4,BX$4&gt;=$C$1),$H66,IF(AND(($D66+$C$1)&gt;BX$4,BX$4&gt;=$C$1),$G66,0))*IF($A66="Residential",'General Inputs'!E$14,'General Inputs'!E$19)</f>
        <v>301.22792914334701</v>
      </c>
      <c r="BY66" s="214">
        <f>IF(AND(($E66+$C$1)&gt;BY$4,BY$4&gt;=$C$1),$H66,IF(AND(($D66+$C$1)&gt;BY$4,BY$4&gt;=$C$1),$G66,0))*IF($A66="Residential",'General Inputs'!F$14,'General Inputs'!F$19)</f>
        <v>305.74634808049723</v>
      </c>
      <c r="BZ66" s="214">
        <f>IF(AND(($E66+$C$1)&gt;BZ$4,BZ$4&gt;=$C$1),$H66,IF(AND(($D66+$C$1)&gt;BZ$4,BZ$4&gt;=$C$1),$G66,0))*IF($A66="Residential",'General Inputs'!G$14,'General Inputs'!G$19)</f>
        <v>310.33254330170467</v>
      </c>
      <c r="CA66" s="214">
        <f>IF(AND(($E66+$C$1)&gt;CA$4,CA$4&gt;=$C$1),$H66,IF(AND(($D66+$C$1)&gt;CA$4,CA$4&gt;=$C$1),$G66,0))*IF($A66="Residential",'General Inputs'!H$14,'General Inputs'!H$19)</f>
        <v>314.98753145123015</v>
      </c>
      <c r="CB66" s="214">
        <f>IF(AND(($E66+$C$1)&gt;CB$4,CB$4&gt;=$C$1),$H66,IF(AND(($D66+$C$1)&gt;CB$4,CB$4&gt;=$C$1),$G66,0))*IF($A66="Residential",'General Inputs'!I$14,'General Inputs'!I$19)</f>
        <v>319.71234442299857</v>
      </c>
      <c r="CC66" s="214">
        <f>IF(AND(($E66+$C$1)&gt;CC$4,CC$4&gt;=$C$1),$H66,IF(AND(($D66+$C$1)&gt;CC$4,CC$4&gt;=$C$1),$G66,0))*IF($A66="Residential",'General Inputs'!J$14,'General Inputs'!J$19)</f>
        <v>324.50802958934355</v>
      </c>
      <c r="CD66" s="214">
        <f>IF(AND(($E66+$C$1)&gt;CD$4,CD$4&gt;=$C$1),$H66,IF(AND(($D66+$C$1)&gt;CD$4,CD$4&gt;=$C$1),$G66,0))*IF($A66="Residential",'General Inputs'!K$14,'General Inputs'!K$19)</f>
        <v>329.3756500331836</v>
      </c>
      <c r="CE66" s="214">
        <f>IF(AND(($E66+$C$1)&gt;CE$4,CE$4&gt;=$C$1),$H66,IF(AND(($D66+$C$1)&gt;CE$4,CE$4&gt;=$C$1),$G66,0))*IF($A66="Residential",'General Inputs'!L$14,'General Inputs'!L$19)</f>
        <v>334.31628478368134</v>
      </c>
      <c r="CF66" s="214">
        <f>IF(AND(($E66+$C$1)&gt;CF$4,CF$4&gt;=$C$1),$H66,IF(AND(($D66+$C$1)&gt;CF$4,CF$4&gt;=$C$1),$G66,0))*IF($A66="Residential",'General Inputs'!M$14,'General Inputs'!M$19)</f>
        <v>339.33102905543655</v>
      </c>
      <c r="CG66" s="214">
        <f>IF(AND(($E66+$C$1)&gt;CG$4,CG$4&gt;=$C$1),$H66,IF(AND(($D66+$C$1)&gt;CG$4,CG$4&gt;=$C$1),$G66,0))*IF($A66="Residential",'General Inputs'!N$14,'General Inputs'!N$19)</f>
        <v>344.42099449126806</v>
      </c>
      <c r="CH66" s="214">
        <f>IF(AND(($E66+$C$1)&gt;CH$4,CH$4&gt;=$C$1),$H66,IF(AND(($D66+$C$1)&gt;CH$4,CH$4&gt;=$C$1),$G66,0))*IF($A66="Residential",'General Inputs'!O$14,'General Inputs'!O$19)</f>
        <v>349.58730940863705</v>
      </c>
      <c r="CI66" s="214">
        <f>IF(AND(($E66+$C$1)&gt;CI$4,CI$4&gt;=$C$1),$H66,IF(AND(($D66+$C$1)&gt;CI$4,CI$4&gt;=$C$1),$G66,0))*IF($A66="Residential",'General Inputs'!P$14,'General Inputs'!P$19)</f>
        <v>354.83111904976658</v>
      </c>
      <c r="CJ66" s="214">
        <f>IF(AND(($E66+$C$1)&gt;CJ$4,CJ$4&gt;=$C$1),$H66,IF(AND(($D66+$C$1)&gt;CJ$4,CJ$4&gt;=$C$1),$G66,0))*IF($A66="Residential",'General Inputs'!Q$14,'General Inputs'!Q$19)</f>
        <v>360.15358583551307</v>
      </c>
      <c r="CK66" s="214">
        <f>IF(AND(($E66+$C$1)&gt;CK$4,CK$4&gt;=$C$1),$H66,IF(AND(($D66+$C$1)&gt;CK$4,CK$4&gt;=$C$1),$G66,0))*IF($A66="Residential",'General Inputs'!R$14,'General Inputs'!R$19)</f>
        <v>365.55588962304569</v>
      </c>
      <c r="CL66" s="214">
        <f>IF(AND(($E66+$C$1)&gt;CL$4,CL$4&gt;=$C$1),$H66,IF(AND(($D66+$C$1)&gt;CL$4,CL$4&gt;=$C$1),$G66,0))*IF($A66="Residential",'General Inputs'!S$14,'General Inputs'!S$19)</f>
        <v>371.03922796739135</v>
      </c>
      <c r="CM66" s="214">
        <f>IF(AND(($E66+$C$1)&gt;CM$4,CM$4&gt;=$C$1),$H66,IF(AND(($D66+$C$1)&gt;CM$4,CM$4&gt;=$C$1),$G66,0))*IF($A66="Residential",'General Inputs'!T$14,'General Inputs'!T$19)</f>
        <v>376.6048163869022</v>
      </c>
      <c r="CN66" s="214">
        <f>IF(AND(($E66+$C$1)&gt;CN$4,CN$4&gt;=$C$1),$H66,IF(AND(($D66+$C$1)&gt;CN$4,CN$4&gt;=$C$1),$G66,0))*IF($A66="Residential",'General Inputs'!U$14,'General Inputs'!U$19)</f>
        <v>382.2538886327057</v>
      </c>
      <c r="CO66" s="214">
        <f>IF(AND(($E66+$C$1)&gt;CO$4,CO$4&gt;=$C$1),$H66,IF(AND(($D66+$C$1)&gt;CO$4,CO$4&gt;=$C$1),$G66,0))*IF($A66="Residential",'General Inputs'!V$14,'General Inputs'!V$19)</f>
        <v>387.9876969621962</v>
      </c>
      <c r="CP66" s="214">
        <f>IF(AND(($E66+$C$1)&gt;CP$4,CP$4&gt;=$C$1),$H66,IF(AND(($D66+$C$1)&gt;CP$4,CP$4&gt;=$C$1),$G66,0))*IF($A66="Residential",'General Inputs'!W$14,'General Inputs'!W$19)</f>
        <v>0</v>
      </c>
      <c r="CR66" s="214">
        <f>IF(AND(($E66+$C$1)&gt;CR$4,CR$4&gt;=$C$1),$H66,IF(AND(($D66+$C$1)&gt;CR$4,CR$4&gt;=$C$1),$G66,0))*IF($A66="Residential",'General Inputs'!D$15,'General Inputs'!D$19)</f>
        <v>0</v>
      </c>
      <c r="CS66" s="214">
        <f>IF(AND(($E66+$C$1)&gt;CS$4,CS$4&gt;=$C$1),$H66,IF(AND(($D66+$C$1)&gt;CS$4,CS$4&gt;=$C$1),$G66,0))*IF($A66="Residential",'General Inputs'!E$15,'General Inputs'!E$19)</f>
        <v>301.22792914334701</v>
      </c>
      <c r="CT66" s="214">
        <f>IF(AND(($E66+$C$1)&gt;CT$4,CT$4&gt;=$C$1),$H66,IF(AND(($D66+$C$1)&gt;CT$4,CT$4&gt;=$C$1),$G66,0))*IF($A66="Residential",'General Inputs'!F$15,'General Inputs'!F$19)</f>
        <v>305.74634808049723</v>
      </c>
      <c r="CU66" s="214">
        <f>IF(AND(($E66+$C$1)&gt;CU$4,CU$4&gt;=$C$1),$H66,IF(AND(($D66+$C$1)&gt;CU$4,CU$4&gt;=$C$1),$G66,0))*IF($A66="Residential",'General Inputs'!G$15,'General Inputs'!G$19)</f>
        <v>310.33254330170467</v>
      </c>
      <c r="CV66" s="214">
        <f>IF(AND(($E66+$C$1)&gt;CV$4,CV$4&gt;=$C$1),$H66,IF(AND(($D66+$C$1)&gt;CV$4,CV$4&gt;=$C$1),$G66,0))*IF($A66="Residential",'General Inputs'!H$15,'General Inputs'!H$19)</f>
        <v>314.98753145123015</v>
      </c>
      <c r="CW66" s="214">
        <f>IF(AND(($E66+$C$1)&gt;CW$4,CW$4&gt;=$C$1),$H66,IF(AND(($D66+$C$1)&gt;CW$4,CW$4&gt;=$C$1),$G66,0))*IF($A66="Residential",'General Inputs'!I$15,'General Inputs'!I$19)</f>
        <v>319.71234442299857</v>
      </c>
      <c r="CX66" s="214">
        <f>IF(AND(($E66+$C$1)&gt;CX$4,CX$4&gt;=$C$1),$H66,IF(AND(($D66+$C$1)&gt;CX$4,CX$4&gt;=$C$1),$G66,0))*IF($A66="Residential",'General Inputs'!J$15,'General Inputs'!J$19)</f>
        <v>324.50802958934355</v>
      </c>
      <c r="CY66" s="214">
        <f>IF(AND(($E66+$C$1)&gt;CY$4,CY$4&gt;=$C$1),$H66,IF(AND(($D66+$C$1)&gt;CY$4,CY$4&gt;=$C$1),$G66,0))*IF($A66="Residential",'General Inputs'!K$15,'General Inputs'!K$19)</f>
        <v>329.3756500331836</v>
      </c>
      <c r="CZ66" s="214">
        <f>IF(AND(($E66+$C$1)&gt;CZ$4,CZ$4&gt;=$C$1),$H66,IF(AND(($D66+$C$1)&gt;CZ$4,CZ$4&gt;=$C$1),$G66,0))*IF($A66="Residential",'General Inputs'!L$15,'General Inputs'!L$19)</f>
        <v>334.31628478368134</v>
      </c>
      <c r="DA66" s="214">
        <f>IF(AND(($E66+$C$1)&gt;DA$4,DA$4&gt;=$C$1),$H66,IF(AND(($D66+$C$1)&gt;DA$4,DA$4&gt;=$C$1),$G66,0))*IF($A66="Residential",'General Inputs'!M$15,'General Inputs'!M$19)</f>
        <v>339.33102905543655</v>
      </c>
      <c r="DB66" s="214">
        <f>IF(AND(($E66+$C$1)&gt;DB$4,DB$4&gt;=$C$1),$H66,IF(AND(($D66+$C$1)&gt;DB$4,DB$4&gt;=$C$1),$G66,0))*IF($A66="Residential",'General Inputs'!N$15,'General Inputs'!N$19)</f>
        <v>344.42099449126806</v>
      </c>
      <c r="DC66" s="214">
        <f>IF(AND(($E66+$C$1)&gt;DC$4,DC$4&gt;=$C$1),$H66,IF(AND(($D66+$C$1)&gt;DC$4,DC$4&gt;=$C$1),$G66,0))*IF($A66="Residential",'General Inputs'!O$15,'General Inputs'!O$19)</f>
        <v>349.58730940863705</v>
      </c>
      <c r="DD66" s="214">
        <f>IF(AND(($E66+$C$1)&gt;DD$4,DD$4&gt;=$C$1),$H66,IF(AND(($D66+$C$1)&gt;DD$4,DD$4&gt;=$C$1),$G66,0))*IF($A66="Residential",'General Inputs'!P$15,'General Inputs'!P$19)</f>
        <v>354.83111904976658</v>
      </c>
      <c r="DE66" s="214">
        <f>IF(AND(($E66+$C$1)&gt;DE$4,DE$4&gt;=$C$1),$H66,IF(AND(($D66+$C$1)&gt;DE$4,DE$4&gt;=$C$1),$G66,0))*IF($A66="Residential",'General Inputs'!Q$15,'General Inputs'!Q$19)</f>
        <v>360.15358583551307</v>
      </c>
      <c r="DF66" s="214">
        <f>IF(AND(($E66+$C$1)&gt;DF$4,DF$4&gt;=$C$1),$H66,IF(AND(($D66+$C$1)&gt;DF$4,DF$4&gt;=$C$1),$G66,0))*IF($A66="Residential",'General Inputs'!R$15,'General Inputs'!R$19)</f>
        <v>365.55588962304569</v>
      </c>
      <c r="DG66" s="214">
        <f>IF(AND(($E66+$C$1)&gt;DG$4,DG$4&gt;=$C$1),$H66,IF(AND(($D66+$C$1)&gt;DG$4,DG$4&gt;=$C$1),$G66,0))*IF($A66="Residential",'General Inputs'!S$15,'General Inputs'!S$19)</f>
        <v>371.03922796739135</v>
      </c>
      <c r="DH66" s="214">
        <f>IF(AND(($E66+$C$1)&gt;DH$4,DH$4&gt;=$C$1),$H66,IF(AND(($D66+$C$1)&gt;DH$4,DH$4&gt;=$C$1),$G66,0))*IF($A66="Residential",'General Inputs'!T$15,'General Inputs'!T$19)</f>
        <v>376.6048163869022</v>
      </c>
      <c r="DI66" s="214">
        <f>IF(AND(($E66+$C$1)&gt;DI$4,DI$4&gt;=$C$1),$H66,IF(AND(($D66+$C$1)&gt;DI$4,DI$4&gt;=$C$1),$G66,0))*IF($A66="Residential",'General Inputs'!U$15,'General Inputs'!U$19)</f>
        <v>382.2538886327057</v>
      </c>
      <c r="DJ66" s="214">
        <f>IF(AND(($E66+$C$1)&gt;DJ$4,DJ$4&gt;=$C$1),$H66,IF(AND(($D66+$C$1)&gt;DJ$4,DJ$4&gt;=$C$1),$G66,0))*IF($A66="Residential",'General Inputs'!V$15,'General Inputs'!V$19)</f>
        <v>387.9876969621962</v>
      </c>
      <c r="DK66" s="214">
        <f>IF(AND(($E66+$C$1)&gt;DK$4,DK$4&gt;=$C$1),$H66,IF(AND(($D66+$C$1)&gt;DK$4,DK$4&gt;=$C$1),$G66,0))*IF($A66="Residential",'General Inputs'!W$15,'General Inputs'!W$19)</f>
        <v>0</v>
      </c>
      <c r="DM66" s="214">
        <f t="shared" ref="DM66:DW83" si="100">IF($C$1=DM$4,$L66*$C66,IF($E66+$C$1=DM$4,-$M66*$C66,0))</f>
        <v>0</v>
      </c>
      <c r="DN66" s="214">
        <f t="shared" si="100"/>
        <v>435</v>
      </c>
      <c r="DO66" s="214">
        <f t="shared" si="100"/>
        <v>0</v>
      </c>
      <c r="DP66" s="214">
        <f t="shared" si="100"/>
        <v>0</v>
      </c>
      <c r="DQ66" s="214">
        <f t="shared" si="100"/>
        <v>0</v>
      </c>
      <c r="DR66" s="214">
        <f t="shared" si="100"/>
        <v>0</v>
      </c>
      <c r="DS66" s="214">
        <f t="shared" si="100"/>
        <v>0</v>
      </c>
      <c r="DT66" s="214">
        <f t="shared" si="100"/>
        <v>0</v>
      </c>
      <c r="DU66" s="214">
        <f t="shared" si="100"/>
        <v>0</v>
      </c>
      <c r="DV66" s="214">
        <f t="shared" si="100"/>
        <v>0</v>
      </c>
      <c r="DW66" s="214">
        <f t="shared" si="100"/>
        <v>0</v>
      </c>
      <c r="DZ66" s="650"/>
      <c r="FI66" s="195"/>
      <c r="FJ66" s="195"/>
      <c r="FK66" s="195"/>
      <c r="FL66" s="195"/>
      <c r="FM66" s="195"/>
      <c r="FN66" s="195"/>
      <c r="FO66" s="195"/>
    </row>
    <row r="67" spans="1:171">
      <c r="A67" s="342" t="s">
        <v>112</v>
      </c>
      <c r="B67" s="427" t="str">
        <f>'Portfolio Inputs'!A66</f>
        <v>Ceramic Integrated Metal Halide (150 &lt; 250W)</v>
      </c>
      <c r="C67" s="217">
        <f>IF($C$1=2014,'Portfolio Inputs'!$C66,IF($C$1=2015,'Portfolio Inputs'!$D66,'Portfolio Inputs'!$E66))</f>
        <v>3</v>
      </c>
      <c r="D67" s="504">
        <f>VLOOKUP(B67,Sources!$B$4:$J$104,2,FALSE)</f>
        <v>18</v>
      </c>
      <c r="E67" s="504">
        <f>VLOOKUP(B67,Sources!$B$4:$J$104,3,FALSE)</f>
        <v>0</v>
      </c>
      <c r="G67" s="504">
        <f>IF($C$1=2014,'Portfolio Inputs'!$G66,IF($C$1=2015,'Portfolio Inputs'!$H66,'Portfolio Inputs'!$I66))*EnergyLineLoss</f>
        <v>3189.43814625</v>
      </c>
      <c r="H67" s="504"/>
      <c r="I67" s="595">
        <f>IF($C$1=2014,'Portfolio Inputs'!$K66,IF($C$1=2015,'Portfolio Inputs'!$L66,'Portfolio Inputs'!$M66))*PeakLineLoss</f>
        <v>0.49318097400000005</v>
      </c>
      <c r="J67" s="510"/>
      <c r="L67" s="606">
        <f>IF($C$1=2014,'Portfolio Inputs'!$O66,IF($C$1=2015,'Portfolio Inputs'!$P66,'Portfolio Inputs'!$Q66))</f>
        <v>98</v>
      </c>
      <c r="M67" s="518">
        <f>VLOOKUP($B67,Sources!$B$4:$K$104,10,FALSE)</f>
        <v>0</v>
      </c>
      <c r="N67" s="419">
        <f>IF($C$1=2014,'Portfolio Inputs'!$W66,IF($C$1=2015,'Portfolio Inputs'!$X66,'Portfolio Inputs'!$Y66))</f>
        <v>84</v>
      </c>
      <c r="O67" s="419">
        <f>IF($C$1=2014,'Portfolio Inputs'!$AA66,IF($C$1=2015,'Portfolio Inputs'!$AB66,'Portfolio Inputs'!$AC66))</f>
        <v>0</v>
      </c>
      <c r="Q67" s="438">
        <f t="shared" si="67"/>
        <v>4.9210505352655876</v>
      </c>
      <c r="R67" s="439">
        <f t="shared" si="68"/>
        <v>17.223676873429557</v>
      </c>
      <c r="S67" s="439">
        <f t="shared" si="69"/>
        <v>6.1122809679775338</v>
      </c>
      <c r="T67" s="439">
        <f t="shared" si="70"/>
        <v>12.488770303895746</v>
      </c>
      <c r="U67" s="439">
        <f t="shared" si="98"/>
        <v>12.488770303895746</v>
      </c>
      <c r="V67" s="439">
        <f t="shared" si="72"/>
        <v>0.39403803701398171</v>
      </c>
      <c r="W67" s="439">
        <f t="shared" si="73"/>
        <v>0.39403803701398171</v>
      </c>
      <c r="Y67" s="215">
        <f t="shared" si="4"/>
        <v>1329.2804643220165</v>
      </c>
      <c r="Z67" s="215">
        <f t="shared" si="5"/>
        <v>321.77668799826557</v>
      </c>
      <c r="AA67" s="215">
        <f t="shared" si="6"/>
        <v>3296.3050986267453</v>
      </c>
      <c r="AB67" s="215">
        <f t="shared" si="7"/>
        <v>3296.3050986267453</v>
      </c>
      <c r="AC67" s="216">
        <f t="shared" si="20"/>
        <v>0</v>
      </c>
      <c r="AD67" s="216">
        <f t="shared" si="21"/>
        <v>77.177508269018745</v>
      </c>
      <c r="AE67" s="215">
        <f t="shared" si="8"/>
        <v>270.12127894156561</v>
      </c>
      <c r="AG67" s="214">
        <f>IF(AND(($E67+$C$1)&gt;AG$4,AG$4&gt;=$C$1),'General Inputs'!D$9*$H67,IF(AND(($D67+$C$1)&gt;AG$4,AG$4&gt;=$C$1),'General Inputs'!D$9*$G67,0))+IF(AND(($E67+$C$1)&gt;AG$4,AG$4&gt;=$C$1),'General Inputs'!D$10*$J67,IF(AND(($D67+$C$1)&gt;AG$4,AG$4&gt;=$C$1),'General Inputs'!D$10*$I67,0))</f>
        <v>0</v>
      </c>
      <c r="AH67" s="214">
        <f>IF(AND(($E67+$C$1)&gt;AH$4,AH$4&gt;=$C$1),'General Inputs'!E$9*$H67,IF(AND(($D67+$C$1)&gt;AH$4,AH$4&gt;=$C$1),'General Inputs'!E$9*$G67,0))+IF(AND(($E67+$C$1)&gt;AH$4,AH$4&gt;=$C$1),'General Inputs'!E$10*$J67,IF(AND(($D67+$C$1)&gt;AH$4,AH$4&gt;=$C$1),'General Inputs'!E$10*$I67,0))</f>
        <v>136.37913811976574</v>
      </c>
      <c r="AI67" s="214">
        <f>IF(AND(($E67+$C$1)&gt;AI$4,AI$4&gt;=$C$1),'General Inputs'!F$9*$H67,IF(AND(($D67+$C$1)&gt;AI$4,AI$4&gt;=$C$1),'General Inputs'!F$9*$G67,0))+IF(AND(($E67+$C$1)&gt;AI$4,AI$4&gt;=$C$1),'General Inputs'!F$10*$J67,IF(AND(($D67+$C$1)&gt;AI$4,AI$4&gt;=$C$1),'General Inputs'!F$10*$I67,0))</f>
        <v>138.42482519156221</v>
      </c>
      <c r="AJ67" s="214">
        <f>IF(AND(($E67+$C$1)&gt;AJ$4,AJ$4&gt;=$C$1),'General Inputs'!G$9*$H67,IF(AND(($D67+$C$1)&gt;AJ$4,AJ$4&gt;=$C$1),'General Inputs'!G$9*$G67,0))+IF(AND(($E67+$C$1)&gt;AJ$4,AJ$4&gt;=$C$1),'General Inputs'!G$10*$J67,IF(AND(($D67+$C$1)&gt;AJ$4,AJ$4&gt;=$C$1),'General Inputs'!G$10*$I67,0))</f>
        <v>140.50119756943565</v>
      </c>
      <c r="AK67" s="214">
        <f>IF(AND(($E67+$C$1)&gt;AK$4,AK$4&gt;=$C$1),'General Inputs'!H$9*$H67,IF(AND(($D67+$C$1)&gt;AK$4,AK$4&gt;=$C$1),'General Inputs'!H$9*$G67,0))+IF(AND(($E67+$C$1)&gt;AK$4,AK$4&gt;=$C$1),'General Inputs'!H$10*$J67,IF(AND(($D67+$C$1)&gt;AK$4,AK$4&gt;=$C$1),'General Inputs'!H$10*$I67,0))</f>
        <v>142.60871553297716</v>
      </c>
      <c r="AL67" s="214">
        <f>IF(AND(($E67+$C$1)&gt;AL$4,AL$4&gt;=$C$1),'General Inputs'!I$9*$H67,IF(AND(($D67+$C$1)&gt;AL$4,AL$4&gt;=$C$1),'General Inputs'!I$9*$G67,0))+IF(AND(($E67+$C$1)&gt;AL$4,AL$4&gt;=$C$1),'General Inputs'!I$10*$J67,IF(AND(($D67+$C$1)&gt;AL$4,AL$4&gt;=$C$1),'General Inputs'!I$10*$I67,0))</f>
        <v>144.74784626597179</v>
      </c>
      <c r="AM67" s="214">
        <f>IF(AND(($E67+$C$1)&gt;AM$4,AM$4&gt;=$C$1),'General Inputs'!J$9*$H67,IF(AND(($D67+$C$1)&gt;AM$4,AM$4&gt;=$C$1),'General Inputs'!J$9*$G67,0))+IF(AND(($E67+$C$1)&gt;AM$4,AM$4&gt;=$C$1),'General Inputs'!J$10*$J67,IF(AND(($D67+$C$1)&gt;AM$4,AM$4&gt;=$C$1),'General Inputs'!J$10*$I67,0))</f>
        <v>146.91906395996133</v>
      </c>
      <c r="AN67" s="214">
        <f>IF(AND(($E67+$C$1)&gt;AN$4,AN$4&gt;=$C$1),'General Inputs'!K$9*$H67,IF(AND(($D67+$C$1)&gt;AN$4,AN$4&gt;=$C$1),'General Inputs'!K$9*$G67,0))+IF(AND(($E67+$C$1)&gt;AN$4,AN$4&gt;=$C$1),'General Inputs'!K$10*$J67,IF(AND(($D67+$C$1)&gt;AN$4,AN$4&gt;=$C$1),'General Inputs'!K$10*$I67,0))</f>
        <v>149.12284991936073</v>
      </c>
      <c r="AO67" s="214">
        <f>IF(AND(($E67+$C$1)&gt;AO$4,AO$4&gt;=$C$1),'General Inputs'!L$9*$H67,IF(AND(($D67+$C$1)&gt;AO$4,AO$4&gt;=$C$1),'General Inputs'!L$9*$G67,0))+IF(AND(($E67+$C$1)&gt;AO$4,AO$4&gt;=$C$1),'General Inputs'!L$10*$J67,IF(AND(($D67+$C$1)&gt;AO$4,AO$4&gt;=$C$1),'General Inputs'!L$10*$I67,0))</f>
        <v>151.35969266815113</v>
      </c>
      <c r="AP67" s="214">
        <f>IF(AND(($E67+$C$1)&gt;AP$4,AP$4&gt;=$C$1),'General Inputs'!M$9*$H67,IF(AND(($D67+$C$1)&gt;AP$4,AP$4&gt;=$C$1),'General Inputs'!M$9*$G67,0))+IF(AND(($E67+$C$1)&gt;AP$4,AP$4&gt;=$C$1),'General Inputs'!M$10*$J67,IF(AND(($D67+$C$1)&gt;AP$4,AP$4&gt;=$C$1),'General Inputs'!M$10*$I67,0))</f>
        <v>153.63008805817338</v>
      </c>
      <c r="AQ67" s="214">
        <f>IF(AND(($E67+$C$1)&gt;AQ$4,AQ$4&gt;=$C$1),'General Inputs'!N$9*$H67,IF(AND(($D67+$C$1)&gt;AQ$4,AQ$4&gt;=$C$1),'General Inputs'!N$9*$G67,0))+IF(AND(($E67+$C$1)&gt;AQ$4,AQ$4&gt;=$C$1),'General Inputs'!N$10*$J67,IF(AND(($D67+$C$1)&gt;AQ$4,AQ$4&gt;=$C$1),'General Inputs'!N$10*$I67,0))</f>
        <v>155.93453937904599</v>
      </c>
      <c r="AR67" s="214">
        <f>IF(AND(($E67+$C$1)&gt;AR$4,AR$4&gt;=$C$1),'General Inputs'!O$9*$H67,IF(AND(($D67+$C$1)&gt;AR$4,AR$4&gt;=$C$1),'General Inputs'!O$9*$G67,0))+IF(AND(($E67+$C$1)&gt;AR$4,AR$4&gt;=$C$1),'General Inputs'!O$10*$J67,IF(AND(($D67+$C$1)&gt;AR$4,AR$4&gt;=$C$1),'General Inputs'!O$10*$I67,0))</f>
        <v>158.27355746973163</v>
      </c>
      <c r="AS67" s="214">
        <f>IF(AND(($E67+$C$1)&gt;AS$4,AS$4&gt;=$C$1),'General Inputs'!P$9*$H67,IF(AND(($D67+$C$1)&gt;AS$4,AS$4&gt;=$C$1),'General Inputs'!P$9*$G67,0))+IF(AND(($E67+$C$1)&gt;AS$4,AS$4&gt;=$C$1),'General Inputs'!P$10*$J67,IF(AND(($D67+$C$1)&gt;AS$4,AS$4&gt;=$C$1),'General Inputs'!P$10*$I67,0))</f>
        <v>160.64766083177759</v>
      </c>
      <c r="AT67" s="214">
        <f>IF(AND(($E67+$C$1)&gt;AT$4,AT$4&gt;=$C$1),'General Inputs'!Q$9*$H67,IF(AND(($D67+$C$1)&gt;AT$4,AT$4&gt;=$C$1),'General Inputs'!Q$9*$G67,0))+IF(AND(($E67+$C$1)&gt;AT$4,AT$4&gt;=$C$1),'General Inputs'!Q$10*$J67,IF(AND(($D67+$C$1)&gt;AT$4,AT$4&gt;=$C$1),'General Inputs'!Q$10*$I67,0))</f>
        <v>163.05737574425424</v>
      </c>
      <c r="AU67" s="214">
        <f>IF(AND(($E67+$C$1)&gt;AU$4,AU$4&gt;=$C$1),'General Inputs'!R$9*$H67,IF(AND(($D67+$C$1)&gt;AU$4,AU$4&gt;=$C$1),'General Inputs'!R$9*$G67,0))+IF(AND(($E67+$C$1)&gt;AU$4,AU$4&gt;=$C$1),'General Inputs'!R$10*$J67,IF(AND(($D67+$C$1)&gt;AU$4,AU$4&gt;=$C$1),'General Inputs'!R$10*$I67,0))</f>
        <v>165.50323638041806</v>
      </c>
      <c r="AV67" s="214">
        <f>IF(AND(($E67+$C$1)&gt;AV$4,AV$4&gt;=$C$1),'General Inputs'!S$9*$H67,IF(AND(($D67+$C$1)&gt;AV$4,AV$4&gt;=$C$1),'General Inputs'!S$9*$G67,0))+IF(AND(($E67+$C$1)&gt;AV$4,AV$4&gt;=$C$1),'General Inputs'!S$10*$J67,IF(AND(($D67+$C$1)&gt;AV$4,AV$4&gt;=$C$1),'General Inputs'!S$10*$I67,0))</f>
        <v>167.98578492612432</v>
      </c>
      <c r="AW67" s="214">
        <f>IF(AND(($E67+$C$1)&gt;AW$4,AW$4&gt;=$C$1),'General Inputs'!T$9*$H67,IF(AND(($D67+$C$1)&gt;AW$4,AW$4&gt;=$C$1),'General Inputs'!T$9*$G67,0))+IF(AND(($E67+$C$1)&gt;AW$4,AW$4&gt;=$C$1),'General Inputs'!T$10*$J67,IF(AND(($D67+$C$1)&gt;AW$4,AW$4&gt;=$C$1),'General Inputs'!T$10*$I67,0))</f>
        <v>170.50557170001616</v>
      </c>
      <c r="AX67" s="214">
        <f>IF(AND(($E67+$C$1)&gt;AX$4,AX$4&gt;=$C$1),'General Inputs'!U$9*$H67,IF(AND(($D67+$C$1)&gt;AX$4,AX$4&gt;=$C$1),'General Inputs'!U$9*$G67,0))+IF(AND(($E67+$C$1)&gt;AX$4,AX$4&gt;=$C$1),'General Inputs'!U$10*$J67,IF(AND(($D67+$C$1)&gt;AX$4,AX$4&gt;=$C$1),'General Inputs'!U$10*$I67,0))</f>
        <v>173.06315527551641</v>
      </c>
      <c r="AY67" s="214">
        <f>IF(AND(($E67+$C$1)&gt;AY$4,AY$4&gt;=$C$1),'General Inputs'!V$9*$H67,IF(AND(($D67+$C$1)&gt;AY$4,AY$4&gt;=$C$1),'General Inputs'!V$9*$G67,0))+IF(AND(($E67+$C$1)&gt;AY$4,AY$4&gt;=$C$1),'General Inputs'!V$10*$J67,IF(AND(($D67+$C$1)&gt;AY$4,AY$4&gt;=$C$1),'General Inputs'!V$10*$I67,0))</f>
        <v>175.65910260464915</v>
      </c>
      <c r="AZ67" s="214">
        <f>IF(AND(($E67+$C$1)&gt;AZ$4,AZ$4&gt;=$C$1),'General Inputs'!W$9*$H67,IF(AND(($D67+$C$1)&gt;AZ$4,AZ$4&gt;=$C$1),'General Inputs'!W$9*$G67,0))+IF(AND(($E67+$C$1)&gt;AZ$4,AZ$4&gt;=$C$1),'General Inputs'!W$10*$J67,IF(AND(($D67+$C$1)&gt;AZ$4,AZ$4&gt;=$C$1),'General Inputs'!W$10*$I67,0))</f>
        <v>0</v>
      </c>
      <c r="BB67" s="214">
        <f>IF(AND(($E67+$C$1)&gt;BB$4,BB$4&gt;=$C$1),'General Inputs'!D$11*$H67,IF(AND(($D67+$C$1)&gt;BB$4,BB$4&gt;=$C$1),'General Inputs'!D$11*$G67,0))</f>
        <v>0</v>
      </c>
      <c r="BC67" s="214">
        <f>IF(AND(($E67+$C$1)&gt;BC$4,BC$4&gt;=$C$1),'General Inputs'!E$11*$H67,IF(AND(($D67+$C$1)&gt;BC$4,BC$4&gt;=$C$1),'General Inputs'!E$11*$G67,0))</f>
        <v>36.359594867250003</v>
      </c>
      <c r="BD67" s="214">
        <f>IF(AND(($E67+$C$1)&gt;BD$4,BD$4&gt;=$C$1),'General Inputs'!F$11*$H67,IF(AND(($D67+$C$1)&gt;BD$4,BD$4&gt;=$C$1),'General Inputs'!F$11*$G67,0))</f>
        <v>36.359594867250003</v>
      </c>
      <c r="BE67" s="214">
        <f>IF(AND(($E67+$C$1)&gt;BE$4,BE$4&gt;=$C$1),'General Inputs'!G$11*$H67,IF(AND(($D67+$C$1)&gt;BE$4,BE$4&gt;=$C$1),'General Inputs'!G$11*$G67,0))</f>
        <v>36.359594867250003</v>
      </c>
      <c r="BF67" s="214">
        <f>IF(AND(($E67+$C$1)&gt;BF$4,BF$4&gt;=$C$1),'General Inputs'!H$11*$H67,IF(AND(($D67+$C$1)&gt;BF$4,BF$4&gt;=$C$1),'General Inputs'!H$11*$G67,0))</f>
        <v>36.359594867250003</v>
      </c>
      <c r="BG67" s="214">
        <f>IF(AND(($E67+$C$1)&gt;BG$4,BG$4&gt;=$C$1),'General Inputs'!I$11*$H67,IF(AND(($D67+$C$1)&gt;BG$4,BG$4&gt;=$C$1),'General Inputs'!I$11*$G67,0))</f>
        <v>36.359594867250003</v>
      </c>
      <c r="BH67" s="214">
        <f>IF(AND(($E67+$C$1)&gt;BH$4,BH$4&gt;=$C$1),'General Inputs'!J$11*$H67,IF(AND(($D67+$C$1)&gt;BH$4,BH$4&gt;=$C$1),'General Inputs'!J$11*$G67,0))</f>
        <v>36.359594867250003</v>
      </c>
      <c r="BI67" s="214">
        <f>IF(AND(($E67+$C$1)&gt;BI$4,BI$4&gt;=$C$1),'General Inputs'!K$11*$H67,IF(AND(($D67+$C$1)&gt;BI$4,BI$4&gt;=$C$1),'General Inputs'!K$11*$G67,0))</f>
        <v>36.359594867250003</v>
      </c>
      <c r="BJ67" s="214">
        <f>IF(AND(($E67+$C$1)&gt;BJ$4,BJ$4&gt;=$C$1),'General Inputs'!L$11*$H67,IF(AND(($D67+$C$1)&gt;BJ$4,BJ$4&gt;=$C$1),'General Inputs'!L$11*$G67,0))</f>
        <v>36.359594867250003</v>
      </c>
      <c r="BK67" s="214">
        <f>IF(AND(($E67+$C$1)&gt;BK$4,BK$4&gt;=$C$1),'General Inputs'!M$11*$H67,IF(AND(($D67+$C$1)&gt;BK$4,BK$4&gt;=$C$1),'General Inputs'!M$11*$G67,0))</f>
        <v>36.359594867250003</v>
      </c>
      <c r="BL67" s="214">
        <f>IF(AND(($E67+$C$1)&gt;BL$4,BL$4&gt;=$C$1),'General Inputs'!N$11*$H67,IF(AND(($D67+$C$1)&gt;BL$4,BL$4&gt;=$C$1),'General Inputs'!N$11*$G67,0))</f>
        <v>36.359594867250003</v>
      </c>
      <c r="BM67" s="214">
        <f>IF(AND(($E67+$C$1)&gt;BM$4,BM$4&gt;=$C$1),'General Inputs'!O$11*$H67,IF(AND(($D67+$C$1)&gt;BM$4,BM$4&gt;=$C$1),'General Inputs'!O$11*$G67,0))</f>
        <v>36.359594867250003</v>
      </c>
      <c r="BN67" s="214">
        <f>IF(AND(($E67+$C$1)&gt;BN$4,BN$4&gt;=$C$1),'General Inputs'!P$11*$H67,IF(AND(($D67+$C$1)&gt;BN$4,BN$4&gt;=$C$1),'General Inputs'!P$11*$G67,0))</f>
        <v>36.359594867250003</v>
      </c>
      <c r="BO67" s="214">
        <f>IF(AND(($E67+$C$1)&gt;BO$4,BO$4&gt;=$C$1),'General Inputs'!Q$11*$H67,IF(AND(($D67+$C$1)&gt;BO$4,BO$4&gt;=$C$1),'General Inputs'!Q$11*$G67,0))</f>
        <v>36.359594867250003</v>
      </c>
      <c r="BP67" s="214">
        <f>IF(AND(($E67+$C$1)&gt;BP$4,BP$4&gt;=$C$1),'General Inputs'!R$11*$H67,IF(AND(($D67+$C$1)&gt;BP$4,BP$4&gt;=$C$1),'General Inputs'!R$11*$G67,0))</f>
        <v>36.359594867250003</v>
      </c>
      <c r="BQ67" s="214">
        <f>IF(AND(($E67+$C$1)&gt;BQ$4,BQ$4&gt;=$C$1),'General Inputs'!S$11*$H67,IF(AND(($D67+$C$1)&gt;BQ$4,BQ$4&gt;=$C$1),'General Inputs'!S$11*$G67,0))</f>
        <v>36.359594867250003</v>
      </c>
      <c r="BR67" s="214">
        <f>IF(AND(($E67+$C$1)&gt;BR$4,BR$4&gt;=$C$1),'General Inputs'!T$11*$H67,IF(AND(($D67+$C$1)&gt;BR$4,BR$4&gt;=$C$1),'General Inputs'!T$11*$G67,0))</f>
        <v>36.359594867250003</v>
      </c>
      <c r="BS67" s="214">
        <f>IF(AND(($E67+$C$1)&gt;BS$4,BS$4&gt;=$C$1),'General Inputs'!U$11*$H67,IF(AND(($D67+$C$1)&gt;BS$4,BS$4&gt;=$C$1),'General Inputs'!U$11*$G67,0))</f>
        <v>36.359594867250003</v>
      </c>
      <c r="BT67" s="214">
        <f>IF(AND(($E67+$C$1)&gt;BT$4,BT$4&gt;=$C$1),'General Inputs'!V$11*$H67,IF(AND(($D67+$C$1)&gt;BT$4,BT$4&gt;=$C$1),'General Inputs'!V$11*$G67,0))</f>
        <v>36.359594867250003</v>
      </c>
      <c r="BU67" s="214">
        <f>IF(AND(($E67+$C$1)&gt;BU$4,BU$4&gt;=$C$1),'General Inputs'!W$11*$H67,IF(AND(($D67+$C$1)&gt;BU$4,BU$4&gt;=$C$1),'General Inputs'!W$11*$G67,0))</f>
        <v>0</v>
      </c>
      <c r="BW67" s="214">
        <f>IF(AND(($E67+$C$1)&gt;BW$4,BW$4&gt;=$C$1),$H67,IF(AND(($D67+$C$1)&gt;BW$4,BW$4&gt;=$C$1),$G67,0))*IF($A67="Residential",'General Inputs'!D$14,'General Inputs'!D$19)</f>
        <v>0</v>
      </c>
      <c r="BX67" s="214">
        <f>IF(AND(($E67+$C$1)&gt;BX$4,BX$4&gt;=$C$1),$H67,IF(AND(($D67+$C$1)&gt;BX$4,BX$4&gt;=$C$1),$G67,0))*IF($A67="Residential",'General Inputs'!E$14,'General Inputs'!E$19)</f>
        <v>338.18841124682524</v>
      </c>
      <c r="BY67" s="214">
        <f>IF(AND(($E67+$C$1)&gt;BY$4,BY$4&gt;=$C$1),$H67,IF(AND(($D67+$C$1)&gt;BY$4,BY$4&gt;=$C$1),$G67,0))*IF($A67="Residential",'General Inputs'!F$14,'General Inputs'!F$19)</f>
        <v>343.2612374155276</v>
      </c>
      <c r="BZ67" s="214">
        <f>IF(AND(($E67+$C$1)&gt;BZ$4,BZ$4&gt;=$C$1),$H67,IF(AND(($D67+$C$1)&gt;BZ$4,BZ$4&gt;=$C$1),$G67,0))*IF($A67="Residential",'General Inputs'!G$14,'General Inputs'!G$19)</f>
        <v>348.41015597676051</v>
      </c>
      <c r="CA67" s="214">
        <f>IF(AND(($E67+$C$1)&gt;CA$4,CA$4&gt;=$C$1),$H67,IF(AND(($D67+$C$1)&gt;CA$4,CA$4&gt;=$C$1),$G67,0))*IF($A67="Residential",'General Inputs'!H$14,'General Inputs'!H$19)</f>
        <v>353.63630831641183</v>
      </c>
      <c r="CB67" s="214">
        <f>IF(AND(($E67+$C$1)&gt;CB$4,CB$4&gt;=$C$1),$H67,IF(AND(($D67+$C$1)&gt;CB$4,CB$4&gt;=$C$1),$G67,0))*IF($A67="Residential",'General Inputs'!I$14,'General Inputs'!I$19)</f>
        <v>358.94085294115791</v>
      </c>
      <c r="CC67" s="214">
        <f>IF(AND(($E67+$C$1)&gt;CC$4,CC$4&gt;=$C$1),$H67,IF(AND(($D67+$C$1)&gt;CC$4,CC$4&gt;=$C$1),$G67,0))*IF($A67="Residential",'General Inputs'!J$14,'General Inputs'!J$19)</f>
        <v>364.32496573527527</v>
      </c>
      <c r="CD67" s="214">
        <f>IF(AND(($E67+$C$1)&gt;CD$4,CD$4&gt;=$C$1),$H67,IF(AND(($D67+$C$1)&gt;CD$4,CD$4&gt;=$C$1),$G67,0))*IF($A67="Residential",'General Inputs'!K$14,'General Inputs'!K$19)</f>
        <v>369.78984022130436</v>
      </c>
      <c r="CE67" s="214">
        <f>IF(AND(($E67+$C$1)&gt;CE$4,CE$4&gt;=$C$1),$H67,IF(AND(($D67+$C$1)&gt;CE$4,CE$4&gt;=$C$1),$G67,0))*IF($A67="Residential",'General Inputs'!L$14,'General Inputs'!L$19)</f>
        <v>375.33668782462388</v>
      </c>
      <c r="CF67" s="214">
        <f>IF(AND(($E67+$C$1)&gt;CF$4,CF$4&gt;=$C$1),$H67,IF(AND(($D67+$C$1)&gt;CF$4,CF$4&gt;=$C$1),$G67,0))*IF($A67="Residential",'General Inputs'!M$14,'General Inputs'!M$19)</f>
        <v>380.96673814199323</v>
      </c>
      <c r="CG67" s="214">
        <f>IF(AND(($E67+$C$1)&gt;CG$4,CG$4&gt;=$C$1),$H67,IF(AND(($D67+$C$1)&gt;CG$4,CG$4&gt;=$C$1),$G67,0))*IF($A67="Residential",'General Inputs'!N$14,'General Inputs'!N$19)</f>
        <v>386.68123921412314</v>
      </c>
      <c r="CH67" s="214">
        <f>IF(AND(($E67+$C$1)&gt;CH$4,CH$4&gt;=$C$1),$H67,IF(AND(($D67+$C$1)&gt;CH$4,CH$4&gt;=$C$1),$G67,0))*IF($A67="Residential",'General Inputs'!O$14,'General Inputs'!O$19)</f>
        <v>392.48145780233489</v>
      </c>
      <c r="CI67" s="214">
        <f>IF(AND(($E67+$C$1)&gt;CI$4,CI$4&gt;=$C$1),$H67,IF(AND(($D67+$C$1)&gt;CI$4,CI$4&gt;=$C$1),$G67,0))*IF($A67="Residential",'General Inputs'!P$14,'General Inputs'!P$19)</f>
        <v>398.3686796693699</v>
      </c>
      <c r="CJ67" s="214">
        <f>IF(AND(($E67+$C$1)&gt;CJ$4,CJ$4&gt;=$C$1),$H67,IF(AND(($D67+$C$1)&gt;CJ$4,CJ$4&gt;=$C$1),$G67,0))*IF($A67="Residential",'General Inputs'!Q$14,'General Inputs'!Q$19)</f>
        <v>404.3442098644104</v>
      </c>
      <c r="CK67" s="214">
        <f>IF(AND(($E67+$C$1)&gt;CK$4,CK$4&gt;=$C$1),$H67,IF(AND(($D67+$C$1)&gt;CK$4,CK$4&gt;=$C$1),$G67,0))*IF($A67="Residential",'General Inputs'!R$14,'General Inputs'!R$19)</f>
        <v>410.40937301237648</v>
      </c>
      <c r="CL67" s="214">
        <f>IF(AND(($E67+$C$1)&gt;CL$4,CL$4&gt;=$C$1),$H67,IF(AND(($D67+$C$1)&gt;CL$4,CL$4&gt;=$C$1),$G67,0))*IF($A67="Residential",'General Inputs'!S$14,'General Inputs'!S$19)</f>
        <v>416.56551360756214</v>
      </c>
      <c r="CM67" s="214">
        <f>IF(AND(($E67+$C$1)&gt;CM$4,CM$4&gt;=$C$1),$H67,IF(AND(($D67+$C$1)&gt;CM$4,CM$4&gt;=$C$1),$G67,0))*IF($A67="Residential",'General Inputs'!T$14,'General Inputs'!T$19)</f>
        <v>422.81399631167557</v>
      </c>
      <c r="CN67" s="214">
        <f>IF(AND(($E67+$C$1)&gt;CN$4,CN$4&gt;=$C$1),$H67,IF(AND(($D67+$C$1)&gt;CN$4,CN$4&gt;=$C$1),$G67,0))*IF($A67="Residential",'General Inputs'!U$14,'General Inputs'!U$19)</f>
        <v>429.15620625635057</v>
      </c>
      <c r="CO67" s="214">
        <f>IF(AND(($E67+$C$1)&gt;CO$4,CO$4&gt;=$C$1),$H67,IF(AND(($D67+$C$1)&gt;CO$4,CO$4&gt;=$C$1),$G67,0))*IF($A67="Residential",'General Inputs'!V$14,'General Inputs'!V$19)</f>
        <v>435.59354935019581</v>
      </c>
      <c r="CP67" s="214">
        <f>IF(AND(($E67+$C$1)&gt;CP$4,CP$4&gt;=$C$1),$H67,IF(AND(($D67+$C$1)&gt;CP$4,CP$4&gt;=$C$1),$G67,0))*IF($A67="Residential",'General Inputs'!W$14,'General Inputs'!W$19)</f>
        <v>0</v>
      </c>
      <c r="CR67" s="214">
        <f>IF(AND(($E67+$C$1)&gt;CR$4,CR$4&gt;=$C$1),$H67,IF(AND(($D67+$C$1)&gt;CR$4,CR$4&gt;=$C$1),$G67,0))*IF($A67="Residential",'General Inputs'!D$15,'General Inputs'!D$19)</f>
        <v>0</v>
      </c>
      <c r="CS67" s="214">
        <f>IF(AND(($E67+$C$1)&gt;CS$4,CS$4&gt;=$C$1),$H67,IF(AND(($D67+$C$1)&gt;CS$4,CS$4&gt;=$C$1),$G67,0))*IF($A67="Residential",'General Inputs'!E$15,'General Inputs'!E$19)</f>
        <v>338.18841124682524</v>
      </c>
      <c r="CT67" s="214">
        <f>IF(AND(($E67+$C$1)&gt;CT$4,CT$4&gt;=$C$1),$H67,IF(AND(($D67+$C$1)&gt;CT$4,CT$4&gt;=$C$1),$G67,0))*IF($A67="Residential",'General Inputs'!F$15,'General Inputs'!F$19)</f>
        <v>343.2612374155276</v>
      </c>
      <c r="CU67" s="214">
        <f>IF(AND(($E67+$C$1)&gt;CU$4,CU$4&gt;=$C$1),$H67,IF(AND(($D67+$C$1)&gt;CU$4,CU$4&gt;=$C$1),$G67,0))*IF($A67="Residential",'General Inputs'!G$15,'General Inputs'!G$19)</f>
        <v>348.41015597676051</v>
      </c>
      <c r="CV67" s="214">
        <f>IF(AND(($E67+$C$1)&gt;CV$4,CV$4&gt;=$C$1),$H67,IF(AND(($D67+$C$1)&gt;CV$4,CV$4&gt;=$C$1),$G67,0))*IF($A67="Residential",'General Inputs'!H$15,'General Inputs'!H$19)</f>
        <v>353.63630831641183</v>
      </c>
      <c r="CW67" s="214">
        <f>IF(AND(($E67+$C$1)&gt;CW$4,CW$4&gt;=$C$1),$H67,IF(AND(($D67+$C$1)&gt;CW$4,CW$4&gt;=$C$1),$G67,0))*IF($A67="Residential",'General Inputs'!I$15,'General Inputs'!I$19)</f>
        <v>358.94085294115791</v>
      </c>
      <c r="CX67" s="214">
        <f>IF(AND(($E67+$C$1)&gt;CX$4,CX$4&gt;=$C$1),$H67,IF(AND(($D67+$C$1)&gt;CX$4,CX$4&gt;=$C$1),$G67,0))*IF($A67="Residential",'General Inputs'!J$15,'General Inputs'!J$19)</f>
        <v>364.32496573527527</v>
      </c>
      <c r="CY67" s="214">
        <f>IF(AND(($E67+$C$1)&gt;CY$4,CY$4&gt;=$C$1),$H67,IF(AND(($D67+$C$1)&gt;CY$4,CY$4&gt;=$C$1),$G67,0))*IF($A67="Residential",'General Inputs'!K$15,'General Inputs'!K$19)</f>
        <v>369.78984022130436</v>
      </c>
      <c r="CZ67" s="214">
        <f>IF(AND(($E67+$C$1)&gt;CZ$4,CZ$4&gt;=$C$1),$H67,IF(AND(($D67+$C$1)&gt;CZ$4,CZ$4&gt;=$C$1),$G67,0))*IF($A67="Residential",'General Inputs'!L$15,'General Inputs'!L$19)</f>
        <v>375.33668782462388</v>
      </c>
      <c r="DA67" s="214">
        <f>IF(AND(($E67+$C$1)&gt;DA$4,DA$4&gt;=$C$1),$H67,IF(AND(($D67+$C$1)&gt;DA$4,DA$4&gt;=$C$1),$G67,0))*IF($A67="Residential",'General Inputs'!M$15,'General Inputs'!M$19)</f>
        <v>380.96673814199323</v>
      </c>
      <c r="DB67" s="214">
        <f>IF(AND(($E67+$C$1)&gt;DB$4,DB$4&gt;=$C$1),$H67,IF(AND(($D67+$C$1)&gt;DB$4,DB$4&gt;=$C$1),$G67,0))*IF($A67="Residential",'General Inputs'!N$15,'General Inputs'!N$19)</f>
        <v>386.68123921412314</v>
      </c>
      <c r="DC67" s="214">
        <f>IF(AND(($E67+$C$1)&gt;DC$4,DC$4&gt;=$C$1),$H67,IF(AND(($D67+$C$1)&gt;DC$4,DC$4&gt;=$C$1),$G67,0))*IF($A67="Residential",'General Inputs'!O$15,'General Inputs'!O$19)</f>
        <v>392.48145780233489</v>
      </c>
      <c r="DD67" s="214">
        <f>IF(AND(($E67+$C$1)&gt;DD$4,DD$4&gt;=$C$1),$H67,IF(AND(($D67+$C$1)&gt;DD$4,DD$4&gt;=$C$1),$G67,0))*IF($A67="Residential",'General Inputs'!P$15,'General Inputs'!P$19)</f>
        <v>398.3686796693699</v>
      </c>
      <c r="DE67" s="214">
        <f>IF(AND(($E67+$C$1)&gt;DE$4,DE$4&gt;=$C$1),$H67,IF(AND(($D67+$C$1)&gt;DE$4,DE$4&gt;=$C$1),$G67,0))*IF($A67="Residential",'General Inputs'!Q$15,'General Inputs'!Q$19)</f>
        <v>404.3442098644104</v>
      </c>
      <c r="DF67" s="214">
        <f>IF(AND(($E67+$C$1)&gt;DF$4,DF$4&gt;=$C$1),$H67,IF(AND(($D67+$C$1)&gt;DF$4,DF$4&gt;=$C$1),$G67,0))*IF($A67="Residential",'General Inputs'!R$15,'General Inputs'!R$19)</f>
        <v>410.40937301237648</v>
      </c>
      <c r="DG67" s="214">
        <f>IF(AND(($E67+$C$1)&gt;DG$4,DG$4&gt;=$C$1),$H67,IF(AND(($D67+$C$1)&gt;DG$4,DG$4&gt;=$C$1),$G67,0))*IF($A67="Residential",'General Inputs'!S$15,'General Inputs'!S$19)</f>
        <v>416.56551360756214</v>
      </c>
      <c r="DH67" s="214">
        <f>IF(AND(($E67+$C$1)&gt;DH$4,DH$4&gt;=$C$1),$H67,IF(AND(($D67+$C$1)&gt;DH$4,DH$4&gt;=$C$1),$G67,0))*IF($A67="Residential",'General Inputs'!T$15,'General Inputs'!T$19)</f>
        <v>422.81399631167557</v>
      </c>
      <c r="DI67" s="214">
        <f>IF(AND(($E67+$C$1)&gt;DI$4,DI$4&gt;=$C$1),$H67,IF(AND(($D67+$C$1)&gt;DI$4,DI$4&gt;=$C$1),$G67,0))*IF($A67="Residential",'General Inputs'!U$15,'General Inputs'!U$19)</f>
        <v>429.15620625635057</v>
      </c>
      <c r="DJ67" s="214">
        <f>IF(AND(($E67+$C$1)&gt;DJ$4,DJ$4&gt;=$C$1),$H67,IF(AND(($D67+$C$1)&gt;DJ$4,DJ$4&gt;=$C$1),$G67,0))*IF($A67="Residential",'General Inputs'!V$15,'General Inputs'!V$19)</f>
        <v>435.59354935019581</v>
      </c>
      <c r="DK67" s="214">
        <f>IF(AND(($E67+$C$1)&gt;DK$4,DK$4&gt;=$C$1),$H67,IF(AND(($D67+$C$1)&gt;DK$4,DK$4&gt;=$C$1),$G67,0))*IF($A67="Residential",'General Inputs'!W$15,'General Inputs'!W$19)</f>
        <v>0</v>
      </c>
      <c r="DM67" s="214">
        <f t="shared" si="100"/>
        <v>0</v>
      </c>
      <c r="DN67" s="214">
        <f t="shared" si="100"/>
        <v>294</v>
      </c>
      <c r="DO67" s="214">
        <f t="shared" si="100"/>
        <v>0</v>
      </c>
      <c r="DP67" s="214">
        <f t="shared" si="100"/>
        <v>0</v>
      </c>
      <c r="DQ67" s="214">
        <f t="shared" si="100"/>
        <v>0</v>
      </c>
      <c r="DR67" s="214">
        <f t="shared" si="100"/>
        <v>0</v>
      </c>
      <c r="DS67" s="214">
        <f t="shared" si="100"/>
        <v>0</v>
      </c>
      <c r="DT67" s="214">
        <f t="shared" si="100"/>
        <v>0</v>
      </c>
      <c r="DU67" s="214">
        <f t="shared" si="100"/>
        <v>0</v>
      </c>
      <c r="DV67" s="214">
        <f t="shared" si="100"/>
        <v>0</v>
      </c>
      <c r="DW67" s="214">
        <f t="shared" si="100"/>
        <v>0</v>
      </c>
      <c r="DZ67" s="650"/>
      <c r="FI67" s="195"/>
      <c r="FJ67" s="195"/>
      <c r="FK67" s="195"/>
      <c r="FL67" s="195"/>
      <c r="FM67" s="195"/>
      <c r="FN67" s="195"/>
      <c r="FO67" s="195"/>
    </row>
    <row r="68" spans="1:171">
      <c r="A68" s="342" t="s">
        <v>112</v>
      </c>
      <c r="B68" s="427" t="str">
        <f>'Portfolio Inputs'!A67</f>
        <v>Ceramic Integrated Metal Halide (≥250 W)</v>
      </c>
      <c r="C68" s="217">
        <f>IF($C$1=2014,'Portfolio Inputs'!$C67,IF($C$1=2015,'Portfolio Inputs'!$D67,'Portfolio Inputs'!$E67))</f>
        <v>3</v>
      </c>
      <c r="D68" s="504">
        <f>VLOOKUP(B68,Sources!$B$4:$J$104,2,FALSE)</f>
        <v>18</v>
      </c>
      <c r="E68" s="504">
        <f>VLOOKUP(B68,Sources!$B$4:$J$104,3,FALSE)</f>
        <v>0</v>
      </c>
      <c r="G68" s="504">
        <f>IF($C$1=2014,'Portfolio Inputs'!$G67,IF($C$1=2015,'Portfolio Inputs'!$H67,'Portfolio Inputs'!$I67))*EnergyLineLoss</f>
        <v>1481.43301875</v>
      </c>
      <c r="H68" s="504"/>
      <c r="I68" s="595">
        <f>IF($C$1=2014,'Portfolio Inputs'!$K67,IF($C$1=2015,'Portfolio Inputs'!$L67,'Portfolio Inputs'!$M67))*PeakLineLoss</f>
        <v>0.22907313000000001</v>
      </c>
      <c r="J68" s="510"/>
      <c r="L68" s="606">
        <f>IF($C$1=2014,'Portfolio Inputs'!$O67,IF($C$1=2015,'Portfolio Inputs'!$P67,'Portfolio Inputs'!$Q67))</f>
        <v>42</v>
      </c>
      <c r="M68" s="518">
        <f>VLOOKUP($B68,Sources!$B$4:$K$104,10,FALSE)</f>
        <v>0</v>
      </c>
      <c r="N68" s="419">
        <f>IF($C$1=2014,'Portfolio Inputs'!$W67,IF($C$1=2015,'Portfolio Inputs'!$X67,'Portfolio Inputs'!$Y67))</f>
        <v>135</v>
      </c>
      <c r="O68" s="419">
        <f>IF($C$1=2014,'Portfolio Inputs'!$AA67,IF($C$1=2015,'Portfolio Inputs'!$AB67,'Portfolio Inputs'!$AC67))</f>
        <v>0</v>
      </c>
      <c r="Q68" s="438">
        <f t="shared" si="67"/>
        <v>5.3333789954153454</v>
      </c>
      <c r="R68" s="439">
        <f t="shared" si="68"/>
        <v>4.9778203957209888</v>
      </c>
      <c r="S68" s="439">
        <f t="shared" si="69"/>
        <v>6.6244210855129912</v>
      </c>
      <c r="T68" s="439">
        <f t="shared" si="70"/>
        <v>14.296962871643455</v>
      </c>
      <c r="U68" s="439">
        <f t="shared" si="98"/>
        <v>14.296962871643455</v>
      </c>
      <c r="V68" s="439">
        <f t="shared" si="72"/>
        <v>0.37304279540331953</v>
      </c>
      <c r="W68" s="439">
        <f t="shared" si="73"/>
        <v>0.37304279540331953</v>
      </c>
      <c r="Y68" s="215">
        <f t="shared" si="4"/>
        <v>617.42535228071802</v>
      </c>
      <c r="Z68" s="215">
        <f t="shared" si="5"/>
        <v>149.45911737624357</v>
      </c>
      <c r="AA68" s="215">
        <f t="shared" si="6"/>
        <v>1531.0706742255377</v>
      </c>
      <c r="AB68" s="215">
        <f t="shared" si="7"/>
        <v>1531.0706742255377</v>
      </c>
      <c r="AC68" s="216">
        <f t="shared" si="20"/>
        <v>0</v>
      </c>
      <c r="AD68" s="216">
        <f t="shared" si="21"/>
        <v>124.03528114663726</v>
      </c>
      <c r="AE68" s="215">
        <f t="shared" si="8"/>
        <v>115.76626240352812</v>
      </c>
      <c r="AG68" s="214">
        <f>IF(AND(($E68+$C$1)&gt;AG$4,AG$4&gt;=$C$1),'General Inputs'!D$9*$H68,IF(AND(($D68+$C$1)&gt;AG$4,AG$4&gt;=$C$1),'General Inputs'!D$9*$G68,0))+IF(AND(($E68+$C$1)&gt;AG$4,AG$4&gt;=$C$1),'General Inputs'!D$10*$J68,IF(AND(($D68+$C$1)&gt;AG$4,AG$4&gt;=$C$1),'General Inputs'!D$10*$I68,0))</f>
        <v>0</v>
      </c>
      <c r="AH68" s="214">
        <f>IF(AND(($E68+$C$1)&gt;AH$4,AH$4&gt;=$C$1),'General Inputs'!E$9*$H68,IF(AND(($D68+$C$1)&gt;AH$4,AH$4&gt;=$C$1),'General Inputs'!E$9*$G68,0))+IF(AND(($E68+$C$1)&gt;AH$4,AH$4&gt;=$C$1),'General Inputs'!E$10*$J68,IF(AND(($D68+$C$1)&gt;AH$4,AH$4&gt;=$C$1),'General Inputs'!E$10*$I68,0))</f>
        <v>63.345501312459497</v>
      </c>
      <c r="AI68" s="214">
        <f>IF(AND(($E68+$C$1)&gt;AI$4,AI$4&gt;=$C$1),'General Inputs'!F$9*$H68,IF(AND(($D68+$C$1)&gt;AI$4,AI$4&gt;=$C$1),'General Inputs'!F$9*$G68,0))+IF(AND(($E68+$C$1)&gt;AI$4,AI$4&gt;=$C$1),'General Inputs'!F$10*$J68,IF(AND(($D68+$C$1)&gt;AI$4,AI$4&gt;=$C$1),'General Inputs'!F$10*$I68,0))</f>
        <v>64.295683832146381</v>
      </c>
      <c r="AJ68" s="214">
        <f>IF(AND(($E68+$C$1)&gt;AJ$4,AJ$4&gt;=$C$1),'General Inputs'!G$9*$H68,IF(AND(($D68+$C$1)&gt;AJ$4,AJ$4&gt;=$C$1),'General Inputs'!G$9*$G68,0))+IF(AND(($E68+$C$1)&gt;AJ$4,AJ$4&gt;=$C$1),'General Inputs'!G$10*$J68,IF(AND(($D68+$C$1)&gt;AJ$4,AJ$4&gt;=$C$1),'General Inputs'!G$10*$I68,0))</f>
        <v>65.260119089628574</v>
      </c>
      <c r="AK68" s="214">
        <f>IF(AND(($E68+$C$1)&gt;AK$4,AK$4&gt;=$C$1),'General Inputs'!H$9*$H68,IF(AND(($D68+$C$1)&gt;AK$4,AK$4&gt;=$C$1),'General Inputs'!H$9*$G68,0))+IF(AND(($E68+$C$1)&gt;AK$4,AK$4&gt;=$C$1),'General Inputs'!H$10*$J68,IF(AND(($D68+$C$1)&gt;AK$4,AK$4&gt;=$C$1),'General Inputs'!H$10*$I68,0))</f>
        <v>66.239020875972983</v>
      </c>
      <c r="AL68" s="214">
        <f>IF(AND(($E68+$C$1)&gt;AL$4,AL$4&gt;=$C$1),'General Inputs'!I$9*$H68,IF(AND(($D68+$C$1)&gt;AL$4,AL$4&gt;=$C$1),'General Inputs'!I$9*$G68,0))+IF(AND(($E68+$C$1)&gt;AL$4,AL$4&gt;=$C$1),'General Inputs'!I$10*$J68,IF(AND(($D68+$C$1)&gt;AL$4,AL$4&gt;=$C$1),'General Inputs'!I$10*$I68,0))</f>
        <v>67.232606189112573</v>
      </c>
      <c r="AM68" s="214">
        <f>IF(AND(($E68+$C$1)&gt;AM$4,AM$4&gt;=$C$1),'General Inputs'!J$9*$H68,IF(AND(($D68+$C$1)&gt;AM$4,AM$4&gt;=$C$1),'General Inputs'!J$9*$G68,0))+IF(AND(($E68+$C$1)&gt;AM$4,AM$4&gt;=$C$1),'General Inputs'!J$10*$J68,IF(AND(($D68+$C$1)&gt;AM$4,AM$4&gt;=$C$1),'General Inputs'!J$10*$I68,0))</f>
        <v>68.241095281949256</v>
      </c>
      <c r="AN68" s="214">
        <f>IF(AND(($E68+$C$1)&gt;AN$4,AN$4&gt;=$C$1),'General Inputs'!K$9*$H68,IF(AND(($D68+$C$1)&gt;AN$4,AN$4&gt;=$C$1),'General Inputs'!K$9*$G68,0))+IF(AND(($E68+$C$1)&gt;AN$4,AN$4&gt;=$C$1),'General Inputs'!K$10*$J68,IF(AND(($D68+$C$1)&gt;AN$4,AN$4&gt;=$C$1),'General Inputs'!K$10*$I68,0))</f>
        <v>69.264711711178478</v>
      </c>
      <c r="AO68" s="214">
        <f>IF(AND(($E68+$C$1)&gt;AO$4,AO$4&gt;=$C$1),'General Inputs'!L$9*$H68,IF(AND(($D68+$C$1)&gt;AO$4,AO$4&gt;=$C$1),'General Inputs'!L$9*$G68,0))+IF(AND(($E68+$C$1)&gt;AO$4,AO$4&gt;=$C$1),'General Inputs'!L$10*$J68,IF(AND(($D68+$C$1)&gt;AO$4,AO$4&gt;=$C$1),'General Inputs'!L$10*$I68,0))</f>
        <v>70.303682386846148</v>
      </c>
      <c r="AP68" s="214">
        <f>IF(AND(($E68+$C$1)&gt;AP$4,AP$4&gt;=$C$1),'General Inputs'!M$9*$H68,IF(AND(($D68+$C$1)&gt;AP$4,AP$4&gt;=$C$1),'General Inputs'!M$9*$G68,0))+IF(AND(($E68+$C$1)&gt;AP$4,AP$4&gt;=$C$1),'General Inputs'!M$10*$J68,IF(AND(($D68+$C$1)&gt;AP$4,AP$4&gt;=$C$1),'General Inputs'!M$10*$I68,0))</f>
        <v>71.358237622648829</v>
      </c>
      <c r="AQ68" s="214">
        <f>IF(AND(($E68+$C$1)&gt;AQ$4,AQ$4&gt;=$C$1),'General Inputs'!N$9*$H68,IF(AND(($D68+$C$1)&gt;AQ$4,AQ$4&gt;=$C$1),'General Inputs'!N$9*$G68,0))+IF(AND(($E68+$C$1)&gt;AQ$4,AQ$4&gt;=$C$1),'General Inputs'!N$10*$J68,IF(AND(($D68+$C$1)&gt;AQ$4,AQ$4&gt;=$C$1),'General Inputs'!N$10*$I68,0))</f>
        <v>72.428611186988562</v>
      </c>
      <c r="AR68" s="214">
        <f>IF(AND(($E68+$C$1)&gt;AR$4,AR$4&gt;=$C$1),'General Inputs'!O$9*$H68,IF(AND(($D68+$C$1)&gt;AR$4,AR$4&gt;=$C$1),'General Inputs'!O$9*$G68,0))+IF(AND(($E68+$C$1)&gt;AR$4,AR$4&gt;=$C$1),'General Inputs'!O$10*$J68,IF(AND(($D68+$C$1)&gt;AR$4,AR$4&gt;=$C$1),'General Inputs'!O$10*$I68,0))</f>
        <v>73.515040354793371</v>
      </c>
      <c r="AS68" s="214">
        <f>IF(AND(($E68+$C$1)&gt;AS$4,AS$4&gt;=$C$1),'General Inputs'!P$9*$H68,IF(AND(($D68+$C$1)&gt;AS$4,AS$4&gt;=$C$1),'General Inputs'!P$9*$G68,0))+IF(AND(($E68+$C$1)&gt;AS$4,AS$4&gt;=$C$1),'General Inputs'!P$10*$J68,IF(AND(($D68+$C$1)&gt;AS$4,AS$4&gt;=$C$1),'General Inputs'!P$10*$I68,0))</f>
        <v>74.617765960115278</v>
      </c>
      <c r="AT68" s="214">
        <f>IF(AND(($E68+$C$1)&gt;AT$4,AT$4&gt;=$C$1),'General Inputs'!Q$9*$H68,IF(AND(($D68+$C$1)&gt;AT$4,AT$4&gt;=$C$1),'General Inputs'!Q$9*$G68,0))+IF(AND(($E68+$C$1)&gt;AT$4,AT$4&gt;=$C$1),'General Inputs'!Q$10*$J68,IF(AND(($D68+$C$1)&gt;AT$4,AT$4&gt;=$C$1),'General Inputs'!Q$10*$I68,0))</f>
        <v>75.737032449517002</v>
      </c>
      <c r="AU68" s="214">
        <f>IF(AND(($E68+$C$1)&gt;AU$4,AU$4&gt;=$C$1),'General Inputs'!R$9*$H68,IF(AND(($D68+$C$1)&gt;AU$4,AU$4&gt;=$C$1),'General Inputs'!R$9*$G68,0))+IF(AND(($E68+$C$1)&gt;AU$4,AU$4&gt;=$C$1),'General Inputs'!R$10*$J68,IF(AND(($D68+$C$1)&gt;AU$4,AU$4&gt;=$C$1),'General Inputs'!R$10*$I68,0))</f>
        <v>76.873087936259751</v>
      </c>
      <c r="AV68" s="214">
        <f>IF(AND(($E68+$C$1)&gt;AV$4,AV$4&gt;=$C$1),'General Inputs'!S$9*$H68,IF(AND(($D68+$C$1)&gt;AV$4,AV$4&gt;=$C$1),'General Inputs'!S$9*$G68,0))+IF(AND(($E68+$C$1)&gt;AV$4,AV$4&gt;=$C$1),'General Inputs'!S$10*$J68,IF(AND(($D68+$C$1)&gt;AV$4,AV$4&gt;=$C$1),'General Inputs'!S$10*$I68,0))</f>
        <v>78.026184255303633</v>
      </c>
      <c r="AW68" s="214">
        <f>IF(AND(($E68+$C$1)&gt;AW$4,AW$4&gt;=$C$1),'General Inputs'!T$9*$H68,IF(AND(($D68+$C$1)&gt;AW$4,AW$4&gt;=$C$1),'General Inputs'!T$9*$G68,0))+IF(AND(($E68+$C$1)&gt;AW$4,AW$4&gt;=$C$1),'General Inputs'!T$10*$J68,IF(AND(($D68+$C$1)&gt;AW$4,AW$4&gt;=$C$1),'General Inputs'!T$10*$I68,0))</f>
        <v>79.196577019133201</v>
      </c>
      <c r="AX68" s="214">
        <f>IF(AND(($E68+$C$1)&gt;AX$4,AX$4&gt;=$C$1),'General Inputs'!U$9*$H68,IF(AND(($D68+$C$1)&gt;AX$4,AX$4&gt;=$C$1),'General Inputs'!U$9*$G68,0))+IF(AND(($E68+$C$1)&gt;AX$4,AX$4&gt;=$C$1),'General Inputs'!U$10*$J68,IF(AND(($D68+$C$1)&gt;AX$4,AX$4&gt;=$C$1),'General Inputs'!U$10*$I68,0))</f>
        <v>80.384525674420189</v>
      </c>
      <c r="AY68" s="214">
        <f>IF(AND(($E68+$C$1)&gt;AY$4,AY$4&gt;=$C$1),'General Inputs'!V$9*$H68,IF(AND(($D68+$C$1)&gt;AY$4,AY$4&gt;=$C$1),'General Inputs'!V$9*$G68,0))+IF(AND(($E68+$C$1)&gt;AY$4,AY$4&gt;=$C$1),'General Inputs'!V$10*$J68,IF(AND(($D68+$C$1)&gt;AY$4,AY$4&gt;=$C$1),'General Inputs'!V$10*$I68,0))</f>
        <v>81.590293559536477</v>
      </c>
      <c r="AZ68" s="214">
        <f>IF(AND(($E68+$C$1)&gt;AZ$4,AZ$4&gt;=$C$1),'General Inputs'!W$9*$H68,IF(AND(($D68+$C$1)&gt;AZ$4,AZ$4&gt;=$C$1),'General Inputs'!W$9*$G68,0))+IF(AND(($E68+$C$1)&gt;AZ$4,AZ$4&gt;=$C$1),'General Inputs'!W$10*$J68,IF(AND(($D68+$C$1)&gt;AZ$4,AZ$4&gt;=$C$1),'General Inputs'!W$10*$I68,0))</f>
        <v>0</v>
      </c>
      <c r="BB68" s="214">
        <f>IF(AND(($E68+$C$1)&gt;BB$4,BB$4&gt;=$C$1),'General Inputs'!D$11*$H68,IF(AND(($D68+$C$1)&gt;BB$4,BB$4&gt;=$C$1),'General Inputs'!D$11*$G68,0))</f>
        <v>0</v>
      </c>
      <c r="BC68" s="214">
        <f>IF(AND(($E68+$C$1)&gt;BC$4,BC$4&gt;=$C$1),'General Inputs'!E$11*$H68,IF(AND(($D68+$C$1)&gt;BC$4,BC$4&gt;=$C$1),'General Inputs'!E$11*$G68,0))</f>
        <v>16.88833641375</v>
      </c>
      <c r="BD68" s="214">
        <f>IF(AND(($E68+$C$1)&gt;BD$4,BD$4&gt;=$C$1),'General Inputs'!F$11*$H68,IF(AND(($D68+$C$1)&gt;BD$4,BD$4&gt;=$C$1),'General Inputs'!F$11*$G68,0))</f>
        <v>16.88833641375</v>
      </c>
      <c r="BE68" s="214">
        <f>IF(AND(($E68+$C$1)&gt;BE$4,BE$4&gt;=$C$1),'General Inputs'!G$11*$H68,IF(AND(($D68+$C$1)&gt;BE$4,BE$4&gt;=$C$1),'General Inputs'!G$11*$G68,0))</f>
        <v>16.88833641375</v>
      </c>
      <c r="BF68" s="214">
        <f>IF(AND(($E68+$C$1)&gt;BF$4,BF$4&gt;=$C$1),'General Inputs'!H$11*$H68,IF(AND(($D68+$C$1)&gt;BF$4,BF$4&gt;=$C$1),'General Inputs'!H$11*$G68,0))</f>
        <v>16.88833641375</v>
      </c>
      <c r="BG68" s="214">
        <f>IF(AND(($E68+$C$1)&gt;BG$4,BG$4&gt;=$C$1),'General Inputs'!I$11*$H68,IF(AND(($D68+$C$1)&gt;BG$4,BG$4&gt;=$C$1),'General Inputs'!I$11*$G68,0))</f>
        <v>16.88833641375</v>
      </c>
      <c r="BH68" s="214">
        <f>IF(AND(($E68+$C$1)&gt;BH$4,BH$4&gt;=$C$1),'General Inputs'!J$11*$H68,IF(AND(($D68+$C$1)&gt;BH$4,BH$4&gt;=$C$1),'General Inputs'!J$11*$G68,0))</f>
        <v>16.88833641375</v>
      </c>
      <c r="BI68" s="214">
        <f>IF(AND(($E68+$C$1)&gt;BI$4,BI$4&gt;=$C$1),'General Inputs'!K$11*$H68,IF(AND(($D68+$C$1)&gt;BI$4,BI$4&gt;=$C$1),'General Inputs'!K$11*$G68,0))</f>
        <v>16.88833641375</v>
      </c>
      <c r="BJ68" s="214">
        <f>IF(AND(($E68+$C$1)&gt;BJ$4,BJ$4&gt;=$C$1),'General Inputs'!L$11*$H68,IF(AND(($D68+$C$1)&gt;BJ$4,BJ$4&gt;=$C$1),'General Inputs'!L$11*$G68,0))</f>
        <v>16.88833641375</v>
      </c>
      <c r="BK68" s="214">
        <f>IF(AND(($E68+$C$1)&gt;BK$4,BK$4&gt;=$C$1),'General Inputs'!M$11*$H68,IF(AND(($D68+$C$1)&gt;BK$4,BK$4&gt;=$C$1),'General Inputs'!M$11*$G68,0))</f>
        <v>16.88833641375</v>
      </c>
      <c r="BL68" s="214">
        <f>IF(AND(($E68+$C$1)&gt;BL$4,BL$4&gt;=$C$1),'General Inputs'!N$11*$H68,IF(AND(($D68+$C$1)&gt;BL$4,BL$4&gt;=$C$1),'General Inputs'!N$11*$G68,0))</f>
        <v>16.88833641375</v>
      </c>
      <c r="BM68" s="214">
        <f>IF(AND(($E68+$C$1)&gt;BM$4,BM$4&gt;=$C$1),'General Inputs'!O$11*$H68,IF(AND(($D68+$C$1)&gt;BM$4,BM$4&gt;=$C$1),'General Inputs'!O$11*$G68,0))</f>
        <v>16.88833641375</v>
      </c>
      <c r="BN68" s="214">
        <f>IF(AND(($E68+$C$1)&gt;BN$4,BN$4&gt;=$C$1),'General Inputs'!P$11*$H68,IF(AND(($D68+$C$1)&gt;BN$4,BN$4&gt;=$C$1),'General Inputs'!P$11*$G68,0))</f>
        <v>16.88833641375</v>
      </c>
      <c r="BO68" s="214">
        <f>IF(AND(($E68+$C$1)&gt;BO$4,BO$4&gt;=$C$1),'General Inputs'!Q$11*$H68,IF(AND(($D68+$C$1)&gt;BO$4,BO$4&gt;=$C$1),'General Inputs'!Q$11*$G68,0))</f>
        <v>16.88833641375</v>
      </c>
      <c r="BP68" s="214">
        <f>IF(AND(($E68+$C$1)&gt;BP$4,BP$4&gt;=$C$1),'General Inputs'!R$11*$H68,IF(AND(($D68+$C$1)&gt;BP$4,BP$4&gt;=$C$1),'General Inputs'!R$11*$G68,0))</f>
        <v>16.88833641375</v>
      </c>
      <c r="BQ68" s="214">
        <f>IF(AND(($E68+$C$1)&gt;BQ$4,BQ$4&gt;=$C$1),'General Inputs'!S$11*$H68,IF(AND(($D68+$C$1)&gt;BQ$4,BQ$4&gt;=$C$1),'General Inputs'!S$11*$G68,0))</f>
        <v>16.88833641375</v>
      </c>
      <c r="BR68" s="214">
        <f>IF(AND(($E68+$C$1)&gt;BR$4,BR$4&gt;=$C$1),'General Inputs'!T$11*$H68,IF(AND(($D68+$C$1)&gt;BR$4,BR$4&gt;=$C$1),'General Inputs'!T$11*$G68,0))</f>
        <v>16.88833641375</v>
      </c>
      <c r="BS68" s="214">
        <f>IF(AND(($E68+$C$1)&gt;BS$4,BS$4&gt;=$C$1),'General Inputs'!U$11*$H68,IF(AND(($D68+$C$1)&gt;BS$4,BS$4&gt;=$C$1),'General Inputs'!U$11*$G68,0))</f>
        <v>16.88833641375</v>
      </c>
      <c r="BT68" s="214">
        <f>IF(AND(($E68+$C$1)&gt;BT$4,BT$4&gt;=$C$1),'General Inputs'!V$11*$H68,IF(AND(($D68+$C$1)&gt;BT$4,BT$4&gt;=$C$1),'General Inputs'!V$11*$G68,0))</f>
        <v>16.88833641375</v>
      </c>
      <c r="BU68" s="214">
        <f>IF(AND(($E68+$C$1)&gt;BU$4,BU$4&gt;=$C$1),'General Inputs'!W$11*$H68,IF(AND(($D68+$C$1)&gt;BU$4,BU$4&gt;=$C$1),'General Inputs'!W$11*$G68,0))</f>
        <v>0</v>
      </c>
      <c r="BW68" s="214">
        <f>IF(AND(($E68+$C$1)&gt;BW$4,BW$4&gt;=$C$1),$H68,IF(AND(($D68+$C$1)&gt;BW$4,BW$4&gt;=$C$1),$G68,0))*IF($A68="Residential",'General Inputs'!D$14,'General Inputs'!D$19)</f>
        <v>0</v>
      </c>
      <c r="BX68" s="214">
        <f>IF(AND(($E68+$C$1)&gt;BX$4,BX$4&gt;=$C$1),$H68,IF(AND(($D68+$C$1)&gt;BX$4,BX$4&gt;=$C$1),$G68,0))*IF($A68="Residential",'General Inputs'!E$14,'General Inputs'!E$19)</f>
        <v>157.0820489397822</v>
      </c>
      <c r="BY68" s="214">
        <f>IF(AND(($E68+$C$1)&gt;BY$4,BY$4&gt;=$C$1),$H68,IF(AND(($D68+$C$1)&gt;BY$4,BY$4&gt;=$C$1),$G68,0))*IF($A68="Residential",'General Inputs'!F$14,'General Inputs'!F$19)</f>
        <v>159.43827967387892</v>
      </c>
      <c r="BZ68" s="214">
        <f>IF(AND(($E68+$C$1)&gt;BZ$4,BZ$4&gt;=$C$1),$H68,IF(AND(($D68+$C$1)&gt;BZ$4,BZ$4&gt;=$C$1),$G68,0))*IF($A68="Residential",'General Inputs'!G$14,'General Inputs'!G$19)</f>
        <v>161.8298538689871</v>
      </c>
      <c r="CA68" s="214">
        <f>IF(AND(($E68+$C$1)&gt;CA$4,CA$4&gt;=$C$1),$H68,IF(AND(($D68+$C$1)&gt;CA$4,CA$4&gt;=$C$1),$G68,0))*IF($A68="Residential",'General Inputs'!H$14,'General Inputs'!H$19)</f>
        <v>164.25730167702187</v>
      </c>
      <c r="CB68" s="214">
        <f>IF(AND(($E68+$C$1)&gt;CB$4,CB$4&gt;=$C$1),$H68,IF(AND(($D68+$C$1)&gt;CB$4,CB$4&gt;=$C$1),$G68,0))*IF($A68="Residential",'General Inputs'!I$14,'General Inputs'!I$19)</f>
        <v>166.72116120217717</v>
      </c>
      <c r="CC68" s="214">
        <f>IF(AND(($E68+$C$1)&gt;CC$4,CC$4&gt;=$C$1),$H68,IF(AND(($D68+$C$1)&gt;CC$4,CC$4&gt;=$C$1),$G68,0))*IF($A68="Residential",'General Inputs'!J$14,'General Inputs'!J$19)</f>
        <v>169.22197862020982</v>
      </c>
      <c r="CD68" s="214">
        <f>IF(AND(($E68+$C$1)&gt;CD$4,CD$4&gt;=$C$1),$H68,IF(AND(($D68+$C$1)&gt;CD$4,CD$4&gt;=$C$1),$G68,0))*IF($A68="Residential",'General Inputs'!K$14,'General Inputs'!K$19)</f>
        <v>171.76030829951296</v>
      </c>
      <c r="CE68" s="214">
        <f>IF(AND(($E68+$C$1)&gt;CE$4,CE$4&gt;=$C$1),$H68,IF(AND(($D68+$C$1)&gt;CE$4,CE$4&gt;=$C$1),$G68,0))*IF($A68="Residential",'General Inputs'!L$14,'General Inputs'!L$19)</f>
        <v>174.33671292400564</v>
      </c>
      <c r="CF68" s="214">
        <f>IF(AND(($E68+$C$1)&gt;CF$4,CF$4&gt;=$C$1),$H68,IF(AND(($D68+$C$1)&gt;CF$4,CF$4&gt;=$C$1),$G68,0))*IF($A68="Residential",'General Inputs'!M$14,'General Inputs'!M$19)</f>
        <v>176.95176361786571</v>
      </c>
      <c r="CG68" s="214">
        <f>IF(AND(($E68+$C$1)&gt;CG$4,CG$4&gt;=$C$1),$H68,IF(AND(($D68+$C$1)&gt;CG$4,CG$4&gt;=$C$1),$G68,0))*IF($A68="Residential",'General Inputs'!N$14,'General Inputs'!N$19)</f>
        <v>179.60604007213368</v>
      </c>
      <c r="CH68" s="214">
        <f>IF(AND(($E68+$C$1)&gt;CH$4,CH$4&gt;=$C$1),$H68,IF(AND(($D68+$C$1)&gt;CH$4,CH$4&gt;=$C$1),$G68,0))*IF($A68="Residential",'General Inputs'!O$14,'General Inputs'!O$19)</f>
        <v>182.30013067321565</v>
      </c>
      <c r="CI68" s="214">
        <f>IF(AND(($E68+$C$1)&gt;CI$4,CI$4&gt;=$C$1),$H68,IF(AND(($D68+$C$1)&gt;CI$4,CI$4&gt;=$C$1),$G68,0))*IF($A68="Residential",'General Inputs'!P$14,'General Inputs'!P$19)</f>
        <v>185.03463263331389</v>
      </c>
      <c r="CJ68" s="214">
        <f>IF(AND(($E68+$C$1)&gt;CJ$4,CJ$4&gt;=$C$1),$H68,IF(AND(($D68+$C$1)&gt;CJ$4,CJ$4&gt;=$C$1),$G68,0))*IF($A68="Residential",'General Inputs'!Q$14,'General Inputs'!Q$19)</f>
        <v>187.81015212281358</v>
      </c>
      <c r="CK68" s="214">
        <f>IF(AND(($E68+$C$1)&gt;CK$4,CK$4&gt;=$C$1),$H68,IF(AND(($D68+$C$1)&gt;CK$4,CK$4&gt;=$C$1),$G68,0))*IF($A68="Residential",'General Inputs'!R$14,'General Inputs'!R$19)</f>
        <v>190.62730440465575</v>
      </c>
      <c r="CL68" s="214">
        <f>IF(AND(($E68+$C$1)&gt;CL$4,CL$4&gt;=$C$1),$H68,IF(AND(($D68+$C$1)&gt;CL$4,CL$4&gt;=$C$1),$G68,0))*IF($A68="Residential",'General Inputs'!S$14,'General Inputs'!S$19)</f>
        <v>193.48671397072559</v>
      </c>
      <c r="CM68" s="214">
        <f>IF(AND(($E68+$C$1)&gt;CM$4,CM$4&gt;=$C$1),$H68,IF(AND(($D68+$C$1)&gt;CM$4,CM$4&gt;=$C$1),$G68,0))*IF($A68="Residential",'General Inputs'!T$14,'General Inputs'!T$19)</f>
        <v>196.38901468028644</v>
      </c>
      <c r="CN68" s="214">
        <f>IF(AND(($E68+$C$1)&gt;CN$4,CN$4&gt;=$C$1),$H68,IF(AND(($D68+$C$1)&gt;CN$4,CN$4&gt;=$C$1),$G68,0))*IF($A68="Residential",'General Inputs'!U$14,'General Inputs'!U$19)</f>
        <v>199.3348499004907</v>
      </c>
      <c r="CO68" s="214">
        <f>IF(AND(($E68+$C$1)&gt;CO$4,CO$4&gt;=$C$1),$H68,IF(AND(($D68+$C$1)&gt;CO$4,CO$4&gt;=$C$1),$G68,0))*IF($A68="Residential",'General Inputs'!V$14,'General Inputs'!V$19)</f>
        <v>202.32487264899805</v>
      </c>
      <c r="CP68" s="214">
        <f>IF(AND(($E68+$C$1)&gt;CP$4,CP$4&gt;=$C$1),$H68,IF(AND(($D68+$C$1)&gt;CP$4,CP$4&gt;=$C$1),$G68,0))*IF($A68="Residential",'General Inputs'!W$14,'General Inputs'!W$19)</f>
        <v>0</v>
      </c>
      <c r="CR68" s="214">
        <f>IF(AND(($E68+$C$1)&gt;CR$4,CR$4&gt;=$C$1),$H68,IF(AND(($D68+$C$1)&gt;CR$4,CR$4&gt;=$C$1),$G68,0))*IF($A68="Residential",'General Inputs'!D$15,'General Inputs'!D$19)</f>
        <v>0</v>
      </c>
      <c r="CS68" s="214">
        <f>IF(AND(($E68+$C$1)&gt;CS$4,CS$4&gt;=$C$1),$H68,IF(AND(($D68+$C$1)&gt;CS$4,CS$4&gt;=$C$1),$G68,0))*IF($A68="Residential",'General Inputs'!E$15,'General Inputs'!E$19)</f>
        <v>157.0820489397822</v>
      </c>
      <c r="CT68" s="214">
        <f>IF(AND(($E68+$C$1)&gt;CT$4,CT$4&gt;=$C$1),$H68,IF(AND(($D68+$C$1)&gt;CT$4,CT$4&gt;=$C$1),$G68,0))*IF($A68="Residential",'General Inputs'!F$15,'General Inputs'!F$19)</f>
        <v>159.43827967387892</v>
      </c>
      <c r="CU68" s="214">
        <f>IF(AND(($E68+$C$1)&gt;CU$4,CU$4&gt;=$C$1),$H68,IF(AND(($D68+$C$1)&gt;CU$4,CU$4&gt;=$C$1),$G68,0))*IF($A68="Residential",'General Inputs'!G$15,'General Inputs'!G$19)</f>
        <v>161.8298538689871</v>
      </c>
      <c r="CV68" s="214">
        <f>IF(AND(($E68+$C$1)&gt;CV$4,CV$4&gt;=$C$1),$H68,IF(AND(($D68+$C$1)&gt;CV$4,CV$4&gt;=$C$1),$G68,0))*IF($A68="Residential",'General Inputs'!H$15,'General Inputs'!H$19)</f>
        <v>164.25730167702187</v>
      </c>
      <c r="CW68" s="214">
        <f>IF(AND(($E68+$C$1)&gt;CW$4,CW$4&gt;=$C$1),$H68,IF(AND(($D68+$C$1)&gt;CW$4,CW$4&gt;=$C$1),$G68,0))*IF($A68="Residential",'General Inputs'!I$15,'General Inputs'!I$19)</f>
        <v>166.72116120217717</v>
      </c>
      <c r="CX68" s="214">
        <f>IF(AND(($E68+$C$1)&gt;CX$4,CX$4&gt;=$C$1),$H68,IF(AND(($D68+$C$1)&gt;CX$4,CX$4&gt;=$C$1),$G68,0))*IF($A68="Residential",'General Inputs'!J$15,'General Inputs'!J$19)</f>
        <v>169.22197862020982</v>
      </c>
      <c r="CY68" s="214">
        <f>IF(AND(($E68+$C$1)&gt;CY$4,CY$4&gt;=$C$1),$H68,IF(AND(($D68+$C$1)&gt;CY$4,CY$4&gt;=$C$1),$G68,0))*IF($A68="Residential",'General Inputs'!K$15,'General Inputs'!K$19)</f>
        <v>171.76030829951296</v>
      </c>
      <c r="CZ68" s="214">
        <f>IF(AND(($E68+$C$1)&gt;CZ$4,CZ$4&gt;=$C$1),$H68,IF(AND(($D68+$C$1)&gt;CZ$4,CZ$4&gt;=$C$1),$G68,0))*IF($A68="Residential",'General Inputs'!L$15,'General Inputs'!L$19)</f>
        <v>174.33671292400564</v>
      </c>
      <c r="DA68" s="214">
        <f>IF(AND(($E68+$C$1)&gt;DA$4,DA$4&gt;=$C$1),$H68,IF(AND(($D68+$C$1)&gt;DA$4,DA$4&gt;=$C$1),$G68,0))*IF($A68="Residential",'General Inputs'!M$15,'General Inputs'!M$19)</f>
        <v>176.95176361786571</v>
      </c>
      <c r="DB68" s="214">
        <f>IF(AND(($E68+$C$1)&gt;DB$4,DB$4&gt;=$C$1),$H68,IF(AND(($D68+$C$1)&gt;DB$4,DB$4&gt;=$C$1),$G68,0))*IF($A68="Residential",'General Inputs'!N$15,'General Inputs'!N$19)</f>
        <v>179.60604007213368</v>
      </c>
      <c r="DC68" s="214">
        <f>IF(AND(($E68+$C$1)&gt;DC$4,DC$4&gt;=$C$1),$H68,IF(AND(($D68+$C$1)&gt;DC$4,DC$4&gt;=$C$1),$G68,0))*IF($A68="Residential",'General Inputs'!O$15,'General Inputs'!O$19)</f>
        <v>182.30013067321565</v>
      </c>
      <c r="DD68" s="214">
        <f>IF(AND(($E68+$C$1)&gt;DD$4,DD$4&gt;=$C$1),$H68,IF(AND(($D68+$C$1)&gt;DD$4,DD$4&gt;=$C$1),$G68,0))*IF($A68="Residential",'General Inputs'!P$15,'General Inputs'!P$19)</f>
        <v>185.03463263331389</v>
      </c>
      <c r="DE68" s="214">
        <f>IF(AND(($E68+$C$1)&gt;DE$4,DE$4&gt;=$C$1),$H68,IF(AND(($D68+$C$1)&gt;DE$4,DE$4&gt;=$C$1),$G68,0))*IF($A68="Residential",'General Inputs'!Q$15,'General Inputs'!Q$19)</f>
        <v>187.81015212281358</v>
      </c>
      <c r="DF68" s="214">
        <f>IF(AND(($E68+$C$1)&gt;DF$4,DF$4&gt;=$C$1),$H68,IF(AND(($D68+$C$1)&gt;DF$4,DF$4&gt;=$C$1),$G68,0))*IF($A68="Residential",'General Inputs'!R$15,'General Inputs'!R$19)</f>
        <v>190.62730440465575</v>
      </c>
      <c r="DG68" s="214">
        <f>IF(AND(($E68+$C$1)&gt;DG$4,DG$4&gt;=$C$1),$H68,IF(AND(($D68+$C$1)&gt;DG$4,DG$4&gt;=$C$1),$G68,0))*IF($A68="Residential",'General Inputs'!S$15,'General Inputs'!S$19)</f>
        <v>193.48671397072559</v>
      </c>
      <c r="DH68" s="214">
        <f>IF(AND(($E68+$C$1)&gt;DH$4,DH$4&gt;=$C$1),$H68,IF(AND(($D68+$C$1)&gt;DH$4,DH$4&gt;=$C$1),$G68,0))*IF($A68="Residential",'General Inputs'!T$15,'General Inputs'!T$19)</f>
        <v>196.38901468028644</v>
      </c>
      <c r="DI68" s="214">
        <f>IF(AND(($E68+$C$1)&gt;DI$4,DI$4&gt;=$C$1),$H68,IF(AND(($D68+$C$1)&gt;DI$4,DI$4&gt;=$C$1),$G68,0))*IF($A68="Residential",'General Inputs'!U$15,'General Inputs'!U$19)</f>
        <v>199.3348499004907</v>
      </c>
      <c r="DJ68" s="214">
        <f>IF(AND(($E68+$C$1)&gt;DJ$4,DJ$4&gt;=$C$1),$H68,IF(AND(($D68+$C$1)&gt;DJ$4,DJ$4&gt;=$C$1),$G68,0))*IF($A68="Residential",'General Inputs'!V$15,'General Inputs'!V$19)</f>
        <v>202.32487264899805</v>
      </c>
      <c r="DK68" s="214">
        <f>IF(AND(($E68+$C$1)&gt;DK$4,DK$4&gt;=$C$1),$H68,IF(AND(($D68+$C$1)&gt;DK$4,DK$4&gt;=$C$1),$G68,0))*IF($A68="Residential",'General Inputs'!W$15,'General Inputs'!W$19)</f>
        <v>0</v>
      </c>
      <c r="DM68" s="214">
        <f t="shared" si="100"/>
        <v>0</v>
      </c>
      <c r="DN68" s="214">
        <f t="shared" si="100"/>
        <v>126</v>
      </c>
      <c r="DO68" s="214">
        <f t="shared" si="100"/>
        <v>0</v>
      </c>
      <c r="DP68" s="214">
        <f t="shared" si="100"/>
        <v>0</v>
      </c>
      <c r="DQ68" s="214">
        <f t="shared" si="100"/>
        <v>0</v>
      </c>
      <c r="DR68" s="214">
        <f t="shared" si="100"/>
        <v>0</v>
      </c>
      <c r="DS68" s="214">
        <f t="shared" si="100"/>
        <v>0</v>
      </c>
      <c r="DT68" s="214">
        <f t="shared" si="100"/>
        <v>0</v>
      </c>
      <c r="DU68" s="214">
        <f t="shared" si="100"/>
        <v>0</v>
      </c>
      <c r="DV68" s="214">
        <f t="shared" si="100"/>
        <v>0</v>
      </c>
      <c r="DW68" s="214">
        <f t="shared" si="100"/>
        <v>0</v>
      </c>
      <c r="DZ68" s="650"/>
      <c r="FI68" s="195"/>
      <c r="FJ68" s="195"/>
      <c r="FK68" s="195"/>
      <c r="FL68" s="195"/>
      <c r="FM68" s="195"/>
      <c r="FN68" s="195"/>
      <c r="FO68" s="195"/>
    </row>
    <row r="69" spans="1:171">
      <c r="A69" s="342" t="s">
        <v>112</v>
      </c>
      <c r="B69" s="427" t="str">
        <f>'Portfolio Inputs'!A68</f>
        <v>Pulse Start Metal Halide (≤175W)</v>
      </c>
      <c r="C69" s="217">
        <f>IF($C$1=2014,'Portfolio Inputs'!$C68,IF($C$1=2015,'Portfolio Inputs'!$D68,'Portfolio Inputs'!$E68))</f>
        <v>3</v>
      </c>
      <c r="D69" s="504">
        <f>VLOOKUP(B69,Sources!$B$4:$J$104,2,FALSE)</f>
        <v>18</v>
      </c>
      <c r="E69" s="504">
        <f>VLOOKUP(B69,Sources!$B$4:$J$104,3,FALSE)</f>
        <v>0</v>
      </c>
      <c r="G69" s="504">
        <f>IF($C$1=2014,'Portfolio Inputs'!$G68,IF($C$1=2015,'Portfolio Inputs'!$H68,'Portfolio Inputs'!$I68))*EnergyLineLoss</f>
        <v>2945.4374137499999</v>
      </c>
      <c r="H69" s="504"/>
      <c r="I69" s="595">
        <f>IF($C$1=2014,'Portfolio Inputs'!$K68,IF($C$1=2015,'Portfolio Inputs'!$L68,'Portfolio Inputs'!$M68))*PeakLineLoss</f>
        <v>0.45545128200000001</v>
      </c>
      <c r="J69" s="510"/>
      <c r="L69" s="606">
        <f>IF($C$1=2014,'Portfolio Inputs'!$O68,IF($C$1=2015,'Portfolio Inputs'!$P68,'Portfolio Inputs'!$Q68))</f>
        <v>161</v>
      </c>
      <c r="M69" s="518">
        <f>VLOOKUP($B69,Sources!$B$4:$K$104,10,FALSE)</f>
        <v>0</v>
      </c>
      <c r="N69" s="419">
        <f>IF($C$1=2014,'Portfolio Inputs'!$W68,IF($C$1=2015,'Portfolio Inputs'!$X68,'Portfolio Inputs'!$Y68))</f>
        <v>75</v>
      </c>
      <c r="O69" s="419">
        <f>IF($C$1=2014,'Portfolio Inputs'!$AA68,IF($C$1=2015,'Portfolio Inputs'!$AB68,'Portfolio Inputs'!$AC68))</f>
        <v>0</v>
      </c>
      <c r="Q69" s="438">
        <f t="shared" si="67"/>
        <v>2.766264092762742</v>
      </c>
      <c r="R69" s="439">
        <f t="shared" si="68"/>
        <v>17.814740757392062</v>
      </c>
      <c r="S69" s="439">
        <f t="shared" si="69"/>
        <v>3.4358889926906269</v>
      </c>
      <c r="T69" s="439">
        <f t="shared" si="70"/>
        <v>7.0149683933449207</v>
      </c>
      <c r="U69" s="439">
        <f t="shared" si="98"/>
        <v>7.0149683933449207</v>
      </c>
      <c r="V69" s="439">
        <f t="shared" si="72"/>
        <v>0.39433735658553909</v>
      </c>
      <c r="W69" s="439">
        <f t="shared" si="73"/>
        <v>0.39433735658553909</v>
      </c>
      <c r="Y69" s="215">
        <f t="shared" ref="Y69:Y96" si="101">AG69+NPV(DiscountRate,AH69:AZ69)</f>
        <v>1227.5868768875455</v>
      </c>
      <c r="Z69" s="215">
        <f t="shared" ref="Z69:Z96" si="102">BB69+NPV(DiscountRate,BC69:BU69)</f>
        <v>297.1598921951196</v>
      </c>
      <c r="AA69" s="215">
        <f t="shared" ref="AA69:AA96" si="103">BW69+NPV(DiscountRate,BX69:CP69)</f>
        <v>3044.128752283716</v>
      </c>
      <c r="AB69" s="215">
        <f t="shared" ref="AB69:AB96" si="104">CR69+NPV(DiscountRate,CS69:DK69)</f>
        <v>3044.128752283716</v>
      </c>
      <c r="AC69" s="216">
        <f t="shared" si="20"/>
        <v>0</v>
      </c>
      <c r="AD69" s="216">
        <f t="shared" si="21"/>
        <v>68.908489525909587</v>
      </c>
      <c r="AE69" s="215">
        <f t="shared" ref="AE69:AE96" si="105">DM69+NPV(DiscountRate,DN69:DW69)</f>
        <v>443.77067254685778</v>
      </c>
      <c r="AG69" s="214">
        <f>IF(AND(($E69+$C$1)&gt;AG$4,AG$4&gt;=$C$1),'General Inputs'!D$9*$H69,IF(AND(($D69+$C$1)&gt;AG$4,AG$4&gt;=$C$1),'General Inputs'!D$9*$G69,0))+IF(AND(($E69+$C$1)&gt;AG$4,AG$4&gt;=$C$1),'General Inputs'!D$10*$J69,IF(AND(($D69+$C$1)&gt;AG$4,AG$4&gt;=$C$1),'General Inputs'!D$10*$I69,0))</f>
        <v>0</v>
      </c>
      <c r="AH69" s="214">
        <f>IF(AND(($E69+$C$1)&gt;AH$4,AH$4&gt;=$C$1),'General Inputs'!E$9*$H69,IF(AND(($D69+$C$1)&gt;AH$4,AH$4&gt;=$C$1),'General Inputs'!E$9*$G69,0))+IF(AND(($E69+$C$1)&gt;AH$4,AH$4&gt;=$C$1),'General Inputs'!E$10*$J69,IF(AND(($D69+$C$1)&gt;AH$4,AH$4&gt;=$C$1),'General Inputs'!E$10*$I69,0))</f>
        <v>125.9457614330077</v>
      </c>
      <c r="AI69" s="214">
        <f>IF(AND(($E69+$C$1)&gt;AI$4,AI$4&gt;=$C$1),'General Inputs'!F$9*$H69,IF(AND(($D69+$C$1)&gt;AI$4,AI$4&gt;=$C$1),'General Inputs'!F$9*$G69,0))+IF(AND(($E69+$C$1)&gt;AI$4,AI$4&gt;=$C$1),'General Inputs'!F$10*$J69,IF(AND(($D69+$C$1)&gt;AI$4,AI$4&gt;=$C$1),'General Inputs'!F$10*$I69,0))</f>
        <v>127.8349478545028</v>
      </c>
      <c r="AJ69" s="214">
        <f>IF(AND(($E69+$C$1)&gt;AJ$4,AJ$4&gt;=$C$1),'General Inputs'!G$9*$H69,IF(AND(($D69+$C$1)&gt;AJ$4,AJ$4&gt;=$C$1),'General Inputs'!G$9*$G69,0))+IF(AND(($E69+$C$1)&gt;AJ$4,AJ$4&gt;=$C$1),'General Inputs'!G$10*$J69,IF(AND(($D69+$C$1)&gt;AJ$4,AJ$4&gt;=$C$1),'General Inputs'!G$10*$I69,0))</f>
        <v>129.75247207232033</v>
      </c>
      <c r="AK69" s="214">
        <f>IF(AND(($E69+$C$1)&gt;AK$4,AK$4&gt;=$C$1),'General Inputs'!H$9*$H69,IF(AND(($D69+$C$1)&gt;AK$4,AK$4&gt;=$C$1),'General Inputs'!H$9*$G69,0))+IF(AND(($E69+$C$1)&gt;AK$4,AK$4&gt;=$C$1),'General Inputs'!H$10*$J69,IF(AND(($D69+$C$1)&gt;AK$4,AK$4&gt;=$C$1),'General Inputs'!H$10*$I69,0))</f>
        <v>131.69875915340512</v>
      </c>
      <c r="AL69" s="214">
        <f>IF(AND(($E69+$C$1)&gt;AL$4,AL$4&gt;=$C$1),'General Inputs'!I$9*$H69,IF(AND(($D69+$C$1)&gt;AL$4,AL$4&gt;=$C$1),'General Inputs'!I$9*$G69,0))+IF(AND(($E69+$C$1)&gt;AL$4,AL$4&gt;=$C$1),'General Inputs'!I$10*$J69,IF(AND(($D69+$C$1)&gt;AL$4,AL$4&gt;=$C$1),'General Inputs'!I$10*$I69,0))</f>
        <v>133.67424054070617</v>
      </c>
      <c r="AM69" s="214">
        <f>IF(AND(($E69+$C$1)&gt;AM$4,AM$4&gt;=$C$1),'General Inputs'!J$9*$H69,IF(AND(($D69+$C$1)&gt;AM$4,AM$4&gt;=$C$1),'General Inputs'!J$9*$G69,0))+IF(AND(($E69+$C$1)&gt;AM$4,AM$4&gt;=$C$1),'General Inputs'!J$10*$J69,IF(AND(($D69+$C$1)&gt;AM$4,AM$4&gt;=$C$1),'General Inputs'!J$10*$I69,0))</f>
        <v>135.67935414881674</v>
      </c>
      <c r="AN69" s="214">
        <f>IF(AND(($E69+$C$1)&gt;AN$4,AN$4&gt;=$C$1),'General Inputs'!K$9*$H69,IF(AND(($D69+$C$1)&gt;AN$4,AN$4&gt;=$C$1),'General Inputs'!K$9*$G69,0))+IF(AND(($E69+$C$1)&gt;AN$4,AN$4&gt;=$C$1),'General Inputs'!K$10*$J69,IF(AND(($D69+$C$1)&gt;AN$4,AN$4&gt;=$C$1),'General Inputs'!K$10*$I69,0))</f>
        <v>137.71454446104897</v>
      </c>
      <c r="AO69" s="214">
        <f>IF(AND(($E69+$C$1)&gt;AO$4,AO$4&gt;=$C$1),'General Inputs'!L$9*$H69,IF(AND(($D69+$C$1)&gt;AO$4,AO$4&gt;=$C$1),'General Inputs'!L$9*$G69,0))+IF(AND(($E69+$C$1)&gt;AO$4,AO$4&gt;=$C$1),'General Inputs'!L$10*$J69,IF(AND(($D69+$C$1)&gt;AO$4,AO$4&gt;=$C$1),'General Inputs'!L$10*$I69,0))</f>
        <v>139.7802626279647</v>
      </c>
      <c r="AP69" s="214">
        <f>IF(AND(($E69+$C$1)&gt;AP$4,AP$4&gt;=$C$1),'General Inputs'!M$9*$H69,IF(AND(($D69+$C$1)&gt;AP$4,AP$4&gt;=$C$1),'General Inputs'!M$9*$G69,0))+IF(AND(($E69+$C$1)&gt;AP$4,AP$4&gt;=$C$1),'General Inputs'!M$10*$J69,IF(AND(($D69+$C$1)&gt;AP$4,AP$4&gt;=$C$1),'General Inputs'!M$10*$I69,0))</f>
        <v>141.87696656738413</v>
      </c>
      <c r="AQ69" s="214">
        <f>IF(AND(($E69+$C$1)&gt;AQ$4,AQ$4&gt;=$C$1),'General Inputs'!N$9*$H69,IF(AND(($D69+$C$1)&gt;AQ$4,AQ$4&gt;=$C$1),'General Inputs'!N$9*$G69,0))+IF(AND(($E69+$C$1)&gt;AQ$4,AQ$4&gt;=$C$1),'General Inputs'!N$10*$J69,IF(AND(($D69+$C$1)&gt;AQ$4,AQ$4&gt;=$C$1),'General Inputs'!N$10*$I69,0))</f>
        <v>144.00512106589491</v>
      </c>
      <c r="AR69" s="214">
        <f>IF(AND(($E69+$C$1)&gt;AR$4,AR$4&gt;=$C$1),'General Inputs'!O$9*$H69,IF(AND(($D69+$C$1)&gt;AR$4,AR$4&gt;=$C$1),'General Inputs'!O$9*$G69,0))+IF(AND(($E69+$C$1)&gt;AR$4,AR$4&gt;=$C$1),'General Inputs'!O$10*$J69,IF(AND(($D69+$C$1)&gt;AR$4,AR$4&gt;=$C$1),'General Inputs'!O$10*$I69,0))</f>
        <v>146.1651978818833</v>
      </c>
      <c r="AS69" s="214">
        <f>IF(AND(($E69+$C$1)&gt;AS$4,AS$4&gt;=$C$1),'General Inputs'!P$9*$H69,IF(AND(($D69+$C$1)&gt;AS$4,AS$4&gt;=$C$1),'General Inputs'!P$9*$G69,0))+IF(AND(($E69+$C$1)&gt;AS$4,AS$4&gt;=$C$1),'General Inputs'!P$10*$J69,IF(AND(($D69+$C$1)&gt;AS$4,AS$4&gt;=$C$1),'General Inputs'!P$10*$I69,0))</f>
        <v>148.35767585011155</v>
      </c>
      <c r="AT69" s="214">
        <f>IF(AND(($E69+$C$1)&gt;AT$4,AT$4&gt;=$C$1),'General Inputs'!Q$9*$H69,IF(AND(($D69+$C$1)&gt;AT$4,AT$4&gt;=$C$1),'General Inputs'!Q$9*$G69,0))+IF(AND(($E69+$C$1)&gt;AT$4,AT$4&gt;=$C$1),'General Inputs'!Q$10*$J69,IF(AND(($D69+$C$1)&gt;AT$4,AT$4&gt;=$C$1),'General Inputs'!Q$10*$I69,0))</f>
        <v>150.5830409878632</v>
      </c>
      <c r="AU69" s="214">
        <f>IF(AND(($E69+$C$1)&gt;AU$4,AU$4&gt;=$C$1),'General Inputs'!R$9*$H69,IF(AND(($D69+$C$1)&gt;AU$4,AU$4&gt;=$C$1),'General Inputs'!R$9*$G69,0))+IF(AND(($E69+$C$1)&gt;AU$4,AU$4&gt;=$C$1),'General Inputs'!R$10*$J69,IF(AND(($D69+$C$1)&gt;AU$4,AU$4&gt;=$C$1),'General Inputs'!R$10*$I69,0))</f>
        <v>152.84178660268114</v>
      </c>
      <c r="AV69" s="214">
        <f>IF(AND(($E69+$C$1)&gt;AV$4,AV$4&gt;=$C$1),'General Inputs'!S$9*$H69,IF(AND(($D69+$C$1)&gt;AV$4,AV$4&gt;=$C$1),'General Inputs'!S$9*$G69,0))+IF(AND(($E69+$C$1)&gt;AV$4,AV$4&gt;=$C$1),'General Inputs'!S$10*$J69,IF(AND(($D69+$C$1)&gt;AV$4,AV$4&gt;=$C$1),'General Inputs'!S$10*$I69,0))</f>
        <v>155.13441340172136</v>
      </c>
      <c r="AW69" s="214">
        <f>IF(AND(($E69+$C$1)&gt;AW$4,AW$4&gt;=$C$1),'General Inputs'!T$9*$H69,IF(AND(($D69+$C$1)&gt;AW$4,AW$4&gt;=$C$1),'General Inputs'!T$9*$G69,0))+IF(AND(($E69+$C$1)&gt;AW$4,AW$4&gt;=$C$1),'General Inputs'!T$10*$J69,IF(AND(($D69+$C$1)&gt;AW$4,AW$4&gt;=$C$1),'General Inputs'!T$10*$I69,0))</f>
        <v>157.46142960274716</v>
      </c>
      <c r="AX69" s="214">
        <f>IF(AND(($E69+$C$1)&gt;AX$4,AX$4&gt;=$C$1),'General Inputs'!U$9*$H69,IF(AND(($D69+$C$1)&gt;AX$4,AX$4&gt;=$C$1),'General Inputs'!U$9*$G69,0))+IF(AND(($E69+$C$1)&gt;AX$4,AX$4&gt;=$C$1),'General Inputs'!U$10*$J69,IF(AND(($D69+$C$1)&gt;AX$4,AX$4&gt;=$C$1),'General Inputs'!U$10*$I69,0))</f>
        <v>159.82335104678836</v>
      </c>
      <c r="AY69" s="214">
        <f>IF(AND(($E69+$C$1)&gt;AY$4,AY$4&gt;=$C$1),'General Inputs'!V$9*$H69,IF(AND(($D69+$C$1)&gt;AY$4,AY$4&gt;=$C$1),'General Inputs'!V$9*$G69,0))+IF(AND(($E69+$C$1)&gt;AY$4,AY$4&gt;=$C$1),'General Inputs'!V$10*$J69,IF(AND(($D69+$C$1)&gt;AY$4,AY$4&gt;=$C$1),'General Inputs'!V$10*$I69,0))</f>
        <v>162.22070131249018</v>
      </c>
      <c r="AZ69" s="214">
        <f>IF(AND(($E69+$C$1)&gt;AZ$4,AZ$4&gt;=$C$1),'General Inputs'!W$9*$H69,IF(AND(($D69+$C$1)&gt;AZ$4,AZ$4&gt;=$C$1),'General Inputs'!W$9*$G69,0))+IF(AND(($E69+$C$1)&gt;AZ$4,AZ$4&gt;=$C$1),'General Inputs'!W$10*$J69,IF(AND(($D69+$C$1)&gt;AZ$4,AZ$4&gt;=$C$1),'General Inputs'!W$10*$I69,0))</f>
        <v>0</v>
      </c>
      <c r="BB69" s="214">
        <f>IF(AND(($E69+$C$1)&gt;BB$4,BB$4&gt;=$C$1),'General Inputs'!D$11*$H69,IF(AND(($D69+$C$1)&gt;BB$4,BB$4&gt;=$C$1),'General Inputs'!D$11*$G69,0))</f>
        <v>0</v>
      </c>
      <c r="BC69" s="214">
        <f>IF(AND(($E69+$C$1)&gt;BC$4,BC$4&gt;=$C$1),'General Inputs'!E$11*$H69,IF(AND(($D69+$C$1)&gt;BC$4,BC$4&gt;=$C$1),'General Inputs'!E$11*$G69,0))</f>
        <v>33.577986516750002</v>
      </c>
      <c r="BD69" s="214">
        <f>IF(AND(($E69+$C$1)&gt;BD$4,BD$4&gt;=$C$1),'General Inputs'!F$11*$H69,IF(AND(($D69+$C$1)&gt;BD$4,BD$4&gt;=$C$1),'General Inputs'!F$11*$G69,0))</f>
        <v>33.577986516750002</v>
      </c>
      <c r="BE69" s="214">
        <f>IF(AND(($E69+$C$1)&gt;BE$4,BE$4&gt;=$C$1),'General Inputs'!G$11*$H69,IF(AND(($D69+$C$1)&gt;BE$4,BE$4&gt;=$C$1),'General Inputs'!G$11*$G69,0))</f>
        <v>33.577986516750002</v>
      </c>
      <c r="BF69" s="214">
        <f>IF(AND(($E69+$C$1)&gt;BF$4,BF$4&gt;=$C$1),'General Inputs'!H$11*$H69,IF(AND(($D69+$C$1)&gt;BF$4,BF$4&gt;=$C$1),'General Inputs'!H$11*$G69,0))</f>
        <v>33.577986516750002</v>
      </c>
      <c r="BG69" s="214">
        <f>IF(AND(($E69+$C$1)&gt;BG$4,BG$4&gt;=$C$1),'General Inputs'!I$11*$H69,IF(AND(($D69+$C$1)&gt;BG$4,BG$4&gt;=$C$1),'General Inputs'!I$11*$G69,0))</f>
        <v>33.577986516750002</v>
      </c>
      <c r="BH69" s="214">
        <f>IF(AND(($E69+$C$1)&gt;BH$4,BH$4&gt;=$C$1),'General Inputs'!J$11*$H69,IF(AND(($D69+$C$1)&gt;BH$4,BH$4&gt;=$C$1),'General Inputs'!J$11*$G69,0))</f>
        <v>33.577986516750002</v>
      </c>
      <c r="BI69" s="214">
        <f>IF(AND(($E69+$C$1)&gt;BI$4,BI$4&gt;=$C$1),'General Inputs'!K$11*$H69,IF(AND(($D69+$C$1)&gt;BI$4,BI$4&gt;=$C$1),'General Inputs'!K$11*$G69,0))</f>
        <v>33.577986516750002</v>
      </c>
      <c r="BJ69" s="214">
        <f>IF(AND(($E69+$C$1)&gt;BJ$4,BJ$4&gt;=$C$1),'General Inputs'!L$11*$H69,IF(AND(($D69+$C$1)&gt;BJ$4,BJ$4&gt;=$C$1),'General Inputs'!L$11*$G69,0))</f>
        <v>33.577986516750002</v>
      </c>
      <c r="BK69" s="214">
        <f>IF(AND(($E69+$C$1)&gt;BK$4,BK$4&gt;=$C$1),'General Inputs'!M$11*$H69,IF(AND(($D69+$C$1)&gt;BK$4,BK$4&gt;=$C$1),'General Inputs'!M$11*$G69,0))</f>
        <v>33.577986516750002</v>
      </c>
      <c r="BL69" s="214">
        <f>IF(AND(($E69+$C$1)&gt;BL$4,BL$4&gt;=$C$1),'General Inputs'!N$11*$H69,IF(AND(($D69+$C$1)&gt;BL$4,BL$4&gt;=$C$1),'General Inputs'!N$11*$G69,0))</f>
        <v>33.577986516750002</v>
      </c>
      <c r="BM69" s="214">
        <f>IF(AND(($E69+$C$1)&gt;BM$4,BM$4&gt;=$C$1),'General Inputs'!O$11*$H69,IF(AND(($D69+$C$1)&gt;BM$4,BM$4&gt;=$C$1),'General Inputs'!O$11*$G69,0))</f>
        <v>33.577986516750002</v>
      </c>
      <c r="BN69" s="214">
        <f>IF(AND(($E69+$C$1)&gt;BN$4,BN$4&gt;=$C$1),'General Inputs'!P$11*$H69,IF(AND(($D69+$C$1)&gt;BN$4,BN$4&gt;=$C$1),'General Inputs'!P$11*$G69,0))</f>
        <v>33.577986516750002</v>
      </c>
      <c r="BO69" s="214">
        <f>IF(AND(($E69+$C$1)&gt;BO$4,BO$4&gt;=$C$1),'General Inputs'!Q$11*$H69,IF(AND(($D69+$C$1)&gt;BO$4,BO$4&gt;=$C$1),'General Inputs'!Q$11*$G69,0))</f>
        <v>33.577986516750002</v>
      </c>
      <c r="BP69" s="214">
        <f>IF(AND(($E69+$C$1)&gt;BP$4,BP$4&gt;=$C$1),'General Inputs'!R$11*$H69,IF(AND(($D69+$C$1)&gt;BP$4,BP$4&gt;=$C$1),'General Inputs'!R$11*$G69,0))</f>
        <v>33.577986516750002</v>
      </c>
      <c r="BQ69" s="214">
        <f>IF(AND(($E69+$C$1)&gt;BQ$4,BQ$4&gt;=$C$1),'General Inputs'!S$11*$H69,IF(AND(($D69+$C$1)&gt;BQ$4,BQ$4&gt;=$C$1),'General Inputs'!S$11*$G69,0))</f>
        <v>33.577986516750002</v>
      </c>
      <c r="BR69" s="214">
        <f>IF(AND(($E69+$C$1)&gt;BR$4,BR$4&gt;=$C$1),'General Inputs'!T$11*$H69,IF(AND(($D69+$C$1)&gt;BR$4,BR$4&gt;=$C$1),'General Inputs'!T$11*$G69,0))</f>
        <v>33.577986516750002</v>
      </c>
      <c r="BS69" s="214">
        <f>IF(AND(($E69+$C$1)&gt;BS$4,BS$4&gt;=$C$1),'General Inputs'!U$11*$H69,IF(AND(($D69+$C$1)&gt;BS$4,BS$4&gt;=$C$1),'General Inputs'!U$11*$G69,0))</f>
        <v>33.577986516750002</v>
      </c>
      <c r="BT69" s="214">
        <f>IF(AND(($E69+$C$1)&gt;BT$4,BT$4&gt;=$C$1),'General Inputs'!V$11*$H69,IF(AND(($D69+$C$1)&gt;BT$4,BT$4&gt;=$C$1),'General Inputs'!V$11*$G69,0))</f>
        <v>33.577986516750002</v>
      </c>
      <c r="BU69" s="214">
        <f>IF(AND(($E69+$C$1)&gt;BU$4,BU$4&gt;=$C$1),'General Inputs'!W$11*$H69,IF(AND(($D69+$C$1)&gt;BU$4,BU$4&gt;=$C$1),'General Inputs'!W$11*$G69,0))</f>
        <v>0</v>
      </c>
      <c r="BW69" s="214">
        <f>IF(AND(($E69+$C$1)&gt;BW$4,BW$4&gt;=$C$1),$H69,IF(AND(($D69+$C$1)&gt;BW$4,BW$4&gt;=$C$1),$G69,0))*IF($A69="Residential",'General Inputs'!D$14,'General Inputs'!D$19)</f>
        <v>0</v>
      </c>
      <c r="BX69" s="214">
        <f>IF(AND(($E69+$C$1)&gt;BX$4,BX$4&gt;=$C$1),$H69,IF(AND(($D69+$C$1)&gt;BX$4,BX$4&gt;=$C$1),$G69,0))*IF($A69="Residential",'General Inputs'!E$14,'General Inputs'!E$19)</f>
        <v>312.31607377439047</v>
      </c>
      <c r="BY69" s="214">
        <f>IF(AND(($E69+$C$1)&gt;BY$4,BY$4&gt;=$C$1),$H69,IF(AND(($D69+$C$1)&gt;BY$4,BY$4&gt;=$C$1),$G69,0))*IF($A69="Residential",'General Inputs'!F$14,'General Inputs'!F$19)</f>
        <v>317.00081488100636</v>
      </c>
      <c r="BZ69" s="214">
        <f>IF(AND(($E69+$C$1)&gt;BZ$4,BZ$4&gt;=$C$1),$H69,IF(AND(($D69+$C$1)&gt;BZ$4,BZ$4&gt;=$C$1),$G69,0))*IF($A69="Residential",'General Inputs'!G$14,'General Inputs'!G$19)</f>
        <v>321.7558271042214</v>
      </c>
      <c r="CA69" s="214">
        <f>IF(AND(($E69+$C$1)&gt;CA$4,CA$4&gt;=$C$1),$H69,IF(AND(($D69+$C$1)&gt;CA$4,CA$4&gt;=$C$1),$G69,0))*IF($A69="Residential",'General Inputs'!H$14,'General Inputs'!H$19)</f>
        <v>326.58216451078465</v>
      </c>
      <c r="CB69" s="214">
        <f>IF(AND(($E69+$C$1)&gt;CB$4,CB$4&gt;=$C$1),$H69,IF(AND(($D69+$C$1)&gt;CB$4,CB$4&gt;=$C$1),$G69,0))*IF($A69="Residential",'General Inputs'!I$14,'General Inputs'!I$19)</f>
        <v>331.48089697844637</v>
      </c>
      <c r="CC69" s="214">
        <f>IF(AND(($E69+$C$1)&gt;CC$4,CC$4&gt;=$C$1),$H69,IF(AND(($D69+$C$1)&gt;CC$4,CC$4&gt;=$C$1),$G69,0))*IF($A69="Residential",'General Inputs'!J$14,'General Inputs'!J$19)</f>
        <v>336.45311043312307</v>
      </c>
      <c r="CD69" s="214">
        <f>IF(AND(($E69+$C$1)&gt;CD$4,CD$4&gt;=$C$1),$H69,IF(AND(($D69+$C$1)&gt;CD$4,CD$4&gt;=$C$1),$G69,0))*IF($A69="Residential",'General Inputs'!K$14,'General Inputs'!K$19)</f>
        <v>341.49990708961985</v>
      </c>
      <c r="CE69" s="214">
        <f>IF(AND(($E69+$C$1)&gt;CE$4,CE$4&gt;=$C$1),$H69,IF(AND(($D69+$C$1)&gt;CE$4,CE$4&gt;=$C$1),$G69,0))*IF($A69="Residential",'General Inputs'!L$14,'General Inputs'!L$19)</f>
        <v>346.62240569596412</v>
      </c>
      <c r="CF69" s="214">
        <f>IF(AND(($E69+$C$1)&gt;CF$4,CF$4&gt;=$C$1),$H69,IF(AND(($D69+$C$1)&gt;CF$4,CF$4&gt;=$C$1),$G69,0))*IF($A69="Residential",'General Inputs'!M$14,'General Inputs'!M$19)</f>
        <v>351.82174178140355</v>
      </c>
      <c r="CG69" s="214">
        <f>IF(AND(($E69+$C$1)&gt;CG$4,CG$4&gt;=$C$1),$H69,IF(AND(($D69+$C$1)&gt;CG$4,CG$4&gt;=$C$1),$G69,0))*IF($A69="Residential",'General Inputs'!N$14,'General Inputs'!N$19)</f>
        <v>357.0990679081246</v>
      </c>
      <c r="CH69" s="214">
        <f>IF(AND(($E69+$C$1)&gt;CH$4,CH$4&gt;=$C$1),$H69,IF(AND(($D69+$C$1)&gt;CH$4,CH$4&gt;=$C$1),$G69,0))*IF($A69="Residential",'General Inputs'!O$14,'General Inputs'!O$19)</f>
        <v>362.4555539267464</v>
      </c>
      <c r="CI69" s="214">
        <f>IF(AND(($E69+$C$1)&gt;CI$4,CI$4&gt;=$C$1),$H69,IF(AND(($D69+$C$1)&gt;CI$4,CI$4&gt;=$C$1),$G69,0))*IF($A69="Residential",'General Inputs'!P$14,'General Inputs'!P$19)</f>
        <v>367.89238723564762</v>
      </c>
      <c r="CJ69" s="214">
        <f>IF(AND(($E69+$C$1)&gt;CJ$4,CJ$4&gt;=$C$1),$H69,IF(AND(($D69+$C$1)&gt;CJ$4,CJ$4&gt;=$C$1),$G69,0))*IF($A69="Residential",'General Inputs'!Q$14,'General Inputs'!Q$19)</f>
        <v>373.41077304418229</v>
      </c>
      <c r="CK69" s="214">
        <f>IF(AND(($E69+$C$1)&gt;CK$4,CK$4&gt;=$C$1),$H69,IF(AND(($D69+$C$1)&gt;CK$4,CK$4&gt;=$C$1),$G69,0))*IF($A69="Residential",'General Inputs'!R$14,'General Inputs'!R$19)</f>
        <v>379.01193463984492</v>
      </c>
      <c r="CL69" s="214">
        <f>IF(AND(($E69+$C$1)&gt;CL$4,CL$4&gt;=$C$1),$H69,IF(AND(($D69+$C$1)&gt;CL$4,CL$4&gt;=$C$1),$G69,0))*IF($A69="Residential",'General Inputs'!S$14,'General Inputs'!S$19)</f>
        <v>384.69711365944261</v>
      </c>
      <c r="CM69" s="214">
        <f>IF(AND(($E69+$C$1)&gt;CM$4,CM$4&gt;=$C$1),$H69,IF(AND(($D69+$C$1)&gt;CM$4,CM$4&gt;=$C$1),$G69,0))*IF($A69="Residential",'General Inputs'!T$14,'General Inputs'!T$19)</f>
        <v>390.46757036433422</v>
      </c>
      <c r="CN69" s="214">
        <f>IF(AND(($E69+$C$1)&gt;CN$4,CN$4&gt;=$C$1),$H69,IF(AND(($D69+$C$1)&gt;CN$4,CN$4&gt;=$C$1),$G69,0))*IF($A69="Residential",'General Inputs'!U$14,'General Inputs'!U$19)</f>
        <v>396.32458391979918</v>
      </c>
      <c r="CO69" s="214">
        <f>IF(AND(($E69+$C$1)&gt;CO$4,CO$4&gt;=$C$1),$H69,IF(AND(($D69+$C$1)&gt;CO$4,CO$4&gt;=$C$1),$G69,0))*IF($A69="Residential",'General Inputs'!V$14,'General Inputs'!V$19)</f>
        <v>402.26945267859611</v>
      </c>
      <c r="CP69" s="214">
        <f>IF(AND(($E69+$C$1)&gt;CP$4,CP$4&gt;=$C$1),$H69,IF(AND(($D69+$C$1)&gt;CP$4,CP$4&gt;=$C$1),$G69,0))*IF($A69="Residential",'General Inputs'!W$14,'General Inputs'!W$19)</f>
        <v>0</v>
      </c>
      <c r="CR69" s="214">
        <f>IF(AND(($E69+$C$1)&gt;CR$4,CR$4&gt;=$C$1),$H69,IF(AND(($D69+$C$1)&gt;CR$4,CR$4&gt;=$C$1),$G69,0))*IF($A69="Residential",'General Inputs'!D$15,'General Inputs'!D$19)</f>
        <v>0</v>
      </c>
      <c r="CS69" s="214">
        <f>IF(AND(($E69+$C$1)&gt;CS$4,CS$4&gt;=$C$1),$H69,IF(AND(($D69+$C$1)&gt;CS$4,CS$4&gt;=$C$1),$G69,0))*IF($A69="Residential",'General Inputs'!E$15,'General Inputs'!E$19)</f>
        <v>312.31607377439047</v>
      </c>
      <c r="CT69" s="214">
        <f>IF(AND(($E69+$C$1)&gt;CT$4,CT$4&gt;=$C$1),$H69,IF(AND(($D69+$C$1)&gt;CT$4,CT$4&gt;=$C$1),$G69,0))*IF($A69="Residential",'General Inputs'!F$15,'General Inputs'!F$19)</f>
        <v>317.00081488100636</v>
      </c>
      <c r="CU69" s="214">
        <f>IF(AND(($E69+$C$1)&gt;CU$4,CU$4&gt;=$C$1),$H69,IF(AND(($D69+$C$1)&gt;CU$4,CU$4&gt;=$C$1),$G69,0))*IF($A69="Residential",'General Inputs'!G$15,'General Inputs'!G$19)</f>
        <v>321.7558271042214</v>
      </c>
      <c r="CV69" s="214">
        <f>IF(AND(($E69+$C$1)&gt;CV$4,CV$4&gt;=$C$1),$H69,IF(AND(($D69+$C$1)&gt;CV$4,CV$4&gt;=$C$1),$G69,0))*IF($A69="Residential",'General Inputs'!H$15,'General Inputs'!H$19)</f>
        <v>326.58216451078465</v>
      </c>
      <c r="CW69" s="214">
        <f>IF(AND(($E69+$C$1)&gt;CW$4,CW$4&gt;=$C$1),$H69,IF(AND(($D69+$C$1)&gt;CW$4,CW$4&gt;=$C$1),$G69,0))*IF($A69="Residential",'General Inputs'!I$15,'General Inputs'!I$19)</f>
        <v>331.48089697844637</v>
      </c>
      <c r="CX69" s="214">
        <f>IF(AND(($E69+$C$1)&gt;CX$4,CX$4&gt;=$C$1),$H69,IF(AND(($D69+$C$1)&gt;CX$4,CX$4&gt;=$C$1),$G69,0))*IF($A69="Residential",'General Inputs'!J$15,'General Inputs'!J$19)</f>
        <v>336.45311043312307</v>
      </c>
      <c r="CY69" s="214">
        <f>IF(AND(($E69+$C$1)&gt;CY$4,CY$4&gt;=$C$1),$H69,IF(AND(($D69+$C$1)&gt;CY$4,CY$4&gt;=$C$1),$G69,0))*IF($A69="Residential",'General Inputs'!K$15,'General Inputs'!K$19)</f>
        <v>341.49990708961985</v>
      </c>
      <c r="CZ69" s="214">
        <f>IF(AND(($E69+$C$1)&gt;CZ$4,CZ$4&gt;=$C$1),$H69,IF(AND(($D69+$C$1)&gt;CZ$4,CZ$4&gt;=$C$1),$G69,0))*IF($A69="Residential",'General Inputs'!L$15,'General Inputs'!L$19)</f>
        <v>346.62240569596412</v>
      </c>
      <c r="DA69" s="214">
        <f>IF(AND(($E69+$C$1)&gt;DA$4,DA$4&gt;=$C$1),$H69,IF(AND(($D69+$C$1)&gt;DA$4,DA$4&gt;=$C$1),$G69,0))*IF($A69="Residential",'General Inputs'!M$15,'General Inputs'!M$19)</f>
        <v>351.82174178140355</v>
      </c>
      <c r="DB69" s="214">
        <f>IF(AND(($E69+$C$1)&gt;DB$4,DB$4&gt;=$C$1),$H69,IF(AND(($D69+$C$1)&gt;DB$4,DB$4&gt;=$C$1),$G69,0))*IF($A69="Residential",'General Inputs'!N$15,'General Inputs'!N$19)</f>
        <v>357.0990679081246</v>
      </c>
      <c r="DC69" s="214">
        <f>IF(AND(($E69+$C$1)&gt;DC$4,DC$4&gt;=$C$1),$H69,IF(AND(($D69+$C$1)&gt;DC$4,DC$4&gt;=$C$1),$G69,0))*IF($A69="Residential",'General Inputs'!O$15,'General Inputs'!O$19)</f>
        <v>362.4555539267464</v>
      </c>
      <c r="DD69" s="214">
        <f>IF(AND(($E69+$C$1)&gt;DD$4,DD$4&gt;=$C$1),$H69,IF(AND(($D69+$C$1)&gt;DD$4,DD$4&gt;=$C$1),$G69,0))*IF($A69="Residential",'General Inputs'!P$15,'General Inputs'!P$19)</f>
        <v>367.89238723564762</v>
      </c>
      <c r="DE69" s="214">
        <f>IF(AND(($E69+$C$1)&gt;DE$4,DE$4&gt;=$C$1),$H69,IF(AND(($D69+$C$1)&gt;DE$4,DE$4&gt;=$C$1),$G69,0))*IF($A69="Residential",'General Inputs'!Q$15,'General Inputs'!Q$19)</f>
        <v>373.41077304418229</v>
      </c>
      <c r="DF69" s="214">
        <f>IF(AND(($E69+$C$1)&gt;DF$4,DF$4&gt;=$C$1),$H69,IF(AND(($D69+$C$1)&gt;DF$4,DF$4&gt;=$C$1),$G69,0))*IF($A69="Residential",'General Inputs'!R$15,'General Inputs'!R$19)</f>
        <v>379.01193463984492</v>
      </c>
      <c r="DG69" s="214">
        <f>IF(AND(($E69+$C$1)&gt;DG$4,DG$4&gt;=$C$1),$H69,IF(AND(($D69+$C$1)&gt;DG$4,DG$4&gt;=$C$1),$G69,0))*IF($A69="Residential",'General Inputs'!S$15,'General Inputs'!S$19)</f>
        <v>384.69711365944261</v>
      </c>
      <c r="DH69" s="214">
        <f>IF(AND(($E69+$C$1)&gt;DH$4,DH$4&gt;=$C$1),$H69,IF(AND(($D69+$C$1)&gt;DH$4,DH$4&gt;=$C$1),$G69,0))*IF($A69="Residential",'General Inputs'!T$15,'General Inputs'!T$19)</f>
        <v>390.46757036433422</v>
      </c>
      <c r="DI69" s="214">
        <f>IF(AND(($E69+$C$1)&gt;DI$4,DI$4&gt;=$C$1),$H69,IF(AND(($D69+$C$1)&gt;DI$4,DI$4&gt;=$C$1),$G69,0))*IF($A69="Residential",'General Inputs'!U$15,'General Inputs'!U$19)</f>
        <v>396.32458391979918</v>
      </c>
      <c r="DJ69" s="214">
        <f>IF(AND(($E69+$C$1)&gt;DJ$4,DJ$4&gt;=$C$1),$H69,IF(AND(($D69+$C$1)&gt;DJ$4,DJ$4&gt;=$C$1),$G69,0))*IF($A69="Residential",'General Inputs'!V$15,'General Inputs'!V$19)</f>
        <v>402.26945267859611</v>
      </c>
      <c r="DK69" s="214">
        <f>IF(AND(($E69+$C$1)&gt;DK$4,DK$4&gt;=$C$1),$H69,IF(AND(($D69+$C$1)&gt;DK$4,DK$4&gt;=$C$1),$G69,0))*IF($A69="Residential",'General Inputs'!W$15,'General Inputs'!W$19)</f>
        <v>0</v>
      </c>
      <c r="DM69" s="214">
        <f t="shared" si="100"/>
        <v>0</v>
      </c>
      <c r="DN69" s="214">
        <f t="shared" si="100"/>
        <v>483</v>
      </c>
      <c r="DO69" s="214">
        <f t="shared" si="100"/>
        <v>0</v>
      </c>
      <c r="DP69" s="214">
        <f t="shared" si="100"/>
        <v>0</v>
      </c>
      <c r="DQ69" s="214">
        <f t="shared" si="100"/>
        <v>0</v>
      </c>
      <c r="DR69" s="214">
        <f t="shared" si="100"/>
        <v>0</v>
      </c>
      <c r="DS69" s="214">
        <f t="shared" si="100"/>
        <v>0</v>
      </c>
      <c r="DT69" s="214">
        <f t="shared" si="100"/>
        <v>0</v>
      </c>
      <c r="DU69" s="214">
        <f t="shared" si="100"/>
        <v>0</v>
      </c>
      <c r="DV69" s="214">
        <f t="shared" si="100"/>
        <v>0</v>
      </c>
      <c r="DW69" s="214">
        <f t="shared" si="100"/>
        <v>0</v>
      </c>
      <c r="DZ69" s="650"/>
      <c r="FI69" s="195"/>
      <c r="FJ69" s="195"/>
      <c r="FK69" s="195"/>
      <c r="FL69" s="195"/>
      <c r="FM69" s="195"/>
      <c r="FN69" s="195"/>
      <c r="FO69" s="195"/>
    </row>
    <row r="70" spans="1:171">
      <c r="A70" s="342" t="s">
        <v>112</v>
      </c>
      <c r="B70" s="427" t="str">
        <f>'Portfolio Inputs'!A69</f>
        <v>Pulse Start Metal Halide (175 &lt; 320 W)</v>
      </c>
      <c r="C70" s="217">
        <f>IF($C$1=2014,'Portfolio Inputs'!$C69,IF($C$1=2015,'Portfolio Inputs'!$D69,'Portfolio Inputs'!$E69))</f>
        <v>3</v>
      </c>
      <c r="D70" s="504">
        <f>VLOOKUP(B70,Sources!$B$4:$J$104,2,FALSE)</f>
        <v>18</v>
      </c>
      <c r="E70" s="504">
        <f>VLOOKUP(B70,Sources!$B$4:$J$104,3,FALSE)</f>
        <v>0</v>
      </c>
      <c r="G70" s="504">
        <f>IF($C$1=2014,'Portfolio Inputs'!$G69,IF($C$1=2015,'Portfolio Inputs'!$H69,'Portfolio Inputs'!$I69))*EnergyLineLoss</f>
        <v>2056.5776025</v>
      </c>
      <c r="H70" s="504"/>
      <c r="I70" s="595">
        <f>IF($C$1=2014,'Portfolio Inputs'!$K69,IF($C$1=2015,'Portfolio Inputs'!$L69,'Portfolio Inputs'!$M69))*PeakLineLoss</f>
        <v>0.31800740400000005</v>
      </c>
      <c r="J70" s="510"/>
      <c r="L70" s="606">
        <f>IF($C$1=2014,'Portfolio Inputs'!$O69,IF($C$1=2015,'Portfolio Inputs'!$P69,'Portfolio Inputs'!$Q69))</f>
        <v>185</v>
      </c>
      <c r="M70" s="518">
        <f>VLOOKUP($B70,Sources!$B$4:$K$104,10,FALSE)</f>
        <v>0</v>
      </c>
      <c r="N70" s="419">
        <f>IF($C$1=2014,'Portfolio Inputs'!$W69,IF($C$1=2015,'Portfolio Inputs'!$X69,'Portfolio Inputs'!$Y69))</f>
        <v>120</v>
      </c>
      <c r="O70" s="419">
        <f>IF($C$1=2014,'Portfolio Inputs'!$AA69,IF($C$1=2015,'Portfolio Inputs'!$AB69,'Portfolio Inputs'!$AC69))</f>
        <v>0</v>
      </c>
      <c r="Q70" s="438">
        <f t="shared" si="67"/>
        <v>1.6809046932450529</v>
      </c>
      <c r="R70" s="439">
        <f t="shared" si="68"/>
        <v>7.7741842062583695</v>
      </c>
      <c r="S70" s="439">
        <f t="shared" si="69"/>
        <v>2.0877984673960186</v>
      </c>
      <c r="T70" s="439">
        <f t="shared" si="70"/>
        <v>4.3844672808817142</v>
      </c>
      <c r="U70" s="439">
        <f t="shared" si="98"/>
        <v>4.3844672808817142</v>
      </c>
      <c r="V70" s="439">
        <f t="shared" si="72"/>
        <v>0.38337717801534688</v>
      </c>
      <c r="W70" s="439">
        <f t="shared" si="73"/>
        <v>0.38337717801534688</v>
      </c>
      <c r="Y70" s="215">
        <f t="shared" si="101"/>
        <v>857.13166551911456</v>
      </c>
      <c r="Z70" s="215">
        <f t="shared" si="102"/>
        <v>207.48442176937351</v>
      </c>
      <c r="AA70" s="215">
        <f t="shared" si="103"/>
        <v>2125.4863477483932</v>
      </c>
      <c r="AB70" s="215">
        <f t="shared" si="104"/>
        <v>2125.4863477483932</v>
      </c>
      <c r="AC70" s="216">
        <f t="shared" si="20"/>
        <v>0</v>
      </c>
      <c r="AD70" s="216">
        <f t="shared" si="21"/>
        <v>110.25358324145535</v>
      </c>
      <c r="AE70" s="215">
        <f t="shared" si="105"/>
        <v>509.92282249173098</v>
      </c>
      <c r="AG70" s="214">
        <f>IF(AND(($E70+$C$1)&gt;AG$4,AG$4&gt;=$C$1),'General Inputs'!D$9*$H70,IF(AND(($D70+$C$1)&gt;AG$4,AG$4&gt;=$C$1),'General Inputs'!D$9*$G70,0))+IF(AND(($E70+$C$1)&gt;AG$4,AG$4&gt;=$C$1),'General Inputs'!D$10*$J70,IF(AND(($D70+$C$1)&gt;AG$4,AG$4&gt;=$C$1),'General Inputs'!D$10*$I70,0))</f>
        <v>0</v>
      </c>
      <c r="AH70" s="214">
        <f>IF(AND(($E70+$C$1)&gt;AH$4,AH$4&gt;=$C$1),'General Inputs'!E$9*$H70,IF(AND(($D70+$C$1)&gt;AH$4,AH$4&gt;=$C$1),'General Inputs'!E$9*$G70,0))+IF(AND(($E70+$C$1)&gt;AH$4,AH$4&gt;=$C$1),'General Inputs'!E$10*$J70,IF(AND(($D70+$C$1)&gt;AH$4,AH$4&gt;=$C$1),'General Inputs'!E$10*$I70,0))</f>
        <v>87.938460645532018</v>
      </c>
      <c r="AI70" s="214">
        <f>IF(AND(($E70+$C$1)&gt;AI$4,AI$4&gt;=$C$1),'General Inputs'!F$9*$H70,IF(AND(($D70+$C$1)&gt;AI$4,AI$4&gt;=$C$1),'General Inputs'!F$9*$G70,0))+IF(AND(($E70+$C$1)&gt;AI$4,AI$4&gt;=$C$1),'General Inputs'!F$10*$J70,IF(AND(($D70+$C$1)&gt;AI$4,AI$4&gt;=$C$1),'General Inputs'!F$10*$I70,0))</f>
        <v>89.257537555214981</v>
      </c>
      <c r="AJ70" s="214">
        <f>IF(AND(($E70+$C$1)&gt;AJ$4,AJ$4&gt;=$C$1),'General Inputs'!G$9*$H70,IF(AND(($D70+$C$1)&gt;AJ$4,AJ$4&gt;=$C$1),'General Inputs'!G$9*$G70,0))+IF(AND(($E70+$C$1)&gt;AJ$4,AJ$4&gt;=$C$1),'General Inputs'!G$10*$J70,IF(AND(($D70+$C$1)&gt;AJ$4,AJ$4&gt;=$C$1),'General Inputs'!G$10*$I70,0))</f>
        <v>90.5964006185432</v>
      </c>
      <c r="AK70" s="214">
        <f>IF(AND(($E70+$C$1)&gt;AK$4,AK$4&gt;=$C$1),'General Inputs'!H$9*$H70,IF(AND(($D70+$C$1)&gt;AK$4,AK$4&gt;=$C$1),'General Inputs'!H$9*$G70,0))+IF(AND(($E70+$C$1)&gt;AK$4,AK$4&gt;=$C$1),'General Inputs'!H$10*$J70,IF(AND(($D70+$C$1)&gt;AK$4,AK$4&gt;=$C$1),'General Inputs'!H$10*$I70,0))</f>
        <v>91.955346627821328</v>
      </c>
      <c r="AL70" s="214">
        <f>IF(AND(($E70+$C$1)&gt;AL$4,AL$4&gt;=$C$1),'General Inputs'!I$9*$H70,IF(AND(($D70+$C$1)&gt;AL$4,AL$4&gt;=$C$1),'General Inputs'!I$9*$G70,0))+IF(AND(($E70+$C$1)&gt;AL$4,AL$4&gt;=$C$1),'General Inputs'!I$10*$J70,IF(AND(($D70+$C$1)&gt;AL$4,AL$4&gt;=$C$1),'General Inputs'!I$10*$I70,0))</f>
        <v>93.334676827238638</v>
      </c>
      <c r="AM70" s="214">
        <f>IF(AND(($E70+$C$1)&gt;AM$4,AM$4&gt;=$C$1),'General Inputs'!J$9*$H70,IF(AND(($D70+$C$1)&gt;AM$4,AM$4&gt;=$C$1),'General Inputs'!J$9*$G70,0))+IF(AND(($E70+$C$1)&gt;AM$4,AM$4&gt;=$C$1),'General Inputs'!J$10*$J70,IF(AND(($D70+$C$1)&gt;AM$4,AM$4&gt;=$C$1),'General Inputs'!J$10*$I70,0))</f>
        <v>94.734696979647197</v>
      </c>
      <c r="AN70" s="214">
        <f>IF(AND(($E70+$C$1)&gt;AN$4,AN$4&gt;=$C$1),'General Inputs'!K$9*$H70,IF(AND(($D70+$C$1)&gt;AN$4,AN$4&gt;=$C$1),'General Inputs'!K$9*$G70,0))+IF(AND(($E70+$C$1)&gt;AN$4,AN$4&gt;=$C$1),'General Inputs'!K$10*$J70,IF(AND(($D70+$C$1)&gt;AN$4,AN$4&gt;=$C$1),'General Inputs'!K$10*$I70,0))</f>
        <v>96.155717434341895</v>
      </c>
      <c r="AO70" s="214">
        <f>IF(AND(($E70+$C$1)&gt;AO$4,AO$4&gt;=$C$1),'General Inputs'!L$9*$H70,IF(AND(($D70+$C$1)&gt;AO$4,AO$4&gt;=$C$1),'General Inputs'!L$9*$G70,0))+IF(AND(($E70+$C$1)&gt;AO$4,AO$4&gt;=$C$1),'General Inputs'!L$10*$J70,IF(AND(($D70+$C$1)&gt;AO$4,AO$4&gt;=$C$1),'General Inputs'!L$10*$I70,0))</f>
        <v>97.59805319585702</v>
      </c>
      <c r="AP70" s="214">
        <f>IF(AND(($E70+$C$1)&gt;AP$4,AP$4&gt;=$C$1),'General Inputs'!M$9*$H70,IF(AND(($D70+$C$1)&gt;AP$4,AP$4&gt;=$C$1),'General Inputs'!M$9*$G70,0))+IF(AND(($E70+$C$1)&gt;AP$4,AP$4&gt;=$C$1),'General Inputs'!M$10*$J70,IF(AND(($D70+$C$1)&gt;AP$4,AP$4&gt;=$C$1),'General Inputs'!M$10*$I70,0))</f>
        <v>99.062023993794853</v>
      </c>
      <c r="AQ70" s="214">
        <f>IF(AND(($E70+$C$1)&gt;AQ$4,AQ$4&gt;=$C$1),'General Inputs'!N$9*$H70,IF(AND(($D70+$C$1)&gt;AQ$4,AQ$4&gt;=$C$1),'General Inputs'!N$9*$G70,0))+IF(AND(($E70+$C$1)&gt;AQ$4,AQ$4&gt;=$C$1),'General Inputs'!N$10*$J70,IF(AND(($D70+$C$1)&gt;AQ$4,AQ$4&gt;=$C$1),'General Inputs'!N$10*$I70,0))</f>
        <v>100.54795435370177</v>
      </c>
      <c r="AR70" s="214">
        <f>IF(AND(($E70+$C$1)&gt;AR$4,AR$4&gt;=$C$1),'General Inputs'!O$9*$H70,IF(AND(($D70+$C$1)&gt;AR$4,AR$4&gt;=$C$1),'General Inputs'!O$9*$G70,0))+IF(AND(($E70+$C$1)&gt;AR$4,AR$4&gt;=$C$1),'General Inputs'!O$10*$J70,IF(AND(($D70+$C$1)&gt;AR$4,AR$4&gt;=$C$1),'General Inputs'!O$10*$I70,0))</f>
        <v>102.05617366900728</v>
      </c>
      <c r="AS70" s="214">
        <f>IF(AND(($E70+$C$1)&gt;AS$4,AS$4&gt;=$C$1),'General Inputs'!P$9*$H70,IF(AND(($D70+$C$1)&gt;AS$4,AS$4&gt;=$C$1),'General Inputs'!P$9*$G70,0))+IF(AND(($E70+$C$1)&gt;AS$4,AS$4&gt;=$C$1),'General Inputs'!P$10*$J70,IF(AND(($D70+$C$1)&gt;AS$4,AS$4&gt;=$C$1),'General Inputs'!P$10*$I70,0))</f>
        <v>103.58701627404238</v>
      </c>
      <c r="AT70" s="214">
        <f>IF(AND(($E70+$C$1)&gt;AT$4,AT$4&gt;=$C$1),'General Inputs'!Q$9*$H70,IF(AND(($D70+$C$1)&gt;AT$4,AT$4&gt;=$C$1),'General Inputs'!Q$9*$G70,0))+IF(AND(($E70+$C$1)&gt;AT$4,AT$4&gt;=$C$1),'General Inputs'!Q$10*$J70,IF(AND(($D70+$C$1)&gt;AT$4,AT$4&gt;=$C$1),'General Inputs'!Q$10*$I70,0))</f>
        <v>105.14082151815302</v>
      </c>
      <c r="AU70" s="214">
        <f>IF(AND(($E70+$C$1)&gt;AU$4,AU$4&gt;=$C$1),'General Inputs'!R$9*$H70,IF(AND(($D70+$C$1)&gt;AU$4,AU$4&gt;=$C$1),'General Inputs'!R$9*$G70,0))+IF(AND(($E70+$C$1)&gt;AU$4,AU$4&gt;=$C$1),'General Inputs'!R$10*$J70,IF(AND(($D70+$C$1)&gt;AU$4,AU$4&gt;=$C$1),'General Inputs'!R$10*$I70,0))</f>
        <v>106.71793384092531</v>
      </c>
      <c r="AV70" s="214">
        <f>IF(AND(($E70+$C$1)&gt;AV$4,AV$4&gt;=$C$1),'General Inputs'!S$9*$H70,IF(AND(($D70+$C$1)&gt;AV$4,AV$4&gt;=$C$1),'General Inputs'!S$9*$G70,0))+IF(AND(($E70+$C$1)&gt;AV$4,AV$4&gt;=$C$1),'General Inputs'!S$10*$J70,IF(AND(($D70+$C$1)&gt;AV$4,AV$4&gt;=$C$1),'General Inputs'!S$10*$I70,0))</f>
        <v>108.31870284853919</v>
      </c>
      <c r="AW70" s="214">
        <f>IF(AND(($E70+$C$1)&gt;AW$4,AW$4&gt;=$C$1),'General Inputs'!T$9*$H70,IF(AND(($D70+$C$1)&gt;AW$4,AW$4&gt;=$C$1),'General Inputs'!T$9*$G70,0))+IF(AND(($E70+$C$1)&gt;AW$4,AW$4&gt;=$C$1),'General Inputs'!T$10*$J70,IF(AND(($D70+$C$1)&gt;AW$4,AW$4&gt;=$C$1),'General Inputs'!T$10*$I70,0))</f>
        <v>109.94348339126725</v>
      </c>
      <c r="AX70" s="214">
        <f>IF(AND(($E70+$C$1)&gt;AX$4,AX$4&gt;=$C$1),'General Inputs'!U$9*$H70,IF(AND(($D70+$C$1)&gt;AX$4,AX$4&gt;=$C$1),'General Inputs'!U$9*$G70,0))+IF(AND(($E70+$C$1)&gt;AX$4,AX$4&gt;=$C$1),'General Inputs'!U$10*$J70,IF(AND(($D70+$C$1)&gt;AX$4,AX$4&gt;=$C$1),'General Inputs'!U$10*$I70,0))</f>
        <v>111.59263564213626</v>
      </c>
      <c r="AY70" s="214">
        <f>IF(AND(($E70+$C$1)&gt;AY$4,AY$4&gt;=$C$1),'General Inputs'!V$9*$H70,IF(AND(($D70+$C$1)&gt;AY$4,AY$4&gt;=$C$1),'General Inputs'!V$9*$G70,0))+IF(AND(($E70+$C$1)&gt;AY$4,AY$4&gt;=$C$1),'General Inputs'!V$10*$J70,IF(AND(($D70+$C$1)&gt;AY$4,AY$4&gt;=$C$1),'General Inputs'!V$10*$I70,0))</f>
        <v>113.2665251767683</v>
      </c>
      <c r="AZ70" s="214">
        <f>IF(AND(($E70+$C$1)&gt;AZ$4,AZ$4&gt;=$C$1),'General Inputs'!W$9*$H70,IF(AND(($D70+$C$1)&gt;AZ$4,AZ$4&gt;=$C$1),'General Inputs'!W$9*$G70,0))+IF(AND(($E70+$C$1)&gt;AZ$4,AZ$4&gt;=$C$1),'General Inputs'!W$10*$J70,IF(AND(($D70+$C$1)&gt;AZ$4,AZ$4&gt;=$C$1),'General Inputs'!W$10*$I70,0))</f>
        <v>0</v>
      </c>
      <c r="BB70" s="214">
        <f>IF(AND(($E70+$C$1)&gt;BB$4,BB$4&gt;=$C$1),'General Inputs'!D$11*$H70,IF(AND(($D70+$C$1)&gt;BB$4,BB$4&gt;=$C$1),'General Inputs'!D$11*$G70,0))</f>
        <v>0</v>
      </c>
      <c r="BC70" s="214">
        <f>IF(AND(($E70+$C$1)&gt;BC$4,BC$4&gt;=$C$1),'General Inputs'!E$11*$H70,IF(AND(($D70+$C$1)&gt;BC$4,BC$4&gt;=$C$1),'General Inputs'!E$11*$G70,0))</f>
        <v>23.444984668500002</v>
      </c>
      <c r="BD70" s="214">
        <f>IF(AND(($E70+$C$1)&gt;BD$4,BD$4&gt;=$C$1),'General Inputs'!F$11*$H70,IF(AND(($D70+$C$1)&gt;BD$4,BD$4&gt;=$C$1),'General Inputs'!F$11*$G70,0))</f>
        <v>23.444984668500002</v>
      </c>
      <c r="BE70" s="214">
        <f>IF(AND(($E70+$C$1)&gt;BE$4,BE$4&gt;=$C$1),'General Inputs'!G$11*$H70,IF(AND(($D70+$C$1)&gt;BE$4,BE$4&gt;=$C$1),'General Inputs'!G$11*$G70,0))</f>
        <v>23.444984668500002</v>
      </c>
      <c r="BF70" s="214">
        <f>IF(AND(($E70+$C$1)&gt;BF$4,BF$4&gt;=$C$1),'General Inputs'!H$11*$H70,IF(AND(($D70+$C$1)&gt;BF$4,BF$4&gt;=$C$1),'General Inputs'!H$11*$G70,0))</f>
        <v>23.444984668500002</v>
      </c>
      <c r="BG70" s="214">
        <f>IF(AND(($E70+$C$1)&gt;BG$4,BG$4&gt;=$C$1),'General Inputs'!I$11*$H70,IF(AND(($D70+$C$1)&gt;BG$4,BG$4&gt;=$C$1),'General Inputs'!I$11*$G70,0))</f>
        <v>23.444984668500002</v>
      </c>
      <c r="BH70" s="214">
        <f>IF(AND(($E70+$C$1)&gt;BH$4,BH$4&gt;=$C$1),'General Inputs'!J$11*$H70,IF(AND(($D70+$C$1)&gt;BH$4,BH$4&gt;=$C$1),'General Inputs'!J$11*$G70,0))</f>
        <v>23.444984668500002</v>
      </c>
      <c r="BI70" s="214">
        <f>IF(AND(($E70+$C$1)&gt;BI$4,BI$4&gt;=$C$1),'General Inputs'!K$11*$H70,IF(AND(($D70+$C$1)&gt;BI$4,BI$4&gt;=$C$1),'General Inputs'!K$11*$G70,0))</f>
        <v>23.444984668500002</v>
      </c>
      <c r="BJ70" s="214">
        <f>IF(AND(($E70+$C$1)&gt;BJ$4,BJ$4&gt;=$C$1),'General Inputs'!L$11*$H70,IF(AND(($D70+$C$1)&gt;BJ$4,BJ$4&gt;=$C$1),'General Inputs'!L$11*$G70,0))</f>
        <v>23.444984668500002</v>
      </c>
      <c r="BK70" s="214">
        <f>IF(AND(($E70+$C$1)&gt;BK$4,BK$4&gt;=$C$1),'General Inputs'!M$11*$H70,IF(AND(($D70+$C$1)&gt;BK$4,BK$4&gt;=$C$1),'General Inputs'!M$11*$G70,0))</f>
        <v>23.444984668500002</v>
      </c>
      <c r="BL70" s="214">
        <f>IF(AND(($E70+$C$1)&gt;BL$4,BL$4&gt;=$C$1),'General Inputs'!N$11*$H70,IF(AND(($D70+$C$1)&gt;BL$4,BL$4&gt;=$C$1),'General Inputs'!N$11*$G70,0))</f>
        <v>23.444984668500002</v>
      </c>
      <c r="BM70" s="214">
        <f>IF(AND(($E70+$C$1)&gt;BM$4,BM$4&gt;=$C$1),'General Inputs'!O$11*$H70,IF(AND(($D70+$C$1)&gt;BM$4,BM$4&gt;=$C$1),'General Inputs'!O$11*$G70,0))</f>
        <v>23.444984668500002</v>
      </c>
      <c r="BN70" s="214">
        <f>IF(AND(($E70+$C$1)&gt;BN$4,BN$4&gt;=$C$1),'General Inputs'!P$11*$H70,IF(AND(($D70+$C$1)&gt;BN$4,BN$4&gt;=$C$1),'General Inputs'!P$11*$G70,0))</f>
        <v>23.444984668500002</v>
      </c>
      <c r="BO70" s="214">
        <f>IF(AND(($E70+$C$1)&gt;BO$4,BO$4&gt;=$C$1),'General Inputs'!Q$11*$H70,IF(AND(($D70+$C$1)&gt;BO$4,BO$4&gt;=$C$1),'General Inputs'!Q$11*$G70,0))</f>
        <v>23.444984668500002</v>
      </c>
      <c r="BP70" s="214">
        <f>IF(AND(($E70+$C$1)&gt;BP$4,BP$4&gt;=$C$1),'General Inputs'!R$11*$H70,IF(AND(($D70+$C$1)&gt;BP$4,BP$4&gt;=$C$1),'General Inputs'!R$11*$G70,0))</f>
        <v>23.444984668500002</v>
      </c>
      <c r="BQ70" s="214">
        <f>IF(AND(($E70+$C$1)&gt;BQ$4,BQ$4&gt;=$C$1),'General Inputs'!S$11*$H70,IF(AND(($D70+$C$1)&gt;BQ$4,BQ$4&gt;=$C$1),'General Inputs'!S$11*$G70,0))</f>
        <v>23.444984668500002</v>
      </c>
      <c r="BR70" s="214">
        <f>IF(AND(($E70+$C$1)&gt;BR$4,BR$4&gt;=$C$1),'General Inputs'!T$11*$H70,IF(AND(($D70+$C$1)&gt;BR$4,BR$4&gt;=$C$1),'General Inputs'!T$11*$G70,0))</f>
        <v>23.444984668500002</v>
      </c>
      <c r="BS70" s="214">
        <f>IF(AND(($E70+$C$1)&gt;BS$4,BS$4&gt;=$C$1),'General Inputs'!U$11*$H70,IF(AND(($D70+$C$1)&gt;BS$4,BS$4&gt;=$C$1),'General Inputs'!U$11*$G70,0))</f>
        <v>23.444984668500002</v>
      </c>
      <c r="BT70" s="214">
        <f>IF(AND(($E70+$C$1)&gt;BT$4,BT$4&gt;=$C$1),'General Inputs'!V$11*$H70,IF(AND(($D70+$C$1)&gt;BT$4,BT$4&gt;=$C$1),'General Inputs'!V$11*$G70,0))</f>
        <v>23.444984668500002</v>
      </c>
      <c r="BU70" s="214">
        <f>IF(AND(($E70+$C$1)&gt;BU$4,BU$4&gt;=$C$1),'General Inputs'!W$11*$H70,IF(AND(($D70+$C$1)&gt;BU$4,BU$4&gt;=$C$1),'General Inputs'!W$11*$G70,0))</f>
        <v>0</v>
      </c>
      <c r="BW70" s="214">
        <f>IF(AND(($E70+$C$1)&gt;BW$4,BW$4&gt;=$C$1),$H70,IF(AND(($D70+$C$1)&gt;BW$4,BW$4&gt;=$C$1),$G70,0))*IF($A70="Residential",'General Inputs'!D$14,'General Inputs'!D$19)</f>
        <v>0</v>
      </c>
      <c r="BX70" s="214">
        <f>IF(AND(($E70+$C$1)&gt;BX$4,BX$4&gt;=$C$1),$H70,IF(AND(($D70+$C$1)&gt;BX$4,BX$4&gt;=$C$1),$G70,0))*IF($A70="Residential",'General Inputs'!E$14,'General Inputs'!E$19)</f>
        <v>218.06684441052118</v>
      </c>
      <c r="BY70" s="214">
        <f>IF(AND(($E70+$C$1)&gt;BY$4,BY$4&gt;=$C$1),$H70,IF(AND(($D70+$C$1)&gt;BY$4,BY$4&gt;=$C$1),$G70,0))*IF($A70="Residential",'General Inputs'!F$14,'General Inputs'!F$19)</f>
        <v>221.337847076679</v>
      </c>
      <c r="BZ70" s="214">
        <f>IF(AND(($E70+$C$1)&gt;BZ$4,BZ$4&gt;=$C$1),$H70,IF(AND(($D70+$C$1)&gt;BZ$4,BZ$4&gt;=$C$1),$G70,0))*IF($A70="Residential",'General Inputs'!G$14,'General Inputs'!G$19)</f>
        <v>224.65791478282915</v>
      </c>
      <c r="CA70" s="214">
        <f>IF(AND(($E70+$C$1)&gt;CA$4,CA$4&gt;=$C$1),$H70,IF(AND(($D70+$C$1)&gt;CA$4,CA$4&gt;=$C$1),$G70,0))*IF($A70="Residential",'General Inputs'!H$14,'General Inputs'!H$19)</f>
        <v>228.02778350457154</v>
      </c>
      <c r="CB70" s="214">
        <f>IF(AND(($E70+$C$1)&gt;CB$4,CB$4&gt;=$C$1),$H70,IF(AND(($D70+$C$1)&gt;CB$4,CB$4&gt;=$C$1),$G70,0))*IF($A70="Residential",'General Inputs'!I$14,'General Inputs'!I$19)</f>
        <v>231.44820025714009</v>
      </c>
      <c r="CC70" s="214">
        <f>IF(AND(($E70+$C$1)&gt;CC$4,CC$4&gt;=$C$1),$H70,IF(AND(($D70+$C$1)&gt;CC$4,CC$4&gt;=$C$1),$G70,0))*IF($A70="Residential",'General Inputs'!J$14,'General Inputs'!J$19)</f>
        <v>234.91992326099719</v>
      </c>
      <c r="CD70" s="214">
        <f>IF(AND(($E70+$C$1)&gt;CD$4,CD$4&gt;=$C$1),$H70,IF(AND(($D70+$C$1)&gt;CD$4,CD$4&gt;=$C$1),$G70,0))*IF($A70="Residential",'General Inputs'!K$14,'General Inputs'!K$19)</f>
        <v>238.4437221099121</v>
      </c>
      <c r="CE70" s="214">
        <f>IF(AND(($E70+$C$1)&gt;CE$4,CE$4&gt;=$C$1),$H70,IF(AND(($D70+$C$1)&gt;CE$4,CE$4&gt;=$C$1),$G70,0))*IF($A70="Residential",'General Inputs'!L$14,'General Inputs'!L$19)</f>
        <v>242.02037794156075</v>
      </c>
      <c r="CF70" s="214">
        <f>IF(AND(($E70+$C$1)&gt;CF$4,CF$4&gt;=$C$1),$H70,IF(AND(($D70+$C$1)&gt;CF$4,CF$4&gt;=$C$1),$G70,0))*IF($A70="Residential",'General Inputs'!M$14,'General Inputs'!M$19)</f>
        <v>245.65068361068415</v>
      </c>
      <c r="CG70" s="214">
        <f>IF(AND(($E70+$C$1)&gt;CG$4,CG$4&gt;=$C$1),$H70,IF(AND(($D70+$C$1)&gt;CG$4,CG$4&gt;=$C$1),$G70,0))*IF($A70="Residential",'General Inputs'!N$14,'General Inputs'!N$19)</f>
        <v>249.33544386484442</v>
      </c>
      <c r="CH70" s="214">
        <f>IF(AND(($E70+$C$1)&gt;CH$4,CH$4&gt;=$C$1),$H70,IF(AND(($D70+$C$1)&gt;CH$4,CH$4&gt;=$C$1),$G70,0))*IF($A70="Residential",'General Inputs'!O$14,'General Inputs'!O$19)</f>
        <v>253.07547552281702</v>
      </c>
      <c r="CI70" s="214">
        <f>IF(AND(($E70+$C$1)&gt;CI$4,CI$4&gt;=$C$1),$H70,IF(AND(($D70+$C$1)&gt;CI$4,CI$4&gt;=$C$1),$G70,0))*IF($A70="Residential",'General Inputs'!P$14,'General Inputs'!P$19)</f>
        <v>256.87160765565926</v>
      </c>
      <c r="CJ70" s="214">
        <f>IF(AND(($E70+$C$1)&gt;CJ$4,CJ$4&gt;=$C$1),$H70,IF(AND(($D70+$C$1)&gt;CJ$4,CJ$4&gt;=$C$1),$G70,0))*IF($A70="Residential",'General Inputs'!Q$14,'General Inputs'!Q$19)</f>
        <v>260.72468177049416</v>
      </c>
      <c r="CK70" s="214">
        <f>IF(AND(($E70+$C$1)&gt;CK$4,CK$4&gt;=$C$1),$H70,IF(AND(($D70+$C$1)&gt;CK$4,CK$4&gt;=$C$1),$G70,0))*IF($A70="Residential",'General Inputs'!R$14,'General Inputs'!R$19)</f>
        <v>264.63555199705149</v>
      </c>
      <c r="CL70" s="214">
        <f>IF(AND(($E70+$C$1)&gt;CL$4,CL$4&gt;=$C$1),$H70,IF(AND(($D70+$C$1)&gt;CL$4,CL$4&gt;=$C$1),$G70,0))*IF($A70="Residential",'General Inputs'!S$14,'General Inputs'!S$19)</f>
        <v>268.60508527700728</v>
      </c>
      <c r="CM70" s="214">
        <f>IF(AND(($E70+$C$1)&gt;CM$4,CM$4&gt;=$C$1),$H70,IF(AND(($D70+$C$1)&gt;CM$4,CM$4&gt;=$C$1),$G70,0))*IF($A70="Residential",'General Inputs'!T$14,'General Inputs'!T$19)</f>
        <v>272.63416155616238</v>
      </c>
      <c r="CN70" s="214">
        <f>IF(AND(($E70+$C$1)&gt;CN$4,CN$4&gt;=$C$1),$H70,IF(AND(($D70+$C$1)&gt;CN$4,CN$4&gt;=$C$1),$G70,0))*IF($A70="Residential",'General Inputs'!U$14,'General Inputs'!U$19)</f>
        <v>276.72367397950478</v>
      </c>
      <c r="CO70" s="214">
        <f>IF(AND(($E70+$C$1)&gt;CO$4,CO$4&gt;=$C$1),$H70,IF(AND(($D70+$C$1)&gt;CO$4,CO$4&gt;=$C$1),$G70,0))*IF($A70="Residential",'General Inputs'!V$14,'General Inputs'!V$19)</f>
        <v>280.87452908919727</v>
      </c>
      <c r="CP70" s="214">
        <f>IF(AND(($E70+$C$1)&gt;CP$4,CP$4&gt;=$C$1),$H70,IF(AND(($D70+$C$1)&gt;CP$4,CP$4&gt;=$C$1),$G70,0))*IF($A70="Residential",'General Inputs'!W$14,'General Inputs'!W$19)</f>
        <v>0</v>
      </c>
      <c r="CR70" s="214">
        <f>IF(AND(($E70+$C$1)&gt;CR$4,CR$4&gt;=$C$1),$H70,IF(AND(($D70+$C$1)&gt;CR$4,CR$4&gt;=$C$1),$G70,0))*IF($A70="Residential",'General Inputs'!D$15,'General Inputs'!D$19)</f>
        <v>0</v>
      </c>
      <c r="CS70" s="214">
        <f>IF(AND(($E70+$C$1)&gt;CS$4,CS$4&gt;=$C$1),$H70,IF(AND(($D70+$C$1)&gt;CS$4,CS$4&gt;=$C$1),$G70,0))*IF($A70="Residential",'General Inputs'!E$15,'General Inputs'!E$19)</f>
        <v>218.06684441052118</v>
      </c>
      <c r="CT70" s="214">
        <f>IF(AND(($E70+$C$1)&gt;CT$4,CT$4&gt;=$C$1),$H70,IF(AND(($D70+$C$1)&gt;CT$4,CT$4&gt;=$C$1),$G70,0))*IF($A70="Residential",'General Inputs'!F$15,'General Inputs'!F$19)</f>
        <v>221.337847076679</v>
      </c>
      <c r="CU70" s="214">
        <f>IF(AND(($E70+$C$1)&gt;CU$4,CU$4&gt;=$C$1),$H70,IF(AND(($D70+$C$1)&gt;CU$4,CU$4&gt;=$C$1),$G70,0))*IF($A70="Residential",'General Inputs'!G$15,'General Inputs'!G$19)</f>
        <v>224.65791478282915</v>
      </c>
      <c r="CV70" s="214">
        <f>IF(AND(($E70+$C$1)&gt;CV$4,CV$4&gt;=$C$1),$H70,IF(AND(($D70+$C$1)&gt;CV$4,CV$4&gt;=$C$1),$G70,0))*IF($A70="Residential",'General Inputs'!H$15,'General Inputs'!H$19)</f>
        <v>228.02778350457154</v>
      </c>
      <c r="CW70" s="214">
        <f>IF(AND(($E70+$C$1)&gt;CW$4,CW$4&gt;=$C$1),$H70,IF(AND(($D70+$C$1)&gt;CW$4,CW$4&gt;=$C$1),$G70,0))*IF($A70="Residential",'General Inputs'!I$15,'General Inputs'!I$19)</f>
        <v>231.44820025714009</v>
      </c>
      <c r="CX70" s="214">
        <f>IF(AND(($E70+$C$1)&gt;CX$4,CX$4&gt;=$C$1),$H70,IF(AND(($D70+$C$1)&gt;CX$4,CX$4&gt;=$C$1),$G70,0))*IF($A70="Residential",'General Inputs'!J$15,'General Inputs'!J$19)</f>
        <v>234.91992326099719</v>
      </c>
      <c r="CY70" s="214">
        <f>IF(AND(($E70+$C$1)&gt;CY$4,CY$4&gt;=$C$1),$H70,IF(AND(($D70+$C$1)&gt;CY$4,CY$4&gt;=$C$1),$G70,0))*IF($A70="Residential",'General Inputs'!K$15,'General Inputs'!K$19)</f>
        <v>238.4437221099121</v>
      </c>
      <c r="CZ70" s="214">
        <f>IF(AND(($E70+$C$1)&gt;CZ$4,CZ$4&gt;=$C$1),$H70,IF(AND(($D70+$C$1)&gt;CZ$4,CZ$4&gt;=$C$1),$G70,0))*IF($A70="Residential",'General Inputs'!L$15,'General Inputs'!L$19)</f>
        <v>242.02037794156075</v>
      </c>
      <c r="DA70" s="214">
        <f>IF(AND(($E70+$C$1)&gt;DA$4,DA$4&gt;=$C$1),$H70,IF(AND(($D70+$C$1)&gt;DA$4,DA$4&gt;=$C$1),$G70,0))*IF($A70="Residential",'General Inputs'!M$15,'General Inputs'!M$19)</f>
        <v>245.65068361068415</v>
      </c>
      <c r="DB70" s="214">
        <f>IF(AND(($E70+$C$1)&gt;DB$4,DB$4&gt;=$C$1),$H70,IF(AND(($D70+$C$1)&gt;DB$4,DB$4&gt;=$C$1),$G70,0))*IF($A70="Residential",'General Inputs'!N$15,'General Inputs'!N$19)</f>
        <v>249.33544386484442</v>
      </c>
      <c r="DC70" s="214">
        <f>IF(AND(($E70+$C$1)&gt;DC$4,DC$4&gt;=$C$1),$H70,IF(AND(($D70+$C$1)&gt;DC$4,DC$4&gt;=$C$1),$G70,0))*IF($A70="Residential",'General Inputs'!O$15,'General Inputs'!O$19)</f>
        <v>253.07547552281702</v>
      </c>
      <c r="DD70" s="214">
        <f>IF(AND(($E70+$C$1)&gt;DD$4,DD$4&gt;=$C$1),$H70,IF(AND(($D70+$C$1)&gt;DD$4,DD$4&gt;=$C$1),$G70,0))*IF($A70="Residential",'General Inputs'!P$15,'General Inputs'!P$19)</f>
        <v>256.87160765565926</v>
      </c>
      <c r="DE70" s="214">
        <f>IF(AND(($E70+$C$1)&gt;DE$4,DE$4&gt;=$C$1),$H70,IF(AND(($D70+$C$1)&gt;DE$4,DE$4&gt;=$C$1),$G70,0))*IF($A70="Residential",'General Inputs'!Q$15,'General Inputs'!Q$19)</f>
        <v>260.72468177049416</v>
      </c>
      <c r="DF70" s="214">
        <f>IF(AND(($E70+$C$1)&gt;DF$4,DF$4&gt;=$C$1),$H70,IF(AND(($D70+$C$1)&gt;DF$4,DF$4&gt;=$C$1),$G70,0))*IF($A70="Residential",'General Inputs'!R$15,'General Inputs'!R$19)</f>
        <v>264.63555199705149</v>
      </c>
      <c r="DG70" s="214">
        <f>IF(AND(($E70+$C$1)&gt;DG$4,DG$4&gt;=$C$1),$H70,IF(AND(($D70+$C$1)&gt;DG$4,DG$4&gt;=$C$1),$G70,0))*IF($A70="Residential",'General Inputs'!S$15,'General Inputs'!S$19)</f>
        <v>268.60508527700728</v>
      </c>
      <c r="DH70" s="214">
        <f>IF(AND(($E70+$C$1)&gt;DH$4,DH$4&gt;=$C$1),$H70,IF(AND(($D70+$C$1)&gt;DH$4,DH$4&gt;=$C$1),$G70,0))*IF($A70="Residential",'General Inputs'!T$15,'General Inputs'!T$19)</f>
        <v>272.63416155616238</v>
      </c>
      <c r="DI70" s="214">
        <f>IF(AND(($E70+$C$1)&gt;DI$4,DI$4&gt;=$C$1),$H70,IF(AND(($D70+$C$1)&gt;DI$4,DI$4&gt;=$C$1),$G70,0))*IF($A70="Residential",'General Inputs'!U$15,'General Inputs'!U$19)</f>
        <v>276.72367397950478</v>
      </c>
      <c r="DJ70" s="214">
        <f>IF(AND(($E70+$C$1)&gt;DJ$4,DJ$4&gt;=$C$1),$H70,IF(AND(($D70+$C$1)&gt;DJ$4,DJ$4&gt;=$C$1),$G70,0))*IF($A70="Residential",'General Inputs'!V$15,'General Inputs'!V$19)</f>
        <v>280.87452908919727</v>
      </c>
      <c r="DK70" s="214">
        <f>IF(AND(($E70+$C$1)&gt;DK$4,DK$4&gt;=$C$1),$H70,IF(AND(($D70+$C$1)&gt;DK$4,DK$4&gt;=$C$1),$G70,0))*IF($A70="Residential",'General Inputs'!W$15,'General Inputs'!W$19)</f>
        <v>0</v>
      </c>
      <c r="DM70" s="214">
        <f t="shared" si="100"/>
        <v>0</v>
      </c>
      <c r="DN70" s="214">
        <f t="shared" si="100"/>
        <v>555</v>
      </c>
      <c r="DO70" s="214">
        <f t="shared" si="100"/>
        <v>0</v>
      </c>
      <c r="DP70" s="214">
        <f t="shared" si="100"/>
        <v>0</v>
      </c>
      <c r="DQ70" s="214">
        <f t="shared" si="100"/>
        <v>0</v>
      </c>
      <c r="DR70" s="214">
        <f t="shared" si="100"/>
        <v>0</v>
      </c>
      <c r="DS70" s="214">
        <f t="shared" si="100"/>
        <v>0</v>
      </c>
      <c r="DT70" s="214">
        <f t="shared" si="100"/>
        <v>0</v>
      </c>
      <c r="DU70" s="214">
        <f t="shared" si="100"/>
        <v>0</v>
      </c>
      <c r="DV70" s="214">
        <f t="shared" si="100"/>
        <v>0</v>
      </c>
      <c r="DW70" s="214">
        <f t="shared" si="100"/>
        <v>0</v>
      </c>
      <c r="DZ70" s="650"/>
      <c r="FI70" s="195"/>
      <c r="FJ70" s="195"/>
      <c r="FK70" s="195"/>
      <c r="FL70" s="195"/>
      <c r="FM70" s="195"/>
      <c r="FN70" s="195"/>
      <c r="FO70" s="195"/>
    </row>
    <row r="71" spans="1:171">
      <c r="A71" s="342" t="s">
        <v>112</v>
      </c>
      <c r="B71" s="427" t="str">
        <f>'Portfolio Inputs'!A70</f>
        <v>Pulse Start Metal Halide (320 &lt; 750 W)</v>
      </c>
      <c r="C71" s="217">
        <f>IF($C$1=2014,'Portfolio Inputs'!$C70,IF($C$1=2015,'Portfolio Inputs'!$D70,'Portfolio Inputs'!$E70))</f>
        <v>3</v>
      </c>
      <c r="D71" s="504">
        <f>VLOOKUP(B71,Sources!$B$4:$J$104,2,FALSE)</f>
        <v>18</v>
      </c>
      <c r="E71" s="504">
        <f>VLOOKUP(B71,Sources!$B$4:$J$104,3,FALSE)</f>
        <v>0</v>
      </c>
      <c r="G71" s="504">
        <f>IF($C$1=2014,'Portfolio Inputs'!$G70,IF($C$1=2015,'Portfolio Inputs'!$H70,'Portfolio Inputs'!$I70))*EnergyLineLoss</f>
        <v>1411.71852375</v>
      </c>
      <c r="H71" s="504"/>
      <c r="I71" s="595">
        <f>IF($C$1=2014,'Portfolio Inputs'!$K70,IF($C$1=2015,'Portfolio Inputs'!$L70,'Portfolio Inputs'!$M70))*PeakLineLoss</f>
        <v>0.21829321800000007</v>
      </c>
      <c r="J71" s="510"/>
      <c r="L71" s="606">
        <f>IF($C$1=2014,'Portfolio Inputs'!$O70,IF($C$1=2015,'Portfolio Inputs'!$P70,'Portfolio Inputs'!$Q70))</f>
        <v>283</v>
      </c>
      <c r="M71" s="518">
        <f>VLOOKUP($B71,Sources!$B$4:$K$104,10,FALSE)</f>
        <v>0</v>
      </c>
      <c r="N71" s="419">
        <f>IF($C$1=2014,'Portfolio Inputs'!$W70,IF($C$1=2015,'Portfolio Inputs'!$X70,'Portfolio Inputs'!$Y70))</f>
        <v>165</v>
      </c>
      <c r="O71" s="419">
        <f>IF($C$1=2014,'Portfolio Inputs'!$AA70,IF($C$1=2015,'Portfolio Inputs'!$AB70,'Portfolio Inputs'!$AC70))</f>
        <v>0</v>
      </c>
      <c r="Q71" s="438">
        <f t="shared" si="67"/>
        <v>0.75427791903566865</v>
      </c>
      <c r="R71" s="439">
        <f t="shared" si="68"/>
        <v>3.881102747038077</v>
      </c>
      <c r="S71" s="439">
        <f t="shared" si="69"/>
        <v>0.93686470725068405</v>
      </c>
      <c r="T71" s="439">
        <f t="shared" si="70"/>
        <v>2.0647793676712132</v>
      </c>
      <c r="U71" s="439">
        <f t="shared" si="98"/>
        <v>2.0647793676712132</v>
      </c>
      <c r="V71" s="439">
        <f t="shared" si="72"/>
        <v>0.36530678814675982</v>
      </c>
      <c r="W71" s="439">
        <f t="shared" si="73"/>
        <v>0.36530678814675982</v>
      </c>
      <c r="Y71" s="215">
        <f t="shared" si="101"/>
        <v>588.37004158515492</v>
      </c>
      <c r="Z71" s="215">
        <f t="shared" si="102"/>
        <v>142.42574714677329</v>
      </c>
      <c r="AA71" s="215">
        <f t="shared" si="103"/>
        <v>1459.0202895561006</v>
      </c>
      <c r="AB71" s="215">
        <f t="shared" si="104"/>
        <v>1459.0202895561006</v>
      </c>
      <c r="AC71" s="216">
        <f t="shared" si="20"/>
        <v>0</v>
      </c>
      <c r="AD71" s="216">
        <f t="shared" si="21"/>
        <v>151.59867695700109</v>
      </c>
      <c r="AE71" s="215">
        <f t="shared" si="105"/>
        <v>780.04410143329653</v>
      </c>
      <c r="AG71" s="214">
        <f>IF(AND(($E71+$C$1)&gt;AG$4,AG$4&gt;=$C$1),'General Inputs'!D$9*$H71,IF(AND(($D71+$C$1)&gt;AG$4,AG$4&gt;=$C$1),'General Inputs'!D$9*$G71,0))+IF(AND(($E71+$C$1)&gt;AG$4,AG$4&gt;=$C$1),'General Inputs'!D$10*$J71,IF(AND(($D71+$C$1)&gt;AG$4,AG$4&gt;=$C$1),'General Inputs'!D$10*$I71,0))</f>
        <v>0</v>
      </c>
      <c r="AH71" s="214">
        <f>IF(AND(($E71+$C$1)&gt;AH$4,AH$4&gt;=$C$1),'General Inputs'!E$9*$H71,IF(AND(($D71+$C$1)&gt;AH$4,AH$4&gt;=$C$1),'General Inputs'!E$9*$G71,0))+IF(AND(($E71+$C$1)&gt;AH$4,AH$4&gt;=$C$1),'General Inputs'!E$10*$J71,IF(AND(($D71+$C$1)&gt;AH$4,AH$4&gt;=$C$1),'General Inputs'!E$10*$I71,0))</f>
        <v>60.364536544814342</v>
      </c>
      <c r="AI71" s="214">
        <f>IF(AND(($E71+$C$1)&gt;AI$4,AI$4&gt;=$C$1),'General Inputs'!F$9*$H71,IF(AND(($D71+$C$1)&gt;AI$4,AI$4&gt;=$C$1),'General Inputs'!F$9*$G71,0))+IF(AND(($E71+$C$1)&gt;AI$4,AI$4&gt;=$C$1),'General Inputs'!F$10*$J71,IF(AND(($D71+$C$1)&gt;AI$4,AI$4&gt;=$C$1),'General Inputs'!F$10*$I71,0))</f>
        <v>61.270004592986552</v>
      </c>
      <c r="AJ71" s="214">
        <f>IF(AND(($E71+$C$1)&gt;AJ$4,AJ$4&gt;=$C$1),'General Inputs'!G$9*$H71,IF(AND(($D71+$C$1)&gt;AJ$4,AJ$4&gt;=$C$1),'General Inputs'!G$9*$G71,0))+IF(AND(($E71+$C$1)&gt;AJ$4,AJ$4&gt;=$C$1),'General Inputs'!G$10*$J71,IF(AND(($D71+$C$1)&gt;AJ$4,AJ$4&gt;=$C$1),'General Inputs'!G$10*$I71,0))</f>
        <v>62.189054661881343</v>
      </c>
      <c r="AK71" s="214">
        <f>IF(AND(($E71+$C$1)&gt;AK$4,AK$4&gt;=$C$1),'General Inputs'!H$9*$H71,IF(AND(($D71+$C$1)&gt;AK$4,AK$4&gt;=$C$1),'General Inputs'!H$9*$G71,0))+IF(AND(($E71+$C$1)&gt;AK$4,AK$4&gt;=$C$1),'General Inputs'!H$10*$J71,IF(AND(($D71+$C$1)&gt;AK$4,AK$4&gt;=$C$1),'General Inputs'!H$10*$I71,0))</f>
        <v>63.121890481809558</v>
      </c>
      <c r="AL71" s="214">
        <f>IF(AND(($E71+$C$1)&gt;AL$4,AL$4&gt;=$C$1),'General Inputs'!I$9*$H71,IF(AND(($D71+$C$1)&gt;AL$4,AL$4&gt;=$C$1),'General Inputs'!I$9*$G71,0))+IF(AND(($E71+$C$1)&gt;AL$4,AL$4&gt;=$C$1),'General Inputs'!I$10*$J71,IF(AND(($D71+$C$1)&gt;AL$4,AL$4&gt;=$C$1),'General Inputs'!I$10*$I71,0))</f>
        <v>64.068718839036691</v>
      </c>
      <c r="AM71" s="214">
        <f>IF(AND(($E71+$C$1)&gt;AM$4,AM$4&gt;=$C$1),'General Inputs'!J$9*$H71,IF(AND(($D71+$C$1)&gt;AM$4,AM$4&gt;=$C$1),'General Inputs'!J$9*$G71,0))+IF(AND(($E71+$C$1)&gt;AM$4,AM$4&gt;=$C$1),'General Inputs'!J$10*$J71,IF(AND(($D71+$C$1)&gt;AM$4,AM$4&gt;=$C$1),'General Inputs'!J$10*$I71,0))</f>
        <v>65.02974962162223</v>
      </c>
      <c r="AN71" s="214">
        <f>IF(AND(($E71+$C$1)&gt;AN$4,AN$4&gt;=$C$1),'General Inputs'!K$9*$H71,IF(AND(($D71+$C$1)&gt;AN$4,AN$4&gt;=$C$1),'General Inputs'!K$9*$G71,0))+IF(AND(($E71+$C$1)&gt;AN$4,AN$4&gt;=$C$1),'General Inputs'!K$10*$J71,IF(AND(($D71+$C$1)&gt;AN$4,AN$4&gt;=$C$1),'General Inputs'!K$10*$I71,0))</f>
        <v>66.005195865946547</v>
      </c>
      <c r="AO71" s="214">
        <f>IF(AND(($E71+$C$1)&gt;AO$4,AO$4&gt;=$C$1),'General Inputs'!L$9*$H71,IF(AND(($D71+$C$1)&gt;AO$4,AO$4&gt;=$C$1),'General Inputs'!L$9*$G71,0))+IF(AND(($E71+$C$1)&gt;AO$4,AO$4&gt;=$C$1),'General Inputs'!L$10*$J71,IF(AND(($D71+$C$1)&gt;AO$4,AO$4&gt;=$C$1),'General Inputs'!L$10*$I71,0))</f>
        <v>66.995273803935746</v>
      </c>
      <c r="AP71" s="214">
        <f>IF(AND(($E71+$C$1)&gt;AP$4,AP$4&gt;=$C$1),'General Inputs'!M$9*$H71,IF(AND(($D71+$C$1)&gt;AP$4,AP$4&gt;=$C$1),'General Inputs'!M$9*$G71,0))+IF(AND(($E71+$C$1)&gt;AP$4,AP$4&gt;=$C$1),'General Inputs'!M$10*$J71,IF(AND(($D71+$C$1)&gt;AP$4,AP$4&gt;=$C$1),'General Inputs'!M$10*$I71,0))</f>
        <v>68.000202910994773</v>
      </c>
      <c r="AQ71" s="214">
        <f>IF(AND(($E71+$C$1)&gt;AQ$4,AQ$4&gt;=$C$1),'General Inputs'!N$9*$H71,IF(AND(($D71+$C$1)&gt;AQ$4,AQ$4&gt;=$C$1),'General Inputs'!N$9*$G71,0))+IF(AND(($E71+$C$1)&gt;AQ$4,AQ$4&gt;=$C$1),'General Inputs'!N$10*$J71,IF(AND(($D71+$C$1)&gt;AQ$4,AQ$4&gt;=$C$1),'General Inputs'!N$10*$I71,0))</f>
        <v>69.020205954659701</v>
      </c>
      <c r="AR71" s="214">
        <f>IF(AND(($E71+$C$1)&gt;AR$4,AR$4&gt;=$C$1),'General Inputs'!O$9*$H71,IF(AND(($D71+$C$1)&gt;AR$4,AR$4&gt;=$C$1),'General Inputs'!O$9*$G71,0))+IF(AND(($E71+$C$1)&gt;AR$4,AR$4&gt;=$C$1),'General Inputs'!O$10*$J71,IF(AND(($D71+$C$1)&gt;AR$4,AR$4&gt;=$C$1),'General Inputs'!O$10*$I71,0))</f>
        <v>70.055509043979569</v>
      </c>
      <c r="AS71" s="214">
        <f>IF(AND(($E71+$C$1)&gt;AS$4,AS$4&gt;=$C$1),'General Inputs'!P$9*$H71,IF(AND(($D71+$C$1)&gt;AS$4,AS$4&gt;=$C$1),'General Inputs'!P$9*$G71,0))+IF(AND(($E71+$C$1)&gt;AS$4,AS$4&gt;=$C$1),'General Inputs'!P$10*$J71,IF(AND(($D71+$C$1)&gt;AS$4,AS$4&gt;=$C$1),'General Inputs'!P$10*$I71,0))</f>
        <v>71.106341679639272</v>
      </c>
      <c r="AT71" s="214">
        <f>IF(AND(($E71+$C$1)&gt;AT$4,AT$4&gt;=$C$1),'General Inputs'!Q$9*$H71,IF(AND(($D71+$C$1)&gt;AT$4,AT$4&gt;=$C$1),'General Inputs'!Q$9*$G71,0))+IF(AND(($E71+$C$1)&gt;AT$4,AT$4&gt;=$C$1),'General Inputs'!Q$10*$J71,IF(AND(($D71+$C$1)&gt;AT$4,AT$4&gt;=$C$1),'General Inputs'!Q$10*$I71,0))</f>
        <v>72.172936804833853</v>
      </c>
      <c r="AU71" s="214">
        <f>IF(AND(($E71+$C$1)&gt;AU$4,AU$4&gt;=$C$1),'General Inputs'!R$9*$H71,IF(AND(($D71+$C$1)&gt;AU$4,AU$4&gt;=$C$1),'General Inputs'!R$9*$G71,0))+IF(AND(($E71+$C$1)&gt;AU$4,AU$4&gt;=$C$1),'General Inputs'!R$10*$J71,IF(AND(($D71+$C$1)&gt;AU$4,AU$4&gt;=$C$1),'General Inputs'!R$10*$I71,0))</f>
        <v>73.255530856906361</v>
      </c>
      <c r="AV71" s="214">
        <f>IF(AND(($E71+$C$1)&gt;AV$4,AV$4&gt;=$C$1),'General Inputs'!S$9*$H71,IF(AND(($D71+$C$1)&gt;AV$4,AV$4&gt;=$C$1),'General Inputs'!S$9*$G71,0))+IF(AND(($E71+$C$1)&gt;AV$4,AV$4&gt;=$C$1),'General Inputs'!S$10*$J71,IF(AND(($D71+$C$1)&gt;AV$4,AV$4&gt;=$C$1),'General Inputs'!S$10*$I71,0))</f>
        <v>74.354363819759939</v>
      </c>
      <c r="AW71" s="214">
        <f>IF(AND(($E71+$C$1)&gt;AW$4,AW$4&gt;=$C$1),'General Inputs'!T$9*$H71,IF(AND(($D71+$C$1)&gt;AW$4,AW$4&gt;=$C$1),'General Inputs'!T$9*$G71,0))+IF(AND(($E71+$C$1)&gt;AW$4,AW$4&gt;=$C$1),'General Inputs'!T$10*$J71,IF(AND(($D71+$C$1)&gt;AW$4,AW$4&gt;=$C$1),'General Inputs'!T$10*$I71,0))</f>
        <v>75.469679277056343</v>
      </c>
      <c r="AX71" s="214">
        <f>IF(AND(($E71+$C$1)&gt;AX$4,AX$4&gt;=$C$1),'General Inputs'!U$9*$H71,IF(AND(($D71+$C$1)&gt;AX$4,AX$4&gt;=$C$1),'General Inputs'!U$9*$G71,0))+IF(AND(($E71+$C$1)&gt;AX$4,AX$4&gt;=$C$1),'General Inputs'!U$10*$J71,IF(AND(($D71+$C$1)&gt;AX$4,AX$4&gt;=$C$1),'General Inputs'!U$10*$I71,0))</f>
        <v>76.601724466212175</v>
      </c>
      <c r="AY71" s="214">
        <f>IF(AND(($E71+$C$1)&gt;AY$4,AY$4&gt;=$C$1),'General Inputs'!V$9*$H71,IF(AND(($D71+$C$1)&gt;AY$4,AY$4&gt;=$C$1),'General Inputs'!V$9*$G71,0))+IF(AND(($E71+$C$1)&gt;AY$4,AY$4&gt;=$C$1),'General Inputs'!V$10*$J71,IF(AND(($D71+$C$1)&gt;AY$4,AY$4&gt;=$C$1),'General Inputs'!V$10*$I71,0))</f>
        <v>77.750750333205346</v>
      </c>
      <c r="AZ71" s="214">
        <f>IF(AND(($E71+$C$1)&gt;AZ$4,AZ$4&gt;=$C$1),'General Inputs'!W$9*$H71,IF(AND(($D71+$C$1)&gt;AZ$4,AZ$4&gt;=$C$1),'General Inputs'!W$9*$G71,0))+IF(AND(($E71+$C$1)&gt;AZ$4,AZ$4&gt;=$C$1),'General Inputs'!W$10*$J71,IF(AND(($D71+$C$1)&gt;AZ$4,AZ$4&gt;=$C$1),'General Inputs'!W$10*$I71,0))</f>
        <v>0</v>
      </c>
      <c r="BB71" s="214">
        <f>IF(AND(($E71+$C$1)&gt;BB$4,BB$4&gt;=$C$1),'General Inputs'!D$11*$H71,IF(AND(($D71+$C$1)&gt;BB$4,BB$4&gt;=$C$1),'General Inputs'!D$11*$G71,0))</f>
        <v>0</v>
      </c>
      <c r="BC71" s="214">
        <f>IF(AND(($E71+$C$1)&gt;BC$4,BC$4&gt;=$C$1),'General Inputs'!E$11*$H71,IF(AND(($D71+$C$1)&gt;BC$4,BC$4&gt;=$C$1),'General Inputs'!E$11*$G71,0))</f>
        <v>16.093591170750003</v>
      </c>
      <c r="BD71" s="214">
        <f>IF(AND(($E71+$C$1)&gt;BD$4,BD$4&gt;=$C$1),'General Inputs'!F$11*$H71,IF(AND(($D71+$C$1)&gt;BD$4,BD$4&gt;=$C$1),'General Inputs'!F$11*$G71,0))</f>
        <v>16.093591170750003</v>
      </c>
      <c r="BE71" s="214">
        <f>IF(AND(($E71+$C$1)&gt;BE$4,BE$4&gt;=$C$1),'General Inputs'!G$11*$H71,IF(AND(($D71+$C$1)&gt;BE$4,BE$4&gt;=$C$1),'General Inputs'!G$11*$G71,0))</f>
        <v>16.093591170750003</v>
      </c>
      <c r="BF71" s="214">
        <f>IF(AND(($E71+$C$1)&gt;BF$4,BF$4&gt;=$C$1),'General Inputs'!H$11*$H71,IF(AND(($D71+$C$1)&gt;BF$4,BF$4&gt;=$C$1),'General Inputs'!H$11*$G71,0))</f>
        <v>16.093591170750003</v>
      </c>
      <c r="BG71" s="214">
        <f>IF(AND(($E71+$C$1)&gt;BG$4,BG$4&gt;=$C$1),'General Inputs'!I$11*$H71,IF(AND(($D71+$C$1)&gt;BG$4,BG$4&gt;=$C$1),'General Inputs'!I$11*$G71,0))</f>
        <v>16.093591170750003</v>
      </c>
      <c r="BH71" s="214">
        <f>IF(AND(($E71+$C$1)&gt;BH$4,BH$4&gt;=$C$1),'General Inputs'!J$11*$H71,IF(AND(($D71+$C$1)&gt;BH$4,BH$4&gt;=$C$1),'General Inputs'!J$11*$G71,0))</f>
        <v>16.093591170750003</v>
      </c>
      <c r="BI71" s="214">
        <f>IF(AND(($E71+$C$1)&gt;BI$4,BI$4&gt;=$C$1),'General Inputs'!K$11*$H71,IF(AND(($D71+$C$1)&gt;BI$4,BI$4&gt;=$C$1),'General Inputs'!K$11*$G71,0))</f>
        <v>16.093591170750003</v>
      </c>
      <c r="BJ71" s="214">
        <f>IF(AND(($E71+$C$1)&gt;BJ$4,BJ$4&gt;=$C$1),'General Inputs'!L$11*$H71,IF(AND(($D71+$C$1)&gt;BJ$4,BJ$4&gt;=$C$1),'General Inputs'!L$11*$G71,0))</f>
        <v>16.093591170750003</v>
      </c>
      <c r="BK71" s="214">
        <f>IF(AND(($E71+$C$1)&gt;BK$4,BK$4&gt;=$C$1),'General Inputs'!M$11*$H71,IF(AND(($D71+$C$1)&gt;BK$4,BK$4&gt;=$C$1),'General Inputs'!M$11*$G71,0))</f>
        <v>16.093591170750003</v>
      </c>
      <c r="BL71" s="214">
        <f>IF(AND(($E71+$C$1)&gt;BL$4,BL$4&gt;=$C$1),'General Inputs'!N$11*$H71,IF(AND(($D71+$C$1)&gt;BL$4,BL$4&gt;=$C$1),'General Inputs'!N$11*$G71,0))</f>
        <v>16.093591170750003</v>
      </c>
      <c r="BM71" s="214">
        <f>IF(AND(($E71+$C$1)&gt;BM$4,BM$4&gt;=$C$1),'General Inputs'!O$11*$H71,IF(AND(($D71+$C$1)&gt;BM$4,BM$4&gt;=$C$1),'General Inputs'!O$11*$G71,0))</f>
        <v>16.093591170750003</v>
      </c>
      <c r="BN71" s="214">
        <f>IF(AND(($E71+$C$1)&gt;BN$4,BN$4&gt;=$C$1),'General Inputs'!P$11*$H71,IF(AND(($D71+$C$1)&gt;BN$4,BN$4&gt;=$C$1),'General Inputs'!P$11*$G71,0))</f>
        <v>16.093591170750003</v>
      </c>
      <c r="BO71" s="214">
        <f>IF(AND(($E71+$C$1)&gt;BO$4,BO$4&gt;=$C$1),'General Inputs'!Q$11*$H71,IF(AND(($D71+$C$1)&gt;BO$4,BO$4&gt;=$C$1),'General Inputs'!Q$11*$G71,0))</f>
        <v>16.093591170750003</v>
      </c>
      <c r="BP71" s="214">
        <f>IF(AND(($E71+$C$1)&gt;BP$4,BP$4&gt;=$C$1),'General Inputs'!R$11*$H71,IF(AND(($D71+$C$1)&gt;BP$4,BP$4&gt;=$C$1),'General Inputs'!R$11*$G71,0))</f>
        <v>16.093591170750003</v>
      </c>
      <c r="BQ71" s="214">
        <f>IF(AND(($E71+$C$1)&gt;BQ$4,BQ$4&gt;=$C$1),'General Inputs'!S$11*$H71,IF(AND(($D71+$C$1)&gt;BQ$4,BQ$4&gt;=$C$1),'General Inputs'!S$11*$G71,0))</f>
        <v>16.093591170750003</v>
      </c>
      <c r="BR71" s="214">
        <f>IF(AND(($E71+$C$1)&gt;BR$4,BR$4&gt;=$C$1),'General Inputs'!T$11*$H71,IF(AND(($D71+$C$1)&gt;BR$4,BR$4&gt;=$C$1),'General Inputs'!T$11*$G71,0))</f>
        <v>16.093591170750003</v>
      </c>
      <c r="BS71" s="214">
        <f>IF(AND(($E71+$C$1)&gt;BS$4,BS$4&gt;=$C$1),'General Inputs'!U$11*$H71,IF(AND(($D71+$C$1)&gt;BS$4,BS$4&gt;=$C$1),'General Inputs'!U$11*$G71,0))</f>
        <v>16.093591170750003</v>
      </c>
      <c r="BT71" s="214">
        <f>IF(AND(($E71+$C$1)&gt;BT$4,BT$4&gt;=$C$1),'General Inputs'!V$11*$H71,IF(AND(($D71+$C$1)&gt;BT$4,BT$4&gt;=$C$1),'General Inputs'!V$11*$G71,0))</f>
        <v>16.093591170750003</v>
      </c>
      <c r="BU71" s="214">
        <f>IF(AND(($E71+$C$1)&gt;BU$4,BU$4&gt;=$C$1),'General Inputs'!W$11*$H71,IF(AND(($D71+$C$1)&gt;BU$4,BU$4&gt;=$C$1),'General Inputs'!W$11*$G71,0))</f>
        <v>0</v>
      </c>
      <c r="BW71" s="214">
        <f>IF(AND(($E71+$C$1)&gt;BW$4,BW$4&gt;=$C$1),$H71,IF(AND(($D71+$C$1)&gt;BW$4,BW$4&gt;=$C$1),$G71,0))*IF($A71="Residential",'General Inputs'!D$14,'General Inputs'!D$19)</f>
        <v>0</v>
      </c>
      <c r="BX71" s="214">
        <f>IF(AND(($E71+$C$1)&gt;BX$4,BX$4&gt;=$C$1),$H71,IF(AND(($D71+$C$1)&gt;BX$4,BX$4&gt;=$C$1),$G71,0))*IF($A71="Residential",'General Inputs'!E$14,'General Inputs'!E$19)</f>
        <v>149.68995251908657</v>
      </c>
      <c r="BY71" s="214">
        <f>IF(AND(($E71+$C$1)&gt;BY$4,BY$4&gt;=$C$1),$H71,IF(AND(($D71+$C$1)&gt;BY$4,BY$4&gt;=$C$1),$G71,0))*IF($A71="Residential",'General Inputs'!F$14,'General Inputs'!F$19)</f>
        <v>151.93530180687287</v>
      </c>
      <c r="BZ71" s="214">
        <f>IF(AND(($E71+$C$1)&gt;BZ$4,BZ$4&gt;=$C$1),$H71,IF(AND(($D71+$C$1)&gt;BZ$4,BZ$4&gt;=$C$1),$G71,0))*IF($A71="Residential",'General Inputs'!G$14,'General Inputs'!G$19)</f>
        <v>154.21433133397596</v>
      </c>
      <c r="CA71" s="214">
        <f>IF(AND(($E71+$C$1)&gt;CA$4,CA$4&gt;=$C$1),$H71,IF(AND(($D71+$C$1)&gt;CA$4,CA$4&gt;=$C$1),$G71,0))*IF($A71="Residential",'General Inputs'!H$14,'General Inputs'!H$19)</f>
        <v>156.52754630398556</v>
      </c>
      <c r="CB71" s="214">
        <f>IF(AND(($E71+$C$1)&gt;CB$4,CB$4&gt;=$C$1),$H71,IF(AND(($D71+$C$1)&gt;CB$4,CB$4&gt;=$C$1),$G71,0))*IF($A71="Residential",'General Inputs'!I$14,'General Inputs'!I$19)</f>
        <v>158.87545949854533</v>
      </c>
      <c r="CC71" s="214">
        <f>IF(AND(($E71+$C$1)&gt;CC$4,CC$4&gt;=$C$1),$H71,IF(AND(($D71+$C$1)&gt;CC$4,CC$4&gt;=$C$1),$G71,0))*IF($A71="Residential",'General Inputs'!J$14,'General Inputs'!J$19)</f>
        <v>161.25859139102349</v>
      </c>
      <c r="CD71" s="214">
        <f>IF(AND(($E71+$C$1)&gt;CD$4,CD$4&gt;=$C$1),$H71,IF(AND(($D71+$C$1)&gt;CD$4,CD$4&gt;=$C$1),$G71,0))*IF($A71="Residential",'General Inputs'!K$14,'General Inputs'!K$19)</f>
        <v>163.67747026188883</v>
      </c>
      <c r="CE71" s="214">
        <f>IF(AND(($E71+$C$1)&gt;CE$4,CE$4&gt;=$C$1),$H71,IF(AND(($D71+$C$1)&gt;CE$4,CE$4&gt;=$C$1),$G71,0))*IF($A71="Residential",'General Inputs'!L$14,'General Inputs'!L$19)</f>
        <v>166.13263231581715</v>
      </c>
      <c r="CF71" s="214">
        <f>IF(AND(($E71+$C$1)&gt;CF$4,CF$4&gt;=$C$1),$H71,IF(AND(($D71+$C$1)&gt;CF$4,CF$4&gt;=$C$1),$G71,0))*IF($A71="Residential",'General Inputs'!M$14,'General Inputs'!M$19)</f>
        <v>168.62462180055437</v>
      </c>
      <c r="CG71" s="214">
        <f>IF(AND(($E71+$C$1)&gt;CG$4,CG$4&gt;=$C$1),$H71,IF(AND(($D71+$C$1)&gt;CG$4,CG$4&gt;=$C$1),$G71,0))*IF($A71="Residential",'General Inputs'!N$14,'General Inputs'!N$19)</f>
        <v>171.1539911275627</v>
      </c>
      <c r="CH71" s="214">
        <f>IF(AND(($E71+$C$1)&gt;CH$4,CH$4&gt;=$C$1),$H71,IF(AND(($D71+$C$1)&gt;CH$4,CH$4&gt;=$C$1),$G71,0))*IF($A71="Residential",'General Inputs'!O$14,'General Inputs'!O$19)</f>
        <v>173.72130099447611</v>
      </c>
      <c r="CI71" s="214">
        <f>IF(AND(($E71+$C$1)&gt;CI$4,CI$4&gt;=$C$1),$H71,IF(AND(($D71+$C$1)&gt;CI$4,CI$4&gt;=$C$1),$G71,0))*IF($A71="Residential",'General Inputs'!P$14,'General Inputs'!P$19)</f>
        <v>176.32712050939324</v>
      </c>
      <c r="CJ71" s="214">
        <f>IF(AND(($E71+$C$1)&gt;CJ$4,CJ$4&gt;=$C$1),$H71,IF(AND(($D71+$C$1)&gt;CJ$4,CJ$4&gt;=$C$1),$G71,0))*IF($A71="Residential",'General Inputs'!Q$14,'General Inputs'!Q$19)</f>
        <v>178.97202731703413</v>
      </c>
      <c r="CK71" s="214">
        <f>IF(AND(($E71+$C$1)&gt;CK$4,CK$4&gt;=$C$1),$H71,IF(AND(($D71+$C$1)&gt;CK$4,CK$4&gt;=$C$1),$G71,0))*IF($A71="Residential",'General Inputs'!R$14,'General Inputs'!R$19)</f>
        <v>181.65660772678959</v>
      </c>
      <c r="CL71" s="214">
        <f>IF(AND(($E71+$C$1)&gt;CL$4,CL$4&gt;=$C$1),$H71,IF(AND(($D71+$C$1)&gt;CL$4,CL$4&gt;=$C$1),$G71,0))*IF($A71="Residential",'General Inputs'!S$14,'General Inputs'!S$19)</f>
        <v>184.38145684269145</v>
      </c>
      <c r="CM71" s="214">
        <f>IF(AND(($E71+$C$1)&gt;CM$4,CM$4&gt;=$C$1),$H71,IF(AND(($D71+$C$1)&gt;CM$4,CM$4&gt;=$C$1),$G71,0))*IF($A71="Residential",'General Inputs'!T$14,'General Inputs'!T$19)</f>
        <v>187.1471786953318</v>
      </c>
      <c r="CN71" s="214">
        <f>IF(AND(($E71+$C$1)&gt;CN$4,CN$4&gt;=$C$1),$H71,IF(AND(($D71+$C$1)&gt;CN$4,CN$4&gt;=$C$1),$G71,0))*IF($A71="Residential",'General Inputs'!U$14,'General Inputs'!U$19)</f>
        <v>189.95438637576174</v>
      </c>
      <c r="CO71" s="214">
        <f>IF(AND(($E71+$C$1)&gt;CO$4,CO$4&gt;=$C$1),$H71,IF(AND(($D71+$C$1)&gt;CO$4,CO$4&gt;=$C$1),$G71,0))*IF($A71="Residential",'General Inputs'!V$14,'General Inputs'!V$19)</f>
        <v>192.80370217139813</v>
      </c>
      <c r="CP71" s="214">
        <f>IF(AND(($E71+$C$1)&gt;CP$4,CP$4&gt;=$C$1),$H71,IF(AND(($D71+$C$1)&gt;CP$4,CP$4&gt;=$C$1),$G71,0))*IF($A71="Residential",'General Inputs'!W$14,'General Inputs'!W$19)</f>
        <v>0</v>
      </c>
      <c r="CR71" s="214">
        <f>IF(AND(($E71+$C$1)&gt;CR$4,CR$4&gt;=$C$1),$H71,IF(AND(($D71+$C$1)&gt;CR$4,CR$4&gt;=$C$1),$G71,0))*IF($A71="Residential",'General Inputs'!D$15,'General Inputs'!D$19)</f>
        <v>0</v>
      </c>
      <c r="CS71" s="214">
        <f>IF(AND(($E71+$C$1)&gt;CS$4,CS$4&gt;=$C$1),$H71,IF(AND(($D71+$C$1)&gt;CS$4,CS$4&gt;=$C$1),$G71,0))*IF($A71="Residential",'General Inputs'!E$15,'General Inputs'!E$19)</f>
        <v>149.68995251908657</v>
      </c>
      <c r="CT71" s="214">
        <f>IF(AND(($E71+$C$1)&gt;CT$4,CT$4&gt;=$C$1),$H71,IF(AND(($D71+$C$1)&gt;CT$4,CT$4&gt;=$C$1),$G71,0))*IF($A71="Residential",'General Inputs'!F$15,'General Inputs'!F$19)</f>
        <v>151.93530180687287</v>
      </c>
      <c r="CU71" s="214">
        <f>IF(AND(($E71+$C$1)&gt;CU$4,CU$4&gt;=$C$1),$H71,IF(AND(($D71+$C$1)&gt;CU$4,CU$4&gt;=$C$1),$G71,0))*IF($A71="Residential",'General Inputs'!G$15,'General Inputs'!G$19)</f>
        <v>154.21433133397596</v>
      </c>
      <c r="CV71" s="214">
        <f>IF(AND(($E71+$C$1)&gt;CV$4,CV$4&gt;=$C$1),$H71,IF(AND(($D71+$C$1)&gt;CV$4,CV$4&gt;=$C$1),$G71,0))*IF($A71="Residential",'General Inputs'!H$15,'General Inputs'!H$19)</f>
        <v>156.52754630398556</v>
      </c>
      <c r="CW71" s="214">
        <f>IF(AND(($E71+$C$1)&gt;CW$4,CW$4&gt;=$C$1),$H71,IF(AND(($D71+$C$1)&gt;CW$4,CW$4&gt;=$C$1),$G71,0))*IF($A71="Residential",'General Inputs'!I$15,'General Inputs'!I$19)</f>
        <v>158.87545949854533</v>
      </c>
      <c r="CX71" s="214">
        <f>IF(AND(($E71+$C$1)&gt;CX$4,CX$4&gt;=$C$1),$H71,IF(AND(($D71+$C$1)&gt;CX$4,CX$4&gt;=$C$1),$G71,0))*IF($A71="Residential",'General Inputs'!J$15,'General Inputs'!J$19)</f>
        <v>161.25859139102349</v>
      </c>
      <c r="CY71" s="214">
        <f>IF(AND(($E71+$C$1)&gt;CY$4,CY$4&gt;=$C$1),$H71,IF(AND(($D71+$C$1)&gt;CY$4,CY$4&gt;=$C$1),$G71,0))*IF($A71="Residential",'General Inputs'!K$15,'General Inputs'!K$19)</f>
        <v>163.67747026188883</v>
      </c>
      <c r="CZ71" s="214">
        <f>IF(AND(($E71+$C$1)&gt;CZ$4,CZ$4&gt;=$C$1),$H71,IF(AND(($D71+$C$1)&gt;CZ$4,CZ$4&gt;=$C$1),$G71,0))*IF($A71="Residential",'General Inputs'!L$15,'General Inputs'!L$19)</f>
        <v>166.13263231581715</v>
      </c>
      <c r="DA71" s="214">
        <f>IF(AND(($E71+$C$1)&gt;DA$4,DA$4&gt;=$C$1),$H71,IF(AND(($D71+$C$1)&gt;DA$4,DA$4&gt;=$C$1),$G71,0))*IF($A71="Residential",'General Inputs'!M$15,'General Inputs'!M$19)</f>
        <v>168.62462180055437</v>
      </c>
      <c r="DB71" s="214">
        <f>IF(AND(($E71+$C$1)&gt;DB$4,DB$4&gt;=$C$1),$H71,IF(AND(($D71+$C$1)&gt;DB$4,DB$4&gt;=$C$1),$G71,0))*IF($A71="Residential",'General Inputs'!N$15,'General Inputs'!N$19)</f>
        <v>171.1539911275627</v>
      </c>
      <c r="DC71" s="214">
        <f>IF(AND(($E71+$C$1)&gt;DC$4,DC$4&gt;=$C$1),$H71,IF(AND(($D71+$C$1)&gt;DC$4,DC$4&gt;=$C$1),$G71,0))*IF($A71="Residential",'General Inputs'!O$15,'General Inputs'!O$19)</f>
        <v>173.72130099447611</v>
      </c>
      <c r="DD71" s="214">
        <f>IF(AND(($E71+$C$1)&gt;DD$4,DD$4&gt;=$C$1),$H71,IF(AND(($D71+$C$1)&gt;DD$4,DD$4&gt;=$C$1),$G71,0))*IF($A71="Residential",'General Inputs'!P$15,'General Inputs'!P$19)</f>
        <v>176.32712050939324</v>
      </c>
      <c r="DE71" s="214">
        <f>IF(AND(($E71+$C$1)&gt;DE$4,DE$4&gt;=$C$1),$H71,IF(AND(($D71+$C$1)&gt;DE$4,DE$4&gt;=$C$1),$G71,0))*IF($A71="Residential",'General Inputs'!Q$15,'General Inputs'!Q$19)</f>
        <v>178.97202731703413</v>
      </c>
      <c r="DF71" s="214">
        <f>IF(AND(($E71+$C$1)&gt;DF$4,DF$4&gt;=$C$1),$H71,IF(AND(($D71+$C$1)&gt;DF$4,DF$4&gt;=$C$1),$G71,0))*IF($A71="Residential",'General Inputs'!R$15,'General Inputs'!R$19)</f>
        <v>181.65660772678959</v>
      </c>
      <c r="DG71" s="214">
        <f>IF(AND(($E71+$C$1)&gt;DG$4,DG$4&gt;=$C$1),$H71,IF(AND(($D71+$C$1)&gt;DG$4,DG$4&gt;=$C$1),$G71,0))*IF($A71="Residential",'General Inputs'!S$15,'General Inputs'!S$19)</f>
        <v>184.38145684269145</v>
      </c>
      <c r="DH71" s="214">
        <f>IF(AND(($E71+$C$1)&gt;DH$4,DH$4&gt;=$C$1),$H71,IF(AND(($D71+$C$1)&gt;DH$4,DH$4&gt;=$C$1),$G71,0))*IF($A71="Residential",'General Inputs'!T$15,'General Inputs'!T$19)</f>
        <v>187.1471786953318</v>
      </c>
      <c r="DI71" s="214">
        <f>IF(AND(($E71+$C$1)&gt;DI$4,DI$4&gt;=$C$1),$H71,IF(AND(($D71+$C$1)&gt;DI$4,DI$4&gt;=$C$1),$G71,0))*IF($A71="Residential",'General Inputs'!U$15,'General Inputs'!U$19)</f>
        <v>189.95438637576174</v>
      </c>
      <c r="DJ71" s="214">
        <f>IF(AND(($E71+$C$1)&gt;DJ$4,DJ$4&gt;=$C$1),$H71,IF(AND(($D71+$C$1)&gt;DJ$4,DJ$4&gt;=$C$1),$G71,0))*IF($A71="Residential",'General Inputs'!V$15,'General Inputs'!V$19)</f>
        <v>192.80370217139813</v>
      </c>
      <c r="DK71" s="214">
        <f>IF(AND(($E71+$C$1)&gt;DK$4,DK$4&gt;=$C$1),$H71,IF(AND(($D71+$C$1)&gt;DK$4,DK$4&gt;=$C$1),$G71,0))*IF($A71="Residential",'General Inputs'!W$15,'General Inputs'!W$19)</f>
        <v>0</v>
      </c>
      <c r="DM71" s="214">
        <f t="shared" si="100"/>
        <v>0</v>
      </c>
      <c r="DN71" s="214">
        <f t="shared" si="100"/>
        <v>849</v>
      </c>
      <c r="DO71" s="214">
        <f t="shared" si="100"/>
        <v>0</v>
      </c>
      <c r="DP71" s="214">
        <f t="shared" si="100"/>
        <v>0</v>
      </c>
      <c r="DQ71" s="214">
        <f t="shared" si="100"/>
        <v>0</v>
      </c>
      <c r="DR71" s="214">
        <f t="shared" si="100"/>
        <v>0</v>
      </c>
      <c r="DS71" s="214">
        <f t="shared" si="100"/>
        <v>0</v>
      </c>
      <c r="DT71" s="214">
        <f t="shared" si="100"/>
        <v>0</v>
      </c>
      <c r="DU71" s="214">
        <f t="shared" si="100"/>
        <v>0</v>
      </c>
      <c r="DV71" s="214">
        <f t="shared" si="100"/>
        <v>0</v>
      </c>
      <c r="DW71" s="214">
        <f t="shared" si="100"/>
        <v>0</v>
      </c>
      <c r="DZ71" s="650"/>
      <c r="FI71" s="195"/>
      <c r="FJ71" s="195"/>
      <c r="FK71" s="195"/>
      <c r="FL71" s="195"/>
      <c r="FM71" s="195"/>
      <c r="FN71" s="195"/>
      <c r="FO71" s="195"/>
    </row>
    <row r="72" spans="1:171">
      <c r="A72" s="342" t="s">
        <v>112</v>
      </c>
      <c r="B72" s="427" t="str">
        <f>'Portfolio Inputs'!A71</f>
        <v>Pulse Start Metal Halide (≥750 W)</v>
      </c>
      <c r="C72" s="217">
        <f>IF($C$1=2014,'Portfolio Inputs'!$C71,IF($C$1=2015,'Portfolio Inputs'!$D71,'Portfolio Inputs'!$E71))</f>
        <v>3</v>
      </c>
      <c r="D72" s="504">
        <f>VLOOKUP(B72,Sources!$B$4:$J$104,2,FALSE)</f>
        <v>18</v>
      </c>
      <c r="E72" s="504">
        <f>VLOOKUP(B72,Sources!$B$4:$J$104,3,FALSE)</f>
        <v>0</v>
      </c>
      <c r="G72" s="504">
        <f>IF($C$1=2014,'Portfolio Inputs'!$G71,IF($C$1=2015,'Portfolio Inputs'!$H71,'Portfolio Inputs'!$I71))*EnergyLineLoss</f>
        <v>6117.4469362499995</v>
      </c>
      <c r="H72" s="504"/>
      <c r="I72" s="595">
        <f>IF($C$1=2014,'Portfolio Inputs'!$K71,IF($C$1=2015,'Portfolio Inputs'!$L71,'Portfolio Inputs'!$M71))*PeakLineLoss</f>
        <v>0.94593727800000005</v>
      </c>
      <c r="J72" s="510"/>
      <c r="L72" s="606">
        <f>IF($C$1=2014,'Portfolio Inputs'!$O71,IF($C$1=2015,'Portfolio Inputs'!$P71,'Portfolio Inputs'!$Q71))</f>
        <v>381</v>
      </c>
      <c r="M72" s="518">
        <f>VLOOKUP($B72,Sources!$B$4:$K$104,10,FALSE)</f>
        <v>0</v>
      </c>
      <c r="N72" s="419">
        <f>IF($C$1=2014,'Portfolio Inputs'!$W71,IF($C$1=2015,'Portfolio Inputs'!$X71,'Portfolio Inputs'!$Y71))</f>
        <v>195</v>
      </c>
      <c r="O72" s="419">
        <f>IF($C$1=2014,'Portfolio Inputs'!$AA71,IF($C$1=2015,'Portfolio Inputs'!$AB71,'Portfolio Inputs'!$AC71))</f>
        <v>0</v>
      </c>
      <c r="Q72" s="438">
        <f t="shared" si="67"/>
        <v>2.4278114296869848</v>
      </c>
      <c r="R72" s="439">
        <f t="shared" si="68"/>
        <v>14.230710072472942</v>
      </c>
      <c r="S72" s="439">
        <f t="shared" si="69"/>
        <v>3.015507662270573</v>
      </c>
      <c r="T72" s="439">
        <f t="shared" si="70"/>
        <v>6.1910090058288629</v>
      </c>
      <c r="U72" s="439">
        <f t="shared" si="98"/>
        <v>6.1910090058288629</v>
      </c>
      <c r="V72" s="439">
        <f t="shared" si="72"/>
        <v>0.39215117073827371</v>
      </c>
      <c r="W72" s="439">
        <f t="shared" si="73"/>
        <v>0.39215117073827371</v>
      </c>
      <c r="Y72" s="215">
        <f t="shared" si="101"/>
        <v>2549.6035135356706</v>
      </c>
      <c r="Z72" s="215">
        <f t="shared" si="102"/>
        <v>617.17823763601746</v>
      </c>
      <c r="AA72" s="215">
        <f t="shared" si="103"/>
        <v>6322.4212547431007</v>
      </c>
      <c r="AB72" s="215">
        <f t="shared" si="104"/>
        <v>6322.4212547431007</v>
      </c>
      <c r="AC72" s="216">
        <f t="shared" si="20"/>
        <v>0</v>
      </c>
      <c r="AD72" s="216">
        <f t="shared" si="21"/>
        <v>179.16207276736495</v>
      </c>
      <c r="AE72" s="215">
        <f t="shared" si="105"/>
        <v>1050.1653803748623</v>
      </c>
      <c r="AG72" s="214">
        <f>IF(AND(($E72+$C$1)&gt;AG$4,AG$4&gt;=$C$1),'General Inputs'!D$9*$H72,IF(AND(($D72+$C$1)&gt;AG$4,AG$4&gt;=$C$1),'General Inputs'!D$9*$G72,0))+IF(AND(($E72+$C$1)&gt;AG$4,AG$4&gt;=$C$1),'General Inputs'!D$10*$J72,IF(AND(($D72+$C$1)&gt;AG$4,AG$4&gt;=$C$1),'General Inputs'!D$10*$I72,0))</f>
        <v>0</v>
      </c>
      <c r="AH72" s="214">
        <f>IF(AND(($E72+$C$1)&gt;AH$4,AH$4&gt;=$C$1),'General Inputs'!E$9*$H72,IF(AND(($D72+$C$1)&gt;AH$4,AH$4&gt;=$C$1),'General Inputs'!E$9*$G72,0))+IF(AND(($E72+$C$1)&gt;AH$4,AH$4&gt;=$C$1),'General Inputs'!E$10*$J72,IF(AND(($D72+$C$1)&gt;AH$4,AH$4&gt;=$C$1),'General Inputs'!E$10*$I72,0))</f>
        <v>261.57965836086214</v>
      </c>
      <c r="AI72" s="214">
        <f>IF(AND(($E72+$C$1)&gt;AI$4,AI$4&gt;=$C$1),'General Inputs'!F$9*$H72,IF(AND(($D72+$C$1)&gt;AI$4,AI$4&gt;=$C$1),'General Inputs'!F$9*$G72,0))+IF(AND(($E72+$C$1)&gt;AI$4,AI$4&gt;=$C$1),'General Inputs'!F$10*$J72,IF(AND(($D72+$C$1)&gt;AI$4,AI$4&gt;=$C$1),'General Inputs'!F$10*$I72,0))</f>
        <v>265.50335323627502</v>
      </c>
      <c r="AJ72" s="214">
        <f>IF(AND(($E72+$C$1)&gt;AJ$4,AJ$4&gt;=$C$1),'General Inputs'!G$9*$H72,IF(AND(($D72+$C$1)&gt;AJ$4,AJ$4&gt;=$C$1),'General Inputs'!G$9*$G72,0))+IF(AND(($E72+$C$1)&gt;AJ$4,AJ$4&gt;=$C$1),'General Inputs'!G$10*$J72,IF(AND(($D72+$C$1)&gt;AJ$4,AJ$4&gt;=$C$1),'General Inputs'!G$10*$I72,0))</f>
        <v>269.48590353481916</v>
      </c>
      <c r="AK72" s="214">
        <f>IF(AND(($E72+$C$1)&gt;AK$4,AK$4&gt;=$C$1),'General Inputs'!H$9*$H72,IF(AND(($D72+$C$1)&gt;AK$4,AK$4&gt;=$C$1),'General Inputs'!H$9*$G72,0))+IF(AND(($E72+$C$1)&gt;AK$4,AK$4&gt;=$C$1),'General Inputs'!H$10*$J72,IF(AND(($D72+$C$1)&gt;AK$4,AK$4&gt;=$C$1),'General Inputs'!H$10*$I72,0))</f>
        <v>273.52819208784143</v>
      </c>
      <c r="AL72" s="214">
        <f>IF(AND(($E72+$C$1)&gt;AL$4,AL$4&gt;=$C$1),'General Inputs'!I$9*$H72,IF(AND(($D72+$C$1)&gt;AL$4,AL$4&gt;=$C$1),'General Inputs'!I$9*$G72,0))+IF(AND(($E72+$C$1)&gt;AL$4,AL$4&gt;=$C$1),'General Inputs'!I$10*$J72,IF(AND(($D72+$C$1)&gt;AL$4,AL$4&gt;=$C$1),'General Inputs'!I$10*$I72,0))</f>
        <v>277.63111496915894</v>
      </c>
      <c r="AM72" s="214">
        <f>IF(AND(($E72+$C$1)&gt;AM$4,AM$4&gt;=$C$1),'General Inputs'!J$9*$H72,IF(AND(($D72+$C$1)&gt;AM$4,AM$4&gt;=$C$1),'General Inputs'!J$9*$G72,0))+IF(AND(($E72+$C$1)&gt;AM$4,AM$4&gt;=$C$1),'General Inputs'!J$10*$J72,IF(AND(($D72+$C$1)&gt;AM$4,AM$4&gt;=$C$1),'General Inputs'!J$10*$I72,0))</f>
        <v>281.79558169369631</v>
      </c>
      <c r="AN72" s="214">
        <f>IF(AND(($E72+$C$1)&gt;AN$4,AN$4&gt;=$C$1),'General Inputs'!K$9*$H72,IF(AND(($D72+$C$1)&gt;AN$4,AN$4&gt;=$C$1),'General Inputs'!K$9*$G72,0))+IF(AND(($E72+$C$1)&gt;AN$4,AN$4&gt;=$C$1),'General Inputs'!K$10*$J72,IF(AND(($D72+$C$1)&gt;AN$4,AN$4&gt;=$C$1),'General Inputs'!K$10*$I72,0))</f>
        <v>286.02251541910169</v>
      </c>
      <c r="AO72" s="214">
        <f>IF(AND(($E72+$C$1)&gt;AO$4,AO$4&gt;=$C$1),'General Inputs'!L$9*$H72,IF(AND(($D72+$C$1)&gt;AO$4,AO$4&gt;=$C$1),'General Inputs'!L$9*$G72,0))+IF(AND(($E72+$C$1)&gt;AO$4,AO$4&gt;=$C$1),'General Inputs'!L$10*$J72,IF(AND(($D72+$C$1)&gt;AO$4,AO$4&gt;=$C$1),'General Inputs'!L$10*$I72,0))</f>
        <v>290.31285315038821</v>
      </c>
      <c r="AP72" s="214">
        <f>IF(AND(($E72+$C$1)&gt;AP$4,AP$4&gt;=$C$1),'General Inputs'!M$9*$H72,IF(AND(($D72+$C$1)&gt;AP$4,AP$4&gt;=$C$1),'General Inputs'!M$9*$G72,0))+IF(AND(($E72+$C$1)&gt;AP$4,AP$4&gt;=$C$1),'General Inputs'!M$10*$J72,IF(AND(($D72+$C$1)&gt;AP$4,AP$4&gt;=$C$1),'General Inputs'!M$10*$I72,0))</f>
        <v>294.66754594764399</v>
      </c>
      <c r="AQ72" s="214">
        <f>IF(AND(($E72+$C$1)&gt;AQ$4,AQ$4&gt;=$C$1),'General Inputs'!N$9*$H72,IF(AND(($D72+$C$1)&gt;AQ$4,AQ$4&gt;=$C$1),'General Inputs'!N$9*$G72,0))+IF(AND(($E72+$C$1)&gt;AQ$4,AQ$4&gt;=$C$1),'General Inputs'!N$10*$J72,IF(AND(($D72+$C$1)&gt;AQ$4,AQ$4&gt;=$C$1),'General Inputs'!N$10*$I72,0))</f>
        <v>299.08755913685866</v>
      </c>
      <c r="AR72" s="214">
        <f>IF(AND(($E72+$C$1)&gt;AR$4,AR$4&gt;=$C$1),'General Inputs'!O$9*$H72,IF(AND(($D72+$C$1)&gt;AR$4,AR$4&gt;=$C$1),'General Inputs'!O$9*$G72,0))+IF(AND(($E72+$C$1)&gt;AR$4,AR$4&gt;=$C$1),'General Inputs'!O$10*$J72,IF(AND(($D72+$C$1)&gt;AR$4,AR$4&gt;=$C$1),'General Inputs'!O$10*$I72,0))</f>
        <v>303.57387252391152</v>
      </c>
      <c r="AS72" s="214">
        <f>IF(AND(($E72+$C$1)&gt;AS$4,AS$4&gt;=$C$1),'General Inputs'!P$9*$H72,IF(AND(($D72+$C$1)&gt;AS$4,AS$4&gt;=$C$1),'General Inputs'!P$9*$G72,0))+IF(AND(($E72+$C$1)&gt;AS$4,AS$4&gt;=$C$1),'General Inputs'!P$10*$J72,IF(AND(($D72+$C$1)&gt;AS$4,AS$4&gt;=$C$1),'General Inputs'!P$10*$I72,0))</f>
        <v>308.12748061177012</v>
      </c>
      <c r="AT72" s="214">
        <f>IF(AND(($E72+$C$1)&gt;AT$4,AT$4&gt;=$C$1),'General Inputs'!Q$9*$H72,IF(AND(($D72+$C$1)&gt;AT$4,AT$4&gt;=$C$1),'General Inputs'!Q$9*$G72,0))+IF(AND(($E72+$C$1)&gt;AT$4,AT$4&gt;=$C$1),'General Inputs'!Q$10*$J72,IF(AND(($D72+$C$1)&gt;AT$4,AT$4&gt;=$C$1),'General Inputs'!Q$10*$I72,0))</f>
        <v>312.74939282094664</v>
      </c>
      <c r="AU72" s="214">
        <f>IF(AND(($E72+$C$1)&gt;AU$4,AU$4&gt;=$C$1),'General Inputs'!R$9*$H72,IF(AND(($D72+$C$1)&gt;AU$4,AU$4&gt;=$C$1),'General Inputs'!R$9*$G72,0))+IF(AND(($E72+$C$1)&gt;AU$4,AU$4&gt;=$C$1),'General Inputs'!R$10*$J72,IF(AND(($D72+$C$1)&gt;AU$4,AU$4&gt;=$C$1),'General Inputs'!R$10*$I72,0))</f>
        <v>317.44063371326081</v>
      </c>
      <c r="AV72" s="214">
        <f>IF(AND(($E72+$C$1)&gt;AV$4,AV$4&gt;=$C$1),'General Inputs'!S$9*$H72,IF(AND(($D72+$C$1)&gt;AV$4,AV$4&gt;=$C$1),'General Inputs'!S$9*$G72,0))+IF(AND(($E72+$C$1)&gt;AV$4,AV$4&gt;=$C$1),'General Inputs'!S$10*$J72,IF(AND(($D72+$C$1)&gt;AV$4,AV$4&gt;=$C$1),'General Inputs'!S$10*$I72,0))</f>
        <v>322.20224321895972</v>
      </c>
      <c r="AW72" s="214">
        <f>IF(AND(($E72+$C$1)&gt;AW$4,AW$4&gt;=$C$1),'General Inputs'!T$9*$H72,IF(AND(($D72+$C$1)&gt;AW$4,AW$4&gt;=$C$1),'General Inputs'!T$9*$G72,0))+IF(AND(($E72+$C$1)&gt;AW$4,AW$4&gt;=$C$1),'General Inputs'!T$10*$J72,IF(AND(($D72+$C$1)&gt;AW$4,AW$4&gt;=$C$1),'General Inputs'!T$10*$I72,0))</f>
        <v>327.03527686724414</v>
      </c>
      <c r="AX72" s="214">
        <f>IF(AND(($E72+$C$1)&gt;AX$4,AX$4&gt;=$C$1),'General Inputs'!U$9*$H72,IF(AND(($D72+$C$1)&gt;AX$4,AX$4&gt;=$C$1),'General Inputs'!U$9*$G72,0))+IF(AND(($E72+$C$1)&gt;AX$4,AX$4&gt;=$C$1),'General Inputs'!U$10*$J72,IF(AND(($D72+$C$1)&gt;AX$4,AX$4&gt;=$C$1),'General Inputs'!U$10*$I72,0))</f>
        <v>331.94080602025275</v>
      </c>
      <c r="AY72" s="214">
        <f>IF(AND(($E72+$C$1)&gt;AY$4,AY$4&gt;=$C$1),'General Inputs'!V$9*$H72,IF(AND(($D72+$C$1)&gt;AY$4,AY$4&gt;=$C$1),'General Inputs'!V$9*$G72,0))+IF(AND(($E72+$C$1)&gt;AY$4,AY$4&gt;=$C$1),'General Inputs'!V$10*$J72,IF(AND(($D72+$C$1)&gt;AY$4,AY$4&gt;=$C$1),'General Inputs'!V$10*$I72,0))</f>
        <v>336.91991811055652</v>
      </c>
      <c r="AZ72" s="214">
        <f>IF(AND(($E72+$C$1)&gt;AZ$4,AZ$4&gt;=$C$1),'General Inputs'!W$9*$H72,IF(AND(($D72+$C$1)&gt;AZ$4,AZ$4&gt;=$C$1),'General Inputs'!W$9*$G72,0))+IF(AND(($E72+$C$1)&gt;AZ$4,AZ$4&gt;=$C$1),'General Inputs'!W$10*$J72,IF(AND(($D72+$C$1)&gt;AZ$4,AZ$4&gt;=$C$1),'General Inputs'!W$10*$I72,0))</f>
        <v>0</v>
      </c>
      <c r="BB72" s="214">
        <f>IF(AND(($E72+$C$1)&gt;BB$4,BB$4&gt;=$C$1),'General Inputs'!D$11*$H72,IF(AND(($D72+$C$1)&gt;BB$4,BB$4&gt;=$C$1),'General Inputs'!D$11*$G72,0))</f>
        <v>0</v>
      </c>
      <c r="BC72" s="214">
        <f>IF(AND(($E72+$C$1)&gt;BC$4,BC$4&gt;=$C$1),'General Inputs'!E$11*$H72,IF(AND(($D72+$C$1)&gt;BC$4,BC$4&gt;=$C$1),'General Inputs'!E$11*$G72,0))</f>
        <v>69.738895073249992</v>
      </c>
      <c r="BD72" s="214">
        <f>IF(AND(($E72+$C$1)&gt;BD$4,BD$4&gt;=$C$1),'General Inputs'!F$11*$H72,IF(AND(($D72+$C$1)&gt;BD$4,BD$4&gt;=$C$1),'General Inputs'!F$11*$G72,0))</f>
        <v>69.738895073249992</v>
      </c>
      <c r="BE72" s="214">
        <f>IF(AND(($E72+$C$1)&gt;BE$4,BE$4&gt;=$C$1),'General Inputs'!G$11*$H72,IF(AND(($D72+$C$1)&gt;BE$4,BE$4&gt;=$C$1),'General Inputs'!G$11*$G72,0))</f>
        <v>69.738895073249992</v>
      </c>
      <c r="BF72" s="214">
        <f>IF(AND(($E72+$C$1)&gt;BF$4,BF$4&gt;=$C$1),'General Inputs'!H$11*$H72,IF(AND(($D72+$C$1)&gt;BF$4,BF$4&gt;=$C$1),'General Inputs'!H$11*$G72,0))</f>
        <v>69.738895073249992</v>
      </c>
      <c r="BG72" s="214">
        <f>IF(AND(($E72+$C$1)&gt;BG$4,BG$4&gt;=$C$1),'General Inputs'!I$11*$H72,IF(AND(($D72+$C$1)&gt;BG$4,BG$4&gt;=$C$1),'General Inputs'!I$11*$G72,0))</f>
        <v>69.738895073249992</v>
      </c>
      <c r="BH72" s="214">
        <f>IF(AND(($E72+$C$1)&gt;BH$4,BH$4&gt;=$C$1),'General Inputs'!J$11*$H72,IF(AND(($D72+$C$1)&gt;BH$4,BH$4&gt;=$C$1),'General Inputs'!J$11*$G72,0))</f>
        <v>69.738895073249992</v>
      </c>
      <c r="BI72" s="214">
        <f>IF(AND(($E72+$C$1)&gt;BI$4,BI$4&gt;=$C$1),'General Inputs'!K$11*$H72,IF(AND(($D72+$C$1)&gt;BI$4,BI$4&gt;=$C$1),'General Inputs'!K$11*$G72,0))</f>
        <v>69.738895073249992</v>
      </c>
      <c r="BJ72" s="214">
        <f>IF(AND(($E72+$C$1)&gt;BJ$4,BJ$4&gt;=$C$1),'General Inputs'!L$11*$H72,IF(AND(($D72+$C$1)&gt;BJ$4,BJ$4&gt;=$C$1),'General Inputs'!L$11*$G72,0))</f>
        <v>69.738895073249992</v>
      </c>
      <c r="BK72" s="214">
        <f>IF(AND(($E72+$C$1)&gt;BK$4,BK$4&gt;=$C$1),'General Inputs'!M$11*$H72,IF(AND(($D72+$C$1)&gt;BK$4,BK$4&gt;=$C$1),'General Inputs'!M$11*$G72,0))</f>
        <v>69.738895073249992</v>
      </c>
      <c r="BL72" s="214">
        <f>IF(AND(($E72+$C$1)&gt;BL$4,BL$4&gt;=$C$1),'General Inputs'!N$11*$H72,IF(AND(($D72+$C$1)&gt;BL$4,BL$4&gt;=$C$1),'General Inputs'!N$11*$G72,0))</f>
        <v>69.738895073249992</v>
      </c>
      <c r="BM72" s="214">
        <f>IF(AND(($E72+$C$1)&gt;BM$4,BM$4&gt;=$C$1),'General Inputs'!O$11*$H72,IF(AND(($D72+$C$1)&gt;BM$4,BM$4&gt;=$C$1),'General Inputs'!O$11*$G72,0))</f>
        <v>69.738895073249992</v>
      </c>
      <c r="BN72" s="214">
        <f>IF(AND(($E72+$C$1)&gt;BN$4,BN$4&gt;=$C$1),'General Inputs'!P$11*$H72,IF(AND(($D72+$C$1)&gt;BN$4,BN$4&gt;=$C$1),'General Inputs'!P$11*$G72,0))</f>
        <v>69.738895073249992</v>
      </c>
      <c r="BO72" s="214">
        <f>IF(AND(($E72+$C$1)&gt;BO$4,BO$4&gt;=$C$1),'General Inputs'!Q$11*$H72,IF(AND(($D72+$C$1)&gt;BO$4,BO$4&gt;=$C$1),'General Inputs'!Q$11*$G72,0))</f>
        <v>69.738895073249992</v>
      </c>
      <c r="BP72" s="214">
        <f>IF(AND(($E72+$C$1)&gt;BP$4,BP$4&gt;=$C$1),'General Inputs'!R$11*$H72,IF(AND(($D72+$C$1)&gt;BP$4,BP$4&gt;=$C$1),'General Inputs'!R$11*$G72,0))</f>
        <v>69.738895073249992</v>
      </c>
      <c r="BQ72" s="214">
        <f>IF(AND(($E72+$C$1)&gt;BQ$4,BQ$4&gt;=$C$1),'General Inputs'!S$11*$H72,IF(AND(($D72+$C$1)&gt;BQ$4,BQ$4&gt;=$C$1),'General Inputs'!S$11*$G72,0))</f>
        <v>69.738895073249992</v>
      </c>
      <c r="BR72" s="214">
        <f>IF(AND(($E72+$C$1)&gt;BR$4,BR$4&gt;=$C$1),'General Inputs'!T$11*$H72,IF(AND(($D72+$C$1)&gt;BR$4,BR$4&gt;=$C$1),'General Inputs'!T$11*$G72,0))</f>
        <v>69.738895073249992</v>
      </c>
      <c r="BS72" s="214">
        <f>IF(AND(($E72+$C$1)&gt;BS$4,BS$4&gt;=$C$1),'General Inputs'!U$11*$H72,IF(AND(($D72+$C$1)&gt;BS$4,BS$4&gt;=$C$1),'General Inputs'!U$11*$G72,0))</f>
        <v>69.738895073249992</v>
      </c>
      <c r="BT72" s="214">
        <f>IF(AND(($E72+$C$1)&gt;BT$4,BT$4&gt;=$C$1),'General Inputs'!V$11*$H72,IF(AND(($D72+$C$1)&gt;BT$4,BT$4&gt;=$C$1),'General Inputs'!V$11*$G72,0))</f>
        <v>69.738895073249992</v>
      </c>
      <c r="BU72" s="214">
        <f>IF(AND(($E72+$C$1)&gt;BU$4,BU$4&gt;=$C$1),'General Inputs'!W$11*$H72,IF(AND(($D72+$C$1)&gt;BU$4,BU$4&gt;=$C$1),'General Inputs'!W$11*$G72,0))</f>
        <v>0</v>
      </c>
      <c r="BW72" s="214">
        <f>IF(AND(($E72+$C$1)&gt;BW$4,BW$4&gt;=$C$1),$H72,IF(AND(($D72+$C$1)&gt;BW$4,BW$4&gt;=$C$1),$G72,0))*IF($A72="Residential",'General Inputs'!D$14,'General Inputs'!D$19)</f>
        <v>0</v>
      </c>
      <c r="BX72" s="214">
        <f>IF(AND(($E72+$C$1)&gt;BX$4,BX$4&gt;=$C$1),$H72,IF(AND(($D72+$C$1)&gt;BX$4,BX$4&gt;=$C$1),$G72,0))*IF($A72="Residential",'General Inputs'!E$14,'General Inputs'!E$19)</f>
        <v>648.65646091604174</v>
      </c>
      <c r="BY72" s="214">
        <f>IF(AND(($E72+$C$1)&gt;BY$4,BY$4&gt;=$C$1),$H72,IF(AND(($D72+$C$1)&gt;BY$4,BY$4&gt;=$C$1),$G72,0))*IF($A72="Residential",'General Inputs'!F$14,'General Inputs'!F$19)</f>
        <v>658.38630782978237</v>
      </c>
      <c r="BZ72" s="214">
        <f>IF(AND(($E72+$C$1)&gt;BZ$4,BZ$4&gt;=$C$1),$H72,IF(AND(($D72+$C$1)&gt;BZ$4,BZ$4&gt;=$C$1),$G72,0))*IF($A72="Residential",'General Inputs'!G$14,'General Inputs'!G$19)</f>
        <v>668.26210244722904</v>
      </c>
      <c r="CA72" s="214">
        <f>IF(AND(($E72+$C$1)&gt;CA$4,CA$4&gt;=$C$1),$H72,IF(AND(($D72+$C$1)&gt;CA$4,CA$4&gt;=$C$1),$G72,0))*IF($A72="Residential",'General Inputs'!H$14,'General Inputs'!H$19)</f>
        <v>678.28603398393727</v>
      </c>
      <c r="CB72" s="214">
        <f>IF(AND(($E72+$C$1)&gt;CB$4,CB$4&gt;=$C$1),$H72,IF(AND(($D72+$C$1)&gt;CB$4,CB$4&gt;=$C$1),$G72,0))*IF($A72="Residential",'General Inputs'!I$14,'General Inputs'!I$19)</f>
        <v>688.46032449369625</v>
      </c>
      <c r="CC72" s="214">
        <f>IF(AND(($E72+$C$1)&gt;CC$4,CC$4&gt;=$C$1),$H72,IF(AND(($D72+$C$1)&gt;CC$4,CC$4&gt;=$C$1),$G72,0))*IF($A72="Residential",'General Inputs'!J$14,'General Inputs'!J$19)</f>
        <v>698.78722936110171</v>
      </c>
      <c r="CD72" s="214">
        <f>IF(AND(($E72+$C$1)&gt;CD$4,CD$4&gt;=$C$1),$H72,IF(AND(($D72+$C$1)&gt;CD$4,CD$4&gt;=$C$1),$G72,0))*IF($A72="Residential",'General Inputs'!K$14,'General Inputs'!K$19)</f>
        <v>709.26903780151815</v>
      </c>
      <c r="CE72" s="214">
        <f>IF(AND(($E72+$C$1)&gt;CE$4,CE$4&gt;=$C$1),$H72,IF(AND(($D72+$C$1)&gt;CE$4,CE$4&gt;=$C$1),$G72,0))*IF($A72="Residential",'General Inputs'!L$14,'General Inputs'!L$19)</f>
        <v>719.90807336854084</v>
      </c>
      <c r="CF72" s="214">
        <f>IF(AND(($E72+$C$1)&gt;CF$4,CF$4&gt;=$C$1),$H72,IF(AND(($D72+$C$1)&gt;CF$4,CF$4&gt;=$C$1),$G72,0))*IF($A72="Residential",'General Inputs'!M$14,'General Inputs'!M$19)</f>
        <v>730.70669446906891</v>
      </c>
      <c r="CG72" s="214">
        <f>IF(AND(($E72+$C$1)&gt;CG$4,CG$4&gt;=$C$1),$H72,IF(AND(($D72+$C$1)&gt;CG$4,CG$4&gt;=$C$1),$G72,0))*IF($A72="Residential",'General Inputs'!N$14,'General Inputs'!N$19)</f>
        <v>741.66729488610497</v>
      </c>
      <c r="CH72" s="214">
        <f>IF(AND(($E72+$C$1)&gt;CH$4,CH$4&gt;=$C$1),$H72,IF(AND(($D72+$C$1)&gt;CH$4,CH$4&gt;=$C$1),$G72,0))*IF($A72="Residential",'General Inputs'!O$14,'General Inputs'!O$19)</f>
        <v>752.79230430939629</v>
      </c>
      <c r="CI72" s="214">
        <f>IF(AND(($E72+$C$1)&gt;CI$4,CI$4&gt;=$C$1),$H72,IF(AND(($D72+$C$1)&gt;CI$4,CI$4&gt;=$C$1),$G72,0))*IF($A72="Residential",'General Inputs'!P$14,'General Inputs'!P$19)</f>
        <v>764.0841888740373</v>
      </c>
      <c r="CJ72" s="214">
        <f>IF(AND(($E72+$C$1)&gt;CJ$4,CJ$4&gt;=$C$1),$H72,IF(AND(($D72+$C$1)&gt;CJ$4,CJ$4&gt;=$C$1),$G72,0))*IF($A72="Residential",'General Inputs'!Q$14,'General Inputs'!Q$19)</f>
        <v>775.54545170714778</v>
      </c>
      <c r="CK72" s="214">
        <f>IF(AND(($E72+$C$1)&gt;CK$4,CK$4&gt;=$C$1),$H72,IF(AND(($D72+$C$1)&gt;CK$4,CK$4&gt;=$C$1),$G72,0))*IF($A72="Residential",'General Inputs'!R$14,'General Inputs'!R$19)</f>
        <v>787.17863348275489</v>
      </c>
      <c r="CL72" s="214">
        <f>IF(AND(($E72+$C$1)&gt;CL$4,CL$4&gt;=$C$1),$H72,IF(AND(($D72+$C$1)&gt;CL$4,CL$4&gt;=$C$1),$G72,0))*IF($A72="Residential",'General Inputs'!S$14,'General Inputs'!S$19)</f>
        <v>798.98631298499618</v>
      </c>
      <c r="CM72" s="214">
        <f>IF(AND(($E72+$C$1)&gt;CM$4,CM$4&gt;=$C$1),$H72,IF(AND(($D72+$C$1)&gt;CM$4,CM$4&gt;=$C$1),$G72,0))*IF($A72="Residential",'General Inputs'!T$14,'General Inputs'!T$19)</f>
        <v>810.97110767977108</v>
      </c>
      <c r="CN72" s="214">
        <f>IF(AND(($E72+$C$1)&gt;CN$4,CN$4&gt;=$C$1),$H72,IF(AND(($D72+$C$1)&gt;CN$4,CN$4&gt;=$C$1),$G72,0))*IF($A72="Residential",'General Inputs'!U$14,'General Inputs'!U$19)</f>
        <v>823.13567429496743</v>
      </c>
      <c r="CO72" s="214">
        <f>IF(AND(($E72+$C$1)&gt;CO$4,CO$4&gt;=$C$1),$H72,IF(AND(($D72+$C$1)&gt;CO$4,CO$4&gt;=$C$1),$G72,0))*IF($A72="Residential",'General Inputs'!V$14,'General Inputs'!V$19)</f>
        <v>835.48270940939187</v>
      </c>
      <c r="CP72" s="214">
        <f>IF(AND(($E72+$C$1)&gt;CP$4,CP$4&gt;=$C$1),$H72,IF(AND(($D72+$C$1)&gt;CP$4,CP$4&gt;=$C$1),$G72,0))*IF($A72="Residential",'General Inputs'!W$14,'General Inputs'!W$19)</f>
        <v>0</v>
      </c>
      <c r="CR72" s="214">
        <f>IF(AND(($E72+$C$1)&gt;CR$4,CR$4&gt;=$C$1),$H72,IF(AND(($D72+$C$1)&gt;CR$4,CR$4&gt;=$C$1),$G72,0))*IF($A72="Residential",'General Inputs'!D$15,'General Inputs'!D$19)</f>
        <v>0</v>
      </c>
      <c r="CS72" s="214">
        <f>IF(AND(($E72+$C$1)&gt;CS$4,CS$4&gt;=$C$1),$H72,IF(AND(($D72+$C$1)&gt;CS$4,CS$4&gt;=$C$1),$G72,0))*IF($A72="Residential",'General Inputs'!E$15,'General Inputs'!E$19)</f>
        <v>648.65646091604174</v>
      </c>
      <c r="CT72" s="214">
        <f>IF(AND(($E72+$C$1)&gt;CT$4,CT$4&gt;=$C$1),$H72,IF(AND(($D72+$C$1)&gt;CT$4,CT$4&gt;=$C$1),$G72,0))*IF($A72="Residential",'General Inputs'!F$15,'General Inputs'!F$19)</f>
        <v>658.38630782978237</v>
      </c>
      <c r="CU72" s="214">
        <f>IF(AND(($E72+$C$1)&gt;CU$4,CU$4&gt;=$C$1),$H72,IF(AND(($D72+$C$1)&gt;CU$4,CU$4&gt;=$C$1),$G72,0))*IF($A72="Residential",'General Inputs'!G$15,'General Inputs'!G$19)</f>
        <v>668.26210244722904</v>
      </c>
      <c r="CV72" s="214">
        <f>IF(AND(($E72+$C$1)&gt;CV$4,CV$4&gt;=$C$1),$H72,IF(AND(($D72+$C$1)&gt;CV$4,CV$4&gt;=$C$1),$G72,0))*IF($A72="Residential",'General Inputs'!H$15,'General Inputs'!H$19)</f>
        <v>678.28603398393727</v>
      </c>
      <c r="CW72" s="214">
        <f>IF(AND(($E72+$C$1)&gt;CW$4,CW$4&gt;=$C$1),$H72,IF(AND(($D72+$C$1)&gt;CW$4,CW$4&gt;=$C$1),$G72,0))*IF($A72="Residential",'General Inputs'!I$15,'General Inputs'!I$19)</f>
        <v>688.46032449369625</v>
      </c>
      <c r="CX72" s="214">
        <f>IF(AND(($E72+$C$1)&gt;CX$4,CX$4&gt;=$C$1),$H72,IF(AND(($D72+$C$1)&gt;CX$4,CX$4&gt;=$C$1),$G72,0))*IF($A72="Residential",'General Inputs'!J$15,'General Inputs'!J$19)</f>
        <v>698.78722936110171</v>
      </c>
      <c r="CY72" s="214">
        <f>IF(AND(($E72+$C$1)&gt;CY$4,CY$4&gt;=$C$1),$H72,IF(AND(($D72+$C$1)&gt;CY$4,CY$4&gt;=$C$1),$G72,0))*IF($A72="Residential",'General Inputs'!K$15,'General Inputs'!K$19)</f>
        <v>709.26903780151815</v>
      </c>
      <c r="CZ72" s="214">
        <f>IF(AND(($E72+$C$1)&gt;CZ$4,CZ$4&gt;=$C$1),$H72,IF(AND(($D72+$C$1)&gt;CZ$4,CZ$4&gt;=$C$1),$G72,0))*IF($A72="Residential",'General Inputs'!L$15,'General Inputs'!L$19)</f>
        <v>719.90807336854084</v>
      </c>
      <c r="DA72" s="214">
        <f>IF(AND(($E72+$C$1)&gt;DA$4,DA$4&gt;=$C$1),$H72,IF(AND(($D72+$C$1)&gt;DA$4,DA$4&gt;=$C$1),$G72,0))*IF($A72="Residential",'General Inputs'!M$15,'General Inputs'!M$19)</f>
        <v>730.70669446906891</v>
      </c>
      <c r="DB72" s="214">
        <f>IF(AND(($E72+$C$1)&gt;DB$4,DB$4&gt;=$C$1),$H72,IF(AND(($D72+$C$1)&gt;DB$4,DB$4&gt;=$C$1),$G72,0))*IF($A72="Residential",'General Inputs'!N$15,'General Inputs'!N$19)</f>
        <v>741.66729488610497</v>
      </c>
      <c r="DC72" s="214">
        <f>IF(AND(($E72+$C$1)&gt;DC$4,DC$4&gt;=$C$1),$H72,IF(AND(($D72+$C$1)&gt;DC$4,DC$4&gt;=$C$1),$G72,0))*IF($A72="Residential",'General Inputs'!O$15,'General Inputs'!O$19)</f>
        <v>752.79230430939629</v>
      </c>
      <c r="DD72" s="214">
        <f>IF(AND(($E72+$C$1)&gt;DD$4,DD$4&gt;=$C$1),$H72,IF(AND(($D72+$C$1)&gt;DD$4,DD$4&gt;=$C$1),$G72,0))*IF($A72="Residential",'General Inputs'!P$15,'General Inputs'!P$19)</f>
        <v>764.0841888740373</v>
      </c>
      <c r="DE72" s="214">
        <f>IF(AND(($E72+$C$1)&gt;DE$4,DE$4&gt;=$C$1),$H72,IF(AND(($D72+$C$1)&gt;DE$4,DE$4&gt;=$C$1),$G72,0))*IF($A72="Residential",'General Inputs'!Q$15,'General Inputs'!Q$19)</f>
        <v>775.54545170714778</v>
      </c>
      <c r="DF72" s="214">
        <f>IF(AND(($E72+$C$1)&gt;DF$4,DF$4&gt;=$C$1),$H72,IF(AND(($D72+$C$1)&gt;DF$4,DF$4&gt;=$C$1),$G72,0))*IF($A72="Residential",'General Inputs'!R$15,'General Inputs'!R$19)</f>
        <v>787.17863348275489</v>
      </c>
      <c r="DG72" s="214">
        <f>IF(AND(($E72+$C$1)&gt;DG$4,DG$4&gt;=$C$1),$H72,IF(AND(($D72+$C$1)&gt;DG$4,DG$4&gt;=$C$1),$G72,0))*IF($A72="Residential",'General Inputs'!S$15,'General Inputs'!S$19)</f>
        <v>798.98631298499618</v>
      </c>
      <c r="DH72" s="214">
        <f>IF(AND(($E72+$C$1)&gt;DH$4,DH$4&gt;=$C$1),$H72,IF(AND(($D72+$C$1)&gt;DH$4,DH$4&gt;=$C$1),$G72,0))*IF($A72="Residential",'General Inputs'!T$15,'General Inputs'!T$19)</f>
        <v>810.97110767977108</v>
      </c>
      <c r="DI72" s="214">
        <f>IF(AND(($E72+$C$1)&gt;DI$4,DI$4&gt;=$C$1),$H72,IF(AND(($D72+$C$1)&gt;DI$4,DI$4&gt;=$C$1),$G72,0))*IF($A72="Residential",'General Inputs'!U$15,'General Inputs'!U$19)</f>
        <v>823.13567429496743</v>
      </c>
      <c r="DJ72" s="214">
        <f>IF(AND(($E72+$C$1)&gt;DJ$4,DJ$4&gt;=$C$1),$H72,IF(AND(($D72+$C$1)&gt;DJ$4,DJ$4&gt;=$C$1),$G72,0))*IF($A72="Residential",'General Inputs'!V$15,'General Inputs'!V$19)</f>
        <v>835.48270940939187</v>
      </c>
      <c r="DK72" s="214">
        <f>IF(AND(($E72+$C$1)&gt;DK$4,DK$4&gt;=$C$1),$H72,IF(AND(($D72+$C$1)&gt;DK$4,DK$4&gt;=$C$1),$G72,0))*IF($A72="Residential",'General Inputs'!W$15,'General Inputs'!W$19)</f>
        <v>0</v>
      </c>
      <c r="DM72" s="214">
        <f t="shared" si="100"/>
        <v>0</v>
      </c>
      <c r="DN72" s="214">
        <f t="shared" si="100"/>
        <v>1143</v>
      </c>
      <c r="DO72" s="214">
        <f t="shared" si="100"/>
        <v>0</v>
      </c>
      <c r="DP72" s="214">
        <f t="shared" si="100"/>
        <v>0</v>
      </c>
      <c r="DQ72" s="214">
        <f t="shared" si="100"/>
        <v>0</v>
      </c>
      <c r="DR72" s="214">
        <f t="shared" si="100"/>
        <v>0</v>
      </c>
      <c r="DS72" s="214">
        <f t="shared" si="100"/>
        <v>0</v>
      </c>
      <c r="DT72" s="214">
        <f t="shared" si="100"/>
        <v>0</v>
      </c>
      <c r="DU72" s="214">
        <f t="shared" si="100"/>
        <v>0</v>
      </c>
      <c r="DV72" s="214">
        <f t="shared" si="100"/>
        <v>0</v>
      </c>
      <c r="DW72" s="214">
        <f t="shared" si="100"/>
        <v>0</v>
      </c>
      <c r="DZ72" s="650"/>
      <c r="FI72" s="195"/>
      <c r="FJ72" s="195"/>
      <c r="FK72" s="195"/>
      <c r="FL72" s="195"/>
      <c r="FM72" s="195"/>
      <c r="FN72" s="195"/>
      <c r="FO72" s="195"/>
    </row>
    <row r="73" spans="1:171">
      <c r="A73" s="342" t="s">
        <v>112</v>
      </c>
      <c r="B73" s="427" t="str">
        <f>'Portfolio Inputs'!A72</f>
        <v>Ceiling Mount Occupancy</v>
      </c>
      <c r="C73" s="217">
        <f>IF($C$1=2014,'Portfolio Inputs'!$C72,IF($C$1=2015,'Portfolio Inputs'!$D72,'Portfolio Inputs'!$E72))</f>
        <v>0</v>
      </c>
      <c r="D73" s="504">
        <f>VLOOKUP(B73,Sources!$B$4:$J$104,2,FALSE)</f>
        <v>8</v>
      </c>
      <c r="E73" s="504">
        <f>VLOOKUP(B73,Sources!$B$4:$J$104,3,FALSE)</f>
        <v>0</v>
      </c>
      <c r="G73" s="504">
        <f>IF($C$1=2014,'Portfolio Inputs'!$G72,IF($C$1=2015,'Portfolio Inputs'!$H72,'Portfolio Inputs'!$I72))*EnergyLineLoss</f>
        <v>0</v>
      </c>
      <c r="H73" s="504"/>
      <c r="I73" s="595">
        <f>IF($C$1=2014,'Portfolio Inputs'!$K72,IF($C$1=2015,'Portfolio Inputs'!$L72,'Portfolio Inputs'!$M72))*PeakLineLoss</f>
        <v>0</v>
      </c>
      <c r="J73" s="510"/>
      <c r="L73" s="606">
        <f>IF($C$1=2014,'Portfolio Inputs'!$O72,IF($C$1=2015,'Portfolio Inputs'!$P72,'Portfolio Inputs'!$Q72))</f>
        <v>125</v>
      </c>
      <c r="M73" s="518">
        <f>VLOOKUP($B73,Sources!$B$4:$K$104,10,FALSE)</f>
        <v>0</v>
      </c>
      <c r="N73" s="419">
        <f>IF($C$1=2014,'Portfolio Inputs'!$W72,IF($C$1=2015,'Portfolio Inputs'!$X72,'Portfolio Inputs'!$Y72))</f>
        <v>0</v>
      </c>
      <c r="O73" s="419">
        <f>IF($C$1=2014,'Portfolio Inputs'!$AA72,IF($C$1=2015,'Portfolio Inputs'!$AB72,'Portfolio Inputs'!$AC72))</f>
        <v>0</v>
      </c>
      <c r="Q73" s="438" t="str">
        <f t="shared" si="67"/>
        <v>n/a</v>
      </c>
      <c r="R73" s="439" t="str">
        <f t="shared" si="68"/>
        <v>n/a</v>
      </c>
      <c r="S73" s="439" t="str">
        <f t="shared" si="69"/>
        <v>n/a</v>
      </c>
      <c r="T73" s="439" t="str">
        <f t="shared" si="70"/>
        <v>n/a</v>
      </c>
      <c r="U73" s="439" t="str">
        <f t="shared" si="98"/>
        <v>n/a</v>
      </c>
      <c r="V73" s="439" t="str">
        <f t="shared" si="72"/>
        <v>n/a</v>
      </c>
      <c r="W73" s="439" t="str">
        <f t="shared" si="73"/>
        <v>n/a</v>
      </c>
      <c r="Y73" s="215">
        <f t="shared" si="101"/>
        <v>0</v>
      </c>
      <c r="Z73" s="215">
        <f t="shared" si="102"/>
        <v>0</v>
      </c>
      <c r="AA73" s="215">
        <f t="shared" si="103"/>
        <v>0</v>
      </c>
      <c r="AB73" s="215">
        <f t="shared" si="104"/>
        <v>0</v>
      </c>
      <c r="AC73" s="216">
        <f t="shared" si="20"/>
        <v>0</v>
      </c>
      <c r="AD73" s="216">
        <f t="shared" si="21"/>
        <v>0</v>
      </c>
      <c r="AE73" s="215">
        <f t="shared" si="105"/>
        <v>0</v>
      </c>
      <c r="AG73" s="214">
        <f>IF(AND(($E73+$C$1)&gt;AG$4,AG$4&gt;=$C$1),'General Inputs'!D$9*$H73,IF(AND(($D73+$C$1)&gt;AG$4,AG$4&gt;=$C$1),'General Inputs'!D$9*$G73,0))+IF(AND(($E73+$C$1)&gt;AG$4,AG$4&gt;=$C$1),'General Inputs'!D$10*$J73,IF(AND(($D73+$C$1)&gt;AG$4,AG$4&gt;=$C$1),'General Inputs'!D$10*$I73,0))</f>
        <v>0</v>
      </c>
      <c r="AH73" s="214">
        <f>IF(AND(($E73+$C$1)&gt;AH$4,AH$4&gt;=$C$1),'General Inputs'!E$9*$H73,IF(AND(($D73+$C$1)&gt;AH$4,AH$4&gt;=$C$1),'General Inputs'!E$9*$G73,0))+IF(AND(($E73+$C$1)&gt;AH$4,AH$4&gt;=$C$1),'General Inputs'!E$10*$J73,IF(AND(($D73+$C$1)&gt;AH$4,AH$4&gt;=$C$1),'General Inputs'!E$10*$I73,0))</f>
        <v>0</v>
      </c>
      <c r="AI73" s="214">
        <f>IF(AND(($E73+$C$1)&gt;AI$4,AI$4&gt;=$C$1),'General Inputs'!F$9*$H73,IF(AND(($D73+$C$1)&gt;AI$4,AI$4&gt;=$C$1),'General Inputs'!F$9*$G73,0))+IF(AND(($E73+$C$1)&gt;AI$4,AI$4&gt;=$C$1),'General Inputs'!F$10*$J73,IF(AND(($D73+$C$1)&gt;AI$4,AI$4&gt;=$C$1),'General Inputs'!F$10*$I73,0))</f>
        <v>0</v>
      </c>
      <c r="AJ73" s="214">
        <f>IF(AND(($E73+$C$1)&gt;AJ$4,AJ$4&gt;=$C$1),'General Inputs'!G$9*$H73,IF(AND(($D73+$C$1)&gt;AJ$4,AJ$4&gt;=$C$1),'General Inputs'!G$9*$G73,0))+IF(AND(($E73+$C$1)&gt;AJ$4,AJ$4&gt;=$C$1),'General Inputs'!G$10*$J73,IF(AND(($D73+$C$1)&gt;AJ$4,AJ$4&gt;=$C$1),'General Inputs'!G$10*$I73,0))</f>
        <v>0</v>
      </c>
      <c r="AK73" s="214">
        <f>IF(AND(($E73+$C$1)&gt;AK$4,AK$4&gt;=$C$1),'General Inputs'!H$9*$H73,IF(AND(($D73+$C$1)&gt;AK$4,AK$4&gt;=$C$1),'General Inputs'!H$9*$G73,0))+IF(AND(($E73+$C$1)&gt;AK$4,AK$4&gt;=$C$1),'General Inputs'!H$10*$J73,IF(AND(($D73+$C$1)&gt;AK$4,AK$4&gt;=$C$1),'General Inputs'!H$10*$I73,0))</f>
        <v>0</v>
      </c>
      <c r="AL73" s="214">
        <f>IF(AND(($E73+$C$1)&gt;AL$4,AL$4&gt;=$C$1),'General Inputs'!I$9*$H73,IF(AND(($D73+$C$1)&gt;AL$4,AL$4&gt;=$C$1),'General Inputs'!I$9*$G73,0))+IF(AND(($E73+$C$1)&gt;AL$4,AL$4&gt;=$C$1),'General Inputs'!I$10*$J73,IF(AND(($D73+$C$1)&gt;AL$4,AL$4&gt;=$C$1),'General Inputs'!I$10*$I73,0))</f>
        <v>0</v>
      </c>
      <c r="AM73" s="214">
        <f>IF(AND(($E73+$C$1)&gt;AM$4,AM$4&gt;=$C$1),'General Inputs'!J$9*$H73,IF(AND(($D73+$C$1)&gt;AM$4,AM$4&gt;=$C$1),'General Inputs'!J$9*$G73,0))+IF(AND(($E73+$C$1)&gt;AM$4,AM$4&gt;=$C$1),'General Inputs'!J$10*$J73,IF(AND(($D73+$C$1)&gt;AM$4,AM$4&gt;=$C$1),'General Inputs'!J$10*$I73,0))</f>
        <v>0</v>
      </c>
      <c r="AN73" s="214">
        <f>IF(AND(($E73+$C$1)&gt;AN$4,AN$4&gt;=$C$1),'General Inputs'!K$9*$H73,IF(AND(($D73+$C$1)&gt;AN$4,AN$4&gt;=$C$1),'General Inputs'!K$9*$G73,0))+IF(AND(($E73+$C$1)&gt;AN$4,AN$4&gt;=$C$1),'General Inputs'!K$10*$J73,IF(AND(($D73+$C$1)&gt;AN$4,AN$4&gt;=$C$1),'General Inputs'!K$10*$I73,0))</f>
        <v>0</v>
      </c>
      <c r="AO73" s="214">
        <f>IF(AND(($E73+$C$1)&gt;AO$4,AO$4&gt;=$C$1),'General Inputs'!L$9*$H73,IF(AND(($D73+$C$1)&gt;AO$4,AO$4&gt;=$C$1),'General Inputs'!L$9*$G73,0))+IF(AND(($E73+$C$1)&gt;AO$4,AO$4&gt;=$C$1),'General Inputs'!L$10*$J73,IF(AND(($D73+$C$1)&gt;AO$4,AO$4&gt;=$C$1),'General Inputs'!L$10*$I73,0))</f>
        <v>0</v>
      </c>
      <c r="AP73" s="214">
        <f>IF(AND(($E73+$C$1)&gt;AP$4,AP$4&gt;=$C$1),'General Inputs'!M$9*$H73,IF(AND(($D73+$C$1)&gt;AP$4,AP$4&gt;=$C$1),'General Inputs'!M$9*$G73,0))+IF(AND(($E73+$C$1)&gt;AP$4,AP$4&gt;=$C$1),'General Inputs'!M$10*$J73,IF(AND(($D73+$C$1)&gt;AP$4,AP$4&gt;=$C$1),'General Inputs'!M$10*$I73,0))</f>
        <v>0</v>
      </c>
      <c r="AQ73" s="214">
        <f>IF(AND(($E73+$C$1)&gt;AQ$4,AQ$4&gt;=$C$1),'General Inputs'!N$9*$H73,IF(AND(($D73+$C$1)&gt;AQ$4,AQ$4&gt;=$C$1),'General Inputs'!N$9*$G73,0))+IF(AND(($E73+$C$1)&gt;AQ$4,AQ$4&gt;=$C$1),'General Inputs'!N$10*$J73,IF(AND(($D73+$C$1)&gt;AQ$4,AQ$4&gt;=$C$1),'General Inputs'!N$10*$I73,0))</f>
        <v>0</v>
      </c>
      <c r="AR73" s="214">
        <f>IF(AND(($E73+$C$1)&gt;AR$4,AR$4&gt;=$C$1),'General Inputs'!O$9*$H73,IF(AND(($D73+$C$1)&gt;AR$4,AR$4&gt;=$C$1),'General Inputs'!O$9*$G73,0))+IF(AND(($E73+$C$1)&gt;AR$4,AR$4&gt;=$C$1),'General Inputs'!O$10*$J73,IF(AND(($D73+$C$1)&gt;AR$4,AR$4&gt;=$C$1),'General Inputs'!O$10*$I73,0))</f>
        <v>0</v>
      </c>
      <c r="AS73" s="214">
        <f>IF(AND(($E73+$C$1)&gt;AS$4,AS$4&gt;=$C$1),'General Inputs'!P$9*$H73,IF(AND(($D73+$C$1)&gt;AS$4,AS$4&gt;=$C$1),'General Inputs'!P$9*$G73,0))+IF(AND(($E73+$C$1)&gt;AS$4,AS$4&gt;=$C$1),'General Inputs'!P$10*$J73,IF(AND(($D73+$C$1)&gt;AS$4,AS$4&gt;=$C$1),'General Inputs'!P$10*$I73,0))</f>
        <v>0</v>
      </c>
      <c r="AT73" s="214">
        <f>IF(AND(($E73+$C$1)&gt;AT$4,AT$4&gt;=$C$1),'General Inputs'!Q$9*$H73,IF(AND(($D73+$C$1)&gt;AT$4,AT$4&gt;=$C$1),'General Inputs'!Q$9*$G73,0))+IF(AND(($E73+$C$1)&gt;AT$4,AT$4&gt;=$C$1),'General Inputs'!Q$10*$J73,IF(AND(($D73+$C$1)&gt;AT$4,AT$4&gt;=$C$1),'General Inputs'!Q$10*$I73,0))</f>
        <v>0</v>
      </c>
      <c r="AU73" s="214">
        <f>IF(AND(($E73+$C$1)&gt;AU$4,AU$4&gt;=$C$1),'General Inputs'!R$9*$H73,IF(AND(($D73+$C$1)&gt;AU$4,AU$4&gt;=$C$1),'General Inputs'!R$9*$G73,0))+IF(AND(($E73+$C$1)&gt;AU$4,AU$4&gt;=$C$1),'General Inputs'!R$10*$J73,IF(AND(($D73+$C$1)&gt;AU$4,AU$4&gt;=$C$1),'General Inputs'!R$10*$I73,0))</f>
        <v>0</v>
      </c>
      <c r="AV73" s="214">
        <f>IF(AND(($E73+$C$1)&gt;AV$4,AV$4&gt;=$C$1),'General Inputs'!S$9*$H73,IF(AND(($D73+$C$1)&gt;AV$4,AV$4&gt;=$C$1),'General Inputs'!S$9*$G73,0))+IF(AND(($E73+$C$1)&gt;AV$4,AV$4&gt;=$C$1),'General Inputs'!S$10*$J73,IF(AND(($D73+$C$1)&gt;AV$4,AV$4&gt;=$C$1),'General Inputs'!S$10*$I73,0))</f>
        <v>0</v>
      </c>
      <c r="AW73" s="214">
        <f>IF(AND(($E73+$C$1)&gt;AW$4,AW$4&gt;=$C$1),'General Inputs'!T$9*$H73,IF(AND(($D73+$C$1)&gt;AW$4,AW$4&gt;=$C$1),'General Inputs'!T$9*$G73,0))+IF(AND(($E73+$C$1)&gt;AW$4,AW$4&gt;=$C$1),'General Inputs'!T$10*$J73,IF(AND(($D73+$C$1)&gt;AW$4,AW$4&gt;=$C$1),'General Inputs'!T$10*$I73,0))</f>
        <v>0</v>
      </c>
      <c r="AX73" s="214">
        <f>IF(AND(($E73+$C$1)&gt;AX$4,AX$4&gt;=$C$1),'General Inputs'!U$9*$H73,IF(AND(($D73+$C$1)&gt;AX$4,AX$4&gt;=$C$1),'General Inputs'!U$9*$G73,0))+IF(AND(($E73+$C$1)&gt;AX$4,AX$4&gt;=$C$1),'General Inputs'!U$10*$J73,IF(AND(($D73+$C$1)&gt;AX$4,AX$4&gt;=$C$1),'General Inputs'!U$10*$I73,0))</f>
        <v>0</v>
      </c>
      <c r="AY73" s="214">
        <f>IF(AND(($E73+$C$1)&gt;AY$4,AY$4&gt;=$C$1),'General Inputs'!V$9*$H73,IF(AND(($D73+$C$1)&gt;AY$4,AY$4&gt;=$C$1),'General Inputs'!V$9*$G73,0))+IF(AND(($E73+$C$1)&gt;AY$4,AY$4&gt;=$C$1),'General Inputs'!V$10*$J73,IF(AND(($D73+$C$1)&gt;AY$4,AY$4&gt;=$C$1),'General Inputs'!V$10*$I73,0))</f>
        <v>0</v>
      </c>
      <c r="AZ73" s="214">
        <f>IF(AND(($E73+$C$1)&gt;AZ$4,AZ$4&gt;=$C$1),'General Inputs'!W$9*$H73,IF(AND(($D73+$C$1)&gt;AZ$4,AZ$4&gt;=$C$1),'General Inputs'!W$9*$G73,0))+IF(AND(($E73+$C$1)&gt;AZ$4,AZ$4&gt;=$C$1),'General Inputs'!W$10*$J73,IF(AND(($D73+$C$1)&gt;AZ$4,AZ$4&gt;=$C$1),'General Inputs'!W$10*$I73,0))</f>
        <v>0</v>
      </c>
      <c r="BB73" s="214">
        <f>IF(AND(($E73+$C$1)&gt;BB$4,BB$4&gt;=$C$1),'General Inputs'!D$11*$H73,IF(AND(($D73+$C$1)&gt;BB$4,BB$4&gt;=$C$1),'General Inputs'!D$11*$G73,0))</f>
        <v>0</v>
      </c>
      <c r="BC73" s="214">
        <f>IF(AND(($E73+$C$1)&gt;BC$4,BC$4&gt;=$C$1),'General Inputs'!E$11*$H73,IF(AND(($D73+$C$1)&gt;BC$4,BC$4&gt;=$C$1),'General Inputs'!E$11*$G73,0))</f>
        <v>0</v>
      </c>
      <c r="BD73" s="214">
        <f>IF(AND(($E73+$C$1)&gt;BD$4,BD$4&gt;=$C$1),'General Inputs'!F$11*$H73,IF(AND(($D73+$C$1)&gt;BD$4,BD$4&gt;=$C$1),'General Inputs'!F$11*$G73,0))</f>
        <v>0</v>
      </c>
      <c r="BE73" s="214">
        <f>IF(AND(($E73+$C$1)&gt;BE$4,BE$4&gt;=$C$1),'General Inputs'!G$11*$H73,IF(AND(($D73+$C$1)&gt;BE$4,BE$4&gt;=$C$1),'General Inputs'!G$11*$G73,0))</f>
        <v>0</v>
      </c>
      <c r="BF73" s="214">
        <f>IF(AND(($E73+$C$1)&gt;BF$4,BF$4&gt;=$C$1),'General Inputs'!H$11*$H73,IF(AND(($D73+$C$1)&gt;BF$4,BF$4&gt;=$C$1),'General Inputs'!H$11*$G73,0))</f>
        <v>0</v>
      </c>
      <c r="BG73" s="214">
        <f>IF(AND(($E73+$C$1)&gt;BG$4,BG$4&gt;=$C$1),'General Inputs'!I$11*$H73,IF(AND(($D73+$C$1)&gt;BG$4,BG$4&gt;=$C$1),'General Inputs'!I$11*$G73,0))</f>
        <v>0</v>
      </c>
      <c r="BH73" s="214">
        <f>IF(AND(($E73+$C$1)&gt;BH$4,BH$4&gt;=$C$1),'General Inputs'!J$11*$H73,IF(AND(($D73+$C$1)&gt;BH$4,BH$4&gt;=$C$1),'General Inputs'!J$11*$G73,0))</f>
        <v>0</v>
      </c>
      <c r="BI73" s="214">
        <f>IF(AND(($E73+$C$1)&gt;BI$4,BI$4&gt;=$C$1),'General Inputs'!K$11*$H73,IF(AND(($D73+$C$1)&gt;BI$4,BI$4&gt;=$C$1),'General Inputs'!K$11*$G73,0))</f>
        <v>0</v>
      </c>
      <c r="BJ73" s="214">
        <f>IF(AND(($E73+$C$1)&gt;BJ$4,BJ$4&gt;=$C$1),'General Inputs'!L$11*$H73,IF(AND(($D73+$C$1)&gt;BJ$4,BJ$4&gt;=$C$1),'General Inputs'!L$11*$G73,0))</f>
        <v>0</v>
      </c>
      <c r="BK73" s="214">
        <f>IF(AND(($E73+$C$1)&gt;BK$4,BK$4&gt;=$C$1),'General Inputs'!M$11*$H73,IF(AND(($D73+$C$1)&gt;BK$4,BK$4&gt;=$C$1),'General Inputs'!M$11*$G73,0))</f>
        <v>0</v>
      </c>
      <c r="BL73" s="214">
        <f>IF(AND(($E73+$C$1)&gt;BL$4,BL$4&gt;=$C$1),'General Inputs'!N$11*$H73,IF(AND(($D73+$C$1)&gt;BL$4,BL$4&gt;=$C$1),'General Inputs'!N$11*$G73,0))</f>
        <v>0</v>
      </c>
      <c r="BM73" s="214">
        <f>IF(AND(($E73+$C$1)&gt;BM$4,BM$4&gt;=$C$1),'General Inputs'!O$11*$H73,IF(AND(($D73+$C$1)&gt;BM$4,BM$4&gt;=$C$1),'General Inputs'!O$11*$G73,0))</f>
        <v>0</v>
      </c>
      <c r="BN73" s="214">
        <f>IF(AND(($E73+$C$1)&gt;BN$4,BN$4&gt;=$C$1),'General Inputs'!P$11*$H73,IF(AND(($D73+$C$1)&gt;BN$4,BN$4&gt;=$C$1),'General Inputs'!P$11*$G73,0))</f>
        <v>0</v>
      </c>
      <c r="BO73" s="214">
        <f>IF(AND(($E73+$C$1)&gt;BO$4,BO$4&gt;=$C$1),'General Inputs'!Q$11*$H73,IF(AND(($D73+$C$1)&gt;BO$4,BO$4&gt;=$C$1),'General Inputs'!Q$11*$G73,0))</f>
        <v>0</v>
      </c>
      <c r="BP73" s="214">
        <f>IF(AND(($E73+$C$1)&gt;BP$4,BP$4&gt;=$C$1),'General Inputs'!R$11*$H73,IF(AND(($D73+$C$1)&gt;BP$4,BP$4&gt;=$C$1),'General Inputs'!R$11*$G73,0))</f>
        <v>0</v>
      </c>
      <c r="BQ73" s="214">
        <f>IF(AND(($E73+$C$1)&gt;BQ$4,BQ$4&gt;=$C$1),'General Inputs'!S$11*$H73,IF(AND(($D73+$C$1)&gt;BQ$4,BQ$4&gt;=$C$1),'General Inputs'!S$11*$G73,0))</f>
        <v>0</v>
      </c>
      <c r="BR73" s="214">
        <f>IF(AND(($E73+$C$1)&gt;BR$4,BR$4&gt;=$C$1),'General Inputs'!T$11*$H73,IF(AND(($D73+$C$1)&gt;BR$4,BR$4&gt;=$C$1),'General Inputs'!T$11*$G73,0))</f>
        <v>0</v>
      </c>
      <c r="BS73" s="214">
        <f>IF(AND(($E73+$C$1)&gt;BS$4,BS$4&gt;=$C$1),'General Inputs'!U$11*$H73,IF(AND(($D73+$C$1)&gt;BS$4,BS$4&gt;=$C$1),'General Inputs'!U$11*$G73,0))</f>
        <v>0</v>
      </c>
      <c r="BT73" s="214">
        <f>IF(AND(($E73+$C$1)&gt;BT$4,BT$4&gt;=$C$1),'General Inputs'!V$11*$H73,IF(AND(($D73+$C$1)&gt;BT$4,BT$4&gt;=$C$1),'General Inputs'!V$11*$G73,0))</f>
        <v>0</v>
      </c>
      <c r="BU73" s="214">
        <f>IF(AND(($E73+$C$1)&gt;BU$4,BU$4&gt;=$C$1),'General Inputs'!W$11*$H73,IF(AND(($D73+$C$1)&gt;BU$4,BU$4&gt;=$C$1),'General Inputs'!W$11*$G73,0))</f>
        <v>0</v>
      </c>
      <c r="BW73" s="214">
        <f>IF(AND(($E73+$C$1)&gt;BW$4,BW$4&gt;=$C$1),$H73,IF(AND(($D73+$C$1)&gt;BW$4,BW$4&gt;=$C$1),$G73,0))*IF($A73="Residential",'General Inputs'!D$14,'General Inputs'!D$19)</f>
        <v>0</v>
      </c>
      <c r="BX73" s="214">
        <f>IF(AND(($E73+$C$1)&gt;BX$4,BX$4&gt;=$C$1),$H73,IF(AND(($D73+$C$1)&gt;BX$4,BX$4&gt;=$C$1),$G73,0))*IF($A73="Residential",'General Inputs'!E$14,'General Inputs'!E$19)</f>
        <v>0</v>
      </c>
      <c r="BY73" s="214">
        <f>IF(AND(($E73+$C$1)&gt;BY$4,BY$4&gt;=$C$1),$H73,IF(AND(($D73+$C$1)&gt;BY$4,BY$4&gt;=$C$1),$G73,0))*IF($A73="Residential",'General Inputs'!F$14,'General Inputs'!F$19)</f>
        <v>0</v>
      </c>
      <c r="BZ73" s="214">
        <f>IF(AND(($E73+$C$1)&gt;BZ$4,BZ$4&gt;=$C$1),$H73,IF(AND(($D73+$C$1)&gt;BZ$4,BZ$4&gt;=$C$1),$G73,0))*IF($A73="Residential",'General Inputs'!G$14,'General Inputs'!G$19)</f>
        <v>0</v>
      </c>
      <c r="CA73" s="214">
        <f>IF(AND(($E73+$C$1)&gt;CA$4,CA$4&gt;=$C$1),$H73,IF(AND(($D73+$C$1)&gt;CA$4,CA$4&gt;=$C$1),$G73,0))*IF($A73="Residential",'General Inputs'!H$14,'General Inputs'!H$19)</f>
        <v>0</v>
      </c>
      <c r="CB73" s="214">
        <f>IF(AND(($E73+$C$1)&gt;CB$4,CB$4&gt;=$C$1),$H73,IF(AND(($D73+$C$1)&gt;CB$4,CB$4&gt;=$C$1),$G73,0))*IF($A73="Residential",'General Inputs'!I$14,'General Inputs'!I$19)</f>
        <v>0</v>
      </c>
      <c r="CC73" s="214">
        <f>IF(AND(($E73+$C$1)&gt;CC$4,CC$4&gt;=$C$1),$H73,IF(AND(($D73+$C$1)&gt;CC$4,CC$4&gt;=$C$1),$G73,0))*IF($A73="Residential",'General Inputs'!J$14,'General Inputs'!J$19)</f>
        <v>0</v>
      </c>
      <c r="CD73" s="214">
        <f>IF(AND(($E73+$C$1)&gt;CD$4,CD$4&gt;=$C$1),$H73,IF(AND(($D73+$C$1)&gt;CD$4,CD$4&gt;=$C$1),$G73,0))*IF($A73="Residential",'General Inputs'!K$14,'General Inputs'!K$19)</f>
        <v>0</v>
      </c>
      <c r="CE73" s="214">
        <f>IF(AND(($E73+$C$1)&gt;CE$4,CE$4&gt;=$C$1),$H73,IF(AND(($D73+$C$1)&gt;CE$4,CE$4&gt;=$C$1),$G73,0))*IF($A73="Residential",'General Inputs'!L$14,'General Inputs'!L$19)</f>
        <v>0</v>
      </c>
      <c r="CF73" s="214">
        <f>IF(AND(($E73+$C$1)&gt;CF$4,CF$4&gt;=$C$1),$H73,IF(AND(($D73+$C$1)&gt;CF$4,CF$4&gt;=$C$1),$G73,0))*IF($A73="Residential",'General Inputs'!M$14,'General Inputs'!M$19)</f>
        <v>0</v>
      </c>
      <c r="CG73" s="214">
        <f>IF(AND(($E73+$C$1)&gt;CG$4,CG$4&gt;=$C$1),$H73,IF(AND(($D73+$C$1)&gt;CG$4,CG$4&gt;=$C$1),$G73,0))*IF($A73="Residential",'General Inputs'!N$14,'General Inputs'!N$19)</f>
        <v>0</v>
      </c>
      <c r="CH73" s="214">
        <f>IF(AND(($E73+$C$1)&gt;CH$4,CH$4&gt;=$C$1),$H73,IF(AND(($D73+$C$1)&gt;CH$4,CH$4&gt;=$C$1),$G73,0))*IF($A73="Residential",'General Inputs'!O$14,'General Inputs'!O$19)</f>
        <v>0</v>
      </c>
      <c r="CI73" s="214">
        <f>IF(AND(($E73+$C$1)&gt;CI$4,CI$4&gt;=$C$1),$H73,IF(AND(($D73+$C$1)&gt;CI$4,CI$4&gt;=$C$1),$G73,0))*IF($A73="Residential",'General Inputs'!P$14,'General Inputs'!P$19)</f>
        <v>0</v>
      </c>
      <c r="CJ73" s="214">
        <f>IF(AND(($E73+$C$1)&gt;CJ$4,CJ$4&gt;=$C$1),$H73,IF(AND(($D73+$C$1)&gt;CJ$4,CJ$4&gt;=$C$1),$G73,0))*IF($A73="Residential",'General Inputs'!Q$14,'General Inputs'!Q$19)</f>
        <v>0</v>
      </c>
      <c r="CK73" s="214">
        <f>IF(AND(($E73+$C$1)&gt;CK$4,CK$4&gt;=$C$1),$H73,IF(AND(($D73+$C$1)&gt;CK$4,CK$4&gt;=$C$1),$G73,0))*IF($A73="Residential",'General Inputs'!R$14,'General Inputs'!R$19)</f>
        <v>0</v>
      </c>
      <c r="CL73" s="214">
        <f>IF(AND(($E73+$C$1)&gt;CL$4,CL$4&gt;=$C$1),$H73,IF(AND(($D73+$C$1)&gt;CL$4,CL$4&gt;=$C$1),$G73,0))*IF($A73="Residential",'General Inputs'!S$14,'General Inputs'!S$19)</f>
        <v>0</v>
      </c>
      <c r="CM73" s="214">
        <f>IF(AND(($E73+$C$1)&gt;CM$4,CM$4&gt;=$C$1),$H73,IF(AND(($D73+$C$1)&gt;CM$4,CM$4&gt;=$C$1),$G73,0))*IF($A73="Residential",'General Inputs'!T$14,'General Inputs'!T$19)</f>
        <v>0</v>
      </c>
      <c r="CN73" s="214">
        <f>IF(AND(($E73+$C$1)&gt;CN$4,CN$4&gt;=$C$1),$H73,IF(AND(($D73+$C$1)&gt;CN$4,CN$4&gt;=$C$1),$G73,0))*IF($A73="Residential",'General Inputs'!U$14,'General Inputs'!U$19)</f>
        <v>0</v>
      </c>
      <c r="CO73" s="214">
        <f>IF(AND(($E73+$C$1)&gt;CO$4,CO$4&gt;=$C$1),$H73,IF(AND(($D73+$C$1)&gt;CO$4,CO$4&gt;=$C$1),$G73,0))*IF($A73="Residential",'General Inputs'!V$14,'General Inputs'!V$19)</f>
        <v>0</v>
      </c>
      <c r="CP73" s="214">
        <f>IF(AND(($E73+$C$1)&gt;CP$4,CP$4&gt;=$C$1),$H73,IF(AND(($D73+$C$1)&gt;CP$4,CP$4&gt;=$C$1),$G73,0))*IF($A73="Residential",'General Inputs'!W$14,'General Inputs'!W$19)</f>
        <v>0</v>
      </c>
      <c r="CR73" s="214">
        <f>IF(AND(($E73+$C$1)&gt;CR$4,CR$4&gt;=$C$1),$H73,IF(AND(($D73+$C$1)&gt;CR$4,CR$4&gt;=$C$1),$G73,0))*IF($A73="Residential",'General Inputs'!D$15,'General Inputs'!D$19)</f>
        <v>0</v>
      </c>
      <c r="CS73" s="214">
        <f>IF(AND(($E73+$C$1)&gt;CS$4,CS$4&gt;=$C$1),$H73,IF(AND(($D73+$C$1)&gt;CS$4,CS$4&gt;=$C$1),$G73,0))*IF($A73="Residential",'General Inputs'!E$15,'General Inputs'!E$19)</f>
        <v>0</v>
      </c>
      <c r="CT73" s="214">
        <f>IF(AND(($E73+$C$1)&gt;CT$4,CT$4&gt;=$C$1),$H73,IF(AND(($D73+$C$1)&gt;CT$4,CT$4&gt;=$C$1),$G73,0))*IF($A73="Residential",'General Inputs'!F$15,'General Inputs'!F$19)</f>
        <v>0</v>
      </c>
      <c r="CU73" s="214">
        <f>IF(AND(($E73+$C$1)&gt;CU$4,CU$4&gt;=$C$1),$H73,IF(AND(($D73+$C$1)&gt;CU$4,CU$4&gt;=$C$1),$G73,0))*IF($A73="Residential",'General Inputs'!G$15,'General Inputs'!G$19)</f>
        <v>0</v>
      </c>
      <c r="CV73" s="214">
        <f>IF(AND(($E73+$C$1)&gt;CV$4,CV$4&gt;=$C$1),$H73,IF(AND(($D73+$C$1)&gt;CV$4,CV$4&gt;=$C$1),$G73,0))*IF($A73="Residential",'General Inputs'!H$15,'General Inputs'!H$19)</f>
        <v>0</v>
      </c>
      <c r="CW73" s="214">
        <f>IF(AND(($E73+$C$1)&gt;CW$4,CW$4&gt;=$C$1),$H73,IF(AND(($D73+$C$1)&gt;CW$4,CW$4&gt;=$C$1),$G73,0))*IF($A73="Residential",'General Inputs'!I$15,'General Inputs'!I$19)</f>
        <v>0</v>
      </c>
      <c r="CX73" s="214">
        <f>IF(AND(($E73+$C$1)&gt;CX$4,CX$4&gt;=$C$1),$H73,IF(AND(($D73+$C$1)&gt;CX$4,CX$4&gt;=$C$1),$G73,0))*IF($A73="Residential",'General Inputs'!J$15,'General Inputs'!J$19)</f>
        <v>0</v>
      </c>
      <c r="CY73" s="214">
        <f>IF(AND(($E73+$C$1)&gt;CY$4,CY$4&gt;=$C$1),$H73,IF(AND(($D73+$C$1)&gt;CY$4,CY$4&gt;=$C$1),$G73,0))*IF($A73="Residential",'General Inputs'!K$15,'General Inputs'!K$19)</f>
        <v>0</v>
      </c>
      <c r="CZ73" s="214">
        <f>IF(AND(($E73+$C$1)&gt;CZ$4,CZ$4&gt;=$C$1),$H73,IF(AND(($D73+$C$1)&gt;CZ$4,CZ$4&gt;=$C$1),$G73,0))*IF($A73="Residential",'General Inputs'!L$15,'General Inputs'!L$19)</f>
        <v>0</v>
      </c>
      <c r="DA73" s="214">
        <f>IF(AND(($E73+$C$1)&gt;DA$4,DA$4&gt;=$C$1),$H73,IF(AND(($D73+$C$1)&gt;DA$4,DA$4&gt;=$C$1),$G73,0))*IF($A73="Residential",'General Inputs'!M$15,'General Inputs'!M$19)</f>
        <v>0</v>
      </c>
      <c r="DB73" s="214">
        <f>IF(AND(($E73+$C$1)&gt;DB$4,DB$4&gt;=$C$1),$H73,IF(AND(($D73+$C$1)&gt;DB$4,DB$4&gt;=$C$1),$G73,0))*IF($A73="Residential",'General Inputs'!N$15,'General Inputs'!N$19)</f>
        <v>0</v>
      </c>
      <c r="DC73" s="214">
        <f>IF(AND(($E73+$C$1)&gt;DC$4,DC$4&gt;=$C$1),$H73,IF(AND(($D73+$C$1)&gt;DC$4,DC$4&gt;=$C$1),$G73,0))*IF($A73="Residential",'General Inputs'!O$15,'General Inputs'!O$19)</f>
        <v>0</v>
      </c>
      <c r="DD73" s="214">
        <f>IF(AND(($E73+$C$1)&gt;DD$4,DD$4&gt;=$C$1),$H73,IF(AND(($D73+$C$1)&gt;DD$4,DD$4&gt;=$C$1),$G73,0))*IF($A73="Residential",'General Inputs'!P$15,'General Inputs'!P$19)</f>
        <v>0</v>
      </c>
      <c r="DE73" s="214">
        <f>IF(AND(($E73+$C$1)&gt;DE$4,DE$4&gt;=$C$1),$H73,IF(AND(($D73+$C$1)&gt;DE$4,DE$4&gt;=$C$1),$G73,0))*IF($A73="Residential",'General Inputs'!Q$15,'General Inputs'!Q$19)</f>
        <v>0</v>
      </c>
      <c r="DF73" s="214">
        <f>IF(AND(($E73+$C$1)&gt;DF$4,DF$4&gt;=$C$1),$H73,IF(AND(($D73+$C$1)&gt;DF$4,DF$4&gt;=$C$1),$G73,0))*IF($A73="Residential",'General Inputs'!R$15,'General Inputs'!R$19)</f>
        <v>0</v>
      </c>
      <c r="DG73" s="214">
        <f>IF(AND(($E73+$C$1)&gt;DG$4,DG$4&gt;=$C$1),$H73,IF(AND(($D73+$C$1)&gt;DG$4,DG$4&gt;=$C$1),$G73,0))*IF($A73="Residential",'General Inputs'!S$15,'General Inputs'!S$19)</f>
        <v>0</v>
      </c>
      <c r="DH73" s="214">
        <f>IF(AND(($E73+$C$1)&gt;DH$4,DH$4&gt;=$C$1),$H73,IF(AND(($D73+$C$1)&gt;DH$4,DH$4&gt;=$C$1),$G73,0))*IF($A73="Residential",'General Inputs'!T$15,'General Inputs'!T$19)</f>
        <v>0</v>
      </c>
      <c r="DI73" s="214">
        <f>IF(AND(($E73+$C$1)&gt;DI$4,DI$4&gt;=$C$1),$H73,IF(AND(($D73+$C$1)&gt;DI$4,DI$4&gt;=$C$1),$G73,0))*IF($A73="Residential",'General Inputs'!U$15,'General Inputs'!U$19)</f>
        <v>0</v>
      </c>
      <c r="DJ73" s="214">
        <f>IF(AND(($E73+$C$1)&gt;DJ$4,DJ$4&gt;=$C$1),$H73,IF(AND(($D73+$C$1)&gt;DJ$4,DJ$4&gt;=$C$1),$G73,0))*IF($A73="Residential",'General Inputs'!V$15,'General Inputs'!V$19)</f>
        <v>0</v>
      </c>
      <c r="DK73" s="214">
        <f>IF(AND(($E73+$C$1)&gt;DK$4,DK$4&gt;=$C$1),$H73,IF(AND(($D73+$C$1)&gt;DK$4,DK$4&gt;=$C$1),$G73,0))*IF($A73="Residential",'General Inputs'!W$15,'General Inputs'!W$19)</f>
        <v>0</v>
      </c>
      <c r="DM73" s="214">
        <f t="shared" si="100"/>
        <v>0</v>
      </c>
      <c r="DN73" s="214">
        <f t="shared" si="100"/>
        <v>0</v>
      </c>
      <c r="DO73" s="214">
        <f t="shared" si="100"/>
        <v>0</v>
      </c>
      <c r="DP73" s="214">
        <f t="shared" si="100"/>
        <v>0</v>
      </c>
      <c r="DQ73" s="214">
        <f t="shared" si="100"/>
        <v>0</v>
      </c>
      <c r="DR73" s="214">
        <f t="shared" si="100"/>
        <v>0</v>
      </c>
      <c r="DS73" s="214">
        <f t="shared" si="100"/>
        <v>0</v>
      </c>
      <c r="DT73" s="214">
        <f t="shared" si="100"/>
        <v>0</v>
      </c>
      <c r="DU73" s="214">
        <f t="shared" si="100"/>
        <v>0</v>
      </c>
      <c r="DV73" s="214">
        <f t="shared" si="100"/>
        <v>0</v>
      </c>
      <c r="DW73" s="214">
        <f t="shared" si="100"/>
        <v>0</v>
      </c>
      <c r="DZ73" s="650"/>
      <c r="FI73" s="195"/>
      <c r="FJ73" s="195"/>
      <c r="FK73" s="195"/>
      <c r="FL73" s="195"/>
      <c r="FM73" s="195"/>
      <c r="FN73" s="195"/>
      <c r="FO73" s="195"/>
    </row>
    <row r="74" spans="1:171">
      <c r="A74" s="342" t="s">
        <v>112</v>
      </c>
      <c r="B74" s="427" t="str">
        <f>'Portfolio Inputs'!A73</f>
        <v>Wall Mount Occupancy</v>
      </c>
      <c r="C74" s="217">
        <f>IF($C$1=2014,'Portfolio Inputs'!$C73,IF($C$1=2015,'Portfolio Inputs'!$D73,'Portfolio Inputs'!$E73))</f>
        <v>3</v>
      </c>
      <c r="D74" s="504">
        <f>VLOOKUP(B74,Sources!$B$4:$J$104,2,FALSE)</f>
        <v>8</v>
      </c>
      <c r="E74" s="504">
        <f>VLOOKUP(B74,Sources!$B$4:$J$104,3,FALSE)</f>
        <v>0</v>
      </c>
      <c r="G74" s="504">
        <f>IF($C$1=2014,'Portfolio Inputs'!$G73,IF($C$1=2015,'Portfolio Inputs'!$H73,'Portfolio Inputs'!$I73))*EnergyLineLoss</f>
        <v>1050.63309</v>
      </c>
      <c r="H74" s="504"/>
      <c r="I74" s="595">
        <f>IF($C$1=2014,'Portfolio Inputs'!$K73,IF($C$1=2015,'Portfolio Inputs'!$L73,'Portfolio Inputs'!$M73))*PeakLineLoss</f>
        <v>3.3552476100000006E-2</v>
      </c>
      <c r="J74" s="510"/>
      <c r="L74" s="606">
        <f>IF($C$1=2014,'Portfolio Inputs'!$O73,IF($C$1=2015,'Portfolio Inputs'!$P73,'Portfolio Inputs'!$Q73))</f>
        <v>55</v>
      </c>
      <c r="M74" s="518">
        <f>VLOOKUP($B74,Sources!$B$4:$K$104,10,FALSE)</f>
        <v>0</v>
      </c>
      <c r="N74" s="419">
        <f>IF($C$1=2014,'Portfolio Inputs'!$W73,IF($C$1=2015,'Portfolio Inputs'!$X73,'Portfolio Inputs'!$Y73))</f>
        <v>36</v>
      </c>
      <c r="O74" s="419">
        <f>IF($C$1=2014,'Portfolio Inputs'!$AA73,IF($C$1=2015,'Portfolio Inputs'!$AB73,'Portfolio Inputs'!$AC73))</f>
        <v>0</v>
      </c>
      <c r="Q74" s="438">
        <f t="shared" si="67"/>
        <v>1.6524930431174085</v>
      </c>
      <c r="R74" s="439">
        <f t="shared" si="68"/>
        <v>7.5739264476214556</v>
      </c>
      <c r="S74" s="439">
        <f t="shared" si="69"/>
        <v>2.0923898923705622</v>
      </c>
      <c r="T74" s="439">
        <f t="shared" si="70"/>
        <v>4.502835987551002</v>
      </c>
      <c r="U74" s="439">
        <f t="shared" si="98"/>
        <v>4.502835987551002</v>
      </c>
      <c r="V74" s="439">
        <f t="shared" si="72"/>
        <v>0.36698939239316258</v>
      </c>
      <c r="W74" s="439">
        <f t="shared" si="73"/>
        <v>0.36698939239316258</v>
      </c>
      <c r="Y74" s="215">
        <f t="shared" si="101"/>
        <v>250.51575901724769</v>
      </c>
      <c r="Z74" s="215">
        <f t="shared" si="102"/>
        <v>66.687780344331429</v>
      </c>
      <c r="AA74" s="215">
        <f t="shared" si="103"/>
        <v>649.54790329466675</v>
      </c>
      <c r="AB74" s="215">
        <f t="shared" si="104"/>
        <v>649.54790329466675</v>
      </c>
      <c r="AC74" s="216">
        <f t="shared" si="20"/>
        <v>0</v>
      </c>
      <c r="AD74" s="216">
        <f t="shared" si="21"/>
        <v>33.076074972436601</v>
      </c>
      <c r="AE74" s="215">
        <f t="shared" si="105"/>
        <v>151.59867695700109</v>
      </c>
      <c r="AG74" s="214">
        <f>IF(AND(($E74+$C$1)&gt;AG$4,AG$4&gt;=$C$1),'General Inputs'!D$9*$H74,IF(AND(($D74+$C$1)&gt;AG$4,AG$4&gt;=$C$1),'General Inputs'!D$9*$G74,0))+IF(AND(($E74+$C$1)&gt;AG$4,AG$4&gt;=$C$1),'General Inputs'!D$10*$J74,IF(AND(($D74+$C$1)&gt;AG$4,AG$4&gt;=$C$1),'General Inputs'!D$10*$I74,0))</f>
        <v>0</v>
      </c>
      <c r="AH74" s="214">
        <f>IF(AND(($E74+$C$1)&gt;AH$4,AH$4&gt;=$C$1),'General Inputs'!E$9*$H74,IF(AND(($D74+$C$1)&gt;AH$4,AH$4&gt;=$C$1),'General Inputs'!E$9*$G74,0))+IF(AND(($E74+$C$1)&gt;AH$4,AH$4&gt;=$C$1),'General Inputs'!E$10*$J74,IF(AND(($D74+$C$1)&gt;AH$4,AH$4&gt;=$C$1),'General Inputs'!E$10*$I74,0))</f>
        <v>42.965461196387636</v>
      </c>
      <c r="AI74" s="214">
        <f>IF(AND(($E74+$C$1)&gt;AI$4,AI$4&gt;=$C$1),'General Inputs'!F$9*$H74,IF(AND(($D74+$C$1)&gt;AI$4,AI$4&gt;=$C$1),'General Inputs'!F$9*$G74,0))+IF(AND(($E74+$C$1)&gt;AI$4,AI$4&gt;=$C$1),'General Inputs'!F$10*$J74,IF(AND(($D74+$C$1)&gt;AI$4,AI$4&gt;=$C$1),'General Inputs'!F$10*$I74,0))</f>
        <v>43.609943114333447</v>
      </c>
      <c r="AJ74" s="214">
        <f>IF(AND(($E74+$C$1)&gt;AJ$4,AJ$4&gt;=$C$1),'General Inputs'!G$9*$H74,IF(AND(($D74+$C$1)&gt;AJ$4,AJ$4&gt;=$C$1),'General Inputs'!G$9*$G74,0))+IF(AND(($E74+$C$1)&gt;AJ$4,AJ$4&gt;=$C$1),'General Inputs'!G$10*$J74,IF(AND(($D74+$C$1)&gt;AJ$4,AJ$4&gt;=$C$1),'General Inputs'!G$10*$I74,0))</f>
        <v>44.264092261048447</v>
      </c>
      <c r="AK74" s="214">
        <f>IF(AND(($E74+$C$1)&gt;AK$4,AK$4&gt;=$C$1),'General Inputs'!H$9*$H74,IF(AND(($D74+$C$1)&gt;AK$4,AK$4&gt;=$C$1),'General Inputs'!H$9*$G74,0))+IF(AND(($E74+$C$1)&gt;AK$4,AK$4&gt;=$C$1),'General Inputs'!H$10*$J74,IF(AND(($D74+$C$1)&gt;AK$4,AK$4&gt;=$C$1),'General Inputs'!H$10*$I74,0))</f>
        <v>44.928053644964166</v>
      </c>
      <c r="AL74" s="214">
        <f>IF(AND(($E74+$C$1)&gt;AL$4,AL$4&gt;=$C$1),'General Inputs'!I$9*$H74,IF(AND(($D74+$C$1)&gt;AL$4,AL$4&gt;=$C$1),'General Inputs'!I$9*$G74,0))+IF(AND(($E74+$C$1)&gt;AL$4,AL$4&gt;=$C$1),'General Inputs'!I$10*$J74,IF(AND(($D74+$C$1)&gt;AL$4,AL$4&gt;=$C$1),'General Inputs'!I$10*$I74,0))</f>
        <v>45.601974449638625</v>
      </c>
      <c r="AM74" s="214">
        <f>IF(AND(($E74+$C$1)&gt;AM$4,AM$4&gt;=$C$1),'General Inputs'!J$9*$H74,IF(AND(($D74+$C$1)&gt;AM$4,AM$4&gt;=$C$1),'General Inputs'!J$9*$G74,0))+IF(AND(($E74+$C$1)&gt;AM$4,AM$4&gt;=$C$1),'General Inputs'!J$10*$J74,IF(AND(($D74+$C$1)&gt;AM$4,AM$4&gt;=$C$1),'General Inputs'!J$10*$I74,0))</f>
        <v>46.2860040663832</v>
      </c>
      <c r="AN74" s="214">
        <f>IF(AND(($E74+$C$1)&gt;AN$4,AN$4&gt;=$C$1),'General Inputs'!K$9*$H74,IF(AND(($D74+$C$1)&gt;AN$4,AN$4&gt;=$C$1),'General Inputs'!K$9*$G74,0))+IF(AND(($E74+$C$1)&gt;AN$4,AN$4&gt;=$C$1),'General Inputs'!K$10*$J74,IF(AND(($D74+$C$1)&gt;AN$4,AN$4&gt;=$C$1),'General Inputs'!K$10*$I74,0))</f>
        <v>46.980294127378933</v>
      </c>
      <c r="AO74" s="214">
        <f>IF(AND(($E74+$C$1)&gt;AO$4,AO$4&gt;=$C$1),'General Inputs'!L$9*$H74,IF(AND(($D74+$C$1)&gt;AO$4,AO$4&gt;=$C$1),'General Inputs'!L$9*$G74,0))+IF(AND(($E74+$C$1)&gt;AO$4,AO$4&gt;=$C$1),'General Inputs'!L$10*$J74,IF(AND(($D74+$C$1)&gt;AO$4,AO$4&gt;=$C$1),'General Inputs'!L$10*$I74,0))</f>
        <v>47.684998539289616</v>
      </c>
      <c r="AP74" s="214">
        <f>IF(AND(($E74+$C$1)&gt;AP$4,AP$4&gt;=$C$1),'General Inputs'!M$9*$H74,IF(AND(($D74+$C$1)&gt;AP$4,AP$4&gt;=$C$1),'General Inputs'!M$9*$G74,0))+IF(AND(($E74+$C$1)&gt;AP$4,AP$4&gt;=$C$1),'General Inputs'!M$10*$J74,IF(AND(($D74+$C$1)&gt;AP$4,AP$4&gt;=$C$1),'General Inputs'!M$10*$I74,0))</f>
        <v>0</v>
      </c>
      <c r="AQ74" s="214">
        <f>IF(AND(($E74+$C$1)&gt;AQ$4,AQ$4&gt;=$C$1),'General Inputs'!N$9*$H74,IF(AND(($D74+$C$1)&gt;AQ$4,AQ$4&gt;=$C$1),'General Inputs'!N$9*$G74,0))+IF(AND(($E74+$C$1)&gt;AQ$4,AQ$4&gt;=$C$1),'General Inputs'!N$10*$J74,IF(AND(($D74+$C$1)&gt;AQ$4,AQ$4&gt;=$C$1),'General Inputs'!N$10*$I74,0))</f>
        <v>0</v>
      </c>
      <c r="AR74" s="214">
        <f>IF(AND(($E74+$C$1)&gt;AR$4,AR$4&gt;=$C$1),'General Inputs'!O$9*$H74,IF(AND(($D74+$C$1)&gt;AR$4,AR$4&gt;=$C$1),'General Inputs'!O$9*$G74,0))+IF(AND(($E74+$C$1)&gt;AR$4,AR$4&gt;=$C$1),'General Inputs'!O$10*$J74,IF(AND(($D74+$C$1)&gt;AR$4,AR$4&gt;=$C$1),'General Inputs'!O$10*$I74,0))</f>
        <v>0</v>
      </c>
      <c r="AS74" s="214">
        <f>IF(AND(($E74+$C$1)&gt;AS$4,AS$4&gt;=$C$1),'General Inputs'!P$9*$H74,IF(AND(($D74+$C$1)&gt;AS$4,AS$4&gt;=$C$1),'General Inputs'!P$9*$G74,0))+IF(AND(($E74+$C$1)&gt;AS$4,AS$4&gt;=$C$1),'General Inputs'!P$10*$J74,IF(AND(($D74+$C$1)&gt;AS$4,AS$4&gt;=$C$1),'General Inputs'!P$10*$I74,0))</f>
        <v>0</v>
      </c>
      <c r="AT74" s="214">
        <f>IF(AND(($E74+$C$1)&gt;AT$4,AT$4&gt;=$C$1),'General Inputs'!Q$9*$H74,IF(AND(($D74+$C$1)&gt;AT$4,AT$4&gt;=$C$1),'General Inputs'!Q$9*$G74,0))+IF(AND(($E74+$C$1)&gt;AT$4,AT$4&gt;=$C$1),'General Inputs'!Q$10*$J74,IF(AND(($D74+$C$1)&gt;AT$4,AT$4&gt;=$C$1),'General Inputs'!Q$10*$I74,0))</f>
        <v>0</v>
      </c>
      <c r="AU74" s="214">
        <f>IF(AND(($E74+$C$1)&gt;AU$4,AU$4&gt;=$C$1),'General Inputs'!R$9*$H74,IF(AND(($D74+$C$1)&gt;AU$4,AU$4&gt;=$C$1),'General Inputs'!R$9*$G74,0))+IF(AND(($E74+$C$1)&gt;AU$4,AU$4&gt;=$C$1),'General Inputs'!R$10*$J74,IF(AND(($D74+$C$1)&gt;AU$4,AU$4&gt;=$C$1),'General Inputs'!R$10*$I74,0))</f>
        <v>0</v>
      </c>
      <c r="AV74" s="214">
        <f>IF(AND(($E74+$C$1)&gt;AV$4,AV$4&gt;=$C$1),'General Inputs'!S$9*$H74,IF(AND(($D74+$C$1)&gt;AV$4,AV$4&gt;=$C$1),'General Inputs'!S$9*$G74,0))+IF(AND(($E74+$C$1)&gt;AV$4,AV$4&gt;=$C$1),'General Inputs'!S$10*$J74,IF(AND(($D74+$C$1)&gt;AV$4,AV$4&gt;=$C$1),'General Inputs'!S$10*$I74,0))</f>
        <v>0</v>
      </c>
      <c r="AW74" s="214">
        <f>IF(AND(($E74+$C$1)&gt;AW$4,AW$4&gt;=$C$1),'General Inputs'!T$9*$H74,IF(AND(($D74+$C$1)&gt;AW$4,AW$4&gt;=$C$1),'General Inputs'!T$9*$G74,0))+IF(AND(($E74+$C$1)&gt;AW$4,AW$4&gt;=$C$1),'General Inputs'!T$10*$J74,IF(AND(($D74+$C$1)&gt;AW$4,AW$4&gt;=$C$1),'General Inputs'!T$10*$I74,0))</f>
        <v>0</v>
      </c>
      <c r="AX74" s="214">
        <f>IF(AND(($E74+$C$1)&gt;AX$4,AX$4&gt;=$C$1),'General Inputs'!U$9*$H74,IF(AND(($D74+$C$1)&gt;AX$4,AX$4&gt;=$C$1),'General Inputs'!U$9*$G74,0))+IF(AND(($E74+$C$1)&gt;AX$4,AX$4&gt;=$C$1),'General Inputs'!U$10*$J74,IF(AND(($D74+$C$1)&gt;AX$4,AX$4&gt;=$C$1),'General Inputs'!U$10*$I74,0))</f>
        <v>0</v>
      </c>
      <c r="AY74" s="214">
        <f>IF(AND(($E74+$C$1)&gt;AY$4,AY$4&gt;=$C$1),'General Inputs'!V$9*$H74,IF(AND(($D74+$C$1)&gt;AY$4,AY$4&gt;=$C$1),'General Inputs'!V$9*$G74,0))+IF(AND(($E74+$C$1)&gt;AY$4,AY$4&gt;=$C$1),'General Inputs'!V$10*$J74,IF(AND(($D74+$C$1)&gt;AY$4,AY$4&gt;=$C$1),'General Inputs'!V$10*$I74,0))</f>
        <v>0</v>
      </c>
      <c r="AZ74" s="214">
        <f>IF(AND(($E74+$C$1)&gt;AZ$4,AZ$4&gt;=$C$1),'General Inputs'!W$9*$H74,IF(AND(($D74+$C$1)&gt;AZ$4,AZ$4&gt;=$C$1),'General Inputs'!W$9*$G74,0))+IF(AND(($E74+$C$1)&gt;AZ$4,AZ$4&gt;=$C$1),'General Inputs'!W$10*$J74,IF(AND(($D74+$C$1)&gt;AZ$4,AZ$4&gt;=$C$1),'General Inputs'!W$10*$I74,0))</f>
        <v>0</v>
      </c>
      <c r="BB74" s="214">
        <f>IF(AND(($E74+$C$1)&gt;BB$4,BB$4&gt;=$C$1),'General Inputs'!D$11*$H74,IF(AND(($D74+$C$1)&gt;BB$4,BB$4&gt;=$C$1),'General Inputs'!D$11*$G74,0))</f>
        <v>0</v>
      </c>
      <c r="BC74" s="214">
        <f>IF(AND(($E74+$C$1)&gt;BC$4,BC$4&gt;=$C$1),'General Inputs'!E$11*$H74,IF(AND(($D74+$C$1)&gt;BC$4,BC$4&gt;=$C$1),'General Inputs'!E$11*$G74,0))</f>
        <v>11.977217226</v>
      </c>
      <c r="BD74" s="214">
        <f>IF(AND(($E74+$C$1)&gt;BD$4,BD$4&gt;=$C$1),'General Inputs'!F$11*$H74,IF(AND(($D74+$C$1)&gt;BD$4,BD$4&gt;=$C$1),'General Inputs'!F$11*$G74,0))</f>
        <v>11.977217226</v>
      </c>
      <c r="BE74" s="214">
        <f>IF(AND(($E74+$C$1)&gt;BE$4,BE$4&gt;=$C$1),'General Inputs'!G$11*$H74,IF(AND(($D74+$C$1)&gt;BE$4,BE$4&gt;=$C$1),'General Inputs'!G$11*$G74,0))</f>
        <v>11.977217226</v>
      </c>
      <c r="BF74" s="214">
        <f>IF(AND(($E74+$C$1)&gt;BF$4,BF$4&gt;=$C$1),'General Inputs'!H$11*$H74,IF(AND(($D74+$C$1)&gt;BF$4,BF$4&gt;=$C$1),'General Inputs'!H$11*$G74,0))</f>
        <v>11.977217226</v>
      </c>
      <c r="BG74" s="214">
        <f>IF(AND(($E74+$C$1)&gt;BG$4,BG$4&gt;=$C$1),'General Inputs'!I$11*$H74,IF(AND(($D74+$C$1)&gt;BG$4,BG$4&gt;=$C$1),'General Inputs'!I$11*$G74,0))</f>
        <v>11.977217226</v>
      </c>
      <c r="BH74" s="214">
        <f>IF(AND(($E74+$C$1)&gt;BH$4,BH$4&gt;=$C$1),'General Inputs'!J$11*$H74,IF(AND(($D74+$C$1)&gt;BH$4,BH$4&gt;=$C$1),'General Inputs'!J$11*$G74,0))</f>
        <v>11.977217226</v>
      </c>
      <c r="BI74" s="214">
        <f>IF(AND(($E74+$C$1)&gt;BI$4,BI$4&gt;=$C$1),'General Inputs'!K$11*$H74,IF(AND(($D74+$C$1)&gt;BI$4,BI$4&gt;=$C$1),'General Inputs'!K$11*$G74,0))</f>
        <v>11.977217226</v>
      </c>
      <c r="BJ74" s="214">
        <f>IF(AND(($E74+$C$1)&gt;BJ$4,BJ$4&gt;=$C$1),'General Inputs'!L$11*$H74,IF(AND(($D74+$C$1)&gt;BJ$4,BJ$4&gt;=$C$1),'General Inputs'!L$11*$G74,0))</f>
        <v>11.977217226</v>
      </c>
      <c r="BK74" s="214">
        <f>IF(AND(($E74+$C$1)&gt;BK$4,BK$4&gt;=$C$1),'General Inputs'!M$11*$H74,IF(AND(($D74+$C$1)&gt;BK$4,BK$4&gt;=$C$1),'General Inputs'!M$11*$G74,0))</f>
        <v>0</v>
      </c>
      <c r="BL74" s="214">
        <f>IF(AND(($E74+$C$1)&gt;BL$4,BL$4&gt;=$C$1),'General Inputs'!N$11*$H74,IF(AND(($D74+$C$1)&gt;BL$4,BL$4&gt;=$C$1),'General Inputs'!N$11*$G74,0))</f>
        <v>0</v>
      </c>
      <c r="BM74" s="214">
        <f>IF(AND(($E74+$C$1)&gt;BM$4,BM$4&gt;=$C$1),'General Inputs'!O$11*$H74,IF(AND(($D74+$C$1)&gt;BM$4,BM$4&gt;=$C$1),'General Inputs'!O$11*$G74,0))</f>
        <v>0</v>
      </c>
      <c r="BN74" s="214">
        <f>IF(AND(($E74+$C$1)&gt;BN$4,BN$4&gt;=$C$1),'General Inputs'!P$11*$H74,IF(AND(($D74+$C$1)&gt;BN$4,BN$4&gt;=$C$1),'General Inputs'!P$11*$G74,0))</f>
        <v>0</v>
      </c>
      <c r="BO74" s="214">
        <f>IF(AND(($E74+$C$1)&gt;BO$4,BO$4&gt;=$C$1),'General Inputs'!Q$11*$H74,IF(AND(($D74+$C$1)&gt;BO$4,BO$4&gt;=$C$1),'General Inputs'!Q$11*$G74,0))</f>
        <v>0</v>
      </c>
      <c r="BP74" s="214">
        <f>IF(AND(($E74+$C$1)&gt;BP$4,BP$4&gt;=$C$1),'General Inputs'!R$11*$H74,IF(AND(($D74+$C$1)&gt;BP$4,BP$4&gt;=$C$1),'General Inputs'!R$11*$G74,0))</f>
        <v>0</v>
      </c>
      <c r="BQ74" s="214">
        <f>IF(AND(($E74+$C$1)&gt;BQ$4,BQ$4&gt;=$C$1),'General Inputs'!S$11*$H74,IF(AND(($D74+$C$1)&gt;BQ$4,BQ$4&gt;=$C$1),'General Inputs'!S$11*$G74,0))</f>
        <v>0</v>
      </c>
      <c r="BR74" s="214">
        <f>IF(AND(($E74+$C$1)&gt;BR$4,BR$4&gt;=$C$1),'General Inputs'!T$11*$H74,IF(AND(($D74+$C$1)&gt;BR$4,BR$4&gt;=$C$1),'General Inputs'!T$11*$G74,0))</f>
        <v>0</v>
      </c>
      <c r="BS74" s="214">
        <f>IF(AND(($E74+$C$1)&gt;BS$4,BS$4&gt;=$C$1),'General Inputs'!U$11*$H74,IF(AND(($D74+$C$1)&gt;BS$4,BS$4&gt;=$C$1),'General Inputs'!U$11*$G74,0))</f>
        <v>0</v>
      </c>
      <c r="BT74" s="214">
        <f>IF(AND(($E74+$C$1)&gt;BT$4,BT$4&gt;=$C$1),'General Inputs'!V$11*$H74,IF(AND(($D74+$C$1)&gt;BT$4,BT$4&gt;=$C$1),'General Inputs'!V$11*$G74,0))</f>
        <v>0</v>
      </c>
      <c r="BU74" s="214">
        <f>IF(AND(($E74+$C$1)&gt;BU$4,BU$4&gt;=$C$1),'General Inputs'!W$11*$H74,IF(AND(($D74+$C$1)&gt;BU$4,BU$4&gt;=$C$1),'General Inputs'!W$11*$G74,0))</f>
        <v>0</v>
      </c>
      <c r="BW74" s="214">
        <f>IF(AND(($E74+$C$1)&gt;BW$4,BW$4&gt;=$C$1),$H74,IF(AND(($D74+$C$1)&gt;BW$4,BW$4&gt;=$C$1),$G74,0))*IF($A74="Residential",'General Inputs'!D$14,'General Inputs'!D$19)</f>
        <v>0</v>
      </c>
      <c r="BX74" s="214">
        <f>IF(AND(($E74+$C$1)&gt;BX$4,BX$4&gt;=$C$1),$H74,IF(AND(($D74+$C$1)&gt;BX$4,BX$4&gt;=$C$1),$G74,0))*IF($A74="Residential",'General Inputs'!E$14,'General Inputs'!E$19)</f>
        <v>111.40267320380637</v>
      </c>
      <c r="BY74" s="214">
        <f>IF(AND(($E74+$C$1)&gt;BY$4,BY$4&gt;=$C$1),$H74,IF(AND(($D74+$C$1)&gt;BY$4,BY$4&gt;=$C$1),$G74,0))*IF($A74="Residential",'General Inputs'!F$14,'General Inputs'!F$19)</f>
        <v>113.07371330186346</v>
      </c>
      <c r="BZ74" s="214">
        <f>IF(AND(($E74+$C$1)&gt;BZ$4,BZ$4&gt;=$C$1),$H74,IF(AND(($D74+$C$1)&gt;BZ$4,BZ$4&gt;=$C$1),$G74,0))*IF($A74="Residential",'General Inputs'!G$14,'General Inputs'!G$19)</f>
        <v>114.76981900139141</v>
      </c>
      <c r="CA74" s="214">
        <f>IF(AND(($E74+$C$1)&gt;CA$4,CA$4&gt;=$C$1),$H74,IF(AND(($D74+$C$1)&gt;CA$4,CA$4&gt;=$C$1),$G74,0))*IF($A74="Residential",'General Inputs'!H$14,'General Inputs'!H$19)</f>
        <v>116.49136628641226</v>
      </c>
      <c r="CB74" s="214">
        <f>IF(AND(($E74+$C$1)&gt;CB$4,CB$4&gt;=$C$1),$H74,IF(AND(($D74+$C$1)&gt;CB$4,CB$4&gt;=$C$1),$G74,0))*IF($A74="Residential",'General Inputs'!I$14,'General Inputs'!I$19)</f>
        <v>118.23873678070842</v>
      </c>
      <c r="CC74" s="214">
        <f>IF(AND(($E74+$C$1)&gt;CC$4,CC$4&gt;=$C$1),$H74,IF(AND(($D74+$C$1)&gt;CC$4,CC$4&gt;=$C$1),$G74,0))*IF($A74="Residential",'General Inputs'!J$14,'General Inputs'!J$19)</f>
        <v>120.01231783241904</v>
      </c>
      <c r="CD74" s="214">
        <f>IF(AND(($E74+$C$1)&gt;CD$4,CD$4&gt;=$C$1),$H74,IF(AND(($D74+$C$1)&gt;CD$4,CD$4&gt;=$C$1),$G74,0))*IF($A74="Residential",'General Inputs'!K$14,'General Inputs'!K$19)</f>
        <v>121.81250259990532</v>
      </c>
      <c r="CE74" s="214">
        <f>IF(AND(($E74+$C$1)&gt;CE$4,CE$4&gt;=$C$1),$H74,IF(AND(($D74+$C$1)&gt;CE$4,CE$4&gt;=$C$1),$G74,0))*IF($A74="Residential",'General Inputs'!L$14,'General Inputs'!L$19)</f>
        <v>123.63969013890387</v>
      </c>
      <c r="CF74" s="214">
        <f>IF(AND(($E74+$C$1)&gt;CF$4,CF$4&gt;=$C$1),$H74,IF(AND(($D74+$C$1)&gt;CF$4,CF$4&gt;=$C$1),$G74,0))*IF($A74="Residential",'General Inputs'!M$14,'General Inputs'!M$19)</f>
        <v>0</v>
      </c>
      <c r="CG74" s="214">
        <f>IF(AND(($E74+$C$1)&gt;CG$4,CG$4&gt;=$C$1),$H74,IF(AND(($D74+$C$1)&gt;CG$4,CG$4&gt;=$C$1),$G74,0))*IF($A74="Residential",'General Inputs'!N$14,'General Inputs'!N$19)</f>
        <v>0</v>
      </c>
      <c r="CH74" s="214">
        <f>IF(AND(($E74+$C$1)&gt;CH$4,CH$4&gt;=$C$1),$H74,IF(AND(($D74+$C$1)&gt;CH$4,CH$4&gt;=$C$1),$G74,0))*IF($A74="Residential",'General Inputs'!O$14,'General Inputs'!O$19)</f>
        <v>0</v>
      </c>
      <c r="CI74" s="214">
        <f>IF(AND(($E74+$C$1)&gt;CI$4,CI$4&gt;=$C$1),$H74,IF(AND(($D74+$C$1)&gt;CI$4,CI$4&gt;=$C$1),$G74,0))*IF($A74="Residential",'General Inputs'!P$14,'General Inputs'!P$19)</f>
        <v>0</v>
      </c>
      <c r="CJ74" s="214">
        <f>IF(AND(($E74+$C$1)&gt;CJ$4,CJ$4&gt;=$C$1),$H74,IF(AND(($D74+$C$1)&gt;CJ$4,CJ$4&gt;=$C$1),$G74,0))*IF($A74="Residential",'General Inputs'!Q$14,'General Inputs'!Q$19)</f>
        <v>0</v>
      </c>
      <c r="CK74" s="214">
        <f>IF(AND(($E74+$C$1)&gt;CK$4,CK$4&gt;=$C$1),$H74,IF(AND(($D74+$C$1)&gt;CK$4,CK$4&gt;=$C$1),$G74,0))*IF($A74="Residential",'General Inputs'!R$14,'General Inputs'!R$19)</f>
        <v>0</v>
      </c>
      <c r="CL74" s="214">
        <f>IF(AND(($E74+$C$1)&gt;CL$4,CL$4&gt;=$C$1),$H74,IF(AND(($D74+$C$1)&gt;CL$4,CL$4&gt;=$C$1),$G74,0))*IF($A74="Residential",'General Inputs'!S$14,'General Inputs'!S$19)</f>
        <v>0</v>
      </c>
      <c r="CM74" s="214">
        <f>IF(AND(($E74+$C$1)&gt;CM$4,CM$4&gt;=$C$1),$H74,IF(AND(($D74+$C$1)&gt;CM$4,CM$4&gt;=$C$1),$G74,0))*IF($A74="Residential",'General Inputs'!T$14,'General Inputs'!T$19)</f>
        <v>0</v>
      </c>
      <c r="CN74" s="214">
        <f>IF(AND(($E74+$C$1)&gt;CN$4,CN$4&gt;=$C$1),$H74,IF(AND(($D74+$C$1)&gt;CN$4,CN$4&gt;=$C$1),$G74,0))*IF($A74="Residential",'General Inputs'!U$14,'General Inputs'!U$19)</f>
        <v>0</v>
      </c>
      <c r="CO74" s="214">
        <f>IF(AND(($E74+$C$1)&gt;CO$4,CO$4&gt;=$C$1),$H74,IF(AND(($D74+$C$1)&gt;CO$4,CO$4&gt;=$C$1),$G74,0))*IF($A74="Residential",'General Inputs'!V$14,'General Inputs'!V$19)</f>
        <v>0</v>
      </c>
      <c r="CP74" s="214">
        <f>IF(AND(($E74+$C$1)&gt;CP$4,CP$4&gt;=$C$1),$H74,IF(AND(($D74+$C$1)&gt;CP$4,CP$4&gt;=$C$1),$G74,0))*IF($A74="Residential",'General Inputs'!W$14,'General Inputs'!W$19)</f>
        <v>0</v>
      </c>
      <c r="CR74" s="214">
        <f>IF(AND(($E74+$C$1)&gt;CR$4,CR$4&gt;=$C$1),$H74,IF(AND(($D74+$C$1)&gt;CR$4,CR$4&gt;=$C$1),$G74,0))*IF($A74="Residential",'General Inputs'!D$15,'General Inputs'!D$19)</f>
        <v>0</v>
      </c>
      <c r="CS74" s="214">
        <f>IF(AND(($E74+$C$1)&gt;CS$4,CS$4&gt;=$C$1),$H74,IF(AND(($D74+$C$1)&gt;CS$4,CS$4&gt;=$C$1),$G74,0))*IF($A74="Residential",'General Inputs'!E$15,'General Inputs'!E$19)</f>
        <v>111.40267320380637</v>
      </c>
      <c r="CT74" s="214">
        <f>IF(AND(($E74+$C$1)&gt;CT$4,CT$4&gt;=$C$1),$H74,IF(AND(($D74+$C$1)&gt;CT$4,CT$4&gt;=$C$1),$G74,0))*IF($A74="Residential",'General Inputs'!F$15,'General Inputs'!F$19)</f>
        <v>113.07371330186346</v>
      </c>
      <c r="CU74" s="214">
        <f>IF(AND(($E74+$C$1)&gt;CU$4,CU$4&gt;=$C$1),$H74,IF(AND(($D74+$C$1)&gt;CU$4,CU$4&gt;=$C$1),$G74,0))*IF($A74="Residential",'General Inputs'!G$15,'General Inputs'!G$19)</f>
        <v>114.76981900139141</v>
      </c>
      <c r="CV74" s="214">
        <f>IF(AND(($E74+$C$1)&gt;CV$4,CV$4&gt;=$C$1),$H74,IF(AND(($D74+$C$1)&gt;CV$4,CV$4&gt;=$C$1),$G74,0))*IF($A74="Residential",'General Inputs'!H$15,'General Inputs'!H$19)</f>
        <v>116.49136628641226</v>
      </c>
      <c r="CW74" s="214">
        <f>IF(AND(($E74+$C$1)&gt;CW$4,CW$4&gt;=$C$1),$H74,IF(AND(($D74+$C$1)&gt;CW$4,CW$4&gt;=$C$1),$G74,0))*IF($A74="Residential",'General Inputs'!I$15,'General Inputs'!I$19)</f>
        <v>118.23873678070842</v>
      </c>
      <c r="CX74" s="214">
        <f>IF(AND(($E74+$C$1)&gt;CX$4,CX$4&gt;=$C$1),$H74,IF(AND(($D74+$C$1)&gt;CX$4,CX$4&gt;=$C$1),$G74,0))*IF($A74="Residential",'General Inputs'!J$15,'General Inputs'!J$19)</f>
        <v>120.01231783241904</v>
      </c>
      <c r="CY74" s="214">
        <f>IF(AND(($E74+$C$1)&gt;CY$4,CY$4&gt;=$C$1),$H74,IF(AND(($D74+$C$1)&gt;CY$4,CY$4&gt;=$C$1),$G74,0))*IF($A74="Residential",'General Inputs'!K$15,'General Inputs'!K$19)</f>
        <v>121.81250259990532</v>
      </c>
      <c r="CZ74" s="214">
        <f>IF(AND(($E74+$C$1)&gt;CZ$4,CZ$4&gt;=$C$1),$H74,IF(AND(($D74+$C$1)&gt;CZ$4,CZ$4&gt;=$C$1),$G74,0))*IF($A74="Residential",'General Inputs'!L$15,'General Inputs'!L$19)</f>
        <v>123.63969013890387</v>
      </c>
      <c r="DA74" s="214">
        <f>IF(AND(($E74+$C$1)&gt;DA$4,DA$4&gt;=$C$1),$H74,IF(AND(($D74+$C$1)&gt;DA$4,DA$4&gt;=$C$1),$G74,0))*IF($A74="Residential",'General Inputs'!M$15,'General Inputs'!M$19)</f>
        <v>0</v>
      </c>
      <c r="DB74" s="214">
        <f>IF(AND(($E74+$C$1)&gt;DB$4,DB$4&gt;=$C$1),$H74,IF(AND(($D74+$C$1)&gt;DB$4,DB$4&gt;=$C$1),$G74,0))*IF($A74="Residential",'General Inputs'!N$15,'General Inputs'!N$19)</f>
        <v>0</v>
      </c>
      <c r="DC74" s="214">
        <f>IF(AND(($E74+$C$1)&gt;DC$4,DC$4&gt;=$C$1),$H74,IF(AND(($D74+$C$1)&gt;DC$4,DC$4&gt;=$C$1),$G74,0))*IF($A74="Residential",'General Inputs'!O$15,'General Inputs'!O$19)</f>
        <v>0</v>
      </c>
      <c r="DD74" s="214">
        <f>IF(AND(($E74+$C$1)&gt;DD$4,DD$4&gt;=$C$1),$H74,IF(AND(($D74+$C$1)&gt;DD$4,DD$4&gt;=$C$1),$G74,0))*IF($A74="Residential",'General Inputs'!P$15,'General Inputs'!P$19)</f>
        <v>0</v>
      </c>
      <c r="DE74" s="214">
        <f>IF(AND(($E74+$C$1)&gt;DE$4,DE$4&gt;=$C$1),$H74,IF(AND(($D74+$C$1)&gt;DE$4,DE$4&gt;=$C$1),$G74,0))*IF($A74="Residential",'General Inputs'!Q$15,'General Inputs'!Q$19)</f>
        <v>0</v>
      </c>
      <c r="DF74" s="214">
        <f>IF(AND(($E74+$C$1)&gt;DF$4,DF$4&gt;=$C$1),$H74,IF(AND(($D74+$C$1)&gt;DF$4,DF$4&gt;=$C$1),$G74,0))*IF($A74="Residential",'General Inputs'!R$15,'General Inputs'!R$19)</f>
        <v>0</v>
      </c>
      <c r="DG74" s="214">
        <f>IF(AND(($E74+$C$1)&gt;DG$4,DG$4&gt;=$C$1),$H74,IF(AND(($D74+$C$1)&gt;DG$4,DG$4&gt;=$C$1),$G74,0))*IF($A74="Residential",'General Inputs'!S$15,'General Inputs'!S$19)</f>
        <v>0</v>
      </c>
      <c r="DH74" s="214">
        <f>IF(AND(($E74+$C$1)&gt;DH$4,DH$4&gt;=$C$1),$H74,IF(AND(($D74+$C$1)&gt;DH$4,DH$4&gt;=$C$1),$G74,0))*IF($A74="Residential",'General Inputs'!T$15,'General Inputs'!T$19)</f>
        <v>0</v>
      </c>
      <c r="DI74" s="214">
        <f>IF(AND(($E74+$C$1)&gt;DI$4,DI$4&gt;=$C$1),$H74,IF(AND(($D74+$C$1)&gt;DI$4,DI$4&gt;=$C$1),$G74,0))*IF($A74="Residential",'General Inputs'!U$15,'General Inputs'!U$19)</f>
        <v>0</v>
      </c>
      <c r="DJ74" s="214">
        <f>IF(AND(($E74+$C$1)&gt;DJ$4,DJ$4&gt;=$C$1),$H74,IF(AND(($D74+$C$1)&gt;DJ$4,DJ$4&gt;=$C$1),$G74,0))*IF($A74="Residential",'General Inputs'!V$15,'General Inputs'!V$19)</f>
        <v>0</v>
      </c>
      <c r="DK74" s="214">
        <f>IF(AND(($E74+$C$1)&gt;DK$4,DK$4&gt;=$C$1),$H74,IF(AND(($D74+$C$1)&gt;DK$4,DK$4&gt;=$C$1),$G74,0))*IF($A74="Residential",'General Inputs'!W$15,'General Inputs'!W$19)</f>
        <v>0</v>
      </c>
      <c r="DM74" s="214">
        <f t="shared" si="100"/>
        <v>0</v>
      </c>
      <c r="DN74" s="214">
        <f t="shared" si="100"/>
        <v>165</v>
      </c>
      <c r="DO74" s="214">
        <f t="shared" si="100"/>
        <v>0</v>
      </c>
      <c r="DP74" s="214">
        <f t="shared" si="100"/>
        <v>0</v>
      </c>
      <c r="DQ74" s="214">
        <f t="shared" si="100"/>
        <v>0</v>
      </c>
      <c r="DR74" s="214">
        <f t="shared" si="100"/>
        <v>0</v>
      </c>
      <c r="DS74" s="214">
        <f t="shared" si="100"/>
        <v>0</v>
      </c>
      <c r="DT74" s="214">
        <f t="shared" si="100"/>
        <v>0</v>
      </c>
      <c r="DU74" s="214">
        <f t="shared" si="100"/>
        <v>0</v>
      </c>
      <c r="DV74" s="214">
        <f t="shared" si="100"/>
        <v>0</v>
      </c>
      <c r="DW74" s="214">
        <f t="shared" si="100"/>
        <v>0</v>
      </c>
      <c r="DZ74" s="650"/>
      <c r="FI74" s="195"/>
      <c r="FJ74" s="195"/>
      <c r="FK74" s="195"/>
      <c r="FL74" s="195"/>
      <c r="FM74" s="195"/>
      <c r="FN74" s="195"/>
      <c r="FO74" s="195"/>
    </row>
    <row r="75" spans="1:171">
      <c r="A75" s="342" t="s">
        <v>112</v>
      </c>
      <c r="B75" s="427" t="str">
        <f>'Portfolio Inputs'!A74</f>
        <v>Fixture Mount Photo Sensor</v>
      </c>
      <c r="C75" s="217">
        <f>IF($C$1=2014,'Portfolio Inputs'!$C74,IF($C$1=2015,'Portfolio Inputs'!$D74,'Portfolio Inputs'!$E74))</f>
        <v>0</v>
      </c>
      <c r="D75" s="504">
        <f>VLOOKUP(B75,Sources!$B$4:$J$104,2,FALSE)</f>
        <v>8</v>
      </c>
      <c r="E75" s="504">
        <f>VLOOKUP(B75,Sources!$B$4:$J$104,3,FALSE)</f>
        <v>0</v>
      </c>
      <c r="G75" s="504">
        <f>IF($C$1=2014,'Portfolio Inputs'!$G74,IF($C$1=2015,'Portfolio Inputs'!$H74,'Portfolio Inputs'!$I74))*EnergyLineLoss</f>
        <v>0</v>
      </c>
      <c r="H75" s="504"/>
      <c r="I75" s="595">
        <f>IF($C$1=2014,'Portfolio Inputs'!$K74,IF($C$1=2015,'Portfolio Inputs'!$L74,'Portfolio Inputs'!$M74))*PeakLineLoss</f>
        <v>0</v>
      </c>
      <c r="J75" s="510"/>
      <c r="L75" s="606">
        <f>IF($C$1=2014,'Portfolio Inputs'!$O74,IF($C$1=2015,'Portfolio Inputs'!$P74,'Portfolio Inputs'!$Q74))</f>
        <v>65</v>
      </c>
      <c r="M75" s="518">
        <f>VLOOKUP($B75,Sources!$B$4:$K$104,10,FALSE)</f>
        <v>0</v>
      </c>
      <c r="N75" s="419">
        <f>IF($C$1=2014,'Portfolio Inputs'!$W74,IF($C$1=2015,'Portfolio Inputs'!$X74,'Portfolio Inputs'!$Y74))</f>
        <v>0</v>
      </c>
      <c r="O75" s="419">
        <f>IF($C$1=2014,'Portfolio Inputs'!$AA74,IF($C$1=2015,'Portfolio Inputs'!$AB74,'Portfolio Inputs'!$AC74))</f>
        <v>0</v>
      </c>
      <c r="Q75" s="438" t="str">
        <f t="shared" si="67"/>
        <v>n/a</v>
      </c>
      <c r="R75" s="439" t="str">
        <f t="shared" si="68"/>
        <v>n/a</v>
      </c>
      <c r="S75" s="439" t="str">
        <f t="shared" si="69"/>
        <v>n/a</v>
      </c>
      <c r="T75" s="439" t="str">
        <f t="shared" si="70"/>
        <v>n/a</v>
      </c>
      <c r="U75" s="439" t="str">
        <f t="shared" si="98"/>
        <v>n/a</v>
      </c>
      <c r="V75" s="439" t="str">
        <f t="shared" si="72"/>
        <v>n/a</v>
      </c>
      <c r="W75" s="439" t="str">
        <f t="shared" si="73"/>
        <v>n/a</v>
      </c>
      <c r="Y75" s="215">
        <f t="shared" si="101"/>
        <v>0</v>
      </c>
      <c r="Z75" s="215">
        <f t="shared" si="102"/>
        <v>0</v>
      </c>
      <c r="AA75" s="215">
        <f t="shared" si="103"/>
        <v>0</v>
      </c>
      <c r="AB75" s="215">
        <f t="shared" si="104"/>
        <v>0</v>
      </c>
      <c r="AC75" s="216">
        <f t="shared" si="20"/>
        <v>0</v>
      </c>
      <c r="AD75" s="216">
        <f t="shared" si="21"/>
        <v>0</v>
      </c>
      <c r="AE75" s="215">
        <f t="shared" si="105"/>
        <v>0</v>
      </c>
      <c r="AG75" s="214">
        <f>IF(AND(($E75+$C$1)&gt;AG$4,AG$4&gt;=$C$1),'General Inputs'!D$9*$H75,IF(AND(($D75+$C$1)&gt;AG$4,AG$4&gt;=$C$1),'General Inputs'!D$9*$G75,0))+IF(AND(($E75+$C$1)&gt;AG$4,AG$4&gt;=$C$1),'General Inputs'!D$10*$J75,IF(AND(($D75+$C$1)&gt;AG$4,AG$4&gt;=$C$1),'General Inputs'!D$10*$I75,0))</f>
        <v>0</v>
      </c>
      <c r="AH75" s="214">
        <f>IF(AND(($E75+$C$1)&gt;AH$4,AH$4&gt;=$C$1),'General Inputs'!E$9*$H75,IF(AND(($D75+$C$1)&gt;AH$4,AH$4&gt;=$C$1),'General Inputs'!E$9*$G75,0))+IF(AND(($E75+$C$1)&gt;AH$4,AH$4&gt;=$C$1),'General Inputs'!E$10*$J75,IF(AND(($D75+$C$1)&gt;AH$4,AH$4&gt;=$C$1),'General Inputs'!E$10*$I75,0))</f>
        <v>0</v>
      </c>
      <c r="AI75" s="214">
        <f>IF(AND(($E75+$C$1)&gt;AI$4,AI$4&gt;=$C$1),'General Inputs'!F$9*$H75,IF(AND(($D75+$C$1)&gt;AI$4,AI$4&gt;=$C$1),'General Inputs'!F$9*$G75,0))+IF(AND(($E75+$C$1)&gt;AI$4,AI$4&gt;=$C$1),'General Inputs'!F$10*$J75,IF(AND(($D75+$C$1)&gt;AI$4,AI$4&gt;=$C$1),'General Inputs'!F$10*$I75,0))</f>
        <v>0</v>
      </c>
      <c r="AJ75" s="214">
        <f>IF(AND(($E75+$C$1)&gt;AJ$4,AJ$4&gt;=$C$1),'General Inputs'!G$9*$H75,IF(AND(($D75+$C$1)&gt;AJ$4,AJ$4&gt;=$C$1),'General Inputs'!G$9*$G75,0))+IF(AND(($E75+$C$1)&gt;AJ$4,AJ$4&gt;=$C$1),'General Inputs'!G$10*$J75,IF(AND(($D75+$C$1)&gt;AJ$4,AJ$4&gt;=$C$1),'General Inputs'!G$10*$I75,0))</f>
        <v>0</v>
      </c>
      <c r="AK75" s="214">
        <f>IF(AND(($E75+$C$1)&gt;AK$4,AK$4&gt;=$C$1),'General Inputs'!H$9*$H75,IF(AND(($D75+$C$1)&gt;AK$4,AK$4&gt;=$C$1),'General Inputs'!H$9*$G75,0))+IF(AND(($E75+$C$1)&gt;AK$4,AK$4&gt;=$C$1),'General Inputs'!H$10*$J75,IF(AND(($D75+$C$1)&gt;AK$4,AK$4&gt;=$C$1),'General Inputs'!H$10*$I75,0))</f>
        <v>0</v>
      </c>
      <c r="AL75" s="214">
        <f>IF(AND(($E75+$C$1)&gt;AL$4,AL$4&gt;=$C$1),'General Inputs'!I$9*$H75,IF(AND(($D75+$C$1)&gt;AL$4,AL$4&gt;=$C$1),'General Inputs'!I$9*$G75,0))+IF(AND(($E75+$C$1)&gt;AL$4,AL$4&gt;=$C$1),'General Inputs'!I$10*$J75,IF(AND(($D75+$C$1)&gt;AL$4,AL$4&gt;=$C$1),'General Inputs'!I$10*$I75,0))</f>
        <v>0</v>
      </c>
      <c r="AM75" s="214">
        <f>IF(AND(($E75+$C$1)&gt;AM$4,AM$4&gt;=$C$1),'General Inputs'!J$9*$H75,IF(AND(($D75+$C$1)&gt;AM$4,AM$4&gt;=$C$1),'General Inputs'!J$9*$G75,0))+IF(AND(($E75+$C$1)&gt;AM$4,AM$4&gt;=$C$1),'General Inputs'!J$10*$J75,IF(AND(($D75+$C$1)&gt;AM$4,AM$4&gt;=$C$1),'General Inputs'!J$10*$I75,0))</f>
        <v>0</v>
      </c>
      <c r="AN75" s="214">
        <f>IF(AND(($E75+$C$1)&gt;AN$4,AN$4&gt;=$C$1),'General Inputs'!K$9*$H75,IF(AND(($D75+$C$1)&gt;AN$4,AN$4&gt;=$C$1),'General Inputs'!K$9*$G75,0))+IF(AND(($E75+$C$1)&gt;AN$4,AN$4&gt;=$C$1),'General Inputs'!K$10*$J75,IF(AND(($D75+$C$1)&gt;AN$4,AN$4&gt;=$C$1),'General Inputs'!K$10*$I75,0))</f>
        <v>0</v>
      </c>
      <c r="AO75" s="214">
        <f>IF(AND(($E75+$C$1)&gt;AO$4,AO$4&gt;=$C$1),'General Inputs'!L$9*$H75,IF(AND(($D75+$C$1)&gt;AO$4,AO$4&gt;=$C$1),'General Inputs'!L$9*$G75,0))+IF(AND(($E75+$C$1)&gt;AO$4,AO$4&gt;=$C$1),'General Inputs'!L$10*$J75,IF(AND(($D75+$C$1)&gt;AO$4,AO$4&gt;=$C$1),'General Inputs'!L$10*$I75,0))</f>
        <v>0</v>
      </c>
      <c r="AP75" s="214">
        <f>IF(AND(($E75+$C$1)&gt;AP$4,AP$4&gt;=$C$1),'General Inputs'!M$9*$H75,IF(AND(($D75+$C$1)&gt;AP$4,AP$4&gt;=$C$1),'General Inputs'!M$9*$G75,0))+IF(AND(($E75+$C$1)&gt;AP$4,AP$4&gt;=$C$1),'General Inputs'!M$10*$J75,IF(AND(($D75+$C$1)&gt;AP$4,AP$4&gt;=$C$1),'General Inputs'!M$10*$I75,0))</f>
        <v>0</v>
      </c>
      <c r="AQ75" s="214">
        <f>IF(AND(($E75+$C$1)&gt;AQ$4,AQ$4&gt;=$C$1),'General Inputs'!N$9*$H75,IF(AND(($D75+$C$1)&gt;AQ$4,AQ$4&gt;=$C$1),'General Inputs'!N$9*$G75,0))+IF(AND(($E75+$C$1)&gt;AQ$4,AQ$4&gt;=$C$1),'General Inputs'!N$10*$J75,IF(AND(($D75+$C$1)&gt;AQ$4,AQ$4&gt;=$C$1),'General Inputs'!N$10*$I75,0))</f>
        <v>0</v>
      </c>
      <c r="AR75" s="214">
        <f>IF(AND(($E75+$C$1)&gt;AR$4,AR$4&gt;=$C$1),'General Inputs'!O$9*$H75,IF(AND(($D75+$C$1)&gt;AR$4,AR$4&gt;=$C$1),'General Inputs'!O$9*$G75,0))+IF(AND(($E75+$C$1)&gt;AR$4,AR$4&gt;=$C$1),'General Inputs'!O$10*$J75,IF(AND(($D75+$C$1)&gt;AR$4,AR$4&gt;=$C$1),'General Inputs'!O$10*$I75,0))</f>
        <v>0</v>
      </c>
      <c r="AS75" s="214">
        <f>IF(AND(($E75+$C$1)&gt;AS$4,AS$4&gt;=$C$1),'General Inputs'!P$9*$H75,IF(AND(($D75+$C$1)&gt;AS$4,AS$4&gt;=$C$1),'General Inputs'!P$9*$G75,0))+IF(AND(($E75+$C$1)&gt;AS$4,AS$4&gt;=$C$1),'General Inputs'!P$10*$J75,IF(AND(($D75+$C$1)&gt;AS$4,AS$4&gt;=$C$1),'General Inputs'!P$10*$I75,0))</f>
        <v>0</v>
      </c>
      <c r="AT75" s="214">
        <f>IF(AND(($E75+$C$1)&gt;AT$4,AT$4&gt;=$C$1),'General Inputs'!Q$9*$H75,IF(AND(($D75+$C$1)&gt;AT$4,AT$4&gt;=$C$1),'General Inputs'!Q$9*$G75,0))+IF(AND(($E75+$C$1)&gt;AT$4,AT$4&gt;=$C$1),'General Inputs'!Q$10*$J75,IF(AND(($D75+$C$1)&gt;AT$4,AT$4&gt;=$C$1),'General Inputs'!Q$10*$I75,0))</f>
        <v>0</v>
      </c>
      <c r="AU75" s="214">
        <f>IF(AND(($E75+$C$1)&gt;AU$4,AU$4&gt;=$C$1),'General Inputs'!R$9*$H75,IF(AND(($D75+$C$1)&gt;AU$4,AU$4&gt;=$C$1),'General Inputs'!R$9*$G75,0))+IF(AND(($E75+$C$1)&gt;AU$4,AU$4&gt;=$C$1),'General Inputs'!R$10*$J75,IF(AND(($D75+$C$1)&gt;AU$4,AU$4&gt;=$C$1),'General Inputs'!R$10*$I75,0))</f>
        <v>0</v>
      </c>
      <c r="AV75" s="214">
        <f>IF(AND(($E75+$C$1)&gt;AV$4,AV$4&gt;=$C$1),'General Inputs'!S$9*$H75,IF(AND(($D75+$C$1)&gt;AV$4,AV$4&gt;=$C$1),'General Inputs'!S$9*$G75,0))+IF(AND(($E75+$C$1)&gt;AV$4,AV$4&gt;=$C$1),'General Inputs'!S$10*$J75,IF(AND(($D75+$C$1)&gt;AV$4,AV$4&gt;=$C$1),'General Inputs'!S$10*$I75,0))</f>
        <v>0</v>
      </c>
      <c r="AW75" s="214">
        <f>IF(AND(($E75+$C$1)&gt;AW$4,AW$4&gt;=$C$1),'General Inputs'!T$9*$H75,IF(AND(($D75+$C$1)&gt;AW$4,AW$4&gt;=$C$1),'General Inputs'!T$9*$G75,0))+IF(AND(($E75+$C$1)&gt;AW$4,AW$4&gt;=$C$1),'General Inputs'!T$10*$J75,IF(AND(($D75+$C$1)&gt;AW$4,AW$4&gt;=$C$1),'General Inputs'!T$10*$I75,0))</f>
        <v>0</v>
      </c>
      <c r="AX75" s="214">
        <f>IF(AND(($E75+$C$1)&gt;AX$4,AX$4&gt;=$C$1),'General Inputs'!U$9*$H75,IF(AND(($D75+$C$1)&gt;AX$4,AX$4&gt;=$C$1),'General Inputs'!U$9*$G75,0))+IF(AND(($E75+$C$1)&gt;AX$4,AX$4&gt;=$C$1),'General Inputs'!U$10*$J75,IF(AND(($D75+$C$1)&gt;AX$4,AX$4&gt;=$C$1),'General Inputs'!U$10*$I75,0))</f>
        <v>0</v>
      </c>
      <c r="AY75" s="214">
        <f>IF(AND(($E75+$C$1)&gt;AY$4,AY$4&gt;=$C$1),'General Inputs'!V$9*$H75,IF(AND(($D75+$C$1)&gt;AY$4,AY$4&gt;=$C$1),'General Inputs'!V$9*$G75,0))+IF(AND(($E75+$C$1)&gt;AY$4,AY$4&gt;=$C$1),'General Inputs'!V$10*$J75,IF(AND(($D75+$C$1)&gt;AY$4,AY$4&gt;=$C$1),'General Inputs'!V$10*$I75,0))</f>
        <v>0</v>
      </c>
      <c r="AZ75" s="214">
        <f>IF(AND(($E75+$C$1)&gt;AZ$4,AZ$4&gt;=$C$1),'General Inputs'!W$9*$H75,IF(AND(($D75+$C$1)&gt;AZ$4,AZ$4&gt;=$C$1),'General Inputs'!W$9*$G75,0))+IF(AND(($E75+$C$1)&gt;AZ$4,AZ$4&gt;=$C$1),'General Inputs'!W$10*$J75,IF(AND(($D75+$C$1)&gt;AZ$4,AZ$4&gt;=$C$1),'General Inputs'!W$10*$I75,0))</f>
        <v>0</v>
      </c>
      <c r="BB75" s="214">
        <f>IF(AND(($E75+$C$1)&gt;BB$4,BB$4&gt;=$C$1),'General Inputs'!D$11*$H75,IF(AND(($D75+$C$1)&gt;BB$4,BB$4&gt;=$C$1),'General Inputs'!D$11*$G75,0))</f>
        <v>0</v>
      </c>
      <c r="BC75" s="214">
        <f>IF(AND(($E75+$C$1)&gt;BC$4,BC$4&gt;=$C$1),'General Inputs'!E$11*$H75,IF(AND(($D75+$C$1)&gt;BC$4,BC$4&gt;=$C$1),'General Inputs'!E$11*$G75,0))</f>
        <v>0</v>
      </c>
      <c r="BD75" s="214">
        <f>IF(AND(($E75+$C$1)&gt;BD$4,BD$4&gt;=$C$1),'General Inputs'!F$11*$H75,IF(AND(($D75+$C$1)&gt;BD$4,BD$4&gt;=$C$1),'General Inputs'!F$11*$G75,0))</f>
        <v>0</v>
      </c>
      <c r="BE75" s="214">
        <f>IF(AND(($E75+$C$1)&gt;BE$4,BE$4&gt;=$C$1),'General Inputs'!G$11*$H75,IF(AND(($D75+$C$1)&gt;BE$4,BE$4&gt;=$C$1),'General Inputs'!G$11*$G75,0))</f>
        <v>0</v>
      </c>
      <c r="BF75" s="214">
        <f>IF(AND(($E75+$C$1)&gt;BF$4,BF$4&gt;=$C$1),'General Inputs'!H$11*$H75,IF(AND(($D75+$C$1)&gt;BF$4,BF$4&gt;=$C$1),'General Inputs'!H$11*$G75,0))</f>
        <v>0</v>
      </c>
      <c r="BG75" s="214">
        <f>IF(AND(($E75+$C$1)&gt;BG$4,BG$4&gt;=$C$1),'General Inputs'!I$11*$H75,IF(AND(($D75+$C$1)&gt;BG$4,BG$4&gt;=$C$1),'General Inputs'!I$11*$G75,0))</f>
        <v>0</v>
      </c>
      <c r="BH75" s="214">
        <f>IF(AND(($E75+$C$1)&gt;BH$4,BH$4&gt;=$C$1),'General Inputs'!J$11*$H75,IF(AND(($D75+$C$1)&gt;BH$4,BH$4&gt;=$C$1),'General Inputs'!J$11*$G75,0))</f>
        <v>0</v>
      </c>
      <c r="BI75" s="214">
        <f>IF(AND(($E75+$C$1)&gt;BI$4,BI$4&gt;=$C$1),'General Inputs'!K$11*$H75,IF(AND(($D75+$C$1)&gt;BI$4,BI$4&gt;=$C$1),'General Inputs'!K$11*$G75,0))</f>
        <v>0</v>
      </c>
      <c r="BJ75" s="214">
        <f>IF(AND(($E75+$C$1)&gt;BJ$4,BJ$4&gt;=$C$1),'General Inputs'!L$11*$H75,IF(AND(($D75+$C$1)&gt;BJ$4,BJ$4&gt;=$C$1),'General Inputs'!L$11*$G75,0))</f>
        <v>0</v>
      </c>
      <c r="BK75" s="214">
        <f>IF(AND(($E75+$C$1)&gt;BK$4,BK$4&gt;=$C$1),'General Inputs'!M$11*$H75,IF(AND(($D75+$C$1)&gt;BK$4,BK$4&gt;=$C$1),'General Inputs'!M$11*$G75,0))</f>
        <v>0</v>
      </c>
      <c r="BL75" s="214">
        <f>IF(AND(($E75+$C$1)&gt;BL$4,BL$4&gt;=$C$1),'General Inputs'!N$11*$H75,IF(AND(($D75+$C$1)&gt;BL$4,BL$4&gt;=$C$1),'General Inputs'!N$11*$G75,0))</f>
        <v>0</v>
      </c>
      <c r="BM75" s="214">
        <f>IF(AND(($E75+$C$1)&gt;BM$4,BM$4&gt;=$C$1),'General Inputs'!O$11*$H75,IF(AND(($D75+$C$1)&gt;BM$4,BM$4&gt;=$C$1),'General Inputs'!O$11*$G75,0))</f>
        <v>0</v>
      </c>
      <c r="BN75" s="214">
        <f>IF(AND(($E75+$C$1)&gt;BN$4,BN$4&gt;=$C$1),'General Inputs'!P$11*$H75,IF(AND(($D75+$C$1)&gt;BN$4,BN$4&gt;=$C$1),'General Inputs'!P$11*$G75,0))</f>
        <v>0</v>
      </c>
      <c r="BO75" s="214">
        <f>IF(AND(($E75+$C$1)&gt;BO$4,BO$4&gt;=$C$1),'General Inputs'!Q$11*$H75,IF(AND(($D75+$C$1)&gt;BO$4,BO$4&gt;=$C$1),'General Inputs'!Q$11*$G75,0))</f>
        <v>0</v>
      </c>
      <c r="BP75" s="214">
        <f>IF(AND(($E75+$C$1)&gt;BP$4,BP$4&gt;=$C$1),'General Inputs'!R$11*$H75,IF(AND(($D75+$C$1)&gt;BP$4,BP$4&gt;=$C$1),'General Inputs'!R$11*$G75,0))</f>
        <v>0</v>
      </c>
      <c r="BQ75" s="214">
        <f>IF(AND(($E75+$C$1)&gt;BQ$4,BQ$4&gt;=$C$1),'General Inputs'!S$11*$H75,IF(AND(($D75+$C$1)&gt;BQ$4,BQ$4&gt;=$C$1),'General Inputs'!S$11*$G75,0))</f>
        <v>0</v>
      </c>
      <c r="BR75" s="214">
        <f>IF(AND(($E75+$C$1)&gt;BR$4,BR$4&gt;=$C$1),'General Inputs'!T$11*$H75,IF(AND(($D75+$C$1)&gt;BR$4,BR$4&gt;=$C$1),'General Inputs'!T$11*$G75,0))</f>
        <v>0</v>
      </c>
      <c r="BS75" s="214">
        <f>IF(AND(($E75+$C$1)&gt;BS$4,BS$4&gt;=$C$1),'General Inputs'!U$11*$H75,IF(AND(($D75+$C$1)&gt;BS$4,BS$4&gt;=$C$1),'General Inputs'!U$11*$G75,0))</f>
        <v>0</v>
      </c>
      <c r="BT75" s="214">
        <f>IF(AND(($E75+$C$1)&gt;BT$4,BT$4&gt;=$C$1),'General Inputs'!V$11*$H75,IF(AND(($D75+$C$1)&gt;BT$4,BT$4&gt;=$C$1),'General Inputs'!V$11*$G75,0))</f>
        <v>0</v>
      </c>
      <c r="BU75" s="214">
        <f>IF(AND(($E75+$C$1)&gt;BU$4,BU$4&gt;=$C$1),'General Inputs'!W$11*$H75,IF(AND(($D75+$C$1)&gt;BU$4,BU$4&gt;=$C$1),'General Inputs'!W$11*$G75,0))</f>
        <v>0</v>
      </c>
      <c r="BW75" s="214">
        <f>IF(AND(($E75+$C$1)&gt;BW$4,BW$4&gt;=$C$1),$H75,IF(AND(($D75+$C$1)&gt;BW$4,BW$4&gt;=$C$1),$G75,0))*IF($A75="Residential",'General Inputs'!D$14,'General Inputs'!D$19)</f>
        <v>0</v>
      </c>
      <c r="BX75" s="214">
        <f>IF(AND(($E75+$C$1)&gt;BX$4,BX$4&gt;=$C$1),$H75,IF(AND(($D75+$C$1)&gt;BX$4,BX$4&gt;=$C$1),$G75,0))*IF($A75="Residential",'General Inputs'!E$14,'General Inputs'!E$19)</f>
        <v>0</v>
      </c>
      <c r="BY75" s="214">
        <f>IF(AND(($E75+$C$1)&gt;BY$4,BY$4&gt;=$C$1),$H75,IF(AND(($D75+$C$1)&gt;BY$4,BY$4&gt;=$C$1),$G75,0))*IF($A75="Residential",'General Inputs'!F$14,'General Inputs'!F$19)</f>
        <v>0</v>
      </c>
      <c r="BZ75" s="214">
        <f>IF(AND(($E75+$C$1)&gt;BZ$4,BZ$4&gt;=$C$1),$H75,IF(AND(($D75+$C$1)&gt;BZ$4,BZ$4&gt;=$C$1),$G75,0))*IF($A75="Residential",'General Inputs'!G$14,'General Inputs'!G$19)</f>
        <v>0</v>
      </c>
      <c r="CA75" s="214">
        <f>IF(AND(($E75+$C$1)&gt;CA$4,CA$4&gt;=$C$1),$H75,IF(AND(($D75+$C$1)&gt;CA$4,CA$4&gt;=$C$1),$G75,0))*IF($A75="Residential",'General Inputs'!H$14,'General Inputs'!H$19)</f>
        <v>0</v>
      </c>
      <c r="CB75" s="214">
        <f>IF(AND(($E75+$C$1)&gt;CB$4,CB$4&gt;=$C$1),$H75,IF(AND(($D75+$C$1)&gt;CB$4,CB$4&gt;=$C$1),$G75,0))*IF($A75="Residential",'General Inputs'!I$14,'General Inputs'!I$19)</f>
        <v>0</v>
      </c>
      <c r="CC75" s="214">
        <f>IF(AND(($E75+$C$1)&gt;CC$4,CC$4&gt;=$C$1),$H75,IF(AND(($D75+$C$1)&gt;CC$4,CC$4&gt;=$C$1),$G75,0))*IF($A75="Residential",'General Inputs'!J$14,'General Inputs'!J$19)</f>
        <v>0</v>
      </c>
      <c r="CD75" s="214">
        <f>IF(AND(($E75+$C$1)&gt;CD$4,CD$4&gt;=$C$1),$H75,IF(AND(($D75+$C$1)&gt;CD$4,CD$4&gt;=$C$1),$G75,0))*IF($A75="Residential",'General Inputs'!K$14,'General Inputs'!K$19)</f>
        <v>0</v>
      </c>
      <c r="CE75" s="214">
        <f>IF(AND(($E75+$C$1)&gt;CE$4,CE$4&gt;=$C$1),$H75,IF(AND(($D75+$C$1)&gt;CE$4,CE$4&gt;=$C$1),$G75,0))*IF($A75="Residential",'General Inputs'!L$14,'General Inputs'!L$19)</f>
        <v>0</v>
      </c>
      <c r="CF75" s="214">
        <f>IF(AND(($E75+$C$1)&gt;CF$4,CF$4&gt;=$C$1),$H75,IF(AND(($D75+$C$1)&gt;CF$4,CF$4&gt;=$C$1),$G75,0))*IF($A75="Residential",'General Inputs'!M$14,'General Inputs'!M$19)</f>
        <v>0</v>
      </c>
      <c r="CG75" s="214">
        <f>IF(AND(($E75+$C$1)&gt;CG$4,CG$4&gt;=$C$1),$H75,IF(AND(($D75+$C$1)&gt;CG$4,CG$4&gt;=$C$1),$G75,0))*IF($A75="Residential",'General Inputs'!N$14,'General Inputs'!N$19)</f>
        <v>0</v>
      </c>
      <c r="CH75" s="214">
        <f>IF(AND(($E75+$C$1)&gt;CH$4,CH$4&gt;=$C$1),$H75,IF(AND(($D75+$C$1)&gt;CH$4,CH$4&gt;=$C$1),$G75,0))*IF($A75="Residential",'General Inputs'!O$14,'General Inputs'!O$19)</f>
        <v>0</v>
      </c>
      <c r="CI75" s="214">
        <f>IF(AND(($E75+$C$1)&gt;CI$4,CI$4&gt;=$C$1),$H75,IF(AND(($D75+$C$1)&gt;CI$4,CI$4&gt;=$C$1),$G75,0))*IF($A75="Residential",'General Inputs'!P$14,'General Inputs'!P$19)</f>
        <v>0</v>
      </c>
      <c r="CJ75" s="214">
        <f>IF(AND(($E75+$C$1)&gt;CJ$4,CJ$4&gt;=$C$1),$H75,IF(AND(($D75+$C$1)&gt;CJ$4,CJ$4&gt;=$C$1),$G75,0))*IF($A75="Residential",'General Inputs'!Q$14,'General Inputs'!Q$19)</f>
        <v>0</v>
      </c>
      <c r="CK75" s="214">
        <f>IF(AND(($E75+$C$1)&gt;CK$4,CK$4&gt;=$C$1),$H75,IF(AND(($D75+$C$1)&gt;CK$4,CK$4&gt;=$C$1),$G75,0))*IF($A75="Residential",'General Inputs'!R$14,'General Inputs'!R$19)</f>
        <v>0</v>
      </c>
      <c r="CL75" s="214">
        <f>IF(AND(($E75+$C$1)&gt;CL$4,CL$4&gt;=$C$1),$H75,IF(AND(($D75+$C$1)&gt;CL$4,CL$4&gt;=$C$1),$G75,0))*IF($A75="Residential",'General Inputs'!S$14,'General Inputs'!S$19)</f>
        <v>0</v>
      </c>
      <c r="CM75" s="214">
        <f>IF(AND(($E75+$C$1)&gt;CM$4,CM$4&gt;=$C$1),$H75,IF(AND(($D75+$C$1)&gt;CM$4,CM$4&gt;=$C$1),$G75,0))*IF($A75="Residential",'General Inputs'!T$14,'General Inputs'!T$19)</f>
        <v>0</v>
      </c>
      <c r="CN75" s="214">
        <f>IF(AND(($E75+$C$1)&gt;CN$4,CN$4&gt;=$C$1),$H75,IF(AND(($D75+$C$1)&gt;CN$4,CN$4&gt;=$C$1),$G75,0))*IF($A75="Residential",'General Inputs'!U$14,'General Inputs'!U$19)</f>
        <v>0</v>
      </c>
      <c r="CO75" s="214">
        <f>IF(AND(($E75+$C$1)&gt;CO$4,CO$4&gt;=$C$1),$H75,IF(AND(($D75+$C$1)&gt;CO$4,CO$4&gt;=$C$1),$G75,0))*IF($A75="Residential",'General Inputs'!V$14,'General Inputs'!V$19)</f>
        <v>0</v>
      </c>
      <c r="CP75" s="214">
        <f>IF(AND(($E75+$C$1)&gt;CP$4,CP$4&gt;=$C$1),$H75,IF(AND(($D75+$C$1)&gt;CP$4,CP$4&gt;=$C$1),$G75,0))*IF($A75="Residential",'General Inputs'!W$14,'General Inputs'!W$19)</f>
        <v>0</v>
      </c>
      <c r="CR75" s="214">
        <f>IF(AND(($E75+$C$1)&gt;CR$4,CR$4&gt;=$C$1),$H75,IF(AND(($D75+$C$1)&gt;CR$4,CR$4&gt;=$C$1),$G75,0))*IF($A75="Residential",'General Inputs'!D$15,'General Inputs'!D$19)</f>
        <v>0</v>
      </c>
      <c r="CS75" s="214">
        <f>IF(AND(($E75+$C$1)&gt;CS$4,CS$4&gt;=$C$1),$H75,IF(AND(($D75+$C$1)&gt;CS$4,CS$4&gt;=$C$1),$G75,0))*IF($A75="Residential",'General Inputs'!E$15,'General Inputs'!E$19)</f>
        <v>0</v>
      </c>
      <c r="CT75" s="214">
        <f>IF(AND(($E75+$C$1)&gt;CT$4,CT$4&gt;=$C$1),$H75,IF(AND(($D75+$C$1)&gt;CT$4,CT$4&gt;=$C$1),$G75,0))*IF($A75="Residential",'General Inputs'!F$15,'General Inputs'!F$19)</f>
        <v>0</v>
      </c>
      <c r="CU75" s="214">
        <f>IF(AND(($E75+$C$1)&gt;CU$4,CU$4&gt;=$C$1),$H75,IF(AND(($D75+$C$1)&gt;CU$4,CU$4&gt;=$C$1),$G75,0))*IF($A75="Residential",'General Inputs'!G$15,'General Inputs'!G$19)</f>
        <v>0</v>
      </c>
      <c r="CV75" s="214">
        <f>IF(AND(($E75+$C$1)&gt;CV$4,CV$4&gt;=$C$1),$H75,IF(AND(($D75+$C$1)&gt;CV$4,CV$4&gt;=$C$1),$G75,0))*IF($A75="Residential",'General Inputs'!H$15,'General Inputs'!H$19)</f>
        <v>0</v>
      </c>
      <c r="CW75" s="214">
        <f>IF(AND(($E75+$C$1)&gt;CW$4,CW$4&gt;=$C$1),$H75,IF(AND(($D75+$C$1)&gt;CW$4,CW$4&gt;=$C$1),$G75,0))*IF($A75="Residential",'General Inputs'!I$15,'General Inputs'!I$19)</f>
        <v>0</v>
      </c>
      <c r="CX75" s="214">
        <f>IF(AND(($E75+$C$1)&gt;CX$4,CX$4&gt;=$C$1),$H75,IF(AND(($D75+$C$1)&gt;CX$4,CX$4&gt;=$C$1),$G75,0))*IF($A75="Residential",'General Inputs'!J$15,'General Inputs'!J$19)</f>
        <v>0</v>
      </c>
      <c r="CY75" s="214">
        <f>IF(AND(($E75+$C$1)&gt;CY$4,CY$4&gt;=$C$1),$H75,IF(AND(($D75+$C$1)&gt;CY$4,CY$4&gt;=$C$1),$G75,0))*IF($A75="Residential",'General Inputs'!K$15,'General Inputs'!K$19)</f>
        <v>0</v>
      </c>
      <c r="CZ75" s="214">
        <f>IF(AND(($E75+$C$1)&gt;CZ$4,CZ$4&gt;=$C$1),$H75,IF(AND(($D75+$C$1)&gt;CZ$4,CZ$4&gt;=$C$1),$G75,0))*IF($A75="Residential",'General Inputs'!L$15,'General Inputs'!L$19)</f>
        <v>0</v>
      </c>
      <c r="DA75" s="214">
        <f>IF(AND(($E75+$C$1)&gt;DA$4,DA$4&gt;=$C$1),$H75,IF(AND(($D75+$C$1)&gt;DA$4,DA$4&gt;=$C$1),$G75,0))*IF($A75="Residential",'General Inputs'!M$15,'General Inputs'!M$19)</f>
        <v>0</v>
      </c>
      <c r="DB75" s="214">
        <f>IF(AND(($E75+$C$1)&gt;DB$4,DB$4&gt;=$C$1),$H75,IF(AND(($D75+$C$1)&gt;DB$4,DB$4&gt;=$C$1),$G75,0))*IF($A75="Residential",'General Inputs'!N$15,'General Inputs'!N$19)</f>
        <v>0</v>
      </c>
      <c r="DC75" s="214">
        <f>IF(AND(($E75+$C$1)&gt;DC$4,DC$4&gt;=$C$1),$H75,IF(AND(($D75+$C$1)&gt;DC$4,DC$4&gt;=$C$1),$G75,0))*IF($A75="Residential",'General Inputs'!O$15,'General Inputs'!O$19)</f>
        <v>0</v>
      </c>
      <c r="DD75" s="214">
        <f>IF(AND(($E75+$C$1)&gt;DD$4,DD$4&gt;=$C$1),$H75,IF(AND(($D75+$C$1)&gt;DD$4,DD$4&gt;=$C$1),$G75,0))*IF($A75="Residential",'General Inputs'!P$15,'General Inputs'!P$19)</f>
        <v>0</v>
      </c>
      <c r="DE75" s="214">
        <f>IF(AND(($E75+$C$1)&gt;DE$4,DE$4&gt;=$C$1),$H75,IF(AND(($D75+$C$1)&gt;DE$4,DE$4&gt;=$C$1),$G75,0))*IF($A75="Residential",'General Inputs'!Q$15,'General Inputs'!Q$19)</f>
        <v>0</v>
      </c>
      <c r="DF75" s="214">
        <f>IF(AND(($E75+$C$1)&gt;DF$4,DF$4&gt;=$C$1),$H75,IF(AND(($D75+$C$1)&gt;DF$4,DF$4&gt;=$C$1),$G75,0))*IF($A75="Residential",'General Inputs'!R$15,'General Inputs'!R$19)</f>
        <v>0</v>
      </c>
      <c r="DG75" s="214">
        <f>IF(AND(($E75+$C$1)&gt;DG$4,DG$4&gt;=$C$1),$H75,IF(AND(($D75+$C$1)&gt;DG$4,DG$4&gt;=$C$1),$G75,0))*IF($A75="Residential",'General Inputs'!S$15,'General Inputs'!S$19)</f>
        <v>0</v>
      </c>
      <c r="DH75" s="214">
        <f>IF(AND(($E75+$C$1)&gt;DH$4,DH$4&gt;=$C$1),$H75,IF(AND(($D75+$C$1)&gt;DH$4,DH$4&gt;=$C$1),$G75,0))*IF($A75="Residential",'General Inputs'!T$15,'General Inputs'!T$19)</f>
        <v>0</v>
      </c>
      <c r="DI75" s="214">
        <f>IF(AND(($E75+$C$1)&gt;DI$4,DI$4&gt;=$C$1),$H75,IF(AND(($D75+$C$1)&gt;DI$4,DI$4&gt;=$C$1),$G75,0))*IF($A75="Residential",'General Inputs'!U$15,'General Inputs'!U$19)</f>
        <v>0</v>
      </c>
      <c r="DJ75" s="214">
        <f>IF(AND(($E75+$C$1)&gt;DJ$4,DJ$4&gt;=$C$1),$H75,IF(AND(($D75+$C$1)&gt;DJ$4,DJ$4&gt;=$C$1),$G75,0))*IF($A75="Residential",'General Inputs'!V$15,'General Inputs'!V$19)</f>
        <v>0</v>
      </c>
      <c r="DK75" s="214">
        <f>IF(AND(($E75+$C$1)&gt;DK$4,DK$4&gt;=$C$1),$H75,IF(AND(($D75+$C$1)&gt;DK$4,DK$4&gt;=$C$1),$G75,0))*IF($A75="Residential",'General Inputs'!W$15,'General Inputs'!W$19)</f>
        <v>0</v>
      </c>
      <c r="DM75" s="214">
        <f t="shared" si="100"/>
        <v>0</v>
      </c>
      <c r="DN75" s="214">
        <f t="shared" si="100"/>
        <v>0</v>
      </c>
      <c r="DO75" s="214">
        <f t="shared" si="100"/>
        <v>0</v>
      </c>
      <c r="DP75" s="214">
        <f t="shared" si="100"/>
        <v>0</v>
      </c>
      <c r="DQ75" s="214">
        <f t="shared" si="100"/>
        <v>0</v>
      </c>
      <c r="DR75" s="214">
        <f t="shared" si="100"/>
        <v>0</v>
      </c>
      <c r="DS75" s="214">
        <f t="shared" si="100"/>
        <v>0</v>
      </c>
      <c r="DT75" s="214">
        <f t="shared" si="100"/>
        <v>0</v>
      </c>
      <c r="DU75" s="214">
        <f t="shared" si="100"/>
        <v>0</v>
      </c>
      <c r="DV75" s="214">
        <f t="shared" si="100"/>
        <v>0</v>
      </c>
      <c r="DW75" s="214">
        <f t="shared" si="100"/>
        <v>0</v>
      </c>
      <c r="DZ75" s="650"/>
      <c r="FI75" s="195"/>
      <c r="FJ75" s="195"/>
      <c r="FK75" s="195"/>
      <c r="FL75" s="195"/>
      <c r="FM75" s="195"/>
      <c r="FN75" s="195"/>
      <c r="FO75" s="195"/>
    </row>
    <row r="76" spans="1:171">
      <c r="A76" s="342" t="s">
        <v>112</v>
      </c>
      <c r="B76" s="427" t="str">
        <f>'Portfolio Inputs'!A75</f>
        <v>Fixture Mount Occupancy</v>
      </c>
      <c r="C76" s="217">
        <f>IF($C$1=2014,'Portfolio Inputs'!$C75,IF($C$1=2015,'Portfolio Inputs'!$D75,'Portfolio Inputs'!$E75))</f>
        <v>3</v>
      </c>
      <c r="D76" s="504">
        <f>VLOOKUP(B76,Sources!$B$4:$J$104,2,FALSE)</f>
        <v>8</v>
      </c>
      <c r="E76" s="504">
        <f>VLOOKUP(B76,Sources!$B$4:$J$104,3,FALSE)</f>
        <v>0</v>
      </c>
      <c r="G76" s="504">
        <f>IF($C$1=2014,'Portfolio Inputs'!$G75,IF($C$1=2015,'Portfolio Inputs'!$H75,'Portfolio Inputs'!$I75))*EnergyLineLoss</f>
        <v>1050.63309</v>
      </c>
      <c r="H76" s="504"/>
      <c r="I76" s="595">
        <f>IF($C$1=2014,'Portfolio Inputs'!$K75,IF($C$1=2015,'Portfolio Inputs'!$L75,'Portfolio Inputs'!$M75))*PeakLineLoss</f>
        <v>3.3552476100000006E-2</v>
      </c>
      <c r="J76" s="510"/>
      <c r="L76" s="606">
        <f>IF($C$1=2014,'Portfolio Inputs'!$O75,IF($C$1=2015,'Portfolio Inputs'!$P75,'Portfolio Inputs'!$Q75))</f>
        <v>55</v>
      </c>
      <c r="M76" s="518">
        <f>VLOOKUP($B76,Sources!$B$4:$K$104,10,FALSE)</f>
        <v>0</v>
      </c>
      <c r="N76" s="419">
        <f>IF($C$1=2014,'Portfolio Inputs'!$W75,IF($C$1=2015,'Portfolio Inputs'!$X75,'Portfolio Inputs'!$Y75))</f>
        <v>84</v>
      </c>
      <c r="O76" s="419">
        <f>IF($C$1=2014,'Portfolio Inputs'!$AA75,IF($C$1=2015,'Portfolio Inputs'!$AB75,'Portfolio Inputs'!$AC75))</f>
        <v>0</v>
      </c>
      <c r="Q76" s="438">
        <f t="shared" si="67"/>
        <v>1.6524930431174085</v>
      </c>
      <c r="R76" s="439">
        <f t="shared" si="68"/>
        <v>3.2459684775520521</v>
      </c>
      <c r="S76" s="439">
        <f t="shared" si="69"/>
        <v>2.0923898923705622</v>
      </c>
      <c r="T76" s="439">
        <f t="shared" si="70"/>
        <v>4.793745078460093</v>
      </c>
      <c r="U76" s="439">
        <f t="shared" si="98"/>
        <v>4.793745078460093</v>
      </c>
      <c r="V76" s="439">
        <f t="shared" si="72"/>
        <v>0.34471858976035563</v>
      </c>
      <c r="W76" s="439">
        <f t="shared" si="73"/>
        <v>0.34471858976035563</v>
      </c>
      <c r="Y76" s="215">
        <f t="shared" si="101"/>
        <v>250.51575901724769</v>
      </c>
      <c r="Z76" s="215">
        <f t="shared" si="102"/>
        <v>66.687780344331429</v>
      </c>
      <c r="AA76" s="215">
        <f t="shared" si="103"/>
        <v>649.54790329466675</v>
      </c>
      <c r="AB76" s="215">
        <f t="shared" si="104"/>
        <v>649.54790329466675</v>
      </c>
      <c r="AC76" s="216">
        <f t="shared" si="20"/>
        <v>0</v>
      </c>
      <c r="AD76" s="216">
        <f t="shared" si="21"/>
        <v>77.177508269018745</v>
      </c>
      <c r="AE76" s="215">
        <f t="shared" si="105"/>
        <v>151.59867695700109</v>
      </c>
      <c r="AG76" s="214">
        <f>IF(AND(($E76+$C$1)&gt;AG$4,AG$4&gt;=$C$1),'General Inputs'!D$9*$H76,IF(AND(($D76+$C$1)&gt;AG$4,AG$4&gt;=$C$1),'General Inputs'!D$9*$G76,0))+IF(AND(($E76+$C$1)&gt;AG$4,AG$4&gt;=$C$1),'General Inputs'!D$10*$J76,IF(AND(($D76+$C$1)&gt;AG$4,AG$4&gt;=$C$1),'General Inputs'!D$10*$I76,0))</f>
        <v>0</v>
      </c>
      <c r="AH76" s="214">
        <f>IF(AND(($E76+$C$1)&gt;AH$4,AH$4&gt;=$C$1),'General Inputs'!E$9*$H76,IF(AND(($D76+$C$1)&gt;AH$4,AH$4&gt;=$C$1),'General Inputs'!E$9*$G76,0))+IF(AND(($E76+$C$1)&gt;AH$4,AH$4&gt;=$C$1),'General Inputs'!E$10*$J76,IF(AND(($D76+$C$1)&gt;AH$4,AH$4&gt;=$C$1),'General Inputs'!E$10*$I76,0))</f>
        <v>42.965461196387636</v>
      </c>
      <c r="AI76" s="214">
        <f>IF(AND(($E76+$C$1)&gt;AI$4,AI$4&gt;=$C$1),'General Inputs'!F$9*$H76,IF(AND(($D76+$C$1)&gt;AI$4,AI$4&gt;=$C$1),'General Inputs'!F$9*$G76,0))+IF(AND(($E76+$C$1)&gt;AI$4,AI$4&gt;=$C$1),'General Inputs'!F$10*$J76,IF(AND(($D76+$C$1)&gt;AI$4,AI$4&gt;=$C$1),'General Inputs'!F$10*$I76,0))</f>
        <v>43.609943114333447</v>
      </c>
      <c r="AJ76" s="214">
        <f>IF(AND(($E76+$C$1)&gt;AJ$4,AJ$4&gt;=$C$1),'General Inputs'!G$9*$H76,IF(AND(($D76+$C$1)&gt;AJ$4,AJ$4&gt;=$C$1),'General Inputs'!G$9*$G76,0))+IF(AND(($E76+$C$1)&gt;AJ$4,AJ$4&gt;=$C$1),'General Inputs'!G$10*$J76,IF(AND(($D76+$C$1)&gt;AJ$4,AJ$4&gt;=$C$1),'General Inputs'!G$10*$I76,0))</f>
        <v>44.264092261048447</v>
      </c>
      <c r="AK76" s="214">
        <f>IF(AND(($E76+$C$1)&gt;AK$4,AK$4&gt;=$C$1),'General Inputs'!H$9*$H76,IF(AND(($D76+$C$1)&gt;AK$4,AK$4&gt;=$C$1),'General Inputs'!H$9*$G76,0))+IF(AND(($E76+$C$1)&gt;AK$4,AK$4&gt;=$C$1),'General Inputs'!H$10*$J76,IF(AND(($D76+$C$1)&gt;AK$4,AK$4&gt;=$C$1),'General Inputs'!H$10*$I76,0))</f>
        <v>44.928053644964166</v>
      </c>
      <c r="AL76" s="214">
        <f>IF(AND(($E76+$C$1)&gt;AL$4,AL$4&gt;=$C$1),'General Inputs'!I$9*$H76,IF(AND(($D76+$C$1)&gt;AL$4,AL$4&gt;=$C$1),'General Inputs'!I$9*$G76,0))+IF(AND(($E76+$C$1)&gt;AL$4,AL$4&gt;=$C$1),'General Inputs'!I$10*$J76,IF(AND(($D76+$C$1)&gt;AL$4,AL$4&gt;=$C$1),'General Inputs'!I$10*$I76,0))</f>
        <v>45.601974449638625</v>
      </c>
      <c r="AM76" s="214">
        <f>IF(AND(($E76+$C$1)&gt;AM$4,AM$4&gt;=$C$1),'General Inputs'!J$9*$H76,IF(AND(($D76+$C$1)&gt;AM$4,AM$4&gt;=$C$1),'General Inputs'!J$9*$G76,0))+IF(AND(($E76+$C$1)&gt;AM$4,AM$4&gt;=$C$1),'General Inputs'!J$10*$J76,IF(AND(($D76+$C$1)&gt;AM$4,AM$4&gt;=$C$1),'General Inputs'!J$10*$I76,0))</f>
        <v>46.2860040663832</v>
      </c>
      <c r="AN76" s="214">
        <f>IF(AND(($E76+$C$1)&gt;AN$4,AN$4&gt;=$C$1),'General Inputs'!K$9*$H76,IF(AND(($D76+$C$1)&gt;AN$4,AN$4&gt;=$C$1),'General Inputs'!K$9*$G76,0))+IF(AND(($E76+$C$1)&gt;AN$4,AN$4&gt;=$C$1),'General Inputs'!K$10*$J76,IF(AND(($D76+$C$1)&gt;AN$4,AN$4&gt;=$C$1),'General Inputs'!K$10*$I76,0))</f>
        <v>46.980294127378933</v>
      </c>
      <c r="AO76" s="214">
        <f>IF(AND(($E76+$C$1)&gt;AO$4,AO$4&gt;=$C$1),'General Inputs'!L$9*$H76,IF(AND(($D76+$C$1)&gt;AO$4,AO$4&gt;=$C$1),'General Inputs'!L$9*$G76,0))+IF(AND(($E76+$C$1)&gt;AO$4,AO$4&gt;=$C$1),'General Inputs'!L$10*$J76,IF(AND(($D76+$C$1)&gt;AO$4,AO$4&gt;=$C$1),'General Inputs'!L$10*$I76,0))</f>
        <v>47.684998539289616</v>
      </c>
      <c r="AP76" s="214">
        <f>IF(AND(($E76+$C$1)&gt;AP$4,AP$4&gt;=$C$1),'General Inputs'!M$9*$H76,IF(AND(($D76+$C$1)&gt;AP$4,AP$4&gt;=$C$1),'General Inputs'!M$9*$G76,0))+IF(AND(($E76+$C$1)&gt;AP$4,AP$4&gt;=$C$1),'General Inputs'!M$10*$J76,IF(AND(($D76+$C$1)&gt;AP$4,AP$4&gt;=$C$1),'General Inputs'!M$10*$I76,0))</f>
        <v>0</v>
      </c>
      <c r="AQ76" s="214">
        <f>IF(AND(($E76+$C$1)&gt;AQ$4,AQ$4&gt;=$C$1),'General Inputs'!N$9*$H76,IF(AND(($D76+$C$1)&gt;AQ$4,AQ$4&gt;=$C$1),'General Inputs'!N$9*$G76,0))+IF(AND(($E76+$C$1)&gt;AQ$4,AQ$4&gt;=$C$1),'General Inputs'!N$10*$J76,IF(AND(($D76+$C$1)&gt;AQ$4,AQ$4&gt;=$C$1),'General Inputs'!N$10*$I76,0))</f>
        <v>0</v>
      </c>
      <c r="AR76" s="214">
        <f>IF(AND(($E76+$C$1)&gt;AR$4,AR$4&gt;=$C$1),'General Inputs'!O$9*$H76,IF(AND(($D76+$C$1)&gt;AR$4,AR$4&gt;=$C$1),'General Inputs'!O$9*$G76,0))+IF(AND(($E76+$C$1)&gt;AR$4,AR$4&gt;=$C$1),'General Inputs'!O$10*$J76,IF(AND(($D76+$C$1)&gt;AR$4,AR$4&gt;=$C$1),'General Inputs'!O$10*$I76,0))</f>
        <v>0</v>
      </c>
      <c r="AS76" s="214">
        <f>IF(AND(($E76+$C$1)&gt;AS$4,AS$4&gt;=$C$1),'General Inputs'!P$9*$H76,IF(AND(($D76+$C$1)&gt;AS$4,AS$4&gt;=$C$1),'General Inputs'!P$9*$G76,0))+IF(AND(($E76+$C$1)&gt;AS$4,AS$4&gt;=$C$1),'General Inputs'!P$10*$J76,IF(AND(($D76+$C$1)&gt;AS$4,AS$4&gt;=$C$1),'General Inputs'!P$10*$I76,0))</f>
        <v>0</v>
      </c>
      <c r="AT76" s="214">
        <f>IF(AND(($E76+$C$1)&gt;AT$4,AT$4&gt;=$C$1),'General Inputs'!Q$9*$H76,IF(AND(($D76+$C$1)&gt;AT$4,AT$4&gt;=$C$1),'General Inputs'!Q$9*$G76,0))+IF(AND(($E76+$C$1)&gt;AT$4,AT$4&gt;=$C$1),'General Inputs'!Q$10*$J76,IF(AND(($D76+$C$1)&gt;AT$4,AT$4&gt;=$C$1),'General Inputs'!Q$10*$I76,0))</f>
        <v>0</v>
      </c>
      <c r="AU76" s="214">
        <f>IF(AND(($E76+$C$1)&gt;AU$4,AU$4&gt;=$C$1),'General Inputs'!R$9*$H76,IF(AND(($D76+$C$1)&gt;AU$4,AU$4&gt;=$C$1),'General Inputs'!R$9*$G76,0))+IF(AND(($E76+$C$1)&gt;AU$4,AU$4&gt;=$C$1),'General Inputs'!R$10*$J76,IF(AND(($D76+$C$1)&gt;AU$4,AU$4&gt;=$C$1),'General Inputs'!R$10*$I76,0))</f>
        <v>0</v>
      </c>
      <c r="AV76" s="214">
        <f>IF(AND(($E76+$C$1)&gt;AV$4,AV$4&gt;=$C$1),'General Inputs'!S$9*$H76,IF(AND(($D76+$C$1)&gt;AV$4,AV$4&gt;=$C$1),'General Inputs'!S$9*$G76,0))+IF(AND(($E76+$C$1)&gt;AV$4,AV$4&gt;=$C$1),'General Inputs'!S$10*$J76,IF(AND(($D76+$C$1)&gt;AV$4,AV$4&gt;=$C$1),'General Inputs'!S$10*$I76,0))</f>
        <v>0</v>
      </c>
      <c r="AW76" s="214">
        <f>IF(AND(($E76+$C$1)&gt;AW$4,AW$4&gt;=$C$1),'General Inputs'!T$9*$H76,IF(AND(($D76+$C$1)&gt;AW$4,AW$4&gt;=$C$1),'General Inputs'!T$9*$G76,0))+IF(AND(($E76+$C$1)&gt;AW$4,AW$4&gt;=$C$1),'General Inputs'!T$10*$J76,IF(AND(($D76+$C$1)&gt;AW$4,AW$4&gt;=$C$1),'General Inputs'!T$10*$I76,0))</f>
        <v>0</v>
      </c>
      <c r="AX76" s="214">
        <f>IF(AND(($E76+$C$1)&gt;AX$4,AX$4&gt;=$C$1),'General Inputs'!U$9*$H76,IF(AND(($D76+$C$1)&gt;AX$4,AX$4&gt;=$C$1),'General Inputs'!U$9*$G76,0))+IF(AND(($E76+$C$1)&gt;AX$4,AX$4&gt;=$C$1),'General Inputs'!U$10*$J76,IF(AND(($D76+$C$1)&gt;AX$4,AX$4&gt;=$C$1),'General Inputs'!U$10*$I76,0))</f>
        <v>0</v>
      </c>
      <c r="AY76" s="214">
        <f>IF(AND(($E76+$C$1)&gt;AY$4,AY$4&gt;=$C$1),'General Inputs'!V$9*$H76,IF(AND(($D76+$C$1)&gt;AY$4,AY$4&gt;=$C$1),'General Inputs'!V$9*$G76,0))+IF(AND(($E76+$C$1)&gt;AY$4,AY$4&gt;=$C$1),'General Inputs'!V$10*$J76,IF(AND(($D76+$C$1)&gt;AY$4,AY$4&gt;=$C$1),'General Inputs'!V$10*$I76,0))</f>
        <v>0</v>
      </c>
      <c r="AZ76" s="214">
        <f>IF(AND(($E76+$C$1)&gt;AZ$4,AZ$4&gt;=$C$1),'General Inputs'!W$9*$H76,IF(AND(($D76+$C$1)&gt;AZ$4,AZ$4&gt;=$C$1),'General Inputs'!W$9*$G76,0))+IF(AND(($E76+$C$1)&gt;AZ$4,AZ$4&gt;=$C$1),'General Inputs'!W$10*$J76,IF(AND(($D76+$C$1)&gt;AZ$4,AZ$4&gt;=$C$1),'General Inputs'!W$10*$I76,0))</f>
        <v>0</v>
      </c>
      <c r="BB76" s="214">
        <f>IF(AND(($E76+$C$1)&gt;BB$4,BB$4&gt;=$C$1),'General Inputs'!D$11*$H76,IF(AND(($D76+$C$1)&gt;BB$4,BB$4&gt;=$C$1),'General Inputs'!D$11*$G76,0))</f>
        <v>0</v>
      </c>
      <c r="BC76" s="214">
        <f>IF(AND(($E76+$C$1)&gt;BC$4,BC$4&gt;=$C$1),'General Inputs'!E$11*$H76,IF(AND(($D76+$C$1)&gt;BC$4,BC$4&gt;=$C$1),'General Inputs'!E$11*$G76,0))</f>
        <v>11.977217226</v>
      </c>
      <c r="BD76" s="214">
        <f>IF(AND(($E76+$C$1)&gt;BD$4,BD$4&gt;=$C$1),'General Inputs'!F$11*$H76,IF(AND(($D76+$C$1)&gt;BD$4,BD$4&gt;=$C$1),'General Inputs'!F$11*$G76,0))</f>
        <v>11.977217226</v>
      </c>
      <c r="BE76" s="214">
        <f>IF(AND(($E76+$C$1)&gt;BE$4,BE$4&gt;=$C$1),'General Inputs'!G$11*$H76,IF(AND(($D76+$C$1)&gt;BE$4,BE$4&gt;=$C$1),'General Inputs'!G$11*$G76,0))</f>
        <v>11.977217226</v>
      </c>
      <c r="BF76" s="214">
        <f>IF(AND(($E76+$C$1)&gt;BF$4,BF$4&gt;=$C$1),'General Inputs'!H$11*$H76,IF(AND(($D76+$C$1)&gt;BF$4,BF$4&gt;=$C$1),'General Inputs'!H$11*$G76,0))</f>
        <v>11.977217226</v>
      </c>
      <c r="BG76" s="214">
        <f>IF(AND(($E76+$C$1)&gt;BG$4,BG$4&gt;=$C$1),'General Inputs'!I$11*$H76,IF(AND(($D76+$C$1)&gt;BG$4,BG$4&gt;=$C$1),'General Inputs'!I$11*$G76,0))</f>
        <v>11.977217226</v>
      </c>
      <c r="BH76" s="214">
        <f>IF(AND(($E76+$C$1)&gt;BH$4,BH$4&gt;=$C$1),'General Inputs'!J$11*$H76,IF(AND(($D76+$C$1)&gt;BH$4,BH$4&gt;=$C$1),'General Inputs'!J$11*$G76,0))</f>
        <v>11.977217226</v>
      </c>
      <c r="BI76" s="214">
        <f>IF(AND(($E76+$C$1)&gt;BI$4,BI$4&gt;=$C$1),'General Inputs'!K$11*$H76,IF(AND(($D76+$C$1)&gt;BI$4,BI$4&gt;=$C$1),'General Inputs'!K$11*$G76,0))</f>
        <v>11.977217226</v>
      </c>
      <c r="BJ76" s="214">
        <f>IF(AND(($E76+$C$1)&gt;BJ$4,BJ$4&gt;=$C$1),'General Inputs'!L$11*$H76,IF(AND(($D76+$C$1)&gt;BJ$4,BJ$4&gt;=$C$1),'General Inputs'!L$11*$G76,0))</f>
        <v>11.977217226</v>
      </c>
      <c r="BK76" s="214">
        <f>IF(AND(($E76+$C$1)&gt;BK$4,BK$4&gt;=$C$1),'General Inputs'!M$11*$H76,IF(AND(($D76+$C$1)&gt;BK$4,BK$4&gt;=$C$1),'General Inputs'!M$11*$G76,0))</f>
        <v>0</v>
      </c>
      <c r="BL76" s="214">
        <f>IF(AND(($E76+$C$1)&gt;BL$4,BL$4&gt;=$C$1),'General Inputs'!N$11*$H76,IF(AND(($D76+$C$1)&gt;BL$4,BL$4&gt;=$C$1),'General Inputs'!N$11*$G76,0))</f>
        <v>0</v>
      </c>
      <c r="BM76" s="214">
        <f>IF(AND(($E76+$C$1)&gt;BM$4,BM$4&gt;=$C$1),'General Inputs'!O$11*$H76,IF(AND(($D76+$C$1)&gt;BM$4,BM$4&gt;=$C$1),'General Inputs'!O$11*$G76,0))</f>
        <v>0</v>
      </c>
      <c r="BN76" s="214">
        <f>IF(AND(($E76+$C$1)&gt;BN$4,BN$4&gt;=$C$1),'General Inputs'!P$11*$H76,IF(AND(($D76+$C$1)&gt;BN$4,BN$4&gt;=$C$1),'General Inputs'!P$11*$G76,0))</f>
        <v>0</v>
      </c>
      <c r="BO76" s="214">
        <f>IF(AND(($E76+$C$1)&gt;BO$4,BO$4&gt;=$C$1),'General Inputs'!Q$11*$H76,IF(AND(($D76+$C$1)&gt;BO$4,BO$4&gt;=$C$1),'General Inputs'!Q$11*$G76,0))</f>
        <v>0</v>
      </c>
      <c r="BP76" s="214">
        <f>IF(AND(($E76+$C$1)&gt;BP$4,BP$4&gt;=$C$1),'General Inputs'!R$11*$H76,IF(AND(($D76+$C$1)&gt;BP$4,BP$4&gt;=$C$1),'General Inputs'!R$11*$G76,0))</f>
        <v>0</v>
      </c>
      <c r="BQ76" s="214">
        <f>IF(AND(($E76+$C$1)&gt;BQ$4,BQ$4&gt;=$C$1),'General Inputs'!S$11*$H76,IF(AND(($D76+$C$1)&gt;BQ$4,BQ$4&gt;=$C$1),'General Inputs'!S$11*$G76,0))</f>
        <v>0</v>
      </c>
      <c r="BR76" s="214">
        <f>IF(AND(($E76+$C$1)&gt;BR$4,BR$4&gt;=$C$1),'General Inputs'!T$11*$H76,IF(AND(($D76+$C$1)&gt;BR$4,BR$4&gt;=$C$1),'General Inputs'!T$11*$G76,0))</f>
        <v>0</v>
      </c>
      <c r="BS76" s="214">
        <f>IF(AND(($E76+$C$1)&gt;BS$4,BS$4&gt;=$C$1),'General Inputs'!U$11*$H76,IF(AND(($D76+$C$1)&gt;BS$4,BS$4&gt;=$C$1),'General Inputs'!U$11*$G76,0))</f>
        <v>0</v>
      </c>
      <c r="BT76" s="214">
        <f>IF(AND(($E76+$C$1)&gt;BT$4,BT$4&gt;=$C$1),'General Inputs'!V$11*$H76,IF(AND(($D76+$C$1)&gt;BT$4,BT$4&gt;=$C$1),'General Inputs'!V$11*$G76,0))</f>
        <v>0</v>
      </c>
      <c r="BU76" s="214">
        <f>IF(AND(($E76+$C$1)&gt;BU$4,BU$4&gt;=$C$1),'General Inputs'!W$11*$H76,IF(AND(($D76+$C$1)&gt;BU$4,BU$4&gt;=$C$1),'General Inputs'!W$11*$G76,0))</f>
        <v>0</v>
      </c>
      <c r="BW76" s="214">
        <f>IF(AND(($E76+$C$1)&gt;BW$4,BW$4&gt;=$C$1),$H76,IF(AND(($D76+$C$1)&gt;BW$4,BW$4&gt;=$C$1),$G76,0))*IF($A76="Residential",'General Inputs'!D$14,'General Inputs'!D$19)</f>
        <v>0</v>
      </c>
      <c r="BX76" s="214">
        <f>IF(AND(($E76+$C$1)&gt;BX$4,BX$4&gt;=$C$1),$H76,IF(AND(($D76+$C$1)&gt;BX$4,BX$4&gt;=$C$1),$G76,0))*IF($A76="Residential",'General Inputs'!E$14,'General Inputs'!E$19)</f>
        <v>111.40267320380637</v>
      </c>
      <c r="BY76" s="214">
        <f>IF(AND(($E76+$C$1)&gt;BY$4,BY$4&gt;=$C$1),$H76,IF(AND(($D76+$C$1)&gt;BY$4,BY$4&gt;=$C$1),$G76,0))*IF($A76="Residential",'General Inputs'!F$14,'General Inputs'!F$19)</f>
        <v>113.07371330186346</v>
      </c>
      <c r="BZ76" s="214">
        <f>IF(AND(($E76+$C$1)&gt;BZ$4,BZ$4&gt;=$C$1),$H76,IF(AND(($D76+$C$1)&gt;BZ$4,BZ$4&gt;=$C$1),$G76,0))*IF($A76="Residential",'General Inputs'!G$14,'General Inputs'!G$19)</f>
        <v>114.76981900139141</v>
      </c>
      <c r="CA76" s="214">
        <f>IF(AND(($E76+$C$1)&gt;CA$4,CA$4&gt;=$C$1),$H76,IF(AND(($D76+$C$1)&gt;CA$4,CA$4&gt;=$C$1),$G76,0))*IF($A76="Residential",'General Inputs'!H$14,'General Inputs'!H$19)</f>
        <v>116.49136628641226</v>
      </c>
      <c r="CB76" s="214">
        <f>IF(AND(($E76+$C$1)&gt;CB$4,CB$4&gt;=$C$1),$H76,IF(AND(($D76+$C$1)&gt;CB$4,CB$4&gt;=$C$1),$G76,0))*IF($A76="Residential",'General Inputs'!I$14,'General Inputs'!I$19)</f>
        <v>118.23873678070842</v>
      </c>
      <c r="CC76" s="214">
        <f>IF(AND(($E76+$C$1)&gt;CC$4,CC$4&gt;=$C$1),$H76,IF(AND(($D76+$C$1)&gt;CC$4,CC$4&gt;=$C$1),$G76,0))*IF($A76="Residential",'General Inputs'!J$14,'General Inputs'!J$19)</f>
        <v>120.01231783241904</v>
      </c>
      <c r="CD76" s="214">
        <f>IF(AND(($E76+$C$1)&gt;CD$4,CD$4&gt;=$C$1),$H76,IF(AND(($D76+$C$1)&gt;CD$4,CD$4&gt;=$C$1),$G76,0))*IF($A76="Residential",'General Inputs'!K$14,'General Inputs'!K$19)</f>
        <v>121.81250259990532</v>
      </c>
      <c r="CE76" s="214">
        <f>IF(AND(($E76+$C$1)&gt;CE$4,CE$4&gt;=$C$1),$H76,IF(AND(($D76+$C$1)&gt;CE$4,CE$4&gt;=$C$1),$G76,0))*IF($A76="Residential",'General Inputs'!L$14,'General Inputs'!L$19)</f>
        <v>123.63969013890387</v>
      </c>
      <c r="CF76" s="214">
        <f>IF(AND(($E76+$C$1)&gt;CF$4,CF$4&gt;=$C$1),$H76,IF(AND(($D76+$C$1)&gt;CF$4,CF$4&gt;=$C$1),$G76,0))*IF($A76="Residential",'General Inputs'!M$14,'General Inputs'!M$19)</f>
        <v>0</v>
      </c>
      <c r="CG76" s="214">
        <f>IF(AND(($E76+$C$1)&gt;CG$4,CG$4&gt;=$C$1),$H76,IF(AND(($D76+$C$1)&gt;CG$4,CG$4&gt;=$C$1),$G76,0))*IF($A76="Residential",'General Inputs'!N$14,'General Inputs'!N$19)</f>
        <v>0</v>
      </c>
      <c r="CH76" s="214">
        <f>IF(AND(($E76+$C$1)&gt;CH$4,CH$4&gt;=$C$1),$H76,IF(AND(($D76+$C$1)&gt;CH$4,CH$4&gt;=$C$1),$G76,0))*IF($A76="Residential",'General Inputs'!O$14,'General Inputs'!O$19)</f>
        <v>0</v>
      </c>
      <c r="CI76" s="214">
        <f>IF(AND(($E76+$C$1)&gt;CI$4,CI$4&gt;=$C$1),$H76,IF(AND(($D76+$C$1)&gt;CI$4,CI$4&gt;=$C$1),$G76,0))*IF($A76="Residential",'General Inputs'!P$14,'General Inputs'!P$19)</f>
        <v>0</v>
      </c>
      <c r="CJ76" s="214">
        <f>IF(AND(($E76+$C$1)&gt;CJ$4,CJ$4&gt;=$C$1),$H76,IF(AND(($D76+$C$1)&gt;CJ$4,CJ$4&gt;=$C$1),$G76,0))*IF($A76="Residential",'General Inputs'!Q$14,'General Inputs'!Q$19)</f>
        <v>0</v>
      </c>
      <c r="CK76" s="214">
        <f>IF(AND(($E76+$C$1)&gt;CK$4,CK$4&gt;=$C$1),$H76,IF(AND(($D76+$C$1)&gt;CK$4,CK$4&gt;=$C$1),$G76,0))*IF($A76="Residential",'General Inputs'!R$14,'General Inputs'!R$19)</f>
        <v>0</v>
      </c>
      <c r="CL76" s="214">
        <f>IF(AND(($E76+$C$1)&gt;CL$4,CL$4&gt;=$C$1),$H76,IF(AND(($D76+$C$1)&gt;CL$4,CL$4&gt;=$C$1),$G76,0))*IF($A76="Residential",'General Inputs'!S$14,'General Inputs'!S$19)</f>
        <v>0</v>
      </c>
      <c r="CM76" s="214">
        <f>IF(AND(($E76+$C$1)&gt;CM$4,CM$4&gt;=$C$1),$H76,IF(AND(($D76+$C$1)&gt;CM$4,CM$4&gt;=$C$1),$G76,0))*IF($A76="Residential",'General Inputs'!T$14,'General Inputs'!T$19)</f>
        <v>0</v>
      </c>
      <c r="CN76" s="214">
        <f>IF(AND(($E76+$C$1)&gt;CN$4,CN$4&gt;=$C$1),$H76,IF(AND(($D76+$C$1)&gt;CN$4,CN$4&gt;=$C$1),$G76,0))*IF($A76="Residential",'General Inputs'!U$14,'General Inputs'!U$19)</f>
        <v>0</v>
      </c>
      <c r="CO76" s="214">
        <f>IF(AND(($E76+$C$1)&gt;CO$4,CO$4&gt;=$C$1),$H76,IF(AND(($D76+$C$1)&gt;CO$4,CO$4&gt;=$C$1),$G76,0))*IF($A76="Residential",'General Inputs'!V$14,'General Inputs'!V$19)</f>
        <v>0</v>
      </c>
      <c r="CP76" s="214">
        <f>IF(AND(($E76+$C$1)&gt;CP$4,CP$4&gt;=$C$1),$H76,IF(AND(($D76+$C$1)&gt;CP$4,CP$4&gt;=$C$1),$G76,0))*IF($A76="Residential",'General Inputs'!W$14,'General Inputs'!W$19)</f>
        <v>0</v>
      </c>
      <c r="CR76" s="214">
        <f>IF(AND(($E76+$C$1)&gt;CR$4,CR$4&gt;=$C$1),$H76,IF(AND(($D76+$C$1)&gt;CR$4,CR$4&gt;=$C$1),$G76,0))*IF($A76="Residential",'General Inputs'!D$15,'General Inputs'!D$19)</f>
        <v>0</v>
      </c>
      <c r="CS76" s="214">
        <f>IF(AND(($E76+$C$1)&gt;CS$4,CS$4&gt;=$C$1),$H76,IF(AND(($D76+$C$1)&gt;CS$4,CS$4&gt;=$C$1),$G76,0))*IF($A76="Residential",'General Inputs'!E$15,'General Inputs'!E$19)</f>
        <v>111.40267320380637</v>
      </c>
      <c r="CT76" s="214">
        <f>IF(AND(($E76+$C$1)&gt;CT$4,CT$4&gt;=$C$1),$H76,IF(AND(($D76+$C$1)&gt;CT$4,CT$4&gt;=$C$1),$G76,0))*IF($A76="Residential",'General Inputs'!F$15,'General Inputs'!F$19)</f>
        <v>113.07371330186346</v>
      </c>
      <c r="CU76" s="214">
        <f>IF(AND(($E76+$C$1)&gt;CU$4,CU$4&gt;=$C$1),$H76,IF(AND(($D76+$C$1)&gt;CU$4,CU$4&gt;=$C$1),$G76,0))*IF($A76="Residential",'General Inputs'!G$15,'General Inputs'!G$19)</f>
        <v>114.76981900139141</v>
      </c>
      <c r="CV76" s="214">
        <f>IF(AND(($E76+$C$1)&gt;CV$4,CV$4&gt;=$C$1),$H76,IF(AND(($D76+$C$1)&gt;CV$4,CV$4&gt;=$C$1),$G76,0))*IF($A76="Residential",'General Inputs'!H$15,'General Inputs'!H$19)</f>
        <v>116.49136628641226</v>
      </c>
      <c r="CW76" s="214">
        <f>IF(AND(($E76+$C$1)&gt;CW$4,CW$4&gt;=$C$1),$H76,IF(AND(($D76+$C$1)&gt;CW$4,CW$4&gt;=$C$1),$G76,0))*IF($A76="Residential",'General Inputs'!I$15,'General Inputs'!I$19)</f>
        <v>118.23873678070842</v>
      </c>
      <c r="CX76" s="214">
        <f>IF(AND(($E76+$C$1)&gt;CX$4,CX$4&gt;=$C$1),$H76,IF(AND(($D76+$C$1)&gt;CX$4,CX$4&gt;=$C$1),$G76,0))*IF($A76="Residential",'General Inputs'!J$15,'General Inputs'!J$19)</f>
        <v>120.01231783241904</v>
      </c>
      <c r="CY76" s="214">
        <f>IF(AND(($E76+$C$1)&gt;CY$4,CY$4&gt;=$C$1),$H76,IF(AND(($D76+$C$1)&gt;CY$4,CY$4&gt;=$C$1),$G76,0))*IF($A76="Residential",'General Inputs'!K$15,'General Inputs'!K$19)</f>
        <v>121.81250259990532</v>
      </c>
      <c r="CZ76" s="214">
        <f>IF(AND(($E76+$C$1)&gt;CZ$4,CZ$4&gt;=$C$1),$H76,IF(AND(($D76+$C$1)&gt;CZ$4,CZ$4&gt;=$C$1),$G76,0))*IF($A76="Residential",'General Inputs'!L$15,'General Inputs'!L$19)</f>
        <v>123.63969013890387</v>
      </c>
      <c r="DA76" s="214">
        <f>IF(AND(($E76+$C$1)&gt;DA$4,DA$4&gt;=$C$1),$H76,IF(AND(($D76+$C$1)&gt;DA$4,DA$4&gt;=$C$1),$G76,0))*IF($A76="Residential",'General Inputs'!M$15,'General Inputs'!M$19)</f>
        <v>0</v>
      </c>
      <c r="DB76" s="214">
        <f>IF(AND(($E76+$C$1)&gt;DB$4,DB$4&gt;=$C$1),$H76,IF(AND(($D76+$C$1)&gt;DB$4,DB$4&gt;=$C$1),$G76,0))*IF($A76="Residential",'General Inputs'!N$15,'General Inputs'!N$19)</f>
        <v>0</v>
      </c>
      <c r="DC76" s="214">
        <f>IF(AND(($E76+$C$1)&gt;DC$4,DC$4&gt;=$C$1),$H76,IF(AND(($D76+$C$1)&gt;DC$4,DC$4&gt;=$C$1),$G76,0))*IF($A76="Residential",'General Inputs'!O$15,'General Inputs'!O$19)</f>
        <v>0</v>
      </c>
      <c r="DD76" s="214">
        <f>IF(AND(($E76+$C$1)&gt;DD$4,DD$4&gt;=$C$1),$H76,IF(AND(($D76+$C$1)&gt;DD$4,DD$4&gt;=$C$1),$G76,0))*IF($A76="Residential",'General Inputs'!P$15,'General Inputs'!P$19)</f>
        <v>0</v>
      </c>
      <c r="DE76" s="214">
        <f>IF(AND(($E76+$C$1)&gt;DE$4,DE$4&gt;=$C$1),$H76,IF(AND(($D76+$C$1)&gt;DE$4,DE$4&gt;=$C$1),$G76,0))*IF($A76="Residential",'General Inputs'!Q$15,'General Inputs'!Q$19)</f>
        <v>0</v>
      </c>
      <c r="DF76" s="214">
        <f>IF(AND(($E76+$C$1)&gt;DF$4,DF$4&gt;=$C$1),$H76,IF(AND(($D76+$C$1)&gt;DF$4,DF$4&gt;=$C$1),$G76,0))*IF($A76="Residential",'General Inputs'!R$15,'General Inputs'!R$19)</f>
        <v>0</v>
      </c>
      <c r="DG76" s="214">
        <f>IF(AND(($E76+$C$1)&gt;DG$4,DG$4&gt;=$C$1),$H76,IF(AND(($D76+$C$1)&gt;DG$4,DG$4&gt;=$C$1),$G76,0))*IF($A76="Residential",'General Inputs'!S$15,'General Inputs'!S$19)</f>
        <v>0</v>
      </c>
      <c r="DH76" s="214">
        <f>IF(AND(($E76+$C$1)&gt;DH$4,DH$4&gt;=$C$1),$H76,IF(AND(($D76+$C$1)&gt;DH$4,DH$4&gt;=$C$1),$G76,0))*IF($A76="Residential",'General Inputs'!T$15,'General Inputs'!T$19)</f>
        <v>0</v>
      </c>
      <c r="DI76" s="214">
        <f>IF(AND(($E76+$C$1)&gt;DI$4,DI$4&gt;=$C$1),$H76,IF(AND(($D76+$C$1)&gt;DI$4,DI$4&gt;=$C$1),$G76,0))*IF($A76="Residential",'General Inputs'!U$15,'General Inputs'!U$19)</f>
        <v>0</v>
      </c>
      <c r="DJ76" s="214">
        <f>IF(AND(($E76+$C$1)&gt;DJ$4,DJ$4&gt;=$C$1),$H76,IF(AND(($D76+$C$1)&gt;DJ$4,DJ$4&gt;=$C$1),$G76,0))*IF($A76="Residential",'General Inputs'!V$15,'General Inputs'!V$19)</f>
        <v>0</v>
      </c>
      <c r="DK76" s="214">
        <f>IF(AND(($E76+$C$1)&gt;DK$4,DK$4&gt;=$C$1),$H76,IF(AND(($D76+$C$1)&gt;DK$4,DK$4&gt;=$C$1),$G76,0))*IF($A76="Residential",'General Inputs'!W$15,'General Inputs'!W$19)</f>
        <v>0</v>
      </c>
      <c r="DM76" s="214">
        <f t="shared" si="100"/>
        <v>0</v>
      </c>
      <c r="DN76" s="214">
        <f t="shared" si="100"/>
        <v>165</v>
      </c>
      <c r="DO76" s="214">
        <f t="shared" si="100"/>
        <v>0</v>
      </c>
      <c r="DP76" s="214">
        <f t="shared" si="100"/>
        <v>0</v>
      </c>
      <c r="DQ76" s="214">
        <f t="shared" si="100"/>
        <v>0</v>
      </c>
      <c r="DR76" s="214">
        <f t="shared" si="100"/>
        <v>0</v>
      </c>
      <c r="DS76" s="214">
        <f t="shared" si="100"/>
        <v>0</v>
      </c>
      <c r="DT76" s="214">
        <f t="shared" si="100"/>
        <v>0</v>
      </c>
      <c r="DU76" s="214">
        <f t="shared" si="100"/>
        <v>0</v>
      </c>
      <c r="DV76" s="214">
        <f t="shared" si="100"/>
        <v>0</v>
      </c>
      <c r="DW76" s="214">
        <f t="shared" si="100"/>
        <v>0</v>
      </c>
      <c r="DZ76" s="650"/>
      <c r="FI76" s="195"/>
      <c r="FJ76" s="195"/>
      <c r="FK76" s="195"/>
      <c r="FL76" s="195"/>
      <c r="FM76" s="195"/>
      <c r="FN76" s="195"/>
      <c r="FO76" s="195"/>
    </row>
    <row r="77" spans="1:171">
      <c r="A77" s="342" t="s">
        <v>112</v>
      </c>
      <c r="B77" s="427" t="str">
        <f>'Portfolio Inputs'!A76</f>
        <v>Exit Sign</v>
      </c>
      <c r="C77" s="217">
        <f>IF($C$1=2014,'Portfolio Inputs'!$C76,IF($C$1=2015,'Portfolio Inputs'!$D76,'Portfolio Inputs'!$E76))</f>
        <v>13</v>
      </c>
      <c r="D77" s="504">
        <f>VLOOKUP(B77,Sources!$B$4:$J$104,2,FALSE)</f>
        <v>15</v>
      </c>
      <c r="E77" s="504">
        <f>VLOOKUP(B77,Sources!$B$4:$J$104,3,FALSE)</f>
        <v>0</v>
      </c>
      <c r="G77" s="504">
        <f>IF($C$1=2014,'Portfolio Inputs'!$G76,IF($C$1=2015,'Portfolio Inputs'!$H76,'Portfolio Inputs'!$I76))*EnergyLineLoss</f>
        <v>2462.3856778949998</v>
      </c>
      <c r="H77" s="504"/>
      <c r="I77" s="595">
        <f>IF($C$1=2014,'Portfolio Inputs'!$K76,IF($C$1=2015,'Portfolio Inputs'!$L76,'Portfolio Inputs'!$M76))*PeakLineLoss</f>
        <v>0.44377304399999995</v>
      </c>
      <c r="J77" s="510"/>
      <c r="L77" s="606">
        <f>IF($C$1=2014,'Portfolio Inputs'!$O76,IF($C$1=2015,'Portfolio Inputs'!$P76,'Portfolio Inputs'!$Q76))</f>
        <v>25</v>
      </c>
      <c r="M77" s="518">
        <f>VLOOKUP($B77,Sources!$B$4:$K$104,10,FALSE)</f>
        <v>0</v>
      </c>
      <c r="N77" s="419">
        <f>IF($C$1=2014,'Portfolio Inputs'!$W76,IF($C$1=2015,'Portfolio Inputs'!$X76,'Portfolio Inputs'!$Y76))</f>
        <v>78</v>
      </c>
      <c r="O77" s="419">
        <f>IF($C$1=2014,'Portfolio Inputs'!$AA76,IF($C$1=2015,'Portfolio Inputs'!$AB76,'Portfolio Inputs'!$AC76))</f>
        <v>0</v>
      </c>
      <c r="Q77" s="438">
        <f t="shared" si="67"/>
        <v>3.1466929951364757</v>
      </c>
      <c r="R77" s="439">
        <f t="shared" si="68"/>
        <v>13.111220813068648</v>
      </c>
      <c r="S77" s="439">
        <f t="shared" si="69"/>
        <v>3.9116752634800549</v>
      </c>
      <c r="T77" s="439">
        <f t="shared" si="70"/>
        <v>7.9727245776318654</v>
      </c>
      <c r="U77" s="439">
        <f t="shared" si="98"/>
        <v>7.9727245776318654</v>
      </c>
      <c r="V77" s="439">
        <f t="shared" si="72"/>
        <v>0.3946822650772086</v>
      </c>
      <c r="W77" s="439">
        <f t="shared" si="73"/>
        <v>0.3946822650772086</v>
      </c>
      <c r="Y77" s="215">
        <f t="shared" si="101"/>
        <v>939.61339895199797</v>
      </c>
      <c r="Z77" s="215">
        <f t="shared" si="102"/>
        <v>228.42634804452723</v>
      </c>
      <c r="AA77" s="215">
        <f t="shared" si="103"/>
        <v>2309.0182724461192</v>
      </c>
      <c r="AB77" s="215">
        <f t="shared" si="104"/>
        <v>2309.0182724461192</v>
      </c>
      <c r="AC77" s="216">
        <f t="shared" si="20"/>
        <v>0</v>
      </c>
      <c r="AD77" s="216">
        <f t="shared" si="21"/>
        <v>71.664829106945973</v>
      </c>
      <c r="AE77" s="215">
        <f t="shared" si="105"/>
        <v>298.6034546122749</v>
      </c>
      <c r="AG77" s="214">
        <f>IF(AND(($E77+$C$1)&gt;AG$4,AG$4&gt;=$C$1),'General Inputs'!D$9*$H77,IF(AND(($D77+$C$1)&gt;AG$4,AG$4&gt;=$C$1),'General Inputs'!D$9*$G77,0))+IF(AND(($E77+$C$1)&gt;AG$4,AG$4&gt;=$C$1),'General Inputs'!D$10*$J77,IF(AND(($D77+$C$1)&gt;AG$4,AG$4&gt;=$C$1),'General Inputs'!D$10*$I77,0))</f>
        <v>0</v>
      </c>
      <c r="AH77" s="214">
        <f>IF(AND(($E77+$C$1)&gt;AH$4,AH$4&gt;=$C$1),'General Inputs'!E$9*$H77,IF(AND(($D77+$C$1)&gt;AH$4,AH$4&gt;=$C$1),'General Inputs'!E$9*$G77,0))+IF(AND(($E77+$C$1)&gt;AH$4,AH$4&gt;=$C$1),'General Inputs'!E$10*$J77,IF(AND(($D77+$C$1)&gt;AH$4,AH$4&gt;=$C$1),'General Inputs'!E$10*$I77,0))</f>
        <v>106.24841139773919</v>
      </c>
      <c r="AI77" s="214">
        <f>IF(AND(($E77+$C$1)&gt;AI$4,AI$4&gt;=$C$1),'General Inputs'!F$9*$H77,IF(AND(($D77+$C$1)&gt;AI$4,AI$4&gt;=$C$1),'General Inputs'!F$9*$G77,0))+IF(AND(($E77+$C$1)&gt;AI$4,AI$4&gt;=$C$1),'General Inputs'!F$10*$J77,IF(AND(($D77+$C$1)&gt;AI$4,AI$4&gt;=$C$1),'General Inputs'!F$10*$I77,0))</f>
        <v>107.84213756870527</v>
      </c>
      <c r="AJ77" s="214">
        <f>IF(AND(($E77+$C$1)&gt;AJ$4,AJ$4&gt;=$C$1),'General Inputs'!G$9*$H77,IF(AND(($D77+$C$1)&gt;AJ$4,AJ$4&gt;=$C$1),'General Inputs'!G$9*$G77,0))+IF(AND(($E77+$C$1)&gt;AJ$4,AJ$4&gt;=$C$1),'General Inputs'!G$10*$J77,IF(AND(($D77+$C$1)&gt;AJ$4,AJ$4&gt;=$C$1),'General Inputs'!G$10*$I77,0))</f>
        <v>109.45976963223585</v>
      </c>
      <c r="AK77" s="214">
        <f>IF(AND(($E77+$C$1)&gt;AK$4,AK$4&gt;=$C$1),'General Inputs'!H$9*$H77,IF(AND(($D77+$C$1)&gt;AK$4,AK$4&gt;=$C$1),'General Inputs'!H$9*$G77,0))+IF(AND(($E77+$C$1)&gt;AK$4,AK$4&gt;=$C$1),'General Inputs'!H$10*$J77,IF(AND(($D77+$C$1)&gt;AK$4,AK$4&gt;=$C$1),'General Inputs'!H$10*$I77,0))</f>
        <v>111.10166617671936</v>
      </c>
      <c r="AL77" s="214">
        <f>IF(AND(($E77+$C$1)&gt;AL$4,AL$4&gt;=$C$1),'General Inputs'!I$9*$H77,IF(AND(($D77+$C$1)&gt;AL$4,AL$4&gt;=$C$1),'General Inputs'!I$9*$G77,0))+IF(AND(($E77+$C$1)&gt;AL$4,AL$4&gt;=$C$1),'General Inputs'!I$10*$J77,IF(AND(($D77+$C$1)&gt;AL$4,AL$4&gt;=$C$1),'General Inputs'!I$10*$I77,0))</f>
        <v>112.76819116937014</v>
      </c>
      <c r="AM77" s="214">
        <f>IF(AND(($E77+$C$1)&gt;AM$4,AM$4&gt;=$C$1),'General Inputs'!J$9*$H77,IF(AND(($D77+$C$1)&gt;AM$4,AM$4&gt;=$C$1),'General Inputs'!J$9*$G77,0))+IF(AND(($E77+$C$1)&gt;AM$4,AM$4&gt;=$C$1),'General Inputs'!J$10*$J77,IF(AND(($D77+$C$1)&gt;AM$4,AM$4&gt;=$C$1),'General Inputs'!J$10*$I77,0))</f>
        <v>114.45971403691067</v>
      </c>
      <c r="AN77" s="214">
        <f>IF(AND(($E77+$C$1)&gt;AN$4,AN$4&gt;=$C$1),'General Inputs'!K$9*$H77,IF(AND(($D77+$C$1)&gt;AN$4,AN$4&gt;=$C$1),'General Inputs'!K$9*$G77,0))+IF(AND(($E77+$C$1)&gt;AN$4,AN$4&gt;=$C$1),'General Inputs'!K$10*$J77,IF(AND(($D77+$C$1)&gt;AN$4,AN$4&gt;=$C$1),'General Inputs'!K$10*$I77,0))</f>
        <v>116.17660974746431</v>
      </c>
      <c r="AO77" s="214">
        <f>IF(AND(($E77+$C$1)&gt;AO$4,AO$4&gt;=$C$1),'General Inputs'!L$9*$H77,IF(AND(($D77+$C$1)&gt;AO$4,AO$4&gt;=$C$1),'General Inputs'!L$9*$G77,0))+IF(AND(($E77+$C$1)&gt;AO$4,AO$4&gt;=$C$1),'General Inputs'!L$10*$J77,IF(AND(($D77+$C$1)&gt;AO$4,AO$4&gt;=$C$1),'General Inputs'!L$10*$I77,0))</f>
        <v>117.91925889367627</v>
      </c>
      <c r="AP77" s="214">
        <f>IF(AND(($E77+$C$1)&gt;AP$4,AP$4&gt;=$C$1),'General Inputs'!M$9*$H77,IF(AND(($D77+$C$1)&gt;AP$4,AP$4&gt;=$C$1),'General Inputs'!M$9*$G77,0))+IF(AND(($E77+$C$1)&gt;AP$4,AP$4&gt;=$C$1),'General Inputs'!M$10*$J77,IF(AND(($D77+$C$1)&gt;AP$4,AP$4&gt;=$C$1),'General Inputs'!M$10*$I77,0))</f>
        <v>119.68804777708139</v>
      </c>
      <c r="AQ77" s="214">
        <f>IF(AND(($E77+$C$1)&gt;AQ$4,AQ$4&gt;=$C$1),'General Inputs'!N$9*$H77,IF(AND(($D77+$C$1)&gt;AQ$4,AQ$4&gt;=$C$1),'General Inputs'!N$9*$G77,0))+IF(AND(($E77+$C$1)&gt;AQ$4,AQ$4&gt;=$C$1),'General Inputs'!N$10*$J77,IF(AND(($D77+$C$1)&gt;AQ$4,AQ$4&gt;=$C$1),'General Inputs'!N$10*$I77,0))</f>
        <v>121.4833684937376</v>
      </c>
      <c r="AR77" s="214">
        <f>IF(AND(($E77+$C$1)&gt;AR$4,AR$4&gt;=$C$1),'General Inputs'!O$9*$H77,IF(AND(($D77+$C$1)&gt;AR$4,AR$4&gt;=$C$1),'General Inputs'!O$9*$G77,0))+IF(AND(($E77+$C$1)&gt;AR$4,AR$4&gt;=$C$1),'General Inputs'!O$10*$J77,IF(AND(($D77+$C$1)&gt;AR$4,AR$4&gt;=$C$1),'General Inputs'!O$10*$I77,0))</f>
        <v>123.30561902114366</v>
      </c>
      <c r="AS77" s="214">
        <f>IF(AND(($E77+$C$1)&gt;AS$4,AS$4&gt;=$C$1),'General Inputs'!P$9*$H77,IF(AND(($D77+$C$1)&gt;AS$4,AS$4&gt;=$C$1),'General Inputs'!P$9*$G77,0))+IF(AND(($E77+$C$1)&gt;AS$4,AS$4&gt;=$C$1),'General Inputs'!P$10*$J77,IF(AND(($D77+$C$1)&gt;AS$4,AS$4&gt;=$C$1),'General Inputs'!P$10*$I77,0))</f>
        <v>125.15520330646079</v>
      </c>
      <c r="AT77" s="214">
        <f>IF(AND(($E77+$C$1)&gt;AT$4,AT$4&gt;=$C$1),'General Inputs'!Q$9*$H77,IF(AND(($D77+$C$1)&gt;AT$4,AT$4&gt;=$C$1),'General Inputs'!Q$9*$G77,0))+IF(AND(($E77+$C$1)&gt;AT$4,AT$4&gt;=$C$1),'General Inputs'!Q$10*$J77,IF(AND(($D77+$C$1)&gt;AT$4,AT$4&gt;=$C$1),'General Inputs'!Q$10*$I77,0))</f>
        <v>127.03253135605772</v>
      </c>
      <c r="AU77" s="214">
        <f>IF(AND(($E77+$C$1)&gt;AU$4,AU$4&gt;=$C$1),'General Inputs'!R$9*$H77,IF(AND(($D77+$C$1)&gt;AU$4,AU$4&gt;=$C$1),'General Inputs'!R$9*$G77,0))+IF(AND(($E77+$C$1)&gt;AU$4,AU$4&gt;=$C$1),'General Inputs'!R$10*$J77,IF(AND(($D77+$C$1)&gt;AU$4,AU$4&gt;=$C$1),'General Inputs'!R$10*$I77,0))</f>
        <v>128.93801932639857</v>
      </c>
      <c r="AV77" s="214">
        <f>IF(AND(($E77+$C$1)&gt;AV$4,AV$4&gt;=$C$1),'General Inputs'!S$9*$H77,IF(AND(($D77+$C$1)&gt;AV$4,AV$4&gt;=$C$1),'General Inputs'!S$9*$G77,0))+IF(AND(($E77+$C$1)&gt;AV$4,AV$4&gt;=$C$1),'General Inputs'!S$10*$J77,IF(AND(($D77+$C$1)&gt;AV$4,AV$4&gt;=$C$1),'General Inputs'!S$10*$I77,0))</f>
        <v>130.87208961629455</v>
      </c>
      <c r="AW77" s="214">
        <f>IF(AND(($E77+$C$1)&gt;AW$4,AW$4&gt;=$C$1),'General Inputs'!T$9*$H77,IF(AND(($D77+$C$1)&gt;AW$4,AW$4&gt;=$C$1),'General Inputs'!T$9*$G77,0))+IF(AND(($E77+$C$1)&gt;AW$4,AW$4&gt;=$C$1),'General Inputs'!T$10*$J77,IF(AND(($D77+$C$1)&gt;AW$4,AW$4&gt;=$C$1),'General Inputs'!T$10*$I77,0))</f>
        <v>0</v>
      </c>
      <c r="AX77" s="214">
        <f>IF(AND(($E77+$C$1)&gt;AX$4,AX$4&gt;=$C$1),'General Inputs'!U$9*$H77,IF(AND(($D77+$C$1)&gt;AX$4,AX$4&gt;=$C$1),'General Inputs'!U$9*$G77,0))+IF(AND(($E77+$C$1)&gt;AX$4,AX$4&gt;=$C$1),'General Inputs'!U$10*$J77,IF(AND(($D77+$C$1)&gt;AX$4,AX$4&gt;=$C$1),'General Inputs'!U$10*$I77,0))</f>
        <v>0</v>
      </c>
      <c r="AY77" s="214">
        <f>IF(AND(($E77+$C$1)&gt;AY$4,AY$4&gt;=$C$1),'General Inputs'!V$9*$H77,IF(AND(($D77+$C$1)&gt;AY$4,AY$4&gt;=$C$1),'General Inputs'!V$9*$G77,0))+IF(AND(($E77+$C$1)&gt;AY$4,AY$4&gt;=$C$1),'General Inputs'!V$10*$J77,IF(AND(($D77+$C$1)&gt;AY$4,AY$4&gt;=$C$1),'General Inputs'!V$10*$I77,0))</f>
        <v>0</v>
      </c>
      <c r="AZ77" s="214">
        <f>IF(AND(($E77+$C$1)&gt;AZ$4,AZ$4&gt;=$C$1),'General Inputs'!W$9*$H77,IF(AND(($D77+$C$1)&gt;AZ$4,AZ$4&gt;=$C$1),'General Inputs'!W$9*$G77,0))+IF(AND(($E77+$C$1)&gt;AZ$4,AZ$4&gt;=$C$1),'General Inputs'!W$10*$J77,IF(AND(($D77+$C$1)&gt;AZ$4,AZ$4&gt;=$C$1),'General Inputs'!W$10*$I77,0))</f>
        <v>0</v>
      </c>
      <c r="BB77" s="214">
        <f>IF(AND(($E77+$C$1)&gt;BB$4,BB$4&gt;=$C$1),'General Inputs'!D$11*$H77,IF(AND(($D77+$C$1)&gt;BB$4,BB$4&gt;=$C$1),'General Inputs'!D$11*$G77,0))</f>
        <v>0</v>
      </c>
      <c r="BC77" s="214">
        <f>IF(AND(($E77+$C$1)&gt;BC$4,BC$4&gt;=$C$1),'General Inputs'!E$11*$H77,IF(AND(($D77+$C$1)&gt;BC$4,BC$4&gt;=$C$1),'General Inputs'!E$11*$G77,0))</f>
        <v>28.071196728002999</v>
      </c>
      <c r="BD77" s="214">
        <f>IF(AND(($E77+$C$1)&gt;BD$4,BD$4&gt;=$C$1),'General Inputs'!F$11*$H77,IF(AND(($D77+$C$1)&gt;BD$4,BD$4&gt;=$C$1),'General Inputs'!F$11*$G77,0))</f>
        <v>28.071196728002999</v>
      </c>
      <c r="BE77" s="214">
        <f>IF(AND(($E77+$C$1)&gt;BE$4,BE$4&gt;=$C$1),'General Inputs'!G$11*$H77,IF(AND(($D77+$C$1)&gt;BE$4,BE$4&gt;=$C$1),'General Inputs'!G$11*$G77,0))</f>
        <v>28.071196728002999</v>
      </c>
      <c r="BF77" s="214">
        <f>IF(AND(($E77+$C$1)&gt;BF$4,BF$4&gt;=$C$1),'General Inputs'!H$11*$H77,IF(AND(($D77+$C$1)&gt;BF$4,BF$4&gt;=$C$1),'General Inputs'!H$11*$G77,0))</f>
        <v>28.071196728002999</v>
      </c>
      <c r="BG77" s="214">
        <f>IF(AND(($E77+$C$1)&gt;BG$4,BG$4&gt;=$C$1),'General Inputs'!I$11*$H77,IF(AND(($D77+$C$1)&gt;BG$4,BG$4&gt;=$C$1),'General Inputs'!I$11*$G77,0))</f>
        <v>28.071196728002999</v>
      </c>
      <c r="BH77" s="214">
        <f>IF(AND(($E77+$C$1)&gt;BH$4,BH$4&gt;=$C$1),'General Inputs'!J$11*$H77,IF(AND(($D77+$C$1)&gt;BH$4,BH$4&gt;=$C$1),'General Inputs'!J$11*$G77,0))</f>
        <v>28.071196728002999</v>
      </c>
      <c r="BI77" s="214">
        <f>IF(AND(($E77+$C$1)&gt;BI$4,BI$4&gt;=$C$1),'General Inputs'!K$11*$H77,IF(AND(($D77+$C$1)&gt;BI$4,BI$4&gt;=$C$1),'General Inputs'!K$11*$G77,0))</f>
        <v>28.071196728002999</v>
      </c>
      <c r="BJ77" s="214">
        <f>IF(AND(($E77+$C$1)&gt;BJ$4,BJ$4&gt;=$C$1),'General Inputs'!L$11*$H77,IF(AND(($D77+$C$1)&gt;BJ$4,BJ$4&gt;=$C$1),'General Inputs'!L$11*$G77,0))</f>
        <v>28.071196728002999</v>
      </c>
      <c r="BK77" s="214">
        <f>IF(AND(($E77+$C$1)&gt;BK$4,BK$4&gt;=$C$1),'General Inputs'!M$11*$H77,IF(AND(($D77+$C$1)&gt;BK$4,BK$4&gt;=$C$1),'General Inputs'!M$11*$G77,0))</f>
        <v>28.071196728002999</v>
      </c>
      <c r="BL77" s="214">
        <f>IF(AND(($E77+$C$1)&gt;BL$4,BL$4&gt;=$C$1),'General Inputs'!N$11*$H77,IF(AND(($D77+$C$1)&gt;BL$4,BL$4&gt;=$C$1),'General Inputs'!N$11*$G77,0))</f>
        <v>28.071196728002999</v>
      </c>
      <c r="BM77" s="214">
        <f>IF(AND(($E77+$C$1)&gt;BM$4,BM$4&gt;=$C$1),'General Inputs'!O$11*$H77,IF(AND(($D77+$C$1)&gt;BM$4,BM$4&gt;=$C$1),'General Inputs'!O$11*$G77,0))</f>
        <v>28.071196728002999</v>
      </c>
      <c r="BN77" s="214">
        <f>IF(AND(($E77+$C$1)&gt;BN$4,BN$4&gt;=$C$1),'General Inputs'!P$11*$H77,IF(AND(($D77+$C$1)&gt;BN$4,BN$4&gt;=$C$1),'General Inputs'!P$11*$G77,0))</f>
        <v>28.071196728002999</v>
      </c>
      <c r="BO77" s="214">
        <f>IF(AND(($E77+$C$1)&gt;BO$4,BO$4&gt;=$C$1),'General Inputs'!Q$11*$H77,IF(AND(($D77+$C$1)&gt;BO$4,BO$4&gt;=$C$1),'General Inputs'!Q$11*$G77,0))</f>
        <v>28.071196728002999</v>
      </c>
      <c r="BP77" s="214">
        <f>IF(AND(($E77+$C$1)&gt;BP$4,BP$4&gt;=$C$1),'General Inputs'!R$11*$H77,IF(AND(($D77+$C$1)&gt;BP$4,BP$4&gt;=$C$1),'General Inputs'!R$11*$G77,0))</f>
        <v>28.071196728002999</v>
      </c>
      <c r="BQ77" s="214">
        <f>IF(AND(($E77+$C$1)&gt;BQ$4,BQ$4&gt;=$C$1),'General Inputs'!S$11*$H77,IF(AND(($D77+$C$1)&gt;BQ$4,BQ$4&gt;=$C$1),'General Inputs'!S$11*$G77,0))</f>
        <v>28.071196728002999</v>
      </c>
      <c r="BR77" s="214">
        <f>IF(AND(($E77+$C$1)&gt;BR$4,BR$4&gt;=$C$1),'General Inputs'!T$11*$H77,IF(AND(($D77+$C$1)&gt;BR$4,BR$4&gt;=$C$1),'General Inputs'!T$11*$G77,0))</f>
        <v>0</v>
      </c>
      <c r="BS77" s="214">
        <f>IF(AND(($E77+$C$1)&gt;BS$4,BS$4&gt;=$C$1),'General Inputs'!U$11*$H77,IF(AND(($D77+$C$1)&gt;BS$4,BS$4&gt;=$C$1),'General Inputs'!U$11*$G77,0))</f>
        <v>0</v>
      </c>
      <c r="BT77" s="214">
        <f>IF(AND(($E77+$C$1)&gt;BT$4,BT$4&gt;=$C$1),'General Inputs'!V$11*$H77,IF(AND(($D77+$C$1)&gt;BT$4,BT$4&gt;=$C$1),'General Inputs'!V$11*$G77,0))</f>
        <v>0</v>
      </c>
      <c r="BU77" s="214">
        <f>IF(AND(($E77+$C$1)&gt;BU$4,BU$4&gt;=$C$1),'General Inputs'!W$11*$H77,IF(AND(($D77+$C$1)&gt;BU$4,BU$4&gt;=$C$1),'General Inputs'!W$11*$G77,0))</f>
        <v>0</v>
      </c>
      <c r="BW77" s="214">
        <f>IF(AND(($E77+$C$1)&gt;BW$4,BW$4&gt;=$C$1),$H77,IF(AND(($D77+$C$1)&gt;BW$4,BW$4&gt;=$C$1),$G77,0))*IF($A77="Residential",'General Inputs'!D$14,'General Inputs'!D$19)</f>
        <v>0</v>
      </c>
      <c r="BX77" s="214">
        <f>IF(AND(($E77+$C$1)&gt;BX$4,BX$4&gt;=$C$1),$H77,IF(AND(($D77+$C$1)&gt;BX$4,BX$4&gt;=$C$1),$G77,0))*IF($A77="Residential",'General Inputs'!E$14,'General Inputs'!E$19)</f>
        <v>261.09623767539046</v>
      </c>
      <c r="BY77" s="214">
        <f>IF(AND(($E77+$C$1)&gt;BY$4,BY$4&gt;=$C$1),$H77,IF(AND(($D77+$C$1)&gt;BY$4,BY$4&gt;=$C$1),$G77,0))*IF($A77="Residential",'General Inputs'!F$14,'General Inputs'!F$19)</f>
        <v>265.01268124052132</v>
      </c>
      <c r="BZ77" s="214">
        <f>IF(AND(($E77+$C$1)&gt;BZ$4,BZ$4&gt;=$C$1),$H77,IF(AND(($D77+$C$1)&gt;BZ$4,BZ$4&gt;=$C$1),$G77,0))*IF($A77="Residential",'General Inputs'!G$14,'General Inputs'!G$19)</f>
        <v>268.98787145912911</v>
      </c>
      <c r="CA77" s="214">
        <f>IF(AND(($E77+$C$1)&gt;CA$4,CA$4&gt;=$C$1),$H77,IF(AND(($D77+$C$1)&gt;CA$4,CA$4&gt;=$C$1),$G77,0))*IF($A77="Residential",'General Inputs'!H$14,'General Inputs'!H$19)</f>
        <v>273.02268953101594</v>
      </c>
      <c r="CB77" s="214">
        <f>IF(AND(($E77+$C$1)&gt;CB$4,CB$4&gt;=$C$1),$H77,IF(AND(($D77+$C$1)&gt;CB$4,CB$4&gt;=$C$1),$G77,0))*IF($A77="Residential",'General Inputs'!I$14,'General Inputs'!I$19)</f>
        <v>277.11802987398119</v>
      </c>
      <c r="CC77" s="214">
        <f>IF(AND(($E77+$C$1)&gt;CC$4,CC$4&gt;=$C$1),$H77,IF(AND(($D77+$C$1)&gt;CC$4,CC$4&gt;=$C$1),$G77,0))*IF($A77="Residential",'General Inputs'!J$14,'General Inputs'!J$19)</f>
        <v>281.27480032209087</v>
      </c>
      <c r="CD77" s="214">
        <f>IF(AND(($E77+$C$1)&gt;CD$4,CD$4&gt;=$C$1),$H77,IF(AND(($D77+$C$1)&gt;CD$4,CD$4&gt;=$C$1),$G77,0))*IF($A77="Residential",'General Inputs'!K$14,'General Inputs'!K$19)</f>
        <v>285.49392232692219</v>
      </c>
      <c r="CE77" s="214">
        <f>IF(AND(($E77+$C$1)&gt;CE$4,CE$4&gt;=$C$1),$H77,IF(AND(($D77+$C$1)&gt;CE$4,CE$4&gt;=$C$1),$G77,0))*IF($A77="Residential",'General Inputs'!L$14,'General Inputs'!L$19)</f>
        <v>289.77633116182602</v>
      </c>
      <c r="CF77" s="214">
        <f>IF(AND(($E77+$C$1)&gt;CF$4,CF$4&gt;=$C$1),$H77,IF(AND(($D77+$C$1)&gt;CF$4,CF$4&gt;=$C$1),$G77,0))*IF($A77="Residential",'General Inputs'!M$14,'General Inputs'!M$19)</f>
        <v>294.12297612925335</v>
      </c>
      <c r="CG77" s="214">
        <f>IF(AND(($E77+$C$1)&gt;CG$4,CG$4&gt;=$C$1),$H77,IF(AND(($D77+$C$1)&gt;CG$4,CG$4&gt;=$C$1),$G77,0))*IF($A77="Residential",'General Inputs'!N$14,'General Inputs'!N$19)</f>
        <v>298.53482077119219</v>
      </c>
      <c r="CH77" s="214">
        <f>IF(AND(($E77+$C$1)&gt;CH$4,CH$4&gt;=$C$1),$H77,IF(AND(($D77+$C$1)&gt;CH$4,CH$4&gt;=$C$1),$G77,0))*IF($A77="Residential",'General Inputs'!O$14,'General Inputs'!O$19)</f>
        <v>303.01284308276001</v>
      </c>
      <c r="CI77" s="214">
        <f>IF(AND(($E77+$C$1)&gt;CI$4,CI$4&gt;=$C$1),$H77,IF(AND(($D77+$C$1)&gt;CI$4,CI$4&gt;=$C$1),$G77,0))*IF($A77="Residential",'General Inputs'!P$14,'General Inputs'!P$19)</f>
        <v>307.5580357290014</v>
      </c>
      <c r="CJ77" s="214">
        <f>IF(AND(($E77+$C$1)&gt;CJ$4,CJ$4&gt;=$C$1),$H77,IF(AND(($D77+$C$1)&gt;CJ$4,CJ$4&gt;=$C$1),$G77,0))*IF($A77="Residential",'General Inputs'!Q$14,'General Inputs'!Q$19)</f>
        <v>312.17140626493637</v>
      </c>
      <c r="CK77" s="214">
        <f>IF(AND(($E77+$C$1)&gt;CK$4,CK$4&gt;=$C$1),$H77,IF(AND(($D77+$C$1)&gt;CK$4,CK$4&gt;=$C$1),$G77,0))*IF($A77="Residential",'General Inputs'!R$14,'General Inputs'!R$19)</f>
        <v>316.85397735891036</v>
      </c>
      <c r="CL77" s="214">
        <f>IF(AND(($E77+$C$1)&gt;CL$4,CL$4&gt;=$C$1),$H77,IF(AND(($D77+$C$1)&gt;CL$4,CL$4&gt;=$C$1),$G77,0))*IF($A77="Residential",'General Inputs'!S$14,'General Inputs'!S$19)</f>
        <v>321.60678701929402</v>
      </c>
      <c r="CM77" s="214">
        <f>IF(AND(($E77+$C$1)&gt;CM$4,CM$4&gt;=$C$1),$H77,IF(AND(($D77+$C$1)&gt;CM$4,CM$4&gt;=$C$1),$G77,0))*IF($A77="Residential",'General Inputs'!T$14,'General Inputs'!T$19)</f>
        <v>0</v>
      </c>
      <c r="CN77" s="214">
        <f>IF(AND(($E77+$C$1)&gt;CN$4,CN$4&gt;=$C$1),$H77,IF(AND(($D77+$C$1)&gt;CN$4,CN$4&gt;=$C$1),$G77,0))*IF($A77="Residential",'General Inputs'!U$14,'General Inputs'!U$19)</f>
        <v>0</v>
      </c>
      <c r="CO77" s="214">
        <f>IF(AND(($E77+$C$1)&gt;CO$4,CO$4&gt;=$C$1),$H77,IF(AND(($D77+$C$1)&gt;CO$4,CO$4&gt;=$C$1),$G77,0))*IF($A77="Residential",'General Inputs'!V$14,'General Inputs'!V$19)</f>
        <v>0</v>
      </c>
      <c r="CP77" s="214">
        <f>IF(AND(($E77+$C$1)&gt;CP$4,CP$4&gt;=$C$1),$H77,IF(AND(($D77+$C$1)&gt;CP$4,CP$4&gt;=$C$1),$G77,0))*IF($A77="Residential",'General Inputs'!W$14,'General Inputs'!W$19)</f>
        <v>0</v>
      </c>
      <c r="CR77" s="214">
        <f>IF(AND(($E77+$C$1)&gt;CR$4,CR$4&gt;=$C$1),$H77,IF(AND(($D77+$C$1)&gt;CR$4,CR$4&gt;=$C$1),$G77,0))*IF($A77="Residential",'General Inputs'!D$15,'General Inputs'!D$19)</f>
        <v>0</v>
      </c>
      <c r="CS77" s="214">
        <f>IF(AND(($E77+$C$1)&gt;CS$4,CS$4&gt;=$C$1),$H77,IF(AND(($D77+$C$1)&gt;CS$4,CS$4&gt;=$C$1),$G77,0))*IF($A77="Residential",'General Inputs'!E$15,'General Inputs'!E$19)</f>
        <v>261.09623767539046</v>
      </c>
      <c r="CT77" s="214">
        <f>IF(AND(($E77+$C$1)&gt;CT$4,CT$4&gt;=$C$1),$H77,IF(AND(($D77+$C$1)&gt;CT$4,CT$4&gt;=$C$1),$G77,0))*IF($A77="Residential",'General Inputs'!F$15,'General Inputs'!F$19)</f>
        <v>265.01268124052132</v>
      </c>
      <c r="CU77" s="214">
        <f>IF(AND(($E77+$C$1)&gt;CU$4,CU$4&gt;=$C$1),$H77,IF(AND(($D77+$C$1)&gt;CU$4,CU$4&gt;=$C$1),$G77,0))*IF($A77="Residential",'General Inputs'!G$15,'General Inputs'!G$19)</f>
        <v>268.98787145912911</v>
      </c>
      <c r="CV77" s="214">
        <f>IF(AND(($E77+$C$1)&gt;CV$4,CV$4&gt;=$C$1),$H77,IF(AND(($D77+$C$1)&gt;CV$4,CV$4&gt;=$C$1),$G77,0))*IF($A77="Residential",'General Inputs'!H$15,'General Inputs'!H$19)</f>
        <v>273.02268953101594</v>
      </c>
      <c r="CW77" s="214">
        <f>IF(AND(($E77+$C$1)&gt;CW$4,CW$4&gt;=$C$1),$H77,IF(AND(($D77+$C$1)&gt;CW$4,CW$4&gt;=$C$1),$G77,0))*IF($A77="Residential",'General Inputs'!I$15,'General Inputs'!I$19)</f>
        <v>277.11802987398119</v>
      </c>
      <c r="CX77" s="214">
        <f>IF(AND(($E77+$C$1)&gt;CX$4,CX$4&gt;=$C$1),$H77,IF(AND(($D77+$C$1)&gt;CX$4,CX$4&gt;=$C$1),$G77,0))*IF($A77="Residential",'General Inputs'!J$15,'General Inputs'!J$19)</f>
        <v>281.27480032209087</v>
      </c>
      <c r="CY77" s="214">
        <f>IF(AND(($E77+$C$1)&gt;CY$4,CY$4&gt;=$C$1),$H77,IF(AND(($D77+$C$1)&gt;CY$4,CY$4&gt;=$C$1),$G77,0))*IF($A77="Residential",'General Inputs'!K$15,'General Inputs'!K$19)</f>
        <v>285.49392232692219</v>
      </c>
      <c r="CZ77" s="214">
        <f>IF(AND(($E77+$C$1)&gt;CZ$4,CZ$4&gt;=$C$1),$H77,IF(AND(($D77+$C$1)&gt;CZ$4,CZ$4&gt;=$C$1),$G77,0))*IF($A77="Residential",'General Inputs'!L$15,'General Inputs'!L$19)</f>
        <v>289.77633116182602</v>
      </c>
      <c r="DA77" s="214">
        <f>IF(AND(($E77+$C$1)&gt;DA$4,DA$4&gt;=$C$1),$H77,IF(AND(($D77+$C$1)&gt;DA$4,DA$4&gt;=$C$1),$G77,0))*IF($A77="Residential",'General Inputs'!M$15,'General Inputs'!M$19)</f>
        <v>294.12297612925335</v>
      </c>
      <c r="DB77" s="214">
        <f>IF(AND(($E77+$C$1)&gt;DB$4,DB$4&gt;=$C$1),$H77,IF(AND(($D77+$C$1)&gt;DB$4,DB$4&gt;=$C$1),$G77,0))*IF($A77="Residential",'General Inputs'!N$15,'General Inputs'!N$19)</f>
        <v>298.53482077119219</v>
      </c>
      <c r="DC77" s="214">
        <f>IF(AND(($E77+$C$1)&gt;DC$4,DC$4&gt;=$C$1),$H77,IF(AND(($D77+$C$1)&gt;DC$4,DC$4&gt;=$C$1),$G77,0))*IF($A77="Residential",'General Inputs'!O$15,'General Inputs'!O$19)</f>
        <v>303.01284308276001</v>
      </c>
      <c r="DD77" s="214">
        <f>IF(AND(($E77+$C$1)&gt;DD$4,DD$4&gt;=$C$1),$H77,IF(AND(($D77+$C$1)&gt;DD$4,DD$4&gt;=$C$1),$G77,0))*IF($A77="Residential",'General Inputs'!P$15,'General Inputs'!P$19)</f>
        <v>307.5580357290014</v>
      </c>
      <c r="DE77" s="214">
        <f>IF(AND(($E77+$C$1)&gt;DE$4,DE$4&gt;=$C$1),$H77,IF(AND(($D77+$C$1)&gt;DE$4,DE$4&gt;=$C$1),$G77,0))*IF($A77="Residential",'General Inputs'!Q$15,'General Inputs'!Q$19)</f>
        <v>312.17140626493637</v>
      </c>
      <c r="DF77" s="214">
        <f>IF(AND(($E77+$C$1)&gt;DF$4,DF$4&gt;=$C$1),$H77,IF(AND(($D77+$C$1)&gt;DF$4,DF$4&gt;=$C$1),$G77,0))*IF($A77="Residential",'General Inputs'!R$15,'General Inputs'!R$19)</f>
        <v>316.85397735891036</v>
      </c>
      <c r="DG77" s="214">
        <f>IF(AND(($E77+$C$1)&gt;DG$4,DG$4&gt;=$C$1),$H77,IF(AND(($D77+$C$1)&gt;DG$4,DG$4&gt;=$C$1),$G77,0))*IF($A77="Residential",'General Inputs'!S$15,'General Inputs'!S$19)</f>
        <v>321.60678701929402</v>
      </c>
      <c r="DH77" s="214">
        <f>IF(AND(($E77+$C$1)&gt;DH$4,DH$4&gt;=$C$1),$H77,IF(AND(($D77+$C$1)&gt;DH$4,DH$4&gt;=$C$1),$G77,0))*IF($A77="Residential",'General Inputs'!T$15,'General Inputs'!T$19)</f>
        <v>0</v>
      </c>
      <c r="DI77" s="214">
        <f>IF(AND(($E77+$C$1)&gt;DI$4,DI$4&gt;=$C$1),$H77,IF(AND(($D77+$C$1)&gt;DI$4,DI$4&gt;=$C$1),$G77,0))*IF($A77="Residential",'General Inputs'!U$15,'General Inputs'!U$19)</f>
        <v>0</v>
      </c>
      <c r="DJ77" s="214">
        <f>IF(AND(($E77+$C$1)&gt;DJ$4,DJ$4&gt;=$C$1),$H77,IF(AND(($D77+$C$1)&gt;DJ$4,DJ$4&gt;=$C$1),$G77,0))*IF($A77="Residential",'General Inputs'!V$15,'General Inputs'!V$19)</f>
        <v>0</v>
      </c>
      <c r="DK77" s="214">
        <f>IF(AND(($E77+$C$1)&gt;DK$4,DK$4&gt;=$C$1),$H77,IF(AND(($D77+$C$1)&gt;DK$4,DK$4&gt;=$C$1),$G77,0))*IF($A77="Residential",'General Inputs'!W$15,'General Inputs'!W$19)</f>
        <v>0</v>
      </c>
      <c r="DM77" s="214">
        <f t="shared" si="100"/>
        <v>0</v>
      </c>
      <c r="DN77" s="214">
        <f t="shared" si="100"/>
        <v>325</v>
      </c>
      <c r="DO77" s="214">
        <f t="shared" si="100"/>
        <v>0</v>
      </c>
      <c r="DP77" s="214">
        <f t="shared" si="100"/>
        <v>0</v>
      </c>
      <c r="DQ77" s="214">
        <f t="shared" si="100"/>
        <v>0</v>
      </c>
      <c r="DR77" s="214">
        <f t="shared" si="100"/>
        <v>0</v>
      </c>
      <c r="DS77" s="214">
        <f t="shared" si="100"/>
        <v>0</v>
      </c>
      <c r="DT77" s="214">
        <f t="shared" si="100"/>
        <v>0</v>
      </c>
      <c r="DU77" s="214">
        <f t="shared" si="100"/>
        <v>0</v>
      </c>
      <c r="DV77" s="214">
        <f t="shared" si="100"/>
        <v>0</v>
      </c>
      <c r="DW77" s="214">
        <f t="shared" si="100"/>
        <v>0</v>
      </c>
      <c r="DZ77" s="650"/>
      <c r="FI77" s="195"/>
      <c r="FJ77" s="195"/>
      <c r="FK77" s="195"/>
      <c r="FL77" s="195"/>
      <c r="FM77" s="195"/>
      <c r="FN77" s="195"/>
      <c r="FO77" s="195"/>
    </row>
    <row r="78" spans="1:171">
      <c r="A78" s="342" t="s">
        <v>112</v>
      </c>
      <c r="B78" s="427" t="str">
        <f>'Portfolio Inputs'!A77</f>
        <v>LED (≤5W)</v>
      </c>
      <c r="C78" s="217">
        <f>IF($C$1=2014,'Portfolio Inputs'!$C77,IF($C$1=2015,'Portfolio Inputs'!$D77,'Portfolio Inputs'!$E77))</f>
        <v>5</v>
      </c>
      <c r="D78" s="504">
        <f>VLOOKUP(B78,Sources!$B$4:$J$104,2,FALSE)</f>
        <v>10</v>
      </c>
      <c r="E78" s="504">
        <f>VLOOKUP(B78,Sources!$B$4:$J$104,3,FALSE)</f>
        <v>0</v>
      </c>
      <c r="G78" s="504">
        <f>IF($C$1=2014,'Portfolio Inputs'!$G77,IF($C$1=2015,'Portfolio Inputs'!$H77,'Portfolio Inputs'!$I77))*EnergyLineLoss</f>
        <v>1539.52843125</v>
      </c>
      <c r="H78" s="504"/>
      <c r="I78" s="595">
        <f>IF($C$1=2014,'Portfolio Inputs'!$K77,IF($C$1=2015,'Portfolio Inputs'!$L77,'Portfolio Inputs'!$M77))*PeakLineLoss</f>
        <v>0.23805639000000001</v>
      </c>
      <c r="J78" s="510"/>
      <c r="L78" s="606">
        <f>IF($C$1=2014,'Portfolio Inputs'!$O77,IF($C$1=2015,'Portfolio Inputs'!$P77,'Portfolio Inputs'!$Q77))</f>
        <v>34</v>
      </c>
      <c r="M78" s="518">
        <f>VLOOKUP($B78,Sources!$B$4:$K$104,10,FALSE)</f>
        <v>0</v>
      </c>
      <c r="N78" s="419">
        <f>IF($C$1=2014,'Portfolio Inputs'!$W77,IF($C$1=2015,'Portfolio Inputs'!$X77,'Portfolio Inputs'!$Y77))</f>
        <v>50</v>
      </c>
      <c r="O78" s="419">
        <f>IF($C$1=2014,'Portfolio Inputs'!$AA77,IF($C$1=2015,'Portfolio Inputs'!$AB77,'Portfolio Inputs'!$AC77))</f>
        <v>0</v>
      </c>
      <c r="Q78" s="438">
        <f t="shared" si="67"/>
        <v>2.8854855433131998</v>
      </c>
      <c r="R78" s="439">
        <f t="shared" si="68"/>
        <v>9.8106508472648777</v>
      </c>
      <c r="S78" s="439">
        <f t="shared" si="69"/>
        <v>3.6117139955124906</v>
      </c>
      <c r="T78" s="439">
        <f t="shared" si="70"/>
        <v>7.4494478905437918</v>
      </c>
      <c r="U78" s="439">
        <f t="shared" si="98"/>
        <v>7.4494478905437918</v>
      </c>
      <c r="V78" s="439">
        <f t="shared" si="72"/>
        <v>0.38734220115506662</v>
      </c>
      <c r="W78" s="439">
        <f t="shared" si="73"/>
        <v>0.38734220115506662</v>
      </c>
      <c r="Y78" s="215">
        <f t="shared" si="101"/>
        <v>450.6914207674053</v>
      </c>
      <c r="Z78" s="215">
        <f t="shared" si="102"/>
        <v>113.43149290139598</v>
      </c>
      <c r="AA78" s="215">
        <f t="shared" si="103"/>
        <v>1117.6094647119114</v>
      </c>
      <c r="AB78" s="215">
        <f t="shared" si="104"/>
        <v>1117.6094647119114</v>
      </c>
      <c r="AC78" s="216">
        <f t="shared" si="20"/>
        <v>0</v>
      </c>
      <c r="AD78" s="216">
        <f t="shared" si="21"/>
        <v>45.938993017273063</v>
      </c>
      <c r="AE78" s="215">
        <f t="shared" si="105"/>
        <v>156.19257625872839</v>
      </c>
      <c r="AG78" s="214">
        <f>IF(AND(($E78+$C$1)&gt;AG$4,AG$4&gt;=$C$1),'General Inputs'!D$9*$H78,IF(AND(($D78+$C$1)&gt;AG$4,AG$4&gt;=$C$1),'General Inputs'!D$9*$G78,0))+IF(AND(($E78+$C$1)&gt;AG$4,AG$4&gt;=$C$1),'General Inputs'!D$10*$J78,IF(AND(($D78+$C$1)&gt;AG$4,AG$4&gt;=$C$1),'General Inputs'!D$10*$I78,0))</f>
        <v>0</v>
      </c>
      <c r="AH78" s="214">
        <f>IF(AND(($E78+$C$1)&gt;AH$4,AH$4&gt;=$C$1),'General Inputs'!E$9*$H78,IF(AND(($D78+$C$1)&gt;AH$4,AH$4&gt;=$C$1),'General Inputs'!E$9*$G78,0))+IF(AND(($E78+$C$1)&gt;AH$4,AH$4&gt;=$C$1),'General Inputs'!E$10*$J78,IF(AND(($D78+$C$1)&gt;AH$4,AH$4&gt;=$C$1),'General Inputs'!E$10*$I78,0))</f>
        <v>65.829638618830458</v>
      </c>
      <c r="AI78" s="214">
        <f>IF(AND(($E78+$C$1)&gt;AI$4,AI$4&gt;=$C$1),'General Inputs'!F$9*$H78,IF(AND(($D78+$C$1)&gt;AI$4,AI$4&gt;=$C$1),'General Inputs'!F$9*$G78,0))+IF(AND(($E78+$C$1)&gt;AI$4,AI$4&gt;=$C$1),'General Inputs'!F$10*$J78,IF(AND(($D78+$C$1)&gt;AI$4,AI$4&gt;=$C$1),'General Inputs'!F$10*$I78,0))</f>
        <v>66.817083198112911</v>
      </c>
      <c r="AJ78" s="214">
        <f>IF(AND(($E78+$C$1)&gt;AJ$4,AJ$4&gt;=$C$1),'General Inputs'!G$9*$H78,IF(AND(($D78+$C$1)&gt;AJ$4,AJ$4&gt;=$C$1),'General Inputs'!G$9*$G78,0))+IF(AND(($E78+$C$1)&gt;AJ$4,AJ$4&gt;=$C$1),'General Inputs'!G$10*$J78,IF(AND(($D78+$C$1)&gt;AJ$4,AJ$4&gt;=$C$1),'General Inputs'!G$10*$I78,0))</f>
        <v>67.819339446084584</v>
      </c>
      <c r="AK78" s="214">
        <f>IF(AND(($E78+$C$1)&gt;AK$4,AK$4&gt;=$C$1),'General Inputs'!H$9*$H78,IF(AND(($D78+$C$1)&gt;AK$4,AK$4&gt;=$C$1),'General Inputs'!H$9*$G78,0))+IF(AND(($E78+$C$1)&gt;AK$4,AK$4&gt;=$C$1),'General Inputs'!H$10*$J78,IF(AND(($D78+$C$1)&gt;AK$4,AK$4&gt;=$C$1),'General Inputs'!H$10*$I78,0))</f>
        <v>68.836629537775849</v>
      </c>
      <c r="AL78" s="214">
        <f>IF(AND(($E78+$C$1)&gt;AL$4,AL$4&gt;=$C$1),'General Inputs'!I$9*$H78,IF(AND(($D78+$C$1)&gt;AL$4,AL$4&gt;=$C$1),'General Inputs'!I$9*$G78,0))+IF(AND(($E78+$C$1)&gt;AL$4,AL$4&gt;=$C$1),'General Inputs'!I$10*$J78,IF(AND(($D78+$C$1)&gt;AL$4,AL$4&gt;=$C$1),'General Inputs'!I$10*$I78,0))</f>
        <v>69.869178980842491</v>
      </c>
      <c r="AM78" s="214">
        <f>IF(AND(($E78+$C$1)&gt;AM$4,AM$4&gt;=$C$1),'General Inputs'!J$9*$H78,IF(AND(($D78+$C$1)&gt;AM$4,AM$4&gt;=$C$1),'General Inputs'!J$9*$G78,0))+IF(AND(($E78+$C$1)&gt;AM$4,AM$4&gt;=$C$1),'General Inputs'!J$10*$J78,IF(AND(($D78+$C$1)&gt;AM$4,AM$4&gt;=$C$1),'General Inputs'!J$10*$I78,0))</f>
        <v>70.917216665555102</v>
      </c>
      <c r="AN78" s="214">
        <f>IF(AND(($E78+$C$1)&gt;AN$4,AN$4&gt;=$C$1),'General Inputs'!K$9*$H78,IF(AND(($D78+$C$1)&gt;AN$4,AN$4&gt;=$C$1),'General Inputs'!K$9*$G78,0))+IF(AND(($E78+$C$1)&gt;AN$4,AN$4&gt;=$C$1),'General Inputs'!K$10*$J78,IF(AND(($D78+$C$1)&gt;AN$4,AN$4&gt;=$C$1),'General Inputs'!K$10*$I78,0))</f>
        <v>71.980974915538425</v>
      </c>
      <c r="AO78" s="214">
        <f>IF(AND(($E78+$C$1)&gt;AO$4,AO$4&gt;=$C$1),'General Inputs'!L$9*$H78,IF(AND(($D78+$C$1)&gt;AO$4,AO$4&gt;=$C$1),'General Inputs'!L$9*$G78,0))+IF(AND(($E78+$C$1)&gt;AO$4,AO$4&gt;=$C$1),'General Inputs'!L$10*$J78,IF(AND(($D78+$C$1)&gt;AO$4,AO$4&gt;=$C$1),'General Inputs'!L$10*$I78,0))</f>
        <v>73.060689539271493</v>
      </c>
      <c r="AP78" s="214">
        <f>IF(AND(($E78+$C$1)&gt;AP$4,AP$4&gt;=$C$1),'General Inputs'!M$9*$H78,IF(AND(($D78+$C$1)&gt;AP$4,AP$4&gt;=$C$1),'General Inputs'!M$9*$G78,0))+IF(AND(($E78+$C$1)&gt;AP$4,AP$4&gt;=$C$1),'General Inputs'!M$10*$J78,IF(AND(($D78+$C$1)&gt;AP$4,AP$4&gt;=$C$1),'General Inputs'!M$10*$I78,0))</f>
        <v>74.156599882360567</v>
      </c>
      <c r="AQ78" s="214">
        <f>IF(AND(($E78+$C$1)&gt;AQ$4,AQ$4&gt;=$C$1),'General Inputs'!N$9*$H78,IF(AND(($D78+$C$1)&gt;AQ$4,AQ$4&gt;=$C$1),'General Inputs'!N$9*$G78,0))+IF(AND(($E78+$C$1)&gt;AQ$4,AQ$4&gt;=$C$1),'General Inputs'!N$10*$J78,IF(AND(($D78+$C$1)&gt;AQ$4,AQ$4&gt;=$C$1),'General Inputs'!N$10*$I78,0))</f>
        <v>75.268948880595957</v>
      </c>
      <c r="AR78" s="214">
        <f>IF(AND(($E78+$C$1)&gt;AR$4,AR$4&gt;=$C$1),'General Inputs'!O$9*$H78,IF(AND(($D78+$C$1)&gt;AR$4,AR$4&gt;=$C$1),'General Inputs'!O$9*$G78,0))+IF(AND(($E78+$C$1)&gt;AR$4,AR$4&gt;=$C$1),'General Inputs'!O$10*$J78,IF(AND(($D78+$C$1)&gt;AR$4,AR$4&gt;=$C$1),'General Inputs'!O$10*$I78,0))</f>
        <v>0</v>
      </c>
      <c r="AS78" s="214">
        <f>IF(AND(($E78+$C$1)&gt;AS$4,AS$4&gt;=$C$1),'General Inputs'!P$9*$H78,IF(AND(($D78+$C$1)&gt;AS$4,AS$4&gt;=$C$1),'General Inputs'!P$9*$G78,0))+IF(AND(($E78+$C$1)&gt;AS$4,AS$4&gt;=$C$1),'General Inputs'!P$10*$J78,IF(AND(($D78+$C$1)&gt;AS$4,AS$4&gt;=$C$1),'General Inputs'!P$10*$I78,0))</f>
        <v>0</v>
      </c>
      <c r="AT78" s="214">
        <f>IF(AND(($E78+$C$1)&gt;AT$4,AT$4&gt;=$C$1),'General Inputs'!Q$9*$H78,IF(AND(($D78+$C$1)&gt;AT$4,AT$4&gt;=$C$1),'General Inputs'!Q$9*$G78,0))+IF(AND(($E78+$C$1)&gt;AT$4,AT$4&gt;=$C$1),'General Inputs'!Q$10*$J78,IF(AND(($D78+$C$1)&gt;AT$4,AT$4&gt;=$C$1),'General Inputs'!Q$10*$I78,0))</f>
        <v>0</v>
      </c>
      <c r="AU78" s="214">
        <f>IF(AND(($E78+$C$1)&gt;AU$4,AU$4&gt;=$C$1),'General Inputs'!R$9*$H78,IF(AND(($D78+$C$1)&gt;AU$4,AU$4&gt;=$C$1),'General Inputs'!R$9*$G78,0))+IF(AND(($E78+$C$1)&gt;AU$4,AU$4&gt;=$C$1),'General Inputs'!R$10*$J78,IF(AND(($D78+$C$1)&gt;AU$4,AU$4&gt;=$C$1),'General Inputs'!R$10*$I78,0))</f>
        <v>0</v>
      </c>
      <c r="AV78" s="214">
        <f>IF(AND(($E78+$C$1)&gt;AV$4,AV$4&gt;=$C$1),'General Inputs'!S$9*$H78,IF(AND(($D78+$C$1)&gt;AV$4,AV$4&gt;=$C$1),'General Inputs'!S$9*$G78,0))+IF(AND(($E78+$C$1)&gt;AV$4,AV$4&gt;=$C$1),'General Inputs'!S$10*$J78,IF(AND(($D78+$C$1)&gt;AV$4,AV$4&gt;=$C$1),'General Inputs'!S$10*$I78,0))</f>
        <v>0</v>
      </c>
      <c r="AW78" s="214">
        <f>IF(AND(($E78+$C$1)&gt;AW$4,AW$4&gt;=$C$1),'General Inputs'!T$9*$H78,IF(AND(($D78+$C$1)&gt;AW$4,AW$4&gt;=$C$1),'General Inputs'!T$9*$G78,0))+IF(AND(($E78+$C$1)&gt;AW$4,AW$4&gt;=$C$1),'General Inputs'!T$10*$J78,IF(AND(($D78+$C$1)&gt;AW$4,AW$4&gt;=$C$1),'General Inputs'!T$10*$I78,0))</f>
        <v>0</v>
      </c>
      <c r="AX78" s="214">
        <f>IF(AND(($E78+$C$1)&gt;AX$4,AX$4&gt;=$C$1),'General Inputs'!U$9*$H78,IF(AND(($D78+$C$1)&gt;AX$4,AX$4&gt;=$C$1),'General Inputs'!U$9*$G78,0))+IF(AND(($E78+$C$1)&gt;AX$4,AX$4&gt;=$C$1),'General Inputs'!U$10*$J78,IF(AND(($D78+$C$1)&gt;AX$4,AX$4&gt;=$C$1),'General Inputs'!U$10*$I78,0))</f>
        <v>0</v>
      </c>
      <c r="AY78" s="214">
        <f>IF(AND(($E78+$C$1)&gt;AY$4,AY$4&gt;=$C$1),'General Inputs'!V$9*$H78,IF(AND(($D78+$C$1)&gt;AY$4,AY$4&gt;=$C$1),'General Inputs'!V$9*$G78,0))+IF(AND(($E78+$C$1)&gt;AY$4,AY$4&gt;=$C$1),'General Inputs'!V$10*$J78,IF(AND(($D78+$C$1)&gt;AY$4,AY$4&gt;=$C$1),'General Inputs'!V$10*$I78,0))</f>
        <v>0</v>
      </c>
      <c r="AZ78" s="214">
        <f>IF(AND(($E78+$C$1)&gt;AZ$4,AZ$4&gt;=$C$1),'General Inputs'!W$9*$H78,IF(AND(($D78+$C$1)&gt;AZ$4,AZ$4&gt;=$C$1),'General Inputs'!W$9*$G78,0))+IF(AND(($E78+$C$1)&gt;AZ$4,AZ$4&gt;=$C$1),'General Inputs'!W$10*$J78,IF(AND(($D78+$C$1)&gt;AZ$4,AZ$4&gt;=$C$1),'General Inputs'!W$10*$I78,0))</f>
        <v>0</v>
      </c>
      <c r="BB78" s="214">
        <f>IF(AND(($E78+$C$1)&gt;BB$4,BB$4&gt;=$C$1),'General Inputs'!D$11*$H78,IF(AND(($D78+$C$1)&gt;BB$4,BB$4&gt;=$C$1),'General Inputs'!D$11*$G78,0))</f>
        <v>0</v>
      </c>
      <c r="BC78" s="214">
        <f>IF(AND(($E78+$C$1)&gt;BC$4,BC$4&gt;=$C$1),'General Inputs'!E$11*$H78,IF(AND(($D78+$C$1)&gt;BC$4,BC$4&gt;=$C$1),'General Inputs'!E$11*$G78,0))</f>
        <v>17.550624116250003</v>
      </c>
      <c r="BD78" s="214">
        <f>IF(AND(($E78+$C$1)&gt;BD$4,BD$4&gt;=$C$1),'General Inputs'!F$11*$H78,IF(AND(($D78+$C$1)&gt;BD$4,BD$4&gt;=$C$1),'General Inputs'!F$11*$G78,0))</f>
        <v>17.550624116250003</v>
      </c>
      <c r="BE78" s="214">
        <f>IF(AND(($E78+$C$1)&gt;BE$4,BE$4&gt;=$C$1),'General Inputs'!G$11*$H78,IF(AND(($D78+$C$1)&gt;BE$4,BE$4&gt;=$C$1),'General Inputs'!G$11*$G78,0))</f>
        <v>17.550624116250003</v>
      </c>
      <c r="BF78" s="214">
        <f>IF(AND(($E78+$C$1)&gt;BF$4,BF$4&gt;=$C$1),'General Inputs'!H$11*$H78,IF(AND(($D78+$C$1)&gt;BF$4,BF$4&gt;=$C$1),'General Inputs'!H$11*$G78,0))</f>
        <v>17.550624116250003</v>
      </c>
      <c r="BG78" s="214">
        <f>IF(AND(($E78+$C$1)&gt;BG$4,BG$4&gt;=$C$1),'General Inputs'!I$11*$H78,IF(AND(($D78+$C$1)&gt;BG$4,BG$4&gt;=$C$1),'General Inputs'!I$11*$G78,0))</f>
        <v>17.550624116250003</v>
      </c>
      <c r="BH78" s="214">
        <f>IF(AND(($E78+$C$1)&gt;BH$4,BH$4&gt;=$C$1),'General Inputs'!J$11*$H78,IF(AND(($D78+$C$1)&gt;BH$4,BH$4&gt;=$C$1),'General Inputs'!J$11*$G78,0))</f>
        <v>17.550624116250003</v>
      </c>
      <c r="BI78" s="214">
        <f>IF(AND(($E78+$C$1)&gt;BI$4,BI$4&gt;=$C$1),'General Inputs'!K$11*$H78,IF(AND(($D78+$C$1)&gt;BI$4,BI$4&gt;=$C$1),'General Inputs'!K$11*$G78,0))</f>
        <v>17.550624116250003</v>
      </c>
      <c r="BJ78" s="214">
        <f>IF(AND(($E78+$C$1)&gt;BJ$4,BJ$4&gt;=$C$1),'General Inputs'!L$11*$H78,IF(AND(($D78+$C$1)&gt;BJ$4,BJ$4&gt;=$C$1),'General Inputs'!L$11*$G78,0))</f>
        <v>17.550624116250003</v>
      </c>
      <c r="BK78" s="214">
        <f>IF(AND(($E78+$C$1)&gt;BK$4,BK$4&gt;=$C$1),'General Inputs'!M$11*$H78,IF(AND(($D78+$C$1)&gt;BK$4,BK$4&gt;=$C$1),'General Inputs'!M$11*$G78,0))</f>
        <v>17.550624116250003</v>
      </c>
      <c r="BL78" s="214">
        <f>IF(AND(($E78+$C$1)&gt;BL$4,BL$4&gt;=$C$1),'General Inputs'!N$11*$H78,IF(AND(($D78+$C$1)&gt;BL$4,BL$4&gt;=$C$1),'General Inputs'!N$11*$G78,0))</f>
        <v>17.550624116250003</v>
      </c>
      <c r="BM78" s="214">
        <f>IF(AND(($E78+$C$1)&gt;BM$4,BM$4&gt;=$C$1),'General Inputs'!O$11*$H78,IF(AND(($D78+$C$1)&gt;BM$4,BM$4&gt;=$C$1),'General Inputs'!O$11*$G78,0))</f>
        <v>0</v>
      </c>
      <c r="BN78" s="214">
        <f>IF(AND(($E78+$C$1)&gt;BN$4,BN$4&gt;=$C$1),'General Inputs'!P$11*$H78,IF(AND(($D78+$C$1)&gt;BN$4,BN$4&gt;=$C$1),'General Inputs'!P$11*$G78,0))</f>
        <v>0</v>
      </c>
      <c r="BO78" s="214">
        <f>IF(AND(($E78+$C$1)&gt;BO$4,BO$4&gt;=$C$1),'General Inputs'!Q$11*$H78,IF(AND(($D78+$C$1)&gt;BO$4,BO$4&gt;=$C$1),'General Inputs'!Q$11*$G78,0))</f>
        <v>0</v>
      </c>
      <c r="BP78" s="214">
        <f>IF(AND(($E78+$C$1)&gt;BP$4,BP$4&gt;=$C$1),'General Inputs'!R$11*$H78,IF(AND(($D78+$C$1)&gt;BP$4,BP$4&gt;=$C$1),'General Inputs'!R$11*$G78,0))</f>
        <v>0</v>
      </c>
      <c r="BQ78" s="214">
        <f>IF(AND(($E78+$C$1)&gt;BQ$4,BQ$4&gt;=$C$1),'General Inputs'!S$11*$H78,IF(AND(($D78+$C$1)&gt;BQ$4,BQ$4&gt;=$C$1),'General Inputs'!S$11*$G78,0))</f>
        <v>0</v>
      </c>
      <c r="BR78" s="214">
        <f>IF(AND(($E78+$C$1)&gt;BR$4,BR$4&gt;=$C$1),'General Inputs'!T$11*$H78,IF(AND(($D78+$C$1)&gt;BR$4,BR$4&gt;=$C$1),'General Inputs'!T$11*$G78,0))</f>
        <v>0</v>
      </c>
      <c r="BS78" s="214">
        <f>IF(AND(($E78+$C$1)&gt;BS$4,BS$4&gt;=$C$1),'General Inputs'!U$11*$H78,IF(AND(($D78+$C$1)&gt;BS$4,BS$4&gt;=$C$1),'General Inputs'!U$11*$G78,0))</f>
        <v>0</v>
      </c>
      <c r="BT78" s="214">
        <f>IF(AND(($E78+$C$1)&gt;BT$4,BT$4&gt;=$C$1),'General Inputs'!V$11*$H78,IF(AND(($D78+$C$1)&gt;BT$4,BT$4&gt;=$C$1),'General Inputs'!V$11*$G78,0))</f>
        <v>0</v>
      </c>
      <c r="BU78" s="214">
        <f>IF(AND(($E78+$C$1)&gt;BU$4,BU$4&gt;=$C$1),'General Inputs'!W$11*$H78,IF(AND(($D78+$C$1)&gt;BU$4,BU$4&gt;=$C$1),'General Inputs'!W$11*$G78,0))</f>
        <v>0</v>
      </c>
      <c r="BW78" s="214">
        <f>IF(AND(($E78+$C$1)&gt;BW$4,BW$4&gt;=$C$1),$H78,IF(AND(($D78+$C$1)&gt;BW$4,BW$4&gt;=$C$1),$G78,0))*IF($A78="Residential",'General Inputs'!D$14,'General Inputs'!D$19)</f>
        <v>0</v>
      </c>
      <c r="BX78" s="214">
        <f>IF(AND(($E78+$C$1)&gt;BX$4,BX$4&gt;=$C$1),$H78,IF(AND(($D78+$C$1)&gt;BX$4,BX$4&gt;=$C$1),$G78,0))*IF($A78="Residential",'General Inputs'!E$14,'General Inputs'!E$19)</f>
        <v>163.2421292903619</v>
      </c>
      <c r="BY78" s="214">
        <f>IF(AND(($E78+$C$1)&gt;BY$4,BY$4&gt;=$C$1),$H78,IF(AND(($D78+$C$1)&gt;BY$4,BY$4&gt;=$C$1),$G78,0))*IF($A78="Residential",'General Inputs'!F$14,'General Inputs'!F$19)</f>
        <v>165.69076122971734</v>
      </c>
      <c r="BZ78" s="214">
        <f>IF(AND(($E78+$C$1)&gt;BZ$4,BZ$4&gt;=$C$1),$H78,IF(AND(($D78+$C$1)&gt;BZ$4,BZ$4&gt;=$C$1),$G78,0))*IF($A78="Residential",'General Inputs'!G$14,'General Inputs'!G$19)</f>
        <v>168.17612264816307</v>
      </c>
      <c r="CA78" s="214">
        <f>IF(AND(($E78+$C$1)&gt;CA$4,CA$4&gt;=$C$1),$H78,IF(AND(($D78+$C$1)&gt;CA$4,CA$4&gt;=$C$1),$G78,0))*IF($A78="Residential",'General Inputs'!H$14,'General Inputs'!H$19)</f>
        <v>170.69876448788548</v>
      </c>
      <c r="CB78" s="214">
        <f>IF(AND(($E78+$C$1)&gt;CB$4,CB$4&gt;=$C$1),$H78,IF(AND(($D78+$C$1)&gt;CB$4,CB$4&gt;=$C$1),$G78,0))*IF($A78="Residential",'General Inputs'!I$14,'General Inputs'!I$19)</f>
        <v>173.25924595520374</v>
      </c>
      <c r="CC78" s="214">
        <f>IF(AND(($E78+$C$1)&gt;CC$4,CC$4&gt;=$C$1),$H78,IF(AND(($D78+$C$1)&gt;CC$4,CC$4&gt;=$C$1),$G78,0))*IF($A78="Residential",'General Inputs'!J$14,'General Inputs'!J$19)</f>
        <v>175.85813464453179</v>
      </c>
      <c r="CD78" s="214">
        <f>IF(AND(($E78+$C$1)&gt;CD$4,CD$4&gt;=$C$1),$H78,IF(AND(($D78+$C$1)&gt;CD$4,CD$4&gt;=$C$1),$G78,0))*IF($A78="Residential",'General Inputs'!K$14,'General Inputs'!K$19)</f>
        <v>178.49600666419974</v>
      </c>
      <c r="CE78" s="214">
        <f>IF(AND(($E78+$C$1)&gt;CE$4,CE$4&gt;=$C$1),$H78,IF(AND(($D78+$C$1)&gt;CE$4,CE$4&gt;=$C$1),$G78,0))*IF($A78="Residential",'General Inputs'!L$14,'General Inputs'!L$19)</f>
        <v>181.17344676416272</v>
      </c>
      <c r="CF78" s="214">
        <f>IF(AND(($E78+$C$1)&gt;CF$4,CF$4&gt;=$C$1),$H78,IF(AND(($D78+$C$1)&gt;CF$4,CF$4&gt;=$C$1),$G78,0))*IF($A78="Residential",'General Inputs'!M$14,'General Inputs'!M$19)</f>
        <v>183.89104846562515</v>
      </c>
      <c r="CG78" s="214">
        <f>IF(AND(($E78+$C$1)&gt;CG$4,CG$4&gt;=$C$1),$H78,IF(AND(($D78+$C$1)&gt;CG$4,CG$4&gt;=$C$1),$G78,0))*IF($A78="Residential",'General Inputs'!N$14,'General Inputs'!N$19)</f>
        <v>186.64941419260953</v>
      </c>
      <c r="CH78" s="214">
        <f>IF(AND(($E78+$C$1)&gt;CH$4,CH$4&gt;=$C$1),$H78,IF(AND(($D78+$C$1)&gt;CH$4,CH$4&gt;=$C$1),$G78,0))*IF($A78="Residential",'General Inputs'!O$14,'General Inputs'!O$19)</f>
        <v>0</v>
      </c>
      <c r="CI78" s="214">
        <f>IF(AND(($E78+$C$1)&gt;CI$4,CI$4&gt;=$C$1),$H78,IF(AND(($D78+$C$1)&gt;CI$4,CI$4&gt;=$C$1),$G78,0))*IF($A78="Residential",'General Inputs'!P$14,'General Inputs'!P$19)</f>
        <v>0</v>
      </c>
      <c r="CJ78" s="214">
        <f>IF(AND(($E78+$C$1)&gt;CJ$4,CJ$4&gt;=$C$1),$H78,IF(AND(($D78+$C$1)&gt;CJ$4,CJ$4&gt;=$C$1),$G78,0))*IF($A78="Residential",'General Inputs'!Q$14,'General Inputs'!Q$19)</f>
        <v>0</v>
      </c>
      <c r="CK78" s="214">
        <f>IF(AND(($E78+$C$1)&gt;CK$4,CK$4&gt;=$C$1),$H78,IF(AND(($D78+$C$1)&gt;CK$4,CK$4&gt;=$C$1),$G78,0))*IF($A78="Residential",'General Inputs'!R$14,'General Inputs'!R$19)</f>
        <v>0</v>
      </c>
      <c r="CL78" s="214">
        <f>IF(AND(($E78+$C$1)&gt;CL$4,CL$4&gt;=$C$1),$H78,IF(AND(($D78+$C$1)&gt;CL$4,CL$4&gt;=$C$1),$G78,0))*IF($A78="Residential",'General Inputs'!S$14,'General Inputs'!S$19)</f>
        <v>0</v>
      </c>
      <c r="CM78" s="214">
        <f>IF(AND(($E78+$C$1)&gt;CM$4,CM$4&gt;=$C$1),$H78,IF(AND(($D78+$C$1)&gt;CM$4,CM$4&gt;=$C$1),$G78,0))*IF($A78="Residential",'General Inputs'!T$14,'General Inputs'!T$19)</f>
        <v>0</v>
      </c>
      <c r="CN78" s="214">
        <f>IF(AND(($E78+$C$1)&gt;CN$4,CN$4&gt;=$C$1),$H78,IF(AND(($D78+$C$1)&gt;CN$4,CN$4&gt;=$C$1),$G78,0))*IF($A78="Residential",'General Inputs'!U$14,'General Inputs'!U$19)</f>
        <v>0</v>
      </c>
      <c r="CO78" s="214">
        <f>IF(AND(($E78+$C$1)&gt;CO$4,CO$4&gt;=$C$1),$H78,IF(AND(($D78+$C$1)&gt;CO$4,CO$4&gt;=$C$1),$G78,0))*IF($A78="Residential",'General Inputs'!V$14,'General Inputs'!V$19)</f>
        <v>0</v>
      </c>
      <c r="CP78" s="214">
        <f>IF(AND(($E78+$C$1)&gt;CP$4,CP$4&gt;=$C$1),$H78,IF(AND(($D78+$C$1)&gt;CP$4,CP$4&gt;=$C$1),$G78,0))*IF($A78="Residential",'General Inputs'!W$14,'General Inputs'!W$19)</f>
        <v>0</v>
      </c>
      <c r="CR78" s="214">
        <f>IF(AND(($E78+$C$1)&gt;CR$4,CR$4&gt;=$C$1),$H78,IF(AND(($D78+$C$1)&gt;CR$4,CR$4&gt;=$C$1),$G78,0))*IF($A78="Residential",'General Inputs'!D$15,'General Inputs'!D$19)</f>
        <v>0</v>
      </c>
      <c r="CS78" s="214">
        <f>IF(AND(($E78+$C$1)&gt;CS$4,CS$4&gt;=$C$1),$H78,IF(AND(($D78+$C$1)&gt;CS$4,CS$4&gt;=$C$1),$G78,0))*IF($A78="Residential",'General Inputs'!E$15,'General Inputs'!E$19)</f>
        <v>163.2421292903619</v>
      </c>
      <c r="CT78" s="214">
        <f>IF(AND(($E78+$C$1)&gt;CT$4,CT$4&gt;=$C$1),$H78,IF(AND(($D78+$C$1)&gt;CT$4,CT$4&gt;=$C$1),$G78,0))*IF($A78="Residential",'General Inputs'!F$15,'General Inputs'!F$19)</f>
        <v>165.69076122971734</v>
      </c>
      <c r="CU78" s="214">
        <f>IF(AND(($E78+$C$1)&gt;CU$4,CU$4&gt;=$C$1),$H78,IF(AND(($D78+$C$1)&gt;CU$4,CU$4&gt;=$C$1),$G78,0))*IF($A78="Residential",'General Inputs'!G$15,'General Inputs'!G$19)</f>
        <v>168.17612264816307</v>
      </c>
      <c r="CV78" s="214">
        <f>IF(AND(($E78+$C$1)&gt;CV$4,CV$4&gt;=$C$1),$H78,IF(AND(($D78+$C$1)&gt;CV$4,CV$4&gt;=$C$1),$G78,0))*IF($A78="Residential",'General Inputs'!H$15,'General Inputs'!H$19)</f>
        <v>170.69876448788548</v>
      </c>
      <c r="CW78" s="214">
        <f>IF(AND(($E78+$C$1)&gt;CW$4,CW$4&gt;=$C$1),$H78,IF(AND(($D78+$C$1)&gt;CW$4,CW$4&gt;=$C$1),$G78,0))*IF($A78="Residential",'General Inputs'!I$15,'General Inputs'!I$19)</f>
        <v>173.25924595520374</v>
      </c>
      <c r="CX78" s="214">
        <f>IF(AND(($E78+$C$1)&gt;CX$4,CX$4&gt;=$C$1),$H78,IF(AND(($D78+$C$1)&gt;CX$4,CX$4&gt;=$C$1),$G78,0))*IF($A78="Residential",'General Inputs'!J$15,'General Inputs'!J$19)</f>
        <v>175.85813464453179</v>
      </c>
      <c r="CY78" s="214">
        <f>IF(AND(($E78+$C$1)&gt;CY$4,CY$4&gt;=$C$1),$H78,IF(AND(($D78+$C$1)&gt;CY$4,CY$4&gt;=$C$1),$G78,0))*IF($A78="Residential",'General Inputs'!K$15,'General Inputs'!K$19)</f>
        <v>178.49600666419974</v>
      </c>
      <c r="CZ78" s="214">
        <f>IF(AND(($E78+$C$1)&gt;CZ$4,CZ$4&gt;=$C$1),$H78,IF(AND(($D78+$C$1)&gt;CZ$4,CZ$4&gt;=$C$1),$G78,0))*IF($A78="Residential",'General Inputs'!L$15,'General Inputs'!L$19)</f>
        <v>181.17344676416272</v>
      </c>
      <c r="DA78" s="214">
        <f>IF(AND(($E78+$C$1)&gt;DA$4,DA$4&gt;=$C$1),$H78,IF(AND(($D78+$C$1)&gt;DA$4,DA$4&gt;=$C$1),$G78,0))*IF($A78="Residential",'General Inputs'!M$15,'General Inputs'!M$19)</f>
        <v>183.89104846562515</v>
      </c>
      <c r="DB78" s="214">
        <f>IF(AND(($E78+$C$1)&gt;DB$4,DB$4&gt;=$C$1),$H78,IF(AND(($D78+$C$1)&gt;DB$4,DB$4&gt;=$C$1),$G78,0))*IF($A78="Residential",'General Inputs'!N$15,'General Inputs'!N$19)</f>
        <v>186.64941419260953</v>
      </c>
      <c r="DC78" s="214">
        <f>IF(AND(($E78+$C$1)&gt;DC$4,DC$4&gt;=$C$1),$H78,IF(AND(($D78+$C$1)&gt;DC$4,DC$4&gt;=$C$1),$G78,0))*IF($A78="Residential",'General Inputs'!O$15,'General Inputs'!O$19)</f>
        <v>0</v>
      </c>
      <c r="DD78" s="214">
        <f>IF(AND(($E78+$C$1)&gt;DD$4,DD$4&gt;=$C$1),$H78,IF(AND(($D78+$C$1)&gt;DD$4,DD$4&gt;=$C$1),$G78,0))*IF($A78="Residential",'General Inputs'!P$15,'General Inputs'!P$19)</f>
        <v>0</v>
      </c>
      <c r="DE78" s="214">
        <f>IF(AND(($E78+$C$1)&gt;DE$4,DE$4&gt;=$C$1),$H78,IF(AND(($D78+$C$1)&gt;DE$4,DE$4&gt;=$C$1),$G78,0))*IF($A78="Residential",'General Inputs'!Q$15,'General Inputs'!Q$19)</f>
        <v>0</v>
      </c>
      <c r="DF78" s="214">
        <f>IF(AND(($E78+$C$1)&gt;DF$4,DF$4&gt;=$C$1),$H78,IF(AND(($D78+$C$1)&gt;DF$4,DF$4&gt;=$C$1),$G78,0))*IF($A78="Residential",'General Inputs'!R$15,'General Inputs'!R$19)</f>
        <v>0</v>
      </c>
      <c r="DG78" s="214">
        <f>IF(AND(($E78+$C$1)&gt;DG$4,DG$4&gt;=$C$1),$H78,IF(AND(($D78+$C$1)&gt;DG$4,DG$4&gt;=$C$1),$G78,0))*IF($A78="Residential",'General Inputs'!S$15,'General Inputs'!S$19)</f>
        <v>0</v>
      </c>
      <c r="DH78" s="214">
        <f>IF(AND(($E78+$C$1)&gt;DH$4,DH$4&gt;=$C$1),$H78,IF(AND(($D78+$C$1)&gt;DH$4,DH$4&gt;=$C$1),$G78,0))*IF($A78="Residential",'General Inputs'!T$15,'General Inputs'!T$19)</f>
        <v>0</v>
      </c>
      <c r="DI78" s="214">
        <f>IF(AND(($E78+$C$1)&gt;DI$4,DI$4&gt;=$C$1),$H78,IF(AND(($D78+$C$1)&gt;DI$4,DI$4&gt;=$C$1),$G78,0))*IF($A78="Residential",'General Inputs'!U$15,'General Inputs'!U$19)</f>
        <v>0</v>
      </c>
      <c r="DJ78" s="214">
        <f>IF(AND(($E78+$C$1)&gt;DJ$4,DJ$4&gt;=$C$1),$H78,IF(AND(($D78+$C$1)&gt;DJ$4,DJ$4&gt;=$C$1),$G78,0))*IF($A78="Residential",'General Inputs'!V$15,'General Inputs'!V$19)</f>
        <v>0</v>
      </c>
      <c r="DK78" s="214">
        <f>IF(AND(($E78+$C$1)&gt;DK$4,DK$4&gt;=$C$1),$H78,IF(AND(($D78+$C$1)&gt;DK$4,DK$4&gt;=$C$1),$G78,0))*IF($A78="Residential",'General Inputs'!W$15,'General Inputs'!W$19)</f>
        <v>0</v>
      </c>
      <c r="DM78" s="214">
        <f t="shared" si="100"/>
        <v>0</v>
      </c>
      <c r="DN78" s="214">
        <f t="shared" si="100"/>
        <v>170</v>
      </c>
      <c r="DO78" s="214">
        <f t="shared" si="100"/>
        <v>0</v>
      </c>
      <c r="DP78" s="214">
        <f t="shared" si="100"/>
        <v>0</v>
      </c>
      <c r="DQ78" s="214">
        <f t="shared" si="100"/>
        <v>0</v>
      </c>
      <c r="DR78" s="214">
        <f t="shared" si="100"/>
        <v>0</v>
      </c>
      <c r="DS78" s="214">
        <f t="shared" si="100"/>
        <v>0</v>
      </c>
      <c r="DT78" s="214">
        <f t="shared" si="100"/>
        <v>0</v>
      </c>
      <c r="DU78" s="214">
        <f t="shared" si="100"/>
        <v>0</v>
      </c>
      <c r="DV78" s="214">
        <f t="shared" si="100"/>
        <v>0</v>
      </c>
      <c r="DW78" s="214">
        <f t="shared" si="100"/>
        <v>0</v>
      </c>
      <c r="DZ78" s="650"/>
      <c r="FI78" s="195"/>
      <c r="FJ78" s="195"/>
      <c r="FK78" s="195"/>
      <c r="FL78" s="195"/>
      <c r="FM78" s="195"/>
      <c r="FN78" s="195"/>
      <c r="FO78" s="195"/>
    </row>
    <row r="79" spans="1:171">
      <c r="A79" s="342" t="s">
        <v>112</v>
      </c>
      <c r="B79" s="427" t="str">
        <f>'Portfolio Inputs'!A78</f>
        <v>LED (5 ≤ 10W)</v>
      </c>
      <c r="C79" s="217">
        <f>IF($C$1=2014,'Portfolio Inputs'!$C78,IF($C$1=2015,'Portfolio Inputs'!$D78,'Portfolio Inputs'!$E78))</f>
        <v>5</v>
      </c>
      <c r="D79" s="504">
        <f>VLOOKUP(B79,Sources!$B$4:$J$104,2,FALSE)</f>
        <v>10</v>
      </c>
      <c r="E79" s="504">
        <f>VLOOKUP(B79,Sources!$B$4:$J$104,3,FALSE)</f>
        <v>0</v>
      </c>
      <c r="G79" s="504">
        <f>IF($C$1=2014,'Portfolio Inputs'!$G78,IF($C$1=2015,'Portfolio Inputs'!$H78,'Portfolio Inputs'!$I78))*EnergyLineLoss</f>
        <v>1278.0990750000001</v>
      </c>
      <c r="H79" s="504"/>
      <c r="I79" s="595">
        <f>IF($C$1=2014,'Portfolio Inputs'!$K78,IF($C$1=2015,'Portfolio Inputs'!$L78,'Portfolio Inputs'!$M78))*PeakLineLoss</f>
        <v>0.19763172000000001</v>
      </c>
      <c r="J79" s="510"/>
      <c r="L79" s="606">
        <f>IF($C$1=2014,'Portfolio Inputs'!$O78,IF($C$1=2015,'Portfolio Inputs'!$P78,'Portfolio Inputs'!$Q78))</f>
        <v>40</v>
      </c>
      <c r="M79" s="518">
        <f>VLOOKUP($B79,Sources!$B$4:$K$104,10,FALSE)</f>
        <v>0</v>
      </c>
      <c r="N79" s="419">
        <f>IF($C$1=2014,'Portfolio Inputs'!$W78,IF($C$1=2015,'Portfolio Inputs'!$X78,'Portfolio Inputs'!$Y78))</f>
        <v>85</v>
      </c>
      <c r="O79" s="419">
        <f>IF($C$1=2014,'Portfolio Inputs'!$AA78,IF($C$1=2015,'Portfolio Inputs'!$AB78,'Portfolio Inputs'!$AC78))</f>
        <v>0</v>
      </c>
      <c r="Q79" s="438">
        <f t="shared" si="67"/>
        <v>2.0361728173568618</v>
      </c>
      <c r="R79" s="439">
        <f t="shared" si="68"/>
        <v>4.7909948643690869</v>
      </c>
      <c r="S79" s="439">
        <f t="shared" si="69"/>
        <v>2.5486434609842852</v>
      </c>
      <c r="T79" s="439">
        <f t="shared" si="70"/>
        <v>5.4742330397422236</v>
      </c>
      <c r="U79" s="439">
        <f t="shared" si="98"/>
        <v>5.4742330397422236</v>
      </c>
      <c r="V79" s="439">
        <f t="shared" si="72"/>
        <v>0.37195581601559718</v>
      </c>
      <c r="W79" s="439">
        <f t="shared" si="73"/>
        <v>0.37195581601559718</v>
      </c>
      <c r="Y79" s="215">
        <f t="shared" si="101"/>
        <v>374.15891535407235</v>
      </c>
      <c r="Z79" s="215">
        <f t="shared" si="102"/>
        <v>94.169541276630611</v>
      </c>
      <c r="AA79" s="215">
        <f t="shared" si="103"/>
        <v>927.82672542120974</v>
      </c>
      <c r="AB79" s="215">
        <f t="shared" si="104"/>
        <v>927.82672542120974</v>
      </c>
      <c r="AC79" s="216">
        <f t="shared" si="20"/>
        <v>0</v>
      </c>
      <c r="AD79" s="216">
        <f t="shared" si="21"/>
        <v>78.096288129364197</v>
      </c>
      <c r="AE79" s="215">
        <f t="shared" si="105"/>
        <v>183.75597206909225</v>
      </c>
      <c r="AG79" s="214">
        <f>IF(AND(($E79+$C$1)&gt;AG$4,AG$4&gt;=$C$1),'General Inputs'!D$9*$H79,IF(AND(($D79+$C$1)&gt;AG$4,AG$4&gt;=$C$1),'General Inputs'!D$9*$G79,0))+IF(AND(($E79+$C$1)&gt;AG$4,AG$4&gt;=$C$1),'General Inputs'!D$10*$J79,IF(AND(($D79+$C$1)&gt;AG$4,AG$4&gt;=$C$1),'General Inputs'!D$10*$I79,0))</f>
        <v>0</v>
      </c>
      <c r="AH79" s="214">
        <f>IF(AND(($E79+$C$1)&gt;AH$4,AH$4&gt;=$C$1),'General Inputs'!E$9*$H79,IF(AND(($D79+$C$1)&gt;AH$4,AH$4&gt;=$C$1),'General Inputs'!E$9*$G79,0))+IF(AND(($E79+$C$1)&gt;AH$4,AH$4&gt;=$C$1),'General Inputs'!E$10*$J79,IF(AND(($D79+$C$1)&gt;AH$4,AH$4&gt;=$C$1),'General Inputs'!E$10*$I79,0))</f>
        <v>54.651020740161137</v>
      </c>
      <c r="AI79" s="214">
        <f>IF(AND(($E79+$C$1)&gt;AI$4,AI$4&gt;=$C$1),'General Inputs'!F$9*$H79,IF(AND(($D79+$C$1)&gt;AI$4,AI$4&gt;=$C$1),'General Inputs'!F$9*$G79,0))+IF(AND(($E79+$C$1)&gt;AI$4,AI$4&gt;=$C$1),'General Inputs'!F$10*$J79,IF(AND(($D79+$C$1)&gt;AI$4,AI$4&gt;=$C$1),'General Inputs'!F$10*$I79,0))</f>
        <v>55.470786051263545</v>
      </c>
      <c r="AJ79" s="214">
        <f>IF(AND(($E79+$C$1)&gt;AJ$4,AJ$4&gt;=$C$1),'General Inputs'!G$9*$H79,IF(AND(($D79+$C$1)&gt;AJ$4,AJ$4&gt;=$C$1),'General Inputs'!G$9*$G79,0))+IF(AND(($E79+$C$1)&gt;AJ$4,AJ$4&gt;=$C$1),'General Inputs'!G$10*$J79,IF(AND(($D79+$C$1)&gt;AJ$4,AJ$4&gt;=$C$1),'General Inputs'!G$10*$I79,0))</f>
        <v>56.302847842032492</v>
      </c>
      <c r="AK79" s="214">
        <f>IF(AND(($E79+$C$1)&gt;AK$4,AK$4&gt;=$C$1),'General Inputs'!H$9*$H79,IF(AND(($D79+$C$1)&gt;AK$4,AK$4&gt;=$C$1),'General Inputs'!H$9*$G79,0))+IF(AND(($E79+$C$1)&gt;AK$4,AK$4&gt;=$C$1),'General Inputs'!H$10*$J79,IF(AND(($D79+$C$1)&gt;AK$4,AK$4&gt;=$C$1),'General Inputs'!H$10*$I79,0))</f>
        <v>57.147390559662981</v>
      </c>
      <c r="AL79" s="214">
        <f>IF(AND(($E79+$C$1)&gt;AL$4,AL$4&gt;=$C$1),'General Inputs'!I$9*$H79,IF(AND(($D79+$C$1)&gt;AL$4,AL$4&gt;=$C$1),'General Inputs'!I$9*$G79,0))+IF(AND(($E79+$C$1)&gt;AL$4,AL$4&gt;=$C$1),'General Inputs'!I$10*$J79,IF(AND(($D79+$C$1)&gt;AL$4,AL$4&gt;=$C$1),'General Inputs'!I$10*$I79,0))</f>
        <v>58.004601418057909</v>
      </c>
      <c r="AM79" s="214">
        <f>IF(AND(($E79+$C$1)&gt;AM$4,AM$4&gt;=$C$1),'General Inputs'!J$9*$H79,IF(AND(($D79+$C$1)&gt;AM$4,AM$4&gt;=$C$1),'General Inputs'!J$9*$G79,0))+IF(AND(($E79+$C$1)&gt;AM$4,AM$4&gt;=$C$1),'General Inputs'!J$10*$J79,IF(AND(($D79+$C$1)&gt;AM$4,AM$4&gt;=$C$1),'General Inputs'!J$10*$I79,0))</f>
        <v>58.874670439328767</v>
      </c>
      <c r="AN79" s="214">
        <f>IF(AND(($E79+$C$1)&gt;AN$4,AN$4&gt;=$C$1),'General Inputs'!K$9*$H79,IF(AND(($D79+$C$1)&gt;AN$4,AN$4&gt;=$C$1),'General Inputs'!K$9*$G79,0))+IF(AND(($E79+$C$1)&gt;AN$4,AN$4&gt;=$C$1),'General Inputs'!K$10*$J79,IF(AND(($D79+$C$1)&gt;AN$4,AN$4&gt;=$C$1),'General Inputs'!K$10*$I79,0))</f>
        <v>59.757790495918691</v>
      </c>
      <c r="AO79" s="214">
        <f>IF(AND(($E79+$C$1)&gt;AO$4,AO$4&gt;=$C$1),'General Inputs'!L$9*$H79,IF(AND(($D79+$C$1)&gt;AO$4,AO$4&gt;=$C$1),'General Inputs'!L$9*$G79,0))+IF(AND(($E79+$C$1)&gt;AO$4,AO$4&gt;=$C$1),'General Inputs'!L$10*$J79,IF(AND(($D79+$C$1)&gt;AO$4,AO$4&gt;=$C$1),'General Inputs'!L$10*$I79,0))</f>
        <v>60.654157353357469</v>
      </c>
      <c r="AP79" s="214">
        <f>IF(AND(($E79+$C$1)&gt;AP$4,AP$4&gt;=$C$1),'General Inputs'!M$9*$H79,IF(AND(($D79+$C$1)&gt;AP$4,AP$4&gt;=$C$1),'General Inputs'!M$9*$G79,0))+IF(AND(($E79+$C$1)&gt;AP$4,AP$4&gt;=$C$1),'General Inputs'!M$10*$J79,IF(AND(($D79+$C$1)&gt;AP$4,AP$4&gt;=$C$1),'General Inputs'!M$10*$I79,0))</f>
        <v>61.563969713657826</v>
      </c>
      <c r="AQ79" s="214">
        <f>IF(AND(($E79+$C$1)&gt;AQ$4,AQ$4&gt;=$C$1),'General Inputs'!N$9*$H79,IF(AND(($D79+$C$1)&gt;AQ$4,AQ$4&gt;=$C$1),'General Inputs'!N$9*$G79,0))+IF(AND(($E79+$C$1)&gt;AQ$4,AQ$4&gt;=$C$1),'General Inputs'!N$10*$J79,IF(AND(($D79+$C$1)&gt;AQ$4,AQ$4&gt;=$C$1),'General Inputs'!N$10*$I79,0))</f>
        <v>62.487429259362685</v>
      </c>
      <c r="AR79" s="214">
        <f>IF(AND(($E79+$C$1)&gt;AR$4,AR$4&gt;=$C$1),'General Inputs'!O$9*$H79,IF(AND(($D79+$C$1)&gt;AR$4,AR$4&gt;=$C$1),'General Inputs'!O$9*$G79,0))+IF(AND(($E79+$C$1)&gt;AR$4,AR$4&gt;=$C$1),'General Inputs'!O$10*$J79,IF(AND(($D79+$C$1)&gt;AR$4,AR$4&gt;=$C$1),'General Inputs'!O$10*$I79,0))</f>
        <v>0</v>
      </c>
      <c r="AS79" s="214">
        <f>IF(AND(($E79+$C$1)&gt;AS$4,AS$4&gt;=$C$1),'General Inputs'!P$9*$H79,IF(AND(($D79+$C$1)&gt;AS$4,AS$4&gt;=$C$1),'General Inputs'!P$9*$G79,0))+IF(AND(($E79+$C$1)&gt;AS$4,AS$4&gt;=$C$1),'General Inputs'!P$10*$J79,IF(AND(($D79+$C$1)&gt;AS$4,AS$4&gt;=$C$1),'General Inputs'!P$10*$I79,0))</f>
        <v>0</v>
      </c>
      <c r="AT79" s="214">
        <f>IF(AND(($E79+$C$1)&gt;AT$4,AT$4&gt;=$C$1),'General Inputs'!Q$9*$H79,IF(AND(($D79+$C$1)&gt;AT$4,AT$4&gt;=$C$1),'General Inputs'!Q$9*$G79,0))+IF(AND(($E79+$C$1)&gt;AT$4,AT$4&gt;=$C$1),'General Inputs'!Q$10*$J79,IF(AND(($D79+$C$1)&gt;AT$4,AT$4&gt;=$C$1),'General Inputs'!Q$10*$I79,0))</f>
        <v>0</v>
      </c>
      <c r="AU79" s="214">
        <f>IF(AND(($E79+$C$1)&gt;AU$4,AU$4&gt;=$C$1),'General Inputs'!R$9*$H79,IF(AND(($D79+$C$1)&gt;AU$4,AU$4&gt;=$C$1),'General Inputs'!R$9*$G79,0))+IF(AND(($E79+$C$1)&gt;AU$4,AU$4&gt;=$C$1),'General Inputs'!R$10*$J79,IF(AND(($D79+$C$1)&gt;AU$4,AU$4&gt;=$C$1),'General Inputs'!R$10*$I79,0))</f>
        <v>0</v>
      </c>
      <c r="AV79" s="214">
        <f>IF(AND(($E79+$C$1)&gt;AV$4,AV$4&gt;=$C$1),'General Inputs'!S$9*$H79,IF(AND(($D79+$C$1)&gt;AV$4,AV$4&gt;=$C$1),'General Inputs'!S$9*$G79,0))+IF(AND(($E79+$C$1)&gt;AV$4,AV$4&gt;=$C$1),'General Inputs'!S$10*$J79,IF(AND(($D79+$C$1)&gt;AV$4,AV$4&gt;=$C$1),'General Inputs'!S$10*$I79,0))</f>
        <v>0</v>
      </c>
      <c r="AW79" s="214">
        <f>IF(AND(($E79+$C$1)&gt;AW$4,AW$4&gt;=$C$1),'General Inputs'!T$9*$H79,IF(AND(($D79+$C$1)&gt;AW$4,AW$4&gt;=$C$1),'General Inputs'!T$9*$G79,0))+IF(AND(($E79+$C$1)&gt;AW$4,AW$4&gt;=$C$1),'General Inputs'!T$10*$J79,IF(AND(($D79+$C$1)&gt;AW$4,AW$4&gt;=$C$1),'General Inputs'!T$10*$I79,0))</f>
        <v>0</v>
      </c>
      <c r="AX79" s="214">
        <f>IF(AND(($E79+$C$1)&gt;AX$4,AX$4&gt;=$C$1),'General Inputs'!U$9*$H79,IF(AND(($D79+$C$1)&gt;AX$4,AX$4&gt;=$C$1),'General Inputs'!U$9*$G79,0))+IF(AND(($E79+$C$1)&gt;AX$4,AX$4&gt;=$C$1),'General Inputs'!U$10*$J79,IF(AND(($D79+$C$1)&gt;AX$4,AX$4&gt;=$C$1),'General Inputs'!U$10*$I79,0))</f>
        <v>0</v>
      </c>
      <c r="AY79" s="214">
        <f>IF(AND(($E79+$C$1)&gt;AY$4,AY$4&gt;=$C$1),'General Inputs'!V$9*$H79,IF(AND(($D79+$C$1)&gt;AY$4,AY$4&gt;=$C$1),'General Inputs'!V$9*$G79,0))+IF(AND(($E79+$C$1)&gt;AY$4,AY$4&gt;=$C$1),'General Inputs'!V$10*$J79,IF(AND(($D79+$C$1)&gt;AY$4,AY$4&gt;=$C$1),'General Inputs'!V$10*$I79,0))</f>
        <v>0</v>
      </c>
      <c r="AZ79" s="214">
        <f>IF(AND(($E79+$C$1)&gt;AZ$4,AZ$4&gt;=$C$1),'General Inputs'!W$9*$H79,IF(AND(($D79+$C$1)&gt;AZ$4,AZ$4&gt;=$C$1),'General Inputs'!W$9*$G79,0))+IF(AND(($E79+$C$1)&gt;AZ$4,AZ$4&gt;=$C$1),'General Inputs'!W$10*$J79,IF(AND(($D79+$C$1)&gt;AZ$4,AZ$4&gt;=$C$1),'General Inputs'!W$10*$I79,0))</f>
        <v>0</v>
      </c>
      <c r="BB79" s="214">
        <f>IF(AND(($E79+$C$1)&gt;BB$4,BB$4&gt;=$C$1),'General Inputs'!D$11*$H79,IF(AND(($D79+$C$1)&gt;BB$4,BB$4&gt;=$C$1),'General Inputs'!D$11*$G79,0))</f>
        <v>0</v>
      </c>
      <c r="BC79" s="214">
        <f>IF(AND(($E79+$C$1)&gt;BC$4,BC$4&gt;=$C$1),'General Inputs'!E$11*$H79,IF(AND(($D79+$C$1)&gt;BC$4,BC$4&gt;=$C$1),'General Inputs'!E$11*$G79,0))</f>
        <v>14.570329455000001</v>
      </c>
      <c r="BD79" s="214">
        <f>IF(AND(($E79+$C$1)&gt;BD$4,BD$4&gt;=$C$1),'General Inputs'!F$11*$H79,IF(AND(($D79+$C$1)&gt;BD$4,BD$4&gt;=$C$1),'General Inputs'!F$11*$G79,0))</f>
        <v>14.570329455000001</v>
      </c>
      <c r="BE79" s="214">
        <f>IF(AND(($E79+$C$1)&gt;BE$4,BE$4&gt;=$C$1),'General Inputs'!G$11*$H79,IF(AND(($D79+$C$1)&gt;BE$4,BE$4&gt;=$C$1),'General Inputs'!G$11*$G79,0))</f>
        <v>14.570329455000001</v>
      </c>
      <c r="BF79" s="214">
        <f>IF(AND(($E79+$C$1)&gt;BF$4,BF$4&gt;=$C$1),'General Inputs'!H$11*$H79,IF(AND(($D79+$C$1)&gt;BF$4,BF$4&gt;=$C$1),'General Inputs'!H$11*$G79,0))</f>
        <v>14.570329455000001</v>
      </c>
      <c r="BG79" s="214">
        <f>IF(AND(($E79+$C$1)&gt;BG$4,BG$4&gt;=$C$1),'General Inputs'!I$11*$H79,IF(AND(($D79+$C$1)&gt;BG$4,BG$4&gt;=$C$1),'General Inputs'!I$11*$G79,0))</f>
        <v>14.570329455000001</v>
      </c>
      <c r="BH79" s="214">
        <f>IF(AND(($E79+$C$1)&gt;BH$4,BH$4&gt;=$C$1),'General Inputs'!J$11*$H79,IF(AND(($D79+$C$1)&gt;BH$4,BH$4&gt;=$C$1),'General Inputs'!J$11*$G79,0))</f>
        <v>14.570329455000001</v>
      </c>
      <c r="BI79" s="214">
        <f>IF(AND(($E79+$C$1)&gt;BI$4,BI$4&gt;=$C$1),'General Inputs'!K$11*$H79,IF(AND(($D79+$C$1)&gt;BI$4,BI$4&gt;=$C$1),'General Inputs'!K$11*$G79,0))</f>
        <v>14.570329455000001</v>
      </c>
      <c r="BJ79" s="214">
        <f>IF(AND(($E79+$C$1)&gt;BJ$4,BJ$4&gt;=$C$1),'General Inputs'!L$11*$H79,IF(AND(($D79+$C$1)&gt;BJ$4,BJ$4&gt;=$C$1),'General Inputs'!L$11*$G79,0))</f>
        <v>14.570329455000001</v>
      </c>
      <c r="BK79" s="214">
        <f>IF(AND(($E79+$C$1)&gt;BK$4,BK$4&gt;=$C$1),'General Inputs'!M$11*$H79,IF(AND(($D79+$C$1)&gt;BK$4,BK$4&gt;=$C$1),'General Inputs'!M$11*$G79,0))</f>
        <v>14.570329455000001</v>
      </c>
      <c r="BL79" s="214">
        <f>IF(AND(($E79+$C$1)&gt;BL$4,BL$4&gt;=$C$1),'General Inputs'!N$11*$H79,IF(AND(($D79+$C$1)&gt;BL$4,BL$4&gt;=$C$1),'General Inputs'!N$11*$G79,0))</f>
        <v>14.570329455000001</v>
      </c>
      <c r="BM79" s="214">
        <f>IF(AND(($E79+$C$1)&gt;BM$4,BM$4&gt;=$C$1),'General Inputs'!O$11*$H79,IF(AND(($D79+$C$1)&gt;BM$4,BM$4&gt;=$C$1),'General Inputs'!O$11*$G79,0))</f>
        <v>0</v>
      </c>
      <c r="BN79" s="214">
        <f>IF(AND(($E79+$C$1)&gt;BN$4,BN$4&gt;=$C$1),'General Inputs'!P$11*$H79,IF(AND(($D79+$C$1)&gt;BN$4,BN$4&gt;=$C$1),'General Inputs'!P$11*$G79,0))</f>
        <v>0</v>
      </c>
      <c r="BO79" s="214">
        <f>IF(AND(($E79+$C$1)&gt;BO$4,BO$4&gt;=$C$1),'General Inputs'!Q$11*$H79,IF(AND(($D79+$C$1)&gt;BO$4,BO$4&gt;=$C$1),'General Inputs'!Q$11*$G79,0))</f>
        <v>0</v>
      </c>
      <c r="BP79" s="214">
        <f>IF(AND(($E79+$C$1)&gt;BP$4,BP$4&gt;=$C$1),'General Inputs'!R$11*$H79,IF(AND(($D79+$C$1)&gt;BP$4,BP$4&gt;=$C$1),'General Inputs'!R$11*$G79,0))</f>
        <v>0</v>
      </c>
      <c r="BQ79" s="214">
        <f>IF(AND(($E79+$C$1)&gt;BQ$4,BQ$4&gt;=$C$1),'General Inputs'!S$11*$H79,IF(AND(($D79+$C$1)&gt;BQ$4,BQ$4&gt;=$C$1),'General Inputs'!S$11*$G79,0))</f>
        <v>0</v>
      </c>
      <c r="BR79" s="214">
        <f>IF(AND(($E79+$C$1)&gt;BR$4,BR$4&gt;=$C$1),'General Inputs'!T$11*$H79,IF(AND(($D79+$C$1)&gt;BR$4,BR$4&gt;=$C$1),'General Inputs'!T$11*$G79,0))</f>
        <v>0</v>
      </c>
      <c r="BS79" s="214">
        <f>IF(AND(($E79+$C$1)&gt;BS$4,BS$4&gt;=$C$1),'General Inputs'!U$11*$H79,IF(AND(($D79+$C$1)&gt;BS$4,BS$4&gt;=$C$1),'General Inputs'!U$11*$G79,0))</f>
        <v>0</v>
      </c>
      <c r="BT79" s="214">
        <f>IF(AND(($E79+$C$1)&gt;BT$4,BT$4&gt;=$C$1),'General Inputs'!V$11*$H79,IF(AND(($D79+$C$1)&gt;BT$4,BT$4&gt;=$C$1),'General Inputs'!V$11*$G79,0))</f>
        <v>0</v>
      </c>
      <c r="BU79" s="214">
        <f>IF(AND(($E79+$C$1)&gt;BU$4,BU$4&gt;=$C$1),'General Inputs'!W$11*$H79,IF(AND(($D79+$C$1)&gt;BU$4,BU$4&gt;=$C$1),'General Inputs'!W$11*$G79,0))</f>
        <v>0</v>
      </c>
      <c r="BW79" s="214">
        <f>IF(AND(($E79+$C$1)&gt;BW$4,BW$4&gt;=$C$1),$H79,IF(AND(($D79+$C$1)&gt;BW$4,BW$4&gt;=$C$1),$G79,0))*IF($A79="Residential",'General Inputs'!D$14,'General Inputs'!D$19)</f>
        <v>0</v>
      </c>
      <c r="BX79" s="214">
        <f>IF(AND(($E79+$C$1)&gt;BX$4,BX$4&gt;=$C$1),$H79,IF(AND(($D79+$C$1)&gt;BX$4,BX$4&gt;=$C$1),$G79,0))*IF($A79="Residential",'General Inputs'!E$14,'General Inputs'!E$19)</f>
        <v>135.52176771275327</v>
      </c>
      <c r="BY79" s="214">
        <f>IF(AND(($E79+$C$1)&gt;BY$4,BY$4&gt;=$C$1),$H79,IF(AND(($D79+$C$1)&gt;BY$4,BY$4&gt;=$C$1),$G79,0))*IF($A79="Residential",'General Inputs'!F$14,'General Inputs'!F$19)</f>
        <v>137.55459422844459</v>
      </c>
      <c r="BZ79" s="214">
        <f>IF(AND(($E79+$C$1)&gt;BZ$4,BZ$4&gt;=$C$1),$H79,IF(AND(($D79+$C$1)&gt;BZ$4,BZ$4&gt;=$C$1),$G79,0))*IF($A79="Residential",'General Inputs'!G$14,'General Inputs'!G$19)</f>
        <v>139.61791314187124</v>
      </c>
      <c r="CA79" s="214">
        <f>IF(AND(($E79+$C$1)&gt;CA$4,CA$4&gt;=$C$1),$H79,IF(AND(($D79+$C$1)&gt;CA$4,CA$4&gt;=$C$1),$G79,0))*IF($A79="Residential",'General Inputs'!H$14,'General Inputs'!H$19)</f>
        <v>141.71218183899927</v>
      </c>
      <c r="CB79" s="214">
        <f>IF(AND(($E79+$C$1)&gt;CB$4,CB$4&gt;=$C$1),$H79,IF(AND(($D79+$C$1)&gt;CB$4,CB$4&gt;=$C$1),$G79,0))*IF($A79="Residential",'General Inputs'!I$14,'General Inputs'!I$19)</f>
        <v>143.83786456658424</v>
      </c>
      <c r="CC79" s="214">
        <f>IF(AND(($E79+$C$1)&gt;CC$4,CC$4&gt;=$C$1),$H79,IF(AND(($D79+$C$1)&gt;CC$4,CC$4&gt;=$C$1),$G79,0))*IF($A79="Residential",'General Inputs'!J$14,'General Inputs'!J$19)</f>
        <v>145.99543253508301</v>
      </c>
      <c r="CD79" s="214">
        <f>IF(AND(($E79+$C$1)&gt;CD$4,CD$4&gt;=$C$1),$H79,IF(AND(($D79+$C$1)&gt;CD$4,CD$4&gt;=$C$1),$G79,0))*IF($A79="Residential",'General Inputs'!K$14,'General Inputs'!K$19)</f>
        <v>148.18536402310923</v>
      </c>
      <c r="CE79" s="214">
        <f>IF(AND(($E79+$C$1)&gt;CE$4,CE$4&gt;=$C$1),$H79,IF(AND(($D79+$C$1)&gt;CE$4,CE$4&gt;=$C$1),$G79,0))*IF($A79="Residential",'General Inputs'!L$14,'General Inputs'!L$19)</f>
        <v>150.40814448345586</v>
      </c>
      <c r="CF79" s="214">
        <f>IF(AND(($E79+$C$1)&gt;CF$4,CF$4&gt;=$C$1),$H79,IF(AND(($D79+$C$1)&gt;CF$4,CF$4&gt;=$C$1),$G79,0))*IF($A79="Residential",'General Inputs'!M$14,'General Inputs'!M$19)</f>
        <v>152.66426665070767</v>
      </c>
      <c r="CG79" s="214">
        <f>IF(AND(($E79+$C$1)&gt;CG$4,CG$4&gt;=$C$1),$H79,IF(AND(($D79+$C$1)&gt;CG$4,CG$4&gt;=$C$1),$G79,0))*IF($A79="Residential",'General Inputs'!N$14,'General Inputs'!N$19)</f>
        <v>154.95423065046828</v>
      </c>
      <c r="CH79" s="214">
        <f>IF(AND(($E79+$C$1)&gt;CH$4,CH$4&gt;=$C$1),$H79,IF(AND(($D79+$C$1)&gt;CH$4,CH$4&gt;=$C$1),$G79,0))*IF($A79="Residential",'General Inputs'!O$14,'General Inputs'!O$19)</f>
        <v>0</v>
      </c>
      <c r="CI79" s="214">
        <f>IF(AND(($E79+$C$1)&gt;CI$4,CI$4&gt;=$C$1),$H79,IF(AND(($D79+$C$1)&gt;CI$4,CI$4&gt;=$C$1),$G79,0))*IF($A79="Residential",'General Inputs'!P$14,'General Inputs'!P$19)</f>
        <v>0</v>
      </c>
      <c r="CJ79" s="214">
        <f>IF(AND(($E79+$C$1)&gt;CJ$4,CJ$4&gt;=$C$1),$H79,IF(AND(($D79+$C$1)&gt;CJ$4,CJ$4&gt;=$C$1),$G79,0))*IF($A79="Residential",'General Inputs'!Q$14,'General Inputs'!Q$19)</f>
        <v>0</v>
      </c>
      <c r="CK79" s="214">
        <f>IF(AND(($E79+$C$1)&gt;CK$4,CK$4&gt;=$C$1),$H79,IF(AND(($D79+$C$1)&gt;CK$4,CK$4&gt;=$C$1),$G79,0))*IF($A79="Residential",'General Inputs'!R$14,'General Inputs'!R$19)</f>
        <v>0</v>
      </c>
      <c r="CL79" s="214">
        <f>IF(AND(($E79+$C$1)&gt;CL$4,CL$4&gt;=$C$1),$H79,IF(AND(($D79+$C$1)&gt;CL$4,CL$4&gt;=$C$1),$G79,0))*IF($A79="Residential",'General Inputs'!S$14,'General Inputs'!S$19)</f>
        <v>0</v>
      </c>
      <c r="CM79" s="214">
        <f>IF(AND(($E79+$C$1)&gt;CM$4,CM$4&gt;=$C$1),$H79,IF(AND(($D79+$C$1)&gt;CM$4,CM$4&gt;=$C$1),$G79,0))*IF($A79="Residential",'General Inputs'!T$14,'General Inputs'!T$19)</f>
        <v>0</v>
      </c>
      <c r="CN79" s="214">
        <f>IF(AND(($E79+$C$1)&gt;CN$4,CN$4&gt;=$C$1),$H79,IF(AND(($D79+$C$1)&gt;CN$4,CN$4&gt;=$C$1),$G79,0))*IF($A79="Residential",'General Inputs'!U$14,'General Inputs'!U$19)</f>
        <v>0</v>
      </c>
      <c r="CO79" s="214">
        <f>IF(AND(($E79+$C$1)&gt;CO$4,CO$4&gt;=$C$1),$H79,IF(AND(($D79+$C$1)&gt;CO$4,CO$4&gt;=$C$1),$G79,0))*IF($A79="Residential",'General Inputs'!V$14,'General Inputs'!V$19)</f>
        <v>0</v>
      </c>
      <c r="CP79" s="214">
        <f>IF(AND(($E79+$C$1)&gt;CP$4,CP$4&gt;=$C$1),$H79,IF(AND(($D79+$C$1)&gt;CP$4,CP$4&gt;=$C$1),$G79,0))*IF($A79="Residential",'General Inputs'!W$14,'General Inputs'!W$19)</f>
        <v>0</v>
      </c>
      <c r="CR79" s="214">
        <f>IF(AND(($E79+$C$1)&gt;CR$4,CR$4&gt;=$C$1),$H79,IF(AND(($D79+$C$1)&gt;CR$4,CR$4&gt;=$C$1),$G79,0))*IF($A79="Residential",'General Inputs'!D$15,'General Inputs'!D$19)</f>
        <v>0</v>
      </c>
      <c r="CS79" s="214">
        <f>IF(AND(($E79+$C$1)&gt;CS$4,CS$4&gt;=$C$1),$H79,IF(AND(($D79+$C$1)&gt;CS$4,CS$4&gt;=$C$1),$G79,0))*IF($A79="Residential",'General Inputs'!E$15,'General Inputs'!E$19)</f>
        <v>135.52176771275327</v>
      </c>
      <c r="CT79" s="214">
        <f>IF(AND(($E79+$C$1)&gt;CT$4,CT$4&gt;=$C$1),$H79,IF(AND(($D79+$C$1)&gt;CT$4,CT$4&gt;=$C$1),$G79,0))*IF($A79="Residential",'General Inputs'!F$15,'General Inputs'!F$19)</f>
        <v>137.55459422844459</v>
      </c>
      <c r="CU79" s="214">
        <f>IF(AND(($E79+$C$1)&gt;CU$4,CU$4&gt;=$C$1),$H79,IF(AND(($D79+$C$1)&gt;CU$4,CU$4&gt;=$C$1),$G79,0))*IF($A79="Residential",'General Inputs'!G$15,'General Inputs'!G$19)</f>
        <v>139.61791314187124</v>
      </c>
      <c r="CV79" s="214">
        <f>IF(AND(($E79+$C$1)&gt;CV$4,CV$4&gt;=$C$1),$H79,IF(AND(($D79+$C$1)&gt;CV$4,CV$4&gt;=$C$1),$G79,0))*IF($A79="Residential",'General Inputs'!H$15,'General Inputs'!H$19)</f>
        <v>141.71218183899927</v>
      </c>
      <c r="CW79" s="214">
        <f>IF(AND(($E79+$C$1)&gt;CW$4,CW$4&gt;=$C$1),$H79,IF(AND(($D79+$C$1)&gt;CW$4,CW$4&gt;=$C$1),$G79,0))*IF($A79="Residential",'General Inputs'!I$15,'General Inputs'!I$19)</f>
        <v>143.83786456658424</v>
      </c>
      <c r="CX79" s="214">
        <f>IF(AND(($E79+$C$1)&gt;CX$4,CX$4&gt;=$C$1),$H79,IF(AND(($D79+$C$1)&gt;CX$4,CX$4&gt;=$C$1),$G79,0))*IF($A79="Residential",'General Inputs'!J$15,'General Inputs'!J$19)</f>
        <v>145.99543253508301</v>
      </c>
      <c r="CY79" s="214">
        <f>IF(AND(($E79+$C$1)&gt;CY$4,CY$4&gt;=$C$1),$H79,IF(AND(($D79+$C$1)&gt;CY$4,CY$4&gt;=$C$1),$G79,0))*IF($A79="Residential",'General Inputs'!K$15,'General Inputs'!K$19)</f>
        <v>148.18536402310923</v>
      </c>
      <c r="CZ79" s="214">
        <f>IF(AND(($E79+$C$1)&gt;CZ$4,CZ$4&gt;=$C$1),$H79,IF(AND(($D79+$C$1)&gt;CZ$4,CZ$4&gt;=$C$1),$G79,0))*IF($A79="Residential",'General Inputs'!L$15,'General Inputs'!L$19)</f>
        <v>150.40814448345586</v>
      </c>
      <c r="DA79" s="214">
        <f>IF(AND(($E79+$C$1)&gt;DA$4,DA$4&gt;=$C$1),$H79,IF(AND(($D79+$C$1)&gt;DA$4,DA$4&gt;=$C$1),$G79,0))*IF($A79="Residential",'General Inputs'!M$15,'General Inputs'!M$19)</f>
        <v>152.66426665070767</v>
      </c>
      <c r="DB79" s="214">
        <f>IF(AND(($E79+$C$1)&gt;DB$4,DB$4&gt;=$C$1),$H79,IF(AND(($D79+$C$1)&gt;DB$4,DB$4&gt;=$C$1),$G79,0))*IF($A79="Residential",'General Inputs'!N$15,'General Inputs'!N$19)</f>
        <v>154.95423065046828</v>
      </c>
      <c r="DC79" s="214">
        <f>IF(AND(($E79+$C$1)&gt;DC$4,DC$4&gt;=$C$1),$H79,IF(AND(($D79+$C$1)&gt;DC$4,DC$4&gt;=$C$1),$G79,0))*IF($A79="Residential",'General Inputs'!O$15,'General Inputs'!O$19)</f>
        <v>0</v>
      </c>
      <c r="DD79" s="214">
        <f>IF(AND(($E79+$C$1)&gt;DD$4,DD$4&gt;=$C$1),$H79,IF(AND(($D79+$C$1)&gt;DD$4,DD$4&gt;=$C$1),$G79,0))*IF($A79="Residential",'General Inputs'!P$15,'General Inputs'!P$19)</f>
        <v>0</v>
      </c>
      <c r="DE79" s="214">
        <f>IF(AND(($E79+$C$1)&gt;DE$4,DE$4&gt;=$C$1),$H79,IF(AND(($D79+$C$1)&gt;DE$4,DE$4&gt;=$C$1),$G79,0))*IF($A79="Residential",'General Inputs'!Q$15,'General Inputs'!Q$19)</f>
        <v>0</v>
      </c>
      <c r="DF79" s="214">
        <f>IF(AND(($E79+$C$1)&gt;DF$4,DF$4&gt;=$C$1),$H79,IF(AND(($D79+$C$1)&gt;DF$4,DF$4&gt;=$C$1),$G79,0))*IF($A79="Residential",'General Inputs'!R$15,'General Inputs'!R$19)</f>
        <v>0</v>
      </c>
      <c r="DG79" s="214">
        <f>IF(AND(($E79+$C$1)&gt;DG$4,DG$4&gt;=$C$1),$H79,IF(AND(($D79+$C$1)&gt;DG$4,DG$4&gt;=$C$1),$G79,0))*IF($A79="Residential",'General Inputs'!S$15,'General Inputs'!S$19)</f>
        <v>0</v>
      </c>
      <c r="DH79" s="214">
        <f>IF(AND(($E79+$C$1)&gt;DH$4,DH$4&gt;=$C$1),$H79,IF(AND(($D79+$C$1)&gt;DH$4,DH$4&gt;=$C$1),$G79,0))*IF($A79="Residential",'General Inputs'!T$15,'General Inputs'!T$19)</f>
        <v>0</v>
      </c>
      <c r="DI79" s="214">
        <f>IF(AND(($E79+$C$1)&gt;DI$4,DI$4&gt;=$C$1),$H79,IF(AND(($D79+$C$1)&gt;DI$4,DI$4&gt;=$C$1),$G79,0))*IF($A79="Residential",'General Inputs'!U$15,'General Inputs'!U$19)</f>
        <v>0</v>
      </c>
      <c r="DJ79" s="214">
        <f>IF(AND(($E79+$C$1)&gt;DJ$4,DJ$4&gt;=$C$1),$H79,IF(AND(($D79+$C$1)&gt;DJ$4,DJ$4&gt;=$C$1),$G79,0))*IF($A79="Residential",'General Inputs'!V$15,'General Inputs'!V$19)</f>
        <v>0</v>
      </c>
      <c r="DK79" s="214">
        <f>IF(AND(($E79+$C$1)&gt;DK$4,DK$4&gt;=$C$1),$H79,IF(AND(($D79+$C$1)&gt;DK$4,DK$4&gt;=$C$1),$G79,0))*IF($A79="Residential",'General Inputs'!W$15,'General Inputs'!W$19)</f>
        <v>0</v>
      </c>
      <c r="DM79" s="214">
        <f t="shared" si="100"/>
        <v>0</v>
      </c>
      <c r="DN79" s="214">
        <f t="shared" si="100"/>
        <v>200</v>
      </c>
      <c r="DO79" s="214">
        <f t="shared" si="100"/>
        <v>0</v>
      </c>
      <c r="DP79" s="214">
        <f t="shared" si="100"/>
        <v>0</v>
      </c>
      <c r="DQ79" s="214">
        <f t="shared" si="100"/>
        <v>0</v>
      </c>
      <c r="DR79" s="214">
        <f t="shared" si="100"/>
        <v>0</v>
      </c>
      <c r="DS79" s="214">
        <f t="shared" si="100"/>
        <v>0</v>
      </c>
      <c r="DT79" s="214">
        <f t="shared" si="100"/>
        <v>0</v>
      </c>
      <c r="DU79" s="214">
        <f t="shared" si="100"/>
        <v>0</v>
      </c>
      <c r="DV79" s="214">
        <f t="shared" si="100"/>
        <v>0</v>
      </c>
      <c r="DW79" s="214">
        <f t="shared" si="100"/>
        <v>0</v>
      </c>
      <c r="DZ79" s="650"/>
      <c r="FI79" s="195"/>
      <c r="FJ79" s="195"/>
      <c r="FK79" s="195"/>
      <c r="FL79" s="195"/>
      <c r="FM79" s="195"/>
      <c r="FN79" s="195"/>
      <c r="FO79" s="195"/>
    </row>
    <row r="80" spans="1:171">
      <c r="A80" s="342" t="s">
        <v>112</v>
      </c>
      <c r="B80" s="427" t="str">
        <f>'Portfolio Inputs'!A79</f>
        <v>LED (&gt;10W)</v>
      </c>
      <c r="C80" s="217">
        <f>IF($C$1=2014,'Portfolio Inputs'!$C79,IF($C$1=2015,'Portfolio Inputs'!$D79,'Portfolio Inputs'!$E79))</f>
        <v>5</v>
      </c>
      <c r="D80" s="504">
        <f>VLOOKUP(B80,Sources!$B$4:$J$104,2,FALSE)</f>
        <v>10</v>
      </c>
      <c r="E80" s="504">
        <f>VLOOKUP(B80,Sources!$B$4:$J$104,3,FALSE)</f>
        <v>0</v>
      </c>
      <c r="G80" s="504">
        <f>IF($C$1=2014,'Portfolio Inputs'!$G79,IF($C$1=2015,'Portfolio Inputs'!$H79,'Portfolio Inputs'!$I79))*EnergyLineLoss</f>
        <v>2904.7706249999997</v>
      </c>
      <c r="H80" s="504"/>
      <c r="I80" s="595">
        <f>IF($C$1=2014,'Portfolio Inputs'!$K79,IF($C$1=2015,'Portfolio Inputs'!$L79,'Portfolio Inputs'!$M79))*PeakLineLoss</f>
        <v>0.44916299999999998</v>
      </c>
      <c r="J80" s="510"/>
      <c r="L80" s="606">
        <f>IF($C$1=2014,'Portfolio Inputs'!$O79,IF($C$1=2015,'Portfolio Inputs'!$P79,'Portfolio Inputs'!$Q79))</f>
        <v>65</v>
      </c>
      <c r="M80" s="518">
        <f>VLOOKUP($B80,Sources!$B$4:$K$104,10,FALSE)</f>
        <v>0</v>
      </c>
      <c r="N80" s="419">
        <f>IF($C$1=2014,'Portfolio Inputs'!$W79,IF($C$1=2015,'Portfolio Inputs'!$X79,'Portfolio Inputs'!$Y79))</f>
        <v>125</v>
      </c>
      <c r="O80" s="419">
        <f>IF($C$1=2014,'Portfolio Inputs'!$AA79,IF($C$1=2015,'Portfolio Inputs'!$AB79,'Portfolio Inputs'!$AC79))</f>
        <v>0</v>
      </c>
      <c r="Q80" s="438">
        <f t="shared" si="67"/>
        <v>2.8477941501494564</v>
      </c>
      <c r="R80" s="439">
        <f t="shared" si="68"/>
        <v>7.404264790388587</v>
      </c>
      <c r="S80" s="439">
        <f t="shared" si="69"/>
        <v>3.5645363090689308</v>
      </c>
      <c r="T80" s="439">
        <f t="shared" si="70"/>
        <v>7.4464797758632466</v>
      </c>
      <c r="U80" s="439">
        <f t="shared" si="98"/>
        <v>7.4464797758632466</v>
      </c>
      <c r="V80" s="439">
        <f t="shared" si="72"/>
        <v>0.38243495394699045</v>
      </c>
      <c r="W80" s="439">
        <f t="shared" si="73"/>
        <v>0.38243495394699045</v>
      </c>
      <c r="Y80" s="215">
        <f t="shared" si="101"/>
        <v>850.36117125925523</v>
      </c>
      <c r="Z80" s="215">
        <f t="shared" si="102"/>
        <v>214.02168471961502</v>
      </c>
      <c r="AA80" s="215">
        <f t="shared" si="103"/>
        <v>2108.6971032300212</v>
      </c>
      <c r="AB80" s="215">
        <f t="shared" si="104"/>
        <v>2108.6971032300212</v>
      </c>
      <c r="AC80" s="216">
        <f t="shared" si="20"/>
        <v>0</v>
      </c>
      <c r="AD80" s="216">
        <f t="shared" si="21"/>
        <v>114.84748254318265</v>
      </c>
      <c r="AE80" s="215">
        <f t="shared" si="105"/>
        <v>298.6034546122749</v>
      </c>
      <c r="AG80" s="214">
        <f>IF(AND(($E80+$C$1)&gt;AG$4,AG$4&gt;=$C$1),'General Inputs'!D$9*$H80,IF(AND(($D80+$C$1)&gt;AG$4,AG$4&gt;=$C$1),'General Inputs'!D$9*$G80,0))+IF(AND(($E80+$C$1)&gt;AG$4,AG$4&gt;=$C$1),'General Inputs'!D$10*$J80,IF(AND(($D80+$C$1)&gt;AG$4,AG$4&gt;=$C$1),'General Inputs'!D$10*$I80,0))</f>
        <v>0</v>
      </c>
      <c r="AH80" s="214">
        <f>IF(AND(($E80+$C$1)&gt;AH$4,AH$4&gt;=$C$1),'General Inputs'!E$9*$H80,IF(AND(($D80+$C$1)&gt;AH$4,AH$4&gt;=$C$1),'General Inputs'!E$9*$G80,0))+IF(AND(($E80+$C$1)&gt;AH$4,AH$4&gt;=$C$1),'General Inputs'!E$10*$J80,IF(AND(($D80+$C$1)&gt;AH$4,AH$4&gt;=$C$1),'General Inputs'!E$10*$I80,0))</f>
        <v>124.20686531854803</v>
      </c>
      <c r="AI80" s="214">
        <f>IF(AND(($E80+$C$1)&gt;AI$4,AI$4&gt;=$C$1),'General Inputs'!F$9*$H80,IF(AND(($D80+$C$1)&gt;AI$4,AI$4&gt;=$C$1),'General Inputs'!F$9*$G80,0))+IF(AND(($E80+$C$1)&gt;AI$4,AI$4&gt;=$C$1),'General Inputs'!F$10*$J80,IF(AND(($D80+$C$1)&gt;AI$4,AI$4&gt;=$C$1),'General Inputs'!F$10*$I80,0))</f>
        <v>126.06996829832623</v>
      </c>
      <c r="AJ80" s="214">
        <f>IF(AND(($E80+$C$1)&gt;AJ$4,AJ$4&gt;=$C$1),'General Inputs'!G$9*$H80,IF(AND(($D80+$C$1)&gt;AJ$4,AJ$4&gt;=$C$1),'General Inputs'!G$9*$G80,0))+IF(AND(($E80+$C$1)&gt;AJ$4,AJ$4&gt;=$C$1),'General Inputs'!G$10*$J80,IF(AND(($D80+$C$1)&gt;AJ$4,AJ$4&gt;=$C$1),'General Inputs'!G$10*$I80,0))</f>
        <v>127.96101782280111</v>
      </c>
      <c r="AK80" s="214">
        <f>IF(AND(($E80+$C$1)&gt;AK$4,AK$4&gt;=$C$1),'General Inputs'!H$9*$H80,IF(AND(($D80+$C$1)&gt;AK$4,AK$4&gt;=$C$1),'General Inputs'!H$9*$G80,0))+IF(AND(($E80+$C$1)&gt;AK$4,AK$4&gt;=$C$1),'General Inputs'!H$10*$J80,IF(AND(($D80+$C$1)&gt;AK$4,AK$4&gt;=$C$1),'General Inputs'!H$10*$I80,0))</f>
        <v>129.8804330901431</v>
      </c>
      <c r="AL80" s="214">
        <f>IF(AND(($E80+$C$1)&gt;AL$4,AL$4&gt;=$C$1),'General Inputs'!I$9*$H80,IF(AND(($D80+$C$1)&gt;AL$4,AL$4&gt;=$C$1),'General Inputs'!I$9*$G80,0))+IF(AND(($E80+$C$1)&gt;AL$4,AL$4&gt;=$C$1),'General Inputs'!I$10*$J80,IF(AND(($D80+$C$1)&gt;AL$4,AL$4&gt;=$C$1),'General Inputs'!I$10*$I80,0))</f>
        <v>131.82863958649523</v>
      </c>
      <c r="AM80" s="214">
        <f>IF(AND(($E80+$C$1)&gt;AM$4,AM$4&gt;=$C$1),'General Inputs'!J$9*$H80,IF(AND(($D80+$C$1)&gt;AM$4,AM$4&gt;=$C$1),'General Inputs'!J$9*$G80,0))+IF(AND(($E80+$C$1)&gt;AM$4,AM$4&gt;=$C$1),'General Inputs'!J$10*$J80,IF(AND(($D80+$C$1)&gt;AM$4,AM$4&gt;=$C$1),'General Inputs'!J$10*$I80,0))</f>
        <v>133.80606918029264</v>
      </c>
      <c r="AN80" s="214">
        <f>IF(AND(($E80+$C$1)&gt;AN$4,AN$4&gt;=$C$1),'General Inputs'!K$9*$H80,IF(AND(($D80+$C$1)&gt;AN$4,AN$4&gt;=$C$1),'General Inputs'!K$9*$G80,0))+IF(AND(($E80+$C$1)&gt;AN$4,AN$4&gt;=$C$1),'General Inputs'!K$10*$J80,IF(AND(($D80+$C$1)&gt;AN$4,AN$4&gt;=$C$1),'General Inputs'!K$10*$I80,0))</f>
        <v>135.81316021799702</v>
      </c>
      <c r="AO80" s="214">
        <f>IF(AND(($E80+$C$1)&gt;AO$4,AO$4&gt;=$C$1),'General Inputs'!L$9*$H80,IF(AND(($D80+$C$1)&gt;AO$4,AO$4&gt;=$C$1),'General Inputs'!L$9*$G80,0))+IF(AND(($E80+$C$1)&gt;AO$4,AO$4&gt;=$C$1),'General Inputs'!L$10*$J80,IF(AND(($D80+$C$1)&gt;AO$4,AO$4&gt;=$C$1),'General Inputs'!L$10*$I80,0))</f>
        <v>137.85035762126697</v>
      </c>
      <c r="AP80" s="214">
        <f>IF(AND(($E80+$C$1)&gt;AP$4,AP$4&gt;=$C$1),'General Inputs'!M$9*$H80,IF(AND(($D80+$C$1)&gt;AP$4,AP$4&gt;=$C$1),'General Inputs'!M$9*$G80,0))+IF(AND(($E80+$C$1)&gt;AP$4,AP$4&gt;=$C$1),'General Inputs'!M$10*$J80,IF(AND(($D80+$C$1)&gt;AP$4,AP$4&gt;=$C$1),'General Inputs'!M$10*$I80,0))</f>
        <v>139.91811298558594</v>
      </c>
      <c r="AQ80" s="214">
        <f>IF(AND(($E80+$C$1)&gt;AQ$4,AQ$4&gt;=$C$1),'General Inputs'!N$9*$H80,IF(AND(($D80+$C$1)&gt;AQ$4,AQ$4&gt;=$C$1),'General Inputs'!N$9*$G80,0))+IF(AND(($E80+$C$1)&gt;AQ$4,AQ$4&gt;=$C$1),'General Inputs'!N$10*$J80,IF(AND(($D80+$C$1)&gt;AQ$4,AQ$4&gt;=$C$1),'General Inputs'!N$10*$I80,0))</f>
        <v>142.01688468036974</v>
      </c>
      <c r="AR80" s="214">
        <f>IF(AND(($E80+$C$1)&gt;AR$4,AR$4&gt;=$C$1),'General Inputs'!O$9*$H80,IF(AND(($D80+$C$1)&gt;AR$4,AR$4&gt;=$C$1),'General Inputs'!O$9*$G80,0))+IF(AND(($E80+$C$1)&gt;AR$4,AR$4&gt;=$C$1),'General Inputs'!O$10*$J80,IF(AND(($D80+$C$1)&gt;AR$4,AR$4&gt;=$C$1),'General Inputs'!O$10*$I80,0))</f>
        <v>0</v>
      </c>
      <c r="AS80" s="214">
        <f>IF(AND(($E80+$C$1)&gt;AS$4,AS$4&gt;=$C$1),'General Inputs'!P$9*$H80,IF(AND(($D80+$C$1)&gt;AS$4,AS$4&gt;=$C$1),'General Inputs'!P$9*$G80,0))+IF(AND(($E80+$C$1)&gt;AS$4,AS$4&gt;=$C$1),'General Inputs'!P$10*$J80,IF(AND(($D80+$C$1)&gt;AS$4,AS$4&gt;=$C$1),'General Inputs'!P$10*$I80,0))</f>
        <v>0</v>
      </c>
      <c r="AT80" s="214">
        <f>IF(AND(($E80+$C$1)&gt;AT$4,AT$4&gt;=$C$1),'General Inputs'!Q$9*$H80,IF(AND(($D80+$C$1)&gt;AT$4,AT$4&gt;=$C$1),'General Inputs'!Q$9*$G80,0))+IF(AND(($E80+$C$1)&gt;AT$4,AT$4&gt;=$C$1),'General Inputs'!Q$10*$J80,IF(AND(($D80+$C$1)&gt;AT$4,AT$4&gt;=$C$1),'General Inputs'!Q$10*$I80,0))</f>
        <v>0</v>
      </c>
      <c r="AU80" s="214">
        <f>IF(AND(($E80+$C$1)&gt;AU$4,AU$4&gt;=$C$1),'General Inputs'!R$9*$H80,IF(AND(($D80+$C$1)&gt;AU$4,AU$4&gt;=$C$1),'General Inputs'!R$9*$G80,0))+IF(AND(($E80+$C$1)&gt;AU$4,AU$4&gt;=$C$1),'General Inputs'!R$10*$J80,IF(AND(($D80+$C$1)&gt;AU$4,AU$4&gt;=$C$1),'General Inputs'!R$10*$I80,0))</f>
        <v>0</v>
      </c>
      <c r="AV80" s="214">
        <f>IF(AND(($E80+$C$1)&gt;AV$4,AV$4&gt;=$C$1),'General Inputs'!S$9*$H80,IF(AND(($D80+$C$1)&gt;AV$4,AV$4&gt;=$C$1),'General Inputs'!S$9*$G80,0))+IF(AND(($E80+$C$1)&gt;AV$4,AV$4&gt;=$C$1),'General Inputs'!S$10*$J80,IF(AND(($D80+$C$1)&gt;AV$4,AV$4&gt;=$C$1),'General Inputs'!S$10*$I80,0))</f>
        <v>0</v>
      </c>
      <c r="AW80" s="214">
        <f>IF(AND(($E80+$C$1)&gt;AW$4,AW$4&gt;=$C$1),'General Inputs'!T$9*$H80,IF(AND(($D80+$C$1)&gt;AW$4,AW$4&gt;=$C$1),'General Inputs'!T$9*$G80,0))+IF(AND(($E80+$C$1)&gt;AW$4,AW$4&gt;=$C$1),'General Inputs'!T$10*$J80,IF(AND(($D80+$C$1)&gt;AW$4,AW$4&gt;=$C$1),'General Inputs'!T$10*$I80,0))</f>
        <v>0</v>
      </c>
      <c r="AX80" s="214">
        <f>IF(AND(($E80+$C$1)&gt;AX$4,AX$4&gt;=$C$1),'General Inputs'!U$9*$H80,IF(AND(($D80+$C$1)&gt;AX$4,AX$4&gt;=$C$1),'General Inputs'!U$9*$G80,0))+IF(AND(($E80+$C$1)&gt;AX$4,AX$4&gt;=$C$1),'General Inputs'!U$10*$J80,IF(AND(($D80+$C$1)&gt;AX$4,AX$4&gt;=$C$1),'General Inputs'!U$10*$I80,0))</f>
        <v>0</v>
      </c>
      <c r="AY80" s="214">
        <f>IF(AND(($E80+$C$1)&gt;AY$4,AY$4&gt;=$C$1),'General Inputs'!V$9*$H80,IF(AND(($D80+$C$1)&gt;AY$4,AY$4&gt;=$C$1),'General Inputs'!V$9*$G80,0))+IF(AND(($E80+$C$1)&gt;AY$4,AY$4&gt;=$C$1),'General Inputs'!V$10*$J80,IF(AND(($D80+$C$1)&gt;AY$4,AY$4&gt;=$C$1),'General Inputs'!V$10*$I80,0))</f>
        <v>0</v>
      </c>
      <c r="AZ80" s="214">
        <f>IF(AND(($E80+$C$1)&gt;AZ$4,AZ$4&gt;=$C$1),'General Inputs'!W$9*$H80,IF(AND(($D80+$C$1)&gt;AZ$4,AZ$4&gt;=$C$1),'General Inputs'!W$9*$G80,0))+IF(AND(($E80+$C$1)&gt;AZ$4,AZ$4&gt;=$C$1),'General Inputs'!W$10*$J80,IF(AND(($D80+$C$1)&gt;AZ$4,AZ$4&gt;=$C$1),'General Inputs'!W$10*$I80,0))</f>
        <v>0</v>
      </c>
      <c r="BB80" s="214">
        <f>IF(AND(($E80+$C$1)&gt;BB$4,BB$4&gt;=$C$1),'General Inputs'!D$11*$H80,IF(AND(($D80+$C$1)&gt;BB$4,BB$4&gt;=$C$1),'General Inputs'!D$11*$G80,0))</f>
        <v>0</v>
      </c>
      <c r="BC80" s="214">
        <f>IF(AND(($E80+$C$1)&gt;BC$4,BC$4&gt;=$C$1),'General Inputs'!E$11*$H80,IF(AND(($D80+$C$1)&gt;BC$4,BC$4&gt;=$C$1),'General Inputs'!E$11*$G80,0))</f>
        <v>33.114385124999998</v>
      </c>
      <c r="BD80" s="214">
        <f>IF(AND(($E80+$C$1)&gt;BD$4,BD$4&gt;=$C$1),'General Inputs'!F$11*$H80,IF(AND(($D80+$C$1)&gt;BD$4,BD$4&gt;=$C$1),'General Inputs'!F$11*$G80,0))</f>
        <v>33.114385124999998</v>
      </c>
      <c r="BE80" s="214">
        <f>IF(AND(($E80+$C$1)&gt;BE$4,BE$4&gt;=$C$1),'General Inputs'!G$11*$H80,IF(AND(($D80+$C$1)&gt;BE$4,BE$4&gt;=$C$1),'General Inputs'!G$11*$G80,0))</f>
        <v>33.114385124999998</v>
      </c>
      <c r="BF80" s="214">
        <f>IF(AND(($E80+$C$1)&gt;BF$4,BF$4&gt;=$C$1),'General Inputs'!H$11*$H80,IF(AND(($D80+$C$1)&gt;BF$4,BF$4&gt;=$C$1),'General Inputs'!H$11*$G80,0))</f>
        <v>33.114385124999998</v>
      </c>
      <c r="BG80" s="214">
        <f>IF(AND(($E80+$C$1)&gt;BG$4,BG$4&gt;=$C$1),'General Inputs'!I$11*$H80,IF(AND(($D80+$C$1)&gt;BG$4,BG$4&gt;=$C$1),'General Inputs'!I$11*$G80,0))</f>
        <v>33.114385124999998</v>
      </c>
      <c r="BH80" s="214">
        <f>IF(AND(($E80+$C$1)&gt;BH$4,BH$4&gt;=$C$1),'General Inputs'!J$11*$H80,IF(AND(($D80+$C$1)&gt;BH$4,BH$4&gt;=$C$1),'General Inputs'!J$11*$G80,0))</f>
        <v>33.114385124999998</v>
      </c>
      <c r="BI80" s="214">
        <f>IF(AND(($E80+$C$1)&gt;BI$4,BI$4&gt;=$C$1),'General Inputs'!K$11*$H80,IF(AND(($D80+$C$1)&gt;BI$4,BI$4&gt;=$C$1),'General Inputs'!K$11*$G80,0))</f>
        <v>33.114385124999998</v>
      </c>
      <c r="BJ80" s="214">
        <f>IF(AND(($E80+$C$1)&gt;BJ$4,BJ$4&gt;=$C$1),'General Inputs'!L$11*$H80,IF(AND(($D80+$C$1)&gt;BJ$4,BJ$4&gt;=$C$1),'General Inputs'!L$11*$G80,0))</f>
        <v>33.114385124999998</v>
      </c>
      <c r="BK80" s="214">
        <f>IF(AND(($E80+$C$1)&gt;BK$4,BK$4&gt;=$C$1),'General Inputs'!M$11*$H80,IF(AND(($D80+$C$1)&gt;BK$4,BK$4&gt;=$C$1),'General Inputs'!M$11*$G80,0))</f>
        <v>33.114385124999998</v>
      </c>
      <c r="BL80" s="214">
        <f>IF(AND(($E80+$C$1)&gt;BL$4,BL$4&gt;=$C$1),'General Inputs'!N$11*$H80,IF(AND(($D80+$C$1)&gt;BL$4,BL$4&gt;=$C$1),'General Inputs'!N$11*$G80,0))</f>
        <v>33.114385124999998</v>
      </c>
      <c r="BM80" s="214">
        <f>IF(AND(($E80+$C$1)&gt;BM$4,BM$4&gt;=$C$1),'General Inputs'!O$11*$H80,IF(AND(($D80+$C$1)&gt;BM$4,BM$4&gt;=$C$1),'General Inputs'!O$11*$G80,0))</f>
        <v>0</v>
      </c>
      <c r="BN80" s="214">
        <f>IF(AND(($E80+$C$1)&gt;BN$4,BN$4&gt;=$C$1),'General Inputs'!P$11*$H80,IF(AND(($D80+$C$1)&gt;BN$4,BN$4&gt;=$C$1),'General Inputs'!P$11*$G80,0))</f>
        <v>0</v>
      </c>
      <c r="BO80" s="214">
        <f>IF(AND(($E80+$C$1)&gt;BO$4,BO$4&gt;=$C$1),'General Inputs'!Q$11*$H80,IF(AND(($D80+$C$1)&gt;BO$4,BO$4&gt;=$C$1),'General Inputs'!Q$11*$G80,0))</f>
        <v>0</v>
      </c>
      <c r="BP80" s="214">
        <f>IF(AND(($E80+$C$1)&gt;BP$4,BP$4&gt;=$C$1),'General Inputs'!R$11*$H80,IF(AND(($D80+$C$1)&gt;BP$4,BP$4&gt;=$C$1),'General Inputs'!R$11*$G80,0))</f>
        <v>0</v>
      </c>
      <c r="BQ80" s="214">
        <f>IF(AND(($E80+$C$1)&gt;BQ$4,BQ$4&gt;=$C$1),'General Inputs'!S$11*$H80,IF(AND(($D80+$C$1)&gt;BQ$4,BQ$4&gt;=$C$1),'General Inputs'!S$11*$G80,0))</f>
        <v>0</v>
      </c>
      <c r="BR80" s="214">
        <f>IF(AND(($E80+$C$1)&gt;BR$4,BR$4&gt;=$C$1),'General Inputs'!T$11*$H80,IF(AND(($D80+$C$1)&gt;BR$4,BR$4&gt;=$C$1),'General Inputs'!T$11*$G80,0))</f>
        <v>0</v>
      </c>
      <c r="BS80" s="214">
        <f>IF(AND(($E80+$C$1)&gt;BS$4,BS$4&gt;=$C$1),'General Inputs'!U$11*$H80,IF(AND(($D80+$C$1)&gt;BS$4,BS$4&gt;=$C$1),'General Inputs'!U$11*$G80,0))</f>
        <v>0</v>
      </c>
      <c r="BT80" s="214">
        <f>IF(AND(($E80+$C$1)&gt;BT$4,BT$4&gt;=$C$1),'General Inputs'!V$11*$H80,IF(AND(($D80+$C$1)&gt;BT$4,BT$4&gt;=$C$1),'General Inputs'!V$11*$G80,0))</f>
        <v>0</v>
      </c>
      <c r="BU80" s="214">
        <f>IF(AND(($E80+$C$1)&gt;BU$4,BU$4&gt;=$C$1),'General Inputs'!W$11*$H80,IF(AND(($D80+$C$1)&gt;BU$4,BU$4&gt;=$C$1),'General Inputs'!W$11*$G80,0))</f>
        <v>0</v>
      </c>
      <c r="BW80" s="214">
        <f>IF(AND(($E80+$C$1)&gt;BW$4,BW$4&gt;=$C$1),$H80,IF(AND(($D80+$C$1)&gt;BW$4,BW$4&gt;=$C$1),$G80,0))*IF($A80="Residential",'General Inputs'!D$14,'General Inputs'!D$19)</f>
        <v>0</v>
      </c>
      <c r="BX80" s="214">
        <f>IF(AND(($E80+$C$1)&gt;BX$4,BX$4&gt;=$C$1),$H80,IF(AND(($D80+$C$1)&gt;BX$4,BX$4&gt;=$C$1),$G80,0))*IF($A80="Residential",'General Inputs'!E$14,'General Inputs'!E$19)</f>
        <v>308.00401752898466</v>
      </c>
      <c r="BY80" s="214">
        <f>IF(AND(($E80+$C$1)&gt;BY$4,BY$4&gt;=$C$1),$H80,IF(AND(($D80+$C$1)&gt;BY$4,BY$4&gt;=$C$1),$G80,0))*IF($A80="Residential",'General Inputs'!F$14,'General Inputs'!F$19)</f>
        <v>312.62407779191943</v>
      </c>
      <c r="BZ80" s="214">
        <f>IF(AND(($E80+$C$1)&gt;BZ$4,BZ$4&gt;=$C$1),$H80,IF(AND(($D80+$C$1)&gt;BZ$4,BZ$4&gt;=$C$1),$G80,0))*IF($A80="Residential",'General Inputs'!G$14,'General Inputs'!G$19)</f>
        <v>317.3134389587982</v>
      </c>
      <c r="CA80" s="214">
        <f>IF(AND(($E80+$C$1)&gt;CA$4,CA$4&gt;=$C$1),$H80,IF(AND(($D80+$C$1)&gt;CA$4,CA$4&gt;=$C$1),$G80,0))*IF($A80="Residential",'General Inputs'!H$14,'General Inputs'!H$19)</f>
        <v>322.0731405431801</v>
      </c>
      <c r="CB80" s="214">
        <f>IF(AND(($E80+$C$1)&gt;CB$4,CB$4&gt;=$C$1),$H80,IF(AND(($D80+$C$1)&gt;CB$4,CB$4&gt;=$C$1),$G80,0))*IF($A80="Residential",'General Inputs'!I$14,'General Inputs'!I$19)</f>
        <v>326.90423765132778</v>
      </c>
      <c r="CC80" s="214">
        <f>IF(AND(($E80+$C$1)&gt;CC$4,CC$4&gt;=$C$1),$H80,IF(AND(($D80+$C$1)&gt;CC$4,CC$4&gt;=$C$1),$G80,0))*IF($A80="Residential",'General Inputs'!J$14,'General Inputs'!J$19)</f>
        <v>331.80780121609769</v>
      </c>
      <c r="CD80" s="214">
        <f>IF(AND(($E80+$C$1)&gt;CD$4,CD$4&gt;=$C$1),$H80,IF(AND(($D80+$C$1)&gt;CD$4,CD$4&gt;=$C$1),$G80,0))*IF($A80="Residential",'General Inputs'!K$14,'General Inputs'!K$19)</f>
        <v>336.7849182343391</v>
      </c>
      <c r="CE80" s="214">
        <f>IF(AND(($E80+$C$1)&gt;CE$4,CE$4&gt;=$C$1),$H80,IF(AND(($D80+$C$1)&gt;CE$4,CE$4&gt;=$C$1),$G80,0))*IF($A80="Residential",'General Inputs'!L$14,'General Inputs'!L$19)</f>
        <v>341.83669200785414</v>
      </c>
      <c r="CF80" s="214">
        <f>IF(AND(($E80+$C$1)&gt;CF$4,CF$4&gt;=$C$1),$H80,IF(AND(($D80+$C$1)&gt;CF$4,CF$4&gt;=$C$1),$G80,0))*IF($A80="Residential",'General Inputs'!M$14,'General Inputs'!M$19)</f>
        <v>346.96424238797192</v>
      </c>
      <c r="CG80" s="214">
        <f>IF(AND(($E80+$C$1)&gt;CG$4,CG$4&gt;=$C$1),$H80,IF(AND(($D80+$C$1)&gt;CG$4,CG$4&gt;=$C$1),$G80,0))*IF($A80="Residential",'General Inputs'!N$14,'General Inputs'!N$19)</f>
        <v>352.16870602379151</v>
      </c>
      <c r="CH80" s="214">
        <f>IF(AND(($E80+$C$1)&gt;CH$4,CH$4&gt;=$C$1),$H80,IF(AND(($D80+$C$1)&gt;CH$4,CH$4&gt;=$C$1),$G80,0))*IF($A80="Residential",'General Inputs'!O$14,'General Inputs'!O$19)</f>
        <v>0</v>
      </c>
      <c r="CI80" s="214">
        <f>IF(AND(($E80+$C$1)&gt;CI$4,CI$4&gt;=$C$1),$H80,IF(AND(($D80+$C$1)&gt;CI$4,CI$4&gt;=$C$1),$G80,0))*IF($A80="Residential",'General Inputs'!P$14,'General Inputs'!P$19)</f>
        <v>0</v>
      </c>
      <c r="CJ80" s="214">
        <f>IF(AND(($E80+$C$1)&gt;CJ$4,CJ$4&gt;=$C$1),$H80,IF(AND(($D80+$C$1)&gt;CJ$4,CJ$4&gt;=$C$1),$G80,0))*IF($A80="Residential",'General Inputs'!Q$14,'General Inputs'!Q$19)</f>
        <v>0</v>
      </c>
      <c r="CK80" s="214">
        <f>IF(AND(($E80+$C$1)&gt;CK$4,CK$4&gt;=$C$1),$H80,IF(AND(($D80+$C$1)&gt;CK$4,CK$4&gt;=$C$1),$G80,0))*IF($A80="Residential",'General Inputs'!R$14,'General Inputs'!R$19)</f>
        <v>0</v>
      </c>
      <c r="CL80" s="214">
        <f>IF(AND(($E80+$C$1)&gt;CL$4,CL$4&gt;=$C$1),$H80,IF(AND(($D80+$C$1)&gt;CL$4,CL$4&gt;=$C$1),$G80,0))*IF($A80="Residential",'General Inputs'!S$14,'General Inputs'!S$19)</f>
        <v>0</v>
      </c>
      <c r="CM80" s="214">
        <f>IF(AND(($E80+$C$1)&gt;CM$4,CM$4&gt;=$C$1),$H80,IF(AND(($D80+$C$1)&gt;CM$4,CM$4&gt;=$C$1),$G80,0))*IF($A80="Residential",'General Inputs'!T$14,'General Inputs'!T$19)</f>
        <v>0</v>
      </c>
      <c r="CN80" s="214">
        <f>IF(AND(($E80+$C$1)&gt;CN$4,CN$4&gt;=$C$1),$H80,IF(AND(($D80+$C$1)&gt;CN$4,CN$4&gt;=$C$1),$G80,0))*IF($A80="Residential",'General Inputs'!U$14,'General Inputs'!U$19)</f>
        <v>0</v>
      </c>
      <c r="CO80" s="214">
        <f>IF(AND(($E80+$C$1)&gt;CO$4,CO$4&gt;=$C$1),$H80,IF(AND(($D80+$C$1)&gt;CO$4,CO$4&gt;=$C$1),$G80,0))*IF($A80="Residential",'General Inputs'!V$14,'General Inputs'!V$19)</f>
        <v>0</v>
      </c>
      <c r="CP80" s="214">
        <f>IF(AND(($E80+$C$1)&gt;CP$4,CP$4&gt;=$C$1),$H80,IF(AND(($D80+$C$1)&gt;CP$4,CP$4&gt;=$C$1),$G80,0))*IF($A80="Residential",'General Inputs'!W$14,'General Inputs'!W$19)</f>
        <v>0</v>
      </c>
      <c r="CR80" s="214">
        <f>IF(AND(($E80+$C$1)&gt;CR$4,CR$4&gt;=$C$1),$H80,IF(AND(($D80+$C$1)&gt;CR$4,CR$4&gt;=$C$1),$G80,0))*IF($A80="Residential",'General Inputs'!D$15,'General Inputs'!D$19)</f>
        <v>0</v>
      </c>
      <c r="CS80" s="214">
        <f>IF(AND(($E80+$C$1)&gt;CS$4,CS$4&gt;=$C$1),$H80,IF(AND(($D80+$C$1)&gt;CS$4,CS$4&gt;=$C$1),$G80,0))*IF($A80="Residential",'General Inputs'!E$15,'General Inputs'!E$19)</f>
        <v>308.00401752898466</v>
      </c>
      <c r="CT80" s="214">
        <f>IF(AND(($E80+$C$1)&gt;CT$4,CT$4&gt;=$C$1),$H80,IF(AND(($D80+$C$1)&gt;CT$4,CT$4&gt;=$C$1),$G80,0))*IF($A80="Residential",'General Inputs'!F$15,'General Inputs'!F$19)</f>
        <v>312.62407779191943</v>
      </c>
      <c r="CU80" s="214">
        <f>IF(AND(($E80+$C$1)&gt;CU$4,CU$4&gt;=$C$1),$H80,IF(AND(($D80+$C$1)&gt;CU$4,CU$4&gt;=$C$1),$G80,0))*IF($A80="Residential",'General Inputs'!G$15,'General Inputs'!G$19)</f>
        <v>317.3134389587982</v>
      </c>
      <c r="CV80" s="214">
        <f>IF(AND(($E80+$C$1)&gt;CV$4,CV$4&gt;=$C$1),$H80,IF(AND(($D80+$C$1)&gt;CV$4,CV$4&gt;=$C$1),$G80,0))*IF($A80="Residential",'General Inputs'!H$15,'General Inputs'!H$19)</f>
        <v>322.0731405431801</v>
      </c>
      <c r="CW80" s="214">
        <f>IF(AND(($E80+$C$1)&gt;CW$4,CW$4&gt;=$C$1),$H80,IF(AND(($D80+$C$1)&gt;CW$4,CW$4&gt;=$C$1),$G80,0))*IF($A80="Residential",'General Inputs'!I$15,'General Inputs'!I$19)</f>
        <v>326.90423765132778</v>
      </c>
      <c r="CX80" s="214">
        <f>IF(AND(($E80+$C$1)&gt;CX$4,CX$4&gt;=$C$1),$H80,IF(AND(($D80+$C$1)&gt;CX$4,CX$4&gt;=$C$1),$G80,0))*IF($A80="Residential",'General Inputs'!J$15,'General Inputs'!J$19)</f>
        <v>331.80780121609769</v>
      </c>
      <c r="CY80" s="214">
        <f>IF(AND(($E80+$C$1)&gt;CY$4,CY$4&gt;=$C$1),$H80,IF(AND(($D80+$C$1)&gt;CY$4,CY$4&gt;=$C$1),$G80,0))*IF($A80="Residential",'General Inputs'!K$15,'General Inputs'!K$19)</f>
        <v>336.7849182343391</v>
      </c>
      <c r="CZ80" s="214">
        <f>IF(AND(($E80+$C$1)&gt;CZ$4,CZ$4&gt;=$C$1),$H80,IF(AND(($D80+$C$1)&gt;CZ$4,CZ$4&gt;=$C$1),$G80,0))*IF($A80="Residential",'General Inputs'!L$15,'General Inputs'!L$19)</f>
        <v>341.83669200785414</v>
      </c>
      <c r="DA80" s="214">
        <f>IF(AND(($E80+$C$1)&gt;DA$4,DA$4&gt;=$C$1),$H80,IF(AND(($D80+$C$1)&gt;DA$4,DA$4&gt;=$C$1),$G80,0))*IF($A80="Residential",'General Inputs'!M$15,'General Inputs'!M$19)</f>
        <v>346.96424238797192</v>
      </c>
      <c r="DB80" s="214">
        <f>IF(AND(($E80+$C$1)&gt;DB$4,DB$4&gt;=$C$1),$H80,IF(AND(($D80+$C$1)&gt;DB$4,DB$4&gt;=$C$1),$G80,0))*IF($A80="Residential",'General Inputs'!N$15,'General Inputs'!N$19)</f>
        <v>352.16870602379151</v>
      </c>
      <c r="DC80" s="214">
        <f>IF(AND(($E80+$C$1)&gt;DC$4,DC$4&gt;=$C$1),$H80,IF(AND(($D80+$C$1)&gt;DC$4,DC$4&gt;=$C$1),$G80,0))*IF($A80="Residential",'General Inputs'!O$15,'General Inputs'!O$19)</f>
        <v>0</v>
      </c>
      <c r="DD80" s="214">
        <f>IF(AND(($E80+$C$1)&gt;DD$4,DD$4&gt;=$C$1),$H80,IF(AND(($D80+$C$1)&gt;DD$4,DD$4&gt;=$C$1),$G80,0))*IF($A80="Residential",'General Inputs'!P$15,'General Inputs'!P$19)</f>
        <v>0</v>
      </c>
      <c r="DE80" s="214">
        <f>IF(AND(($E80+$C$1)&gt;DE$4,DE$4&gt;=$C$1),$H80,IF(AND(($D80+$C$1)&gt;DE$4,DE$4&gt;=$C$1),$G80,0))*IF($A80="Residential",'General Inputs'!Q$15,'General Inputs'!Q$19)</f>
        <v>0</v>
      </c>
      <c r="DF80" s="214">
        <f>IF(AND(($E80+$C$1)&gt;DF$4,DF$4&gt;=$C$1),$H80,IF(AND(($D80+$C$1)&gt;DF$4,DF$4&gt;=$C$1),$G80,0))*IF($A80="Residential",'General Inputs'!R$15,'General Inputs'!R$19)</f>
        <v>0</v>
      </c>
      <c r="DG80" s="214">
        <f>IF(AND(($E80+$C$1)&gt;DG$4,DG$4&gt;=$C$1),$H80,IF(AND(($D80+$C$1)&gt;DG$4,DG$4&gt;=$C$1),$G80,0))*IF($A80="Residential",'General Inputs'!S$15,'General Inputs'!S$19)</f>
        <v>0</v>
      </c>
      <c r="DH80" s="214">
        <f>IF(AND(($E80+$C$1)&gt;DH$4,DH$4&gt;=$C$1),$H80,IF(AND(($D80+$C$1)&gt;DH$4,DH$4&gt;=$C$1),$G80,0))*IF($A80="Residential",'General Inputs'!T$15,'General Inputs'!T$19)</f>
        <v>0</v>
      </c>
      <c r="DI80" s="214">
        <f>IF(AND(($E80+$C$1)&gt;DI$4,DI$4&gt;=$C$1),$H80,IF(AND(($D80+$C$1)&gt;DI$4,DI$4&gt;=$C$1),$G80,0))*IF($A80="Residential",'General Inputs'!U$15,'General Inputs'!U$19)</f>
        <v>0</v>
      </c>
      <c r="DJ80" s="214">
        <f>IF(AND(($E80+$C$1)&gt;DJ$4,DJ$4&gt;=$C$1),$H80,IF(AND(($D80+$C$1)&gt;DJ$4,DJ$4&gt;=$C$1),$G80,0))*IF($A80="Residential",'General Inputs'!V$15,'General Inputs'!V$19)</f>
        <v>0</v>
      </c>
      <c r="DK80" s="214">
        <f>IF(AND(($E80+$C$1)&gt;DK$4,DK$4&gt;=$C$1),$H80,IF(AND(($D80+$C$1)&gt;DK$4,DK$4&gt;=$C$1),$G80,0))*IF($A80="Residential",'General Inputs'!W$15,'General Inputs'!W$19)</f>
        <v>0</v>
      </c>
      <c r="DM80" s="214">
        <f t="shared" si="100"/>
        <v>0</v>
      </c>
      <c r="DN80" s="214">
        <f t="shared" si="100"/>
        <v>325</v>
      </c>
      <c r="DO80" s="214">
        <f t="shared" si="100"/>
        <v>0</v>
      </c>
      <c r="DP80" s="214">
        <f t="shared" si="100"/>
        <v>0</v>
      </c>
      <c r="DQ80" s="214">
        <f t="shared" si="100"/>
        <v>0</v>
      </c>
      <c r="DR80" s="214">
        <f t="shared" si="100"/>
        <v>0</v>
      </c>
      <c r="DS80" s="214">
        <f t="shared" si="100"/>
        <v>0</v>
      </c>
      <c r="DT80" s="214">
        <f t="shared" si="100"/>
        <v>0</v>
      </c>
      <c r="DU80" s="214">
        <f t="shared" si="100"/>
        <v>0</v>
      </c>
      <c r="DV80" s="214">
        <f t="shared" si="100"/>
        <v>0</v>
      </c>
      <c r="DW80" s="214">
        <f t="shared" si="100"/>
        <v>0</v>
      </c>
      <c r="DZ80" s="650"/>
      <c r="FI80" s="195"/>
      <c r="FJ80" s="195"/>
      <c r="FK80" s="195"/>
      <c r="FL80" s="195"/>
      <c r="FM80" s="195"/>
      <c r="FN80" s="195"/>
      <c r="FO80" s="195"/>
    </row>
    <row r="81" spans="1:171">
      <c r="A81" s="342" t="s">
        <v>112</v>
      </c>
      <c r="B81" s="427" t="str">
        <f>'Portfolio Inputs'!A80</f>
        <v>LED Linear Replacement Lamp (≤4ft)</v>
      </c>
      <c r="C81" s="217">
        <f>IF($C$1=2014,'Portfolio Inputs'!$C80,IF($C$1=2015,'Portfolio Inputs'!$D80,'Portfolio Inputs'!$E80))</f>
        <v>3</v>
      </c>
      <c r="D81" s="504">
        <f>VLOOKUP(B81,Sources!$B$4:$J$104,2,FALSE)</f>
        <v>16</v>
      </c>
      <c r="E81" s="504">
        <f>VLOOKUP(B81,Sources!$B$4:$J$104,3,FALSE)</f>
        <v>0</v>
      </c>
      <c r="G81" s="504">
        <f>IF($C$1=2014,'Portfolio Inputs'!$G80,IF($C$1=2015,'Portfolio Inputs'!$H80,'Portfolio Inputs'!$I80))*EnergyLineLoss</f>
        <v>784.28806874999987</v>
      </c>
      <c r="H81" s="504"/>
      <c r="I81" s="595">
        <f>IF($C$1=2014,'Portfolio Inputs'!$K80,IF($C$1=2015,'Portfolio Inputs'!$L80,'Portfolio Inputs'!$M80))*PeakLineLoss</f>
        <v>0.12127401000000002</v>
      </c>
      <c r="J81" s="510"/>
      <c r="L81" s="606">
        <f>IF($C$1=2014,'Portfolio Inputs'!$O80,IF($C$1=2015,'Portfolio Inputs'!$P80,'Portfolio Inputs'!$Q80))</f>
        <v>9.5</v>
      </c>
      <c r="M81" s="518">
        <f>VLOOKUP($B81,Sources!$B$4:$K$104,10,FALSE)</f>
        <v>0</v>
      </c>
      <c r="N81" s="419">
        <f>IF($C$1=2014,'Portfolio Inputs'!$W80,IF($C$1=2015,'Portfolio Inputs'!$X80,'Portfolio Inputs'!$Y80))</f>
        <v>75</v>
      </c>
      <c r="O81" s="419">
        <f>IF($C$1=2014,'Portfolio Inputs'!$AA80,IF($C$1=2015,'Portfolio Inputs'!$AB80,'Portfolio Inputs'!$AC80))</f>
        <v>0</v>
      </c>
      <c r="Q81" s="438">
        <f t="shared" si="67"/>
        <v>11.738967559262219</v>
      </c>
      <c r="R81" s="439">
        <f t="shared" si="68"/>
        <v>4.4608076725196435</v>
      </c>
      <c r="S81" s="439">
        <f t="shared" si="69"/>
        <v>14.605506752129406</v>
      </c>
      <c r="T81" s="439">
        <f t="shared" si="70"/>
        <v>31.741476863415841</v>
      </c>
      <c r="U81" s="439">
        <f t="shared" si="98"/>
        <v>31.741476863415841</v>
      </c>
      <c r="V81" s="439">
        <f t="shared" si="72"/>
        <v>0.36983054095986811</v>
      </c>
      <c r="W81" s="439">
        <f t="shared" si="73"/>
        <v>0.36983054095986811</v>
      </c>
      <c r="Y81" s="215">
        <f t="shared" si="101"/>
        <v>307.38751877891696</v>
      </c>
      <c r="Z81" s="215">
        <f t="shared" si="102"/>
        <v>75.060976659973193</v>
      </c>
      <c r="AA81" s="215">
        <f t="shared" si="103"/>
        <v>762.24925634633541</v>
      </c>
      <c r="AB81" s="215">
        <f t="shared" si="104"/>
        <v>762.24925634633541</v>
      </c>
      <c r="AC81" s="216">
        <f t="shared" si="20"/>
        <v>0</v>
      </c>
      <c r="AD81" s="216">
        <f t="shared" si="21"/>
        <v>68.908489525909587</v>
      </c>
      <c r="AE81" s="215">
        <f t="shared" si="105"/>
        <v>26.185226019845643</v>
      </c>
      <c r="AG81" s="214">
        <f>IF(AND(($E81+$C$1)&gt;AG$4,AG$4&gt;=$C$1),'General Inputs'!D$9*$H81,IF(AND(($D81+$C$1)&gt;AG$4,AG$4&gt;=$C$1),'General Inputs'!D$9*$G81,0))+IF(AND(($E81+$C$1)&gt;AG$4,AG$4&gt;=$C$1),'General Inputs'!D$10*$J81,IF(AND(($D81+$C$1)&gt;AG$4,AG$4&gt;=$C$1),'General Inputs'!D$10*$I81,0))</f>
        <v>0</v>
      </c>
      <c r="AH81" s="214">
        <f>IF(AND(($E81+$C$1)&gt;AH$4,AH$4&gt;=$C$1),'General Inputs'!E$9*$H81,IF(AND(($D81+$C$1)&gt;AH$4,AH$4&gt;=$C$1),'General Inputs'!E$9*$G81,0))+IF(AND(($E81+$C$1)&gt;AH$4,AH$4&gt;=$C$1),'General Inputs'!E$10*$J81,IF(AND(($D81+$C$1)&gt;AH$4,AH$4&gt;=$C$1),'General Inputs'!E$10*$I81,0))</f>
        <v>33.535853636007964</v>
      </c>
      <c r="AI81" s="214">
        <f>IF(AND(($E81+$C$1)&gt;AI$4,AI$4&gt;=$C$1),'General Inputs'!F$9*$H81,IF(AND(($D81+$C$1)&gt;AI$4,AI$4&gt;=$C$1),'General Inputs'!F$9*$G81,0))+IF(AND(($E81+$C$1)&gt;AI$4,AI$4&gt;=$C$1),'General Inputs'!F$10*$J81,IF(AND(($D81+$C$1)&gt;AI$4,AI$4&gt;=$C$1),'General Inputs'!F$10*$I81,0))</f>
        <v>34.038891440548078</v>
      </c>
      <c r="AJ81" s="214">
        <f>IF(AND(($E81+$C$1)&gt;AJ$4,AJ$4&gt;=$C$1),'General Inputs'!G$9*$H81,IF(AND(($D81+$C$1)&gt;AJ$4,AJ$4&gt;=$C$1),'General Inputs'!G$9*$G81,0))+IF(AND(($E81+$C$1)&gt;AJ$4,AJ$4&gt;=$C$1),'General Inputs'!G$10*$J81,IF(AND(($D81+$C$1)&gt;AJ$4,AJ$4&gt;=$C$1),'General Inputs'!G$10*$I81,0))</f>
        <v>34.549474812156298</v>
      </c>
      <c r="AK81" s="214">
        <f>IF(AND(($E81+$C$1)&gt;AK$4,AK$4&gt;=$C$1),'General Inputs'!H$9*$H81,IF(AND(($D81+$C$1)&gt;AK$4,AK$4&gt;=$C$1),'General Inputs'!H$9*$G81,0))+IF(AND(($E81+$C$1)&gt;AK$4,AK$4&gt;=$C$1),'General Inputs'!H$10*$J81,IF(AND(($D81+$C$1)&gt;AK$4,AK$4&gt;=$C$1),'General Inputs'!H$10*$I81,0))</f>
        <v>35.067716934338634</v>
      </c>
      <c r="AL81" s="214">
        <f>IF(AND(($E81+$C$1)&gt;AL$4,AL$4&gt;=$C$1),'General Inputs'!I$9*$H81,IF(AND(($D81+$C$1)&gt;AL$4,AL$4&gt;=$C$1),'General Inputs'!I$9*$G81,0))+IF(AND(($E81+$C$1)&gt;AL$4,AL$4&gt;=$C$1),'General Inputs'!I$10*$J81,IF(AND(($D81+$C$1)&gt;AL$4,AL$4&gt;=$C$1),'General Inputs'!I$10*$I81,0))</f>
        <v>35.593732688353711</v>
      </c>
      <c r="AM81" s="214">
        <f>IF(AND(($E81+$C$1)&gt;AM$4,AM$4&gt;=$C$1),'General Inputs'!J$9*$H81,IF(AND(($D81+$C$1)&gt;AM$4,AM$4&gt;=$C$1),'General Inputs'!J$9*$G81,0))+IF(AND(($E81+$C$1)&gt;AM$4,AM$4&gt;=$C$1),'General Inputs'!J$10*$J81,IF(AND(($D81+$C$1)&gt;AM$4,AM$4&gt;=$C$1),'General Inputs'!J$10*$I81,0))</f>
        <v>36.127638678679006</v>
      </c>
      <c r="AN81" s="214">
        <f>IF(AND(($E81+$C$1)&gt;AN$4,AN$4&gt;=$C$1),'General Inputs'!K$9*$H81,IF(AND(($D81+$C$1)&gt;AN$4,AN$4&gt;=$C$1),'General Inputs'!K$9*$G81,0))+IF(AND(($E81+$C$1)&gt;AN$4,AN$4&gt;=$C$1),'General Inputs'!K$10*$J81,IF(AND(($D81+$C$1)&gt;AN$4,AN$4&gt;=$C$1),'General Inputs'!K$10*$I81,0))</f>
        <v>36.669553258859189</v>
      </c>
      <c r="AO81" s="214">
        <f>IF(AND(($E81+$C$1)&gt;AO$4,AO$4&gt;=$C$1),'General Inputs'!L$9*$H81,IF(AND(($D81+$C$1)&gt;AO$4,AO$4&gt;=$C$1),'General Inputs'!L$9*$G81,0))+IF(AND(($E81+$C$1)&gt;AO$4,AO$4&gt;=$C$1),'General Inputs'!L$10*$J81,IF(AND(($D81+$C$1)&gt;AO$4,AO$4&gt;=$C$1),'General Inputs'!L$10*$I81,0))</f>
        <v>37.219596557742079</v>
      </c>
      <c r="AP81" s="214">
        <f>IF(AND(($E81+$C$1)&gt;AP$4,AP$4&gt;=$C$1),'General Inputs'!M$9*$H81,IF(AND(($D81+$C$1)&gt;AP$4,AP$4&gt;=$C$1),'General Inputs'!M$9*$G81,0))+IF(AND(($E81+$C$1)&gt;AP$4,AP$4&gt;=$C$1),'General Inputs'!M$10*$J81,IF(AND(($D81+$C$1)&gt;AP$4,AP$4&gt;=$C$1),'General Inputs'!M$10*$I81,0))</f>
        <v>37.7778905061082</v>
      </c>
      <c r="AQ81" s="214">
        <f>IF(AND(($E81+$C$1)&gt;AQ$4,AQ$4&gt;=$C$1),'General Inputs'!N$9*$H81,IF(AND(($D81+$C$1)&gt;AQ$4,AQ$4&gt;=$C$1),'General Inputs'!N$9*$G81,0))+IF(AND(($E81+$C$1)&gt;AQ$4,AQ$4&gt;=$C$1),'General Inputs'!N$10*$J81,IF(AND(($D81+$C$1)&gt;AQ$4,AQ$4&gt;=$C$1),'General Inputs'!N$10*$I81,0))</f>
        <v>38.344558863699817</v>
      </c>
      <c r="AR81" s="214">
        <f>IF(AND(($E81+$C$1)&gt;AR$4,AR$4&gt;=$C$1),'General Inputs'!O$9*$H81,IF(AND(($D81+$C$1)&gt;AR$4,AR$4&gt;=$C$1),'General Inputs'!O$9*$G81,0))+IF(AND(($E81+$C$1)&gt;AR$4,AR$4&gt;=$C$1),'General Inputs'!O$10*$J81,IF(AND(($D81+$C$1)&gt;AR$4,AR$4&gt;=$C$1),'General Inputs'!O$10*$I81,0))</f>
        <v>38.919727246655313</v>
      </c>
      <c r="AS81" s="214">
        <f>IF(AND(($E81+$C$1)&gt;AS$4,AS$4&gt;=$C$1),'General Inputs'!P$9*$H81,IF(AND(($D81+$C$1)&gt;AS$4,AS$4&gt;=$C$1),'General Inputs'!P$9*$G81,0))+IF(AND(($E81+$C$1)&gt;AS$4,AS$4&gt;=$C$1),'General Inputs'!P$10*$J81,IF(AND(($D81+$C$1)&gt;AS$4,AS$4&gt;=$C$1),'General Inputs'!P$10*$I81,0))</f>
        <v>39.50352315535514</v>
      </c>
      <c r="AT81" s="214">
        <f>IF(AND(($E81+$C$1)&gt;AT$4,AT$4&gt;=$C$1),'General Inputs'!Q$9*$H81,IF(AND(($D81+$C$1)&gt;AT$4,AT$4&gt;=$C$1),'General Inputs'!Q$9*$G81,0))+IF(AND(($E81+$C$1)&gt;AT$4,AT$4&gt;=$C$1),'General Inputs'!Q$10*$J81,IF(AND(($D81+$C$1)&gt;AT$4,AT$4&gt;=$C$1),'General Inputs'!Q$10*$I81,0))</f>
        <v>40.096076002685464</v>
      </c>
      <c r="AU81" s="214">
        <f>IF(AND(($E81+$C$1)&gt;AU$4,AU$4&gt;=$C$1),'General Inputs'!R$9*$H81,IF(AND(($D81+$C$1)&gt;AU$4,AU$4&gt;=$C$1),'General Inputs'!R$9*$G81,0))+IF(AND(($E81+$C$1)&gt;AU$4,AU$4&gt;=$C$1),'General Inputs'!R$10*$J81,IF(AND(($D81+$C$1)&gt;AU$4,AU$4&gt;=$C$1),'General Inputs'!R$10*$I81,0))</f>
        <v>40.697517142725744</v>
      </c>
      <c r="AV81" s="214">
        <f>IF(AND(($E81+$C$1)&gt;AV$4,AV$4&gt;=$C$1),'General Inputs'!S$9*$H81,IF(AND(($D81+$C$1)&gt;AV$4,AV$4&gt;=$C$1),'General Inputs'!S$9*$G81,0))+IF(AND(($E81+$C$1)&gt;AV$4,AV$4&gt;=$C$1),'General Inputs'!S$10*$J81,IF(AND(($D81+$C$1)&gt;AV$4,AV$4&gt;=$C$1),'General Inputs'!S$10*$I81,0))</f>
        <v>41.307979899866623</v>
      </c>
      <c r="AW81" s="214">
        <f>IF(AND(($E81+$C$1)&gt;AW$4,AW$4&gt;=$C$1),'General Inputs'!T$9*$H81,IF(AND(($D81+$C$1)&gt;AW$4,AW$4&gt;=$C$1),'General Inputs'!T$9*$G81,0))+IF(AND(($E81+$C$1)&gt;AW$4,AW$4&gt;=$C$1),'General Inputs'!T$10*$J81,IF(AND(($D81+$C$1)&gt;AW$4,AW$4&gt;=$C$1),'General Inputs'!T$10*$I81,0))</f>
        <v>41.927599598364623</v>
      </c>
      <c r="AX81" s="214">
        <f>IF(AND(($E81+$C$1)&gt;AX$4,AX$4&gt;=$C$1),'General Inputs'!U$9*$H81,IF(AND(($D81+$C$1)&gt;AX$4,AX$4&gt;=$C$1),'General Inputs'!U$9*$G81,0))+IF(AND(($E81+$C$1)&gt;AX$4,AX$4&gt;=$C$1),'General Inputs'!U$10*$J81,IF(AND(($D81+$C$1)&gt;AX$4,AX$4&gt;=$C$1),'General Inputs'!U$10*$I81,0))</f>
        <v>0</v>
      </c>
      <c r="AY81" s="214">
        <f>IF(AND(($E81+$C$1)&gt;AY$4,AY$4&gt;=$C$1),'General Inputs'!V$9*$H81,IF(AND(($D81+$C$1)&gt;AY$4,AY$4&gt;=$C$1),'General Inputs'!V$9*$G81,0))+IF(AND(($E81+$C$1)&gt;AY$4,AY$4&gt;=$C$1),'General Inputs'!V$10*$J81,IF(AND(($D81+$C$1)&gt;AY$4,AY$4&gt;=$C$1),'General Inputs'!V$10*$I81,0))</f>
        <v>0</v>
      </c>
      <c r="AZ81" s="214">
        <f>IF(AND(($E81+$C$1)&gt;AZ$4,AZ$4&gt;=$C$1),'General Inputs'!W$9*$H81,IF(AND(($D81+$C$1)&gt;AZ$4,AZ$4&gt;=$C$1),'General Inputs'!W$9*$G81,0))+IF(AND(($E81+$C$1)&gt;AZ$4,AZ$4&gt;=$C$1),'General Inputs'!W$10*$J81,IF(AND(($D81+$C$1)&gt;AZ$4,AZ$4&gt;=$C$1),'General Inputs'!W$10*$I81,0))</f>
        <v>0</v>
      </c>
      <c r="BB81" s="214">
        <f>IF(AND(($E81+$C$1)&gt;BB$4,BB$4&gt;=$C$1),'General Inputs'!D$11*$H81,IF(AND(($D81+$C$1)&gt;BB$4,BB$4&gt;=$C$1),'General Inputs'!D$11*$G81,0))</f>
        <v>0</v>
      </c>
      <c r="BC81" s="214">
        <f>IF(AND(($E81+$C$1)&gt;BC$4,BC$4&gt;=$C$1),'General Inputs'!E$11*$H81,IF(AND(($D81+$C$1)&gt;BC$4,BC$4&gt;=$C$1),'General Inputs'!E$11*$G81,0))</f>
        <v>8.9408839837499983</v>
      </c>
      <c r="BD81" s="214">
        <f>IF(AND(($E81+$C$1)&gt;BD$4,BD$4&gt;=$C$1),'General Inputs'!F$11*$H81,IF(AND(($D81+$C$1)&gt;BD$4,BD$4&gt;=$C$1),'General Inputs'!F$11*$G81,0))</f>
        <v>8.9408839837499983</v>
      </c>
      <c r="BE81" s="214">
        <f>IF(AND(($E81+$C$1)&gt;BE$4,BE$4&gt;=$C$1),'General Inputs'!G$11*$H81,IF(AND(($D81+$C$1)&gt;BE$4,BE$4&gt;=$C$1),'General Inputs'!G$11*$G81,0))</f>
        <v>8.9408839837499983</v>
      </c>
      <c r="BF81" s="214">
        <f>IF(AND(($E81+$C$1)&gt;BF$4,BF$4&gt;=$C$1),'General Inputs'!H$11*$H81,IF(AND(($D81+$C$1)&gt;BF$4,BF$4&gt;=$C$1),'General Inputs'!H$11*$G81,0))</f>
        <v>8.9408839837499983</v>
      </c>
      <c r="BG81" s="214">
        <f>IF(AND(($E81+$C$1)&gt;BG$4,BG$4&gt;=$C$1),'General Inputs'!I$11*$H81,IF(AND(($D81+$C$1)&gt;BG$4,BG$4&gt;=$C$1),'General Inputs'!I$11*$G81,0))</f>
        <v>8.9408839837499983</v>
      </c>
      <c r="BH81" s="214">
        <f>IF(AND(($E81+$C$1)&gt;BH$4,BH$4&gt;=$C$1),'General Inputs'!J$11*$H81,IF(AND(($D81+$C$1)&gt;BH$4,BH$4&gt;=$C$1),'General Inputs'!J$11*$G81,0))</f>
        <v>8.9408839837499983</v>
      </c>
      <c r="BI81" s="214">
        <f>IF(AND(($E81+$C$1)&gt;BI$4,BI$4&gt;=$C$1),'General Inputs'!K$11*$H81,IF(AND(($D81+$C$1)&gt;BI$4,BI$4&gt;=$C$1),'General Inputs'!K$11*$G81,0))</f>
        <v>8.9408839837499983</v>
      </c>
      <c r="BJ81" s="214">
        <f>IF(AND(($E81+$C$1)&gt;BJ$4,BJ$4&gt;=$C$1),'General Inputs'!L$11*$H81,IF(AND(($D81+$C$1)&gt;BJ$4,BJ$4&gt;=$C$1),'General Inputs'!L$11*$G81,0))</f>
        <v>8.9408839837499983</v>
      </c>
      <c r="BK81" s="214">
        <f>IF(AND(($E81+$C$1)&gt;BK$4,BK$4&gt;=$C$1),'General Inputs'!M$11*$H81,IF(AND(($D81+$C$1)&gt;BK$4,BK$4&gt;=$C$1),'General Inputs'!M$11*$G81,0))</f>
        <v>8.9408839837499983</v>
      </c>
      <c r="BL81" s="214">
        <f>IF(AND(($E81+$C$1)&gt;BL$4,BL$4&gt;=$C$1),'General Inputs'!N$11*$H81,IF(AND(($D81+$C$1)&gt;BL$4,BL$4&gt;=$C$1),'General Inputs'!N$11*$G81,0))</f>
        <v>8.9408839837499983</v>
      </c>
      <c r="BM81" s="214">
        <f>IF(AND(($E81+$C$1)&gt;BM$4,BM$4&gt;=$C$1),'General Inputs'!O$11*$H81,IF(AND(($D81+$C$1)&gt;BM$4,BM$4&gt;=$C$1),'General Inputs'!O$11*$G81,0))</f>
        <v>8.9408839837499983</v>
      </c>
      <c r="BN81" s="214">
        <f>IF(AND(($E81+$C$1)&gt;BN$4,BN$4&gt;=$C$1),'General Inputs'!P$11*$H81,IF(AND(($D81+$C$1)&gt;BN$4,BN$4&gt;=$C$1),'General Inputs'!P$11*$G81,0))</f>
        <v>8.9408839837499983</v>
      </c>
      <c r="BO81" s="214">
        <f>IF(AND(($E81+$C$1)&gt;BO$4,BO$4&gt;=$C$1),'General Inputs'!Q$11*$H81,IF(AND(($D81+$C$1)&gt;BO$4,BO$4&gt;=$C$1),'General Inputs'!Q$11*$G81,0))</f>
        <v>8.9408839837499983</v>
      </c>
      <c r="BP81" s="214">
        <f>IF(AND(($E81+$C$1)&gt;BP$4,BP$4&gt;=$C$1),'General Inputs'!R$11*$H81,IF(AND(($D81+$C$1)&gt;BP$4,BP$4&gt;=$C$1),'General Inputs'!R$11*$G81,0))</f>
        <v>8.9408839837499983</v>
      </c>
      <c r="BQ81" s="214">
        <f>IF(AND(($E81+$C$1)&gt;BQ$4,BQ$4&gt;=$C$1),'General Inputs'!S$11*$H81,IF(AND(($D81+$C$1)&gt;BQ$4,BQ$4&gt;=$C$1),'General Inputs'!S$11*$G81,0))</f>
        <v>8.9408839837499983</v>
      </c>
      <c r="BR81" s="214">
        <f>IF(AND(($E81+$C$1)&gt;BR$4,BR$4&gt;=$C$1),'General Inputs'!T$11*$H81,IF(AND(($D81+$C$1)&gt;BR$4,BR$4&gt;=$C$1),'General Inputs'!T$11*$G81,0))</f>
        <v>8.9408839837499983</v>
      </c>
      <c r="BS81" s="214">
        <f>IF(AND(($E81+$C$1)&gt;BS$4,BS$4&gt;=$C$1),'General Inputs'!U$11*$H81,IF(AND(($D81+$C$1)&gt;BS$4,BS$4&gt;=$C$1),'General Inputs'!U$11*$G81,0))</f>
        <v>0</v>
      </c>
      <c r="BT81" s="214">
        <f>IF(AND(($E81+$C$1)&gt;BT$4,BT$4&gt;=$C$1),'General Inputs'!V$11*$H81,IF(AND(($D81+$C$1)&gt;BT$4,BT$4&gt;=$C$1),'General Inputs'!V$11*$G81,0))</f>
        <v>0</v>
      </c>
      <c r="BU81" s="214">
        <f>IF(AND(($E81+$C$1)&gt;BU$4,BU$4&gt;=$C$1),'General Inputs'!W$11*$H81,IF(AND(($D81+$C$1)&gt;BU$4,BU$4&gt;=$C$1),'General Inputs'!W$11*$G81,0))</f>
        <v>0</v>
      </c>
      <c r="BW81" s="214">
        <f>IF(AND(($E81+$C$1)&gt;BW$4,BW$4&gt;=$C$1),$H81,IF(AND(($D81+$C$1)&gt;BW$4,BW$4&gt;=$C$1),$G81,0))*IF($A81="Residential",'General Inputs'!D$14,'General Inputs'!D$19)</f>
        <v>0</v>
      </c>
      <c r="BX81" s="214">
        <f>IF(AND(($E81+$C$1)&gt;BX$4,BX$4&gt;=$C$1),$H81,IF(AND(($D81+$C$1)&gt;BX$4,BX$4&gt;=$C$1),$G81,0))*IF($A81="Residential",'General Inputs'!E$14,'General Inputs'!E$19)</f>
        <v>83.161084732825856</v>
      </c>
      <c r="BY81" s="214">
        <f>IF(AND(($E81+$C$1)&gt;BY$4,BY$4&gt;=$C$1),$H81,IF(AND(($D81+$C$1)&gt;BY$4,BY$4&gt;=$C$1),$G81,0))*IF($A81="Residential",'General Inputs'!F$14,'General Inputs'!F$19)</f>
        <v>84.408501003818245</v>
      </c>
      <c r="BZ81" s="214">
        <f>IF(AND(($E81+$C$1)&gt;BZ$4,BZ$4&gt;=$C$1),$H81,IF(AND(($D81+$C$1)&gt;BZ$4,BZ$4&gt;=$C$1),$G81,0))*IF($A81="Residential",'General Inputs'!G$14,'General Inputs'!G$19)</f>
        <v>85.674628518875508</v>
      </c>
      <c r="CA81" s="214">
        <f>IF(AND(($E81+$C$1)&gt;CA$4,CA$4&gt;=$C$1),$H81,IF(AND(($D81+$C$1)&gt;CA$4,CA$4&gt;=$C$1),$G81,0))*IF($A81="Residential",'General Inputs'!H$14,'General Inputs'!H$19)</f>
        <v>86.959747946658624</v>
      </c>
      <c r="CB81" s="214">
        <f>IF(AND(($E81+$C$1)&gt;CB$4,CB$4&gt;=$C$1),$H81,IF(AND(($D81+$C$1)&gt;CB$4,CB$4&gt;=$C$1),$G81,0))*IF($A81="Residential",'General Inputs'!I$14,'General Inputs'!I$19)</f>
        <v>88.264144165858497</v>
      </c>
      <c r="CC81" s="214">
        <f>IF(AND(($E81+$C$1)&gt;CC$4,CC$4&gt;=$C$1),$H81,IF(AND(($D81+$C$1)&gt;CC$4,CC$4&gt;=$C$1),$G81,0))*IF($A81="Residential",'General Inputs'!J$14,'General Inputs'!J$19)</f>
        <v>89.58810632834637</v>
      </c>
      <c r="CD81" s="214">
        <f>IF(AND(($E81+$C$1)&gt;CD$4,CD$4&gt;=$C$1),$H81,IF(AND(($D81+$C$1)&gt;CD$4,CD$4&gt;=$C$1),$G81,0))*IF($A81="Residential",'General Inputs'!K$14,'General Inputs'!K$19)</f>
        <v>90.931927923271545</v>
      </c>
      <c r="CE81" s="214">
        <f>IF(AND(($E81+$C$1)&gt;CE$4,CE$4&gt;=$C$1),$H81,IF(AND(($D81+$C$1)&gt;CE$4,CE$4&gt;=$C$1),$G81,0))*IF($A81="Residential",'General Inputs'!L$14,'General Inputs'!L$19)</f>
        <v>92.295906842120615</v>
      </c>
      <c r="CF81" s="214">
        <f>IF(AND(($E81+$C$1)&gt;CF$4,CF$4&gt;=$C$1),$H81,IF(AND(($D81+$C$1)&gt;CF$4,CF$4&gt;=$C$1),$G81,0))*IF($A81="Residential",'General Inputs'!M$14,'General Inputs'!M$19)</f>
        <v>93.680345444752419</v>
      </c>
      <c r="CG81" s="214">
        <f>IF(AND(($E81+$C$1)&gt;CG$4,CG$4&gt;=$C$1),$H81,IF(AND(($D81+$C$1)&gt;CG$4,CG$4&gt;=$C$1),$G81,0))*IF($A81="Residential",'General Inputs'!N$14,'General Inputs'!N$19)</f>
        <v>95.085550626423696</v>
      </c>
      <c r="CH81" s="214">
        <f>IF(AND(($E81+$C$1)&gt;CH$4,CH$4&gt;=$C$1),$H81,IF(AND(($D81+$C$1)&gt;CH$4,CH$4&gt;=$C$1),$G81,0))*IF($A81="Residential",'General Inputs'!O$14,'General Inputs'!O$19)</f>
        <v>96.511833885820039</v>
      </c>
      <c r="CI81" s="214">
        <f>IF(AND(($E81+$C$1)&gt;CI$4,CI$4&gt;=$C$1),$H81,IF(AND(($D81+$C$1)&gt;CI$4,CI$4&gt;=$C$1),$G81,0))*IF($A81="Residential",'General Inputs'!P$14,'General Inputs'!P$19)</f>
        <v>97.959511394107338</v>
      </c>
      <c r="CJ81" s="214">
        <f>IF(AND(($E81+$C$1)&gt;CJ$4,CJ$4&gt;=$C$1),$H81,IF(AND(($D81+$C$1)&gt;CJ$4,CJ$4&gt;=$C$1),$G81,0))*IF($A81="Residential",'General Inputs'!Q$14,'General Inputs'!Q$19)</f>
        <v>99.428904065018941</v>
      </c>
      <c r="CK81" s="214">
        <f>IF(AND(($E81+$C$1)&gt;CK$4,CK$4&gt;=$C$1),$H81,IF(AND(($D81+$C$1)&gt;CK$4,CK$4&gt;=$C$1),$G81,0))*IF($A81="Residential",'General Inputs'!R$14,'General Inputs'!R$19)</f>
        <v>100.92033762599421</v>
      </c>
      <c r="CL81" s="214">
        <f>IF(AND(($E81+$C$1)&gt;CL$4,CL$4&gt;=$C$1),$H81,IF(AND(($D81+$C$1)&gt;CL$4,CL$4&gt;=$C$1),$G81,0))*IF($A81="Residential",'General Inputs'!S$14,'General Inputs'!S$19)</f>
        <v>102.43414269038412</v>
      </c>
      <c r="CM81" s="214">
        <f>IF(AND(($E81+$C$1)&gt;CM$4,CM$4&gt;=$C$1),$H81,IF(AND(($D81+$C$1)&gt;CM$4,CM$4&gt;=$C$1),$G81,0))*IF($A81="Residential",'General Inputs'!T$14,'General Inputs'!T$19)</f>
        <v>103.97065483073986</v>
      </c>
      <c r="CN81" s="214">
        <f>IF(AND(($E81+$C$1)&gt;CN$4,CN$4&gt;=$C$1),$H81,IF(AND(($D81+$C$1)&gt;CN$4,CN$4&gt;=$C$1),$G81,0))*IF($A81="Residential",'General Inputs'!U$14,'General Inputs'!U$19)</f>
        <v>0</v>
      </c>
      <c r="CO81" s="214">
        <f>IF(AND(($E81+$C$1)&gt;CO$4,CO$4&gt;=$C$1),$H81,IF(AND(($D81+$C$1)&gt;CO$4,CO$4&gt;=$C$1),$G81,0))*IF($A81="Residential",'General Inputs'!V$14,'General Inputs'!V$19)</f>
        <v>0</v>
      </c>
      <c r="CP81" s="214">
        <f>IF(AND(($E81+$C$1)&gt;CP$4,CP$4&gt;=$C$1),$H81,IF(AND(($D81+$C$1)&gt;CP$4,CP$4&gt;=$C$1),$G81,0))*IF($A81="Residential",'General Inputs'!W$14,'General Inputs'!W$19)</f>
        <v>0</v>
      </c>
      <c r="CR81" s="214">
        <f>IF(AND(($E81+$C$1)&gt;CR$4,CR$4&gt;=$C$1),$H81,IF(AND(($D81+$C$1)&gt;CR$4,CR$4&gt;=$C$1),$G81,0))*IF($A81="Residential",'General Inputs'!D$15,'General Inputs'!D$19)</f>
        <v>0</v>
      </c>
      <c r="CS81" s="214">
        <f>IF(AND(($E81+$C$1)&gt;CS$4,CS$4&gt;=$C$1),$H81,IF(AND(($D81+$C$1)&gt;CS$4,CS$4&gt;=$C$1),$G81,0))*IF($A81="Residential",'General Inputs'!E$15,'General Inputs'!E$19)</f>
        <v>83.161084732825856</v>
      </c>
      <c r="CT81" s="214">
        <f>IF(AND(($E81+$C$1)&gt;CT$4,CT$4&gt;=$C$1),$H81,IF(AND(($D81+$C$1)&gt;CT$4,CT$4&gt;=$C$1),$G81,0))*IF($A81="Residential",'General Inputs'!F$15,'General Inputs'!F$19)</f>
        <v>84.408501003818245</v>
      </c>
      <c r="CU81" s="214">
        <f>IF(AND(($E81+$C$1)&gt;CU$4,CU$4&gt;=$C$1),$H81,IF(AND(($D81+$C$1)&gt;CU$4,CU$4&gt;=$C$1),$G81,0))*IF($A81="Residential",'General Inputs'!G$15,'General Inputs'!G$19)</f>
        <v>85.674628518875508</v>
      </c>
      <c r="CV81" s="214">
        <f>IF(AND(($E81+$C$1)&gt;CV$4,CV$4&gt;=$C$1),$H81,IF(AND(($D81+$C$1)&gt;CV$4,CV$4&gt;=$C$1),$G81,0))*IF($A81="Residential",'General Inputs'!H$15,'General Inputs'!H$19)</f>
        <v>86.959747946658624</v>
      </c>
      <c r="CW81" s="214">
        <f>IF(AND(($E81+$C$1)&gt;CW$4,CW$4&gt;=$C$1),$H81,IF(AND(($D81+$C$1)&gt;CW$4,CW$4&gt;=$C$1),$G81,0))*IF($A81="Residential",'General Inputs'!I$15,'General Inputs'!I$19)</f>
        <v>88.264144165858497</v>
      </c>
      <c r="CX81" s="214">
        <f>IF(AND(($E81+$C$1)&gt;CX$4,CX$4&gt;=$C$1),$H81,IF(AND(($D81+$C$1)&gt;CX$4,CX$4&gt;=$C$1),$G81,0))*IF($A81="Residential",'General Inputs'!J$15,'General Inputs'!J$19)</f>
        <v>89.58810632834637</v>
      </c>
      <c r="CY81" s="214">
        <f>IF(AND(($E81+$C$1)&gt;CY$4,CY$4&gt;=$C$1),$H81,IF(AND(($D81+$C$1)&gt;CY$4,CY$4&gt;=$C$1),$G81,0))*IF($A81="Residential",'General Inputs'!K$15,'General Inputs'!K$19)</f>
        <v>90.931927923271545</v>
      </c>
      <c r="CZ81" s="214">
        <f>IF(AND(($E81+$C$1)&gt;CZ$4,CZ$4&gt;=$C$1),$H81,IF(AND(($D81+$C$1)&gt;CZ$4,CZ$4&gt;=$C$1),$G81,0))*IF($A81="Residential",'General Inputs'!L$15,'General Inputs'!L$19)</f>
        <v>92.295906842120615</v>
      </c>
      <c r="DA81" s="214">
        <f>IF(AND(($E81+$C$1)&gt;DA$4,DA$4&gt;=$C$1),$H81,IF(AND(($D81+$C$1)&gt;DA$4,DA$4&gt;=$C$1),$G81,0))*IF($A81="Residential",'General Inputs'!M$15,'General Inputs'!M$19)</f>
        <v>93.680345444752419</v>
      </c>
      <c r="DB81" s="214">
        <f>IF(AND(($E81+$C$1)&gt;DB$4,DB$4&gt;=$C$1),$H81,IF(AND(($D81+$C$1)&gt;DB$4,DB$4&gt;=$C$1),$G81,0))*IF($A81="Residential",'General Inputs'!N$15,'General Inputs'!N$19)</f>
        <v>95.085550626423696</v>
      </c>
      <c r="DC81" s="214">
        <f>IF(AND(($E81+$C$1)&gt;DC$4,DC$4&gt;=$C$1),$H81,IF(AND(($D81+$C$1)&gt;DC$4,DC$4&gt;=$C$1),$G81,0))*IF($A81="Residential",'General Inputs'!O$15,'General Inputs'!O$19)</f>
        <v>96.511833885820039</v>
      </c>
      <c r="DD81" s="214">
        <f>IF(AND(($E81+$C$1)&gt;DD$4,DD$4&gt;=$C$1),$H81,IF(AND(($D81+$C$1)&gt;DD$4,DD$4&gt;=$C$1),$G81,0))*IF($A81="Residential",'General Inputs'!P$15,'General Inputs'!P$19)</f>
        <v>97.959511394107338</v>
      </c>
      <c r="DE81" s="214">
        <f>IF(AND(($E81+$C$1)&gt;DE$4,DE$4&gt;=$C$1),$H81,IF(AND(($D81+$C$1)&gt;DE$4,DE$4&gt;=$C$1),$G81,0))*IF($A81="Residential",'General Inputs'!Q$15,'General Inputs'!Q$19)</f>
        <v>99.428904065018941</v>
      </c>
      <c r="DF81" s="214">
        <f>IF(AND(($E81+$C$1)&gt;DF$4,DF$4&gt;=$C$1),$H81,IF(AND(($D81+$C$1)&gt;DF$4,DF$4&gt;=$C$1),$G81,0))*IF($A81="Residential",'General Inputs'!R$15,'General Inputs'!R$19)</f>
        <v>100.92033762599421</v>
      </c>
      <c r="DG81" s="214">
        <f>IF(AND(($E81+$C$1)&gt;DG$4,DG$4&gt;=$C$1),$H81,IF(AND(($D81+$C$1)&gt;DG$4,DG$4&gt;=$C$1),$G81,0))*IF($A81="Residential",'General Inputs'!S$15,'General Inputs'!S$19)</f>
        <v>102.43414269038412</v>
      </c>
      <c r="DH81" s="214">
        <f>IF(AND(($E81+$C$1)&gt;DH$4,DH$4&gt;=$C$1),$H81,IF(AND(($D81+$C$1)&gt;DH$4,DH$4&gt;=$C$1),$G81,0))*IF($A81="Residential",'General Inputs'!T$15,'General Inputs'!T$19)</f>
        <v>103.97065483073986</v>
      </c>
      <c r="DI81" s="214">
        <f>IF(AND(($E81+$C$1)&gt;DI$4,DI$4&gt;=$C$1),$H81,IF(AND(($D81+$C$1)&gt;DI$4,DI$4&gt;=$C$1),$G81,0))*IF($A81="Residential",'General Inputs'!U$15,'General Inputs'!U$19)</f>
        <v>0</v>
      </c>
      <c r="DJ81" s="214">
        <f>IF(AND(($E81+$C$1)&gt;DJ$4,DJ$4&gt;=$C$1),$H81,IF(AND(($D81+$C$1)&gt;DJ$4,DJ$4&gt;=$C$1),$G81,0))*IF($A81="Residential",'General Inputs'!V$15,'General Inputs'!V$19)</f>
        <v>0</v>
      </c>
      <c r="DK81" s="214">
        <f>IF(AND(($E81+$C$1)&gt;DK$4,DK$4&gt;=$C$1),$H81,IF(AND(($D81+$C$1)&gt;DK$4,DK$4&gt;=$C$1),$G81,0))*IF($A81="Residential",'General Inputs'!W$15,'General Inputs'!W$19)</f>
        <v>0</v>
      </c>
      <c r="DM81" s="214">
        <f t="shared" si="100"/>
        <v>0</v>
      </c>
      <c r="DN81" s="214">
        <f t="shared" si="100"/>
        <v>28.5</v>
      </c>
      <c r="DO81" s="214">
        <f t="shared" si="100"/>
        <v>0</v>
      </c>
      <c r="DP81" s="214">
        <f t="shared" si="100"/>
        <v>0</v>
      </c>
      <c r="DQ81" s="214">
        <f t="shared" si="100"/>
        <v>0</v>
      </c>
      <c r="DR81" s="214">
        <f t="shared" si="100"/>
        <v>0</v>
      </c>
      <c r="DS81" s="214">
        <f t="shared" si="100"/>
        <v>0</v>
      </c>
      <c r="DT81" s="214">
        <f t="shared" si="100"/>
        <v>0</v>
      </c>
      <c r="DU81" s="214">
        <f t="shared" si="100"/>
        <v>0</v>
      </c>
      <c r="DV81" s="214">
        <f t="shared" si="100"/>
        <v>0</v>
      </c>
      <c r="DW81" s="214">
        <f t="shared" si="100"/>
        <v>0</v>
      </c>
      <c r="DZ81" s="650"/>
      <c r="FI81" s="195"/>
      <c r="FJ81" s="195"/>
      <c r="FK81" s="195"/>
      <c r="FL81" s="195"/>
      <c r="FM81" s="195"/>
      <c r="FN81" s="195"/>
      <c r="FO81" s="195"/>
    </row>
    <row r="82" spans="1:171">
      <c r="A82" s="342" t="s">
        <v>112</v>
      </c>
      <c r="B82" s="427" t="str">
        <f>'Portfolio Inputs'!A81</f>
        <v>LED Linear Replacement Lamp (5-8ft)</v>
      </c>
      <c r="C82" s="217">
        <f>IF($C$1=2014,'Portfolio Inputs'!$C81,IF($C$1=2015,'Portfolio Inputs'!$D81,'Portfolio Inputs'!$E81))</f>
        <v>3</v>
      </c>
      <c r="D82" s="504">
        <f>VLOOKUP(B82,Sources!$B$4:$J$104,2,FALSE)</f>
        <v>16</v>
      </c>
      <c r="E82" s="504">
        <f>VLOOKUP(B82,Sources!$B$4:$J$104,3,FALSE)</f>
        <v>0</v>
      </c>
      <c r="G82" s="504">
        <f>IF($C$1=2014,'Portfolio Inputs'!$G81,IF($C$1=2015,'Portfolio Inputs'!$H81,'Portfolio Inputs'!$I81))*EnergyLineLoss</f>
        <v>958.57430624999995</v>
      </c>
      <c r="H82" s="504"/>
      <c r="I82" s="595">
        <f>IF($C$1=2014,'Portfolio Inputs'!$K81,IF($C$1=2015,'Portfolio Inputs'!$L81,'Portfolio Inputs'!$M81))*PeakLineLoss</f>
        <v>0.14822378999999999</v>
      </c>
      <c r="J82" s="510"/>
      <c r="L82" s="606">
        <f>IF($C$1=2014,'Portfolio Inputs'!$O81,IF($C$1=2015,'Portfolio Inputs'!$P81,'Portfolio Inputs'!$Q81))</f>
        <v>9.5</v>
      </c>
      <c r="M82" s="518">
        <f>VLOOKUP($B82,Sources!$B$4:$K$104,10,FALSE)</f>
        <v>0</v>
      </c>
      <c r="N82" s="419">
        <f>IF($C$1=2014,'Portfolio Inputs'!$W81,IF($C$1=2015,'Portfolio Inputs'!$X81,'Portfolio Inputs'!$Y81))</f>
        <v>105</v>
      </c>
      <c r="O82" s="419">
        <f>IF($C$1=2014,'Portfolio Inputs'!$AA81,IF($C$1=2015,'Portfolio Inputs'!$AB81,'Portfolio Inputs'!$AC81))</f>
        <v>0</v>
      </c>
      <c r="Q82" s="438">
        <f t="shared" si="67"/>
        <v>14.347627016876048</v>
      </c>
      <c r="R82" s="439">
        <f t="shared" si="68"/>
        <v>3.8943559045806415</v>
      </c>
      <c r="S82" s="439">
        <f t="shared" si="69"/>
        <v>17.851174919269276</v>
      </c>
      <c r="T82" s="439">
        <f t="shared" si="70"/>
        <v>39.262974645929312</v>
      </c>
      <c r="U82" s="439">
        <f t="shared" si="98"/>
        <v>39.262974645929312</v>
      </c>
      <c r="V82" s="439">
        <f t="shared" si="72"/>
        <v>0.3654238413228218</v>
      </c>
      <c r="W82" s="439">
        <f t="shared" si="73"/>
        <v>0.3654238413228218</v>
      </c>
      <c r="Y82" s="215">
        <f t="shared" si="101"/>
        <v>375.69585628534304</v>
      </c>
      <c r="Z82" s="215">
        <f t="shared" si="102"/>
        <v>91.74119369552281</v>
      </c>
      <c r="AA82" s="215">
        <f t="shared" si="103"/>
        <v>931.63797997885456</v>
      </c>
      <c r="AB82" s="215">
        <f t="shared" si="104"/>
        <v>931.63797997885456</v>
      </c>
      <c r="AC82" s="216">
        <f t="shared" si="20"/>
        <v>0</v>
      </c>
      <c r="AD82" s="216">
        <f t="shared" si="21"/>
        <v>96.471885336273431</v>
      </c>
      <c r="AE82" s="215">
        <f t="shared" si="105"/>
        <v>26.185226019845643</v>
      </c>
      <c r="AG82" s="214">
        <f>IF(AND(($E82+$C$1)&gt;AG$4,AG$4&gt;=$C$1),'General Inputs'!D$9*$H82,IF(AND(($D82+$C$1)&gt;AG$4,AG$4&gt;=$C$1),'General Inputs'!D$9*$G82,0))+IF(AND(($E82+$C$1)&gt;AG$4,AG$4&gt;=$C$1),'General Inputs'!D$10*$J82,IF(AND(($D82+$C$1)&gt;AG$4,AG$4&gt;=$C$1),'General Inputs'!D$10*$I82,0))</f>
        <v>0</v>
      </c>
      <c r="AH82" s="214">
        <f>IF(AND(($E82+$C$1)&gt;AH$4,AH$4&gt;=$C$1),'General Inputs'!E$9*$H82,IF(AND(($D82+$C$1)&gt;AH$4,AH$4&gt;=$C$1),'General Inputs'!E$9*$G82,0))+IF(AND(($E82+$C$1)&gt;AH$4,AH$4&gt;=$C$1),'General Inputs'!E$10*$J82,IF(AND(($D82+$C$1)&gt;AH$4,AH$4&gt;=$C$1),'General Inputs'!E$10*$I82,0))</f>
        <v>40.988265555120847</v>
      </c>
      <c r="AI82" s="214">
        <f>IF(AND(($E82+$C$1)&gt;AI$4,AI$4&gt;=$C$1),'General Inputs'!F$9*$H82,IF(AND(($D82+$C$1)&gt;AI$4,AI$4&gt;=$C$1),'General Inputs'!F$9*$G82,0))+IF(AND(($E82+$C$1)&gt;AI$4,AI$4&gt;=$C$1),'General Inputs'!F$10*$J82,IF(AND(($D82+$C$1)&gt;AI$4,AI$4&gt;=$C$1),'General Inputs'!F$10*$I82,0))</f>
        <v>41.603089538447655</v>
      </c>
      <c r="AJ82" s="214">
        <f>IF(AND(($E82+$C$1)&gt;AJ$4,AJ$4&gt;=$C$1),'General Inputs'!G$9*$H82,IF(AND(($D82+$C$1)&gt;AJ$4,AJ$4&gt;=$C$1),'General Inputs'!G$9*$G82,0))+IF(AND(($E82+$C$1)&gt;AJ$4,AJ$4&gt;=$C$1),'General Inputs'!G$10*$J82,IF(AND(($D82+$C$1)&gt;AJ$4,AJ$4&gt;=$C$1),'General Inputs'!G$10*$I82,0))</f>
        <v>42.227135881524369</v>
      </c>
      <c r="AK82" s="214">
        <f>IF(AND(($E82+$C$1)&gt;AK$4,AK$4&gt;=$C$1),'General Inputs'!H$9*$H82,IF(AND(($D82+$C$1)&gt;AK$4,AK$4&gt;=$C$1),'General Inputs'!H$9*$G82,0))+IF(AND(($E82+$C$1)&gt;AK$4,AK$4&gt;=$C$1),'General Inputs'!H$10*$J82,IF(AND(($D82+$C$1)&gt;AK$4,AK$4&gt;=$C$1),'General Inputs'!H$10*$I82,0))</f>
        <v>42.860542919747225</v>
      </c>
      <c r="AL82" s="214">
        <f>IF(AND(($E82+$C$1)&gt;AL$4,AL$4&gt;=$C$1),'General Inputs'!I$9*$H82,IF(AND(($D82+$C$1)&gt;AL$4,AL$4&gt;=$C$1),'General Inputs'!I$9*$G82,0))+IF(AND(($E82+$C$1)&gt;AL$4,AL$4&gt;=$C$1),'General Inputs'!I$10*$J82,IF(AND(($D82+$C$1)&gt;AL$4,AL$4&gt;=$C$1),'General Inputs'!I$10*$I82,0))</f>
        <v>43.50345106354343</v>
      </c>
      <c r="AM82" s="214">
        <f>IF(AND(($E82+$C$1)&gt;AM$4,AM$4&gt;=$C$1),'General Inputs'!J$9*$H82,IF(AND(($D82+$C$1)&gt;AM$4,AM$4&gt;=$C$1),'General Inputs'!J$9*$G82,0))+IF(AND(($E82+$C$1)&gt;AM$4,AM$4&gt;=$C$1),'General Inputs'!J$10*$J82,IF(AND(($D82+$C$1)&gt;AM$4,AM$4&gt;=$C$1),'General Inputs'!J$10*$I82,0))</f>
        <v>44.156002829496572</v>
      </c>
      <c r="AN82" s="214">
        <f>IF(AND(($E82+$C$1)&gt;AN$4,AN$4&gt;=$C$1),'General Inputs'!K$9*$H82,IF(AND(($D82+$C$1)&gt;AN$4,AN$4&gt;=$C$1),'General Inputs'!K$9*$G82,0))+IF(AND(($E82+$C$1)&gt;AN$4,AN$4&gt;=$C$1),'General Inputs'!K$10*$J82,IF(AND(($D82+$C$1)&gt;AN$4,AN$4&gt;=$C$1),'General Inputs'!K$10*$I82,0))</f>
        <v>44.818342871939016</v>
      </c>
      <c r="AO82" s="214">
        <f>IF(AND(($E82+$C$1)&gt;AO$4,AO$4&gt;=$C$1),'General Inputs'!L$9*$H82,IF(AND(($D82+$C$1)&gt;AO$4,AO$4&gt;=$C$1),'General Inputs'!L$9*$G82,0))+IF(AND(($E82+$C$1)&gt;AO$4,AO$4&gt;=$C$1),'General Inputs'!L$10*$J82,IF(AND(($D82+$C$1)&gt;AO$4,AO$4&gt;=$C$1),'General Inputs'!L$10*$I82,0))</f>
        <v>45.4906180150181</v>
      </c>
      <c r="AP82" s="214">
        <f>IF(AND(($E82+$C$1)&gt;AP$4,AP$4&gt;=$C$1),'General Inputs'!M$9*$H82,IF(AND(($D82+$C$1)&gt;AP$4,AP$4&gt;=$C$1),'General Inputs'!M$9*$G82,0))+IF(AND(($E82+$C$1)&gt;AP$4,AP$4&gt;=$C$1),'General Inputs'!M$10*$J82,IF(AND(($D82+$C$1)&gt;AP$4,AP$4&gt;=$C$1),'General Inputs'!M$10*$I82,0))</f>
        <v>46.172977285243363</v>
      </c>
      <c r="AQ82" s="214">
        <f>IF(AND(($E82+$C$1)&gt;AQ$4,AQ$4&gt;=$C$1),'General Inputs'!N$9*$H82,IF(AND(($D82+$C$1)&gt;AQ$4,AQ$4&gt;=$C$1),'General Inputs'!N$9*$G82,0))+IF(AND(($E82+$C$1)&gt;AQ$4,AQ$4&gt;=$C$1),'General Inputs'!N$10*$J82,IF(AND(($D82+$C$1)&gt;AQ$4,AQ$4&gt;=$C$1),'General Inputs'!N$10*$I82,0))</f>
        <v>46.86557194452201</v>
      </c>
      <c r="AR82" s="214">
        <f>IF(AND(($E82+$C$1)&gt;AR$4,AR$4&gt;=$C$1),'General Inputs'!O$9*$H82,IF(AND(($D82+$C$1)&gt;AR$4,AR$4&gt;=$C$1),'General Inputs'!O$9*$G82,0))+IF(AND(($E82+$C$1)&gt;AR$4,AR$4&gt;=$C$1),'General Inputs'!O$10*$J82,IF(AND(($D82+$C$1)&gt;AR$4,AR$4&gt;=$C$1),'General Inputs'!O$10*$I82,0))</f>
        <v>47.568555523689831</v>
      </c>
      <c r="AS82" s="214">
        <f>IF(AND(($E82+$C$1)&gt;AS$4,AS$4&gt;=$C$1),'General Inputs'!P$9*$H82,IF(AND(($D82+$C$1)&gt;AS$4,AS$4&gt;=$C$1),'General Inputs'!P$9*$G82,0))+IF(AND(($E82+$C$1)&gt;AS$4,AS$4&gt;=$C$1),'General Inputs'!P$10*$J82,IF(AND(($D82+$C$1)&gt;AS$4,AS$4&gt;=$C$1),'General Inputs'!P$10*$I82,0))</f>
        <v>48.282083856545171</v>
      </c>
      <c r="AT82" s="214">
        <f>IF(AND(($E82+$C$1)&gt;AT$4,AT$4&gt;=$C$1),'General Inputs'!Q$9*$H82,IF(AND(($D82+$C$1)&gt;AT$4,AT$4&gt;=$C$1),'General Inputs'!Q$9*$G82,0))+IF(AND(($E82+$C$1)&gt;AT$4,AT$4&gt;=$C$1),'General Inputs'!Q$10*$J82,IF(AND(($D82+$C$1)&gt;AT$4,AT$4&gt;=$C$1),'General Inputs'!Q$10*$I82,0))</f>
        <v>49.006315114393352</v>
      </c>
      <c r="AU82" s="214">
        <f>IF(AND(($E82+$C$1)&gt;AU$4,AU$4&gt;=$C$1),'General Inputs'!R$9*$H82,IF(AND(($D82+$C$1)&gt;AU$4,AU$4&gt;=$C$1),'General Inputs'!R$9*$G82,0))+IF(AND(($E82+$C$1)&gt;AU$4,AU$4&gt;=$C$1),'General Inputs'!R$10*$J82,IF(AND(($D82+$C$1)&gt;AU$4,AU$4&gt;=$C$1),'General Inputs'!R$10*$I82,0))</f>
        <v>49.741409841109252</v>
      </c>
      <c r="AV82" s="214">
        <f>IF(AND(($E82+$C$1)&gt;AV$4,AV$4&gt;=$C$1),'General Inputs'!S$9*$H82,IF(AND(($D82+$C$1)&gt;AV$4,AV$4&gt;=$C$1),'General Inputs'!S$9*$G82,0))+IF(AND(($E82+$C$1)&gt;AV$4,AV$4&gt;=$C$1),'General Inputs'!S$10*$J82,IF(AND(($D82+$C$1)&gt;AV$4,AV$4&gt;=$C$1),'General Inputs'!S$10*$I82,0))</f>
        <v>50.487530988725887</v>
      </c>
      <c r="AW82" s="214">
        <f>IF(AND(($E82+$C$1)&gt;AW$4,AW$4&gt;=$C$1),'General Inputs'!T$9*$H82,IF(AND(($D82+$C$1)&gt;AW$4,AW$4&gt;=$C$1),'General Inputs'!T$9*$G82,0))+IF(AND(($E82+$C$1)&gt;AW$4,AW$4&gt;=$C$1),'General Inputs'!T$10*$J82,IF(AND(($D82+$C$1)&gt;AW$4,AW$4&gt;=$C$1),'General Inputs'!T$10*$I82,0))</f>
        <v>51.244843953556767</v>
      </c>
      <c r="AX82" s="214">
        <f>IF(AND(($E82+$C$1)&gt;AX$4,AX$4&gt;=$C$1),'General Inputs'!U$9*$H82,IF(AND(($D82+$C$1)&gt;AX$4,AX$4&gt;=$C$1),'General Inputs'!U$9*$G82,0))+IF(AND(($E82+$C$1)&gt;AX$4,AX$4&gt;=$C$1),'General Inputs'!U$10*$J82,IF(AND(($D82+$C$1)&gt;AX$4,AX$4&gt;=$C$1),'General Inputs'!U$10*$I82,0))</f>
        <v>0</v>
      </c>
      <c r="AY82" s="214">
        <f>IF(AND(($E82+$C$1)&gt;AY$4,AY$4&gt;=$C$1),'General Inputs'!V$9*$H82,IF(AND(($D82+$C$1)&gt;AY$4,AY$4&gt;=$C$1),'General Inputs'!V$9*$G82,0))+IF(AND(($E82+$C$1)&gt;AY$4,AY$4&gt;=$C$1),'General Inputs'!V$10*$J82,IF(AND(($D82+$C$1)&gt;AY$4,AY$4&gt;=$C$1),'General Inputs'!V$10*$I82,0))</f>
        <v>0</v>
      </c>
      <c r="AZ82" s="214">
        <f>IF(AND(($E82+$C$1)&gt;AZ$4,AZ$4&gt;=$C$1),'General Inputs'!W$9*$H82,IF(AND(($D82+$C$1)&gt;AZ$4,AZ$4&gt;=$C$1),'General Inputs'!W$9*$G82,0))+IF(AND(($E82+$C$1)&gt;AZ$4,AZ$4&gt;=$C$1),'General Inputs'!W$10*$J82,IF(AND(($D82+$C$1)&gt;AZ$4,AZ$4&gt;=$C$1),'General Inputs'!W$10*$I82,0))</f>
        <v>0</v>
      </c>
      <c r="BB82" s="214">
        <f>IF(AND(($E82+$C$1)&gt;BB$4,BB$4&gt;=$C$1),'General Inputs'!D$11*$H82,IF(AND(($D82+$C$1)&gt;BB$4,BB$4&gt;=$C$1),'General Inputs'!D$11*$G82,0))</f>
        <v>0</v>
      </c>
      <c r="BC82" s="214">
        <f>IF(AND(($E82+$C$1)&gt;BC$4,BC$4&gt;=$C$1),'General Inputs'!E$11*$H82,IF(AND(($D82+$C$1)&gt;BC$4,BC$4&gt;=$C$1),'General Inputs'!E$11*$G82,0))</f>
        <v>10.92774709125</v>
      </c>
      <c r="BD82" s="214">
        <f>IF(AND(($E82+$C$1)&gt;BD$4,BD$4&gt;=$C$1),'General Inputs'!F$11*$H82,IF(AND(($D82+$C$1)&gt;BD$4,BD$4&gt;=$C$1),'General Inputs'!F$11*$G82,0))</f>
        <v>10.92774709125</v>
      </c>
      <c r="BE82" s="214">
        <f>IF(AND(($E82+$C$1)&gt;BE$4,BE$4&gt;=$C$1),'General Inputs'!G$11*$H82,IF(AND(($D82+$C$1)&gt;BE$4,BE$4&gt;=$C$1),'General Inputs'!G$11*$G82,0))</f>
        <v>10.92774709125</v>
      </c>
      <c r="BF82" s="214">
        <f>IF(AND(($E82+$C$1)&gt;BF$4,BF$4&gt;=$C$1),'General Inputs'!H$11*$H82,IF(AND(($D82+$C$1)&gt;BF$4,BF$4&gt;=$C$1),'General Inputs'!H$11*$G82,0))</f>
        <v>10.92774709125</v>
      </c>
      <c r="BG82" s="214">
        <f>IF(AND(($E82+$C$1)&gt;BG$4,BG$4&gt;=$C$1),'General Inputs'!I$11*$H82,IF(AND(($D82+$C$1)&gt;BG$4,BG$4&gt;=$C$1),'General Inputs'!I$11*$G82,0))</f>
        <v>10.92774709125</v>
      </c>
      <c r="BH82" s="214">
        <f>IF(AND(($E82+$C$1)&gt;BH$4,BH$4&gt;=$C$1),'General Inputs'!J$11*$H82,IF(AND(($D82+$C$1)&gt;BH$4,BH$4&gt;=$C$1),'General Inputs'!J$11*$G82,0))</f>
        <v>10.92774709125</v>
      </c>
      <c r="BI82" s="214">
        <f>IF(AND(($E82+$C$1)&gt;BI$4,BI$4&gt;=$C$1),'General Inputs'!K$11*$H82,IF(AND(($D82+$C$1)&gt;BI$4,BI$4&gt;=$C$1),'General Inputs'!K$11*$G82,0))</f>
        <v>10.92774709125</v>
      </c>
      <c r="BJ82" s="214">
        <f>IF(AND(($E82+$C$1)&gt;BJ$4,BJ$4&gt;=$C$1),'General Inputs'!L$11*$H82,IF(AND(($D82+$C$1)&gt;BJ$4,BJ$4&gt;=$C$1),'General Inputs'!L$11*$G82,0))</f>
        <v>10.92774709125</v>
      </c>
      <c r="BK82" s="214">
        <f>IF(AND(($E82+$C$1)&gt;BK$4,BK$4&gt;=$C$1),'General Inputs'!M$11*$H82,IF(AND(($D82+$C$1)&gt;BK$4,BK$4&gt;=$C$1),'General Inputs'!M$11*$G82,0))</f>
        <v>10.92774709125</v>
      </c>
      <c r="BL82" s="214">
        <f>IF(AND(($E82+$C$1)&gt;BL$4,BL$4&gt;=$C$1),'General Inputs'!N$11*$H82,IF(AND(($D82+$C$1)&gt;BL$4,BL$4&gt;=$C$1),'General Inputs'!N$11*$G82,0))</f>
        <v>10.92774709125</v>
      </c>
      <c r="BM82" s="214">
        <f>IF(AND(($E82+$C$1)&gt;BM$4,BM$4&gt;=$C$1),'General Inputs'!O$11*$H82,IF(AND(($D82+$C$1)&gt;BM$4,BM$4&gt;=$C$1),'General Inputs'!O$11*$G82,0))</f>
        <v>10.92774709125</v>
      </c>
      <c r="BN82" s="214">
        <f>IF(AND(($E82+$C$1)&gt;BN$4,BN$4&gt;=$C$1),'General Inputs'!P$11*$H82,IF(AND(($D82+$C$1)&gt;BN$4,BN$4&gt;=$C$1),'General Inputs'!P$11*$G82,0))</f>
        <v>10.92774709125</v>
      </c>
      <c r="BO82" s="214">
        <f>IF(AND(($E82+$C$1)&gt;BO$4,BO$4&gt;=$C$1),'General Inputs'!Q$11*$H82,IF(AND(($D82+$C$1)&gt;BO$4,BO$4&gt;=$C$1),'General Inputs'!Q$11*$G82,0))</f>
        <v>10.92774709125</v>
      </c>
      <c r="BP82" s="214">
        <f>IF(AND(($E82+$C$1)&gt;BP$4,BP$4&gt;=$C$1),'General Inputs'!R$11*$H82,IF(AND(($D82+$C$1)&gt;BP$4,BP$4&gt;=$C$1),'General Inputs'!R$11*$G82,0))</f>
        <v>10.92774709125</v>
      </c>
      <c r="BQ82" s="214">
        <f>IF(AND(($E82+$C$1)&gt;BQ$4,BQ$4&gt;=$C$1),'General Inputs'!S$11*$H82,IF(AND(($D82+$C$1)&gt;BQ$4,BQ$4&gt;=$C$1),'General Inputs'!S$11*$G82,0))</f>
        <v>10.92774709125</v>
      </c>
      <c r="BR82" s="214">
        <f>IF(AND(($E82+$C$1)&gt;BR$4,BR$4&gt;=$C$1),'General Inputs'!T$11*$H82,IF(AND(($D82+$C$1)&gt;BR$4,BR$4&gt;=$C$1),'General Inputs'!T$11*$G82,0))</f>
        <v>10.92774709125</v>
      </c>
      <c r="BS82" s="214">
        <f>IF(AND(($E82+$C$1)&gt;BS$4,BS$4&gt;=$C$1),'General Inputs'!U$11*$H82,IF(AND(($D82+$C$1)&gt;BS$4,BS$4&gt;=$C$1),'General Inputs'!U$11*$G82,0))</f>
        <v>0</v>
      </c>
      <c r="BT82" s="214">
        <f>IF(AND(($E82+$C$1)&gt;BT$4,BT$4&gt;=$C$1),'General Inputs'!V$11*$H82,IF(AND(($D82+$C$1)&gt;BT$4,BT$4&gt;=$C$1),'General Inputs'!V$11*$G82,0))</f>
        <v>0</v>
      </c>
      <c r="BU82" s="214">
        <f>IF(AND(($E82+$C$1)&gt;BU$4,BU$4&gt;=$C$1),'General Inputs'!W$11*$H82,IF(AND(($D82+$C$1)&gt;BU$4,BU$4&gt;=$C$1),'General Inputs'!W$11*$G82,0))</f>
        <v>0</v>
      </c>
      <c r="BW82" s="214">
        <f>IF(AND(($E82+$C$1)&gt;BW$4,BW$4&gt;=$C$1),$H82,IF(AND(($D82+$C$1)&gt;BW$4,BW$4&gt;=$C$1),$G82,0))*IF($A82="Residential",'General Inputs'!D$14,'General Inputs'!D$19)</f>
        <v>0</v>
      </c>
      <c r="BX82" s="214">
        <f>IF(AND(($E82+$C$1)&gt;BX$4,BX$4&gt;=$C$1),$H82,IF(AND(($D82+$C$1)&gt;BX$4,BX$4&gt;=$C$1),$G82,0))*IF($A82="Residential",'General Inputs'!E$14,'General Inputs'!E$19)</f>
        <v>101.64132578456494</v>
      </c>
      <c r="BY82" s="214">
        <f>IF(AND(($E82+$C$1)&gt;BY$4,BY$4&gt;=$C$1),$H82,IF(AND(($D82+$C$1)&gt;BY$4,BY$4&gt;=$C$1),$G82,0))*IF($A82="Residential",'General Inputs'!F$14,'General Inputs'!F$19)</f>
        <v>103.16594567133343</v>
      </c>
      <c r="BZ82" s="214">
        <f>IF(AND(($E82+$C$1)&gt;BZ$4,BZ$4&gt;=$C$1),$H82,IF(AND(($D82+$C$1)&gt;BZ$4,BZ$4&gt;=$C$1),$G82,0))*IF($A82="Residential",'General Inputs'!G$14,'General Inputs'!G$19)</f>
        <v>104.71343485640342</v>
      </c>
      <c r="CA82" s="214">
        <f>IF(AND(($E82+$C$1)&gt;CA$4,CA$4&gt;=$C$1),$H82,IF(AND(($D82+$C$1)&gt;CA$4,CA$4&gt;=$C$1),$G82,0))*IF($A82="Residential",'General Inputs'!H$14,'General Inputs'!H$19)</f>
        <v>106.28413637924945</v>
      </c>
      <c r="CB82" s="214">
        <f>IF(AND(($E82+$C$1)&gt;CB$4,CB$4&gt;=$C$1),$H82,IF(AND(($D82+$C$1)&gt;CB$4,CB$4&gt;=$C$1),$G82,0))*IF($A82="Residential",'General Inputs'!I$14,'General Inputs'!I$19)</f>
        <v>107.87839842493817</v>
      </c>
      <c r="CC82" s="214">
        <f>IF(AND(($E82+$C$1)&gt;CC$4,CC$4&gt;=$C$1),$H82,IF(AND(($D82+$C$1)&gt;CC$4,CC$4&gt;=$C$1),$G82,0))*IF($A82="Residential",'General Inputs'!J$14,'General Inputs'!J$19)</f>
        <v>109.49657440131224</v>
      </c>
      <c r="CD82" s="214">
        <f>IF(AND(($E82+$C$1)&gt;CD$4,CD$4&gt;=$C$1),$H82,IF(AND(($D82+$C$1)&gt;CD$4,CD$4&gt;=$C$1),$G82,0))*IF($A82="Residential",'General Inputs'!K$14,'General Inputs'!K$19)</f>
        <v>111.13902301733191</v>
      </c>
      <c r="CE82" s="214">
        <f>IF(AND(($E82+$C$1)&gt;CE$4,CE$4&gt;=$C$1),$H82,IF(AND(($D82+$C$1)&gt;CE$4,CE$4&gt;=$C$1),$G82,0))*IF($A82="Residential",'General Inputs'!L$14,'General Inputs'!L$19)</f>
        <v>112.80610836259187</v>
      </c>
      <c r="CF82" s="214">
        <f>IF(AND(($E82+$C$1)&gt;CF$4,CF$4&gt;=$C$1),$H82,IF(AND(($D82+$C$1)&gt;CF$4,CF$4&gt;=$C$1),$G82,0))*IF($A82="Residential",'General Inputs'!M$14,'General Inputs'!M$19)</f>
        <v>114.49819998803075</v>
      </c>
      <c r="CG82" s="214">
        <f>IF(AND(($E82+$C$1)&gt;CG$4,CG$4&gt;=$C$1),$H82,IF(AND(($D82+$C$1)&gt;CG$4,CG$4&gt;=$C$1),$G82,0))*IF($A82="Residential",'General Inputs'!N$14,'General Inputs'!N$19)</f>
        <v>116.21567298785121</v>
      </c>
      <c r="CH82" s="214">
        <f>IF(AND(($E82+$C$1)&gt;CH$4,CH$4&gt;=$C$1),$H82,IF(AND(($D82+$C$1)&gt;CH$4,CH$4&gt;=$C$1),$G82,0))*IF($A82="Residential",'General Inputs'!O$14,'General Inputs'!O$19)</f>
        <v>117.95890808266894</v>
      </c>
      <c r="CI82" s="214">
        <f>IF(AND(($E82+$C$1)&gt;CI$4,CI$4&gt;=$C$1),$H82,IF(AND(($D82+$C$1)&gt;CI$4,CI$4&gt;=$C$1),$G82,0))*IF($A82="Residential",'General Inputs'!P$14,'General Inputs'!P$19)</f>
        <v>119.72829170390898</v>
      </c>
      <c r="CJ82" s="214">
        <f>IF(AND(($E82+$C$1)&gt;CJ$4,CJ$4&gt;=$C$1),$H82,IF(AND(($D82+$C$1)&gt;CJ$4,CJ$4&gt;=$C$1),$G82,0))*IF($A82="Residential",'General Inputs'!Q$14,'General Inputs'!Q$19)</f>
        <v>121.52421607946761</v>
      </c>
      <c r="CK82" s="214">
        <f>IF(AND(($E82+$C$1)&gt;CK$4,CK$4&gt;=$C$1),$H82,IF(AND(($D82+$C$1)&gt;CK$4,CK$4&gt;=$C$1),$G82,0))*IF($A82="Residential",'General Inputs'!R$14,'General Inputs'!R$19)</f>
        <v>123.34707932065959</v>
      </c>
      <c r="CL82" s="214">
        <f>IF(AND(($E82+$C$1)&gt;CL$4,CL$4&gt;=$C$1),$H82,IF(AND(($D82+$C$1)&gt;CL$4,CL$4&gt;=$C$1),$G82,0))*IF($A82="Residential",'General Inputs'!S$14,'General Inputs'!S$19)</f>
        <v>125.19728551046948</v>
      </c>
      <c r="CM82" s="214">
        <f>IF(AND(($E82+$C$1)&gt;CM$4,CM$4&gt;=$C$1),$H82,IF(AND(($D82+$C$1)&gt;CM$4,CM$4&gt;=$C$1),$G82,0))*IF($A82="Residential",'General Inputs'!T$14,'General Inputs'!T$19)</f>
        <v>127.07524479312652</v>
      </c>
      <c r="CN82" s="214">
        <f>IF(AND(($E82+$C$1)&gt;CN$4,CN$4&gt;=$C$1),$H82,IF(AND(($D82+$C$1)&gt;CN$4,CN$4&gt;=$C$1),$G82,0))*IF($A82="Residential",'General Inputs'!U$14,'General Inputs'!U$19)</f>
        <v>0</v>
      </c>
      <c r="CO82" s="214">
        <f>IF(AND(($E82+$C$1)&gt;CO$4,CO$4&gt;=$C$1),$H82,IF(AND(($D82+$C$1)&gt;CO$4,CO$4&gt;=$C$1),$G82,0))*IF($A82="Residential",'General Inputs'!V$14,'General Inputs'!V$19)</f>
        <v>0</v>
      </c>
      <c r="CP82" s="214">
        <f>IF(AND(($E82+$C$1)&gt;CP$4,CP$4&gt;=$C$1),$H82,IF(AND(($D82+$C$1)&gt;CP$4,CP$4&gt;=$C$1),$G82,0))*IF($A82="Residential",'General Inputs'!W$14,'General Inputs'!W$19)</f>
        <v>0</v>
      </c>
      <c r="CR82" s="214">
        <f>IF(AND(($E82+$C$1)&gt;CR$4,CR$4&gt;=$C$1),$H82,IF(AND(($D82+$C$1)&gt;CR$4,CR$4&gt;=$C$1),$G82,0))*IF($A82="Residential",'General Inputs'!D$15,'General Inputs'!D$19)</f>
        <v>0</v>
      </c>
      <c r="CS82" s="214">
        <f>IF(AND(($E82+$C$1)&gt;CS$4,CS$4&gt;=$C$1),$H82,IF(AND(($D82+$C$1)&gt;CS$4,CS$4&gt;=$C$1),$G82,0))*IF($A82="Residential",'General Inputs'!E$15,'General Inputs'!E$19)</f>
        <v>101.64132578456494</v>
      </c>
      <c r="CT82" s="214">
        <f>IF(AND(($E82+$C$1)&gt;CT$4,CT$4&gt;=$C$1),$H82,IF(AND(($D82+$C$1)&gt;CT$4,CT$4&gt;=$C$1),$G82,0))*IF($A82="Residential",'General Inputs'!F$15,'General Inputs'!F$19)</f>
        <v>103.16594567133343</v>
      </c>
      <c r="CU82" s="214">
        <f>IF(AND(($E82+$C$1)&gt;CU$4,CU$4&gt;=$C$1),$H82,IF(AND(($D82+$C$1)&gt;CU$4,CU$4&gt;=$C$1),$G82,0))*IF($A82="Residential",'General Inputs'!G$15,'General Inputs'!G$19)</f>
        <v>104.71343485640342</v>
      </c>
      <c r="CV82" s="214">
        <f>IF(AND(($E82+$C$1)&gt;CV$4,CV$4&gt;=$C$1),$H82,IF(AND(($D82+$C$1)&gt;CV$4,CV$4&gt;=$C$1),$G82,0))*IF($A82="Residential",'General Inputs'!H$15,'General Inputs'!H$19)</f>
        <v>106.28413637924945</v>
      </c>
      <c r="CW82" s="214">
        <f>IF(AND(($E82+$C$1)&gt;CW$4,CW$4&gt;=$C$1),$H82,IF(AND(($D82+$C$1)&gt;CW$4,CW$4&gt;=$C$1),$G82,0))*IF($A82="Residential",'General Inputs'!I$15,'General Inputs'!I$19)</f>
        <v>107.87839842493817</v>
      </c>
      <c r="CX82" s="214">
        <f>IF(AND(($E82+$C$1)&gt;CX$4,CX$4&gt;=$C$1),$H82,IF(AND(($D82+$C$1)&gt;CX$4,CX$4&gt;=$C$1),$G82,0))*IF($A82="Residential",'General Inputs'!J$15,'General Inputs'!J$19)</f>
        <v>109.49657440131224</v>
      </c>
      <c r="CY82" s="214">
        <f>IF(AND(($E82+$C$1)&gt;CY$4,CY$4&gt;=$C$1),$H82,IF(AND(($D82+$C$1)&gt;CY$4,CY$4&gt;=$C$1),$G82,0))*IF($A82="Residential",'General Inputs'!K$15,'General Inputs'!K$19)</f>
        <v>111.13902301733191</v>
      </c>
      <c r="CZ82" s="214">
        <f>IF(AND(($E82+$C$1)&gt;CZ$4,CZ$4&gt;=$C$1),$H82,IF(AND(($D82+$C$1)&gt;CZ$4,CZ$4&gt;=$C$1),$G82,0))*IF($A82="Residential",'General Inputs'!L$15,'General Inputs'!L$19)</f>
        <v>112.80610836259187</v>
      </c>
      <c r="DA82" s="214">
        <f>IF(AND(($E82+$C$1)&gt;DA$4,DA$4&gt;=$C$1),$H82,IF(AND(($D82+$C$1)&gt;DA$4,DA$4&gt;=$C$1),$G82,0))*IF($A82="Residential",'General Inputs'!M$15,'General Inputs'!M$19)</f>
        <v>114.49819998803075</v>
      </c>
      <c r="DB82" s="214">
        <f>IF(AND(($E82+$C$1)&gt;DB$4,DB$4&gt;=$C$1),$H82,IF(AND(($D82+$C$1)&gt;DB$4,DB$4&gt;=$C$1),$G82,0))*IF($A82="Residential",'General Inputs'!N$15,'General Inputs'!N$19)</f>
        <v>116.21567298785121</v>
      </c>
      <c r="DC82" s="214">
        <f>IF(AND(($E82+$C$1)&gt;DC$4,DC$4&gt;=$C$1),$H82,IF(AND(($D82+$C$1)&gt;DC$4,DC$4&gt;=$C$1),$G82,0))*IF($A82="Residential",'General Inputs'!O$15,'General Inputs'!O$19)</f>
        <v>117.95890808266894</v>
      </c>
      <c r="DD82" s="214">
        <f>IF(AND(($E82+$C$1)&gt;DD$4,DD$4&gt;=$C$1),$H82,IF(AND(($D82+$C$1)&gt;DD$4,DD$4&gt;=$C$1),$G82,0))*IF($A82="Residential",'General Inputs'!P$15,'General Inputs'!P$19)</f>
        <v>119.72829170390898</v>
      </c>
      <c r="DE82" s="214">
        <f>IF(AND(($E82+$C$1)&gt;DE$4,DE$4&gt;=$C$1),$H82,IF(AND(($D82+$C$1)&gt;DE$4,DE$4&gt;=$C$1),$G82,0))*IF($A82="Residential",'General Inputs'!Q$15,'General Inputs'!Q$19)</f>
        <v>121.52421607946761</v>
      </c>
      <c r="DF82" s="214">
        <f>IF(AND(($E82+$C$1)&gt;DF$4,DF$4&gt;=$C$1),$H82,IF(AND(($D82+$C$1)&gt;DF$4,DF$4&gt;=$C$1),$G82,0))*IF($A82="Residential",'General Inputs'!R$15,'General Inputs'!R$19)</f>
        <v>123.34707932065959</v>
      </c>
      <c r="DG82" s="214">
        <f>IF(AND(($E82+$C$1)&gt;DG$4,DG$4&gt;=$C$1),$H82,IF(AND(($D82+$C$1)&gt;DG$4,DG$4&gt;=$C$1),$G82,0))*IF($A82="Residential",'General Inputs'!S$15,'General Inputs'!S$19)</f>
        <v>125.19728551046948</v>
      </c>
      <c r="DH82" s="214">
        <f>IF(AND(($E82+$C$1)&gt;DH$4,DH$4&gt;=$C$1),$H82,IF(AND(($D82+$C$1)&gt;DH$4,DH$4&gt;=$C$1),$G82,0))*IF($A82="Residential",'General Inputs'!T$15,'General Inputs'!T$19)</f>
        <v>127.07524479312652</v>
      </c>
      <c r="DI82" s="214">
        <f>IF(AND(($E82+$C$1)&gt;DI$4,DI$4&gt;=$C$1),$H82,IF(AND(($D82+$C$1)&gt;DI$4,DI$4&gt;=$C$1),$G82,0))*IF($A82="Residential",'General Inputs'!U$15,'General Inputs'!U$19)</f>
        <v>0</v>
      </c>
      <c r="DJ82" s="214">
        <f>IF(AND(($E82+$C$1)&gt;DJ$4,DJ$4&gt;=$C$1),$H82,IF(AND(($D82+$C$1)&gt;DJ$4,DJ$4&gt;=$C$1),$G82,0))*IF($A82="Residential",'General Inputs'!V$15,'General Inputs'!V$19)</f>
        <v>0</v>
      </c>
      <c r="DK82" s="214">
        <f>IF(AND(($E82+$C$1)&gt;DK$4,DK$4&gt;=$C$1),$H82,IF(AND(($D82+$C$1)&gt;DK$4,DK$4&gt;=$C$1),$G82,0))*IF($A82="Residential",'General Inputs'!W$15,'General Inputs'!W$19)</f>
        <v>0</v>
      </c>
      <c r="DM82" s="214">
        <f t="shared" si="100"/>
        <v>0</v>
      </c>
      <c r="DN82" s="214">
        <f t="shared" si="100"/>
        <v>28.5</v>
      </c>
      <c r="DO82" s="214">
        <f t="shared" si="100"/>
        <v>0</v>
      </c>
      <c r="DP82" s="214">
        <f t="shared" si="100"/>
        <v>0</v>
      </c>
      <c r="DQ82" s="214">
        <f t="shared" si="100"/>
        <v>0</v>
      </c>
      <c r="DR82" s="214">
        <f t="shared" si="100"/>
        <v>0</v>
      </c>
      <c r="DS82" s="214">
        <f t="shared" si="100"/>
        <v>0</v>
      </c>
      <c r="DT82" s="214">
        <f t="shared" si="100"/>
        <v>0</v>
      </c>
      <c r="DU82" s="214">
        <f t="shared" si="100"/>
        <v>0</v>
      </c>
      <c r="DV82" s="214">
        <f t="shared" si="100"/>
        <v>0</v>
      </c>
      <c r="DW82" s="214">
        <f t="shared" si="100"/>
        <v>0</v>
      </c>
      <c r="DZ82" s="650"/>
      <c r="FI82" s="195"/>
      <c r="FJ82" s="195"/>
      <c r="FK82" s="195"/>
      <c r="FL82" s="195"/>
      <c r="FM82" s="195"/>
      <c r="FN82" s="195"/>
      <c r="FO82" s="195"/>
    </row>
    <row r="83" spans="1:171">
      <c r="A83" s="342" t="s">
        <v>112</v>
      </c>
      <c r="B83" s="427" t="str">
        <f>'Portfolio Inputs'!A82</f>
        <v>≤25 W LED Fixtures (Exterior/Parking Garage)</v>
      </c>
      <c r="C83" s="217">
        <f>IF($C$1=2014,'Portfolio Inputs'!$C82,IF($C$1=2015,'Portfolio Inputs'!$D82,'Portfolio Inputs'!$E82))</f>
        <v>0</v>
      </c>
      <c r="D83" s="504">
        <f>VLOOKUP(B83,Sources!$B$4:$J$104,2,FALSE)</f>
        <v>15</v>
      </c>
      <c r="E83" s="504">
        <f>VLOOKUP(B83,Sources!$B$4:$J$104,3,FALSE)</f>
        <v>0</v>
      </c>
      <c r="G83" s="504">
        <f>IF($C$1=2014,'Portfolio Inputs'!$G82,IF($C$1=2015,'Portfolio Inputs'!$H82,'Portfolio Inputs'!$I82))*EnergyLineLoss</f>
        <v>0</v>
      </c>
      <c r="H83" s="504"/>
      <c r="I83" s="595">
        <f>IF($C$1=2014,'Portfolio Inputs'!$K82,IF($C$1=2015,'Portfolio Inputs'!$L82,'Portfolio Inputs'!$M82))*PeakLineLoss</f>
        <v>0</v>
      </c>
      <c r="J83" s="510"/>
      <c r="L83" s="606">
        <f>IF($C$1=2014,'Portfolio Inputs'!$O82,IF($C$1=2015,'Portfolio Inputs'!$P82,'Portfolio Inputs'!$Q82))</f>
        <v>125</v>
      </c>
      <c r="M83" s="518">
        <f>VLOOKUP($B83,Sources!$B$4:$K$104,10,FALSE)</f>
        <v>0</v>
      </c>
      <c r="N83" s="419">
        <f>IF($C$1=2014,'Portfolio Inputs'!$W82,IF($C$1=2015,'Portfolio Inputs'!$X82,'Portfolio Inputs'!$Y82))</f>
        <v>0</v>
      </c>
      <c r="O83" s="419">
        <f>IF($C$1=2014,'Portfolio Inputs'!$AA82,IF($C$1=2015,'Portfolio Inputs'!$AB82,'Portfolio Inputs'!$AC82))</f>
        <v>0</v>
      </c>
      <c r="Q83" s="438" t="str">
        <f t="shared" si="67"/>
        <v>n/a</v>
      </c>
      <c r="R83" s="439" t="str">
        <f t="shared" si="68"/>
        <v>n/a</v>
      </c>
      <c r="S83" s="439" t="str">
        <f t="shared" si="69"/>
        <v>n/a</v>
      </c>
      <c r="T83" s="439" t="str">
        <f t="shared" si="70"/>
        <v>n/a</v>
      </c>
      <c r="U83" s="439" t="str">
        <f t="shared" si="98"/>
        <v>n/a</v>
      </c>
      <c r="V83" s="439" t="str">
        <f t="shared" si="72"/>
        <v>n/a</v>
      </c>
      <c r="W83" s="439" t="str">
        <f t="shared" si="73"/>
        <v>n/a</v>
      </c>
      <c r="Y83" s="215">
        <f t="shared" si="101"/>
        <v>0</v>
      </c>
      <c r="Z83" s="215">
        <f t="shared" si="102"/>
        <v>0</v>
      </c>
      <c r="AA83" s="215">
        <f t="shared" si="103"/>
        <v>0</v>
      </c>
      <c r="AB83" s="215">
        <f t="shared" si="104"/>
        <v>0</v>
      </c>
      <c r="AC83" s="216">
        <f t="shared" si="20"/>
        <v>0</v>
      </c>
      <c r="AD83" s="216">
        <f t="shared" si="21"/>
        <v>0</v>
      </c>
      <c r="AE83" s="215">
        <f t="shared" si="105"/>
        <v>0</v>
      </c>
      <c r="AG83" s="214">
        <f>IF(AND(($E83+$C$1)&gt;AG$4,AG$4&gt;=$C$1),'General Inputs'!D$9*$H83,IF(AND(($D83+$C$1)&gt;AG$4,AG$4&gt;=$C$1),'General Inputs'!D$9*$G83,0))+IF(AND(($E83+$C$1)&gt;AG$4,AG$4&gt;=$C$1),'General Inputs'!D$10*$J83,IF(AND(($D83+$C$1)&gt;AG$4,AG$4&gt;=$C$1),'General Inputs'!D$10*$I83,0))</f>
        <v>0</v>
      </c>
      <c r="AH83" s="214">
        <f>IF(AND(($E83+$C$1)&gt;AH$4,AH$4&gt;=$C$1),'General Inputs'!E$9*$H83,IF(AND(($D83+$C$1)&gt;AH$4,AH$4&gt;=$C$1),'General Inputs'!E$9*$G83,0))+IF(AND(($E83+$C$1)&gt;AH$4,AH$4&gt;=$C$1),'General Inputs'!E$10*$J83,IF(AND(($D83+$C$1)&gt;AH$4,AH$4&gt;=$C$1),'General Inputs'!E$10*$I83,0))</f>
        <v>0</v>
      </c>
      <c r="AI83" s="214">
        <f>IF(AND(($E83+$C$1)&gt;AI$4,AI$4&gt;=$C$1),'General Inputs'!F$9*$H83,IF(AND(($D83+$C$1)&gt;AI$4,AI$4&gt;=$C$1),'General Inputs'!F$9*$G83,0))+IF(AND(($E83+$C$1)&gt;AI$4,AI$4&gt;=$C$1),'General Inputs'!F$10*$J83,IF(AND(($D83+$C$1)&gt;AI$4,AI$4&gt;=$C$1),'General Inputs'!F$10*$I83,0))</f>
        <v>0</v>
      </c>
      <c r="AJ83" s="214">
        <f>IF(AND(($E83+$C$1)&gt;AJ$4,AJ$4&gt;=$C$1),'General Inputs'!G$9*$H83,IF(AND(($D83+$C$1)&gt;AJ$4,AJ$4&gt;=$C$1),'General Inputs'!G$9*$G83,0))+IF(AND(($E83+$C$1)&gt;AJ$4,AJ$4&gt;=$C$1),'General Inputs'!G$10*$J83,IF(AND(($D83+$C$1)&gt;AJ$4,AJ$4&gt;=$C$1),'General Inputs'!G$10*$I83,0))</f>
        <v>0</v>
      </c>
      <c r="AK83" s="214">
        <f>IF(AND(($E83+$C$1)&gt;AK$4,AK$4&gt;=$C$1),'General Inputs'!H$9*$H83,IF(AND(($D83+$C$1)&gt;AK$4,AK$4&gt;=$C$1),'General Inputs'!H$9*$G83,0))+IF(AND(($E83+$C$1)&gt;AK$4,AK$4&gt;=$C$1),'General Inputs'!H$10*$J83,IF(AND(($D83+$C$1)&gt;AK$4,AK$4&gt;=$C$1),'General Inputs'!H$10*$I83,0))</f>
        <v>0</v>
      </c>
      <c r="AL83" s="214">
        <f>IF(AND(($E83+$C$1)&gt;AL$4,AL$4&gt;=$C$1),'General Inputs'!I$9*$H83,IF(AND(($D83+$C$1)&gt;AL$4,AL$4&gt;=$C$1),'General Inputs'!I$9*$G83,0))+IF(AND(($E83+$C$1)&gt;AL$4,AL$4&gt;=$C$1),'General Inputs'!I$10*$J83,IF(AND(($D83+$C$1)&gt;AL$4,AL$4&gt;=$C$1),'General Inputs'!I$10*$I83,0))</f>
        <v>0</v>
      </c>
      <c r="AM83" s="214">
        <f>IF(AND(($E83+$C$1)&gt;AM$4,AM$4&gt;=$C$1),'General Inputs'!J$9*$H83,IF(AND(($D83+$C$1)&gt;AM$4,AM$4&gt;=$C$1),'General Inputs'!J$9*$G83,0))+IF(AND(($E83+$C$1)&gt;AM$4,AM$4&gt;=$C$1),'General Inputs'!J$10*$J83,IF(AND(($D83+$C$1)&gt;AM$4,AM$4&gt;=$C$1),'General Inputs'!J$10*$I83,0))</f>
        <v>0</v>
      </c>
      <c r="AN83" s="214">
        <f>IF(AND(($E83+$C$1)&gt;AN$4,AN$4&gt;=$C$1),'General Inputs'!K$9*$H83,IF(AND(($D83+$C$1)&gt;AN$4,AN$4&gt;=$C$1),'General Inputs'!K$9*$G83,0))+IF(AND(($E83+$C$1)&gt;AN$4,AN$4&gt;=$C$1),'General Inputs'!K$10*$J83,IF(AND(($D83+$C$1)&gt;AN$4,AN$4&gt;=$C$1),'General Inputs'!K$10*$I83,0))</f>
        <v>0</v>
      </c>
      <c r="AO83" s="214">
        <f>IF(AND(($E83+$C$1)&gt;AO$4,AO$4&gt;=$C$1),'General Inputs'!L$9*$H83,IF(AND(($D83+$C$1)&gt;AO$4,AO$4&gt;=$C$1),'General Inputs'!L$9*$G83,0))+IF(AND(($E83+$C$1)&gt;AO$4,AO$4&gt;=$C$1),'General Inputs'!L$10*$J83,IF(AND(($D83+$C$1)&gt;AO$4,AO$4&gt;=$C$1),'General Inputs'!L$10*$I83,0))</f>
        <v>0</v>
      </c>
      <c r="AP83" s="214">
        <f>IF(AND(($E83+$C$1)&gt;AP$4,AP$4&gt;=$C$1),'General Inputs'!M$9*$H83,IF(AND(($D83+$C$1)&gt;AP$4,AP$4&gt;=$C$1),'General Inputs'!M$9*$G83,0))+IF(AND(($E83+$C$1)&gt;AP$4,AP$4&gt;=$C$1),'General Inputs'!M$10*$J83,IF(AND(($D83+$C$1)&gt;AP$4,AP$4&gt;=$C$1),'General Inputs'!M$10*$I83,0))</f>
        <v>0</v>
      </c>
      <c r="AQ83" s="214">
        <f>IF(AND(($E83+$C$1)&gt;AQ$4,AQ$4&gt;=$C$1),'General Inputs'!N$9*$H83,IF(AND(($D83+$C$1)&gt;AQ$4,AQ$4&gt;=$C$1),'General Inputs'!N$9*$G83,0))+IF(AND(($E83+$C$1)&gt;AQ$4,AQ$4&gt;=$C$1),'General Inputs'!N$10*$J83,IF(AND(($D83+$C$1)&gt;AQ$4,AQ$4&gt;=$C$1),'General Inputs'!N$10*$I83,0))</f>
        <v>0</v>
      </c>
      <c r="AR83" s="214">
        <f>IF(AND(($E83+$C$1)&gt;AR$4,AR$4&gt;=$C$1),'General Inputs'!O$9*$H83,IF(AND(($D83+$C$1)&gt;AR$4,AR$4&gt;=$C$1),'General Inputs'!O$9*$G83,0))+IF(AND(($E83+$C$1)&gt;AR$4,AR$4&gt;=$C$1),'General Inputs'!O$10*$J83,IF(AND(($D83+$C$1)&gt;AR$4,AR$4&gt;=$C$1),'General Inputs'!O$10*$I83,0))</f>
        <v>0</v>
      </c>
      <c r="AS83" s="214">
        <f>IF(AND(($E83+$C$1)&gt;AS$4,AS$4&gt;=$C$1),'General Inputs'!P$9*$H83,IF(AND(($D83+$C$1)&gt;AS$4,AS$4&gt;=$C$1),'General Inputs'!P$9*$G83,0))+IF(AND(($E83+$C$1)&gt;AS$4,AS$4&gt;=$C$1),'General Inputs'!P$10*$J83,IF(AND(($D83+$C$1)&gt;AS$4,AS$4&gt;=$C$1),'General Inputs'!P$10*$I83,0))</f>
        <v>0</v>
      </c>
      <c r="AT83" s="214">
        <f>IF(AND(($E83+$C$1)&gt;AT$4,AT$4&gt;=$C$1),'General Inputs'!Q$9*$H83,IF(AND(($D83+$C$1)&gt;AT$4,AT$4&gt;=$C$1),'General Inputs'!Q$9*$G83,0))+IF(AND(($E83+$C$1)&gt;AT$4,AT$4&gt;=$C$1),'General Inputs'!Q$10*$J83,IF(AND(($D83+$C$1)&gt;AT$4,AT$4&gt;=$C$1),'General Inputs'!Q$10*$I83,0))</f>
        <v>0</v>
      </c>
      <c r="AU83" s="214">
        <f>IF(AND(($E83+$C$1)&gt;AU$4,AU$4&gt;=$C$1),'General Inputs'!R$9*$H83,IF(AND(($D83+$C$1)&gt;AU$4,AU$4&gt;=$C$1),'General Inputs'!R$9*$G83,0))+IF(AND(($E83+$C$1)&gt;AU$4,AU$4&gt;=$C$1),'General Inputs'!R$10*$J83,IF(AND(($D83+$C$1)&gt;AU$4,AU$4&gt;=$C$1),'General Inputs'!R$10*$I83,0))</f>
        <v>0</v>
      </c>
      <c r="AV83" s="214">
        <f>IF(AND(($E83+$C$1)&gt;AV$4,AV$4&gt;=$C$1),'General Inputs'!S$9*$H83,IF(AND(($D83+$C$1)&gt;AV$4,AV$4&gt;=$C$1),'General Inputs'!S$9*$G83,0))+IF(AND(($E83+$C$1)&gt;AV$4,AV$4&gt;=$C$1),'General Inputs'!S$10*$J83,IF(AND(($D83+$C$1)&gt;AV$4,AV$4&gt;=$C$1),'General Inputs'!S$10*$I83,0))</f>
        <v>0</v>
      </c>
      <c r="AW83" s="214">
        <f>IF(AND(($E83+$C$1)&gt;AW$4,AW$4&gt;=$C$1),'General Inputs'!T$9*$H83,IF(AND(($D83+$C$1)&gt;AW$4,AW$4&gt;=$C$1),'General Inputs'!T$9*$G83,0))+IF(AND(($E83+$C$1)&gt;AW$4,AW$4&gt;=$C$1),'General Inputs'!T$10*$J83,IF(AND(($D83+$C$1)&gt;AW$4,AW$4&gt;=$C$1),'General Inputs'!T$10*$I83,0))</f>
        <v>0</v>
      </c>
      <c r="AX83" s="214">
        <f>IF(AND(($E83+$C$1)&gt;AX$4,AX$4&gt;=$C$1),'General Inputs'!U$9*$H83,IF(AND(($D83+$C$1)&gt;AX$4,AX$4&gt;=$C$1),'General Inputs'!U$9*$G83,0))+IF(AND(($E83+$C$1)&gt;AX$4,AX$4&gt;=$C$1),'General Inputs'!U$10*$J83,IF(AND(($D83+$C$1)&gt;AX$4,AX$4&gt;=$C$1),'General Inputs'!U$10*$I83,0))</f>
        <v>0</v>
      </c>
      <c r="AY83" s="214">
        <f>IF(AND(($E83+$C$1)&gt;AY$4,AY$4&gt;=$C$1),'General Inputs'!V$9*$H83,IF(AND(($D83+$C$1)&gt;AY$4,AY$4&gt;=$C$1),'General Inputs'!V$9*$G83,0))+IF(AND(($E83+$C$1)&gt;AY$4,AY$4&gt;=$C$1),'General Inputs'!V$10*$J83,IF(AND(($D83+$C$1)&gt;AY$4,AY$4&gt;=$C$1),'General Inputs'!V$10*$I83,0))</f>
        <v>0</v>
      </c>
      <c r="AZ83" s="214">
        <f>IF(AND(($E83+$C$1)&gt;AZ$4,AZ$4&gt;=$C$1),'General Inputs'!W$9*$H83,IF(AND(($D83+$C$1)&gt;AZ$4,AZ$4&gt;=$C$1),'General Inputs'!W$9*$G83,0))+IF(AND(($E83+$C$1)&gt;AZ$4,AZ$4&gt;=$C$1),'General Inputs'!W$10*$J83,IF(AND(($D83+$C$1)&gt;AZ$4,AZ$4&gt;=$C$1),'General Inputs'!W$10*$I83,0))</f>
        <v>0</v>
      </c>
      <c r="BB83" s="214">
        <f>IF(AND(($E83+$C$1)&gt;BB$4,BB$4&gt;=$C$1),'General Inputs'!D$11*$H83,IF(AND(($D83+$C$1)&gt;BB$4,BB$4&gt;=$C$1),'General Inputs'!D$11*$G83,0))</f>
        <v>0</v>
      </c>
      <c r="BC83" s="214">
        <f>IF(AND(($E83+$C$1)&gt;BC$4,BC$4&gt;=$C$1),'General Inputs'!E$11*$H83,IF(AND(($D83+$C$1)&gt;BC$4,BC$4&gt;=$C$1),'General Inputs'!E$11*$G83,0))</f>
        <v>0</v>
      </c>
      <c r="BD83" s="214">
        <f>IF(AND(($E83+$C$1)&gt;BD$4,BD$4&gt;=$C$1),'General Inputs'!F$11*$H83,IF(AND(($D83+$C$1)&gt;BD$4,BD$4&gt;=$C$1),'General Inputs'!F$11*$G83,0))</f>
        <v>0</v>
      </c>
      <c r="BE83" s="214">
        <f>IF(AND(($E83+$C$1)&gt;BE$4,BE$4&gt;=$C$1),'General Inputs'!G$11*$H83,IF(AND(($D83+$C$1)&gt;BE$4,BE$4&gt;=$C$1),'General Inputs'!G$11*$G83,0))</f>
        <v>0</v>
      </c>
      <c r="BF83" s="214">
        <f>IF(AND(($E83+$C$1)&gt;BF$4,BF$4&gt;=$C$1),'General Inputs'!H$11*$H83,IF(AND(($D83+$C$1)&gt;BF$4,BF$4&gt;=$C$1),'General Inputs'!H$11*$G83,0))</f>
        <v>0</v>
      </c>
      <c r="BG83" s="214">
        <f>IF(AND(($E83+$C$1)&gt;BG$4,BG$4&gt;=$C$1),'General Inputs'!I$11*$H83,IF(AND(($D83+$C$1)&gt;BG$4,BG$4&gt;=$C$1),'General Inputs'!I$11*$G83,0))</f>
        <v>0</v>
      </c>
      <c r="BH83" s="214">
        <f>IF(AND(($E83+$C$1)&gt;BH$4,BH$4&gt;=$C$1),'General Inputs'!J$11*$H83,IF(AND(($D83+$C$1)&gt;BH$4,BH$4&gt;=$C$1),'General Inputs'!J$11*$G83,0))</f>
        <v>0</v>
      </c>
      <c r="BI83" s="214">
        <f>IF(AND(($E83+$C$1)&gt;BI$4,BI$4&gt;=$C$1),'General Inputs'!K$11*$H83,IF(AND(($D83+$C$1)&gt;BI$4,BI$4&gt;=$C$1),'General Inputs'!K$11*$G83,0))</f>
        <v>0</v>
      </c>
      <c r="BJ83" s="214">
        <f>IF(AND(($E83+$C$1)&gt;BJ$4,BJ$4&gt;=$C$1),'General Inputs'!L$11*$H83,IF(AND(($D83+$C$1)&gt;BJ$4,BJ$4&gt;=$C$1),'General Inputs'!L$11*$G83,0))</f>
        <v>0</v>
      </c>
      <c r="BK83" s="214">
        <f>IF(AND(($E83+$C$1)&gt;BK$4,BK$4&gt;=$C$1),'General Inputs'!M$11*$H83,IF(AND(($D83+$C$1)&gt;BK$4,BK$4&gt;=$C$1),'General Inputs'!M$11*$G83,0))</f>
        <v>0</v>
      </c>
      <c r="BL83" s="214">
        <f>IF(AND(($E83+$C$1)&gt;BL$4,BL$4&gt;=$C$1),'General Inputs'!N$11*$H83,IF(AND(($D83+$C$1)&gt;BL$4,BL$4&gt;=$C$1),'General Inputs'!N$11*$G83,0))</f>
        <v>0</v>
      </c>
      <c r="BM83" s="214">
        <f>IF(AND(($E83+$C$1)&gt;BM$4,BM$4&gt;=$C$1),'General Inputs'!O$11*$H83,IF(AND(($D83+$C$1)&gt;BM$4,BM$4&gt;=$C$1),'General Inputs'!O$11*$G83,0))</f>
        <v>0</v>
      </c>
      <c r="BN83" s="214">
        <f>IF(AND(($E83+$C$1)&gt;BN$4,BN$4&gt;=$C$1),'General Inputs'!P$11*$H83,IF(AND(($D83+$C$1)&gt;BN$4,BN$4&gt;=$C$1),'General Inputs'!P$11*$G83,0))</f>
        <v>0</v>
      </c>
      <c r="BO83" s="214">
        <f>IF(AND(($E83+$C$1)&gt;BO$4,BO$4&gt;=$C$1),'General Inputs'!Q$11*$H83,IF(AND(($D83+$C$1)&gt;BO$4,BO$4&gt;=$C$1),'General Inputs'!Q$11*$G83,0))</f>
        <v>0</v>
      </c>
      <c r="BP83" s="214">
        <f>IF(AND(($E83+$C$1)&gt;BP$4,BP$4&gt;=$C$1),'General Inputs'!R$11*$H83,IF(AND(($D83+$C$1)&gt;BP$4,BP$4&gt;=$C$1),'General Inputs'!R$11*$G83,0))</f>
        <v>0</v>
      </c>
      <c r="BQ83" s="214">
        <f>IF(AND(($E83+$C$1)&gt;BQ$4,BQ$4&gt;=$C$1),'General Inputs'!S$11*$H83,IF(AND(($D83+$C$1)&gt;BQ$4,BQ$4&gt;=$C$1),'General Inputs'!S$11*$G83,0))</f>
        <v>0</v>
      </c>
      <c r="BR83" s="214">
        <f>IF(AND(($E83+$C$1)&gt;BR$4,BR$4&gt;=$C$1),'General Inputs'!T$11*$H83,IF(AND(($D83+$C$1)&gt;BR$4,BR$4&gt;=$C$1),'General Inputs'!T$11*$G83,0))</f>
        <v>0</v>
      </c>
      <c r="BS83" s="214">
        <f>IF(AND(($E83+$C$1)&gt;BS$4,BS$4&gt;=$C$1),'General Inputs'!U$11*$H83,IF(AND(($D83+$C$1)&gt;BS$4,BS$4&gt;=$C$1),'General Inputs'!U$11*$G83,0))</f>
        <v>0</v>
      </c>
      <c r="BT83" s="214">
        <f>IF(AND(($E83+$C$1)&gt;BT$4,BT$4&gt;=$C$1),'General Inputs'!V$11*$H83,IF(AND(($D83+$C$1)&gt;BT$4,BT$4&gt;=$C$1),'General Inputs'!V$11*$G83,0))</f>
        <v>0</v>
      </c>
      <c r="BU83" s="214">
        <f>IF(AND(($E83+$C$1)&gt;BU$4,BU$4&gt;=$C$1),'General Inputs'!W$11*$H83,IF(AND(($D83+$C$1)&gt;BU$4,BU$4&gt;=$C$1),'General Inputs'!W$11*$G83,0))</f>
        <v>0</v>
      </c>
      <c r="BW83" s="214">
        <f>IF(AND(($E83+$C$1)&gt;BW$4,BW$4&gt;=$C$1),$H83,IF(AND(($D83+$C$1)&gt;BW$4,BW$4&gt;=$C$1),$G83,0))*IF($A83="Residential",'General Inputs'!D$14,'General Inputs'!D$19)</f>
        <v>0</v>
      </c>
      <c r="BX83" s="214">
        <f>IF(AND(($E83+$C$1)&gt;BX$4,BX$4&gt;=$C$1),$H83,IF(AND(($D83+$C$1)&gt;BX$4,BX$4&gt;=$C$1),$G83,0))*IF($A83="Residential",'General Inputs'!E$14,'General Inputs'!E$19)</f>
        <v>0</v>
      </c>
      <c r="BY83" s="214">
        <f>IF(AND(($E83+$C$1)&gt;BY$4,BY$4&gt;=$C$1),$H83,IF(AND(($D83+$C$1)&gt;BY$4,BY$4&gt;=$C$1),$G83,0))*IF($A83="Residential",'General Inputs'!F$14,'General Inputs'!F$19)</f>
        <v>0</v>
      </c>
      <c r="BZ83" s="214">
        <f>IF(AND(($E83+$C$1)&gt;BZ$4,BZ$4&gt;=$C$1),$H83,IF(AND(($D83+$C$1)&gt;BZ$4,BZ$4&gt;=$C$1),$G83,0))*IF($A83="Residential",'General Inputs'!G$14,'General Inputs'!G$19)</f>
        <v>0</v>
      </c>
      <c r="CA83" s="214">
        <f>IF(AND(($E83+$C$1)&gt;CA$4,CA$4&gt;=$C$1),$H83,IF(AND(($D83+$C$1)&gt;CA$4,CA$4&gt;=$C$1),$G83,0))*IF($A83="Residential",'General Inputs'!H$14,'General Inputs'!H$19)</f>
        <v>0</v>
      </c>
      <c r="CB83" s="214">
        <f>IF(AND(($E83+$C$1)&gt;CB$4,CB$4&gt;=$C$1),$H83,IF(AND(($D83+$C$1)&gt;CB$4,CB$4&gt;=$C$1),$G83,0))*IF($A83="Residential",'General Inputs'!I$14,'General Inputs'!I$19)</f>
        <v>0</v>
      </c>
      <c r="CC83" s="214">
        <f>IF(AND(($E83+$C$1)&gt;CC$4,CC$4&gt;=$C$1),$H83,IF(AND(($D83+$C$1)&gt;CC$4,CC$4&gt;=$C$1),$G83,0))*IF($A83="Residential",'General Inputs'!J$14,'General Inputs'!J$19)</f>
        <v>0</v>
      </c>
      <c r="CD83" s="214">
        <f>IF(AND(($E83+$C$1)&gt;CD$4,CD$4&gt;=$C$1),$H83,IF(AND(($D83+$C$1)&gt;CD$4,CD$4&gt;=$C$1),$G83,0))*IF($A83="Residential",'General Inputs'!K$14,'General Inputs'!K$19)</f>
        <v>0</v>
      </c>
      <c r="CE83" s="214">
        <f>IF(AND(($E83+$C$1)&gt;CE$4,CE$4&gt;=$C$1),$H83,IF(AND(($D83+$C$1)&gt;CE$4,CE$4&gt;=$C$1),$G83,0))*IF($A83="Residential",'General Inputs'!L$14,'General Inputs'!L$19)</f>
        <v>0</v>
      </c>
      <c r="CF83" s="214">
        <f>IF(AND(($E83+$C$1)&gt;CF$4,CF$4&gt;=$C$1),$H83,IF(AND(($D83+$C$1)&gt;CF$4,CF$4&gt;=$C$1),$G83,0))*IF($A83="Residential",'General Inputs'!M$14,'General Inputs'!M$19)</f>
        <v>0</v>
      </c>
      <c r="CG83" s="214">
        <f>IF(AND(($E83+$C$1)&gt;CG$4,CG$4&gt;=$C$1),$H83,IF(AND(($D83+$C$1)&gt;CG$4,CG$4&gt;=$C$1),$G83,0))*IF($A83="Residential",'General Inputs'!N$14,'General Inputs'!N$19)</f>
        <v>0</v>
      </c>
      <c r="CH83" s="214">
        <f>IF(AND(($E83+$C$1)&gt;CH$4,CH$4&gt;=$C$1),$H83,IF(AND(($D83+$C$1)&gt;CH$4,CH$4&gt;=$C$1),$G83,0))*IF($A83="Residential",'General Inputs'!O$14,'General Inputs'!O$19)</f>
        <v>0</v>
      </c>
      <c r="CI83" s="214">
        <f>IF(AND(($E83+$C$1)&gt;CI$4,CI$4&gt;=$C$1),$H83,IF(AND(($D83+$C$1)&gt;CI$4,CI$4&gt;=$C$1),$G83,0))*IF($A83="Residential",'General Inputs'!P$14,'General Inputs'!P$19)</f>
        <v>0</v>
      </c>
      <c r="CJ83" s="214">
        <f>IF(AND(($E83+$C$1)&gt;CJ$4,CJ$4&gt;=$C$1),$H83,IF(AND(($D83+$C$1)&gt;CJ$4,CJ$4&gt;=$C$1),$G83,0))*IF($A83="Residential",'General Inputs'!Q$14,'General Inputs'!Q$19)</f>
        <v>0</v>
      </c>
      <c r="CK83" s="214">
        <f>IF(AND(($E83+$C$1)&gt;CK$4,CK$4&gt;=$C$1),$H83,IF(AND(($D83+$C$1)&gt;CK$4,CK$4&gt;=$C$1),$G83,0))*IF($A83="Residential",'General Inputs'!R$14,'General Inputs'!R$19)</f>
        <v>0</v>
      </c>
      <c r="CL83" s="214">
        <f>IF(AND(($E83+$C$1)&gt;CL$4,CL$4&gt;=$C$1),$H83,IF(AND(($D83+$C$1)&gt;CL$4,CL$4&gt;=$C$1),$G83,0))*IF($A83="Residential",'General Inputs'!S$14,'General Inputs'!S$19)</f>
        <v>0</v>
      </c>
      <c r="CM83" s="214">
        <f>IF(AND(($E83+$C$1)&gt;CM$4,CM$4&gt;=$C$1),$H83,IF(AND(($D83+$C$1)&gt;CM$4,CM$4&gt;=$C$1),$G83,0))*IF($A83="Residential",'General Inputs'!T$14,'General Inputs'!T$19)</f>
        <v>0</v>
      </c>
      <c r="CN83" s="214">
        <f>IF(AND(($E83+$C$1)&gt;CN$4,CN$4&gt;=$C$1),$H83,IF(AND(($D83+$C$1)&gt;CN$4,CN$4&gt;=$C$1),$G83,0))*IF($A83="Residential",'General Inputs'!U$14,'General Inputs'!U$19)</f>
        <v>0</v>
      </c>
      <c r="CO83" s="214">
        <f>IF(AND(($E83+$C$1)&gt;CO$4,CO$4&gt;=$C$1),$H83,IF(AND(($D83+$C$1)&gt;CO$4,CO$4&gt;=$C$1),$G83,0))*IF($A83="Residential",'General Inputs'!V$14,'General Inputs'!V$19)</f>
        <v>0</v>
      </c>
      <c r="CP83" s="214">
        <f>IF(AND(($E83+$C$1)&gt;CP$4,CP$4&gt;=$C$1),$H83,IF(AND(($D83+$C$1)&gt;CP$4,CP$4&gt;=$C$1),$G83,0))*IF($A83="Residential",'General Inputs'!W$14,'General Inputs'!W$19)</f>
        <v>0</v>
      </c>
      <c r="CR83" s="214">
        <f>IF(AND(($E83+$C$1)&gt;CR$4,CR$4&gt;=$C$1),$H83,IF(AND(($D83+$C$1)&gt;CR$4,CR$4&gt;=$C$1),$G83,0))*IF($A83="Residential",'General Inputs'!D$15,'General Inputs'!D$19)</f>
        <v>0</v>
      </c>
      <c r="CS83" s="214">
        <f>IF(AND(($E83+$C$1)&gt;CS$4,CS$4&gt;=$C$1),$H83,IF(AND(($D83+$C$1)&gt;CS$4,CS$4&gt;=$C$1),$G83,0))*IF($A83="Residential",'General Inputs'!E$15,'General Inputs'!E$19)</f>
        <v>0</v>
      </c>
      <c r="CT83" s="214">
        <f>IF(AND(($E83+$C$1)&gt;CT$4,CT$4&gt;=$C$1),$H83,IF(AND(($D83+$C$1)&gt;CT$4,CT$4&gt;=$C$1),$G83,0))*IF($A83="Residential",'General Inputs'!F$15,'General Inputs'!F$19)</f>
        <v>0</v>
      </c>
      <c r="CU83" s="214">
        <f>IF(AND(($E83+$C$1)&gt;CU$4,CU$4&gt;=$C$1),$H83,IF(AND(($D83+$C$1)&gt;CU$4,CU$4&gt;=$C$1),$G83,0))*IF($A83="Residential",'General Inputs'!G$15,'General Inputs'!G$19)</f>
        <v>0</v>
      </c>
      <c r="CV83" s="214">
        <f>IF(AND(($E83+$C$1)&gt;CV$4,CV$4&gt;=$C$1),$H83,IF(AND(($D83+$C$1)&gt;CV$4,CV$4&gt;=$C$1),$G83,0))*IF($A83="Residential",'General Inputs'!H$15,'General Inputs'!H$19)</f>
        <v>0</v>
      </c>
      <c r="CW83" s="214">
        <f>IF(AND(($E83+$C$1)&gt;CW$4,CW$4&gt;=$C$1),$H83,IF(AND(($D83+$C$1)&gt;CW$4,CW$4&gt;=$C$1),$G83,0))*IF($A83="Residential",'General Inputs'!I$15,'General Inputs'!I$19)</f>
        <v>0</v>
      </c>
      <c r="CX83" s="214">
        <f>IF(AND(($E83+$C$1)&gt;CX$4,CX$4&gt;=$C$1),$H83,IF(AND(($D83+$C$1)&gt;CX$4,CX$4&gt;=$C$1),$G83,0))*IF($A83="Residential",'General Inputs'!J$15,'General Inputs'!J$19)</f>
        <v>0</v>
      </c>
      <c r="CY83" s="214">
        <f>IF(AND(($E83+$C$1)&gt;CY$4,CY$4&gt;=$C$1),$H83,IF(AND(($D83+$C$1)&gt;CY$4,CY$4&gt;=$C$1),$G83,0))*IF($A83="Residential",'General Inputs'!K$15,'General Inputs'!K$19)</f>
        <v>0</v>
      </c>
      <c r="CZ83" s="214">
        <f>IF(AND(($E83+$C$1)&gt;CZ$4,CZ$4&gt;=$C$1),$H83,IF(AND(($D83+$C$1)&gt;CZ$4,CZ$4&gt;=$C$1),$G83,0))*IF($A83="Residential",'General Inputs'!L$15,'General Inputs'!L$19)</f>
        <v>0</v>
      </c>
      <c r="DA83" s="214">
        <f>IF(AND(($E83+$C$1)&gt;DA$4,DA$4&gt;=$C$1),$H83,IF(AND(($D83+$C$1)&gt;DA$4,DA$4&gt;=$C$1),$G83,0))*IF($A83="Residential",'General Inputs'!M$15,'General Inputs'!M$19)</f>
        <v>0</v>
      </c>
      <c r="DB83" s="214">
        <f>IF(AND(($E83+$C$1)&gt;DB$4,DB$4&gt;=$C$1),$H83,IF(AND(($D83+$C$1)&gt;DB$4,DB$4&gt;=$C$1),$G83,0))*IF($A83="Residential",'General Inputs'!N$15,'General Inputs'!N$19)</f>
        <v>0</v>
      </c>
      <c r="DC83" s="214">
        <f>IF(AND(($E83+$C$1)&gt;DC$4,DC$4&gt;=$C$1),$H83,IF(AND(($D83+$C$1)&gt;DC$4,DC$4&gt;=$C$1),$G83,0))*IF($A83="Residential",'General Inputs'!O$15,'General Inputs'!O$19)</f>
        <v>0</v>
      </c>
      <c r="DD83" s="214">
        <f>IF(AND(($E83+$C$1)&gt;DD$4,DD$4&gt;=$C$1),$H83,IF(AND(($D83+$C$1)&gt;DD$4,DD$4&gt;=$C$1),$G83,0))*IF($A83="Residential",'General Inputs'!P$15,'General Inputs'!P$19)</f>
        <v>0</v>
      </c>
      <c r="DE83" s="214">
        <f>IF(AND(($E83+$C$1)&gt;DE$4,DE$4&gt;=$C$1),$H83,IF(AND(($D83+$C$1)&gt;DE$4,DE$4&gt;=$C$1),$G83,0))*IF($A83="Residential",'General Inputs'!Q$15,'General Inputs'!Q$19)</f>
        <v>0</v>
      </c>
      <c r="DF83" s="214">
        <f>IF(AND(($E83+$C$1)&gt;DF$4,DF$4&gt;=$C$1),$H83,IF(AND(($D83+$C$1)&gt;DF$4,DF$4&gt;=$C$1),$G83,0))*IF($A83="Residential",'General Inputs'!R$15,'General Inputs'!R$19)</f>
        <v>0</v>
      </c>
      <c r="DG83" s="214">
        <f>IF(AND(($E83+$C$1)&gt;DG$4,DG$4&gt;=$C$1),$H83,IF(AND(($D83+$C$1)&gt;DG$4,DG$4&gt;=$C$1),$G83,0))*IF($A83="Residential",'General Inputs'!S$15,'General Inputs'!S$19)</f>
        <v>0</v>
      </c>
      <c r="DH83" s="214">
        <f>IF(AND(($E83+$C$1)&gt;DH$4,DH$4&gt;=$C$1),$H83,IF(AND(($D83+$C$1)&gt;DH$4,DH$4&gt;=$C$1),$G83,0))*IF($A83="Residential",'General Inputs'!T$15,'General Inputs'!T$19)</f>
        <v>0</v>
      </c>
      <c r="DI83" s="214">
        <f>IF(AND(($E83+$C$1)&gt;DI$4,DI$4&gt;=$C$1),$H83,IF(AND(($D83+$C$1)&gt;DI$4,DI$4&gt;=$C$1),$G83,0))*IF($A83="Residential",'General Inputs'!U$15,'General Inputs'!U$19)</f>
        <v>0</v>
      </c>
      <c r="DJ83" s="214">
        <f>IF(AND(($E83+$C$1)&gt;DJ$4,DJ$4&gt;=$C$1),$H83,IF(AND(($D83+$C$1)&gt;DJ$4,DJ$4&gt;=$C$1),$G83,0))*IF($A83="Residential",'General Inputs'!V$15,'General Inputs'!V$19)</f>
        <v>0</v>
      </c>
      <c r="DK83" s="214">
        <f>IF(AND(($E83+$C$1)&gt;DK$4,DK$4&gt;=$C$1),$H83,IF(AND(($D83+$C$1)&gt;DK$4,DK$4&gt;=$C$1),$G83,0))*IF($A83="Residential",'General Inputs'!W$15,'General Inputs'!W$19)</f>
        <v>0</v>
      </c>
      <c r="DM83" s="214">
        <f t="shared" si="100"/>
        <v>0</v>
      </c>
      <c r="DN83" s="214">
        <f t="shared" si="100"/>
        <v>0</v>
      </c>
      <c r="DO83" s="214">
        <f t="shared" si="100"/>
        <v>0</v>
      </c>
      <c r="DP83" s="214">
        <f t="shared" si="100"/>
        <v>0</v>
      </c>
      <c r="DQ83" s="214">
        <f t="shared" si="100"/>
        <v>0</v>
      </c>
      <c r="DR83" s="214">
        <f t="shared" si="100"/>
        <v>0</v>
      </c>
      <c r="DS83" s="214">
        <f t="shared" si="100"/>
        <v>0</v>
      </c>
      <c r="DT83" s="214">
        <f t="shared" si="100"/>
        <v>0</v>
      </c>
      <c r="DU83" s="214">
        <f t="shared" si="100"/>
        <v>0</v>
      </c>
      <c r="DV83" s="214">
        <f t="shared" si="100"/>
        <v>0</v>
      </c>
      <c r="DW83" s="214">
        <f t="shared" si="100"/>
        <v>0</v>
      </c>
      <c r="DZ83" s="650"/>
      <c r="FI83" s="195"/>
      <c r="FJ83" s="195"/>
      <c r="FK83" s="195"/>
      <c r="FL83" s="195"/>
      <c r="FM83" s="195"/>
      <c r="FN83" s="195"/>
      <c r="FO83" s="195"/>
    </row>
    <row r="84" spans="1:171">
      <c r="A84" s="342" t="s">
        <v>112</v>
      </c>
      <c r="B84" s="427" t="str">
        <f>'Portfolio Inputs'!A83</f>
        <v>25≤60 W LED Fixtures (Exterior/Parking Garage)</v>
      </c>
      <c r="C84" s="217">
        <f>IF($C$1=2014,'Portfolio Inputs'!$C83,IF($C$1=2015,'Portfolio Inputs'!$D83,'Portfolio Inputs'!$E83))</f>
        <v>0</v>
      </c>
      <c r="D84" s="504">
        <f>VLOOKUP(B84,Sources!$B$4:$J$104,2,FALSE)</f>
        <v>15</v>
      </c>
      <c r="E84" s="504">
        <f>VLOOKUP(B84,Sources!$B$4:$J$104,3,FALSE)</f>
        <v>0</v>
      </c>
      <c r="G84" s="504">
        <f>IF($C$1=2014,'Portfolio Inputs'!$G83,IF($C$1=2015,'Portfolio Inputs'!$H83,'Portfolio Inputs'!$I83))*EnergyLineLoss</f>
        <v>0</v>
      </c>
      <c r="H84" s="504"/>
      <c r="I84" s="595">
        <f>IF($C$1=2014,'Portfolio Inputs'!$K83,IF($C$1=2015,'Portfolio Inputs'!$L83,'Portfolio Inputs'!$M83))*PeakLineLoss</f>
        <v>0</v>
      </c>
      <c r="J84" s="510"/>
      <c r="L84" s="606">
        <f>IF($C$1=2014,'Portfolio Inputs'!$O83,IF($C$1=2015,'Portfolio Inputs'!$P83,'Portfolio Inputs'!$Q83))</f>
        <v>250</v>
      </c>
      <c r="M84" s="518">
        <f>VLOOKUP($B84,Sources!$B$4:$K$104,10,FALSE)</f>
        <v>0</v>
      </c>
      <c r="N84" s="419">
        <f>IF($C$1=2014,'Portfolio Inputs'!$W83,IF($C$1=2015,'Portfolio Inputs'!$X83,'Portfolio Inputs'!$Y83))</f>
        <v>0</v>
      </c>
      <c r="O84" s="419">
        <f>IF($C$1=2014,'Portfolio Inputs'!$AA83,IF($C$1=2015,'Portfolio Inputs'!$AB83,'Portfolio Inputs'!$AC83))</f>
        <v>0</v>
      </c>
      <c r="Q84" s="438" t="str">
        <f t="shared" si="67"/>
        <v>n/a</v>
      </c>
      <c r="R84" s="439" t="str">
        <f t="shared" si="68"/>
        <v>n/a</v>
      </c>
      <c r="S84" s="439" t="str">
        <f t="shared" si="69"/>
        <v>n/a</v>
      </c>
      <c r="T84" s="439" t="str">
        <f t="shared" si="70"/>
        <v>n/a</v>
      </c>
      <c r="U84" s="439" t="str">
        <f t="shared" si="98"/>
        <v>n/a</v>
      </c>
      <c r="V84" s="439" t="str">
        <f t="shared" si="72"/>
        <v>n/a</v>
      </c>
      <c r="W84" s="439" t="str">
        <f t="shared" si="73"/>
        <v>n/a</v>
      </c>
      <c r="Y84" s="215">
        <f t="shared" si="101"/>
        <v>0</v>
      </c>
      <c r="Z84" s="215">
        <f t="shared" si="102"/>
        <v>0</v>
      </c>
      <c r="AA84" s="215">
        <f t="shared" si="103"/>
        <v>0</v>
      </c>
      <c r="AB84" s="215">
        <f t="shared" si="104"/>
        <v>0</v>
      </c>
      <c r="AC84" s="216">
        <f t="shared" si="20"/>
        <v>0</v>
      </c>
      <c r="AD84" s="216">
        <f t="shared" si="21"/>
        <v>0</v>
      </c>
      <c r="AE84" s="215">
        <f t="shared" si="105"/>
        <v>0</v>
      </c>
      <c r="AG84" s="214">
        <f>IF(AND(($E84+$C$1)&gt;AG$4,AG$4&gt;=$C$1),'General Inputs'!D$9*$H84,IF(AND(($D84+$C$1)&gt;AG$4,AG$4&gt;=$C$1),'General Inputs'!D$9*$G84,0))+IF(AND(($E84+$C$1)&gt;AG$4,AG$4&gt;=$C$1),'General Inputs'!D$10*$J84,IF(AND(($D84+$C$1)&gt;AG$4,AG$4&gt;=$C$1),'General Inputs'!D$10*$I84,0))</f>
        <v>0</v>
      </c>
      <c r="AH84" s="214">
        <f>IF(AND(($E84+$C$1)&gt;AH$4,AH$4&gt;=$C$1),'General Inputs'!E$9*$H84,IF(AND(($D84+$C$1)&gt;AH$4,AH$4&gt;=$C$1),'General Inputs'!E$9*$G84,0))+IF(AND(($E84+$C$1)&gt;AH$4,AH$4&gt;=$C$1),'General Inputs'!E$10*$J84,IF(AND(($D84+$C$1)&gt;AH$4,AH$4&gt;=$C$1),'General Inputs'!E$10*$I84,0))</f>
        <v>0</v>
      </c>
      <c r="AI84" s="214">
        <f>IF(AND(($E84+$C$1)&gt;AI$4,AI$4&gt;=$C$1),'General Inputs'!F$9*$H84,IF(AND(($D84+$C$1)&gt;AI$4,AI$4&gt;=$C$1),'General Inputs'!F$9*$G84,0))+IF(AND(($E84+$C$1)&gt;AI$4,AI$4&gt;=$C$1),'General Inputs'!F$10*$J84,IF(AND(($D84+$C$1)&gt;AI$4,AI$4&gt;=$C$1),'General Inputs'!F$10*$I84,0))</f>
        <v>0</v>
      </c>
      <c r="AJ84" s="214">
        <f>IF(AND(($E84+$C$1)&gt;AJ$4,AJ$4&gt;=$C$1),'General Inputs'!G$9*$H84,IF(AND(($D84+$C$1)&gt;AJ$4,AJ$4&gt;=$C$1),'General Inputs'!G$9*$G84,0))+IF(AND(($E84+$C$1)&gt;AJ$4,AJ$4&gt;=$C$1),'General Inputs'!G$10*$J84,IF(AND(($D84+$C$1)&gt;AJ$4,AJ$4&gt;=$C$1),'General Inputs'!G$10*$I84,0))</f>
        <v>0</v>
      </c>
      <c r="AK84" s="214">
        <f>IF(AND(($E84+$C$1)&gt;AK$4,AK$4&gt;=$C$1),'General Inputs'!H$9*$H84,IF(AND(($D84+$C$1)&gt;AK$4,AK$4&gt;=$C$1),'General Inputs'!H$9*$G84,0))+IF(AND(($E84+$C$1)&gt;AK$4,AK$4&gt;=$C$1),'General Inputs'!H$10*$J84,IF(AND(($D84+$C$1)&gt;AK$4,AK$4&gt;=$C$1),'General Inputs'!H$10*$I84,0))</f>
        <v>0</v>
      </c>
      <c r="AL84" s="214">
        <f>IF(AND(($E84+$C$1)&gt;AL$4,AL$4&gt;=$C$1),'General Inputs'!I$9*$H84,IF(AND(($D84+$C$1)&gt;AL$4,AL$4&gt;=$C$1),'General Inputs'!I$9*$G84,0))+IF(AND(($E84+$C$1)&gt;AL$4,AL$4&gt;=$C$1),'General Inputs'!I$10*$J84,IF(AND(($D84+$C$1)&gt;AL$4,AL$4&gt;=$C$1),'General Inputs'!I$10*$I84,0))</f>
        <v>0</v>
      </c>
      <c r="AM84" s="214">
        <f>IF(AND(($E84+$C$1)&gt;AM$4,AM$4&gt;=$C$1),'General Inputs'!J$9*$H84,IF(AND(($D84+$C$1)&gt;AM$4,AM$4&gt;=$C$1),'General Inputs'!J$9*$G84,0))+IF(AND(($E84+$C$1)&gt;AM$4,AM$4&gt;=$C$1),'General Inputs'!J$10*$J84,IF(AND(($D84+$C$1)&gt;AM$4,AM$4&gt;=$C$1),'General Inputs'!J$10*$I84,0))</f>
        <v>0</v>
      </c>
      <c r="AN84" s="214">
        <f>IF(AND(($E84+$C$1)&gt;AN$4,AN$4&gt;=$C$1),'General Inputs'!K$9*$H84,IF(AND(($D84+$C$1)&gt;AN$4,AN$4&gt;=$C$1),'General Inputs'!K$9*$G84,0))+IF(AND(($E84+$C$1)&gt;AN$4,AN$4&gt;=$C$1),'General Inputs'!K$10*$J84,IF(AND(($D84+$C$1)&gt;AN$4,AN$4&gt;=$C$1),'General Inputs'!K$10*$I84,0))</f>
        <v>0</v>
      </c>
      <c r="AO84" s="214">
        <f>IF(AND(($E84+$C$1)&gt;AO$4,AO$4&gt;=$C$1),'General Inputs'!L$9*$H84,IF(AND(($D84+$C$1)&gt;AO$4,AO$4&gt;=$C$1),'General Inputs'!L$9*$G84,0))+IF(AND(($E84+$C$1)&gt;AO$4,AO$4&gt;=$C$1),'General Inputs'!L$10*$J84,IF(AND(($D84+$C$1)&gt;AO$4,AO$4&gt;=$C$1),'General Inputs'!L$10*$I84,0))</f>
        <v>0</v>
      </c>
      <c r="AP84" s="214">
        <f>IF(AND(($E84+$C$1)&gt;AP$4,AP$4&gt;=$C$1),'General Inputs'!M$9*$H84,IF(AND(($D84+$C$1)&gt;AP$4,AP$4&gt;=$C$1),'General Inputs'!M$9*$G84,0))+IF(AND(($E84+$C$1)&gt;AP$4,AP$4&gt;=$C$1),'General Inputs'!M$10*$J84,IF(AND(($D84+$C$1)&gt;AP$4,AP$4&gt;=$C$1),'General Inputs'!M$10*$I84,0))</f>
        <v>0</v>
      </c>
      <c r="AQ84" s="214">
        <f>IF(AND(($E84+$C$1)&gt;AQ$4,AQ$4&gt;=$C$1),'General Inputs'!N$9*$H84,IF(AND(($D84+$C$1)&gt;AQ$4,AQ$4&gt;=$C$1),'General Inputs'!N$9*$G84,0))+IF(AND(($E84+$C$1)&gt;AQ$4,AQ$4&gt;=$C$1),'General Inputs'!N$10*$J84,IF(AND(($D84+$C$1)&gt;AQ$4,AQ$4&gt;=$C$1),'General Inputs'!N$10*$I84,0))</f>
        <v>0</v>
      </c>
      <c r="AR84" s="214">
        <f>IF(AND(($E84+$C$1)&gt;AR$4,AR$4&gt;=$C$1),'General Inputs'!O$9*$H84,IF(AND(($D84+$C$1)&gt;AR$4,AR$4&gt;=$C$1),'General Inputs'!O$9*$G84,0))+IF(AND(($E84+$C$1)&gt;AR$4,AR$4&gt;=$C$1),'General Inputs'!O$10*$J84,IF(AND(($D84+$C$1)&gt;AR$4,AR$4&gt;=$C$1),'General Inputs'!O$10*$I84,0))</f>
        <v>0</v>
      </c>
      <c r="AS84" s="214">
        <f>IF(AND(($E84+$C$1)&gt;AS$4,AS$4&gt;=$C$1),'General Inputs'!P$9*$H84,IF(AND(($D84+$C$1)&gt;AS$4,AS$4&gt;=$C$1),'General Inputs'!P$9*$G84,0))+IF(AND(($E84+$C$1)&gt;AS$4,AS$4&gt;=$C$1),'General Inputs'!P$10*$J84,IF(AND(($D84+$C$1)&gt;AS$4,AS$4&gt;=$C$1),'General Inputs'!P$10*$I84,0))</f>
        <v>0</v>
      </c>
      <c r="AT84" s="214">
        <f>IF(AND(($E84+$C$1)&gt;AT$4,AT$4&gt;=$C$1),'General Inputs'!Q$9*$H84,IF(AND(($D84+$C$1)&gt;AT$4,AT$4&gt;=$C$1),'General Inputs'!Q$9*$G84,0))+IF(AND(($E84+$C$1)&gt;AT$4,AT$4&gt;=$C$1),'General Inputs'!Q$10*$J84,IF(AND(($D84+$C$1)&gt;AT$4,AT$4&gt;=$C$1),'General Inputs'!Q$10*$I84,0))</f>
        <v>0</v>
      </c>
      <c r="AU84" s="214">
        <f>IF(AND(($E84+$C$1)&gt;AU$4,AU$4&gt;=$C$1),'General Inputs'!R$9*$H84,IF(AND(($D84+$C$1)&gt;AU$4,AU$4&gt;=$C$1),'General Inputs'!R$9*$G84,0))+IF(AND(($E84+$C$1)&gt;AU$4,AU$4&gt;=$C$1),'General Inputs'!R$10*$J84,IF(AND(($D84+$C$1)&gt;AU$4,AU$4&gt;=$C$1),'General Inputs'!R$10*$I84,0))</f>
        <v>0</v>
      </c>
      <c r="AV84" s="214">
        <f>IF(AND(($E84+$C$1)&gt;AV$4,AV$4&gt;=$C$1),'General Inputs'!S$9*$H84,IF(AND(($D84+$C$1)&gt;AV$4,AV$4&gt;=$C$1),'General Inputs'!S$9*$G84,0))+IF(AND(($E84+$C$1)&gt;AV$4,AV$4&gt;=$C$1),'General Inputs'!S$10*$J84,IF(AND(($D84+$C$1)&gt;AV$4,AV$4&gt;=$C$1),'General Inputs'!S$10*$I84,0))</f>
        <v>0</v>
      </c>
      <c r="AW84" s="214">
        <f>IF(AND(($E84+$C$1)&gt;AW$4,AW$4&gt;=$C$1),'General Inputs'!T$9*$H84,IF(AND(($D84+$C$1)&gt;AW$4,AW$4&gt;=$C$1),'General Inputs'!T$9*$G84,0))+IF(AND(($E84+$C$1)&gt;AW$4,AW$4&gt;=$C$1),'General Inputs'!T$10*$J84,IF(AND(($D84+$C$1)&gt;AW$4,AW$4&gt;=$C$1),'General Inputs'!T$10*$I84,0))</f>
        <v>0</v>
      </c>
      <c r="AX84" s="214">
        <f>IF(AND(($E84+$C$1)&gt;AX$4,AX$4&gt;=$C$1),'General Inputs'!U$9*$H84,IF(AND(($D84+$C$1)&gt;AX$4,AX$4&gt;=$C$1),'General Inputs'!U$9*$G84,0))+IF(AND(($E84+$C$1)&gt;AX$4,AX$4&gt;=$C$1),'General Inputs'!U$10*$J84,IF(AND(($D84+$C$1)&gt;AX$4,AX$4&gt;=$C$1),'General Inputs'!U$10*$I84,0))</f>
        <v>0</v>
      </c>
      <c r="AY84" s="214">
        <f>IF(AND(($E84+$C$1)&gt;AY$4,AY$4&gt;=$C$1),'General Inputs'!V$9*$H84,IF(AND(($D84+$C$1)&gt;AY$4,AY$4&gt;=$C$1),'General Inputs'!V$9*$G84,0))+IF(AND(($E84+$C$1)&gt;AY$4,AY$4&gt;=$C$1),'General Inputs'!V$10*$J84,IF(AND(($D84+$C$1)&gt;AY$4,AY$4&gt;=$C$1),'General Inputs'!V$10*$I84,0))</f>
        <v>0</v>
      </c>
      <c r="AZ84" s="214">
        <f>IF(AND(($E84+$C$1)&gt;AZ$4,AZ$4&gt;=$C$1),'General Inputs'!W$9*$H84,IF(AND(($D84+$C$1)&gt;AZ$4,AZ$4&gt;=$C$1),'General Inputs'!W$9*$G84,0))+IF(AND(($E84+$C$1)&gt;AZ$4,AZ$4&gt;=$C$1),'General Inputs'!W$10*$J84,IF(AND(($D84+$C$1)&gt;AZ$4,AZ$4&gt;=$C$1),'General Inputs'!W$10*$I84,0))</f>
        <v>0</v>
      </c>
      <c r="BB84" s="214">
        <f>IF(AND(($E84+$C$1)&gt;BB$4,BB$4&gt;=$C$1),'General Inputs'!D$11*$H84,IF(AND(($D84+$C$1)&gt;BB$4,BB$4&gt;=$C$1),'General Inputs'!D$11*$G84,0))</f>
        <v>0</v>
      </c>
      <c r="BC84" s="214">
        <f>IF(AND(($E84+$C$1)&gt;BC$4,BC$4&gt;=$C$1),'General Inputs'!E$11*$H84,IF(AND(($D84+$C$1)&gt;BC$4,BC$4&gt;=$C$1),'General Inputs'!E$11*$G84,0))</f>
        <v>0</v>
      </c>
      <c r="BD84" s="214">
        <f>IF(AND(($E84+$C$1)&gt;BD$4,BD$4&gt;=$C$1),'General Inputs'!F$11*$H84,IF(AND(($D84+$C$1)&gt;BD$4,BD$4&gt;=$C$1),'General Inputs'!F$11*$G84,0))</f>
        <v>0</v>
      </c>
      <c r="BE84" s="214">
        <f>IF(AND(($E84+$C$1)&gt;BE$4,BE$4&gt;=$C$1),'General Inputs'!G$11*$H84,IF(AND(($D84+$C$1)&gt;BE$4,BE$4&gt;=$C$1),'General Inputs'!G$11*$G84,0))</f>
        <v>0</v>
      </c>
      <c r="BF84" s="214">
        <f>IF(AND(($E84+$C$1)&gt;BF$4,BF$4&gt;=$C$1),'General Inputs'!H$11*$H84,IF(AND(($D84+$C$1)&gt;BF$4,BF$4&gt;=$C$1),'General Inputs'!H$11*$G84,0))</f>
        <v>0</v>
      </c>
      <c r="BG84" s="214">
        <f>IF(AND(($E84+$C$1)&gt;BG$4,BG$4&gt;=$C$1),'General Inputs'!I$11*$H84,IF(AND(($D84+$C$1)&gt;BG$4,BG$4&gt;=$C$1),'General Inputs'!I$11*$G84,0))</f>
        <v>0</v>
      </c>
      <c r="BH84" s="214">
        <f>IF(AND(($E84+$C$1)&gt;BH$4,BH$4&gt;=$C$1),'General Inputs'!J$11*$H84,IF(AND(($D84+$C$1)&gt;BH$4,BH$4&gt;=$C$1),'General Inputs'!J$11*$G84,0))</f>
        <v>0</v>
      </c>
      <c r="BI84" s="214">
        <f>IF(AND(($E84+$C$1)&gt;BI$4,BI$4&gt;=$C$1),'General Inputs'!K$11*$H84,IF(AND(($D84+$C$1)&gt;BI$4,BI$4&gt;=$C$1),'General Inputs'!K$11*$G84,0))</f>
        <v>0</v>
      </c>
      <c r="BJ84" s="214">
        <f>IF(AND(($E84+$C$1)&gt;BJ$4,BJ$4&gt;=$C$1),'General Inputs'!L$11*$H84,IF(AND(($D84+$C$1)&gt;BJ$4,BJ$4&gt;=$C$1),'General Inputs'!L$11*$G84,0))</f>
        <v>0</v>
      </c>
      <c r="BK84" s="214">
        <f>IF(AND(($E84+$C$1)&gt;BK$4,BK$4&gt;=$C$1),'General Inputs'!M$11*$H84,IF(AND(($D84+$C$1)&gt;BK$4,BK$4&gt;=$C$1),'General Inputs'!M$11*$G84,0))</f>
        <v>0</v>
      </c>
      <c r="BL84" s="214">
        <f>IF(AND(($E84+$C$1)&gt;BL$4,BL$4&gt;=$C$1),'General Inputs'!N$11*$H84,IF(AND(($D84+$C$1)&gt;BL$4,BL$4&gt;=$C$1),'General Inputs'!N$11*$G84,0))</f>
        <v>0</v>
      </c>
      <c r="BM84" s="214">
        <f>IF(AND(($E84+$C$1)&gt;BM$4,BM$4&gt;=$C$1),'General Inputs'!O$11*$H84,IF(AND(($D84+$C$1)&gt;BM$4,BM$4&gt;=$C$1),'General Inputs'!O$11*$G84,0))</f>
        <v>0</v>
      </c>
      <c r="BN84" s="214">
        <f>IF(AND(($E84+$C$1)&gt;BN$4,BN$4&gt;=$C$1),'General Inputs'!P$11*$H84,IF(AND(($D84+$C$1)&gt;BN$4,BN$4&gt;=$C$1),'General Inputs'!P$11*$G84,0))</f>
        <v>0</v>
      </c>
      <c r="BO84" s="214">
        <f>IF(AND(($E84+$C$1)&gt;BO$4,BO$4&gt;=$C$1),'General Inputs'!Q$11*$H84,IF(AND(($D84+$C$1)&gt;BO$4,BO$4&gt;=$C$1),'General Inputs'!Q$11*$G84,0))</f>
        <v>0</v>
      </c>
      <c r="BP84" s="214">
        <f>IF(AND(($E84+$C$1)&gt;BP$4,BP$4&gt;=$C$1),'General Inputs'!R$11*$H84,IF(AND(($D84+$C$1)&gt;BP$4,BP$4&gt;=$C$1),'General Inputs'!R$11*$G84,0))</f>
        <v>0</v>
      </c>
      <c r="BQ84" s="214">
        <f>IF(AND(($E84+$C$1)&gt;BQ$4,BQ$4&gt;=$C$1),'General Inputs'!S$11*$H84,IF(AND(($D84+$C$1)&gt;BQ$4,BQ$4&gt;=$C$1),'General Inputs'!S$11*$G84,0))</f>
        <v>0</v>
      </c>
      <c r="BR84" s="214">
        <f>IF(AND(($E84+$C$1)&gt;BR$4,BR$4&gt;=$C$1),'General Inputs'!T$11*$H84,IF(AND(($D84+$C$1)&gt;BR$4,BR$4&gt;=$C$1),'General Inputs'!T$11*$G84,0))</f>
        <v>0</v>
      </c>
      <c r="BS84" s="214">
        <f>IF(AND(($E84+$C$1)&gt;BS$4,BS$4&gt;=$C$1),'General Inputs'!U$11*$H84,IF(AND(($D84+$C$1)&gt;BS$4,BS$4&gt;=$C$1),'General Inputs'!U$11*$G84,0))</f>
        <v>0</v>
      </c>
      <c r="BT84" s="214">
        <f>IF(AND(($E84+$C$1)&gt;BT$4,BT$4&gt;=$C$1),'General Inputs'!V$11*$H84,IF(AND(($D84+$C$1)&gt;BT$4,BT$4&gt;=$C$1),'General Inputs'!V$11*$G84,0))</f>
        <v>0</v>
      </c>
      <c r="BU84" s="214">
        <f>IF(AND(($E84+$C$1)&gt;BU$4,BU$4&gt;=$C$1),'General Inputs'!W$11*$H84,IF(AND(($D84+$C$1)&gt;BU$4,BU$4&gt;=$C$1),'General Inputs'!W$11*$G84,0))</f>
        <v>0</v>
      </c>
      <c r="BW84" s="214">
        <f>IF(AND(($E84+$C$1)&gt;BW$4,BW$4&gt;=$C$1),$H84,IF(AND(($D84+$C$1)&gt;BW$4,BW$4&gt;=$C$1),$G84,0))*IF($A84="Residential",'General Inputs'!D$14,'General Inputs'!D$19)</f>
        <v>0</v>
      </c>
      <c r="BX84" s="214">
        <f>IF(AND(($E84+$C$1)&gt;BX$4,BX$4&gt;=$C$1),$H84,IF(AND(($D84+$C$1)&gt;BX$4,BX$4&gt;=$C$1),$G84,0))*IF($A84="Residential",'General Inputs'!E$14,'General Inputs'!E$19)</f>
        <v>0</v>
      </c>
      <c r="BY84" s="214">
        <f>IF(AND(($E84+$C$1)&gt;BY$4,BY$4&gt;=$C$1),$H84,IF(AND(($D84+$C$1)&gt;BY$4,BY$4&gt;=$C$1),$G84,0))*IF($A84="Residential",'General Inputs'!F$14,'General Inputs'!F$19)</f>
        <v>0</v>
      </c>
      <c r="BZ84" s="214">
        <f>IF(AND(($E84+$C$1)&gt;BZ$4,BZ$4&gt;=$C$1),$H84,IF(AND(($D84+$C$1)&gt;BZ$4,BZ$4&gt;=$C$1),$G84,0))*IF($A84="Residential",'General Inputs'!G$14,'General Inputs'!G$19)</f>
        <v>0</v>
      </c>
      <c r="CA84" s="214">
        <f>IF(AND(($E84+$C$1)&gt;CA$4,CA$4&gt;=$C$1),$H84,IF(AND(($D84+$C$1)&gt;CA$4,CA$4&gt;=$C$1),$G84,0))*IF($A84="Residential",'General Inputs'!H$14,'General Inputs'!H$19)</f>
        <v>0</v>
      </c>
      <c r="CB84" s="214">
        <f>IF(AND(($E84+$C$1)&gt;CB$4,CB$4&gt;=$C$1),$H84,IF(AND(($D84+$C$1)&gt;CB$4,CB$4&gt;=$C$1),$G84,0))*IF($A84="Residential",'General Inputs'!I$14,'General Inputs'!I$19)</f>
        <v>0</v>
      </c>
      <c r="CC84" s="214">
        <f>IF(AND(($E84+$C$1)&gt;CC$4,CC$4&gt;=$C$1),$H84,IF(AND(($D84+$C$1)&gt;CC$4,CC$4&gt;=$C$1),$G84,0))*IF($A84="Residential",'General Inputs'!J$14,'General Inputs'!J$19)</f>
        <v>0</v>
      </c>
      <c r="CD84" s="214">
        <f>IF(AND(($E84+$C$1)&gt;CD$4,CD$4&gt;=$C$1),$H84,IF(AND(($D84+$C$1)&gt;CD$4,CD$4&gt;=$C$1),$G84,0))*IF($A84="Residential",'General Inputs'!K$14,'General Inputs'!K$19)</f>
        <v>0</v>
      </c>
      <c r="CE84" s="214">
        <f>IF(AND(($E84+$C$1)&gt;CE$4,CE$4&gt;=$C$1),$H84,IF(AND(($D84+$C$1)&gt;CE$4,CE$4&gt;=$C$1),$G84,0))*IF($A84="Residential",'General Inputs'!L$14,'General Inputs'!L$19)</f>
        <v>0</v>
      </c>
      <c r="CF84" s="214">
        <f>IF(AND(($E84+$C$1)&gt;CF$4,CF$4&gt;=$C$1),$H84,IF(AND(($D84+$C$1)&gt;CF$4,CF$4&gt;=$C$1),$G84,0))*IF($A84="Residential",'General Inputs'!M$14,'General Inputs'!M$19)</f>
        <v>0</v>
      </c>
      <c r="CG84" s="214">
        <f>IF(AND(($E84+$C$1)&gt;CG$4,CG$4&gt;=$C$1),$H84,IF(AND(($D84+$C$1)&gt;CG$4,CG$4&gt;=$C$1),$G84,0))*IF($A84="Residential",'General Inputs'!N$14,'General Inputs'!N$19)</f>
        <v>0</v>
      </c>
      <c r="CH84" s="214">
        <f>IF(AND(($E84+$C$1)&gt;CH$4,CH$4&gt;=$C$1),$H84,IF(AND(($D84+$C$1)&gt;CH$4,CH$4&gt;=$C$1),$G84,0))*IF($A84="Residential",'General Inputs'!O$14,'General Inputs'!O$19)</f>
        <v>0</v>
      </c>
      <c r="CI84" s="214">
        <f>IF(AND(($E84+$C$1)&gt;CI$4,CI$4&gt;=$C$1),$H84,IF(AND(($D84+$C$1)&gt;CI$4,CI$4&gt;=$C$1),$G84,0))*IF($A84="Residential",'General Inputs'!P$14,'General Inputs'!P$19)</f>
        <v>0</v>
      </c>
      <c r="CJ84" s="214">
        <f>IF(AND(($E84+$C$1)&gt;CJ$4,CJ$4&gt;=$C$1),$H84,IF(AND(($D84+$C$1)&gt;CJ$4,CJ$4&gt;=$C$1),$G84,0))*IF($A84="Residential",'General Inputs'!Q$14,'General Inputs'!Q$19)</f>
        <v>0</v>
      </c>
      <c r="CK84" s="214">
        <f>IF(AND(($E84+$C$1)&gt;CK$4,CK$4&gt;=$C$1),$H84,IF(AND(($D84+$C$1)&gt;CK$4,CK$4&gt;=$C$1),$G84,0))*IF($A84="Residential",'General Inputs'!R$14,'General Inputs'!R$19)</f>
        <v>0</v>
      </c>
      <c r="CL84" s="214">
        <f>IF(AND(($E84+$C$1)&gt;CL$4,CL$4&gt;=$C$1),$H84,IF(AND(($D84+$C$1)&gt;CL$4,CL$4&gt;=$C$1),$G84,0))*IF($A84="Residential",'General Inputs'!S$14,'General Inputs'!S$19)</f>
        <v>0</v>
      </c>
      <c r="CM84" s="214">
        <f>IF(AND(($E84+$C$1)&gt;CM$4,CM$4&gt;=$C$1),$H84,IF(AND(($D84+$C$1)&gt;CM$4,CM$4&gt;=$C$1),$G84,0))*IF($A84="Residential",'General Inputs'!T$14,'General Inputs'!T$19)</f>
        <v>0</v>
      </c>
      <c r="CN84" s="214">
        <f>IF(AND(($E84+$C$1)&gt;CN$4,CN$4&gt;=$C$1),$H84,IF(AND(($D84+$C$1)&gt;CN$4,CN$4&gt;=$C$1),$G84,0))*IF($A84="Residential",'General Inputs'!U$14,'General Inputs'!U$19)</f>
        <v>0</v>
      </c>
      <c r="CO84" s="214">
        <f>IF(AND(($E84+$C$1)&gt;CO$4,CO$4&gt;=$C$1),$H84,IF(AND(($D84+$C$1)&gt;CO$4,CO$4&gt;=$C$1),$G84,0))*IF($A84="Residential",'General Inputs'!V$14,'General Inputs'!V$19)</f>
        <v>0</v>
      </c>
      <c r="CP84" s="214">
        <f>IF(AND(($E84+$C$1)&gt;CP$4,CP$4&gt;=$C$1),$H84,IF(AND(($D84+$C$1)&gt;CP$4,CP$4&gt;=$C$1),$G84,0))*IF($A84="Residential",'General Inputs'!W$14,'General Inputs'!W$19)</f>
        <v>0</v>
      </c>
      <c r="CR84" s="214">
        <f>IF(AND(($E84+$C$1)&gt;CR$4,CR$4&gt;=$C$1),$H84,IF(AND(($D84+$C$1)&gt;CR$4,CR$4&gt;=$C$1),$G84,0))*IF($A84="Residential",'General Inputs'!D$15,'General Inputs'!D$19)</f>
        <v>0</v>
      </c>
      <c r="CS84" s="214">
        <f>IF(AND(($E84+$C$1)&gt;CS$4,CS$4&gt;=$C$1),$H84,IF(AND(($D84+$C$1)&gt;CS$4,CS$4&gt;=$C$1),$G84,0))*IF($A84="Residential",'General Inputs'!E$15,'General Inputs'!E$19)</f>
        <v>0</v>
      </c>
      <c r="CT84" s="214">
        <f>IF(AND(($E84+$C$1)&gt;CT$4,CT$4&gt;=$C$1),$H84,IF(AND(($D84+$C$1)&gt;CT$4,CT$4&gt;=$C$1),$G84,0))*IF($A84="Residential",'General Inputs'!F$15,'General Inputs'!F$19)</f>
        <v>0</v>
      </c>
      <c r="CU84" s="214">
        <f>IF(AND(($E84+$C$1)&gt;CU$4,CU$4&gt;=$C$1),$H84,IF(AND(($D84+$C$1)&gt;CU$4,CU$4&gt;=$C$1),$G84,0))*IF($A84="Residential",'General Inputs'!G$15,'General Inputs'!G$19)</f>
        <v>0</v>
      </c>
      <c r="CV84" s="214">
        <f>IF(AND(($E84+$C$1)&gt;CV$4,CV$4&gt;=$C$1),$H84,IF(AND(($D84+$C$1)&gt;CV$4,CV$4&gt;=$C$1),$G84,0))*IF($A84="Residential",'General Inputs'!H$15,'General Inputs'!H$19)</f>
        <v>0</v>
      </c>
      <c r="CW84" s="214">
        <f>IF(AND(($E84+$C$1)&gt;CW$4,CW$4&gt;=$C$1),$H84,IF(AND(($D84+$C$1)&gt;CW$4,CW$4&gt;=$C$1),$G84,0))*IF($A84="Residential",'General Inputs'!I$15,'General Inputs'!I$19)</f>
        <v>0</v>
      </c>
      <c r="CX84" s="214">
        <f>IF(AND(($E84+$C$1)&gt;CX$4,CX$4&gt;=$C$1),$H84,IF(AND(($D84+$C$1)&gt;CX$4,CX$4&gt;=$C$1),$G84,0))*IF($A84="Residential",'General Inputs'!J$15,'General Inputs'!J$19)</f>
        <v>0</v>
      </c>
      <c r="CY84" s="214">
        <f>IF(AND(($E84+$C$1)&gt;CY$4,CY$4&gt;=$C$1),$H84,IF(AND(($D84+$C$1)&gt;CY$4,CY$4&gt;=$C$1),$G84,0))*IF($A84="Residential",'General Inputs'!K$15,'General Inputs'!K$19)</f>
        <v>0</v>
      </c>
      <c r="CZ84" s="214">
        <f>IF(AND(($E84+$C$1)&gt;CZ$4,CZ$4&gt;=$C$1),$H84,IF(AND(($D84+$C$1)&gt;CZ$4,CZ$4&gt;=$C$1),$G84,0))*IF($A84="Residential",'General Inputs'!L$15,'General Inputs'!L$19)</f>
        <v>0</v>
      </c>
      <c r="DA84" s="214">
        <f>IF(AND(($E84+$C$1)&gt;DA$4,DA$4&gt;=$C$1),$H84,IF(AND(($D84+$C$1)&gt;DA$4,DA$4&gt;=$C$1),$G84,0))*IF($A84="Residential",'General Inputs'!M$15,'General Inputs'!M$19)</f>
        <v>0</v>
      </c>
      <c r="DB84" s="214">
        <f>IF(AND(($E84+$C$1)&gt;DB$4,DB$4&gt;=$C$1),$H84,IF(AND(($D84+$C$1)&gt;DB$4,DB$4&gt;=$C$1),$G84,0))*IF($A84="Residential",'General Inputs'!N$15,'General Inputs'!N$19)</f>
        <v>0</v>
      </c>
      <c r="DC84" s="214">
        <f>IF(AND(($E84+$C$1)&gt;DC$4,DC$4&gt;=$C$1),$H84,IF(AND(($D84+$C$1)&gt;DC$4,DC$4&gt;=$C$1),$G84,0))*IF($A84="Residential",'General Inputs'!O$15,'General Inputs'!O$19)</f>
        <v>0</v>
      </c>
      <c r="DD84" s="214">
        <f>IF(AND(($E84+$C$1)&gt;DD$4,DD$4&gt;=$C$1),$H84,IF(AND(($D84+$C$1)&gt;DD$4,DD$4&gt;=$C$1),$G84,0))*IF($A84="Residential",'General Inputs'!P$15,'General Inputs'!P$19)</f>
        <v>0</v>
      </c>
      <c r="DE84" s="214">
        <f>IF(AND(($E84+$C$1)&gt;DE$4,DE$4&gt;=$C$1),$H84,IF(AND(($D84+$C$1)&gt;DE$4,DE$4&gt;=$C$1),$G84,0))*IF($A84="Residential",'General Inputs'!Q$15,'General Inputs'!Q$19)</f>
        <v>0</v>
      </c>
      <c r="DF84" s="214">
        <f>IF(AND(($E84+$C$1)&gt;DF$4,DF$4&gt;=$C$1),$H84,IF(AND(($D84+$C$1)&gt;DF$4,DF$4&gt;=$C$1),$G84,0))*IF($A84="Residential",'General Inputs'!R$15,'General Inputs'!R$19)</f>
        <v>0</v>
      </c>
      <c r="DG84" s="214">
        <f>IF(AND(($E84+$C$1)&gt;DG$4,DG$4&gt;=$C$1),$H84,IF(AND(($D84+$C$1)&gt;DG$4,DG$4&gt;=$C$1),$G84,0))*IF($A84="Residential",'General Inputs'!S$15,'General Inputs'!S$19)</f>
        <v>0</v>
      </c>
      <c r="DH84" s="214">
        <f>IF(AND(($E84+$C$1)&gt;DH$4,DH$4&gt;=$C$1),$H84,IF(AND(($D84+$C$1)&gt;DH$4,DH$4&gt;=$C$1),$G84,0))*IF($A84="Residential",'General Inputs'!T$15,'General Inputs'!T$19)</f>
        <v>0</v>
      </c>
      <c r="DI84" s="214">
        <f>IF(AND(($E84+$C$1)&gt;DI$4,DI$4&gt;=$C$1),$H84,IF(AND(($D84+$C$1)&gt;DI$4,DI$4&gt;=$C$1),$G84,0))*IF($A84="Residential",'General Inputs'!U$15,'General Inputs'!U$19)</f>
        <v>0</v>
      </c>
      <c r="DJ84" s="214">
        <f>IF(AND(($E84+$C$1)&gt;DJ$4,DJ$4&gt;=$C$1),$H84,IF(AND(($D84+$C$1)&gt;DJ$4,DJ$4&gt;=$C$1),$G84,0))*IF($A84="Residential",'General Inputs'!V$15,'General Inputs'!V$19)</f>
        <v>0</v>
      </c>
      <c r="DK84" s="214">
        <f>IF(AND(($E84+$C$1)&gt;DK$4,DK$4&gt;=$C$1),$H84,IF(AND(($D84+$C$1)&gt;DK$4,DK$4&gt;=$C$1),$G84,0))*IF($A84="Residential",'General Inputs'!W$15,'General Inputs'!W$19)</f>
        <v>0</v>
      </c>
      <c r="DM84" s="214">
        <f t="shared" ref="DM84:DW85" si="106">IF($C$1=DM$4,$L84*$C84,IF($E84+$C$1=DM$4,-$M84*$C84,0))</f>
        <v>0</v>
      </c>
      <c r="DN84" s="214">
        <f t="shared" si="106"/>
        <v>0</v>
      </c>
      <c r="DO84" s="214">
        <f t="shared" si="106"/>
        <v>0</v>
      </c>
      <c r="DP84" s="214">
        <f t="shared" si="106"/>
        <v>0</v>
      </c>
      <c r="DQ84" s="214">
        <f t="shared" si="106"/>
        <v>0</v>
      </c>
      <c r="DR84" s="214">
        <f t="shared" si="106"/>
        <v>0</v>
      </c>
      <c r="DS84" s="214">
        <f t="shared" si="106"/>
        <v>0</v>
      </c>
      <c r="DT84" s="214">
        <f t="shared" si="106"/>
        <v>0</v>
      </c>
      <c r="DU84" s="214">
        <f t="shared" si="106"/>
        <v>0</v>
      </c>
      <c r="DV84" s="214">
        <f t="shared" si="106"/>
        <v>0</v>
      </c>
      <c r="DW84" s="214">
        <f t="shared" si="106"/>
        <v>0</v>
      </c>
      <c r="DZ84" s="650"/>
      <c r="FI84" s="195"/>
      <c r="FJ84" s="195"/>
      <c r="FK84" s="195"/>
      <c r="FL84" s="195"/>
      <c r="FM84" s="195"/>
      <c r="FN84" s="195"/>
      <c r="FO84" s="195"/>
    </row>
    <row r="85" spans="1:171">
      <c r="A85" s="342" t="s">
        <v>112</v>
      </c>
      <c r="B85" s="427" t="str">
        <f>'Portfolio Inputs'!A84</f>
        <v>60≤155 W LED Fixtures (Exterior/Parking Garage)</v>
      </c>
      <c r="C85" s="217">
        <f>IF($C$1=2014,'Portfolio Inputs'!$C84,IF($C$1=2015,'Portfolio Inputs'!$D84,'Portfolio Inputs'!$E84))</f>
        <v>0</v>
      </c>
      <c r="D85" s="504">
        <f>VLOOKUP(B85,Sources!$B$4:$J$104,2,FALSE)</f>
        <v>15</v>
      </c>
      <c r="E85" s="504">
        <f>VLOOKUP(B85,Sources!$B$4:$J$104,3,FALSE)</f>
        <v>0</v>
      </c>
      <c r="G85" s="504">
        <f>IF($C$1=2014,'Portfolio Inputs'!$G84,IF($C$1=2015,'Portfolio Inputs'!$H84,'Portfolio Inputs'!$I84))*EnergyLineLoss</f>
        <v>0</v>
      </c>
      <c r="H85" s="504"/>
      <c r="I85" s="595">
        <f>IF($C$1=2014,'Portfolio Inputs'!$K84,IF($C$1=2015,'Portfolio Inputs'!$L84,'Portfolio Inputs'!$M84))*PeakLineLoss</f>
        <v>0</v>
      </c>
      <c r="J85" s="510"/>
      <c r="L85" s="606">
        <f>IF($C$1=2014,'Portfolio Inputs'!$O84,IF($C$1=2015,'Portfolio Inputs'!$P84,'Portfolio Inputs'!$Q84))</f>
        <v>375</v>
      </c>
      <c r="M85" s="518">
        <f>VLOOKUP($B85,Sources!$B$4:$K$104,10,FALSE)</f>
        <v>0</v>
      </c>
      <c r="N85" s="419">
        <f>IF($C$1=2014,'Portfolio Inputs'!$W84,IF($C$1=2015,'Portfolio Inputs'!$X84,'Portfolio Inputs'!$Y84))</f>
        <v>0</v>
      </c>
      <c r="O85" s="419">
        <f>IF($C$1=2014,'Portfolio Inputs'!$AA84,IF($C$1=2015,'Portfolio Inputs'!$AB84,'Portfolio Inputs'!$AC84))</f>
        <v>0</v>
      </c>
      <c r="Q85" s="438" t="str">
        <f t="shared" si="67"/>
        <v>n/a</v>
      </c>
      <c r="R85" s="439" t="str">
        <f t="shared" si="68"/>
        <v>n/a</v>
      </c>
      <c r="S85" s="439" t="str">
        <f t="shared" si="69"/>
        <v>n/a</v>
      </c>
      <c r="T85" s="439" t="str">
        <f t="shared" si="70"/>
        <v>n/a</v>
      </c>
      <c r="U85" s="439" t="str">
        <f t="shared" si="98"/>
        <v>n/a</v>
      </c>
      <c r="V85" s="439" t="str">
        <f t="shared" si="72"/>
        <v>n/a</v>
      </c>
      <c r="W85" s="439" t="str">
        <f t="shared" si="73"/>
        <v>n/a</v>
      </c>
      <c r="Y85" s="215">
        <f t="shared" si="101"/>
        <v>0</v>
      </c>
      <c r="Z85" s="215">
        <f t="shared" si="102"/>
        <v>0</v>
      </c>
      <c r="AA85" s="215">
        <f t="shared" si="103"/>
        <v>0</v>
      </c>
      <c r="AB85" s="215">
        <f t="shared" si="104"/>
        <v>0</v>
      </c>
      <c r="AC85" s="216">
        <f t="shared" si="20"/>
        <v>0</v>
      </c>
      <c r="AD85" s="216">
        <f t="shared" si="21"/>
        <v>0</v>
      </c>
      <c r="AE85" s="215">
        <f t="shared" si="105"/>
        <v>0</v>
      </c>
      <c r="AG85" s="214">
        <f>IF(AND(($E85+$C$1)&gt;AG$4,AG$4&gt;=$C$1),'General Inputs'!D$9*$H85,IF(AND(($D85+$C$1)&gt;AG$4,AG$4&gt;=$C$1),'General Inputs'!D$9*$G85,0))+IF(AND(($E85+$C$1)&gt;AG$4,AG$4&gt;=$C$1),'General Inputs'!D$10*$J85,IF(AND(($D85+$C$1)&gt;AG$4,AG$4&gt;=$C$1),'General Inputs'!D$10*$I85,0))</f>
        <v>0</v>
      </c>
      <c r="AH85" s="214">
        <f>IF(AND(($E85+$C$1)&gt;AH$4,AH$4&gt;=$C$1),'General Inputs'!E$9*$H85,IF(AND(($D85+$C$1)&gt;AH$4,AH$4&gt;=$C$1),'General Inputs'!E$9*$G85,0))+IF(AND(($E85+$C$1)&gt;AH$4,AH$4&gt;=$C$1),'General Inputs'!E$10*$J85,IF(AND(($D85+$C$1)&gt;AH$4,AH$4&gt;=$C$1),'General Inputs'!E$10*$I85,0))</f>
        <v>0</v>
      </c>
      <c r="AI85" s="214">
        <f>IF(AND(($E85+$C$1)&gt;AI$4,AI$4&gt;=$C$1),'General Inputs'!F$9*$H85,IF(AND(($D85+$C$1)&gt;AI$4,AI$4&gt;=$C$1),'General Inputs'!F$9*$G85,0))+IF(AND(($E85+$C$1)&gt;AI$4,AI$4&gt;=$C$1),'General Inputs'!F$10*$J85,IF(AND(($D85+$C$1)&gt;AI$4,AI$4&gt;=$C$1),'General Inputs'!F$10*$I85,0))</f>
        <v>0</v>
      </c>
      <c r="AJ85" s="214">
        <f>IF(AND(($E85+$C$1)&gt;AJ$4,AJ$4&gt;=$C$1),'General Inputs'!G$9*$H85,IF(AND(($D85+$C$1)&gt;AJ$4,AJ$4&gt;=$C$1),'General Inputs'!G$9*$G85,0))+IF(AND(($E85+$C$1)&gt;AJ$4,AJ$4&gt;=$C$1),'General Inputs'!G$10*$J85,IF(AND(($D85+$C$1)&gt;AJ$4,AJ$4&gt;=$C$1),'General Inputs'!G$10*$I85,0))</f>
        <v>0</v>
      </c>
      <c r="AK85" s="214">
        <f>IF(AND(($E85+$C$1)&gt;AK$4,AK$4&gt;=$C$1),'General Inputs'!H$9*$H85,IF(AND(($D85+$C$1)&gt;AK$4,AK$4&gt;=$C$1),'General Inputs'!H$9*$G85,0))+IF(AND(($E85+$C$1)&gt;AK$4,AK$4&gt;=$C$1),'General Inputs'!H$10*$J85,IF(AND(($D85+$C$1)&gt;AK$4,AK$4&gt;=$C$1),'General Inputs'!H$10*$I85,0))</f>
        <v>0</v>
      </c>
      <c r="AL85" s="214">
        <f>IF(AND(($E85+$C$1)&gt;AL$4,AL$4&gt;=$C$1),'General Inputs'!I$9*$H85,IF(AND(($D85+$C$1)&gt;AL$4,AL$4&gt;=$C$1),'General Inputs'!I$9*$G85,0))+IF(AND(($E85+$C$1)&gt;AL$4,AL$4&gt;=$C$1),'General Inputs'!I$10*$J85,IF(AND(($D85+$C$1)&gt;AL$4,AL$4&gt;=$C$1),'General Inputs'!I$10*$I85,0))</f>
        <v>0</v>
      </c>
      <c r="AM85" s="214">
        <f>IF(AND(($E85+$C$1)&gt;AM$4,AM$4&gt;=$C$1),'General Inputs'!J$9*$H85,IF(AND(($D85+$C$1)&gt;AM$4,AM$4&gt;=$C$1),'General Inputs'!J$9*$G85,0))+IF(AND(($E85+$C$1)&gt;AM$4,AM$4&gt;=$C$1),'General Inputs'!J$10*$J85,IF(AND(($D85+$C$1)&gt;AM$4,AM$4&gt;=$C$1),'General Inputs'!J$10*$I85,0))</f>
        <v>0</v>
      </c>
      <c r="AN85" s="214">
        <f>IF(AND(($E85+$C$1)&gt;AN$4,AN$4&gt;=$C$1),'General Inputs'!K$9*$H85,IF(AND(($D85+$C$1)&gt;AN$4,AN$4&gt;=$C$1),'General Inputs'!K$9*$G85,0))+IF(AND(($E85+$C$1)&gt;AN$4,AN$4&gt;=$C$1),'General Inputs'!K$10*$J85,IF(AND(($D85+$C$1)&gt;AN$4,AN$4&gt;=$C$1),'General Inputs'!K$10*$I85,0))</f>
        <v>0</v>
      </c>
      <c r="AO85" s="214">
        <f>IF(AND(($E85+$C$1)&gt;AO$4,AO$4&gt;=$C$1),'General Inputs'!L$9*$H85,IF(AND(($D85+$C$1)&gt;AO$4,AO$4&gt;=$C$1),'General Inputs'!L$9*$G85,0))+IF(AND(($E85+$C$1)&gt;AO$4,AO$4&gt;=$C$1),'General Inputs'!L$10*$J85,IF(AND(($D85+$C$1)&gt;AO$4,AO$4&gt;=$C$1),'General Inputs'!L$10*$I85,0))</f>
        <v>0</v>
      </c>
      <c r="AP85" s="214">
        <f>IF(AND(($E85+$C$1)&gt;AP$4,AP$4&gt;=$C$1),'General Inputs'!M$9*$H85,IF(AND(($D85+$C$1)&gt;AP$4,AP$4&gt;=$C$1),'General Inputs'!M$9*$G85,0))+IF(AND(($E85+$C$1)&gt;AP$4,AP$4&gt;=$C$1),'General Inputs'!M$10*$J85,IF(AND(($D85+$C$1)&gt;AP$4,AP$4&gt;=$C$1),'General Inputs'!M$10*$I85,0))</f>
        <v>0</v>
      </c>
      <c r="AQ85" s="214">
        <f>IF(AND(($E85+$C$1)&gt;AQ$4,AQ$4&gt;=$C$1),'General Inputs'!N$9*$H85,IF(AND(($D85+$C$1)&gt;AQ$4,AQ$4&gt;=$C$1),'General Inputs'!N$9*$G85,0))+IF(AND(($E85+$C$1)&gt;AQ$4,AQ$4&gt;=$C$1),'General Inputs'!N$10*$J85,IF(AND(($D85+$C$1)&gt;AQ$4,AQ$4&gt;=$C$1),'General Inputs'!N$10*$I85,0))</f>
        <v>0</v>
      </c>
      <c r="AR85" s="214">
        <f>IF(AND(($E85+$C$1)&gt;AR$4,AR$4&gt;=$C$1),'General Inputs'!O$9*$H85,IF(AND(($D85+$C$1)&gt;AR$4,AR$4&gt;=$C$1),'General Inputs'!O$9*$G85,0))+IF(AND(($E85+$C$1)&gt;AR$4,AR$4&gt;=$C$1),'General Inputs'!O$10*$J85,IF(AND(($D85+$C$1)&gt;AR$4,AR$4&gt;=$C$1),'General Inputs'!O$10*$I85,0))</f>
        <v>0</v>
      </c>
      <c r="AS85" s="214">
        <f>IF(AND(($E85+$C$1)&gt;AS$4,AS$4&gt;=$C$1),'General Inputs'!P$9*$H85,IF(AND(($D85+$C$1)&gt;AS$4,AS$4&gt;=$C$1),'General Inputs'!P$9*$G85,0))+IF(AND(($E85+$C$1)&gt;AS$4,AS$4&gt;=$C$1),'General Inputs'!P$10*$J85,IF(AND(($D85+$C$1)&gt;AS$4,AS$4&gt;=$C$1),'General Inputs'!P$10*$I85,0))</f>
        <v>0</v>
      </c>
      <c r="AT85" s="214">
        <f>IF(AND(($E85+$C$1)&gt;AT$4,AT$4&gt;=$C$1),'General Inputs'!Q$9*$H85,IF(AND(($D85+$C$1)&gt;AT$4,AT$4&gt;=$C$1),'General Inputs'!Q$9*$G85,0))+IF(AND(($E85+$C$1)&gt;AT$4,AT$4&gt;=$C$1),'General Inputs'!Q$10*$J85,IF(AND(($D85+$C$1)&gt;AT$4,AT$4&gt;=$C$1),'General Inputs'!Q$10*$I85,0))</f>
        <v>0</v>
      </c>
      <c r="AU85" s="214">
        <f>IF(AND(($E85+$C$1)&gt;AU$4,AU$4&gt;=$C$1),'General Inputs'!R$9*$H85,IF(AND(($D85+$C$1)&gt;AU$4,AU$4&gt;=$C$1),'General Inputs'!R$9*$G85,0))+IF(AND(($E85+$C$1)&gt;AU$4,AU$4&gt;=$C$1),'General Inputs'!R$10*$J85,IF(AND(($D85+$C$1)&gt;AU$4,AU$4&gt;=$C$1),'General Inputs'!R$10*$I85,0))</f>
        <v>0</v>
      </c>
      <c r="AV85" s="214">
        <f>IF(AND(($E85+$C$1)&gt;AV$4,AV$4&gt;=$C$1),'General Inputs'!S$9*$H85,IF(AND(($D85+$C$1)&gt;AV$4,AV$4&gt;=$C$1),'General Inputs'!S$9*$G85,0))+IF(AND(($E85+$C$1)&gt;AV$4,AV$4&gt;=$C$1),'General Inputs'!S$10*$J85,IF(AND(($D85+$C$1)&gt;AV$4,AV$4&gt;=$C$1),'General Inputs'!S$10*$I85,0))</f>
        <v>0</v>
      </c>
      <c r="AW85" s="214">
        <f>IF(AND(($E85+$C$1)&gt;AW$4,AW$4&gt;=$C$1),'General Inputs'!T$9*$H85,IF(AND(($D85+$C$1)&gt;AW$4,AW$4&gt;=$C$1),'General Inputs'!T$9*$G85,0))+IF(AND(($E85+$C$1)&gt;AW$4,AW$4&gt;=$C$1),'General Inputs'!T$10*$J85,IF(AND(($D85+$C$1)&gt;AW$4,AW$4&gt;=$C$1),'General Inputs'!T$10*$I85,0))</f>
        <v>0</v>
      </c>
      <c r="AX85" s="214">
        <f>IF(AND(($E85+$C$1)&gt;AX$4,AX$4&gt;=$C$1),'General Inputs'!U$9*$H85,IF(AND(($D85+$C$1)&gt;AX$4,AX$4&gt;=$C$1),'General Inputs'!U$9*$G85,0))+IF(AND(($E85+$C$1)&gt;AX$4,AX$4&gt;=$C$1),'General Inputs'!U$10*$J85,IF(AND(($D85+$C$1)&gt;AX$4,AX$4&gt;=$C$1),'General Inputs'!U$10*$I85,0))</f>
        <v>0</v>
      </c>
      <c r="AY85" s="214">
        <f>IF(AND(($E85+$C$1)&gt;AY$4,AY$4&gt;=$C$1),'General Inputs'!V$9*$H85,IF(AND(($D85+$C$1)&gt;AY$4,AY$4&gt;=$C$1),'General Inputs'!V$9*$G85,0))+IF(AND(($E85+$C$1)&gt;AY$4,AY$4&gt;=$C$1),'General Inputs'!V$10*$J85,IF(AND(($D85+$C$1)&gt;AY$4,AY$4&gt;=$C$1),'General Inputs'!V$10*$I85,0))</f>
        <v>0</v>
      </c>
      <c r="AZ85" s="214">
        <f>IF(AND(($E85+$C$1)&gt;AZ$4,AZ$4&gt;=$C$1),'General Inputs'!W$9*$H85,IF(AND(($D85+$C$1)&gt;AZ$4,AZ$4&gt;=$C$1),'General Inputs'!W$9*$G85,0))+IF(AND(($E85+$C$1)&gt;AZ$4,AZ$4&gt;=$C$1),'General Inputs'!W$10*$J85,IF(AND(($D85+$C$1)&gt;AZ$4,AZ$4&gt;=$C$1),'General Inputs'!W$10*$I85,0))</f>
        <v>0</v>
      </c>
      <c r="BB85" s="214">
        <f>IF(AND(($E85+$C$1)&gt;BB$4,BB$4&gt;=$C$1),'General Inputs'!D$11*$H85,IF(AND(($D85+$C$1)&gt;BB$4,BB$4&gt;=$C$1),'General Inputs'!D$11*$G85,0))</f>
        <v>0</v>
      </c>
      <c r="BC85" s="214">
        <f>IF(AND(($E85+$C$1)&gt;BC$4,BC$4&gt;=$C$1),'General Inputs'!E$11*$H85,IF(AND(($D85+$C$1)&gt;BC$4,BC$4&gt;=$C$1),'General Inputs'!E$11*$G85,0))</f>
        <v>0</v>
      </c>
      <c r="BD85" s="214">
        <f>IF(AND(($E85+$C$1)&gt;BD$4,BD$4&gt;=$C$1),'General Inputs'!F$11*$H85,IF(AND(($D85+$C$1)&gt;BD$4,BD$4&gt;=$C$1),'General Inputs'!F$11*$G85,0))</f>
        <v>0</v>
      </c>
      <c r="BE85" s="214">
        <f>IF(AND(($E85+$C$1)&gt;BE$4,BE$4&gt;=$C$1),'General Inputs'!G$11*$H85,IF(AND(($D85+$C$1)&gt;BE$4,BE$4&gt;=$C$1),'General Inputs'!G$11*$G85,0))</f>
        <v>0</v>
      </c>
      <c r="BF85" s="214">
        <f>IF(AND(($E85+$C$1)&gt;BF$4,BF$4&gt;=$C$1),'General Inputs'!H$11*$H85,IF(AND(($D85+$C$1)&gt;BF$4,BF$4&gt;=$C$1),'General Inputs'!H$11*$G85,0))</f>
        <v>0</v>
      </c>
      <c r="BG85" s="214">
        <f>IF(AND(($E85+$C$1)&gt;BG$4,BG$4&gt;=$C$1),'General Inputs'!I$11*$H85,IF(AND(($D85+$C$1)&gt;BG$4,BG$4&gt;=$C$1),'General Inputs'!I$11*$G85,0))</f>
        <v>0</v>
      </c>
      <c r="BH85" s="214">
        <f>IF(AND(($E85+$C$1)&gt;BH$4,BH$4&gt;=$C$1),'General Inputs'!J$11*$H85,IF(AND(($D85+$C$1)&gt;BH$4,BH$4&gt;=$C$1),'General Inputs'!J$11*$G85,0))</f>
        <v>0</v>
      </c>
      <c r="BI85" s="214">
        <f>IF(AND(($E85+$C$1)&gt;BI$4,BI$4&gt;=$C$1),'General Inputs'!K$11*$H85,IF(AND(($D85+$C$1)&gt;BI$4,BI$4&gt;=$C$1),'General Inputs'!K$11*$G85,0))</f>
        <v>0</v>
      </c>
      <c r="BJ85" s="214">
        <f>IF(AND(($E85+$C$1)&gt;BJ$4,BJ$4&gt;=$C$1),'General Inputs'!L$11*$H85,IF(AND(($D85+$C$1)&gt;BJ$4,BJ$4&gt;=$C$1),'General Inputs'!L$11*$G85,0))</f>
        <v>0</v>
      </c>
      <c r="BK85" s="214">
        <f>IF(AND(($E85+$C$1)&gt;BK$4,BK$4&gt;=$C$1),'General Inputs'!M$11*$H85,IF(AND(($D85+$C$1)&gt;BK$4,BK$4&gt;=$C$1),'General Inputs'!M$11*$G85,0))</f>
        <v>0</v>
      </c>
      <c r="BL85" s="214">
        <f>IF(AND(($E85+$C$1)&gt;BL$4,BL$4&gt;=$C$1),'General Inputs'!N$11*$H85,IF(AND(($D85+$C$1)&gt;BL$4,BL$4&gt;=$C$1),'General Inputs'!N$11*$G85,0))</f>
        <v>0</v>
      </c>
      <c r="BM85" s="214">
        <f>IF(AND(($E85+$C$1)&gt;BM$4,BM$4&gt;=$C$1),'General Inputs'!O$11*$H85,IF(AND(($D85+$C$1)&gt;BM$4,BM$4&gt;=$C$1),'General Inputs'!O$11*$G85,0))</f>
        <v>0</v>
      </c>
      <c r="BN85" s="214">
        <f>IF(AND(($E85+$C$1)&gt;BN$4,BN$4&gt;=$C$1),'General Inputs'!P$11*$H85,IF(AND(($D85+$C$1)&gt;BN$4,BN$4&gt;=$C$1),'General Inputs'!P$11*$G85,0))</f>
        <v>0</v>
      </c>
      <c r="BO85" s="214">
        <f>IF(AND(($E85+$C$1)&gt;BO$4,BO$4&gt;=$C$1),'General Inputs'!Q$11*$H85,IF(AND(($D85+$C$1)&gt;BO$4,BO$4&gt;=$C$1),'General Inputs'!Q$11*$G85,0))</f>
        <v>0</v>
      </c>
      <c r="BP85" s="214">
        <f>IF(AND(($E85+$C$1)&gt;BP$4,BP$4&gt;=$C$1),'General Inputs'!R$11*$H85,IF(AND(($D85+$C$1)&gt;BP$4,BP$4&gt;=$C$1),'General Inputs'!R$11*$G85,0))</f>
        <v>0</v>
      </c>
      <c r="BQ85" s="214">
        <f>IF(AND(($E85+$C$1)&gt;BQ$4,BQ$4&gt;=$C$1),'General Inputs'!S$11*$H85,IF(AND(($D85+$C$1)&gt;BQ$4,BQ$4&gt;=$C$1),'General Inputs'!S$11*$G85,0))</f>
        <v>0</v>
      </c>
      <c r="BR85" s="214">
        <f>IF(AND(($E85+$C$1)&gt;BR$4,BR$4&gt;=$C$1),'General Inputs'!T$11*$H85,IF(AND(($D85+$C$1)&gt;BR$4,BR$4&gt;=$C$1),'General Inputs'!T$11*$G85,0))</f>
        <v>0</v>
      </c>
      <c r="BS85" s="214">
        <f>IF(AND(($E85+$C$1)&gt;BS$4,BS$4&gt;=$C$1),'General Inputs'!U$11*$H85,IF(AND(($D85+$C$1)&gt;BS$4,BS$4&gt;=$C$1),'General Inputs'!U$11*$G85,0))</f>
        <v>0</v>
      </c>
      <c r="BT85" s="214">
        <f>IF(AND(($E85+$C$1)&gt;BT$4,BT$4&gt;=$C$1),'General Inputs'!V$11*$H85,IF(AND(($D85+$C$1)&gt;BT$4,BT$4&gt;=$C$1),'General Inputs'!V$11*$G85,0))</f>
        <v>0</v>
      </c>
      <c r="BU85" s="214">
        <f>IF(AND(($E85+$C$1)&gt;BU$4,BU$4&gt;=$C$1),'General Inputs'!W$11*$H85,IF(AND(($D85+$C$1)&gt;BU$4,BU$4&gt;=$C$1),'General Inputs'!W$11*$G85,0))</f>
        <v>0</v>
      </c>
      <c r="BW85" s="214">
        <f>IF(AND(($E85+$C$1)&gt;BW$4,BW$4&gt;=$C$1),$H85,IF(AND(($D85+$C$1)&gt;BW$4,BW$4&gt;=$C$1),$G85,0))*IF($A85="Residential",'General Inputs'!D$14,'General Inputs'!D$19)</f>
        <v>0</v>
      </c>
      <c r="BX85" s="214">
        <f>IF(AND(($E85+$C$1)&gt;BX$4,BX$4&gt;=$C$1),$H85,IF(AND(($D85+$C$1)&gt;BX$4,BX$4&gt;=$C$1),$G85,0))*IF($A85="Residential",'General Inputs'!E$14,'General Inputs'!E$19)</f>
        <v>0</v>
      </c>
      <c r="BY85" s="214">
        <f>IF(AND(($E85+$C$1)&gt;BY$4,BY$4&gt;=$C$1),$H85,IF(AND(($D85+$C$1)&gt;BY$4,BY$4&gt;=$C$1),$G85,0))*IF($A85="Residential",'General Inputs'!F$14,'General Inputs'!F$19)</f>
        <v>0</v>
      </c>
      <c r="BZ85" s="214">
        <f>IF(AND(($E85+$C$1)&gt;BZ$4,BZ$4&gt;=$C$1),$H85,IF(AND(($D85+$C$1)&gt;BZ$4,BZ$4&gt;=$C$1),$G85,0))*IF($A85="Residential",'General Inputs'!G$14,'General Inputs'!G$19)</f>
        <v>0</v>
      </c>
      <c r="CA85" s="214">
        <f>IF(AND(($E85+$C$1)&gt;CA$4,CA$4&gt;=$C$1),$H85,IF(AND(($D85+$C$1)&gt;CA$4,CA$4&gt;=$C$1),$G85,0))*IF($A85="Residential",'General Inputs'!H$14,'General Inputs'!H$19)</f>
        <v>0</v>
      </c>
      <c r="CB85" s="214">
        <f>IF(AND(($E85+$C$1)&gt;CB$4,CB$4&gt;=$C$1),$H85,IF(AND(($D85+$C$1)&gt;CB$4,CB$4&gt;=$C$1),$G85,0))*IF($A85="Residential",'General Inputs'!I$14,'General Inputs'!I$19)</f>
        <v>0</v>
      </c>
      <c r="CC85" s="214">
        <f>IF(AND(($E85+$C$1)&gt;CC$4,CC$4&gt;=$C$1),$H85,IF(AND(($D85+$C$1)&gt;CC$4,CC$4&gt;=$C$1),$G85,0))*IF($A85="Residential",'General Inputs'!J$14,'General Inputs'!J$19)</f>
        <v>0</v>
      </c>
      <c r="CD85" s="214">
        <f>IF(AND(($E85+$C$1)&gt;CD$4,CD$4&gt;=$C$1),$H85,IF(AND(($D85+$C$1)&gt;CD$4,CD$4&gt;=$C$1),$G85,0))*IF($A85="Residential",'General Inputs'!K$14,'General Inputs'!K$19)</f>
        <v>0</v>
      </c>
      <c r="CE85" s="214">
        <f>IF(AND(($E85+$C$1)&gt;CE$4,CE$4&gt;=$C$1),$H85,IF(AND(($D85+$C$1)&gt;CE$4,CE$4&gt;=$C$1),$G85,0))*IF($A85="Residential",'General Inputs'!L$14,'General Inputs'!L$19)</f>
        <v>0</v>
      </c>
      <c r="CF85" s="214">
        <f>IF(AND(($E85+$C$1)&gt;CF$4,CF$4&gt;=$C$1),$H85,IF(AND(($D85+$C$1)&gt;CF$4,CF$4&gt;=$C$1),$G85,0))*IF($A85="Residential",'General Inputs'!M$14,'General Inputs'!M$19)</f>
        <v>0</v>
      </c>
      <c r="CG85" s="214">
        <f>IF(AND(($E85+$C$1)&gt;CG$4,CG$4&gt;=$C$1),$H85,IF(AND(($D85+$C$1)&gt;CG$4,CG$4&gt;=$C$1),$G85,0))*IF($A85="Residential",'General Inputs'!N$14,'General Inputs'!N$19)</f>
        <v>0</v>
      </c>
      <c r="CH85" s="214">
        <f>IF(AND(($E85+$C$1)&gt;CH$4,CH$4&gt;=$C$1),$H85,IF(AND(($D85+$C$1)&gt;CH$4,CH$4&gt;=$C$1),$G85,0))*IF($A85="Residential",'General Inputs'!O$14,'General Inputs'!O$19)</f>
        <v>0</v>
      </c>
      <c r="CI85" s="214">
        <f>IF(AND(($E85+$C$1)&gt;CI$4,CI$4&gt;=$C$1),$H85,IF(AND(($D85+$C$1)&gt;CI$4,CI$4&gt;=$C$1),$G85,0))*IF($A85="Residential",'General Inputs'!P$14,'General Inputs'!P$19)</f>
        <v>0</v>
      </c>
      <c r="CJ85" s="214">
        <f>IF(AND(($E85+$C$1)&gt;CJ$4,CJ$4&gt;=$C$1),$H85,IF(AND(($D85+$C$1)&gt;CJ$4,CJ$4&gt;=$C$1),$G85,0))*IF($A85="Residential",'General Inputs'!Q$14,'General Inputs'!Q$19)</f>
        <v>0</v>
      </c>
      <c r="CK85" s="214">
        <f>IF(AND(($E85+$C$1)&gt;CK$4,CK$4&gt;=$C$1),$H85,IF(AND(($D85+$C$1)&gt;CK$4,CK$4&gt;=$C$1),$G85,0))*IF($A85="Residential",'General Inputs'!R$14,'General Inputs'!R$19)</f>
        <v>0</v>
      </c>
      <c r="CL85" s="214">
        <f>IF(AND(($E85+$C$1)&gt;CL$4,CL$4&gt;=$C$1),$H85,IF(AND(($D85+$C$1)&gt;CL$4,CL$4&gt;=$C$1),$G85,0))*IF($A85="Residential",'General Inputs'!S$14,'General Inputs'!S$19)</f>
        <v>0</v>
      </c>
      <c r="CM85" s="214">
        <f>IF(AND(($E85+$C$1)&gt;CM$4,CM$4&gt;=$C$1),$H85,IF(AND(($D85+$C$1)&gt;CM$4,CM$4&gt;=$C$1),$G85,0))*IF($A85="Residential",'General Inputs'!T$14,'General Inputs'!T$19)</f>
        <v>0</v>
      </c>
      <c r="CN85" s="214">
        <f>IF(AND(($E85+$C$1)&gt;CN$4,CN$4&gt;=$C$1),$H85,IF(AND(($D85+$C$1)&gt;CN$4,CN$4&gt;=$C$1),$G85,0))*IF($A85="Residential",'General Inputs'!U$14,'General Inputs'!U$19)</f>
        <v>0</v>
      </c>
      <c r="CO85" s="214">
        <f>IF(AND(($E85+$C$1)&gt;CO$4,CO$4&gt;=$C$1),$H85,IF(AND(($D85+$C$1)&gt;CO$4,CO$4&gt;=$C$1),$G85,0))*IF($A85="Residential",'General Inputs'!V$14,'General Inputs'!V$19)</f>
        <v>0</v>
      </c>
      <c r="CP85" s="214">
        <f>IF(AND(($E85+$C$1)&gt;CP$4,CP$4&gt;=$C$1),$H85,IF(AND(($D85+$C$1)&gt;CP$4,CP$4&gt;=$C$1),$G85,0))*IF($A85="Residential",'General Inputs'!W$14,'General Inputs'!W$19)</f>
        <v>0</v>
      </c>
      <c r="CR85" s="214">
        <f>IF(AND(($E85+$C$1)&gt;CR$4,CR$4&gt;=$C$1),$H85,IF(AND(($D85+$C$1)&gt;CR$4,CR$4&gt;=$C$1),$G85,0))*IF($A85="Residential",'General Inputs'!D$15,'General Inputs'!D$19)</f>
        <v>0</v>
      </c>
      <c r="CS85" s="214">
        <f>IF(AND(($E85+$C$1)&gt;CS$4,CS$4&gt;=$C$1),$H85,IF(AND(($D85+$C$1)&gt;CS$4,CS$4&gt;=$C$1),$G85,0))*IF($A85="Residential",'General Inputs'!E$15,'General Inputs'!E$19)</f>
        <v>0</v>
      </c>
      <c r="CT85" s="214">
        <f>IF(AND(($E85+$C$1)&gt;CT$4,CT$4&gt;=$C$1),$H85,IF(AND(($D85+$C$1)&gt;CT$4,CT$4&gt;=$C$1),$G85,0))*IF($A85="Residential",'General Inputs'!F$15,'General Inputs'!F$19)</f>
        <v>0</v>
      </c>
      <c r="CU85" s="214">
        <f>IF(AND(($E85+$C$1)&gt;CU$4,CU$4&gt;=$C$1),$H85,IF(AND(($D85+$C$1)&gt;CU$4,CU$4&gt;=$C$1),$G85,0))*IF($A85="Residential",'General Inputs'!G$15,'General Inputs'!G$19)</f>
        <v>0</v>
      </c>
      <c r="CV85" s="214">
        <f>IF(AND(($E85+$C$1)&gt;CV$4,CV$4&gt;=$C$1),$H85,IF(AND(($D85+$C$1)&gt;CV$4,CV$4&gt;=$C$1),$G85,0))*IF($A85="Residential",'General Inputs'!H$15,'General Inputs'!H$19)</f>
        <v>0</v>
      </c>
      <c r="CW85" s="214">
        <f>IF(AND(($E85+$C$1)&gt;CW$4,CW$4&gt;=$C$1),$H85,IF(AND(($D85+$C$1)&gt;CW$4,CW$4&gt;=$C$1),$G85,0))*IF($A85="Residential",'General Inputs'!I$15,'General Inputs'!I$19)</f>
        <v>0</v>
      </c>
      <c r="CX85" s="214">
        <f>IF(AND(($E85+$C$1)&gt;CX$4,CX$4&gt;=$C$1),$H85,IF(AND(($D85+$C$1)&gt;CX$4,CX$4&gt;=$C$1),$G85,0))*IF($A85="Residential",'General Inputs'!J$15,'General Inputs'!J$19)</f>
        <v>0</v>
      </c>
      <c r="CY85" s="214">
        <f>IF(AND(($E85+$C$1)&gt;CY$4,CY$4&gt;=$C$1),$H85,IF(AND(($D85+$C$1)&gt;CY$4,CY$4&gt;=$C$1),$G85,0))*IF($A85="Residential",'General Inputs'!K$15,'General Inputs'!K$19)</f>
        <v>0</v>
      </c>
      <c r="CZ85" s="214">
        <f>IF(AND(($E85+$C$1)&gt;CZ$4,CZ$4&gt;=$C$1),$H85,IF(AND(($D85+$C$1)&gt;CZ$4,CZ$4&gt;=$C$1),$G85,0))*IF($A85="Residential",'General Inputs'!L$15,'General Inputs'!L$19)</f>
        <v>0</v>
      </c>
      <c r="DA85" s="214">
        <f>IF(AND(($E85+$C$1)&gt;DA$4,DA$4&gt;=$C$1),$H85,IF(AND(($D85+$C$1)&gt;DA$4,DA$4&gt;=$C$1),$G85,0))*IF($A85="Residential",'General Inputs'!M$15,'General Inputs'!M$19)</f>
        <v>0</v>
      </c>
      <c r="DB85" s="214">
        <f>IF(AND(($E85+$C$1)&gt;DB$4,DB$4&gt;=$C$1),$H85,IF(AND(($D85+$C$1)&gt;DB$4,DB$4&gt;=$C$1),$G85,0))*IF($A85="Residential",'General Inputs'!N$15,'General Inputs'!N$19)</f>
        <v>0</v>
      </c>
      <c r="DC85" s="214">
        <f>IF(AND(($E85+$C$1)&gt;DC$4,DC$4&gt;=$C$1),$H85,IF(AND(($D85+$C$1)&gt;DC$4,DC$4&gt;=$C$1),$G85,0))*IF($A85="Residential",'General Inputs'!O$15,'General Inputs'!O$19)</f>
        <v>0</v>
      </c>
      <c r="DD85" s="214">
        <f>IF(AND(($E85+$C$1)&gt;DD$4,DD$4&gt;=$C$1),$H85,IF(AND(($D85+$C$1)&gt;DD$4,DD$4&gt;=$C$1),$G85,0))*IF($A85="Residential",'General Inputs'!P$15,'General Inputs'!P$19)</f>
        <v>0</v>
      </c>
      <c r="DE85" s="214">
        <f>IF(AND(($E85+$C$1)&gt;DE$4,DE$4&gt;=$C$1),$H85,IF(AND(($D85+$C$1)&gt;DE$4,DE$4&gt;=$C$1),$G85,0))*IF($A85="Residential",'General Inputs'!Q$15,'General Inputs'!Q$19)</f>
        <v>0</v>
      </c>
      <c r="DF85" s="214">
        <f>IF(AND(($E85+$C$1)&gt;DF$4,DF$4&gt;=$C$1),$H85,IF(AND(($D85+$C$1)&gt;DF$4,DF$4&gt;=$C$1),$G85,0))*IF($A85="Residential",'General Inputs'!R$15,'General Inputs'!R$19)</f>
        <v>0</v>
      </c>
      <c r="DG85" s="214">
        <f>IF(AND(($E85+$C$1)&gt;DG$4,DG$4&gt;=$C$1),$H85,IF(AND(($D85+$C$1)&gt;DG$4,DG$4&gt;=$C$1),$G85,0))*IF($A85="Residential",'General Inputs'!S$15,'General Inputs'!S$19)</f>
        <v>0</v>
      </c>
      <c r="DH85" s="214">
        <f>IF(AND(($E85+$C$1)&gt;DH$4,DH$4&gt;=$C$1),$H85,IF(AND(($D85+$C$1)&gt;DH$4,DH$4&gt;=$C$1),$G85,0))*IF($A85="Residential",'General Inputs'!T$15,'General Inputs'!T$19)</f>
        <v>0</v>
      </c>
      <c r="DI85" s="214">
        <f>IF(AND(($E85+$C$1)&gt;DI$4,DI$4&gt;=$C$1),$H85,IF(AND(($D85+$C$1)&gt;DI$4,DI$4&gt;=$C$1),$G85,0))*IF($A85="Residential",'General Inputs'!U$15,'General Inputs'!U$19)</f>
        <v>0</v>
      </c>
      <c r="DJ85" s="214">
        <f>IF(AND(($E85+$C$1)&gt;DJ$4,DJ$4&gt;=$C$1),$H85,IF(AND(($D85+$C$1)&gt;DJ$4,DJ$4&gt;=$C$1),$G85,0))*IF($A85="Residential",'General Inputs'!V$15,'General Inputs'!V$19)</f>
        <v>0</v>
      </c>
      <c r="DK85" s="214">
        <f>IF(AND(($E85+$C$1)&gt;DK$4,DK$4&gt;=$C$1),$H85,IF(AND(($D85+$C$1)&gt;DK$4,DK$4&gt;=$C$1),$G85,0))*IF($A85="Residential",'General Inputs'!W$15,'General Inputs'!W$19)</f>
        <v>0</v>
      </c>
      <c r="DM85" s="214">
        <f t="shared" si="106"/>
        <v>0</v>
      </c>
      <c r="DN85" s="214">
        <f t="shared" si="106"/>
        <v>0</v>
      </c>
      <c r="DO85" s="214">
        <f t="shared" si="106"/>
        <v>0</v>
      </c>
      <c r="DP85" s="214">
        <f t="shared" si="106"/>
        <v>0</v>
      </c>
      <c r="DQ85" s="214">
        <f t="shared" si="106"/>
        <v>0</v>
      </c>
      <c r="DR85" s="214">
        <f t="shared" si="106"/>
        <v>0</v>
      </c>
      <c r="DS85" s="214">
        <f t="shared" si="106"/>
        <v>0</v>
      </c>
      <c r="DT85" s="214">
        <f t="shared" si="106"/>
        <v>0</v>
      </c>
      <c r="DU85" s="214">
        <f t="shared" si="106"/>
        <v>0</v>
      </c>
      <c r="DV85" s="214">
        <f t="shared" si="106"/>
        <v>0</v>
      </c>
      <c r="DW85" s="214">
        <f t="shared" si="106"/>
        <v>0</v>
      </c>
      <c r="DZ85" s="650"/>
      <c r="FI85" s="195"/>
      <c r="FJ85" s="195"/>
      <c r="FK85" s="195"/>
      <c r="FL85" s="195"/>
      <c r="FM85" s="195"/>
      <c r="FN85" s="195"/>
      <c r="FO85" s="195"/>
    </row>
    <row r="86" spans="1:171" s="449" customFormat="1">
      <c r="A86" s="435" t="s">
        <v>112</v>
      </c>
      <c r="B86" s="428" t="str">
        <f>'Portfolio Inputs'!A85</f>
        <v>HVAC</v>
      </c>
      <c r="C86" s="454">
        <f>IF($C$1=2014,'Portfolio Inputs'!$C85,IF($C$1=2015,'Portfolio Inputs'!$D85,'Portfolio Inputs'!$E85))</f>
        <v>62</v>
      </c>
      <c r="D86" s="505"/>
      <c r="E86" s="505"/>
      <c r="F86" s="2"/>
      <c r="G86" s="515">
        <f t="shared" ref="G86:I86" si="107">SUM(G87:G88)</f>
        <v>60459.644725862308</v>
      </c>
      <c r="H86" s="515"/>
      <c r="I86" s="512">
        <f t="shared" si="107"/>
        <v>12.605419780219798</v>
      </c>
      <c r="J86" s="512"/>
      <c r="K86" s="2"/>
      <c r="L86" s="455"/>
      <c r="M86" s="455"/>
      <c r="N86" s="455">
        <f>IF($C$1=2014,'Portfolio Inputs'!$W85,IF($C$1=2015,'Portfolio Inputs'!$X85,'Portfolio Inputs'!$Y85))</f>
        <v>18400</v>
      </c>
      <c r="O86" s="455">
        <f>IF($C$1=2014,'Portfolio Inputs'!$AA85,IF($C$1=2015,'Portfolio Inputs'!$AB85,'Portfolio Inputs'!$AC85))</f>
        <v>0</v>
      </c>
      <c r="P86" s="16"/>
      <c r="Q86" s="433">
        <f t="shared" si="67"/>
        <v>1.9225750633591676</v>
      </c>
      <c r="R86" s="434">
        <f t="shared" si="68"/>
        <v>5.9975982954791425</v>
      </c>
      <c r="S86" s="434">
        <f t="shared" si="69"/>
        <v>2.4008950945119585</v>
      </c>
      <c r="T86" s="434">
        <f t="shared" si="70"/>
        <v>5.1555938234092578</v>
      </c>
      <c r="U86" s="434">
        <f>IF(AE86&gt;0,(AD86+AB86)/AE86,"n/a")</f>
        <v>5.1555938234092578</v>
      </c>
      <c r="V86" s="523">
        <f t="shared" si="72"/>
        <v>0.37291049861794962</v>
      </c>
      <c r="W86" s="523">
        <f t="shared" si="73"/>
        <v>0.37291049861794962</v>
      </c>
      <c r="X86" s="16"/>
      <c r="Y86" s="447">
        <f t="shared" si="101"/>
        <v>101392.69444764445</v>
      </c>
      <c r="Z86" s="447">
        <f t="shared" si="102"/>
        <v>25225.624575680082</v>
      </c>
      <c r="AA86" s="447">
        <f t="shared" si="103"/>
        <v>254989.97194385462</v>
      </c>
      <c r="AB86" s="447">
        <f t="shared" si="104"/>
        <v>254989.97194385462</v>
      </c>
      <c r="AC86" s="448">
        <f t="shared" si="20"/>
        <v>0</v>
      </c>
      <c r="AD86" s="448">
        <f t="shared" si="21"/>
        <v>16905.549430356485</v>
      </c>
      <c r="AE86" s="525">
        <f t="shared" si="105"/>
        <v>52737.963983829475</v>
      </c>
      <c r="AF86" s="16"/>
      <c r="AG86" s="432">
        <f t="shared" ref="AG86:AZ86" si="108">SUM(AG87:AG90)</f>
        <v>0</v>
      </c>
      <c r="AH86" s="432">
        <f t="shared" si="108"/>
        <v>11465.154418204445</v>
      </c>
      <c r="AI86" s="432">
        <f t="shared" si="108"/>
        <v>11637.131734477511</v>
      </c>
      <c r="AJ86" s="432">
        <f t="shared" si="108"/>
        <v>11811.688710494673</v>
      </c>
      <c r="AK86" s="432">
        <f t="shared" si="108"/>
        <v>11988.864041152092</v>
      </c>
      <c r="AL86" s="432">
        <f t="shared" si="108"/>
        <v>12168.697001769371</v>
      </c>
      <c r="AM86" s="432">
        <f t="shared" si="108"/>
        <v>12351.227456795908</v>
      </c>
      <c r="AN86" s="432">
        <f t="shared" si="108"/>
        <v>12536.495868647846</v>
      </c>
      <c r="AO86" s="432">
        <f t="shared" si="108"/>
        <v>12724.543306677564</v>
      </c>
      <c r="AP86" s="432">
        <f t="shared" si="108"/>
        <v>12915.411456277723</v>
      </c>
      <c r="AQ86" s="432">
        <f t="shared" si="108"/>
        <v>13109.14262812189</v>
      </c>
      <c r="AR86" s="432">
        <f t="shared" si="108"/>
        <v>13305.779767543718</v>
      </c>
      <c r="AS86" s="432">
        <f t="shared" si="108"/>
        <v>13505.366464056873</v>
      </c>
      <c r="AT86" s="432">
        <f t="shared" si="108"/>
        <v>13707.946961017724</v>
      </c>
      <c r="AU86" s="432">
        <f t="shared" si="108"/>
        <v>13913.566165432989</v>
      </c>
      <c r="AV86" s="432">
        <f t="shared" si="108"/>
        <v>14122.269657914485</v>
      </c>
      <c r="AW86" s="432">
        <f t="shared" si="108"/>
        <v>0</v>
      </c>
      <c r="AX86" s="432">
        <f t="shared" si="108"/>
        <v>0</v>
      </c>
      <c r="AY86" s="432">
        <f t="shared" si="108"/>
        <v>0</v>
      </c>
      <c r="AZ86" s="432">
        <f t="shared" si="108"/>
        <v>0</v>
      </c>
      <c r="BA86" s="16"/>
      <c r="BB86" s="432">
        <f t="shared" ref="BB86:BU86" si="109">SUM(BB87:BB90)</f>
        <v>0</v>
      </c>
      <c r="BC86" s="432">
        <f t="shared" si="109"/>
        <v>3099.9640633077488</v>
      </c>
      <c r="BD86" s="432">
        <f t="shared" si="109"/>
        <v>3099.9640633077488</v>
      </c>
      <c r="BE86" s="432">
        <f t="shared" si="109"/>
        <v>3099.9640633077488</v>
      </c>
      <c r="BF86" s="432">
        <f t="shared" si="109"/>
        <v>3099.9640633077488</v>
      </c>
      <c r="BG86" s="432">
        <f t="shared" si="109"/>
        <v>3099.9640633077488</v>
      </c>
      <c r="BH86" s="432">
        <f t="shared" si="109"/>
        <v>3099.9640633077488</v>
      </c>
      <c r="BI86" s="432">
        <f t="shared" si="109"/>
        <v>3099.9640633077488</v>
      </c>
      <c r="BJ86" s="432">
        <f t="shared" si="109"/>
        <v>3099.9640633077488</v>
      </c>
      <c r="BK86" s="432">
        <f t="shared" si="109"/>
        <v>3099.9640633077488</v>
      </c>
      <c r="BL86" s="432">
        <f t="shared" si="109"/>
        <v>3099.9640633077488</v>
      </c>
      <c r="BM86" s="432">
        <f t="shared" si="109"/>
        <v>3099.9640633077488</v>
      </c>
      <c r="BN86" s="432">
        <f t="shared" si="109"/>
        <v>3099.9640633077488</v>
      </c>
      <c r="BO86" s="432">
        <f t="shared" si="109"/>
        <v>3099.9640633077488</v>
      </c>
      <c r="BP86" s="432">
        <f t="shared" si="109"/>
        <v>3099.9640633077488</v>
      </c>
      <c r="BQ86" s="432">
        <f t="shared" si="109"/>
        <v>3099.9640633077488</v>
      </c>
      <c r="BR86" s="432">
        <f t="shared" si="109"/>
        <v>0</v>
      </c>
      <c r="BS86" s="432">
        <f t="shared" si="109"/>
        <v>0</v>
      </c>
      <c r="BT86" s="432">
        <f t="shared" si="109"/>
        <v>0</v>
      </c>
      <c r="BU86" s="432">
        <f t="shared" si="109"/>
        <v>0</v>
      </c>
      <c r="BV86" s="16"/>
      <c r="BW86" s="432">
        <f t="shared" ref="BW86:CP86" si="110">SUM(BW87:BW90)</f>
        <v>0</v>
      </c>
      <c r="BX86" s="432">
        <f t="shared" si="110"/>
        <v>28833.432421894089</v>
      </c>
      <c r="BY86" s="432">
        <f t="shared" si="110"/>
        <v>29265.933908222505</v>
      </c>
      <c r="BZ86" s="432">
        <f t="shared" si="110"/>
        <v>29704.922916845837</v>
      </c>
      <c r="CA86" s="432">
        <f t="shared" si="110"/>
        <v>30150.496760598515</v>
      </c>
      <c r="CB86" s="432">
        <f t="shared" si="110"/>
        <v>30602.754212007494</v>
      </c>
      <c r="CC86" s="432">
        <f t="shared" si="110"/>
        <v>31061.795525187605</v>
      </c>
      <c r="CD86" s="432">
        <f t="shared" si="110"/>
        <v>31527.722458065411</v>
      </c>
      <c r="CE86" s="432">
        <f t="shared" si="110"/>
        <v>32000.638294936391</v>
      </c>
      <c r="CF86" s="432">
        <f t="shared" si="110"/>
        <v>32480.647869360429</v>
      </c>
      <c r="CG86" s="432">
        <f t="shared" si="110"/>
        <v>32967.857587400838</v>
      </c>
      <c r="CH86" s="432">
        <f t="shared" si="110"/>
        <v>33462.375451211847</v>
      </c>
      <c r="CI86" s="432">
        <f t="shared" si="110"/>
        <v>33964.311082980021</v>
      </c>
      <c r="CJ86" s="432">
        <f t="shared" si="110"/>
        <v>34473.775749224718</v>
      </c>
      <c r="CK86" s="432">
        <f t="shared" si="110"/>
        <v>34990.882385463083</v>
      </c>
      <c r="CL86" s="432">
        <f t="shared" si="110"/>
        <v>35515.745621245027</v>
      </c>
      <c r="CM86" s="432">
        <f t="shared" si="110"/>
        <v>0</v>
      </c>
      <c r="CN86" s="432">
        <f t="shared" si="110"/>
        <v>0</v>
      </c>
      <c r="CO86" s="432">
        <f t="shared" si="110"/>
        <v>0</v>
      </c>
      <c r="CP86" s="432">
        <f t="shared" si="110"/>
        <v>0</v>
      </c>
      <c r="CQ86" s="16"/>
      <c r="CR86" s="432">
        <f t="shared" ref="CR86:DK86" si="111">SUM(CR87:CR90)</f>
        <v>0</v>
      </c>
      <c r="CS86" s="432">
        <f t="shared" si="111"/>
        <v>28833.432421894089</v>
      </c>
      <c r="CT86" s="432">
        <f t="shared" si="111"/>
        <v>29265.933908222505</v>
      </c>
      <c r="CU86" s="432">
        <f t="shared" si="111"/>
        <v>29704.922916845837</v>
      </c>
      <c r="CV86" s="432">
        <f t="shared" si="111"/>
        <v>30150.496760598515</v>
      </c>
      <c r="CW86" s="432">
        <f t="shared" si="111"/>
        <v>30602.754212007494</v>
      </c>
      <c r="CX86" s="432">
        <f t="shared" si="111"/>
        <v>31061.795525187605</v>
      </c>
      <c r="CY86" s="432">
        <f t="shared" si="111"/>
        <v>31527.722458065411</v>
      </c>
      <c r="CZ86" s="432">
        <f t="shared" si="111"/>
        <v>32000.638294936391</v>
      </c>
      <c r="DA86" s="432">
        <f t="shared" si="111"/>
        <v>32480.647869360429</v>
      </c>
      <c r="DB86" s="432">
        <f t="shared" si="111"/>
        <v>32967.857587400838</v>
      </c>
      <c r="DC86" s="432">
        <f t="shared" si="111"/>
        <v>33462.375451211847</v>
      </c>
      <c r="DD86" s="432">
        <f t="shared" si="111"/>
        <v>33964.311082980021</v>
      </c>
      <c r="DE86" s="432">
        <f t="shared" si="111"/>
        <v>34473.775749224718</v>
      </c>
      <c r="DF86" s="432">
        <f t="shared" si="111"/>
        <v>34990.882385463083</v>
      </c>
      <c r="DG86" s="432">
        <f t="shared" si="111"/>
        <v>35515.745621245027</v>
      </c>
      <c r="DH86" s="432">
        <f t="shared" si="111"/>
        <v>0</v>
      </c>
      <c r="DI86" s="432">
        <f t="shared" si="111"/>
        <v>0</v>
      </c>
      <c r="DJ86" s="432">
        <f t="shared" si="111"/>
        <v>0</v>
      </c>
      <c r="DK86" s="432">
        <f t="shared" si="111"/>
        <v>0</v>
      </c>
      <c r="DL86" s="16"/>
      <c r="DM86" s="432">
        <f t="shared" ref="DM86:DW86" si="112">SUM(DM87:DM90)</f>
        <v>0</v>
      </c>
      <c r="DN86" s="432">
        <f t="shared" si="112"/>
        <v>57400</v>
      </c>
      <c r="DO86" s="432">
        <f t="shared" si="112"/>
        <v>0</v>
      </c>
      <c r="DP86" s="432">
        <f t="shared" si="112"/>
        <v>0</v>
      </c>
      <c r="DQ86" s="432">
        <f t="shared" si="112"/>
        <v>0</v>
      </c>
      <c r="DR86" s="432">
        <f t="shared" si="112"/>
        <v>0</v>
      </c>
      <c r="DS86" s="432">
        <f t="shared" si="112"/>
        <v>0</v>
      </c>
      <c r="DT86" s="432">
        <f t="shared" si="112"/>
        <v>0</v>
      </c>
      <c r="DU86" s="432">
        <f t="shared" si="112"/>
        <v>0</v>
      </c>
      <c r="DV86" s="432">
        <f t="shared" si="112"/>
        <v>0</v>
      </c>
      <c r="DW86" s="432">
        <f t="shared" si="112"/>
        <v>0</v>
      </c>
      <c r="DX86" s="16"/>
      <c r="DY86" s="16"/>
      <c r="DZ86" s="650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</row>
    <row r="87" spans="1:171">
      <c r="A87" s="342" t="s">
        <v>112</v>
      </c>
      <c r="B87" s="427" t="str">
        <f>'Portfolio Inputs'!A86</f>
        <v>Split Package Heat Pump</v>
      </c>
      <c r="C87" s="217">
        <f>IF($C$1=2014,'Portfolio Inputs'!$C86,IF($C$1=2015,'Portfolio Inputs'!$D86,'Portfolio Inputs'!$E86))</f>
        <v>20</v>
      </c>
      <c r="D87" s="504">
        <f>VLOOKUP(B87,Sources!$B$4:$J$104,2,FALSE)</f>
        <v>15</v>
      </c>
      <c r="E87" s="504">
        <f>VLOOKUP(B87,Sources!$B$4:$J$104,3,FALSE)</f>
        <v>0</v>
      </c>
      <c r="G87" s="504">
        <f>IF($C$1=2014,'Portfolio Inputs'!$G86,IF($C$1=2015,'Portfolio Inputs'!$H86,'Portfolio Inputs'!$I86))*EnergyLineLoss</f>
        <v>41472.754715872332</v>
      </c>
      <c r="H87" s="504"/>
      <c r="I87" s="595">
        <f>IF($C$1=2014,'Portfolio Inputs'!$K86,IF($C$1=2015,'Portfolio Inputs'!$L86,'Portfolio Inputs'!$M86))*PeakLineLoss</f>
        <v>6.3027098901098988</v>
      </c>
      <c r="J87" s="510"/>
      <c r="L87" s="606">
        <f>IF($C$1=2014,'Portfolio Inputs'!$O86,IF($C$1=2015,'Portfolio Inputs'!$P86,'Portfolio Inputs'!$Q86))</f>
        <v>370</v>
      </c>
      <c r="M87" s="518">
        <f>VLOOKUP($B87,Sources!$B$4:$K$104,10,FALSE)</f>
        <v>0</v>
      </c>
      <c r="N87" s="419">
        <f>IF($C$1=2014,'Portfolio Inputs'!$W86,IF($C$1=2015,'Portfolio Inputs'!$X86,'Portfolio Inputs'!$Y86))</f>
        <v>5000</v>
      </c>
      <c r="O87" s="419">
        <f>IF($C$1=2014,'Portfolio Inputs'!$AA86,IF($C$1=2015,'Portfolio Inputs'!$AB86,'Portfolio Inputs'!$AC86))</f>
        <v>0</v>
      </c>
      <c r="Q87" s="436">
        <f t="shared" si="67"/>
        <v>2.3044635484632856</v>
      </c>
      <c r="R87" s="437">
        <f t="shared" si="68"/>
        <v>3.4106060517256629</v>
      </c>
      <c r="S87" s="437">
        <f t="shared" si="69"/>
        <v>2.8703246186621523</v>
      </c>
      <c r="T87" s="437">
        <f t="shared" si="70"/>
        <v>6.3956093082897514</v>
      </c>
      <c r="U87" s="439">
        <f t="shared" ref="U87:U90" si="113">IF(AE87&gt;0,(AD87+AB87)/AE87,"n/a")</f>
        <v>6.3956093082897514</v>
      </c>
      <c r="V87" s="439">
        <f t="shared" si="72"/>
        <v>0.36031962513349985</v>
      </c>
      <c r="W87" s="439">
        <f t="shared" si="73"/>
        <v>0.36031962513349985</v>
      </c>
      <c r="Y87" s="215">
        <f t="shared" si="101"/>
        <v>15667.980759489446</v>
      </c>
      <c r="Z87" s="215">
        <f t="shared" si="102"/>
        <v>3847.2729873866356</v>
      </c>
      <c r="AA87" s="215">
        <f t="shared" si="103"/>
        <v>38889.662698772656</v>
      </c>
      <c r="AB87" s="215">
        <f t="shared" si="104"/>
        <v>38889.662698772656</v>
      </c>
      <c r="AC87" s="216">
        <f t="shared" si="20"/>
        <v>0</v>
      </c>
      <c r="AD87" s="216">
        <f t="shared" si="21"/>
        <v>4593.899301727306</v>
      </c>
      <c r="AE87" s="215">
        <f t="shared" si="105"/>
        <v>6798.9709665564133</v>
      </c>
      <c r="AG87" s="214">
        <f>IF(AND(($E87+$C$1)&gt;AG$4,AG$4&gt;=$C$1),'General Inputs'!D$9*$H87,IF(AND(($D87+$C$1)&gt;AG$4,AG$4&gt;=$C$1),'General Inputs'!D$9*$G87,0))+IF(AND(($E87+$C$1)&gt;AG$4,AG$4&gt;=$C$1),'General Inputs'!D$10*$J87,IF(AND(($D87+$C$1)&gt;AG$4,AG$4&gt;=$C$1),'General Inputs'!D$10*$I87,0))</f>
        <v>0</v>
      </c>
      <c r="AH87" s="214">
        <f>IF(AND(($E87+$C$1)&gt;AH$4,AH$4&gt;=$C$1),'General Inputs'!E$9*$H87,IF(AND(($D87+$C$1)&gt;AH$4,AH$4&gt;=$C$1),'General Inputs'!E$9*$G87,0))+IF(AND(($E87+$C$1)&gt;AH$4,AH$4&gt;=$C$1),'General Inputs'!E$10*$J87,IF(AND(($D87+$C$1)&gt;AH$4,AH$4&gt;=$C$1),'General Inputs'!E$10*$I87,0))</f>
        <v>1771.6840429934541</v>
      </c>
      <c r="AI87" s="214">
        <f>IF(AND(($E87+$C$1)&gt;AI$4,AI$4&gt;=$C$1),'General Inputs'!F$9*$H87,IF(AND(($D87+$C$1)&gt;AI$4,AI$4&gt;=$C$1),'General Inputs'!F$9*$G87,0))+IF(AND(($E87+$C$1)&gt;AI$4,AI$4&gt;=$C$1),'General Inputs'!F$10*$J87,IF(AND(($D87+$C$1)&gt;AI$4,AI$4&gt;=$C$1),'General Inputs'!F$10*$I87,0))</f>
        <v>1798.2593036383557</v>
      </c>
      <c r="AJ87" s="214">
        <f>IF(AND(($E87+$C$1)&gt;AJ$4,AJ$4&gt;=$C$1),'General Inputs'!G$9*$H87,IF(AND(($D87+$C$1)&gt;AJ$4,AJ$4&gt;=$C$1),'General Inputs'!G$9*$G87,0))+IF(AND(($E87+$C$1)&gt;AJ$4,AJ$4&gt;=$C$1),'General Inputs'!G$10*$J87,IF(AND(($D87+$C$1)&gt;AJ$4,AJ$4&gt;=$C$1),'General Inputs'!G$10*$I87,0))</f>
        <v>1825.2331931929309</v>
      </c>
      <c r="AK87" s="214">
        <f>IF(AND(($E87+$C$1)&gt;AK$4,AK$4&gt;=$C$1),'General Inputs'!H$9*$H87,IF(AND(($D87+$C$1)&gt;AK$4,AK$4&gt;=$C$1),'General Inputs'!H$9*$G87,0))+IF(AND(($E87+$C$1)&gt;AK$4,AK$4&gt;=$C$1),'General Inputs'!H$10*$J87,IF(AND(($D87+$C$1)&gt;AK$4,AK$4&gt;=$C$1),'General Inputs'!H$10*$I87,0))</f>
        <v>1852.6116910908247</v>
      </c>
      <c r="AL87" s="214">
        <f>IF(AND(($E87+$C$1)&gt;AL$4,AL$4&gt;=$C$1),'General Inputs'!I$9*$H87,IF(AND(($D87+$C$1)&gt;AL$4,AL$4&gt;=$C$1),'General Inputs'!I$9*$G87,0))+IF(AND(($E87+$C$1)&gt;AL$4,AL$4&gt;=$C$1),'General Inputs'!I$10*$J87,IF(AND(($D87+$C$1)&gt;AL$4,AL$4&gt;=$C$1),'General Inputs'!I$10*$I87,0))</f>
        <v>1880.4008664571868</v>
      </c>
      <c r="AM87" s="214">
        <f>IF(AND(($E87+$C$1)&gt;AM$4,AM$4&gt;=$C$1),'General Inputs'!J$9*$H87,IF(AND(($D87+$C$1)&gt;AM$4,AM$4&gt;=$C$1),'General Inputs'!J$9*$G87,0))+IF(AND(($E87+$C$1)&gt;AM$4,AM$4&gt;=$C$1),'General Inputs'!J$10*$J87,IF(AND(($D87+$C$1)&gt;AM$4,AM$4&gt;=$C$1),'General Inputs'!J$10*$I87,0))</f>
        <v>1908.6068794540442</v>
      </c>
      <c r="AN87" s="214">
        <f>IF(AND(($E87+$C$1)&gt;AN$4,AN$4&gt;=$C$1),'General Inputs'!K$9*$H87,IF(AND(($D87+$C$1)&gt;AN$4,AN$4&gt;=$C$1),'General Inputs'!K$9*$G87,0))+IF(AND(($E87+$C$1)&gt;AN$4,AN$4&gt;=$C$1),'General Inputs'!K$10*$J87,IF(AND(($D87+$C$1)&gt;AN$4,AN$4&gt;=$C$1),'General Inputs'!K$10*$I87,0))</f>
        <v>1937.2359826458544</v>
      </c>
      <c r="AO87" s="214">
        <f>IF(AND(($E87+$C$1)&gt;AO$4,AO$4&gt;=$C$1),'General Inputs'!L$9*$H87,IF(AND(($D87+$C$1)&gt;AO$4,AO$4&gt;=$C$1),'General Inputs'!L$9*$G87,0))+IF(AND(($E87+$C$1)&gt;AO$4,AO$4&gt;=$C$1),'General Inputs'!L$10*$J87,IF(AND(($D87+$C$1)&gt;AO$4,AO$4&gt;=$C$1),'General Inputs'!L$10*$I87,0))</f>
        <v>1966.2945223855425</v>
      </c>
      <c r="AP87" s="214">
        <f>IF(AND(($E87+$C$1)&gt;AP$4,AP$4&gt;=$C$1),'General Inputs'!M$9*$H87,IF(AND(($D87+$C$1)&gt;AP$4,AP$4&gt;=$C$1),'General Inputs'!M$9*$G87,0))+IF(AND(($E87+$C$1)&gt;AP$4,AP$4&gt;=$C$1),'General Inputs'!M$10*$J87,IF(AND(($D87+$C$1)&gt;AP$4,AP$4&gt;=$C$1),'General Inputs'!M$10*$I87,0))</f>
        <v>1995.7889402213252</v>
      </c>
      <c r="AQ87" s="214">
        <f>IF(AND(($E87+$C$1)&gt;AQ$4,AQ$4&gt;=$C$1),'General Inputs'!N$9*$H87,IF(AND(($D87+$C$1)&gt;AQ$4,AQ$4&gt;=$C$1),'General Inputs'!N$9*$G87,0))+IF(AND(($E87+$C$1)&gt;AQ$4,AQ$4&gt;=$C$1),'General Inputs'!N$10*$J87,IF(AND(($D87+$C$1)&gt;AQ$4,AQ$4&gt;=$C$1),'General Inputs'!N$10*$I87,0))</f>
        <v>2025.725774324645</v>
      </c>
      <c r="AR87" s="214">
        <f>IF(AND(($E87+$C$1)&gt;AR$4,AR$4&gt;=$C$1),'General Inputs'!O$9*$H87,IF(AND(($D87+$C$1)&gt;AR$4,AR$4&gt;=$C$1),'General Inputs'!O$9*$G87,0))+IF(AND(($E87+$C$1)&gt;AR$4,AR$4&gt;=$C$1),'General Inputs'!O$10*$J87,IF(AND(($D87+$C$1)&gt;AR$4,AR$4&gt;=$C$1),'General Inputs'!O$10*$I87,0))</f>
        <v>2056.111660939514</v>
      </c>
      <c r="AS87" s="214">
        <f>IF(AND(($E87+$C$1)&gt;AS$4,AS$4&gt;=$C$1),'General Inputs'!P$9*$H87,IF(AND(($D87+$C$1)&gt;AS$4,AS$4&gt;=$C$1),'General Inputs'!P$9*$G87,0))+IF(AND(($E87+$C$1)&gt;AS$4,AS$4&gt;=$C$1),'General Inputs'!P$10*$J87,IF(AND(($D87+$C$1)&gt;AS$4,AS$4&gt;=$C$1),'General Inputs'!P$10*$I87,0))</f>
        <v>2086.9533358536069</v>
      </c>
      <c r="AT87" s="214">
        <f>IF(AND(($E87+$C$1)&gt;AT$4,AT$4&gt;=$C$1),'General Inputs'!Q$9*$H87,IF(AND(($D87+$C$1)&gt;AT$4,AT$4&gt;=$C$1),'General Inputs'!Q$9*$G87,0))+IF(AND(($E87+$C$1)&gt;AT$4,AT$4&gt;=$C$1),'General Inputs'!Q$10*$J87,IF(AND(($D87+$C$1)&gt;AT$4,AT$4&gt;=$C$1),'General Inputs'!Q$10*$I87,0))</f>
        <v>2118.2576358914107</v>
      </c>
      <c r="AU87" s="214">
        <f>IF(AND(($E87+$C$1)&gt;AU$4,AU$4&gt;=$C$1),'General Inputs'!R$9*$H87,IF(AND(($D87+$C$1)&gt;AU$4,AU$4&gt;=$C$1),'General Inputs'!R$9*$G87,0))+IF(AND(($E87+$C$1)&gt;AU$4,AU$4&gt;=$C$1),'General Inputs'!R$10*$J87,IF(AND(($D87+$C$1)&gt;AU$4,AU$4&gt;=$C$1),'General Inputs'!R$10*$I87,0))</f>
        <v>2150.0315004297818</v>
      </c>
      <c r="AV87" s="214">
        <f>IF(AND(($E87+$C$1)&gt;AV$4,AV$4&gt;=$C$1),'General Inputs'!S$9*$H87,IF(AND(($D87+$C$1)&gt;AV$4,AV$4&gt;=$C$1),'General Inputs'!S$9*$G87,0))+IF(AND(($E87+$C$1)&gt;AV$4,AV$4&gt;=$C$1),'General Inputs'!S$10*$J87,IF(AND(($D87+$C$1)&gt;AV$4,AV$4&gt;=$C$1),'General Inputs'!S$10*$I87,0))</f>
        <v>2182.2819729362286</v>
      </c>
      <c r="AW87" s="214">
        <f>IF(AND(($E87+$C$1)&gt;AW$4,AW$4&gt;=$C$1),'General Inputs'!T$9*$H87,IF(AND(($D87+$C$1)&gt;AW$4,AW$4&gt;=$C$1),'General Inputs'!T$9*$G87,0))+IF(AND(($E87+$C$1)&gt;AW$4,AW$4&gt;=$C$1),'General Inputs'!T$10*$J87,IF(AND(($D87+$C$1)&gt;AW$4,AW$4&gt;=$C$1),'General Inputs'!T$10*$I87,0))</f>
        <v>0</v>
      </c>
      <c r="AX87" s="214">
        <f>IF(AND(($E87+$C$1)&gt;AX$4,AX$4&gt;=$C$1),'General Inputs'!U$9*$H87,IF(AND(($D87+$C$1)&gt;AX$4,AX$4&gt;=$C$1),'General Inputs'!U$9*$G87,0))+IF(AND(($E87+$C$1)&gt;AX$4,AX$4&gt;=$C$1),'General Inputs'!U$10*$J87,IF(AND(($D87+$C$1)&gt;AX$4,AX$4&gt;=$C$1),'General Inputs'!U$10*$I87,0))</f>
        <v>0</v>
      </c>
      <c r="AY87" s="214">
        <f>IF(AND(($E87+$C$1)&gt;AY$4,AY$4&gt;=$C$1),'General Inputs'!V$9*$H87,IF(AND(($D87+$C$1)&gt;AY$4,AY$4&gt;=$C$1),'General Inputs'!V$9*$G87,0))+IF(AND(($E87+$C$1)&gt;AY$4,AY$4&gt;=$C$1),'General Inputs'!V$10*$J87,IF(AND(($D87+$C$1)&gt;AY$4,AY$4&gt;=$C$1),'General Inputs'!V$10*$I87,0))</f>
        <v>0</v>
      </c>
      <c r="AZ87" s="214">
        <f>IF(AND(($E87+$C$1)&gt;AZ$4,AZ$4&gt;=$C$1),'General Inputs'!W$9*$H87,IF(AND(($D87+$C$1)&gt;AZ$4,AZ$4&gt;=$C$1),'General Inputs'!W$9*$G87,0))+IF(AND(($E87+$C$1)&gt;AZ$4,AZ$4&gt;=$C$1),'General Inputs'!W$10*$J87,IF(AND(($D87+$C$1)&gt;AZ$4,AZ$4&gt;=$C$1),'General Inputs'!W$10*$I87,0))</f>
        <v>0</v>
      </c>
      <c r="BB87" s="214">
        <f>IF(AND(($E87+$C$1)&gt;BB$4,BB$4&gt;=$C$1),'General Inputs'!D$11*$H87,IF(AND(($D87+$C$1)&gt;BB$4,BB$4&gt;=$C$1),'General Inputs'!D$11*$G87,0))</f>
        <v>0</v>
      </c>
      <c r="BC87" s="214">
        <f>IF(AND(($E87+$C$1)&gt;BC$4,BC$4&gt;=$C$1),'General Inputs'!E$11*$H87,IF(AND(($D87+$C$1)&gt;BC$4,BC$4&gt;=$C$1),'General Inputs'!E$11*$G87,0))</f>
        <v>472.78940376094459</v>
      </c>
      <c r="BD87" s="214">
        <f>IF(AND(($E87+$C$1)&gt;BD$4,BD$4&gt;=$C$1),'General Inputs'!F$11*$H87,IF(AND(($D87+$C$1)&gt;BD$4,BD$4&gt;=$C$1),'General Inputs'!F$11*$G87,0))</f>
        <v>472.78940376094459</v>
      </c>
      <c r="BE87" s="214">
        <f>IF(AND(($E87+$C$1)&gt;BE$4,BE$4&gt;=$C$1),'General Inputs'!G$11*$H87,IF(AND(($D87+$C$1)&gt;BE$4,BE$4&gt;=$C$1),'General Inputs'!G$11*$G87,0))</f>
        <v>472.78940376094459</v>
      </c>
      <c r="BF87" s="214">
        <f>IF(AND(($E87+$C$1)&gt;BF$4,BF$4&gt;=$C$1),'General Inputs'!H$11*$H87,IF(AND(($D87+$C$1)&gt;BF$4,BF$4&gt;=$C$1),'General Inputs'!H$11*$G87,0))</f>
        <v>472.78940376094459</v>
      </c>
      <c r="BG87" s="214">
        <f>IF(AND(($E87+$C$1)&gt;BG$4,BG$4&gt;=$C$1),'General Inputs'!I$11*$H87,IF(AND(($D87+$C$1)&gt;BG$4,BG$4&gt;=$C$1),'General Inputs'!I$11*$G87,0))</f>
        <v>472.78940376094459</v>
      </c>
      <c r="BH87" s="214">
        <f>IF(AND(($E87+$C$1)&gt;BH$4,BH$4&gt;=$C$1),'General Inputs'!J$11*$H87,IF(AND(($D87+$C$1)&gt;BH$4,BH$4&gt;=$C$1),'General Inputs'!J$11*$G87,0))</f>
        <v>472.78940376094459</v>
      </c>
      <c r="BI87" s="214">
        <f>IF(AND(($E87+$C$1)&gt;BI$4,BI$4&gt;=$C$1),'General Inputs'!K$11*$H87,IF(AND(($D87+$C$1)&gt;BI$4,BI$4&gt;=$C$1),'General Inputs'!K$11*$G87,0))</f>
        <v>472.78940376094459</v>
      </c>
      <c r="BJ87" s="214">
        <f>IF(AND(($E87+$C$1)&gt;BJ$4,BJ$4&gt;=$C$1),'General Inputs'!L$11*$H87,IF(AND(($D87+$C$1)&gt;BJ$4,BJ$4&gt;=$C$1),'General Inputs'!L$11*$G87,0))</f>
        <v>472.78940376094459</v>
      </c>
      <c r="BK87" s="214">
        <f>IF(AND(($E87+$C$1)&gt;BK$4,BK$4&gt;=$C$1),'General Inputs'!M$11*$H87,IF(AND(($D87+$C$1)&gt;BK$4,BK$4&gt;=$C$1),'General Inputs'!M$11*$G87,0))</f>
        <v>472.78940376094459</v>
      </c>
      <c r="BL87" s="214">
        <f>IF(AND(($E87+$C$1)&gt;BL$4,BL$4&gt;=$C$1),'General Inputs'!N$11*$H87,IF(AND(($D87+$C$1)&gt;BL$4,BL$4&gt;=$C$1),'General Inputs'!N$11*$G87,0))</f>
        <v>472.78940376094459</v>
      </c>
      <c r="BM87" s="214">
        <f>IF(AND(($E87+$C$1)&gt;BM$4,BM$4&gt;=$C$1),'General Inputs'!O$11*$H87,IF(AND(($D87+$C$1)&gt;BM$4,BM$4&gt;=$C$1),'General Inputs'!O$11*$G87,0))</f>
        <v>472.78940376094459</v>
      </c>
      <c r="BN87" s="214">
        <f>IF(AND(($E87+$C$1)&gt;BN$4,BN$4&gt;=$C$1),'General Inputs'!P$11*$H87,IF(AND(($D87+$C$1)&gt;BN$4,BN$4&gt;=$C$1),'General Inputs'!P$11*$G87,0))</f>
        <v>472.78940376094459</v>
      </c>
      <c r="BO87" s="214">
        <f>IF(AND(($E87+$C$1)&gt;BO$4,BO$4&gt;=$C$1),'General Inputs'!Q$11*$H87,IF(AND(($D87+$C$1)&gt;BO$4,BO$4&gt;=$C$1),'General Inputs'!Q$11*$G87,0))</f>
        <v>472.78940376094459</v>
      </c>
      <c r="BP87" s="214">
        <f>IF(AND(($E87+$C$1)&gt;BP$4,BP$4&gt;=$C$1),'General Inputs'!R$11*$H87,IF(AND(($D87+$C$1)&gt;BP$4,BP$4&gt;=$C$1),'General Inputs'!R$11*$G87,0))</f>
        <v>472.78940376094459</v>
      </c>
      <c r="BQ87" s="214">
        <f>IF(AND(($E87+$C$1)&gt;BQ$4,BQ$4&gt;=$C$1),'General Inputs'!S$11*$H87,IF(AND(($D87+$C$1)&gt;BQ$4,BQ$4&gt;=$C$1),'General Inputs'!S$11*$G87,0))</f>
        <v>472.78940376094459</v>
      </c>
      <c r="BR87" s="214">
        <f>IF(AND(($E87+$C$1)&gt;BR$4,BR$4&gt;=$C$1),'General Inputs'!T$11*$H87,IF(AND(($D87+$C$1)&gt;BR$4,BR$4&gt;=$C$1),'General Inputs'!T$11*$G87,0))</f>
        <v>0</v>
      </c>
      <c r="BS87" s="214">
        <f>IF(AND(($E87+$C$1)&gt;BS$4,BS$4&gt;=$C$1),'General Inputs'!U$11*$H87,IF(AND(($D87+$C$1)&gt;BS$4,BS$4&gt;=$C$1),'General Inputs'!U$11*$G87,0))</f>
        <v>0</v>
      </c>
      <c r="BT87" s="214">
        <f>IF(AND(($E87+$C$1)&gt;BT$4,BT$4&gt;=$C$1),'General Inputs'!V$11*$H87,IF(AND(($D87+$C$1)&gt;BT$4,BT$4&gt;=$C$1),'General Inputs'!V$11*$G87,0))</f>
        <v>0</v>
      </c>
      <c r="BU87" s="214">
        <f>IF(AND(($E87+$C$1)&gt;BU$4,BU$4&gt;=$C$1),'General Inputs'!W$11*$H87,IF(AND(($D87+$C$1)&gt;BU$4,BU$4&gt;=$C$1),'General Inputs'!W$11*$G87,0))</f>
        <v>0</v>
      </c>
      <c r="BW87" s="214">
        <f>IF(AND(($E87+$C$1)&gt;BW$4,BW$4&gt;=$C$1),$H87,IF(AND(($D87+$C$1)&gt;BW$4,BW$4&gt;=$C$1),$G87,0))*IF($A87="Residential",'General Inputs'!D$14,'General Inputs'!D$19)</f>
        <v>0</v>
      </c>
      <c r="BX87" s="214">
        <f>IF(AND(($E87+$C$1)&gt;BX$4,BX$4&gt;=$C$1),$H87,IF(AND(($D87+$C$1)&gt;BX$4,BX$4&gt;=$C$1),$G87,0))*IF($A87="Residential",'General Inputs'!E$14,'General Inputs'!E$19)</f>
        <v>4397.5159210661686</v>
      </c>
      <c r="BY87" s="214">
        <f>IF(AND(($E87+$C$1)&gt;BY$4,BY$4&gt;=$C$1),$H87,IF(AND(($D87+$C$1)&gt;BY$4,BY$4&gt;=$C$1),$G87,0))*IF($A87="Residential",'General Inputs'!F$14,'General Inputs'!F$19)</f>
        <v>4463.4786598821611</v>
      </c>
      <c r="BZ87" s="214">
        <f>IF(AND(($E87+$C$1)&gt;BZ$4,BZ$4&gt;=$C$1),$H87,IF(AND(($D87+$C$1)&gt;BZ$4,BZ$4&gt;=$C$1),$G87,0))*IF($A87="Residential",'General Inputs'!G$14,'General Inputs'!G$19)</f>
        <v>4530.4308397803934</v>
      </c>
      <c r="CA87" s="214">
        <f>IF(AND(($E87+$C$1)&gt;CA$4,CA$4&gt;=$C$1),$H87,IF(AND(($D87+$C$1)&gt;CA$4,CA$4&gt;=$C$1),$G87,0))*IF($A87="Residential",'General Inputs'!H$14,'General Inputs'!H$19)</f>
        <v>4598.3873023770975</v>
      </c>
      <c r="CB87" s="214">
        <f>IF(AND(($E87+$C$1)&gt;CB$4,CB$4&gt;=$C$1),$H87,IF(AND(($D87+$C$1)&gt;CB$4,CB$4&gt;=$C$1),$G87,0))*IF($A87="Residential",'General Inputs'!I$14,'General Inputs'!I$19)</f>
        <v>4667.363111912754</v>
      </c>
      <c r="CC87" s="214">
        <f>IF(AND(($E87+$C$1)&gt;CC$4,CC$4&gt;=$C$1),$H87,IF(AND(($D87+$C$1)&gt;CC$4,CC$4&gt;=$C$1),$G87,0))*IF($A87="Residential",'General Inputs'!J$14,'General Inputs'!J$19)</f>
        <v>4737.3735585914446</v>
      </c>
      <c r="CD87" s="214">
        <f>IF(AND(($E87+$C$1)&gt;CD$4,CD$4&gt;=$C$1),$H87,IF(AND(($D87+$C$1)&gt;CD$4,CD$4&gt;=$C$1),$G87,0))*IF($A87="Residential",'General Inputs'!K$14,'General Inputs'!K$19)</f>
        <v>4808.4341619703164</v>
      </c>
      <c r="CE87" s="214">
        <f>IF(AND(($E87+$C$1)&gt;CE$4,CE$4&gt;=$C$1),$H87,IF(AND(($D87+$C$1)&gt;CE$4,CE$4&gt;=$C$1),$G87,0))*IF($A87="Residential",'General Inputs'!L$14,'General Inputs'!L$19)</f>
        <v>4880.5606743998705</v>
      </c>
      <c r="CF87" s="214">
        <f>IF(AND(($E87+$C$1)&gt;CF$4,CF$4&gt;=$C$1),$H87,IF(AND(($D87+$C$1)&gt;CF$4,CF$4&gt;=$C$1),$G87,0))*IF($A87="Residential",'General Inputs'!M$14,'General Inputs'!M$19)</f>
        <v>4953.7690845158677</v>
      </c>
      <c r="CG87" s="214">
        <f>IF(AND(($E87+$C$1)&gt;CG$4,CG$4&gt;=$C$1),$H87,IF(AND(($D87+$C$1)&gt;CG$4,CG$4&gt;=$C$1),$G87,0))*IF($A87="Residential",'General Inputs'!N$14,'General Inputs'!N$19)</f>
        <v>5028.0756207836057</v>
      </c>
      <c r="CH87" s="214">
        <f>IF(AND(($E87+$C$1)&gt;CH$4,CH$4&gt;=$C$1),$H87,IF(AND(($D87+$C$1)&gt;CH$4,CH$4&gt;=$C$1),$G87,0))*IF($A87="Residential",'General Inputs'!O$14,'General Inputs'!O$19)</f>
        <v>5103.4967550953588</v>
      </c>
      <c r="CI87" s="214">
        <f>IF(AND(($E87+$C$1)&gt;CI$4,CI$4&gt;=$C$1),$H87,IF(AND(($D87+$C$1)&gt;CI$4,CI$4&gt;=$C$1),$G87,0))*IF($A87="Residential",'General Inputs'!P$14,'General Inputs'!P$19)</f>
        <v>5180.0492064217888</v>
      </c>
      <c r="CJ87" s="214">
        <f>IF(AND(($E87+$C$1)&gt;CJ$4,CJ$4&gt;=$C$1),$H87,IF(AND(($D87+$C$1)&gt;CJ$4,CJ$4&gt;=$C$1),$G87,0))*IF($A87="Residential",'General Inputs'!Q$14,'General Inputs'!Q$19)</f>
        <v>5257.7499445181156</v>
      </c>
      <c r="CK87" s="214">
        <f>IF(AND(($E87+$C$1)&gt;CK$4,CK$4&gt;=$C$1),$H87,IF(AND(($D87+$C$1)&gt;CK$4,CK$4&gt;=$C$1),$G87,0))*IF($A87="Residential",'General Inputs'!R$14,'General Inputs'!R$19)</f>
        <v>5336.6161936858862</v>
      </c>
      <c r="CL87" s="214">
        <f>IF(AND(($E87+$C$1)&gt;CL$4,CL$4&gt;=$C$1),$H87,IF(AND(($D87+$C$1)&gt;CL$4,CL$4&gt;=$C$1),$G87,0))*IF($A87="Residential",'General Inputs'!S$14,'General Inputs'!S$19)</f>
        <v>5416.6654365911745</v>
      </c>
      <c r="CM87" s="214">
        <f>IF(AND(($E87+$C$1)&gt;CM$4,CM$4&gt;=$C$1),$H87,IF(AND(($D87+$C$1)&gt;CM$4,CM$4&gt;=$C$1),$G87,0))*IF($A87="Residential",'General Inputs'!T$14,'General Inputs'!T$19)</f>
        <v>0</v>
      </c>
      <c r="CN87" s="214">
        <f>IF(AND(($E87+$C$1)&gt;CN$4,CN$4&gt;=$C$1),$H87,IF(AND(($D87+$C$1)&gt;CN$4,CN$4&gt;=$C$1),$G87,0))*IF($A87="Residential",'General Inputs'!U$14,'General Inputs'!U$19)</f>
        <v>0</v>
      </c>
      <c r="CO87" s="214">
        <f>IF(AND(($E87+$C$1)&gt;CO$4,CO$4&gt;=$C$1),$H87,IF(AND(($D87+$C$1)&gt;CO$4,CO$4&gt;=$C$1),$G87,0))*IF($A87="Residential",'General Inputs'!V$14,'General Inputs'!V$19)</f>
        <v>0</v>
      </c>
      <c r="CP87" s="214">
        <f>IF(AND(($E87+$C$1)&gt;CP$4,CP$4&gt;=$C$1),$H87,IF(AND(($D87+$C$1)&gt;CP$4,CP$4&gt;=$C$1),$G87,0))*IF($A87="Residential",'General Inputs'!W$14,'General Inputs'!W$19)</f>
        <v>0</v>
      </c>
      <c r="CR87" s="214">
        <f>IF(AND(($E87+$C$1)&gt;CR$4,CR$4&gt;=$C$1),$H87,IF(AND(($D87+$C$1)&gt;CR$4,CR$4&gt;=$C$1),$G87,0))*IF($A87="Residential",'General Inputs'!D$15,'General Inputs'!D$19)</f>
        <v>0</v>
      </c>
      <c r="CS87" s="214">
        <f>IF(AND(($E87+$C$1)&gt;CS$4,CS$4&gt;=$C$1),$H87,IF(AND(($D87+$C$1)&gt;CS$4,CS$4&gt;=$C$1),$G87,0))*IF($A87="Residential",'General Inputs'!E$15,'General Inputs'!E$19)</f>
        <v>4397.5159210661686</v>
      </c>
      <c r="CT87" s="214">
        <f>IF(AND(($E87+$C$1)&gt;CT$4,CT$4&gt;=$C$1),$H87,IF(AND(($D87+$C$1)&gt;CT$4,CT$4&gt;=$C$1),$G87,0))*IF($A87="Residential",'General Inputs'!F$15,'General Inputs'!F$19)</f>
        <v>4463.4786598821611</v>
      </c>
      <c r="CU87" s="214">
        <f>IF(AND(($E87+$C$1)&gt;CU$4,CU$4&gt;=$C$1),$H87,IF(AND(($D87+$C$1)&gt;CU$4,CU$4&gt;=$C$1),$G87,0))*IF($A87="Residential",'General Inputs'!G$15,'General Inputs'!G$19)</f>
        <v>4530.4308397803934</v>
      </c>
      <c r="CV87" s="214">
        <f>IF(AND(($E87+$C$1)&gt;CV$4,CV$4&gt;=$C$1),$H87,IF(AND(($D87+$C$1)&gt;CV$4,CV$4&gt;=$C$1),$G87,0))*IF($A87="Residential",'General Inputs'!H$15,'General Inputs'!H$19)</f>
        <v>4598.3873023770975</v>
      </c>
      <c r="CW87" s="214">
        <f>IF(AND(($E87+$C$1)&gt;CW$4,CW$4&gt;=$C$1),$H87,IF(AND(($D87+$C$1)&gt;CW$4,CW$4&gt;=$C$1),$G87,0))*IF($A87="Residential",'General Inputs'!I$15,'General Inputs'!I$19)</f>
        <v>4667.363111912754</v>
      </c>
      <c r="CX87" s="214">
        <f>IF(AND(($E87+$C$1)&gt;CX$4,CX$4&gt;=$C$1),$H87,IF(AND(($D87+$C$1)&gt;CX$4,CX$4&gt;=$C$1),$G87,0))*IF($A87="Residential",'General Inputs'!J$15,'General Inputs'!J$19)</f>
        <v>4737.3735585914446</v>
      </c>
      <c r="CY87" s="214">
        <f>IF(AND(($E87+$C$1)&gt;CY$4,CY$4&gt;=$C$1),$H87,IF(AND(($D87+$C$1)&gt;CY$4,CY$4&gt;=$C$1),$G87,0))*IF($A87="Residential",'General Inputs'!K$15,'General Inputs'!K$19)</f>
        <v>4808.4341619703164</v>
      </c>
      <c r="CZ87" s="214">
        <f>IF(AND(($E87+$C$1)&gt;CZ$4,CZ$4&gt;=$C$1),$H87,IF(AND(($D87+$C$1)&gt;CZ$4,CZ$4&gt;=$C$1),$G87,0))*IF($A87="Residential",'General Inputs'!L$15,'General Inputs'!L$19)</f>
        <v>4880.5606743998705</v>
      </c>
      <c r="DA87" s="214">
        <f>IF(AND(($E87+$C$1)&gt;DA$4,DA$4&gt;=$C$1),$H87,IF(AND(($D87+$C$1)&gt;DA$4,DA$4&gt;=$C$1),$G87,0))*IF($A87="Residential",'General Inputs'!M$15,'General Inputs'!M$19)</f>
        <v>4953.7690845158677</v>
      </c>
      <c r="DB87" s="214">
        <f>IF(AND(($E87+$C$1)&gt;DB$4,DB$4&gt;=$C$1),$H87,IF(AND(($D87+$C$1)&gt;DB$4,DB$4&gt;=$C$1),$G87,0))*IF($A87="Residential",'General Inputs'!N$15,'General Inputs'!N$19)</f>
        <v>5028.0756207836057</v>
      </c>
      <c r="DC87" s="214">
        <f>IF(AND(($E87+$C$1)&gt;DC$4,DC$4&gt;=$C$1),$H87,IF(AND(($D87+$C$1)&gt;DC$4,DC$4&gt;=$C$1),$G87,0))*IF($A87="Residential",'General Inputs'!O$15,'General Inputs'!O$19)</f>
        <v>5103.4967550953588</v>
      </c>
      <c r="DD87" s="214">
        <f>IF(AND(($E87+$C$1)&gt;DD$4,DD$4&gt;=$C$1),$H87,IF(AND(($D87+$C$1)&gt;DD$4,DD$4&gt;=$C$1),$G87,0))*IF($A87="Residential",'General Inputs'!P$15,'General Inputs'!P$19)</f>
        <v>5180.0492064217888</v>
      </c>
      <c r="DE87" s="214">
        <f>IF(AND(($E87+$C$1)&gt;DE$4,DE$4&gt;=$C$1),$H87,IF(AND(($D87+$C$1)&gt;DE$4,DE$4&gt;=$C$1),$G87,0))*IF($A87="Residential",'General Inputs'!Q$15,'General Inputs'!Q$19)</f>
        <v>5257.7499445181156</v>
      </c>
      <c r="DF87" s="214">
        <f>IF(AND(($E87+$C$1)&gt;DF$4,DF$4&gt;=$C$1),$H87,IF(AND(($D87+$C$1)&gt;DF$4,DF$4&gt;=$C$1),$G87,0))*IF($A87="Residential",'General Inputs'!R$15,'General Inputs'!R$19)</f>
        <v>5336.6161936858862</v>
      </c>
      <c r="DG87" s="214">
        <f>IF(AND(($E87+$C$1)&gt;DG$4,DG$4&gt;=$C$1),$H87,IF(AND(($D87+$C$1)&gt;DG$4,DG$4&gt;=$C$1),$G87,0))*IF($A87="Residential",'General Inputs'!S$15,'General Inputs'!S$19)</f>
        <v>5416.6654365911745</v>
      </c>
      <c r="DH87" s="214">
        <f>IF(AND(($E87+$C$1)&gt;DH$4,DH$4&gt;=$C$1),$H87,IF(AND(($D87+$C$1)&gt;DH$4,DH$4&gt;=$C$1),$G87,0))*IF($A87="Residential",'General Inputs'!T$15,'General Inputs'!T$19)</f>
        <v>0</v>
      </c>
      <c r="DI87" s="214">
        <f>IF(AND(($E87+$C$1)&gt;DI$4,DI$4&gt;=$C$1),$H87,IF(AND(($D87+$C$1)&gt;DI$4,DI$4&gt;=$C$1),$G87,0))*IF($A87="Residential",'General Inputs'!U$15,'General Inputs'!U$19)</f>
        <v>0</v>
      </c>
      <c r="DJ87" s="214">
        <f>IF(AND(($E87+$C$1)&gt;DJ$4,DJ$4&gt;=$C$1),$H87,IF(AND(($D87+$C$1)&gt;DJ$4,DJ$4&gt;=$C$1),$G87,0))*IF($A87="Residential",'General Inputs'!V$15,'General Inputs'!V$19)</f>
        <v>0</v>
      </c>
      <c r="DK87" s="214">
        <f>IF(AND(($E87+$C$1)&gt;DK$4,DK$4&gt;=$C$1),$H87,IF(AND(($D87+$C$1)&gt;DK$4,DK$4&gt;=$C$1),$G87,0))*IF($A87="Residential",'General Inputs'!W$15,'General Inputs'!W$19)</f>
        <v>0</v>
      </c>
      <c r="DM87" s="214">
        <f t="shared" ref="DM87:DW90" si="114">IF($C$1=DM$4,$L87*$C87,IF($E87+$C$1=DM$4,-$M87*$C87,0))</f>
        <v>0</v>
      </c>
      <c r="DN87" s="214">
        <f t="shared" si="114"/>
        <v>7400</v>
      </c>
      <c r="DO87" s="214">
        <f t="shared" si="114"/>
        <v>0</v>
      </c>
      <c r="DP87" s="214">
        <f t="shared" si="114"/>
        <v>0</v>
      </c>
      <c r="DQ87" s="214">
        <f t="shared" si="114"/>
        <v>0</v>
      </c>
      <c r="DR87" s="214">
        <f t="shared" si="114"/>
        <v>0</v>
      </c>
      <c r="DS87" s="214">
        <f t="shared" si="114"/>
        <v>0</v>
      </c>
      <c r="DT87" s="214">
        <f t="shared" si="114"/>
        <v>0</v>
      </c>
      <c r="DU87" s="214">
        <f t="shared" si="114"/>
        <v>0</v>
      </c>
      <c r="DV87" s="214">
        <f t="shared" si="114"/>
        <v>0</v>
      </c>
      <c r="DW87" s="214">
        <f t="shared" si="114"/>
        <v>0</v>
      </c>
      <c r="DZ87" s="650"/>
      <c r="FI87" s="195"/>
      <c r="FJ87" s="195"/>
      <c r="FK87" s="195"/>
      <c r="FL87" s="195"/>
      <c r="FM87" s="195"/>
      <c r="FN87" s="195"/>
      <c r="FO87" s="195"/>
    </row>
    <row r="88" spans="1:171">
      <c r="A88" s="342" t="s">
        <v>112</v>
      </c>
      <c r="B88" s="427" t="str">
        <f>'Portfolio Inputs'!A87</f>
        <v>Single System Heat Pump</v>
      </c>
      <c r="C88" s="217">
        <f>IF($C$1=2014,'Portfolio Inputs'!$C87,IF($C$1=2015,'Portfolio Inputs'!$D87,'Portfolio Inputs'!$E87))</f>
        <v>20</v>
      </c>
      <c r="D88" s="504">
        <f>VLOOKUP(B88,Sources!$B$4:$J$104,2,FALSE)</f>
        <v>15</v>
      </c>
      <c r="E88" s="504">
        <f>VLOOKUP(B88,Sources!$B$4:$J$104,3,FALSE)</f>
        <v>0</v>
      </c>
      <c r="G88" s="504">
        <f>IF($C$1=2014,'Portfolio Inputs'!$G87,IF($C$1=2015,'Portfolio Inputs'!$H87,'Portfolio Inputs'!$I87))*EnergyLineLoss</f>
        <v>18986.890009989977</v>
      </c>
      <c r="H88" s="504"/>
      <c r="I88" s="595">
        <f>IF($C$1=2014,'Portfolio Inputs'!$K87,IF($C$1=2015,'Portfolio Inputs'!$L87,'Portfolio Inputs'!$M87))*PeakLineLoss</f>
        <v>6.3027098901098988</v>
      </c>
      <c r="J88" s="510"/>
      <c r="L88" s="606">
        <f>IF($C$1=2014,'Portfolio Inputs'!$O87,IF($C$1=2015,'Portfolio Inputs'!$P87,'Portfolio Inputs'!$Q87))</f>
        <v>370</v>
      </c>
      <c r="M88" s="518">
        <f>VLOOKUP($B88,Sources!$B$4:$K$104,10,FALSE)</f>
        <v>0</v>
      </c>
      <c r="N88" s="419">
        <f>IF($C$1=2014,'Portfolio Inputs'!$W87,IF($C$1=2015,'Portfolio Inputs'!$X87,'Portfolio Inputs'!$Y87))</f>
        <v>5000</v>
      </c>
      <c r="O88" s="419">
        <f>IF($C$1=2014,'Portfolio Inputs'!$AA87,IF($C$1=2015,'Portfolio Inputs'!$AB87,'Portfolio Inputs'!$AC87))</f>
        <v>0</v>
      </c>
      <c r="Q88" s="436">
        <f t="shared" ref="Q88:Q96" si="115">IF(OR(AE88&gt;0,AC88&gt;0),Y88/(AC88+AE88),"n/a")</f>
        <v>1.1225760544952994</v>
      </c>
      <c r="R88" s="437">
        <f t="shared" ref="R88:R96" si="116">IF(OR(AC88&gt;0,AD88&gt;0),Y88/((AD88+AC88)),"n/a")</f>
        <v>1.6614125606530432</v>
      </c>
      <c r="S88" s="437">
        <f t="shared" ref="S88:S96" si="117">IF(OR(AC88&gt;0,AE88&gt;0),(Y88+Z88)/(AC88+AE88),"n/a")</f>
        <v>1.3816362971632219</v>
      </c>
      <c r="T88" s="437">
        <f t="shared" ref="T88:T96" si="118">IF(AE88&gt;0,(AD88+AA88)/AE88,"n/a")</f>
        <v>3.294352720181748</v>
      </c>
      <c r="U88" s="439">
        <f t="shared" si="113"/>
        <v>3.294352720181748</v>
      </c>
      <c r="V88" s="439">
        <f t="shared" ref="V88:V96" si="119">IF((AA88+AC88+AD88)&gt;0,Y88/(AA88+AC88+AD88),"n/a")</f>
        <v>0.3407576995681772</v>
      </c>
      <c r="W88" s="439">
        <f t="shared" ref="W88:W96" si="120">IF((AB88+AC88+AD88)&gt;0,Y88/(AB88+AC88+AD88),"n/a")</f>
        <v>0.3407576995681772</v>
      </c>
      <c r="Y88" s="215">
        <f t="shared" si="101"/>
        <v>7632.3620022649911</v>
      </c>
      <c r="Z88" s="215">
        <f t="shared" si="102"/>
        <v>1761.3430684882624</v>
      </c>
      <c r="AA88" s="215">
        <f t="shared" si="103"/>
        <v>17804.309196384544</v>
      </c>
      <c r="AB88" s="215">
        <f t="shared" si="104"/>
        <v>17804.309196384544</v>
      </c>
      <c r="AC88" s="216">
        <f t="shared" si="20"/>
        <v>0</v>
      </c>
      <c r="AD88" s="216">
        <f t="shared" si="21"/>
        <v>4593.899301727306</v>
      </c>
      <c r="AE88" s="215">
        <f t="shared" si="105"/>
        <v>6798.9709665564133</v>
      </c>
      <c r="AG88" s="214">
        <f>IF(AND(($E88+$C$1)&gt;AG$4,AG$4&gt;=$C$1),'General Inputs'!D$9*$H88,IF(AND(($D88+$C$1)&gt;AG$4,AG$4&gt;=$C$1),'General Inputs'!D$9*$G88,0))+IF(AND(($E88+$C$1)&gt;AG$4,AG$4&gt;=$C$1),'General Inputs'!D$10*$J88,IF(AND(($D88+$C$1)&gt;AG$4,AG$4&gt;=$C$1),'General Inputs'!D$10*$I88,0))</f>
        <v>0</v>
      </c>
      <c r="AH88" s="214">
        <f>IF(AND(($E88+$C$1)&gt;AH$4,AH$4&gt;=$C$1),'General Inputs'!E$9*$H88,IF(AND(($D88+$C$1)&gt;AH$4,AH$4&gt;=$C$1),'General Inputs'!E$9*$G88,0))+IF(AND(($E88+$C$1)&gt;AH$4,AH$4&gt;=$C$1),'General Inputs'!E$10*$J88,IF(AND(($D88+$C$1)&gt;AH$4,AH$4&gt;=$C$1),'General Inputs'!E$10*$I88,0))</f>
        <v>863.04254372872253</v>
      </c>
      <c r="AI88" s="214">
        <f>IF(AND(($E88+$C$1)&gt;AI$4,AI$4&gt;=$C$1),'General Inputs'!F$9*$H88,IF(AND(($D88+$C$1)&gt;AI$4,AI$4&gt;=$C$1),'General Inputs'!F$9*$G88,0))+IF(AND(($E88+$C$1)&gt;AI$4,AI$4&gt;=$C$1),'General Inputs'!F$10*$J88,IF(AND(($D88+$C$1)&gt;AI$4,AI$4&gt;=$C$1),'General Inputs'!F$10*$I88,0))</f>
        <v>875.98818188465339</v>
      </c>
      <c r="AJ88" s="214">
        <f>IF(AND(($E88+$C$1)&gt;AJ$4,AJ$4&gt;=$C$1),'General Inputs'!G$9*$H88,IF(AND(($D88+$C$1)&gt;AJ$4,AJ$4&gt;=$C$1),'General Inputs'!G$9*$G88,0))+IF(AND(($E88+$C$1)&gt;AJ$4,AJ$4&gt;=$C$1),'General Inputs'!G$10*$J88,IF(AND(($D88+$C$1)&gt;AJ$4,AJ$4&gt;=$C$1),'General Inputs'!G$10*$I88,0))</f>
        <v>889.12800461292306</v>
      </c>
      <c r="AK88" s="214">
        <f>IF(AND(($E88+$C$1)&gt;AK$4,AK$4&gt;=$C$1),'General Inputs'!H$9*$H88,IF(AND(($D88+$C$1)&gt;AK$4,AK$4&gt;=$C$1),'General Inputs'!H$9*$G88,0))+IF(AND(($E88+$C$1)&gt;AK$4,AK$4&gt;=$C$1),'General Inputs'!H$10*$J88,IF(AND(($D88+$C$1)&gt;AK$4,AK$4&gt;=$C$1),'General Inputs'!H$10*$I88,0))</f>
        <v>902.46492468211682</v>
      </c>
      <c r="AL88" s="214">
        <f>IF(AND(($E88+$C$1)&gt;AL$4,AL$4&gt;=$C$1),'General Inputs'!I$9*$H88,IF(AND(($D88+$C$1)&gt;AL$4,AL$4&gt;=$C$1),'General Inputs'!I$9*$G88,0))+IF(AND(($E88+$C$1)&gt;AL$4,AL$4&gt;=$C$1),'General Inputs'!I$10*$J88,IF(AND(($D88+$C$1)&gt;AL$4,AL$4&gt;=$C$1),'General Inputs'!I$10*$I88,0))</f>
        <v>916.00189855234839</v>
      </c>
      <c r="AM88" s="214">
        <f>IF(AND(($E88+$C$1)&gt;AM$4,AM$4&gt;=$C$1),'General Inputs'!J$9*$H88,IF(AND(($D88+$C$1)&gt;AM$4,AM$4&gt;=$C$1),'General Inputs'!J$9*$G88,0))+IF(AND(($E88+$C$1)&gt;AM$4,AM$4&gt;=$C$1),'General Inputs'!J$10*$J88,IF(AND(($D88+$C$1)&gt;AM$4,AM$4&gt;=$C$1),'General Inputs'!J$10*$I88,0))</f>
        <v>929.74192703063352</v>
      </c>
      <c r="AN88" s="214">
        <f>IF(AND(($E88+$C$1)&gt;AN$4,AN$4&gt;=$C$1),'General Inputs'!K$9*$H88,IF(AND(($D88+$C$1)&gt;AN$4,AN$4&gt;=$C$1),'General Inputs'!K$9*$G88,0))+IF(AND(($E88+$C$1)&gt;AN$4,AN$4&gt;=$C$1),'General Inputs'!K$10*$J88,IF(AND(($D88+$C$1)&gt;AN$4,AN$4&gt;=$C$1),'General Inputs'!K$10*$I88,0))</f>
        <v>943.68805593609284</v>
      </c>
      <c r="AO88" s="214">
        <f>IF(AND(($E88+$C$1)&gt;AO$4,AO$4&gt;=$C$1),'General Inputs'!L$9*$H88,IF(AND(($D88+$C$1)&gt;AO$4,AO$4&gt;=$C$1),'General Inputs'!L$9*$G88,0))+IF(AND(($E88+$C$1)&gt;AO$4,AO$4&gt;=$C$1),'General Inputs'!L$10*$J88,IF(AND(($D88+$C$1)&gt;AO$4,AO$4&gt;=$C$1),'General Inputs'!L$10*$I88,0))</f>
        <v>957.84337677513417</v>
      </c>
      <c r="AP88" s="214">
        <f>IF(AND(($E88+$C$1)&gt;AP$4,AP$4&gt;=$C$1),'General Inputs'!M$9*$H88,IF(AND(($D88+$C$1)&gt;AP$4,AP$4&gt;=$C$1),'General Inputs'!M$9*$G88,0))+IF(AND(($E88+$C$1)&gt;AP$4,AP$4&gt;=$C$1),'General Inputs'!M$10*$J88,IF(AND(($D88+$C$1)&gt;AP$4,AP$4&gt;=$C$1),'General Inputs'!M$10*$I88,0))</f>
        <v>972.21102742676112</v>
      </c>
      <c r="AQ88" s="214">
        <f>IF(AND(($E88+$C$1)&gt;AQ$4,AQ$4&gt;=$C$1),'General Inputs'!N$9*$H88,IF(AND(($D88+$C$1)&gt;AQ$4,AQ$4&gt;=$C$1),'General Inputs'!N$9*$G88,0))+IF(AND(($E88+$C$1)&gt;AQ$4,AQ$4&gt;=$C$1),'General Inputs'!N$10*$J88,IF(AND(($D88+$C$1)&gt;AQ$4,AQ$4&gt;=$C$1),'General Inputs'!N$10*$I88,0))</f>
        <v>986.79419283816242</v>
      </c>
      <c r="AR88" s="214">
        <f>IF(AND(($E88+$C$1)&gt;AR$4,AR$4&gt;=$C$1),'General Inputs'!O$9*$H88,IF(AND(($D88+$C$1)&gt;AR$4,AR$4&gt;=$C$1),'General Inputs'!O$9*$G88,0))+IF(AND(($E88+$C$1)&gt;AR$4,AR$4&gt;=$C$1),'General Inputs'!O$10*$J88,IF(AND(($D88+$C$1)&gt;AR$4,AR$4&gt;=$C$1),'General Inputs'!O$10*$I88,0))</f>
        <v>1001.5961057307347</v>
      </c>
      <c r="AS88" s="214">
        <f>IF(AND(($E88+$C$1)&gt;AS$4,AS$4&gt;=$C$1),'General Inputs'!P$9*$H88,IF(AND(($D88+$C$1)&gt;AS$4,AS$4&gt;=$C$1),'General Inputs'!P$9*$G88,0))+IF(AND(($E88+$C$1)&gt;AS$4,AS$4&gt;=$C$1),'General Inputs'!P$10*$J88,IF(AND(($D88+$C$1)&gt;AS$4,AS$4&gt;=$C$1),'General Inputs'!P$10*$I88,0))</f>
        <v>1016.6200473166956</v>
      </c>
      <c r="AT88" s="214">
        <f>IF(AND(($E88+$C$1)&gt;AT$4,AT$4&gt;=$C$1),'General Inputs'!Q$9*$H88,IF(AND(($D88+$C$1)&gt;AT$4,AT$4&gt;=$C$1),'General Inputs'!Q$9*$G88,0))+IF(AND(($E88+$C$1)&gt;AT$4,AT$4&gt;=$C$1),'General Inputs'!Q$10*$J88,IF(AND(($D88+$C$1)&gt;AT$4,AT$4&gt;=$C$1),'General Inputs'!Q$10*$I88,0))</f>
        <v>1031.869348026446</v>
      </c>
      <c r="AU88" s="214">
        <f>IF(AND(($E88+$C$1)&gt;AU$4,AU$4&gt;=$C$1),'General Inputs'!R$9*$H88,IF(AND(($D88+$C$1)&gt;AU$4,AU$4&gt;=$C$1),'General Inputs'!R$9*$G88,0))+IF(AND(($E88+$C$1)&gt;AU$4,AU$4&gt;=$C$1),'General Inputs'!R$10*$J88,IF(AND(($D88+$C$1)&gt;AU$4,AU$4&gt;=$C$1),'General Inputs'!R$10*$I88,0))</f>
        <v>1047.3473882468427</v>
      </c>
      <c r="AV88" s="214">
        <f>IF(AND(($E88+$C$1)&gt;AV$4,AV$4&gt;=$C$1),'General Inputs'!S$9*$H88,IF(AND(($D88+$C$1)&gt;AV$4,AV$4&gt;=$C$1),'General Inputs'!S$9*$G88,0))+IF(AND(($E88+$C$1)&gt;AV$4,AV$4&gt;=$C$1),'General Inputs'!S$10*$J88,IF(AND(($D88+$C$1)&gt;AV$4,AV$4&gt;=$C$1),'General Inputs'!S$10*$I88,0))</f>
        <v>1063.0575990705452</v>
      </c>
      <c r="AW88" s="214">
        <f>IF(AND(($E88+$C$1)&gt;AW$4,AW$4&gt;=$C$1),'General Inputs'!T$9*$H88,IF(AND(($D88+$C$1)&gt;AW$4,AW$4&gt;=$C$1),'General Inputs'!T$9*$G88,0))+IF(AND(($E88+$C$1)&gt;AW$4,AW$4&gt;=$C$1),'General Inputs'!T$10*$J88,IF(AND(($D88+$C$1)&gt;AW$4,AW$4&gt;=$C$1),'General Inputs'!T$10*$I88,0))</f>
        <v>0</v>
      </c>
      <c r="AX88" s="214">
        <f>IF(AND(($E88+$C$1)&gt;AX$4,AX$4&gt;=$C$1),'General Inputs'!U$9*$H88,IF(AND(($D88+$C$1)&gt;AX$4,AX$4&gt;=$C$1),'General Inputs'!U$9*$G88,0))+IF(AND(($E88+$C$1)&gt;AX$4,AX$4&gt;=$C$1),'General Inputs'!U$10*$J88,IF(AND(($D88+$C$1)&gt;AX$4,AX$4&gt;=$C$1),'General Inputs'!U$10*$I88,0))</f>
        <v>0</v>
      </c>
      <c r="AY88" s="214">
        <f>IF(AND(($E88+$C$1)&gt;AY$4,AY$4&gt;=$C$1),'General Inputs'!V$9*$H88,IF(AND(($D88+$C$1)&gt;AY$4,AY$4&gt;=$C$1),'General Inputs'!V$9*$G88,0))+IF(AND(($E88+$C$1)&gt;AY$4,AY$4&gt;=$C$1),'General Inputs'!V$10*$J88,IF(AND(($D88+$C$1)&gt;AY$4,AY$4&gt;=$C$1),'General Inputs'!V$10*$I88,0))</f>
        <v>0</v>
      </c>
      <c r="AZ88" s="214">
        <f>IF(AND(($E88+$C$1)&gt;AZ$4,AZ$4&gt;=$C$1),'General Inputs'!W$9*$H88,IF(AND(($D88+$C$1)&gt;AZ$4,AZ$4&gt;=$C$1),'General Inputs'!W$9*$G88,0))+IF(AND(($E88+$C$1)&gt;AZ$4,AZ$4&gt;=$C$1),'General Inputs'!W$10*$J88,IF(AND(($D88+$C$1)&gt;AZ$4,AZ$4&gt;=$C$1),'General Inputs'!W$10*$I88,0))</f>
        <v>0</v>
      </c>
      <c r="BB88" s="214">
        <f>IF(AND(($E88+$C$1)&gt;BB$4,BB$4&gt;=$C$1),'General Inputs'!D$11*$H88,IF(AND(($D88+$C$1)&gt;BB$4,BB$4&gt;=$C$1),'General Inputs'!D$11*$G88,0))</f>
        <v>0</v>
      </c>
      <c r="BC88" s="214">
        <f>IF(AND(($E88+$C$1)&gt;BC$4,BC$4&gt;=$C$1),'General Inputs'!E$11*$H88,IF(AND(($D88+$C$1)&gt;BC$4,BC$4&gt;=$C$1),'General Inputs'!E$11*$G88,0))</f>
        <v>216.45054611388574</v>
      </c>
      <c r="BD88" s="214">
        <f>IF(AND(($E88+$C$1)&gt;BD$4,BD$4&gt;=$C$1),'General Inputs'!F$11*$H88,IF(AND(($D88+$C$1)&gt;BD$4,BD$4&gt;=$C$1),'General Inputs'!F$11*$G88,0))</f>
        <v>216.45054611388574</v>
      </c>
      <c r="BE88" s="214">
        <f>IF(AND(($E88+$C$1)&gt;BE$4,BE$4&gt;=$C$1),'General Inputs'!G$11*$H88,IF(AND(($D88+$C$1)&gt;BE$4,BE$4&gt;=$C$1),'General Inputs'!G$11*$G88,0))</f>
        <v>216.45054611388574</v>
      </c>
      <c r="BF88" s="214">
        <f>IF(AND(($E88+$C$1)&gt;BF$4,BF$4&gt;=$C$1),'General Inputs'!H$11*$H88,IF(AND(($D88+$C$1)&gt;BF$4,BF$4&gt;=$C$1),'General Inputs'!H$11*$G88,0))</f>
        <v>216.45054611388574</v>
      </c>
      <c r="BG88" s="214">
        <f>IF(AND(($E88+$C$1)&gt;BG$4,BG$4&gt;=$C$1),'General Inputs'!I$11*$H88,IF(AND(($D88+$C$1)&gt;BG$4,BG$4&gt;=$C$1),'General Inputs'!I$11*$G88,0))</f>
        <v>216.45054611388574</v>
      </c>
      <c r="BH88" s="214">
        <f>IF(AND(($E88+$C$1)&gt;BH$4,BH$4&gt;=$C$1),'General Inputs'!J$11*$H88,IF(AND(($D88+$C$1)&gt;BH$4,BH$4&gt;=$C$1),'General Inputs'!J$11*$G88,0))</f>
        <v>216.45054611388574</v>
      </c>
      <c r="BI88" s="214">
        <f>IF(AND(($E88+$C$1)&gt;BI$4,BI$4&gt;=$C$1),'General Inputs'!K$11*$H88,IF(AND(($D88+$C$1)&gt;BI$4,BI$4&gt;=$C$1),'General Inputs'!K$11*$G88,0))</f>
        <v>216.45054611388574</v>
      </c>
      <c r="BJ88" s="214">
        <f>IF(AND(($E88+$C$1)&gt;BJ$4,BJ$4&gt;=$C$1),'General Inputs'!L$11*$H88,IF(AND(($D88+$C$1)&gt;BJ$4,BJ$4&gt;=$C$1),'General Inputs'!L$11*$G88,0))</f>
        <v>216.45054611388574</v>
      </c>
      <c r="BK88" s="214">
        <f>IF(AND(($E88+$C$1)&gt;BK$4,BK$4&gt;=$C$1),'General Inputs'!M$11*$H88,IF(AND(($D88+$C$1)&gt;BK$4,BK$4&gt;=$C$1),'General Inputs'!M$11*$G88,0))</f>
        <v>216.45054611388574</v>
      </c>
      <c r="BL88" s="214">
        <f>IF(AND(($E88+$C$1)&gt;BL$4,BL$4&gt;=$C$1),'General Inputs'!N$11*$H88,IF(AND(($D88+$C$1)&gt;BL$4,BL$4&gt;=$C$1),'General Inputs'!N$11*$G88,0))</f>
        <v>216.45054611388574</v>
      </c>
      <c r="BM88" s="214">
        <f>IF(AND(($E88+$C$1)&gt;BM$4,BM$4&gt;=$C$1),'General Inputs'!O$11*$H88,IF(AND(($D88+$C$1)&gt;BM$4,BM$4&gt;=$C$1),'General Inputs'!O$11*$G88,0))</f>
        <v>216.45054611388574</v>
      </c>
      <c r="BN88" s="214">
        <f>IF(AND(($E88+$C$1)&gt;BN$4,BN$4&gt;=$C$1),'General Inputs'!P$11*$H88,IF(AND(($D88+$C$1)&gt;BN$4,BN$4&gt;=$C$1),'General Inputs'!P$11*$G88,0))</f>
        <v>216.45054611388574</v>
      </c>
      <c r="BO88" s="214">
        <f>IF(AND(($E88+$C$1)&gt;BO$4,BO$4&gt;=$C$1),'General Inputs'!Q$11*$H88,IF(AND(($D88+$C$1)&gt;BO$4,BO$4&gt;=$C$1),'General Inputs'!Q$11*$G88,0))</f>
        <v>216.45054611388574</v>
      </c>
      <c r="BP88" s="214">
        <f>IF(AND(($E88+$C$1)&gt;BP$4,BP$4&gt;=$C$1),'General Inputs'!R$11*$H88,IF(AND(($D88+$C$1)&gt;BP$4,BP$4&gt;=$C$1),'General Inputs'!R$11*$G88,0))</f>
        <v>216.45054611388574</v>
      </c>
      <c r="BQ88" s="214">
        <f>IF(AND(($E88+$C$1)&gt;BQ$4,BQ$4&gt;=$C$1),'General Inputs'!S$11*$H88,IF(AND(($D88+$C$1)&gt;BQ$4,BQ$4&gt;=$C$1),'General Inputs'!S$11*$G88,0))</f>
        <v>216.45054611388574</v>
      </c>
      <c r="BR88" s="214">
        <f>IF(AND(($E88+$C$1)&gt;BR$4,BR$4&gt;=$C$1),'General Inputs'!T$11*$H88,IF(AND(($D88+$C$1)&gt;BR$4,BR$4&gt;=$C$1),'General Inputs'!T$11*$G88,0))</f>
        <v>0</v>
      </c>
      <c r="BS88" s="214">
        <f>IF(AND(($E88+$C$1)&gt;BS$4,BS$4&gt;=$C$1),'General Inputs'!U$11*$H88,IF(AND(($D88+$C$1)&gt;BS$4,BS$4&gt;=$C$1),'General Inputs'!U$11*$G88,0))</f>
        <v>0</v>
      </c>
      <c r="BT88" s="214">
        <f>IF(AND(($E88+$C$1)&gt;BT$4,BT$4&gt;=$C$1),'General Inputs'!V$11*$H88,IF(AND(($D88+$C$1)&gt;BT$4,BT$4&gt;=$C$1),'General Inputs'!V$11*$G88,0))</f>
        <v>0</v>
      </c>
      <c r="BU88" s="214">
        <f>IF(AND(($E88+$C$1)&gt;BU$4,BU$4&gt;=$C$1),'General Inputs'!W$11*$H88,IF(AND(($D88+$C$1)&gt;BU$4,BU$4&gt;=$C$1),'General Inputs'!W$11*$G88,0))</f>
        <v>0</v>
      </c>
      <c r="BW88" s="214">
        <f>IF(AND(($E88+$C$1)&gt;BW$4,BW$4&gt;=$C$1),$H88,IF(AND(($D88+$C$1)&gt;BW$4,BW$4&gt;=$C$1),$G88,0))*IF($A88="Residential",'General Inputs'!D$14,'General Inputs'!D$19)</f>
        <v>0</v>
      </c>
      <c r="BX88" s="214">
        <f>IF(AND(($E88+$C$1)&gt;BX$4,BX$4&gt;=$C$1),$H88,IF(AND(($D88+$C$1)&gt;BX$4,BX$4&gt;=$C$1),$G88,0))*IF($A88="Residential",'General Inputs'!E$14,'General Inputs'!E$19)</f>
        <v>2013.2530786171308</v>
      </c>
      <c r="BY88" s="214">
        <f>IF(AND(($E88+$C$1)&gt;BY$4,BY$4&gt;=$C$1),$H88,IF(AND(($D88+$C$1)&gt;BY$4,BY$4&gt;=$C$1),$G88,0))*IF($A88="Residential",'General Inputs'!F$14,'General Inputs'!F$19)</f>
        <v>2043.451874796388</v>
      </c>
      <c r="BZ88" s="214">
        <f>IF(AND(($E88+$C$1)&gt;BZ$4,BZ$4&gt;=$C$1),$H88,IF(AND(($D88+$C$1)&gt;BZ$4,BZ$4&gt;=$C$1),$G88,0))*IF($A88="Residential",'General Inputs'!G$14,'General Inputs'!G$19)</f>
        <v>2074.1036529183334</v>
      </c>
      <c r="CA88" s="214">
        <f>IF(AND(($E88+$C$1)&gt;CA$4,CA$4&gt;=$C$1),$H88,IF(AND(($D88+$C$1)&gt;CA$4,CA$4&gt;=$C$1),$G88,0))*IF($A88="Residential",'General Inputs'!H$14,'General Inputs'!H$19)</f>
        <v>2105.2152077121082</v>
      </c>
      <c r="CB88" s="214">
        <f>IF(AND(($E88+$C$1)&gt;CB$4,CB$4&gt;=$C$1),$H88,IF(AND(($D88+$C$1)&gt;CB$4,CB$4&gt;=$C$1),$G88,0))*IF($A88="Residential",'General Inputs'!I$14,'General Inputs'!I$19)</f>
        <v>2136.7934358277894</v>
      </c>
      <c r="CC88" s="214">
        <f>IF(AND(($E88+$C$1)&gt;CC$4,CC$4&gt;=$C$1),$H88,IF(AND(($D88+$C$1)&gt;CC$4,CC$4&gt;=$C$1),$G88,0))*IF($A88="Residential",'General Inputs'!J$14,'General Inputs'!J$19)</f>
        <v>2168.845337365206</v>
      </c>
      <c r="CD88" s="214">
        <f>IF(AND(($E88+$C$1)&gt;CD$4,CD$4&gt;=$C$1),$H88,IF(AND(($D88+$C$1)&gt;CD$4,CD$4&gt;=$C$1),$G88,0))*IF($A88="Residential",'General Inputs'!K$14,'General Inputs'!K$19)</f>
        <v>2201.378017425684</v>
      </c>
      <c r="CE88" s="214">
        <f>IF(AND(($E88+$C$1)&gt;CE$4,CE$4&gt;=$C$1),$H88,IF(AND(($D88+$C$1)&gt;CE$4,CE$4&gt;=$C$1),$G88,0))*IF($A88="Residential",'General Inputs'!L$14,'General Inputs'!L$19)</f>
        <v>2234.398687687069</v>
      </c>
      <c r="CF88" s="214">
        <f>IF(AND(($E88+$C$1)&gt;CF$4,CF$4&gt;=$C$1),$H88,IF(AND(($D88+$C$1)&gt;CF$4,CF$4&gt;=$C$1),$G88,0))*IF($A88="Residential",'General Inputs'!M$14,'General Inputs'!M$19)</f>
        <v>2267.9146680023746</v>
      </c>
      <c r="CG88" s="214">
        <f>IF(AND(($E88+$C$1)&gt;CG$4,CG$4&gt;=$C$1),$H88,IF(AND(($D88+$C$1)&gt;CG$4,CG$4&gt;=$C$1),$G88,0))*IF($A88="Residential",'General Inputs'!N$14,'General Inputs'!N$19)</f>
        <v>2301.9333880224103</v>
      </c>
      <c r="CH88" s="214">
        <f>IF(AND(($E88+$C$1)&gt;CH$4,CH$4&gt;=$C$1),$H88,IF(AND(($D88+$C$1)&gt;CH$4,CH$4&gt;=$C$1),$G88,0))*IF($A88="Residential",'General Inputs'!O$14,'General Inputs'!O$19)</f>
        <v>2336.4623888427459</v>
      </c>
      <c r="CI88" s="214">
        <f>IF(AND(($E88+$C$1)&gt;CI$4,CI$4&gt;=$C$1),$H88,IF(AND(($D88+$C$1)&gt;CI$4,CI$4&gt;=$C$1),$G88,0))*IF($A88="Residential",'General Inputs'!P$14,'General Inputs'!P$19)</f>
        <v>2371.5093246753872</v>
      </c>
      <c r="CJ88" s="214">
        <f>IF(AND(($E88+$C$1)&gt;CJ$4,CJ$4&gt;=$C$1),$H88,IF(AND(($D88+$C$1)&gt;CJ$4,CJ$4&gt;=$C$1),$G88,0))*IF($A88="Residential",'General Inputs'!Q$14,'General Inputs'!Q$19)</f>
        <v>2407.0819645455176</v>
      </c>
      <c r="CK88" s="214">
        <f>IF(AND(($E88+$C$1)&gt;CK$4,CK$4&gt;=$C$1),$H88,IF(AND(($D88+$C$1)&gt;CK$4,CK$4&gt;=$C$1),$G88,0))*IF($A88="Residential",'General Inputs'!R$14,'General Inputs'!R$19)</f>
        <v>2443.1881940137</v>
      </c>
      <c r="CL88" s="214">
        <f>IF(AND(($E88+$C$1)&gt;CL$4,CL$4&gt;=$C$1),$H88,IF(AND(($D88+$C$1)&gt;CL$4,CL$4&gt;=$C$1),$G88,0))*IF($A88="Residential",'General Inputs'!S$14,'General Inputs'!S$19)</f>
        <v>2479.8360169239054</v>
      </c>
      <c r="CM88" s="214">
        <f>IF(AND(($E88+$C$1)&gt;CM$4,CM$4&gt;=$C$1),$H88,IF(AND(($D88+$C$1)&gt;CM$4,CM$4&gt;=$C$1),$G88,0))*IF($A88="Residential",'General Inputs'!T$14,'General Inputs'!T$19)</f>
        <v>0</v>
      </c>
      <c r="CN88" s="214">
        <f>IF(AND(($E88+$C$1)&gt;CN$4,CN$4&gt;=$C$1),$H88,IF(AND(($D88+$C$1)&gt;CN$4,CN$4&gt;=$C$1),$G88,0))*IF($A88="Residential",'General Inputs'!U$14,'General Inputs'!U$19)</f>
        <v>0</v>
      </c>
      <c r="CO88" s="214">
        <f>IF(AND(($E88+$C$1)&gt;CO$4,CO$4&gt;=$C$1),$H88,IF(AND(($D88+$C$1)&gt;CO$4,CO$4&gt;=$C$1),$G88,0))*IF($A88="Residential",'General Inputs'!V$14,'General Inputs'!V$19)</f>
        <v>0</v>
      </c>
      <c r="CP88" s="214">
        <f>IF(AND(($E88+$C$1)&gt;CP$4,CP$4&gt;=$C$1),$H88,IF(AND(($D88+$C$1)&gt;CP$4,CP$4&gt;=$C$1),$G88,0))*IF($A88="Residential",'General Inputs'!W$14,'General Inputs'!W$19)</f>
        <v>0</v>
      </c>
      <c r="CR88" s="214">
        <f>IF(AND(($E88+$C$1)&gt;CR$4,CR$4&gt;=$C$1),$H88,IF(AND(($D88+$C$1)&gt;CR$4,CR$4&gt;=$C$1),$G88,0))*IF($A88="Residential",'General Inputs'!D$15,'General Inputs'!D$19)</f>
        <v>0</v>
      </c>
      <c r="CS88" s="214">
        <f>IF(AND(($E88+$C$1)&gt;CS$4,CS$4&gt;=$C$1),$H88,IF(AND(($D88+$C$1)&gt;CS$4,CS$4&gt;=$C$1),$G88,0))*IF($A88="Residential",'General Inputs'!E$15,'General Inputs'!E$19)</f>
        <v>2013.2530786171308</v>
      </c>
      <c r="CT88" s="214">
        <f>IF(AND(($E88+$C$1)&gt;CT$4,CT$4&gt;=$C$1),$H88,IF(AND(($D88+$C$1)&gt;CT$4,CT$4&gt;=$C$1),$G88,0))*IF($A88="Residential",'General Inputs'!F$15,'General Inputs'!F$19)</f>
        <v>2043.451874796388</v>
      </c>
      <c r="CU88" s="214">
        <f>IF(AND(($E88+$C$1)&gt;CU$4,CU$4&gt;=$C$1),$H88,IF(AND(($D88+$C$1)&gt;CU$4,CU$4&gt;=$C$1),$G88,0))*IF($A88="Residential",'General Inputs'!G$15,'General Inputs'!G$19)</f>
        <v>2074.1036529183334</v>
      </c>
      <c r="CV88" s="214">
        <f>IF(AND(($E88+$C$1)&gt;CV$4,CV$4&gt;=$C$1),$H88,IF(AND(($D88+$C$1)&gt;CV$4,CV$4&gt;=$C$1),$G88,0))*IF($A88="Residential",'General Inputs'!H$15,'General Inputs'!H$19)</f>
        <v>2105.2152077121082</v>
      </c>
      <c r="CW88" s="214">
        <f>IF(AND(($E88+$C$1)&gt;CW$4,CW$4&gt;=$C$1),$H88,IF(AND(($D88+$C$1)&gt;CW$4,CW$4&gt;=$C$1),$G88,0))*IF($A88="Residential",'General Inputs'!I$15,'General Inputs'!I$19)</f>
        <v>2136.7934358277894</v>
      </c>
      <c r="CX88" s="214">
        <f>IF(AND(($E88+$C$1)&gt;CX$4,CX$4&gt;=$C$1),$H88,IF(AND(($D88+$C$1)&gt;CX$4,CX$4&gt;=$C$1),$G88,0))*IF($A88="Residential",'General Inputs'!J$15,'General Inputs'!J$19)</f>
        <v>2168.845337365206</v>
      </c>
      <c r="CY88" s="214">
        <f>IF(AND(($E88+$C$1)&gt;CY$4,CY$4&gt;=$C$1),$H88,IF(AND(($D88+$C$1)&gt;CY$4,CY$4&gt;=$C$1),$G88,0))*IF($A88="Residential",'General Inputs'!K$15,'General Inputs'!K$19)</f>
        <v>2201.378017425684</v>
      </c>
      <c r="CZ88" s="214">
        <f>IF(AND(($E88+$C$1)&gt;CZ$4,CZ$4&gt;=$C$1),$H88,IF(AND(($D88+$C$1)&gt;CZ$4,CZ$4&gt;=$C$1),$G88,0))*IF($A88="Residential",'General Inputs'!L$15,'General Inputs'!L$19)</f>
        <v>2234.398687687069</v>
      </c>
      <c r="DA88" s="214">
        <f>IF(AND(($E88+$C$1)&gt;DA$4,DA$4&gt;=$C$1),$H88,IF(AND(($D88+$C$1)&gt;DA$4,DA$4&gt;=$C$1),$G88,0))*IF($A88="Residential",'General Inputs'!M$15,'General Inputs'!M$19)</f>
        <v>2267.9146680023746</v>
      </c>
      <c r="DB88" s="214">
        <f>IF(AND(($E88+$C$1)&gt;DB$4,DB$4&gt;=$C$1),$H88,IF(AND(($D88+$C$1)&gt;DB$4,DB$4&gt;=$C$1),$G88,0))*IF($A88="Residential",'General Inputs'!N$15,'General Inputs'!N$19)</f>
        <v>2301.9333880224103</v>
      </c>
      <c r="DC88" s="214">
        <f>IF(AND(($E88+$C$1)&gt;DC$4,DC$4&gt;=$C$1),$H88,IF(AND(($D88+$C$1)&gt;DC$4,DC$4&gt;=$C$1),$G88,0))*IF($A88="Residential",'General Inputs'!O$15,'General Inputs'!O$19)</f>
        <v>2336.4623888427459</v>
      </c>
      <c r="DD88" s="214">
        <f>IF(AND(($E88+$C$1)&gt;DD$4,DD$4&gt;=$C$1),$H88,IF(AND(($D88+$C$1)&gt;DD$4,DD$4&gt;=$C$1),$G88,0))*IF($A88="Residential",'General Inputs'!P$15,'General Inputs'!P$19)</f>
        <v>2371.5093246753872</v>
      </c>
      <c r="DE88" s="214">
        <f>IF(AND(($E88+$C$1)&gt;DE$4,DE$4&gt;=$C$1),$H88,IF(AND(($D88+$C$1)&gt;DE$4,DE$4&gt;=$C$1),$G88,0))*IF($A88="Residential",'General Inputs'!Q$15,'General Inputs'!Q$19)</f>
        <v>2407.0819645455176</v>
      </c>
      <c r="DF88" s="214">
        <f>IF(AND(($E88+$C$1)&gt;DF$4,DF$4&gt;=$C$1),$H88,IF(AND(($D88+$C$1)&gt;DF$4,DF$4&gt;=$C$1),$G88,0))*IF($A88="Residential",'General Inputs'!R$15,'General Inputs'!R$19)</f>
        <v>2443.1881940137</v>
      </c>
      <c r="DG88" s="214">
        <f>IF(AND(($E88+$C$1)&gt;DG$4,DG$4&gt;=$C$1),$H88,IF(AND(($D88+$C$1)&gt;DG$4,DG$4&gt;=$C$1),$G88,0))*IF($A88="Residential",'General Inputs'!S$15,'General Inputs'!S$19)</f>
        <v>2479.8360169239054</v>
      </c>
      <c r="DH88" s="214">
        <f>IF(AND(($E88+$C$1)&gt;DH$4,DH$4&gt;=$C$1),$H88,IF(AND(($D88+$C$1)&gt;DH$4,DH$4&gt;=$C$1),$G88,0))*IF($A88="Residential",'General Inputs'!T$15,'General Inputs'!T$19)</f>
        <v>0</v>
      </c>
      <c r="DI88" s="214">
        <f>IF(AND(($E88+$C$1)&gt;DI$4,DI$4&gt;=$C$1),$H88,IF(AND(($D88+$C$1)&gt;DI$4,DI$4&gt;=$C$1),$G88,0))*IF($A88="Residential",'General Inputs'!U$15,'General Inputs'!U$19)</f>
        <v>0</v>
      </c>
      <c r="DJ88" s="214">
        <f>IF(AND(($E88+$C$1)&gt;DJ$4,DJ$4&gt;=$C$1),$H88,IF(AND(($D88+$C$1)&gt;DJ$4,DJ$4&gt;=$C$1),$G88,0))*IF($A88="Residential",'General Inputs'!V$15,'General Inputs'!V$19)</f>
        <v>0</v>
      </c>
      <c r="DK88" s="214">
        <f>IF(AND(($E88+$C$1)&gt;DK$4,DK$4&gt;=$C$1),$H88,IF(AND(($D88+$C$1)&gt;DK$4,DK$4&gt;=$C$1),$G88,0))*IF($A88="Residential",'General Inputs'!W$15,'General Inputs'!W$19)</f>
        <v>0</v>
      </c>
      <c r="DM88" s="214">
        <f t="shared" si="114"/>
        <v>0</v>
      </c>
      <c r="DN88" s="214">
        <f t="shared" si="114"/>
        <v>7400</v>
      </c>
      <c r="DO88" s="214">
        <f t="shared" si="114"/>
        <v>0</v>
      </c>
      <c r="DP88" s="214">
        <f t="shared" si="114"/>
        <v>0</v>
      </c>
      <c r="DQ88" s="214">
        <f t="shared" si="114"/>
        <v>0</v>
      </c>
      <c r="DR88" s="214">
        <f t="shared" si="114"/>
        <v>0</v>
      </c>
      <c r="DS88" s="214">
        <f t="shared" si="114"/>
        <v>0</v>
      </c>
      <c r="DT88" s="214">
        <f t="shared" si="114"/>
        <v>0</v>
      </c>
      <c r="DU88" s="214">
        <f t="shared" si="114"/>
        <v>0</v>
      </c>
      <c r="DV88" s="214">
        <f t="shared" si="114"/>
        <v>0</v>
      </c>
      <c r="DW88" s="214">
        <f t="shared" si="114"/>
        <v>0</v>
      </c>
      <c r="DZ88" s="650"/>
      <c r="FI88" s="195"/>
      <c r="FJ88" s="195"/>
      <c r="FK88" s="195"/>
      <c r="FL88" s="195"/>
      <c r="FM88" s="195"/>
      <c r="FN88" s="195"/>
      <c r="FO88" s="195"/>
    </row>
    <row r="89" spans="1:171">
      <c r="A89" s="342" t="s">
        <v>112</v>
      </c>
      <c r="B89" s="427" t="str">
        <f>'Portfolio Inputs'!A88</f>
        <v>Geothermal Heat Pump</v>
      </c>
      <c r="C89" s="217">
        <f>IF($C$1=2014,'Portfolio Inputs'!$C88,IF($C$1=2015,'Portfolio Inputs'!$D88,'Portfolio Inputs'!$E88))</f>
        <v>8</v>
      </c>
      <c r="D89" s="504">
        <f>VLOOKUP(B89,Sources!$B$4:$J$104,2,FALSE)</f>
        <v>15</v>
      </c>
      <c r="E89" s="504">
        <f>VLOOKUP(B89,Sources!$B$4:$J$104,3,FALSE)</f>
        <v>0</v>
      </c>
      <c r="G89" s="504">
        <f>IF($C$1=2014,'Portfolio Inputs'!$G88,IF($C$1=2015,'Portfolio Inputs'!$H88,'Portfolio Inputs'!$I88))*EnergyLineLoss</f>
        <v>186054.32047031453</v>
      </c>
      <c r="H89" s="504"/>
      <c r="I89" s="595">
        <f>IF($C$1=2014,'Portfolio Inputs'!$K88,IF($C$1=2015,'Portfolio Inputs'!$L88,'Portfolio Inputs'!$M88))*PeakLineLoss</f>
        <v>17.558327936260827</v>
      </c>
      <c r="J89" s="510"/>
      <c r="L89" s="606">
        <f>IF($C$1=2014,'Portfolio Inputs'!$O88,IF($C$1=2015,'Portfolio Inputs'!$P88,'Portfolio Inputs'!$Q88))</f>
        <v>4100</v>
      </c>
      <c r="M89" s="518">
        <f>VLOOKUP($B89,Sources!$B$4:$K$104,10,FALSE)</f>
        <v>0</v>
      </c>
      <c r="N89" s="419">
        <f>IF($C$1=2014,'Portfolio Inputs'!$W88,IF($C$1=2015,'Portfolio Inputs'!$X88,'Portfolio Inputs'!$Y88))</f>
        <v>5600</v>
      </c>
      <c r="O89" s="419">
        <f>IF($C$1=2014,'Portfolio Inputs'!$AA88,IF($C$1=2015,'Portfolio Inputs'!$AB88,'Portfolio Inputs'!$AC88))</f>
        <v>0</v>
      </c>
      <c r="Q89" s="436">
        <f t="shared" si="115"/>
        <v>2.2846102899924805</v>
      </c>
      <c r="R89" s="437">
        <f t="shared" si="116"/>
        <v>13.38128884138453</v>
      </c>
      <c r="S89" s="437">
        <f t="shared" si="117"/>
        <v>2.8573332169663006</v>
      </c>
      <c r="T89" s="437">
        <f t="shared" si="118"/>
        <v>5.9600275339683559</v>
      </c>
      <c r="U89" s="439">
        <f t="shared" si="113"/>
        <v>5.9600275339683559</v>
      </c>
      <c r="V89" s="439">
        <f t="shared" si="119"/>
        <v>0.38332210329090904</v>
      </c>
      <c r="W89" s="439">
        <f t="shared" si="120"/>
        <v>0.38332210329090904</v>
      </c>
      <c r="Y89" s="215">
        <f t="shared" si="101"/>
        <v>68848.968680405509</v>
      </c>
      <c r="Z89" s="215">
        <f t="shared" si="102"/>
        <v>17259.566340262132</v>
      </c>
      <c r="AA89" s="215">
        <f t="shared" si="103"/>
        <v>174466.09988438265</v>
      </c>
      <c r="AB89" s="215">
        <f t="shared" si="104"/>
        <v>174466.09988438265</v>
      </c>
      <c r="AC89" s="216">
        <f t="shared" si="20"/>
        <v>0</v>
      </c>
      <c r="AD89" s="216">
        <f t="shared" si="21"/>
        <v>5145.1672179345824</v>
      </c>
      <c r="AE89" s="215">
        <f t="shared" si="105"/>
        <v>30135.979419331128</v>
      </c>
      <c r="AG89" s="214">
        <f>IF(AND(($E89+$C$1)&gt;AG$4,AG$4&gt;=$C$1),'General Inputs'!D$9*$H89,IF(AND(($D89+$C$1)&gt;AG$4,AG$4&gt;=$C$1),'General Inputs'!D$9*$G89,0))+IF(AND(($E89+$C$1)&gt;AG$4,AG$4&gt;=$C$1),'General Inputs'!D$10*$J89,IF(AND(($D89+$C$1)&gt;AG$4,AG$4&gt;=$C$1),'General Inputs'!D$10*$I89,0))</f>
        <v>0</v>
      </c>
      <c r="AH89" s="214">
        <f>IF(AND(($E89+$C$1)&gt;AH$4,AH$4&gt;=$C$1),'General Inputs'!E$9*$H89,IF(AND(($D89+$C$1)&gt;AH$4,AH$4&gt;=$C$1),'General Inputs'!E$9*$G89,0))+IF(AND(($E89+$C$1)&gt;AH$4,AH$4&gt;=$C$1),'General Inputs'!E$10*$J89,IF(AND(($D89+$C$1)&gt;AH$4,AH$4&gt;=$C$1),'General Inputs'!E$10*$I89,0))</f>
        <v>7785.216299410702</v>
      </c>
      <c r="AI89" s="214">
        <f>IF(AND(($E89+$C$1)&gt;AI$4,AI$4&gt;=$C$1),'General Inputs'!F$9*$H89,IF(AND(($D89+$C$1)&gt;AI$4,AI$4&gt;=$C$1),'General Inputs'!F$9*$G89,0))+IF(AND(($E89+$C$1)&gt;AI$4,AI$4&gt;=$C$1),'General Inputs'!F$10*$J89,IF(AND(($D89+$C$1)&gt;AI$4,AI$4&gt;=$C$1),'General Inputs'!F$10*$I89,0))</f>
        <v>7901.9945439018611</v>
      </c>
      <c r="AJ89" s="214">
        <f>IF(AND(($E89+$C$1)&gt;AJ$4,AJ$4&gt;=$C$1),'General Inputs'!G$9*$H89,IF(AND(($D89+$C$1)&gt;AJ$4,AJ$4&gt;=$C$1),'General Inputs'!G$9*$G89,0))+IF(AND(($E89+$C$1)&gt;AJ$4,AJ$4&gt;=$C$1),'General Inputs'!G$10*$J89,IF(AND(($D89+$C$1)&gt;AJ$4,AJ$4&gt;=$C$1),'General Inputs'!G$10*$I89,0))</f>
        <v>8020.5244620603889</v>
      </c>
      <c r="AK89" s="214">
        <f>IF(AND(($E89+$C$1)&gt;AK$4,AK$4&gt;=$C$1),'General Inputs'!H$9*$H89,IF(AND(($D89+$C$1)&gt;AK$4,AK$4&gt;=$C$1),'General Inputs'!H$9*$G89,0))+IF(AND(($E89+$C$1)&gt;AK$4,AK$4&gt;=$C$1),'General Inputs'!H$10*$J89,IF(AND(($D89+$C$1)&gt;AK$4,AK$4&gt;=$C$1),'General Inputs'!H$10*$I89,0))</f>
        <v>8140.8323289912933</v>
      </c>
      <c r="AL89" s="214">
        <f>IF(AND(($E89+$C$1)&gt;AL$4,AL$4&gt;=$C$1),'General Inputs'!I$9*$H89,IF(AND(($D89+$C$1)&gt;AL$4,AL$4&gt;=$C$1),'General Inputs'!I$9*$G89,0))+IF(AND(($E89+$C$1)&gt;AL$4,AL$4&gt;=$C$1),'General Inputs'!I$10*$J89,IF(AND(($D89+$C$1)&gt;AL$4,AL$4&gt;=$C$1),'General Inputs'!I$10*$I89,0))</f>
        <v>8262.9448139261622</v>
      </c>
      <c r="AM89" s="214">
        <f>IF(AND(($E89+$C$1)&gt;AM$4,AM$4&gt;=$C$1),'General Inputs'!J$9*$H89,IF(AND(($D89+$C$1)&gt;AM$4,AM$4&gt;=$C$1),'General Inputs'!J$9*$G89,0))+IF(AND(($E89+$C$1)&gt;AM$4,AM$4&gt;=$C$1),'General Inputs'!J$10*$J89,IF(AND(($D89+$C$1)&gt;AM$4,AM$4&gt;=$C$1),'General Inputs'!J$10*$I89,0))</f>
        <v>8386.8889861350526</v>
      </c>
      <c r="AN89" s="214">
        <f>IF(AND(($E89+$C$1)&gt;AN$4,AN$4&gt;=$C$1),'General Inputs'!K$9*$H89,IF(AND(($D89+$C$1)&gt;AN$4,AN$4&gt;=$C$1),'General Inputs'!K$9*$G89,0))+IF(AND(($E89+$C$1)&gt;AN$4,AN$4&gt;=$C$1),'General Inputs'!K$10*$J89,IF(AND(($D89+$C$1)&gt;AN$4,AN$4&gt;=$C$1),'General Inputs'!K$10*$I89,0))</f>
        <v>8512.6923209270772</v>
      </c>
      <c r="AO89" s="214">
        <f>IF(AND(($E89+$C$1)&gt;AO$4,AO$4&gt;=$C$1),'General Inputs'!L$9*$H89,IF(AND(($D89+$C$1)&gt;AO$4,AO$4&gt;=$C$1),'General Inputs'!L$9*$G89,0))+IF(AND(($E89+$C$1)&gt;AO$4,AO$4&gt;=$C$1),'General Inputs'!L$10*$J89,IF(AND(($D89+$C$1)&gt;AO$4,AO$4&gt;=$C$1),'General Inputs'!L$10*$I89,0))</f>
        <v>8640.3827057409835</v>
      </c>
      <c r="AP89" s="214">
        <f>IF(AND(($E89+$C$1)&gt;AP$4,AP$4&gt;=$C$1),'General Inputs'!M$9*$H89,IF(AND(($D89+$C$1)&gt;AP$4,AP$4&gt;=$C$1),'General Inputs'!M$9*$G89,0))+IF(AND(($E89+$C$1)&gt;AP$4,AP$4&gt;=$C$1),'General Inputs'!M$10*$J89,IF(AND(($D89+$C$1)&gt;AP$4,AP$4&gt;=$C$1),'General Inputs'!M$10*$I89,0))</f>
        <v>8769.9884463270955</v>
      </c>
      <c r="AQ89" s="214">
        <f>IF(AND(($E89+$C$1)&gt;AQ$4,AQ$4&gt;=$C$1),'General Inputs'!N$9*$H89,IF(AND(($D89+$C$1)&gt;AQ$4,AQ$4&gt;=$C$1),'General Inputs'!N$9*$G89,0))+IF(AND(($E89+$C$1)&gt;AQ$4,AQ$4&gt;=$C$1),'General Inputs'!N$10*$J89,IF(AND(($D89+$C$1)&gt;AQ$4,AQ$4&gt;=$C$1),'General Inputs'!N$10*$I89,0))</f>
        <v>8901.5382730220026</v>
      </c>
      <c r="AR89" s="214">
        <f>IF(AND(($E89+$C$1)&gt;AR$4,AR$4&gt;=$C$1),'General Inputs'!O$9*$H89,IF(AND(($D89+$C$1)&gt;AR$4,AR$4&gt;=$C$1),'General Inputs'!O$9*$G89,0))+IF(AND(($E89+$C$1)&gt;AR$4,AR$4&gt;=$C$1),'General Inputs'!O$10*$J89,IF(AND(($D89+$C$1)&gt;AR$4,AR$4&gt;=$C$1),'General Inputs'!O$10*$I89,0))</f>
        <v>9035.061347117331</v>
      </c>
      <c r="AS89" s="214">
        <f>IF(AND(($E89+$C$1)&gt;AS$4,AS$4&gt;=$C$1),'General Inputs'!P$9*$H89,IF(AND(($D89+$C$1)&gt;AS$4,AS$4&gt;=$C$1),'General Inputs'!P$9*$G89,0))+IF(AND(($E89+$C$1)&gt;AS$4,AS$4&gt;=$C$1),'General Inputs'!P$10*$J89,IF(AND(($D89+$C$1)&gt;AS$4,AS$4&gt;=$C$1),'General Inputs'!P$10*$I89,0))</f>
        <v>9170.587267324092</v>
      </c>
      <c r="AT89" s="214">
        <f>IF(AND(($E89+$C$1)&gt;AT$4,AT$4&gt;=$C$1),'General Inputs'!Q$9*$H89,IF(AND(($D89+$C$1)&gt;AT$4,AT$4&gt;=$C$1),'General Inputs'!Q$9*$G89,0))+IF(AND(($E89+$C$1)&gt;AT$4,AT$4&gt;=$C$1),'General Inputs'!Q$10*$J89,IF(AND(($D89+$C$1)&gt;AT$4,AT$4&gt;=$C$1),'General Inputs'!Q$10*$I89,0))</f>
        <v>9308.146076333951</v>
      </c>
      <c r="AU89" s="214">
        <f>IF(AND(($E89+$C$1)&gt;AU$4,AU$4&gt;=$C$1),'General Inputs'!R$9*$H89,IF(AND(($D89+$C$1)&gt;AU$4,AU$4&gt;=$C$1),'General Inputs'!R$9*$G89,0))+IF(AND(($E89+$C$1)&gt;AU$4,AU$4&gt;=$C$1),'General Inputs'!R$10*$J89,IF(AND(($D89+$C$1)&gt;AU$4,AU$4&gt;=$C$1),'General Inputs'!R$10*$I89,0))</f>
        <v>9447.7682674789594</v>
      </c>
      <c r="AV89" s="214">
        <f>IF(AND(($E89+$C$1)&gt;AV$4,AV$4&gt;=$C$1),'General Inputs'!S$9*$H89,IF(AND(($D89+$C$1)&gt;AV$4,AV$4&gt;=$C$1),'General Inputs'!S$9*$G89,0))+IF(AND(($E89+$C$1)&gt;AV$4,AV$4&gt;=$C$1),'General Inputs'!S$10*$J89,IF(AND(($D89+$C$1)&gt;AV$4,AV$4&gt;=$C$1),'General Inputs'!S$10*$I89,0))</f>
        <v>9589.4847914911443</v>
      </c>
      <c r="AW89" s="214">
        <f>IF(AND(($E89+$C$1)&gt;AW$4,AW$4&gt;=$C$1),'General Inputs'!T$9*$H89,IF(AND(($D89+$C$1)&gt;AW$4,AW$4&gt;=$C$1),'General Inputs'!T$9*$G89,0))+IF(AND(($E89+$C$1)&gt;AW$4,AW$4&gt;=$C$1),'General Inputs'!T$10*$J89,IF(AND(($D89+$C$1)&gt;AW$4,AW$4&gt;=$C$1),'General Inputs'!T$10*$I89,0))</f>
        <v>0</v>
      </c>
      <c r="AX89" s="214">
        <f>IF(AND(($E89+$C$1)&gt;AX$4,AX$4&gt;=$C$1),'General Inputs'!U$9*$H89,IF(AND(($D89+$C$1)&gt;AX$4,AX$4&gt;=$C$1),'General Inputs'!U$9*$G89,0))+IF(AND(($E89+$C$1)&gt;AX$4,AX$4&gt;=$C$1),'General Inputs'!U$10*$J89,IF(AND(($D89+$C$1)&gt;AX$4,AX$4&gt;=$C$1),'General Inputs'!U$10*$I89,0))</f>
        <v>0</v>
      </c>
      <c r="AY89" s="214">
        <f>IF(AND(($E89+$C$1)&gt;AY$4,AY$4&gt;=$C$1),'General Inputs'!V$9*$H89,IF(AND(($D89+$C$1)&gt;AY$4,AY$4&gt;=$C$1),'General Inputs'!V$9*$G89,0))+IF(AND(($E89+$C$1)&gt;AY$4,AY$4&gt;=$C$1),'General Inputs'!V$10*$J89,IF(AND(($D89+$C$1)&gt;AY$4,AY$4&gt;=$C$1),'General Inputs'!V$10*$I89,0))</f>
        <v>0</v>
      </c>
      <c r="AZ89" s="214">
        <f>IF(AND(($E89+$C$1)&gt;AZ$4,AZ$4&gt;=$C$1),'General Inputs'!W$9*$H89,IF(AND(($D89+$C$1)&gt;AZ$4,AZ$4&gt;=$C$1),'General Inputs'!W$9*$G89,0))+IF(AND(($E89+$C$1)&gt;AZ$4,AZ$4&gt;=$C$1),'General Inputs'!W$10*$J89,IF(AND(($D89+$C$1)&gt;AZ$4,AZ$4&gt;=$C$1),'General Inputs'!W$10*$I89,0))</f>
        <v>0</v>
      </c>
      <c r="BB89" s="214">
        <f>IF(AND(($E89+$C$1)&gt;BB$4,BB$4&gt;=$C$1),'General Inputs'!D$11*$H89,IF(AND(($D89+$C$1)&gt;BB$4,BB$4&gt;=$C$1),'General Inputs'!D$11*$G89,0))</f>
        <v>0</v>
      </c>
      <c r="BC89" s="214">
        <f>IF(AND(($E89+$C$1)&gt;BC$4,BC$4&gt;=$C$1),'General Inputs'!E$11*$H89,IF(AND(($D89+$C$1)&gt;BC$4,BC$4&gt;=$C$1),'General Inputs'!E$11*$G89,0))</f>
        <v>2121.0192533615859</v>
      </c>
      <c r="BD89" s="214">
        <f>IF(AND(($E89+$C$1)&gt;BD$4,BD$4&gt;=$C$1),'General Inputs'!F$11*$H89,IF(AND(($D89+$C$1)&gt;BD$4,BD$4&gt;=$C$1),'General Inputs'!F$11*$G89,0))</f>
        <v>2121.0192533615859</v>
      </c>
      <c r="BE89" s="214">
        <f>IF(AND(($E89+$C$1)&gt;BE$4,BE$4&gt;=$C$1),'General Inputs'!G$11*$H89,IF(AND(($D89+$C$1)&gt;BE$4,BE$4&gt;=$C$1),'General Inputs'!G$11*$G89,0))</f>
        <v>2121.0192533615859</v>
      </c>
      <c r="BF89" s="214">
        <f>IF(AND(($E89+$C$1)&gt;BF$4,BF$4&gt;=$C$1),'General Inputs'!H$11*$H89,IF(AND(($D89+$C$1)&gt;BF$4,BF$4&gt;=$C$1),'General Inputs'!H$11*$G89,0))</f>
        <v>2121.0192533615859</v>
      </c>
      <c r="BG89" s="214">
        <f>IF(AND(($E89+$C$1)&gt;BG$4,BG$4&gt;=$C$1),'General Inputs'!I$11*$H89,IF(AND(($D89+$C$1)&gt;BG$4,BG$4&gt;=$C$1),'General Inputs'!I$11*$G89,0))</f>
        <v>2121.0192533615859</v>
      </c>
      <c r="BH89" s="214">
        <f>IF(AND(($E89+$C$1)&gt;BH$4,BH$4&gt;=$C$1),'General Inputs'!J$11*$H89,IF(AND(($D89+$C$1)&gt;BH$4,BH$4&gt;=$C$1),'General Inputs'!J$11*$G89,0))</f>
        <v>2121.0192533615859</v>
      </c>
      <c r="BI89" s="214">
        <f>IF(AND(($E89+$C$1)&gt;BI$4,BI$4&gt;=$C$1),'General Inputs'!K$11*$H89,IF(AND(($D89+$C$1)&gt;BI$4,BI$4&gt;=$C$1),'General Inputs'!K$11*$G89,0))</f>
        <v>2121.0192533615859</v>
      </c>
      <c r="BJ89" s="214">
        <f>IF(AND(($E89+$C$1)&gt;BJ$4,BJ$4&gt;=$C$1),'General Inputs'!L$11*$H89,IF(AND(($D89+$C$1)&gt;BJ$4,BJ$4&gt;=$C$1),'General Inputs'!L$11*$G89,0))</f>
        <v>2121.0192533615859</v>
      </c>
      <c r="BK89" s="214">
        <f>IF(AND(($E89+$C$1)&gt;BK$4,BK$4&gt;=$C$1),'General Inputs'!M$11*$H89,IF(AND(($D89+$C$1)&gt;BK$4,BK$4&gt;=$C$1),'General Inputs'!M$11*$G89,0))</f>
        <v>2121.0192533615859</v>
      </c>
      <c r="BL89" s="214">
        <f>IF(AND(($E89+$C$1)&gt;BL$4,BL$4&gt;=$C$1),'General Inputs'!N$11*$H89,IF(AND(($D89+$C$1)&gt;BL$4,BL$4&gt;=$C$1),'General Inputs'!N$11*$G89,0))</f>
        <v>2121.0192533615859</v>
      </c>
      <c r="BM89" s="214">
        <f>IF(AND(($E89+$C$1)&gt;BM$4,BM$4&gt;=$C$1),'General Inputs'!O$11*$H89,IF(AND(($D89+$C$1)&gt;BM$4,BM$4&gt;=$C$1),'General Inputs'!O$11*$G89,0))</f>
        <v>2121.0192533615859</v>
      </c>
      <c r="BN89" s="214">
        <f>IF(AND(($E89+$C$1)&gt;BN$4,BN$4&gt;=$C$1),'General Inputs'!P$11*$H89,IF(AND(($D89+$C$1)&gt;BN$4,BN$4&gt;=$C$1),'General Inputs'!P$11*$G89,0))</f>
        <v>2121.0192533615859</v>
      </c>
      <c r="BO89" s="214">
        <f>IF(AND(($E89+$C$1)&gt;BO$4,BO$4&gt;=$C$1),'General Inputs'!Q$11*$H89,IF(AND(($D89+$C$1)&gt;BO$4,BO$4&gt;=$C$1),'General Inputs'!Q$11*$G89,0))</f>
        <v>2121.0192533615859</v>
      </c>
      <c r="BP89" s="214">
        <f>IF(AND(($E89+$C$1)&gt;BP$4,BP$4&gt;=$C$1),'General Inputs'!R$11*$H89,IF(AND(($D89+$C$1)&gt;BP$4,BP$4&gt;=$C$1),'General Inputs'!R$11*$G89,0))</f>
        <v>2121.0192533615859</v>
      </c>
      <c r="BQ89" s="214">
        <f>IF(AND(($E89+$C$1)&gt;BQ$4,BQ$4&gt;=$C$1),'General Inputs'!S$11*$H89,IF(AND(($D89+$C$1)&gt;BQ$4,BQ$4&gt;=$C$1),'General Inputs'!S$11*$G89,0))</f>
        <v>2121.0192533615859</v>
      </c>
      <c r="BR89" s="214">
        <f>IF(AND(($E89+$C$1)&gt;BR$4,BR$4&gt;=$C$1),'General Inputs'!T$11*$H89,IF(AND(($D89+$C$1)&gt;BR$4,BR$4&gt;=$C$1),'General Inputs'!T$11*$G89,0))</f>
        <v>0</v>
      </c>
      <c r="BS89" s="214">
        <f>IF(AND(($E89+$C$1)&gt;BS$4,BS$4&gt;=$C$1),'General Inputs'!U$11*$H89,IF(AND(($D89+$C$1)&gt;BS$4,BS$4&gt;=$C$1),'General Inputs'!U$11*$G89,0))</f>
        <v>0</v>
      </c>
      <c r="BT89" s="214">
        <f>IF(AND(($E89+$C$1)&gt;BT$4,BT$4&gt;=$C$1),'General Inputs'!V$11*$H89,IF(AND(($D89+$C$1)&gt;BT$4,BT$4&gt;=$C$1),'General Inputs'!V$11*$G89,0))</f>
        <v>0</v>
      </c>
      <c r="BU89" s="214">
        <f>IF(AND(($E89+$C$1)&gt;BU$4,BU$4&gt;=$C$1),'General Inputs'!W$11*$H89,IF(AND(($D89+$C$1)&gt;BU$4,BU$4&gt;=$C$1),'General Inputs'!W$11*$G89,0))</f>
        <v>0</v>
      </c>
      <c r="BW89" s="214">
        <f>IF(AND(($E89+$C$1)&gt;BW$4,BW$4&gt;=$C$1),$H89,IF(AND(($D89+$C$1)&gt;BW$4,BW$4&gt;=$C$1),$G89,0))*IF($A89="Residential",'General Inputs'!D$14,'General Inputs'!D$19)</f>
        <v>0</v>
      </c>
      <c r="BX89" s="214">
        <f>IF(AND(($E89+$C$1)&gt;BX$4,BX$4&gt;=$C$1),$H89,IF(AND(($D89+$C$1)&gt;BX$4,BX$4&gt;=$C$1),$G89,0))*IF($A89="Residential",'General Inputs'!E$14,'General Inputs'!E$19)</f>
        <v>19728.056215620156</v>
      </c>
      <c r="BY89" s="214">
        <f>IF(AND(($E89+$C$1)&gt;BY$4,BY$4&gt;=$C$1),$H89,IF(AND(($D89+$C$1)&gt;BY$4,BY$4&gt;=$C$1),$G89,0))*IF($A89="Residential",'General Inputs'!F$14,'General Inputs'!F$19)</f>
        <v>20023.97705885446</v>
      </c>
      <c r="BZ89" s="214">
        <f>IF(AND(($E89+$C$1)&gt;BZ$4,BZ$4&gt;=$C$1),$H89,IF(AND(($D89+$C$1)&gt;BZ$4,BZ$4&gt;=$C$1),$G89,0))*IF($A89="Residential",'General Inputs'!G$14,'General Inputs'!G$19)</f>
        <v>20324.336714737274</v>
      </c>
      <c r="CA89" s="214">
        <f>IF(AND(($E89+$C$1)&gt;CA$4,CA$4&gt;=$C$1),$H89,IF(AND(($D89+$C$1)&gt;CA$4,CA$4&gt;=$C$1),$G89,0))*IF($A89="Residential",'General Inputs'!H$14,'General Inputs'!H$19)</f>
        <v>20629.201765458329</v>
      </c>
      <c r="CB89" s="214">
        <f>IF(AND(($E89+$C$1)&gt;CB$4,CB$4&gt;=$C$1),$H89,IF(AND(($D89+$C$1)&gt;CB$4,CB$4&gt;=$C$1),$G89,0))*IF($A89="Residential",'General Inputs'!I$14,'General Inputs'!I$19)</f>
        <v>20938.639791940201</v>
      </c>
      <c r="CC89" s="214">
        <f>IF(AND(($E89+$C$1)&gt;CC$4,CC$4&gt;=$C$1),$H89,IF(AND(($D89+$C$1)&gt;CC$4,CC$4&gt;=$C$1),$G89,0))*IF($A89="Residential",'General Inputs'!J$14,'General Inputs'!J$19)</f>
        <v>21252.719388819303</v>
      </c>
      <c r="CD89" s="214">
        <f>IF(AND(($E89+$C$1)&gt;CD$4,CD$4&gt;=$C$1),$H89,IF(AND(($D89+$C$1)&gt;CD$4,CD$4&gt;=$C$1),$G89,0))*IF($A89="Residential",'General Inputs'!K$14,'General Inputs'!K$19)</f>
        <v>21571.510179651588</v>
      </c>
      <c r="CE89" s="214">
        <f>IF(AND(($E89+$C$1)&gt;CE$4,CE$4&gt;=$C$1),$H89,IF(AND(($D89+$C$1)&gt;CE$4,CE$4&gt;=$C$1),$G89,0))*IF($A89="Residential",'General Inputs'!L$14,'General Inputs'!L$19)</f>
        <v>21895.082832346361</v>
      </c>
      <c r="CF89" s="214">
        <f>IF(AND(($E89+$C$1)&gt;CF$4,CF$4&gt;=$C$1),$H89,IF(AND(($D89+$C$1)&gt;CF$4,CF$4&gt;=$C$1),$G89,0))*IF($A89="Residential",'General Inputs'!M$14,'General Inputs'!M$19)</f>
        <v>22223.509074831552</v>
      </c>
      <c r="CG89" s="214">
        <f>IF(AND(($E89+$C$1)&gt;CG$4,CG$4&gt;=$C$1),$H89,IF(AND(($D89+$C$1)&gt;CG$4,CG$4&gt;=$C$1),$G89,0))*IF($A89="Residential",'General Inputs'!N$14,'General Inputs'!N$19)</f>
        <v>22556.861710954028</v>
      </c>
      <c r="CH89" s="214">
        <f>IF(AND(($E89+$C$1)&gt;CH$4,CH$4&gt;=$C$1),$H89,IF(AND(($D89+$C$1)&gt;CH$4,CH$4&gt;=$C$1),$G89,0))*IF($A89="Residential",'General Inputs'!O$14,'General Inputs'!O$19)</f>
        <v>22895.214636618333</v>
      </c>
      <c r="CI89" s="214">
        <f>IF(AND(($E89+$C$1)&gt;CI$4,CI$4&gt;=$C$1),$H89,IF(AND(($D89+$C$1)&gt;CI$4,CI$4&gt;=$C$1),$G89,0))*IF($A89="Residential",'General Inputs'!P$14,'General Inputs'!P$19)</f>
        <v>23238.642856167608</v>
      </c>
      <c r="CJ89" s="214">
        <f>IF(AND(($E89+$C$1)&gt;CJ$4,CJ$4&gt;=$C$1),$H89,IF(AND(($D89+$C$1)&gt;CJ$4,CJ$4&gt;=$C$1),$G89,0))*IF($A89="Residential",'General Inputs'!Q$14,'General Inputs'!Q$19)</f>
        <v>23587.22249901012</v>
      </c>
      <c r="CK89" s="214">
        <f>IF(AND(($E89+$C$1)&gt;CK$4,CK$4&gt;=$C$1),$H89,IF(AND(($D89+$C$1)&gt;CK$4,CK$4&gt;=$C$1),$G89,0))*IF($A89="Residential",'General Inputs'!R$14,'General Inputs'!R$19)</f>
        <v>23941.030836495265</v>
      </c>
      <c r="CL89" s="214">
        <f>IF(AND(($E89+$C$1)&gt;CL$4,CL$4&gt;=$C$1),$H89,IF(AND(($D89+$C$1)&gt;CL$4,CL$4&gt;=$C$1),$G89,0))*IF($A89="Residential",'General Inputs'!S$14,'General Inputs'!S$19)</f>
        <v>24300.146299042695</v>
      </c>
      <c r="CM89" s="214">
        <f>IF(AND(($E89+$C$1)&gt;CM$4,CM$4&gt;=$C$1),$H89,IF(AND(($D89+$C$1)&gt;CM$4,CM$4&gt;=$C$1),$G89,0))*IF($A89="Residential",'General Inputs'!T$14,'General Inputs'!T$19)</f>
        <v>0</v>
      </c>
      <c r="CN89" s="214">
        <f>IF(AND(($E89+$C$1)&gt;CN$4,CN$4&gt;=$C$1),$H89,IF(AND(($D89+$C$1)&gt;CN$4,CN$4&gt;=$C$1),$G89,0))*IF($A89="Residential",'General Inputs'!U$14,'General Inputs'!U$19)</f>
        <v>0</v>
      </c>
      <c r="CO89" s="214">
        <f>IF(AND(($E89+$C$1)&gt;CO$4,CO$4&gt;=$C$1),$H89,IF(AND(($D89+$C$1)&gt;CO$4,CO$4&gt;=$C$1),$G89,0))*IF($A89="Residential",'General Inputs'!V$14,'General Inputs'!V$19)</f>
        <v>0</v>
      </c>
      <c r="CP89" s="214">
        <f>IF(AND(($E89+$C$1)&gt;CP$4,CP$4&gt;=$C$1),$H89,IF(AND(($D89+$C$1)&gt;CP$4,CP$4&gt;=$C$1),$G89,0))*IF($A89="Residential",'General Inputs'!W$14,'General Inputs'!W$19)</f>
        <v>0</v>
      </c>
      <c r="CR89" s="214">
        <f>IF(AND(($E89+$C$1)&gt;CR$4,CR$4&gt;=$C$1),$H89,IF(AND(($D89+$C$1)&gt;CR$4,CR$4&gt;=$C$1),$G89,0))*IF($A89="Residential",'General Inputs'!D$15,'General Inputs'!D$19)</f>
        <v>0</v>
      </c>
      <c r="CS89" s="214">
        <f>IF(AND(($E89+$C$1)&gt;CS$4,CS$4&gt;=$C$1),$H89,IF(AND(($D89+$C$1)&gt;CS$4,CS$4&gt;=$C$1),$G89,0))*IF($A89="Residential",'General Inputs'!E$15,'General Inputs'!E$19)</f>
        <v>19728.056215620156</v>
      </c>
      <c r="CT89" s="214">
        <f>IF(AND(($E89+$C$1)&gt;CT$4,CT$4&gt;=$C$1),$H89,IF(AND(($D89+$C$1)&gt;CT$4,CT$4&gt;=$C$1),$G89,0))*IF($A89="Residential",'General Inputs'!F$15,'General Inputs'!F$19)</f>
        <v>20023.97705885446</v>
      </c>
      <c r="CU89" s="214">
        <f>IF(AND(($E89+$C$1)&gt;CU$4,CU$4&gt;=$C$1),$H89,IF(AND(($D89+$C$1)&gt;CU$4,CU$4&gt;=$C$1),$G89,0))*IF($A89="Residential",'General Inputs'!G$15,'General Inputs'!G$19)</f>
        <v>20324.336714737274</v>
      </c>
      <c r="CV89" s="214">
        <f>IF(AND(($E89+$C$1)&gt;CV$4,CV$4&gt;=$C$1),$H89,IF(AND(($D89+$C$1)&gt;CV$4,CV$4&gt;=$C$1),$G89,0))*IF($A89="Residential",'General Inputs'!H$15,'General Inputs'!H$19)</f>
        <v>20629.201765458329</v>
      </c>
      <c r="CW89" s="214">
        <f>IF(AND(($E89+$C$1)&gt;CW$4,CW$4&gt;=$C$1),$H89,IF(AND(($D89+$C$1)&gt;CW$4,CW$4&gt;=$C$1),$G89,0))*IF($A89="Residential",'General Inputs'!I$15,'General Inputs'!I$19)</f>
        <v>20938.639791940201</v>
      </c>
      <c r="CX89" s="214">
        <f>IF(AND(($E89+$C$1)&gt;CX$4,CX$4&gt;=$C$1),$H89,IF(AND(($D89+$C$1)&gt;CX$4,CX$4&gt;=$C$1),$G89,0))*IF($A89="Residential",'General Inputs'!J$15,'General Inputs'!J$19)</f>
        <v>21252.719388819303</v>
      </c>
      <c r="CY89" s="214">
        <f>IF(AND(($E89+$C$1)&gt;CY$4,CY$4&gt;=$C$1),$H89,IF(AND(($D89+$C$1)&gt;CY$4,CY$4&gt;=$C$1),$G89,0))*IF($A89="Residential",'General Inputs'!K$15,'General Inputs'!K$19)</f>
        <v>21571.510179651588</v>
      </c>
      <c r="CZ89" s="214">
        <f>IF(AND(($E89+$C$1)&gt;CZ$4,CZ$4&gt;=$C$1),$H89,IF(AND(($D89+$C$1)&gt;CZ$4,CZ$4&gt;=$C$1),$G89,0))*IF($A89="Residential",'General Inputs'!L$15,'General Inputs'!L$19)</f>
        <v>21895.082832346361</v>
      </c>
      <c r="DA89" s="214">
        <f>IF(AND(($E89+$C$1)&gt;DA$4,DA$4&gt;=$C$1),$H89,IF(AND(($D89+$C$1)&gt;DA$4,DA$4&gt;=$C$1),$G89,0))*IF($A89="Residential",'General Inputs'!M$15,'General Inputs'!M$19)</f>
        <v>22223.509074831552</v>
      </c>
      <c r="DB89" s="214">
        <f>IF(AND(($E89+$C$1)&gt;DB$4,DB$4&gt;=$C$1),$H89,IF(AND(($D89+$C$1)&gt;DB$4,DB$4&gt;=$C$1),$G89,0))*IF($A89="Residential",'General Inputs'!N$15,'General Inputs'!N$19)</f>
        <v>22556.861710954028</v>
      </c>
      <c r="DC89" s="214">
        <f>IF(AND(($E89+$C$1)&gt;DC$4,DC$4&gt;=$C$1),$H89,IF(AND(($D89+$C$1)&gt;DC$4,DC$4&gt;=$C$1),$G89,0))*IF($A89="Residential",'General Inputs'!O$15,'General Inputs'!O$19)</f>
        <v>22895.214636618333</v>
      </c>
      <c r="DD89" s="214">
        <f>IF(AND(($E89+$C$1)&gt;DD$4,DD$4&gt;=$C$1),$H89,IF(AND(($D89+$C$1)&gt;DD$4,DD$4&gt;=$C$1),$G89,0))*IF($A89="Residential",'General Inputs'!P$15,'General Inputs'!P$19)</f>
        <v>23238.642856167608</v>
      </c>
      <c r="DE89" s="214">
        <f>IF(AND(($E89+$C$1)&gt;DE$4,DE$4&gt;=$C$1),$H89,IF(AND(($D89+$C$1)&gt;DE$4,DE$4&gt;=$C$1),$G89,0))*IF($A89="Residential",'General Inputs'!Q$15,'General Inputs'!Q$19)</f>
        <v>23587.22249901012</v>
      </c>
      <c r="DF89" s="214">
        <f>IF(AND(($E89+$C$1)&gt;DF$4,DF$4&gt;=$C$1),$H89,IF(AND(($D89+$C$1)&gt;DF$4,DF$4&gt;=$C$1),$G89,0))*IF($A89="Residential",'General Inputs'!R$15,'General Inputs'!R$19)</f>
        <v>23941.030836495265</v>
      </c>
      <c r="DG89" s="214">
        <f>IF(AND(($E89+$C$1)&gt;DG$4,DG$4&gt;=$C$1),$H89,IF(AND(($D89+$C$1)&gt;DG$4,DG$4&gt;=$C$1),$G89,0))*IF($A89="Residential",'General Inputs'!S$15,'General Inputs'!S$19)</f>
        <v>24300.146299042695</v>
      </c>
      <c r="DH89" s="214">
        <f>IF(AND(($E89+$C$1)&gt;DH$4,DH$4&gt;=$C$1),$H89,IF(AND(($D89+$C$1)&gt;DH$4,DH$4&gt;=$C$1),$G89,0))*IF($A89="Residential",'General Inputs'!T$15,'General Inputs'!T$19)</f>
        <v>0</v>
      </c>
      <c r="DI89" s="214">
        <f>IF(AND(($E89+$C$1)&gt;DI$4,DI$4&gt;=$C$1),$H89,IF(AND(($D89+$C$1)&gt;DI$4,DI$4&gt;=$C$1),$G89,0))*IF($A89="Residential",'General Inputs'!U$15,'General Inputs'!U$19)</f>
        <v>0</v>
      </c>
      <c r="DJ89" s="214">
        <f>IF(AND(($E89+$C$1)&gt;DJ$4,DJ$4&gt;=$C$1),$H89,IF(AND(($D89+$C$1)&gt;DJ$4,DJ$4&gt;=$C$1),$G89,0))*IF($A89="Residential",'General Inputs'!V$15,'General Inputs'!V$19)</f>
        <v>0</v>
      </c>
      <c r="DK89" s="214">
        <f>IF(AND(($E89+$C$1)&gt;DK$4,DK$4&gt;=$C$1),$H89,IF(AND(($D89+$C$1)&gt;DK$4,DK$4&gt;=$C$1),$G89,0))*IF($A89="Residential",'General Inputs'!W$15,'General Inputs'!W$19)</f>
        <v>0</v>
      </c>
      <c r="DM89" s="214">
        <f t="shared" si="114"/>
        <v>0</v>
      </c>
      <c r="DN89" s="214">
        <f t="shared" si="114"/>
        <v>32800</v>
      </c>
      <c r="DO89" s="214">
        <f t="shared" si="114"/>
        <v>0</v>
      </c>
      <c r="DP89" s="214">
        <f t="shared" si="114"/>
        <v>0</v>
      </c>
      <c r="DQ89" s="214">
        <f t="shared" si="114"/>
        <v>0</v>
      </c>
      <c r="DR89" s="214">
        <f t="shared" si="114"/>
        <v>0</v>
      </c>
      <c r="DS89" s="214">
        <f t="shared" si="114"/>
        <v>0</v>
      </c>
      <c r="DT89" s="214">
        <f t="shared" si="114"/>
        <v>0</v>
      </c>
      <c r="DU89" s="214">
        <f t="shared" si="114"/>
        <v>0</v>
      </c>
      <c r="DV89" s="214">
        <f t="shared" si="114"/>
        <v>0</v>
      </c>
      <c r="DW89" s="214">
        <f t="shared" si="114"/>
        <v>0</v>
      </c>
      <c r="DZ89" s="650"/>
      <c r="FI89" s="195"/>
      <c r="FJ89" s="195"/>
      <c r="FK89" s="195"/>
      <c r="FL89" s="195"/>
      <c r="FM89" s="195"/>
      <c r="FN89" s="195"/>
      <c r="FO89" s="195"/>
    </row>
    <row r="90" spans="1:171">
      <c r="A90" s="342" t="s">
        <v>112</v>
      </c>
      <c r="B90" s="427" t="str">
        <f>'Portfolio Inputs'!A89</f>
        <v>Heat Pump Water Heater</v>
      </c>
      <c r="C90" s="217">
        <f>IF($C$1=2014,'Portfolio Inputs'!$C89,IF($C$1=2015,'Portfolio Inputs'!$D89,'Portfolio Inputs'!$E89))</f>
        <v>14</v>
      </c>
      <c r="D90" s="504">
        <f>VLOOKUP(B90,Sources!$B$4:$J$104,2,FALSE)</f>
        <v>15</v>
      </c>
      <c r="E90" s="504">
        <f>VLOOKUP(B90,Sources!$B$4:$J$104,3,FALSE)</f>
        <v>0</v>
      </c>
      <c r="G90" s="504">
        <f>IF($C$1=2014,'Portfolio Inputs'!$G89,IF($C$1=2015,'Portfolio Inputs'!$H89,'Portfolio Inputs'!$I89))*EnergyLineLoss</f>
        <v>25412.707023801078</v>
      </c>
      <c r="H90" s="504"/>
      <c r="I90" s="595">
        <f>IF($C$1=2014,'Portfolio Inputs'!$K89,IF($C$1=2015,'Portfolio Inputs'!$L89,'Portfolio Inputs'!$M89))*PeakLineLoss</f>
        <v>1.203918216682246</v>
      </c>
      <c r="J90" s="510"/>
      <c r="L90" s="606">
        <f>IF($C$1=2014,'Portfolio Inputs'!$O89,IF($C$1=2015,'Portfolio Inputs'!$P89,'Portfolio Inputs'!$Q89))</f>
        <v>700</v>
      </c>
      <c r="M90" s="518">
        <f>VLOOKUP($B90,Sources!$B$4:$K$104,10,FALSE)</f>
        <v>0</v>
      </c>
      <c r="N90" s="419">
        <f>IF($C$1=2014,'Portfolio Inputs'!$W89,IF($C$1=2015,'Portfolio Inputs'!$X89,'Portfolio Inputs'!$Y89))</f>
        <v>2800</v>
      </c>
      <c r="O90" s="419">
        <f>IF($C$1=2014,'Portfolio Inputs'!$AA89,IF($C$1=2015,'Portfolio Inputs'!$AB89,'Portfolio Inputs'!$AC89))</f>
        <v>0</v>
      </c>
      <c r="Q90" s="436">
        <f t="shared" si="115"/>
        <v>1.0265814350172815</v>
      </c>
      <c r="R90" s="437">
        <f t="shared" si="116"/>
        <v>3.5930350225604859</v>
      </c>
      <c r="S90" s="437">
        <f t="shared" si="117"/>
        <v>1.2884018501412264</v>
      </c>
      <c r="T90" s="437">
        <f t="shared" si="118"/>
        <v>2.9322921774326782</v>
      </c>
      <c r="U90" s="439">
        <f t="shared" si="113"/>
        <v>2.9322921774326782</v>
      </c>
      <c r="V90" s="439">
        <f t="shared" si="119"/>
        <v>0.35009520637745195</v>
      </c>
      <c r="W90" s="439">
        <f t="shared" si="120"/>
        <v>0.35009520637745195</v>
      </c>
      <c r="Y90" s="215">
        <f t="shared" si="101"/>
        <v>9243.3830054845275</v>
      </c>
      <c r="Z90" s="215">
        <f t="shared" si="102"/>
        <v>2357.442179543053</v>
      </c>
      <c r="AA90" s="215">
        <f t="shared" si="103"/>
        <v>23829.900164314819</v>
      </c>
      <c r="AB90" s="215">
        <f t="shared" si="104"/>
        <v>23829.900164314819</v>
      </c>
      <c r="AC90" s="216">
        <f t="shared" si="20"/>
        <v>0</v>
      </c>
      <c r="AD90" s="216">
        <f t="shared" si="21"/>
        <v>2572.5836089672912</v>
      </c>
      <c r="AE90" s="215">
        <f t="shared" si="105"/>
        <v>9004.0426313855205</v>
      </c>
      <c r="AG90" s="214">
        <f>IF(AND(($E90+$C$1)&gt;AG$4,AG$4&gt;=$C$1),'General Inputs'!D$9*$H90,IF(AND(($D90+$C$1)&gt;AG$4,AG$4&gt;=$C$1),'General Inputs'!D$9*$G90,0))+IF(AND(($E90+$C$1)&gt;AG$4,AG$4&gt;=$C$1),'General Inputs'!D$10*$J90,IF(AND(($D90+$C$1)&gt;AG$4,AG$4&gt;=$C$1),'General Inputs'!D$10*$I90,0))</f>
        <v>0</v>
      </c>
      <c r="AH90" s="214">
        <f>IF(AND(($E90+$C$1)&gt;AH$4,AH$4&gt;=$C$1),'General Inputs'!E$9*$H90,IF(AND(($D90+$C$1)&gt;AH$4,AH$4&gt;=$C$1),'General Inputs'!E$9*$G90,0))+IF(AND(($E90+$C$1)&gt;AH$4,AH$4&gt;=$C$1),'General Inputs'!E$10*$J90,IF(AND(($D90+$C$1)&gt;AH$4,AH$4&gt;=$C$1),'General Inputs'!E$10*$I90,0))</f>
        <v>1045.2115320715677</v>
      </c>
      <c r="AI90" s="214">
        <f>IF(AND(($E90+$C$1)&gt;AI$4,AI$4&gt;=$C$1),'General Inputs'!F$9*$H90,IF(AND(($D90+$C$1)&gt;AI$4,AI$4&gt;=$C$1),'General Inputs'!F$9*$G90,0))+IF(AND(($E90+$C$1)&gt;AI$4,AI$4&gt;=$C$1),'General Inputs'!F$10*$J90,IF(AND(($D90+$C$1)&gt;AI$4,AI$4&gt;=$C$1),'General Inputs'!F$10*$I90,0))</f>
        <v>1060.8897050526411</v>
      </c>
      <c r="AJ90" s="214">
        <f>IF(AND(($E90+$C$1)&gt;AJ$4,AJ$4&gt;=$C$1),'General Inputs'!G$9*$H90,IF(AND(($D90+$C$1)&gt;AJ$4,AJ$4&gt;=$C$1),'General Inputs'!G$9*$G90,0))+IF(AND(($E90+$C$1)&gt;AJ$4,AJ$4&gt;=$C$1),'General Inputs'!G$10*$J90,IF(AND(($D90+$C$1)&gt;AJ$4,AJ$4&gt;=$C$1),'General Inputs'!G$10*$I90,0))</f>
        <v>1076.8030506284308</v>
      </c>
      <c r="AK90" s="214">
        <f>IF(AND(($E90+$C$1)&gt;AK$4,AK$4&gt;=$C$1),'General Inputs'!H$9*$H90,IF(AND(($D90+$C$1)&gt;AK$4,AK$4&gt;=$C$1),'General Inputs'!H$9*$G90,0))+IF(AND(($E90+$C$1)&gt;AK$4,AK$4&gt;=$C$1),'General Inputs'!H$10*$J90,IF(AND(($D90+$C$1)&gt;AK$4,AK$4&gt;=$C$1),'General Inputs'!H$10*$I90,0))</f>
        <v>1092.9550963878571</v>
      </c>
      <c r="AL90" s="214">
        <f>IF(AND(($E90+$C$1)&gt;AL$4,AL$4&gt;=$C$1),'General Inputs'!I$9*$H90,IF(AND(($D90+$C$1)&gt;AL$4,AL$4&gt;=$C$1),'General Inputs'!I$9*$G90,0))+IF(AND(($E90+$C$1)&gt;AL$4,AL$4&gt;=$C$1),'General Inputs'!I$10*$J90,IF(AND(($D90+$C$1)&gt;AL$4,AL$4&gt;=$C$1),'General Inputs'!I$10*$I90,0))</f>
        <v>1109.3494228336747</v>
      </c>
      <c r="AM90" s="214">
        <f>IF(AND(($E90+$C$1)&gt;AM$4,AM$4&gt;=$C$1),'General Inputs'!J$9*$H90,IF(AND(($D90+$C$1)&gt;AM$4,AM$4&gt;=$C$1),'General Inputs'!J$9*$G90,0))+IF(AND(($E90+$C$1)&gt;AM$4,AM$4&gt;=$C$1),'General Inputs'!J$10*$J90,IF(AND(($D90+$C$1)&gt;AM$4,AM$4&gt;=$C$1),'General Inputs'!J$10*$I90,0))</f>
        <v>1125.9896641761795</v>
      </c>
      <c r="AN90" s="214">
        <f>IF(AND(($E90+$C$1)&gt;AN$4,AN$4&gt;=$C$1),'General Inputs'!K$9*$H90,IF(AND(($D90+$C$1)&gt;AN$4,AN$4&gt;=$C$1),'General Inputs'!K$9*$G90,0))+IF(AND(($E90+$C$1)&gt;AN$4,AN$4&gt;=$C$1),'General Inputs'!K$10*$J90,IF(AND(($D90+$C$1)&gt;AN$4,AN$4&gt;=$C$1),'General Inputs'!K$10*$I90,0))</f>
        <v>1142.8795091388222</v>
      </c>
      <c r="AO90" s="214">
        <f>IF(AND(($E90+$C$1)&gt;AO$4,AO$4&gt;=$C$1),'General Inputs'!L$9*$H90,IF(AND(($D90+$C$1)&gt;AO$4,AO$4&gt;=$C$1),'General Inputs'!L$9*$G90,0))+IF(AND(($E90+$C$1)&gt;AO$4,AO$4&gt;=$C$1),'General Inputs'!L$10*$J90,IF(AND(($D90+$C$1)&gt;AO$4,AO$4&gt;=$C$1),'General Inputs'!L$10*$I90,0))</f>
        <v>1160.0227017759044</v>
      </c>
      <c r="AP90" s="214">
        <f>IF(AND(($E90+$C$1)&gt;AP$4,AP$4&gt;=$C$1),'General Inputs'!M$9*$H90,IF(AND(($D90+$C$1)&gt;AP$4,AP$4&gt;=$C$1),'General Inputs'!M$9*$G90,0))+IF(AND(($E90+$C$1)&gt;AP$4,AP$4&gt;=$C$1),'General Inputs'!M$10*$J90,IF(AND(($D90+$C$1)&gt;AP$4,AP$4&gt;=$C$1),'General Inputs'!M$10*$I90,0))</f>
        <v>1177.4230423025426</v>
      </c>
      <c r="AQ90" s="214">
        <f>IF(AND(($E90+$C$1)&gt;AQ$4,AQ$4&gt;=$C$1),'General Inputs'!N$9*$H90,IF(AND(($D90+$C$1)&gt;AQ$4,AQ$4&gt;=$C$1),'General Inputs'!N$9*$G90,0))+IF(AND(($E90+$C$1)&gt;AQ$4,AQ$4&gt;=$C$1),'General Inputs'!N$10*$J90,IF(AND(($D90+$C$1)&gt;AQ$4,AQ$4&gt;=$C$1),'General Inputs'!N$10*$I90,0))</f>
        <v>1195.0843879370809</v>
      </c>
      <c r="AR90" s="214">
        <f>IF(AND(($E90+$C$1)&gt;AR$4,AR$4&gt;=$C$1),'General Inputs'!O$9*$H90,IF(AND(($D90+$C$1)&gt;AR$4,AR$4&gt;=$C$1),'General Inputs'!O$9*$G90,0))+IF(AND(($E90+$C$1)&gt;AR$4,AR$4&gt;=$C$1),'General Inputs'!O$10*$J90,IF(AND(($D90+$C$1)&gt;AR$4,AR$4&gt;=$C$1),'General Inputs'!O$10*$I90,0))</f>
        <v>1213.0106537561369</v>
      </c>
      <c r="AS90" s="214">
        <f>IF(AND(($E90+$C$1)&gt;AS$4,AS$4&gt;=$C$1),'General Inputs'!P$9*$H90,IF(AND(($D90+$C$1)&gt;AS$4,AS$4&gt;=$C$1),'General Inputs'!P$9*$G90,0))+IF(AND(($E90+$C$1)&gt;AS$4,AS$4&gt;=$C$1),'General Inputs'!P$10*$J90,IF(AND(($D90+$C$1)&gt;AS$4,AS$4&gt;=$C$1),'General Inputs'!P$10*$I90,0))</f>
        <v>1231.2058135624789</v>
      </c>
      <c r="AT90" s="214">
        <f>IF(AND(($E90+$C$1)&gt;AT$4,AT$4&gt;=$C$1),'General Inputs'!Q$9*$H90,IF(AND(($D90+$C$1)&gt;AT$4,AT$4&gt;=$C$1),'General Inputs'!Q$9*$G90,0))+IF(AND(($E90+$C$1)&gt;AT$4,AT$4&gt;=$C$1),'General Inputs'!Q$10*$J90,IF(AND(($D90+$C$1)&gt;AT$4,AT$4&gt;=$C$1),'General Inputs'!Q$10*$I90,0))</f>
        <v>1249.673900765916</v>
      </c>
      <c r="AU90" s="214">
        <f>IF(AND(($E90+$C$1)&gt;AU$4,AU$4&gt;=$C$1),'General Inputs'!R$9*$H90,IF(AND(($D90+$C$1)&gt;AU$4,AU$4&gt;=$C$1),'General Inputs'!R$9*$G90,0))+IF(AND(($E90+$C$1)&gt;AU$4,AU$4&gt;=$C$1),'General Inputs'!R$10*$J90,IF(AND(($D90+$C$1)&gt;AU$4,AU$4&gt;=$C$1),'General Inputs'!R$10*$I90,0))</f>
        <v>1268.4190092774047</v>
      </c>
      <c r="AV90" s="214">
        <f>IF(AND(($E90+$C$1)&gt;AV$4,AV$4&gt;=$C$1),'General Inputs'!S$9*$H90,IF(AND(($D90+$C$1)&gt;AV$4,AV$4&gt;=$C$1),'General Inputs'!S$9*$G90,0))+IF(AND(($E90+$C$1)&gt;AV$4,AV$4&gt;=$C$1),'General Inputs'!S$10*$J90,IF(AND(($D90+$C$1)&gt;AV$4,AV$4&gt;=$C$1),'General Inputs'!S$10*$I90,0))</f>
        <v>1287.4452944165655</v>
      </c>
      <c r="AW90" s="214">
        <f>IF(AND(($E90+$C$1)&gt;AW$4,AW$4&gt;=$C$1),'General Inputs'!T$9*$H90,IF(AND(($D90+$C$1)&gt;AW$4,AW$4&gt;=$C$1),'General Inputs'!T$9*$G90,0))+IF(AND(($E90+$C$1)&gt;AW$4,AW$4&gt;=$C$1),'General Inputs'!T$10*$J90,IF(AND(($D90+$C$1)&gt;AW$4,AW$4&gt;=$C$1),'General Inputs'!T$10*$I90,0))</f>
        <v>0</v>
      </c>
      <c r="AX90" s="214">
        <f>IF(AND(($E90+$C$1)&gt;AX$4,AX$4&gt;=$C$1),'General Inputs'!U$9*$H90,IF(AND(($D90+$C$1)&gt;AX$4,AX$4&gt;=$C$1),'General Inputs'!U$9*$G90,0))+IF(AND(($E90+$C$1)&gt;AX$4,AX$4&gt;=$C$1),'General Inputs'!U$10*$J90,IF(AND(($D90+$C$1)&gt;AX$4,AX$4&gt;=$C$1),'General Inputs'!U$10*$I90,0))</f>
        <v>0</v>
      </c>
      <c r="AY90" s="214">
        <f>IF(AND(($E90+$C$1)&gt;AY$4,AY$4&gt;=$C$1),'General Inputs'!V$9*$H90,IF(AND(($D90+$C$1)&gt;AY$4,AY$4&gt;=$C$1),'General Inputs'!V$9*$G90,0))+IF(AND(($E90+$C$1)&gt;AY$4,AY$4&gt;=$C$1),'General Inputs'!V$10*$J90,IF(AND(($D90+$C$1)&gt;AY$4,AY$4&gt;=$C$1),'General Inputs'!V$10*$I90,0))</f>
        <v>0</v>
      </c>
      <c r="AZ90" s="214">
        <f>IF(AND(($E90+$C$1)&gt;AZ$4,AZ$4&gt;=$C$1),'General Inputs'!W$9*$H90,IF(AND(($D90+$C$1)&gt;AZ$4,AZ$4&gt;=$C$1),'General Inputs'!W$9*$G90,0))+IF(AND(($E90+$C$1)&gt;AZ$4,AZ$4&gt;=$C$1),'General Inputs'!W$10*$J90,IF(AND(($D90+$C$1)&gt;AZ$4,AZ$4&gt;=$C$1),'General Inputs'!W$10*$I90,0))</f>
        <v>0</v>
      </c>
      <c r="BB90" s="214">
        <f>IF(AND(($E90+$C$1)&gt;BB$4,BB$4&gt;=$C$1),'General Inputs'!D$11*$H90,IF(AND(($D90+$C$1)&gt;BB$4,BB$4&gt;=$C$1),'General Inputs'!D$11*$G90,0))</f>
        <v>0</v>
      </c>
      <c r="BC90" s="214">
        <f>IF(AND(($E90+$C$1)&gt;BC$4,BC$4&gt;=$C$1),'General Inputs'!E$11*$H90,IF(AND(($D90+$C$1)&gt;BC$4,BC$4&gt;=$C$1),'General Inputs'!E$11*$G90,0))</f>
        <v>289.70486007133229</v>
      </c>
      <c r="BD90" s="214">
        <f>IF(AND(($E90+$C$1)&gt;BD$4,BD$4&gt;=$C$1),'General Inputs'!F$11*$H90,IF(AND(($D90+$C$1)&gt;BD$4,BD$4&gt;=$C$1),'General Inputs'!F$11*$G90,0))</f>
        <v>289.70486007133229</v>
      </c>
      <c r="BE90" s="214">
        <f>IF(AND(($E90+$C$1)&gt;BE$4,BE$4&gt;=$C$1),'General Inputs'!G$11*$H90,IF(AND(($D90+$C$1)&gt;BE$4,BE$4&gt;=$C$1),'General Inputs'!G$11*$G90,0))</f>
        <v>289.70486007133229</v>
      </c>
      <c r="BF90" s="214">
        <f>IF(AND(($E90+$C$1)&gt;BF$4,BF$4&gt;=$C$1),'General Inputs'!H$11*$H90,IF(AND(($D90+$C$1)&gt;BF$4,BF$4&gt;=$C$1),'General Inputs'!H$11*$G90,0))</f>
        <v>289.70486007133229</v>
      </c>
      <c r="BG90" s="214">
        <f>IF(AND(($E90+$C$1)&gt;BG$4,BG$4&gt;=$C$1),'General Inputs'!I$11*$H90,IF(AND(($D90+$C$1)&gt;BG$4,BG$4&gt;=$C$1),'General Inputs'!I$11*$G90,0))</f>
        <v>289.70486007133229</v>
      </c>
      <c r="BH90" s="214">
        <f>IF(AND(($E90+$C$1)&gt;BH$4,BH$4&gt;=$C$1),'General Inputs'!J$11*$H90,IF(AND(($D90+$C$1)&gt;BH$4,BH$4&gt;=$C$1),'General Inputs'!J$11*$G90,0))</f>
        <v>289.70486007133229</v>
      </c>
      <c r="BI90" s="214">
        <f>IF(AND(($E90+$C$1)&gt;BI$4,BI$4&gt;=$C$1),'General Inputs'!K$11*$H90,IF(AND(($D90+$C$1)&gt;BI$4,BI$4&gt;=$C$1),'General Inputs'!K$11*$G90,0))</f>
        <v>289.70486007133229</v>
      </c>
      <c r="BJ90" s="214">
        <f>IF(AND(($E90+$C$1)&gt;BJ$4,BJ$4&gt;=$C$1),'General Inputs'!L$11*$H90,IF(AND(($D90+$C$1)&gt;BJ$4,BJ$4&gt;=$C$1),'General Inputs'!L$11*$G90,0))</f>
        <v>289.70486007133229</v>
      </c>
      <c r="BK90" s="214">
        <f>IF(AND(($E90+$C$1)&gt;BK$4,BK$4&gt;=$C$1),'General Inputs'!M$11*$H90,IF(AND(($D90+$C$1)&gt;BK$4,BK$4&gt;=$C$1),'General Inputs'!M$11*$G90,0))</f>
        <v>289.70486007133229</v>
      </c>
      <c r="BL90" s="214">
        <f>IF(AND(($E90+$C$1)&gt;BL$4,BL$4&gt;=$C$1),'General Inputs'!N$11*$H90,IF(AND(($D90+$C$1)&gt;BL$4,BL$4&gt;=$C$1),'General Inputs'!N$11*$G90,0))</f>
        <v>289.70486007133229</v>
      </c>
      <c r="BM90" s="214">
        <f>IF(AND(($E90+$C$1)&gt;BM$4,BM$4&gt;=$C$1),'General Inputs'!O$11*$H90,IF(AND(($D90+$C$1)&gt;BM$4,BM$4&gt;=$C$1),'General Inputs'!O$11*$G90,0))</f>
        <v>289.70486007133229</v>
      </c>
      <c r="BN90" s="214">
        <f>IF(AND(($E90+$C$1)&gt;BN$4,BN$4&gt;=$C$1),'General Inputs'!P$11*$H90,IF(AND(($D90+$C$1)&gt;BN$4,BN$4&gt;=$C$1),'General Inputs'!P$11*$G90,0))</f>
        <v>289.70486007133229</v>
      </c>
      <c r="BO90" s="214">
        <f>IF(AND(($E90+$C$1)&gt;BO$4,BO$4&gt;=$C$1),'General Inputs'!Q$11*$H90,IF(AND(($D90+$C$1)&gt;BO$4,BO$4&gt;=$C$1),'General Inputs'!Q$11*$G90,0))</f>
        <v>289.70486007133229</v>
      </c>
      <c r="BP90" s="214">
        <f>IF(AND(($E90+$C$1)&gt;BP$4,BP$4&gt;=$C$1),'General Inputs'!R$11*$H90,IF(AND(($D90+$C$1)&gt;BP$4,BP$4&gt;=$C$1),'General Inputs'!R$11*$G90,0))</f>
        <v>289.70486007133229</v>
      </c>
      <c r="BQ90" s="214">
        <f>IF(AND(($E90+$C$1)&gt;BQ$4,BQ$4&gt;=$C$1),'General Inputs'!S$11*$H90,IF(AND(($D90+$C$1)&gt;BQ$4,BQ$4&gt;=$C$1),'General Inputs'!S$11*$G90,0))</f>
        <v>289.70486007133229</v>
      </c>
      <c r="BR90" s="214">
        <f>IF(AND(($E90+$C$1)&gt;BR$4,BR$4&gt;=$C$1),'General Inputs'!T$11*$H90,IF(AND(($D90+$C$1)&gt;BR$4,BR$4&gt;=$C$1),'General Inputs'!T$11*$G90,0))</f>
        <v>0</v>
      </c>
      <c r="BS90" s="214">
        <f>IF(AND(($E90+$C$1)&gt;BS$4,BS$4&gt;=$C$1),'General Inputs'!U$11*$H90,IF(AND(($D90+$C$1)&gt;BS$4,BS$4&gt;=$C$1),'General Inputs'!U$11*$G90,0))</f>
        <v>0</v>
      </c>
      <c r="BT90" s="214">
        <f>IF(AND(($E90+$C$1)&gt;BT$4,BT$4&gt;=$C$1),'General Inputs'!V$11*$H90,IF(AND(($D90+$C$1)&gt;BT$4,BT$4&gt;=$C$1),'General Inputs'!V$11*$G90,0))</f>
        <v>0</v>
      </c>
      <c r="BU90" s="214">
        <f>IF(AND(($E90+$C$1)&gt;BU$4,BU$4&gt;=$C$1),'General Inputs'!W$11*$H90,IF(AND(($D90+$C$1)&gt;BU$4,BU$4&gt;=$C$1),'General Inputs'!W$11*$G90,0))</f>
        <v>0</v>
      </c>
      <c r="BW90" s="214">
        <f>IF(AND(($E90+$C$1)&gt;BW$4,BW$4&gt;=$C$1),$H90,IF(AND(($D90+$C$1)&gt;BW$4,BW$4&gt;=$C$1),$G90,0))*IF($A90="Residential",'General Inputs'!D$14,'General Inputs'!D$19)</f>
        <v>0</v>
      </c>
      <c r="BX90" s="214">
        <f>IF(AND(($E90+$C$1)&gt;BX$4,BX$4&gt;=$C$1),$H90,IF(AND(($D90+$C$1)&gt;BX$4,BX$4&gt;=$C$1),$G90,0))*IF($A90="Residential",'General Inputs'!E$14,'General Inputs'!E$19)</f>
        <v>2694.6072065906342</v>
      </c>
      <c r="BY90" s="214">
        <f>IF(AND(($E90+$C$1)&gt;BY$4,BY$4&gt;=$C$1),$H90,IF(AND(($D90+$C$1)&gt;BY$4,BY$4&gt;=$C$1),$G90,0))*IF($A90="Residential",'General Inputs'!F$14,'General Inputs'!F$19)</f>
        <v>2735.0263146894936</v>
      </c>
      <c r="BZ90" s="214">
        <f>IF(AND(($E90+$C$1)&gt;BZ$4,BZ$4&gt;=$C$1),$H90,IF(AND(($D90+$C$1)&gt;BZ$4,BZ$4&gt;=$C$1),$G90,0))*IF($A90="Residential",'General Inputs'!G$14,'General Inputs'!G$19)</f>
        <v>2776.0517094098359</v>
      </c>
      <c r="CA90" s="214">
        <f>IF(AND(($E90+$C$1)&gt;CA$4,CA$4&gt;=$C$1),$H90,IF(AND(($D90+$C$1)&gt;CA$4,CA$4&gt;=$C$1),$G90,0))*IF($A90="Residential",'General Inputs'!H$14,'General Inputs'!H$19)</f>
        <v>2817.6924850509827</v>
      </c>
      <c r="CB90" s="214">
        <f>IF(AND(($E90+$C$1)&gt;CB$4,CB$4&gt;=$C$1),$H90,IF(AND(($D90+$C$1)&gt;CB$4,CB$4&gt;=$C$1),$G90,0))*IF($A90="Residential",'General Inputs'!I$14,'General Inputs'!I$19)</f>
        <v>2859.9578723267468</v>
      </c>
      <c r="CC90" s="214">
        <f>IF(AND(($E90+$C$1)&gt;CC$4,CC$4&gt;=$C$1),$H90,IF(AND(($D90+$C$1)&gt;CC$4,CC$4&gt;=$C$1),$G90,0))*IF($A90="Residential",'General Inputs'!J$14,'General Inputs'!J$19)</f>
        <v>2902.857240411648</v>
      </c>
      <c r="CD90" s="214">
        <f>IF(AND(($E90+$C$1)&gt;CD$4,CD$4&gt;=$C$1),$H90,IF(AND(($D90+$C$1)&gt;CD$4,CD$4&gt;=$C$1),$G90,0))*IF($A90="Residential",'General Inputs'!K$14,'General Inputs'!K$19)</f>
        <v>2946.4000990178224</v>
      </c>
      <c r="CE90" s="214">
        <f>IF(AND(($E90+$C$1)&gt;CE$4,CE$4&gt;=$C$1),$H90,IF(AND(($D90+$C$1)&gt;CE$4,CE$4&gt;=$C$1),$G90,0))*IF($A90="Residential",'General Inputs'!L$14,'General Inputs'!L$19)</f>
        <v>2990.5961005030895</v>
      </c>
      <c r="CF90" s="214">
        <f>IF(AND(($E90+$C$1)&gt;CF$4,CF$4&gt;=$C$1),$H90,IF(AND(($D90+$C$1)&gt;CF$4,CF$4&gt;=$C$1),$G90,0))*IF($A90="Residential",'General Inputs'!M$14,'General Inputs'!M$19)</f>
        <v>3035.4550420106357</v>
      </c>
      <c r="CG90" s="214">
        <f>IF(AND(($E90+$C$1)&gt;CG$4,CG$4&gt;=$C$1),$H90,IF(AND(($D90+$C$1)&gt;CG$4,CG$4&gt;=$C$1),$G90,0))*IF($A90="Residential",'General Inputs'!N$14,'General Inputs'!N$19)</f>
        <v>3080.986867640795</v>
      </c>
      <c r="CH90" s="214">
        <f>IF(AND(($E90+$C$1)&gt;CH$4,CH$4&gt;=$C$1),$H90,IF(AND(($D90+$C$1)&gt;CH$4,CH$4&gt;=$C$1),$G90,0))*IF($A90="Residential",'General Inputs'!O$14,'General Inputs'!O$19)</f>
        <v>3127.2016706554064</v>
      </c>
      <c r="CI90" s="214">
        <f>IF(AND(($E90+$C$1)&gt;CI$4,CI$4&gt;=$C$1),$H90,IF(AND(($D90+$C$1)&gt;CI$4,CI$4&gt;=$C$1),$G90,0))*IF($A90="Residential",'General Inputs'!P$14,'General Inputs'!P$19)</f>
        <v>3174.1096957152372</v>
      </c>
      <c r="CJ90" s="214">
        <f>IF(AND(($E90+$C$1)&gt;CJ$4,CJ$4&gt;=$C$1),$H90,IF(AND(($D90+$C$1)&gt;CJ$4,CJ$4&gt;=$C$1),$G90,0))*IF($A90="Residential",'General Inputs'!Q$14,'General Inputs'!Q$19)</f>
        <v>3221.7213411509656</v>
      </c>
      <c r="CK90" s="214">
        <f>IF(AND(($E90+$C$1)&gt;CK$4,CK$4&gt;=$C$1),$H90,IF(AND(($D90+$C$1)&gt;CK$4,CK$4&gt;=$C$1),$G90,0))*IF($A90="Residential",'General Inputs'!R$14,'General Inputs'!R$19)</f>
        <v>3270.0471612682295</v>
      </c>
      <c r="CL90" s="214">
        <f>IF(AND(($E90+$C$1)&gt;CL$4,CL$4&gt;=$C$1),$H90,IF(AND(($D90+$C$1)&gt;CL$4,CL$4&gt;=$C$1),$G90,0))*IF($A90="Residential",'General Inputs'!S$14,'General Inputs'!S$19)</f>
        <v>3319.0978686872531</v>
      </c>
      <c r="CM90" s="214">
        <f>IF(AND(($E90+$C$1)&gt;CM$4,CM$4&gt;=$C$1),$H90,IF(AND(($D90+$C$1)&gt;CM$4,CM$4&gt;=$C$1),$G90,0))*IF($A90="Residential",'General Inputs'!T$14,'General Inputs'!T$19)</f>
        <v>0</v>
      </c>
      <c r="CN90" s="214">
        <f>IF(AND(($E90+$C$1)&gt;CN$4,CN$4&gt;=$C$1),$H90,IF(AND(($D90+$C$1)&gt;CN$4,CN$4&gt;=$C$1),$G90,0))*IF($A90="Residential",'General Inputs'!U$14,'General Inputs'!U$19)</f>
        <v>0</v>
      </c>
      <c r="CO90" s="214">
        <f>IF(AND(($E90+$C$1)&gt;CO$4,CO$4&gt;=$C$1),$H90,IF(AND(($D90+$C$1)&gt;CO$4,CO$4&gt;=$C$1),$G90,0))*IF($A90="Residential",'General Inputs'!V$14,'General Inputs'!V$19)</f>
        <v>0</v>
      </c>
      <c r="CP90" s="214">
        <f>IF(AND(($E90+$C$1)&gt;CP$4,CP$4&gt;=$C$1),$H90,IF(AND(($D90+$C$1)&gt;CP$4,CP$4&gt;=$C$1),$G90,0))*IF($A90="Residential",'General Inputs'!W$14,'General Inputs'!W$19)</f>
        <v>0</v>
      </c>
      <c r="CR90" s="214">
        <f>IF(AND(($E90+$C$1)&gt;CR$4,CR$4&gt;=$C$1),$H90,IF(AND(($D90+$C$1)&gt;CR$4,CR$4&gt;=$C$1),$G90,0))*IF($A90="Residential",'General Inputs'!D$15,'General Inputs'!D$19)</f>
        <v>0</v>
      </c>
      <c r="CS90" s="214">
        <f>IF(AND(($E90+$C$1)&gt;CS$4,CS$4&gt;=$C$1),$H90,IF(AND(($D90+$C$1)&gt;CS$4,CS$4&gt;=$C$1),$G90,0))*IF($A90="Residential",'General Inputs'!E$15,'General Inputs'!E$19)</f>
        <v>2694.6072065906342</v>
      </c>
      <c r="CT90" s="214">
        <f>IF(AND(($E90+$C$1)&gt;CT$4,CT$4&gt;=$C$1),$H90,IF(AND(($D90+$C$1)&gt;CT$4,CT$4&gt;=$C$1),$G90,0))*IF($A90="Residential",'General Inputs'!F$15,'General Inputs'!F$19)</f>
        <v>2735.0263146894936</v>
      </c>
      <c r="CU90" s="214">
        <f>IF(AND(($E90+$C$1)&gt;CU$4,CU$4&gt;=$C$1),$H90,IF(AND(($D90+$C$1)&gt;CU$4,CU$4&gt;=$C$1),$G90,0))*IF($A90="Residential",'General Inputs'!G$15,'General Inputs'!G$19)</f>
        <v>2776.0517094098359</v>
      </c>
      <c r="CV90" s="214">
        <f>IF(AND(($E90+$C$1)&gt;CV$4,CV$4&gt;=$C$1),$H90,IF(AND(($D90+$C$1)&gt;CV$4,CV$4&gt;=$C$1),$G90,0))*IF($A90="Residential",'General Inputs'!H$15,'General Inputs'!H$19)</f>
        <v>2817.6924850509827</v>
      </c>
      <c r="CW90" s="214">
        <f>IF(AND(($E90+$C$1)&gt;CW$4,CW$4&gt;=$C$1),$H90,IF(AND(($D90+$C$1)&gt;CW$4,CW$4&gt;=$C$1),$G90,0))*IF($A90="Residential",'General Inputs'!I$15,'General Inputs'!I$19)</f>
        <v>2859.9578723267468</v>
      </c>
      <c r="CX90" s="214">
        <f>IF(AND(($E90+$C$1)&gt;CX$4,CX$4&gt;=$C$1),$H90,IF(AND(($D90+$C$1)&gt;CX$4,CX$4&gt;=$C$1),$G90,0))*IF($A90="Residential",'General Inputs'!J$15,'General Inputs'!J$19)</f>
        <v>2902.857240411648</v>
      </c>
      <c r="CY90" s="214">
        <f>IF(AND(($E90+$C$1)&gt;CY$4,CY$4&gt;=$C$1),$H90,IF(AND(($D90+$C$1)&gt;CY$4,CY$4&gt;=$C$1),$G90,0))*IF($A90="Residential",'General Inputs'!K$15,'General Inputs'!K$19)</f>
        <v>2946.4000990178224</v>
      </c>
      <c r="CZ90" s="214">
        <f>IF(AND(($E90+$C$1)&gt;CZ$4,CZ$4&gt;=$C$1),$H90,IF(AND(($D90+$C$1)&gt;CZ$4,CZ$4&gt;=$C$1),$G90,0))*IF($A90="Residential",'General Inputs'!L$15,'General Inputs'!L$19)</f>
        <v>2990.5961005030895</v>
      </c>
      <c r="DA90" s="214">
        <f>IF(AND(($E90+$C$1)&gt;DA$4,DA$4&gt;=$C$1),$H90,IF(AND(($D90+$C$1)&gt;DA$4,DA$4&gt;=$C$1),$G90,0))*IF($A90="Residential",'General Inputs'!M$15,'General Inputs'!M$19)</f>
        <v>3035.4550420106357</v>
      </c>
      <c r="DB90" s="214">
        <f>IF(AND(($E90+$C$1)&gt;DB$4,DB$4&gt;=$C$1),$H90,IF(AND(($D90+$C$1)&gt;DB$4,DB$4&gt;=$C$1),$G90,0))*IF($A90="Residential",'General Inputs'!N$15,'General Inputs'!N$19)</f>
        <v>3080.986867640795</v>
      </c>
      <c r="DC90" s="214">
        <f>IF(AND(($E90+$C$1)&gt;DC$4,DC$4&gt;=$C$1),$H90,IF(AND(($D90+$C$1)&gt;DC$4,DC$4&gt;=$C$1),$G90,0))*IF($A90="Residential",'General Inputs'!O$15,'General Inputs'!O$19)</f>
        <v>3127.2016706554064</v>
      </c>
      <c r="DD90" s="214">
        <f>IF(AND(($E90+$C$1)&gt;DD$4,DD$4&gt;=$C$1),$H90,IF(AND(($D90+$C$1)&gt;DD$4,DD$4&gt;=$C$1),$G90,0))*IF($A90="Residential",'General Inputs'!P$15,'General Inputs'!P$19)</f>
        <v>3174.1096957152372</v>
      </c>
      <c r="DE90" s="214">
        <f>IF(AND(($E90+$C$1)&gt;DE$4,DE$4&gt;=$C$1),$H90,IF(AND(($D90+$C$1)&gt;DE$4,DE$4&gt;=$C$1),$G90,0))*IF($A90="Residential",'General Inputs'!Q$15,'General Inputs'!Q$19)</f>
        <v>3221.7213411509656</v>
      </c>
      <c r="DF90" s="214">
        <f>IF(AND(($E90+$C$1)&gt;DF$4,DF$4&gt;=$C$1),$H90,IF(AND(($D90+$C$1)&gt;DF$4,DF$4&gt;=$C$1),$G90,0))*IF($A90="Residential",'General Inputs'!R$15,'General Inputs'!R$19)</f>
        <v>3270.0471612682295</v>
      </c>
      <c r="DG90" s="214">
        <f>IF(AND(($E90+$C$1)&gt;DG$4,DG$4&gt;=$C$1),$H90,IF(AND(($D90+$C$1)&gt;DG$4,DG$4&gt;=$C$1),$G90,0))*IF($A90="Residential",'General Inputs'!S$15,'General Inputs'!S$19)</f>
        <v>3319.0978686872531</v>
      </c>
      <c r="DH90" s="214">
        <f>IF(AND(($E90+$C$1)&gt;DH$4,DH$4&gt;=$C$1),$H90,IF(AND(($D90+$C$1)&gt;DH$4,DH$4&gt;=$C$1),$G90,0))*IF($A90="Residential",'General Inputs'!T$15,'General Inputs'!T$19)</f>
        <v>0</v>
      </c>
      <c r="DI90" s="214">
        <f>IF(AND(($E90+$C$1)&gt;DI$4,DI$4&gt;=$C$1),$H90,IF(AND(($D90+$C$1)&gt;DI$4,DI$4&gt;=$C$1),$G90,0))*IF($A90="Residential",'General Inputs'!U$15,'General Inputs'!U$19)</f>
        <v>0</v>
      </c>
      <c r="DJ90" s="214">
        <f>IF(AND(($E90+$C$1)&gt;DJ$4,DJ$4&gt;=$C$1),$H90,IF(AND(($D90+$C$1)&gt;DJ$4,DJ$4&gt;=$C$1),$G90,0))*IF($A90="Residential",'General Inputs'!V$15,'General Inputs'!V$19)</f>
        <v>0</v>
      </c>
      <c r="DK90" s="214">
        <f>IF(AND(($E90+$C$1)&gt;DK$4,DK$4&gt;=$C$1),$H90,IF(AND(($D90+$C$1)&gt;DK$4,DK$4&gt;=$C$1),$G90,0))*IF($A90="Residential",'General Inputs'!W$15,'General Inputs'!W$19)</f>
        <v>0</v>
      </c>
      <c r="DM90" s="214">
        <f t="shared" si="114"/>
        <v>0</v>
      </c>
      <c r="DN90" s="214">
        <f t="shared" si="114"/>
        <v>9800</v>
      </c>
      <c r="DO90" s="214">
        <f t="shared" si="114"/>
        <v>0</v>
      </c>
      <c r="DP90" s="214">
        <f t="shared" si="114"/>
        <v>0</v>
      </c>
      <c r="DQ90" s="214">
        <f t="shared" si="114"/>
        <v>0</v>
      </c>
      <c r="DR90" s="214">
        <f t="shared" si="114"/>
        <v>0</v>
      </c>
      <c r="DS90" s="214">
        <f t="shared" si="114"/>
        <v>0</v>
      </c>
      <c r="DT90" s="214">
        <f t="shared" si="114"/>
        <v>0</v>
      </c>
      <c r="DU90" s="214">
        <f t="shared" si="114"/>
        <v>0</v>
      </c>
      <c r="DV90" s="214">
        <f t="shared" si="114"/>
        <v>0</v>
      </c>
      <c r="DW90" s="214">
        <f t="shared" si="114"/>
        <v>0</v>
      </c>
      <c r="DZ90" s="650"/>
      <c r="FI90" s="195"/>
      <c r="FJ90" s="195"/>
      <c r="FK90" s="195"/>
      <c r="FL90" s="195"/>
      <c r="FM90" s="195"/>
      <c r="FN90" s="195"/>
      <c r="FO90" s="195"/>
    </row>
    <row r="91" spans="1:171" s="449" customFormat="1">
      <c r="A91" s="435" t="s">
        <v>112</v>
      </c>
      <c r="B91" s="428" t="str">
        <f>'Portfolio Inputs'!A90</f>
        <v>VFD</v>
      </c>
      <c r="C91" s="454">
        <f>IF($C$1=2014,'Portfolio Inputs'!$C90,IF($C$1=2015,'Portfolio Inputs'!$D90,'Portfolio Inputs'!$E90))</f>
        <v>12</v>
      </c>
      <c r="D91" s="505"/>
      <c r="E91" s="505"/>
      <c r="F91" s="2"/>
      <c r="G91" s="515">
        <f t="shared" ref="G91:I91" si="121">SUM(G92:G93)</f>
        <v>291165.95048044686</v>
      </c>
      <c r="H91" s="515"/>
      <c r="I91" s="512">
        <f t="shared" si="121"/>
        <v>37.467544139999994</v>
      </c>
      <c r="J91" s="512"/>
      <c r="K91" s="2"/>
      <c r="L91" s="455"/>
      <c r="M91" s="455"/>
      <c r="N91" s="455">
        <f>IF($C$1=2014,'Portfolio Inputs'!$W90,IF($C$1=2015,'Portfolio Inputs'!$X90,'Portfolio Inputs'!$Y90))</f>
        <v>9000</v>
      </c>
      <c r="O91" s="455">
        <f>IF($C$1=2014,'Portfolio Inputs'!$AA90,IF($C$1=2015,'Portfolio Inputs'!$AB90,'Portfolio Inputs'!$AC90))</f>
        <v>0</v>
      </c>
      <c r="P91" s="16"/>
      <c r="Q91" s="433">
        <f t="shared" si="115"/>
        <v>3.9294203807687773</v>
      </c>
      <c r="R91" s="434">
        <f t="shared" si="116"/>
        <v>13.192374025034376</v>
      </c>
      <c r="S91" s="434">
        <f t="shared" si="117"/>
        <v>4.9023518879670647</v>
      </c>
      <c r="T91" s="434">
        <f t="shared" si="118"/>
        <v>10.132608074184587</v>
      </c>
      <c r="U91" s="434">
        <f>IF(AE91&gt;0,(AD91+AB91)/AE91,"n/a")</f>
        <v>10.132608074184587</v>
      </c>
      <c r="V91" s="523">
        <f t="shared" si="119"/>
        <v>0.38779950354341464</v>
      </c>
      <c r="W91" s="523">
        <f t="shared" si="120"/>
        <v>0.38779950354341464</v>
      </c>
      <c r="X91" s="16"/>
      <c r="Y91" s="447">
        <f t="shared" si="101"/>
        <v>109087.98807911556</v>
      </c>
      <c r="Z91" s="447">
        <f t="shared" si="102"/>
        <v>27010.380762131063</v>
      </c>
      <c r="AA91" s="447">
        <f t="shared" si="103"/>
        <v>273030.94962289737</v>
      </c>
      <c r="AB91" s="447">
        <f t="shared" si="104"/>
        <v>273030.94962289737</v>
      </c>
      <c r="AC91" s="448">
        <f t="shared" si="20"/>
        <v>0</v>
      </c>
      <c r="AD91" s="448">
        <f t="shared" si="21"/>
        <v>8269.0187431091508</v>
      </c>
      <c r="AE91" s="525">
        <f t="shared" si="105"/>
        <v>27761.852260198455</v>
      </c>
      <c r="AF91" s="16"/>
      <c r="AG91" s="432">
        <f>SUM(AG92:AG93)</f>
        <v>0</v>
      </c>
      <c r="AH91" s="432">
        <f t="shared" ref="AH91:AZ91" si="122">SUM(AH92:AH93)</f>
        <v>12335.313064829616</v>
      </c>
      <c r="AI91" s="432">
        <f t="shared" si="122"/>
        <v>12520.342760802057</v>
      </c>
      <c r="AJ91" s="432">
        <f t="shared" si="122"/>
        <v>12708.147902214088</v>
      </c>
      <c r="AK91" s="432">
        <f t="shared" si="122"/>
        <v>12898.770120747296</v>
      </c>
      <c r="AL91" s="432">
        <f t="shared" si="122"/>
        <v>13092.251672558505</v>
      </c>
      <c r="AM91" s="432">
        <f t="shared" si="122"/>
        <v>13288.63544764688</v>
      </c>
      <c r="AN91" s="432">
        <f t="shared" si="122"/>
        <v>13487.964979361583</v>
      </c>
      <c r="AO91" s="432">
        <f t="shared" si="122"/>
        <v>13690.284454052005</v>
      </c>
      <c r="AP91" s="432">
        <f t="shared" si="122"/>
        <v>13895.638720862782</v>
      </c>
      <c r="AQ91" s="432">
        <f t="shared" si="122"/>
        <v>14104.073301675722</v>
      </c>
      <c r="AR91" s="432">
        <f t="shared" si="122"/>
        <v>14315.634401200856</v>
      </c>
      <c r="AS91" s="432">
        <f t="shared" si="122"/>
        <v>14530.368917218868</v>
      </c>
      <c r="AT91" s="432">
        <f t="shared" si="122"/>
        <v>14748.324450977152</v>
      </c>
      <c r="AU91" s="432">
        <f t="shared" si="122"/>
        <v>14969.549317741807</v>
      </c>
      <c r="AV91" s="432">
        <f t="shared" si="122"/>
        <v>15194.092557507933</v>
      </c>
      <c r="AW91" s="432">
        <f t="shared" si="122"/>
        <v>0</v>
      </c>
      <c r="AX91" s="432">
        <f t="shared" si="122"/>
        <v>0</v>
      </c>
      <c r="AY91" s="432">
        <f t="shared" si="122"/>
        <v>0</v>
      </c>
      <c r="AZ91" s="432">
        <f t="shared" si="122"/>
        <v>0</v>
      </c>
      <c r="BA91" s="16"/>
      <c r="BB91" s="432">
        <f>SUM(BB92:BB93)</f>
        <v>0</v>
      </c>
      <c r="BC91" s="432">
        <f t="shared" ref="BC91:BU91" si="123">SUM(BC92:BC93)</f>
        <v>3319.2918354770945</v>
      </c>
      <c r="BD91" s="432">
        <f t="shared" si="123"/>
        <v>3319.2918354770945</v>
      </c>
      <c r="BE91" s="432">
        <f t="shared" si="123"/>
        <v>3319.2918354770945</v>
      </c>
      <c r="BF91" s="432">
        <f t="shared" si="123"/>
        <v>3319.2918354770945</v>
      </c>
      <c r="BG91" s="432">
        <f t="shared" si="123"/>
        <v>3319.2918354770945</v>
      </c>
      <c r="BH91" s="432">
        <f t="shared" si="123"/>
        <v>3319.2918354770945</v>
      </c>
      <c r="BI91" s="432">
        <f t="shared" si="123"/>
        <v>3319.2918354770945</v>
      </c>
      <c r="BJ91" s="432">
        <f t="shared" si="123"/>
        <v>3319.2918354770945</v>
      </c>
      <c r="BK91" s="432">
        <f t="shared" si="123"/>
        <v>3319.2918354770945</v>
      </c>
      <c r="BL91" s="432">
        <f t="shared" si="123"/>
        <v>3319.2918354770945</v>
      </c>
      <c r="BM91" s="432">
        <f t="shared" si="123"/>
        <v>3319.2918354770945</v>
      </c>
      <c r="BN91" s="432">
        <f t="shared" si="123"/>
        <v>3319.2918354770945</v>
      </c>
      <c r="BO91" s="432">
        <f t="shared" si="123"/>
        <v>3319.2918354770945</v>
      </c>
      <c r="BP91" s="432">
        <f t="shared" si="123"/>
        <v>3319.2918354770945</v>
      </c>
      <c r="BQ91" s="432">
        <f t="shared" si="123"/>
        <v>3319.2918354770945</v>
      </c>
      <c r="BR91" s="432">
        <f t="shared" si="123"/>
        <v>0</v>
      </c>
      <c r="BS91" s="432">
        <f t="shared" si="123"/>
        <v>0</v>
      </c>
      <c r="BT91" s="432">
        <f t="shared" si="123"/>
        <v>0</v>
      </c>
      <c r="BU91" s="432">
        <f t="shared" si="123"/>
        <v>0</v>
      </c>
      <c r="BV91" s="16"/>
      <c r="BW91" s="432">
        <f>SUM(BW92:BW93)</f>
        <v>0</v>
      </c>
      <c r="BX91" s="432">
        <f t="shared" ref="BX91:CP91" si="124">SUM(BX92:BX93)</f>
        <v>30873.447198820752</v>
      </c>
      <c r="BY91" s="432">
        <f t="shared" si="124"/>
        <v>31336.548906803062</v>
      </c>
      <c r="BZ91" s="432">
        <f t="shared" si="124"/>
        <v>31806.597140405105</v>
      </c>
      <c r="CA91" s="432">
        <f t="shared" si="124"/>
        <v>32283.696097511176</v>
      </c>
      <c r="CB91" s="432">
        <f t="shared" si="124"/>
        <v>32767.951538973837</v>
      </c>
      <c r="CC91" s="432">
        <f t="shared" si="124"/>
        <v>33259.470812058447</v>
      </c>
      <c r="CD91" s="432">
        <f t="shared" si="124"/>
        <v>33758.362874239319</v>
      </c>
      <c r="CE91" s="432">
        <f t="shared" si="124"/>
        <v>34264.738317352902</v>
      </c>
      <c r="CF91" s="432">
        <f t="shared" si="124"/>
        <v>34778.709392113196</v>
      </c>
      <c r="CG91" s="432">
        <f t="shared" si="124"/>
        <v>35300.390032994888</v>
      </c>
      <c r="CH91" s="432">
        <f t="shared" si="124"/>
        <v>35829.895883489808</v>
      </c>
      <c r="CI91" s="432">
        <f t="shared" si="124"/>
        <v>36367.344321742152</v>
      </c>
      <c r="CJ91" s="432">
        <f t="shared" si="124"/>
        <v>36912.854486568278</v>
      </c>
      <c r="CK91" s="432">
        <f t="shared" si="124"/>
        <v>37466.547303866799</v>
      </c>
      <c r="CL91" s="432">
        <f t="shared" si="124"/>
        <v>38028.545513424804</v>
      </c>
      <c r="CM91" s="432">
        <f t="shared" si="124"/>
        <v>0</v>
      </c>
      <c r="CN91" s="432">
        <f t="shared" si="124"/>
        <v>0</v>
      </c>
      <c r="CO91" s="432">
        <f t="shared" si="124"/>
        <v>0</v>
      </c>
      <c r="CP91" s="432">
        <f t="shared" si="124"/>
        <v>0</v>
      </c>
      <c r="CQ91" s="16"/>
      <c r="CR91" s="432">
        <f>SUM(CR92:CR93)</f>
        <v>0</v>
      </c>
      <c r="CS91" s="432">
        <f t="shared" ref="CS91:DK91" si="125">SUM(CS92:CS93)</f>
        <v>30873.447198820752</v>
      </c>
      <c r="CT91" s="432">
        <f t="shared" si="125"/>
        <v>31336.548906803062</v>
      </c>
      <c r="CU91" s="432">
        <f t="shared" si="125"/>
        <v>31806.597140405105</v>
      </c>
      <c r="CV91" s="432">
        <f t="shared" si="125"/>
        <v>32283.696097511176</v>
      </c>
      <c r="CW91" s="432">
        <f t="shared" si="125"/>
        <v>32767.951538973837</v>
      </c>
      <c r="CX91" s="432">
        <f t="shared" si="125"/>
        <v>33259.470812058447</v>
      </c>
      <c r="CY91" s="432">
        <f t="shared" si="125"/>
        <v>33758.362874239319</v>
      </c>
      <c r="CZ91" s="432">
        <f t="shared" si="125"/>
        <v>34264.738317352902</v>
      </c>
      <c r="DA91" s="432">
        <f t="shared" si="125"/>
        <v>34778.709392113196</v>
      </c>
      <c r="DB91" s="432">
        <f t="shared" si="125"/>
        <v>35300.390032994888</v>
      </c>
      <c r="DC91" s="432">
        <f t="shared" si="125"/>
        <v>35829.895883489808</v>
      </c>
      <c r="DD91" s="432">
        <f t="shared" si="125"/>
        <v>36367.344321742152</v>
      </c>
      <c r="DE91" s="432">
        <f t="shared" si="125"/>
        <v>36912.854486568278</v>
      </c>
      <c r="DF91" s="432">
        <f t="shared" si="125"/>
        <v>37466.547303866799</v>
      </c>
      <c r="DG91" s="432">
        <f t="shared" si="125"/>
        <v>38028.545513424804</v>
      </c>
      <c r="DH91" s="432">
        <f t="shared" si="125"/>
        <v>0</v>
      </c>
      <c r="DI91" s="432">
        <f t="shared" si="125"/>
        <v>0</v>
      </c>
      <c r="DJ91" s="432">
        <f t="shared" si="125"/>
        <v>0</v>
      </c>
      <c r="DK91" s="432">
        <f t="shared" si="125"/>
        <v>0</v>
      </c>
      <c r="DL91" s="16"/>
      <c r="DM91" s="432">
        <f t="shared" ref="DM91:DW91" si="126">SUM(DM92:DM93)</f>
        <v>0</v>
      </c>
      <c r="DN91" s="432">
        <f t="shared" si="126"/>
        <v>30216</v>
      </c>
      <c r="DO91" s="432">
        <f t="shared" si="126"/>
        <v>0</v>
      </c>
      <c r="DP91" s="432">
        <f t="shared" si="126"/>
        <v>0</v>
      </c>
      <c r="DQ91" s="432">
        <f t="shared" si="126"/>
        <v>0</v>
      </c>
      <c r="DR91" s="432">
        <f t="shared" si="126"/>
        <v>0</v>
      </c>
      <c r="DS91" s="432">
        <f t="shared" si="126"/>
        <v>0</v>
      </c>
      <c r="DT91" s="432">
        <f t="shared" si="126"/>
        <v>0</v>
      </c>
      <c r="DU91" s="432">
        <f t="shared" si="126"/>
        <v>0</v>
      </c>
      <c r="DV91" s="432">
        <f t="shared" si="126"/>
        <v>0</v>
      </c>
      <c r="DW91" s="432">
        <f t="shared" si="126"/>
        <v>0</v>
      </c>
      <c r="DX91" s="16"/>
      <c r="DY91" s="16"/>
      <c r="DZ91" s="650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</row>
    <row r="92" spans="1:171">
      <c r="A92" s="342" t="s">
        <v>112</v>
      </c>
      <c r="B92" s="427" t="str">
        <f>'Portfolio Inputs'!A91</f>
        <v>VFD Fan</v>
      </c>
      <c r="C92" s="217">
        <f>IF($C$1=2014,'Portfolio Inputs'!$C91,IF($C$1=2015,'Portfolio Inputs'!$D91,'Portfolio Inputs'!$E91))</f>
        <v>6</v>
      </c>
      <c r="D92" s="504">
        <f>VLOOKUP(B92,Sources!$B$4:$J$104,2,FALSE)</f>
        <v>15</v>
      </c>
      <c r="E92" s="504">
        <f>VLOOKUP(B92,Sources!$B$4:$J$104,3,FALSE)</f>
        <v>0</v>
      </c>
      <c r="G92" s="504">
        <f>IF($C$1=2014,'Portfolio Inputs'!$G91,IF($C$1=2015,'Portfolio Inputs'!$H91,'Portfolio Inputs'!$I91))*EnergyLineLoss</f>
        <v>109959.56648044691</v>
      </c>
      <c r="H92" s="504"/>
      <c r="I92" s="595">
        <f>IF($C$1=2014,'Portfolio Inputs'!$K91,IF($C$1=2015,'Portfolio Inputs'!$L91,'Portfolio Inputs'!$M91))*PeakLineLoss</f>
        <v>23.338132559999998</v>
      </c>
      <c r="J92" s="510"/>
      <c r="L92" s="606">
        <f>IF($C$1=2014,'Portfolio Inputs'!$O91,IF($C$1=2015,'Portfolio Inputs'!$P91,'Portfolio Inputs'!$Q91))</f>
        <v>2518</v>
      </c>
      <c r="M92" s="518">
        <f>VLOOKUP($B92,Sources!$B$4:$K$104,10,FALSE)</f>
        <v>0</v>
      </c>
      <c r="N92" s="419">
        <f>IF($C$1=2014,'Portfolio Inputs'!$W91,IF($C$1=2015,'Portfolio Inputs'!$X91,'Portfolio Inputs'!$Y91))</f>
        <v>4500</v>
      </c>
      <c r="O92" s="419">
        <f>IF($C$1=2014,'Portfolio Inputs'!$AA91,IF($C$1=2015,'Portfolio Inputs'!$AB91,'Portfolio Inputs'!$AC91))</f>
        <v>0</v>
      </c>
      <c r="Q92" s="436">
        <f t="shared" si="115"/>
        <v>3.0568834984424229</v>
      </c>
      <c r="R92" s="437">
        <f t="shared" si="116"/>
        <v>10.262976865437361</v>
      </c>
      <c r="S92" s="437">
        <f t="shared" si="117"/>
        <v>3.7917436465480705</v>
      </c>
      <c r="T92" s="437">
        <f t="shared" si="118"/>
        <v>7.7260944517550527</v>
      </c>
      <c r="U92" s="439">
        <f t="shared" ref="U92:U93" si="127">IF(AE92&gt;0,(AD92+AB92)/AE92,"n/a")</f>
        <v>7.7260944517550527</v>
      </c>
      <c r="V92" s="439">
        <f t="shared" si="119"/>
        <v>0.39565701888979932</v>
      </c>
      <c r="W92" s="439">
        <f t="shared" si="120"/>
        <v>0.39565701888979932</v>
      </c>
      <c r="Y92" s="215">
        <f t="shared" si="101"/>
        <v>42432.374030198567</v>
      </c>
      <c r="Z92" s="215">
        <f t="shared" si="102"/>
        <v>10200.539431808278</v>
      </c>
      <c r="AA92" s="215">
        <f t="shared" si="103"/>
        <v>103110.8369874268</v>
      </c>
      <c r="AB92" s="215">
        <f t="shared" si="104"/>
        <v>103110.8369874268</v>
      </c>
      <c r="AC92" s="216">
        <f t="shared" ref="AC92:AC96" si="128">O92/((1+DiscountRate)^(IF($C$1=2015,1,IF($C$1=2016,2,0))))</f>
        <v>0</v>
      </c>
      <c r="AD92" s="216">
        <f t="shared" ref="AD92:AD96" si="129">N92/((1+DiscountRate)^(IF($C$1=2015,1,IF($C$1=2016,2,0))))</f>
        <v>4134.5093715545754</v>
      </c>
      <c r="AE92" s="215">
        <f t="shared" si="105"/>
        <v>13880.926130099228</v>
      </c>
      <c r="AG92" s="214">
        <f>IF(AND(($E92+$C$1)&gt;AG$4,AG$4&gt;=$C$1),'General Inputs'!D$9*$H92,IF(AND(($D92+$C$1)&gt;AG$4,AG$4&gt;=$C$1),'General Inputs'!D$9*$G92,0))+IF(AND(($E92+$C$1)&gt;AG$4,AG$4&gt;=$C$1),'General Inputs'!D$10*$J92,IF(AND(($D92+$C$1)&gt;AG$4,AG$4&gt;=$C$1),'General Inputs'!D$10*$I92,0))</f>
        <v>0</v>
      </c>
      <c r="AH92" s="214">
        <f>IF(AND(($E92+$C$1)&gt;AH$4,AH$4&gt;=$C$1),'General Inputs'!E$9*$H92,IF(AND(($D92+$C$1)&gt;AH$4,AH$4&gt;=$C$1),'General Inputs'!E$9*$G92,0))+IF(AND(($E92+$C$1)&gt;AH$4,AH$4&gt;=$C$1),'General Inputs'!E$10*$J92,IF(AND(($D92+$C$1)&gt;AH$4,AH$4&gt;=$C$1),'General Inputs'!E$10*$I92,0))</f>
        <v>4798.1141366988977</v>
      </c>
      <c r="AI92" s="214">
        <f>IF(AND(($E92+$C$1)&gt;AI$4,AI$4&gt;=$C$1),'General Inputs'!F$9*$H92,IF(AND(($D92+$C$1)&gt;AI$4,AI$4&gt;=$C$1),'General Inputs'!F$9*$G92,0))+IF(AND(($E92+$C$1)&gt;AI$4,AI$4&gt;=$C$1),'General Inputs'!F$10*$J92,IF(AND(($D92+$C$1)&gt;AI$4,AI$4&gt;=$C$1),'General Inputs'!F$10*$I92,0))</f>
        <v>4870.0858487493806</v>
      </c>
      <c r="AJ92" s="214">
        <f>IF(AND(($E92+$C$1)&gt;AJ$4,AJ$4&gt;=$C$1),'General Inputs'!G$9*$H92,IF(AND(($D92+$C$1)&gt;AJ$4,AJ$4&gt;=$C$1),'General Inputs'!G$9*$G92,0))+IF(AND(($E92+$C$1)&gt;AJ$4,AJ$4&gt;=$C$1),'General Inputs'!G$10*$J92,IF(AND(($D92+$C$1)&gt;AJ$4,AJ$4&gt;=$C$1),'General Inputs'!G$10*$I92,0))</f>
        <v>4943.13713648062</v>
      </c>
      <c r="AK92" s="214">
        <f>IF(AND(($E92+$C$1)&gt;AK$4,AK$4&gt;=$C$1),'General Inputs'!H$9*$H92,IF(AND(($D92+$C$1)&gt;AK$4,AK$4&gt;=$C$1),'General Inputs'!H$9*$G92,0))+IF(AND(($E92+$C$1)&gt;AK$4,AK$4&gt;=$C$1),'General Inputs'!H$10*$J92,IF(AND(($D92+$C$1)&gt;AK$4,AK$4&gt;=$C$1),'General Inputs'!H$10*$I92,0))</f>
        <v>5017.2841935278293</v>
      </c>
      <c r="AL92" s="214">
        <f>IF(AND(($E92+$C$1)&gt;AL$4,AL$4&gt;=$C$1),'General Inputs'!I$9*$H92,IF(AND(($D92+$C$1)&gt;AL$4,AL$4&gt;=$C$1),'General Inputs'!I$9*$G92,0))+IF(AND(($E92+$C$1)&gt;AL$4,AL$4&gt;=$C$1),'General Inputs'!I$10*$J92,IF(AND(($D92+$C$1)&gt;AL$4,AL$4&gt;=$C$1),'General Inputs'!I$10*$I92,0))</f>
        <v>5092.5434564307461</v>
      </c>
      <c r="AM92" s="214">
        <f>IF(AND(($E92+$C$1)&gt;AM$4,AM$4&gt;=$C$1),'General Inputs'!J$9*$H92,IF(AND(($D92+$C$1)&gt;AM$4,AM$4&gt;=$C$1),'General Inputs'!J$9*$G92,0))+IF(AND(($E92+$C$1)&gt;AM$4,AM$4&gt;=$C$1),'General Inputs'!J$10*$J92,IF(AND(($D92+$C$1)&gt;AM$4,AM$4&gt;=$C$1),'General Inputs'!J$10*$I92,0))</f>
        <v>5168.9316082772066</v>
      </c>
      <c r="AN92" s="214">
        <f>IF(AND(($E92+$C$1)&gt;AN$4,AN$4&gt;=$C$1),'General Inputs'!K$9*$H92,IF(AND(($D92+$C$1)&gt;AN$4,AN$4&gt;=$C$1),'General Inputs'!K$9*$G92,0))+IF(AND(($E92+$C$1)&gt;AN$4,AN$4&gt;=$C$1),'General Inputs'!K$10*$J92,IF(AND(($D92+$C$1)&gt;AN$4,AN$4&gt;=$C$1),'General Inputs'!K$10*$I92,0))</f>
        <v>5246.4655824013635</v>
      </c>
      <c r="AO92" s="214">
        <f>IF(AND(($E92+$C$1)&gt;AO$4,AO$4&gt;=$C$1),'General Inputs'!L$9*$H92,IF(AND(($D92+$C$1)&gt;AO$4,AO$4&gt;=$C$1),'General Inputs'!L$9*$G92,0))+IF(AND(($E92+$C$1)&gt;AO$4,AO$4&gt;=$C$1),'General Inputs'!L$10*$J92,IF(AND(($D92+$C$1)&gt;AO$4,AO$4&gt;=$C$1),'General Inputs'!L$10*$I92,0))</f>
        <v>5325.1625661373837</v>
      </c>
      <c r="AP92" s="214">
        <f>IF(AND(($E92+$C$1)&gt;AP$4,AP$4&gt;=$C$1),'General Inputs'!M$9*$H92,IF(AND(($D92+$C$1)&gt;AP$4,AP$4&gt;=$C$1),'General Inputs'!M$9*$G92,0))+IF(AND(($E92+$C$1)&gt;AP$4,AP$4&gt;=$C$1),'General Inputs'!M$10*$J92,IF(AND(($D92+$C$1)&gt;AP$4,AP$4&gt;=$C$1),'General Inputs'!M$10*$I92,0))</f>
        <v>5405.0400046294435</v>
      </c>
      <c r="AQ92" s="214">
        <f>IF(AND(($E92+$C$1)&gt;AQ$4,AQ$4&gt;=$C$1),'General Inputs'!N$9*$H92,IF(AND(($D92+$C$1)&gt;AQ$4,AQ$4&gt;=$C$1),'General Inputs'!N$9*$G92,0))+IF(AND(($E92+$C$1)&gt;AQ$4,AQ$4&gt;=$C$1),'General Inputs'!N$10*$J92,IF(AND(($D92+$C$1)&gt;AQ$4,AQ$4&gt;=$C$1),'General Inputs'!N$10*$I92,0))</f>
        <v>5486.1156046988845</v>
      </c>
      <c r="AR92" s="214">
        <f>IF(AND(($E92+$C$1)&gt;AR$4,AR$4&gt;=$C$1),'General Inputs'!O$9*$H92,IF(AND(($D92+$C$1)&gt;AR$4,AR$4&gt;=$C$1),'General Inputs'!O$9*$G92,0))+IF(AND(($E92+$C$1)&gt;AR$4,AR$4&gt;=$C$1),'General Inputs'!O$10*$J92,IF(AND(($D92+$C$1)&gt;AR$4,AR$4&gt;=$C$1),'General Inputs'!O$10*$I92,0))</f>
        <v>5568.407338769367</v>
      </c>
      <c r="AS92" s="214">
        <f>IF(AND(($E92+$C$1)&gt;AS$4,AS$4&gt;=$C$1),'General Inputs'!P$9*$H92,IF(AND(($D92+$C$1)&gt;AS$4,AS$4&gt;=$C$1),'General Inputs'!P$9*$G92,0))+IF(AND(($E92+$C$1)&gt;AS$4,AS$4&gt;=$C$1),'General Inputs'!P$10*$J92,IF(AND(($D92+$C$1)&gt;AS$4,AS$4&gt;=$C$1),'General Inputs'!P$10*$I92,0))</f>
        <v>5651.9334488509066</v>
      </c>
      <c r="AT92" s="214">
        <f>IF(AND(($E92+$C$1)&gt;AT$4,AT$4&gt;=$C$1),'General Inputs'!Q$9*$H92,IF(AND(($D92+$C$1)&gt;AT$4,AT$4&gt;=$C$1),'General Inputs'!Q$9*$G92,0))+IF(AND(($E92+$C$1)&gt;AT$4,AT$4&gt;=$C$1),'General Inputs'!Q$10*$J92,IF(AND(($D92+$C$1)&gt;AT$4,AT$4&gt;=$C$1),'General Inputs'!Q$10*$I92,0))</f>
        <v>5736.7124505836709</v>
      </c>
      <c r="AU92" s="214">
        <f>IF(AND(($E92+$C$1)&gt;AU$4,AU$4&gt;=$C$1),'General Inputs'!R$9*$H92,IF(AND(($D92+$C$1)&gt;AU$4,AU$4&gt;=$C$1),'General Inputs'!R$9*$G92,0))+IF(AND(($E92+$C$1)&gt;AU$4,AU$4&gt;=$C$1),'General Inputs'!R$10*$J92,IF(AND(($D92+$C$1)&gt;AU$4,AU$4&gt;=$C$1),'General Inputs'!R$10*$I92,0))</f>
        <v>5822.7631373424247</v>
      </c>
      <c r="AV92" s="214">
        <f>IF(AND(($E92+$C$1)&gt;AV$4,AV$4&gt;=$C$1),'General Inputs'!S$9*$H92,IF(AND(($D92+$C$1)&gt;AV$4,AV$4&gt;=$C$1),'General Inputs'!S$9*$G92,0))+IF(AND(($E92+$C$1)&gt;AV$4,AV$4&gt;=$C$1),'General Inputs'!S$10*$J92,IF(AND(($D92+$C$1)&gt;AV$4,AV$4&gt;=$C$1),'General Inputs'!S$10*$I92,0))</f>
        <v>5910.1045844025612</v>
      </c>
      <c r="AW92" s="214">
        <f>IF(AND(($E92+$C$1)&gt;AW$4,AW$4&gt;=$C$1),'General Inputs'!T$9*$H92,IF(AND(($D92+$C$1)&gt;AW$4,AW$4&gt;=$C$1),'General Inputs'!T$9*$G92,0))+IF(AND(($E92+$C$1)&gt;AW$4,AW$4&gt;=$C$1),'General Inputs'!T$10*$J92,IF(AND(($D92+$C$1)&gt;AW$4,AW$4&gt;=$C$1),'General Inputs'!T$10*$I92,0))</f>
        <v>0</v>
      </c>
      <c r="AX92" s="214">
        <f>IF(AND(($E92+$C$1)&gt;AX$4,AX$4&gt;=$C$1),'General Inputs'!U$9*$H92,IF(AND(($D92+$C$1)&gt;AX$4,AX$4&gt;=$C$1),'General Inputs'!U$9*$G92,0))+IF(AND(($E92+$C$1)&gt;AX$4,AX$4&gt;=$C$1),'General Inputs'!U$10*$J92,IF(AND(($D92+$C$1)&gt;AX$4,AX$4&gt;=$C$1),'General Inputs'!U$10*$I92,0))</f>
        <v>0</v>
      </c>
      <c r="AY92" s="214">
        <f>IF(AND(($E92+$C$1)&gt;AY$4,AY$4&gt;=$C$1),'General Inputs'!V$9*$H92,IF(AND(($D92+$C$1)&gt;AY$4,AY$4&gt;=$C$1),'General Inputs'!V$9*$G92,0))+IF(AND(($E92+$C$1)&gt;AY$4,AY$4&gt;=$C$1),'General Inputs'!V$10*$J92,IF(AND(($D92+$C$1)&gt;AY$4,AY$4&gt;=$C$1),'General Inputs'!V$10*$I92,0))</f>
        <v>0</v>
      </c>
      <c r="AZ92" s="214">
        <f>IF(AND(($E92+$C$1)&gt;AZ$4,AZ$4&gt;=$C$1),'General Inputs'!W$9*$H92,IF(AND(($D92+$C$1)&gt;AZ$4,AZ$4&gt;=$C$1),'General Inputs'!W$9*$G92,0))+IF(AND(($E92+$C$1)&gt;AZ$4,AZ$4&gt;=$C$1),'General Inputs'!W$10*$J92,IF(AND(($D92+$C$1)&gt;AZ$4,AZ$4&gt;=$C$1),'General Inputs'!W$10*$I92,0))</f>
        <v>0</v>
      </c>
      <c r="BB92" s="214">
        <f>IF(AND(($E92+$C$1)&gt;BB$4,BB$4&gt;=$C$1),'General Inputs'!D$11*$H92,IF(AND(($D92+$C$1)&gt;BB$4,BB$4&gt;=$C$1),'General Inputs'!D$11*$G92,0))</f>
        <v>0</v>
      </c>
      <c r="BC92" s="214">
        <f>IF(AND(($E92+$C$1)&gt;BC$4,BC$4&gt;=$C$1),'General Inputs'!E$11*$H92,IF(AND(($D92+$C$1)&gt;BC$4,BC$4&gt;=$C$1),'General Inputs'!E$11*$G92,0))</f>
        <v>1253.5390578770948</v>
      </c>
      <c r="BD92" s="214">
        <f>IF(AND(($E92+$C$1)&gt;BD$4,BD$4&gt;=$C$1),'General Inputs'!F$11*$H92,IF(AND(($D92+$C$1)&gt;BD$4,BD$4&gt;=$C$1),'General Inputs'!F$11*$G92,0))</f>
        <v>1253.5390578770948</v>
      </c>
      <c r="BE92" s="214">
        <f>IF(AND(($E92+$C$1)&gt;BE$4,BE$4&gt;=$C$1),'General Inputs'!G$11*$H92,IF(AND(($D92+$C$1)&gt;BE$4,BE$4&gt;=$C$1),'General Inputs'!G$11*$G92,0))</f>
        <v>1253.5390578770948</v>
      </c>
      <c r="BF92" s="214">
        <f>IF(AND(($E92+$C$1)&gt;BF$4,BF$4&gt;=$C$1),'General Inputs'!H$11*$H92,IF(AND(($D92+$C$1)&gt;BF$4,BF$4&gt;=$C$1),'General Inputs'!H$11*$G92,0))</f>
        <v>1253.5390578770948</v>
      </c>
      <c r="BG92" s="214">
        <f>IF(AND(($E92+$C$1)&gt;BG$4,BG$4&gt;=$C$1),'General Inputs'!I$11*$H92,IF(AND(($D92+$C$1)&gt;BG$4,BG$4&gt;=$C$1),'General Inputs'!I$11*$G92,0))</f>
        <v>1253.5390578770948</v>
      </c>
      <c r="BH92" s="214">
        <f>IF(AND(($E92+$C$1)&gt;BH$4,BH$4&gt;=$C$1),'General Inputs'!J$11*$H92,IF(AND(($D92+$C$1)&gt;BH$4,BH$4&gt;=$C$1),'General Inputs'!J$11*$G92,0))</f>
        <v>1253.5390578770948</v>
      </c>
      <c r="BI92" s="214">
        <f>IF(AND(($E92+$C$1)&gt;BI$4,BI$4&gt;=$C$1),'General Inputs'!K$11*$H92,IF(AND(($D92+$C$1)&gt;BI$4,BI$4&gt;=$C$1),'General Inputs'!K$11*$G92,0))</f>
        <v>1253.5390578770948</v>
      </c>
      <c r="BJ92" s="214">
        <f>IF(AND(($E92+$C$1)&gt;BJ$4,BJ$4&gt;=$C$1),'General Inputs'!L$11*$H92,IF(AND(($D92+$C$1)&gt;BJ$4,BJ$4&gt;=$C$1),'General Inputs'!L$11*$G92,0))</f>
        <v>1253.5390578770948</v>
      </c>
      <c r="BK92" s="214">
        <f>IF(AND(($E92+$C$1)&gt;BK$4,BK$4&gt;=$C$1),'General Inputs'!M$11*$H92,IF(AND(($D92+$C$1)&gt;BK$4,BK$4&gt;=$C$1),'General Inputs'!M$11*$G92,0))</f>
        <v>1253.5390578770948</v>
      </c>
      <c r="BL92" s="214">
        <f>IF(AND(($E92+$C$1)&gt;BL$4,BL$4&gt;=$C$1),'General Inputs'!N$11*$H92,IF(AND(($D92+$C$1)&gt;BL$4,BL$4&gt;=$C$1),'General Inputs'!N$11*$G92,0))</f>
        <v>1253.5390578770948</v>
      </c>
      <c r="BM92" s="214">
        <f>IF(AND(($E92+$C$1)&gt;BM$4,BM$4&gt;=$C$1),'General Inputs'!O$11*$H92,IF(AND(($D92+$C$1)&gt;BM$4,BM$4&gt;=$C$1),'General Inputs'!O$11*$G92,0))</f>
        <v>1253.5390578770948</v>
      </c>
      <c r="BN92" s="214">
        <f>IF(AND(($E92+$C$1)&gt;BN$4,BN$4&gt;=$C$1),'General Inputs'!P$11*$H92,IF(AND(($D92+$C$1)&gt;BN$4,BN$4&gt;=$C$1),'General Inputs'!P$11*$G92,0))</f>
        <v>1253.5390578770948</v>
      </c>
      <c r="BO92" s="214">
        <f>IF(AND(($E92+$C$1)&gt;BO$4,BO$4&gt;=$C$1),'General Inputs'!Q$11*$H92,IF(AND(($D92+$C$1)&gt;BO$4,BO$4&gt;=$C$1),'General Inputs'!Q$11*$G92,0))</f>
        <v>1253.5390578770948</v>
      </c>
      <c r="BP92" s="214">
        <f>IF(AND(($E92+$C$1)&gt;BP$4,BP$4&gt;=$C$1),'General Inputs'!R$11*$H92,IF(AND(($D92+$C$1)&gt;BP$4,BP$4&gt;=$C$1),'General Inputs'!R$11*$G92,0))</f>
        <v>1253.5390578770948</v>
      </c>
      <c r="BQ92" s="214">
        <f>IF(AND(($E92+$C$1)&gt;BQ$4,BQ$4&gt;=$C$1),'General Inputs'!S$11*$H92,IF(AND(($D92+$C$1)&gt;BQ$4,BQ$4&gt;=$C$1),'General Inputs'!S$11*$G92,0))</f>
        <v>1253.5390578770948</v>
      </c>
      <c r="BR92" s="214">
        <f>IF(AND(($E92+$C$1)&gt;BR$4,BR$4&gt;=$C$1),'General Inputs'!T$11*$H92,IF(AND(($D92+$C$1)&gt;BR$4,BR$4&gt;=$C$1),'General Inputs'!T$11*$G92,0))</f>
        <v>0</v>
      </c>
      <c r="BS92" s="214">
        <f>IF(AND(($E92+$C$1)&gt;BS$4,BS$4&gt;=$C$1),'General Inputs'!U$11*$H92,IF(AND(($D92+$C$1)&gt;BS$4,BS$4&gt;=$C$1),'General Inputs'!U$11*$G92,0))</f>
        <v>0</v>
      </c>
      <c r="BT92" s="214">
        <f>IF(AND(($E92+$C$1)&gt;BT$4,BT$4&gt;=$C$1),'General Inputs'!V$11*$H92,IF(AND(($D92+$C$1)&gt;BT$4,BT$4&gt;=$C$1),'General Inputs'!V$11*$G92,0))</f>
        <v>0</v>
      </c>
      <c r="BU92" s="214">
        <f>IF(AND(($E92+$C$1)&gt;BU$4,BU$4&gt;=$C$1),'General Inputs'!W$11*$H92,IF(AND(($D92+$C$1)&gt;BU$4,BU$4&gt;=$C$1),'General Inputs'!W$11*$G92,0))</f>
        <v>0</v>
      </c>
      <c r="BW92" s="214">
        <f>IF(AND(($E92+$C$1)&gt;BW$4,BW$4&gt;=$C$1),$H92,IF(AND(($D92+$C$1)&gt;BW$4,BW$4&gt;=$C$1),$G92,0))*IF($A92="Residential",'General Inputs'!D$14,'General Inputs'!D$19)</f>
        <v>0</v>
      </c>
      <c r="BX92" s="214">
        <f>IF(AND(($E92+$C$1)&gt;BX$4,BX$4&gt;=$C$1),$H92,IF(AND(($D92+$C$1)&gt;BX$4,BX$4&gt;=$C$1),$G92,0))*IF($A92="Residential",'General Inputs'!E$14,'General Inputs'!E$19)</f>
        <v>11659.436359703317</v>
      </c>
      <c r="BY92" s="214">
        <f>IF(AND(($E92+$C$1)&gt;BY$4,BY$4&gt;=$C$1),$H92,IF(AND(($D92+$C$1)&gt;BY$4,BY$4&gt;=$C$1),$G92,0))*IF($A92="Residential",'General Inputs'!F$14,'General Inputs'!F$19)</f>
        <v>11834.327905098868</v>
      </c>
      <c r="BZ92" s="214">
        <f>IF(AND(($E92+$C$1)&gt;BZ$4,BZ$4&gt;=$C$1),$H92,IF(AND(($D92+$C$1)&gt;BZ$4,BZ$4&gt;=$C$1),$G92,0))*IF($A92="Residential",'General Inputs'!G$14,'General Inputs'!G$19)</f>
        <v>12011.84282367535</v>
      </c>
      <c r="CA92" s="214">
        <f>IF(AND(($E92+$C$1)&gt;CA$4,CA$4&gt;=$C$1),$H92,IF(AND(($D92+$C$1)&gt;CA$4,CA$4&gt;=$C$1),$G92,0))*IF($A92="Residential",'General Inputs'!H$14,'General Inputs'!H$19)</f>
        <v>12192.020466030477</v>
      </c>
      <c r="CB92" s="214">
        <f>IF(AND(($E92+$C$1)&gt;CB$4,CB$4&gt;=$C$1),$H92,IF(AND(($D92+$C$1)&gt;CB$4,CB$4&gt;=$C$1),$G92,0))*IF($A92="Residential",'General Inputs'!I$14,'General Inputs'!I$19)</f>
        <v>12374.900773020932</v>
      </c>
      <c r="CC92" s="214">
        <f>IF(AND(($E92+$C$1)&gt;CC$4,CC$4&gt;=$C$1),$H92,IF(AND(($D92+$C$1)&gt;CC$4,CC$4&gt;=$C$1),$G92,0))*IF($A92="Residential",'General Inputs'!J$14,'General Inputs'!J$19)</f>
        <v>12560.524284616245</v>
      </c>
      <c r="CD92" s="214">
        <f>IF(AND(($E92+$C$1)&gt;CD$4,CD$4&gt;=$C$1),$H92,IF(AND(($D92+$C$1)&gt;CD$4,CD$4&gt;=$C$1),$G92,0))*IF($A92="Residential",'General Inputs'!K$14,'General Inputs'!K$19)</f>
        <v>12748.932148885488</v>
      </c>
      <c r="CE92" s="214">
        <f>IF(AND(($E92+$C$1)&gt;CE$4,CE$4&gt;=$C$1),$H92,IF(AND(($D92+$C$1)&gt;CE$4,CE$4&gt;=$C$1),$G92,0))*IF($A92="Residential",'General Inputs'!L$14,'General Inputs'!L$19)</f>
        <v>12940.166131118769</v>
      </c>
      <c r="CF92" s="214">
        <f>IF(AND(($E92+$C$1)&gt;CF$4,CF$4&gt;=$C$1),$H92,IF(AND(($D92+$C$1)&gt;CF$4,CF$4&gt;=$C$1),$G92,0))*IF($A92="Residential",'General Inputs'!M$14,'General Inputs'!M$19)</f>
        <v>13134.268623085549</v>
      </c>
      <c r="CG92" s="214">
        <f>IF(AND(($E92+$C$1)&gt;CG$4,CG$4&gt;=$C$1),$H92,IF(AND(($D92+$C$1)&gt;CG$4,CG$4&gt;=$C$1),$G92,0))*IF($A92="Residential",'General Inputs'!N$14,'General Inputs'!N$19)</f>
        <v>13331.282652431832</v>
      </c>
      <c r="CH92" s="214">
        <f>IF(AND(($E92+$C$1)&gt;CH$4,CH$4&gt;=$C$1),$H92,IF(AND(($D92+$C$1)&gt;CH$4,CH$4&gt;=$C$1),$G92,0))*IF($A92="Residential",'General Inputs'!O$14,'General Inputs'!O$19)</f>
        <v>13531.251892218306</v>
      </c>
      <c r="CI92" s="214">
        <f>IF(AND(($E92+$C$1)&gt;CI$4,CI$4&gt;=$C$1),$H92,IF(AND(($D92+$C$1)&gt;CI$4,CI$4&gt;=$C$1),$G92,0))*IF($A92="Residential",'General Inputs'!P$14,'General Inputs'!P$19)</f>
        <v>13734.22067060158</v>
      </c>
      <c r="CJ92" s="214">
        <f>IF(AND(($E92+$C$1)&gt;CJ$4,CJ$4&gt;=$C$1),$H92,IF(AND(($D92+$C$1)&gt;CJ$4,CJ$4&gt;=$C$1),$G92,0))*IF($A92="Residential",'General Inputs'!Q$14,'General Inputs'!Q$19)</f>
        <v>13940.233980660603</v>
      </c>
      <c r="CK92" s="214">
        <f>IF(AND(($E92+$C$1)&gt;CK$4,CK$4&gt;=$C$1),$H92,IF(AND(($D92+$C$1)&gt;CK$4,CK$4&gt;=$C$1),$G92,0))*IF($A92="Residential",'General Inputs'!R$14,'General Inputs'!R$19)</f>
        <v>14149.33749037051</v>
      </c>
      <c r="CL92" s="214">
        <f>IF(AND(($E92+$C$1)&gt;CL$4,CL$4&gt;=$C$1),$H92,IF(AND(($D92+$C$1)&gt;CL$4,CL$4&gt;=$C$1),$G92,0))*IF($A92="Residential",'General Inputs'!S$14,'General Inputs'!S$19)</f>
        <v>14361.577552726068</v>
      </c>
      <c r="CM92" s="214">
        <f>IF(AND(($E92+$C$1)&gt;CM$4,CM$4&gt;=$C$1),$H92,IF(AND(($D92+$C$1)&gt;CM$4,CM$4&gt;=$C$1),$G92,0))*IF($A92="Residential",'General Inputs'!T$14,'General Inputs'!T$19)</f>
        <v>0</v>
      </c>
      <c r="CN92" s="214">
        <f>IF(AND(($E92+$C$1)&gt;CN$4,CN$4&gt;=$C$1),$H92,IF(AND(($D92+$C$1)&gt;CN$4,CN$4&gt;=$C$1),$G92,0))*IF($A92="Residential",'General Inputs'!U$14,'General Inputs'!U$19)</f>
        <v>0</v>
      </c>
      <c r="CO92" s="214">
        <f>IF(AND(($E92+$C$1)&gt;CO$4,CO$4&gt;=$C$1),$H92,IF(AND(($D92+$C$1)&gt;CO$4,CO$4&gt;=$C$1),$G92,0))*IF($A92="Residential",'General Inputs'!V$14,'General Inputs'!V$19)</f>
        <v>0</v>
      </c>
      <c r="CP92" s="214">
        <f>IF(AND(($E92+$C$1)&gt;CP$4,CP$4&gt;=$C$1),$H92,IF(AND(($D92+$C$1)&gt;CP$4,CP$4&gt;=$C$1),$G92,0))*IF($A92="Residential",'General Inputs'!W$14,'General Inputs'!W$19)</f>
        <v>0</v>
      </c>
      <c r="CR92" s="214">
        <f>IF(AND(($E92+$C$1)&gt;CR$4,CR$4&gt;=$C$1),$H92,IF(AND(($D92+$C$1)&gt;CR$4,CR$4&gt;=$C$1),$G92,0))*IF($A92="Residential",'General Inputs'!D$15,'General Inputs'!D$19)</f>
        <v>0</v>
      </c>
      <c r="CS92" s="214">
        <f>IF(AND(($E92+$C$1)&gt;CS$4,CS$4&gt;=$C$1),$H92,IF(AND(($D92+$C$1)&gt;CS$4,CS$4&gt;=$C$1),$G92,0))*IF($A92="Residential",'General Inputs'!E$15,'General Inputs'!E$19)</f>
        <v>11659.436359703317</v>
      </c>
      <c r="CT92" s="214">
        <f>IF(AND(($E92+$C$1)&gt;CT$4,CT$4&gt;=$C$1),$H92,IF(AND(($D92+$C$1)&gt;CT$4,CT$4&gt;=$C$1),$G92,0))*IF($A92="Residential",'General Inputs'!F$15,'General Inputs'!F$19)</f>
        <v>11834.327905098868</v>
      </c>
      <c r="CU92" s="214">
        <f>IF(AND(($E92+$C$1)&gt;CU$4,CU$4&gt;=$C$1),$H92,IF(AND(($D92+$C$1)&gt;CU$4,CU$4&gt;=$C$1),$G92,0))*IF($A92="Residential",'General Inputs'!G$15,'General Inputs'!G$19)</f>
        <v>12011.84282367535</v>
      </c>
      <c r="CV92" s="214">
        <f>IF(AND(($E92+$C$1)&gt;CV$4,CV$4&gt;=$C$1),$H92,IF(AND(($D92+$C$1)&gt;CV$4,CV$4&gt;=$C$1),$G92,0))*IF($A92="Residential",'General Inputs'!H$15,'General Inputs'!H$19)</f>
        <v>12192.020466030477</v>
      </c>
      <c r="CW92" s="214">
        <f>IF(AND(($E92+$C$1)&gt;CW$4,CW$4&gt;=$C$1),$H92,IF(AND(($D92+$C$1)&gt;CW$4,CW$4&gt;=$C$1),$G92,0))*IF($A92="Residential",'General Inputs'!I$15,'General Inputs'!I$19)</f>
        <v>12374.900773020932</v>
      </c>
      <c r="CX92" s="214">
        <f>IF(AND(($E92+$C$1)&gt;CX$4,CX$4&gt;=$C$1),$H92,IF(AND(($D92+$C$1)&gt;CX$4,CX$4&gt;=$C$1),$G92,0))*IF($A92="Residential",'General Inputs'!J$15,'General Inputs'!J$19)</f>
        <v>12560.524284616245</v>
      </c>
      <c r="CY92" s="214">
        <f>IF(AND(($E92+$C$1)&gt;CY$4,CY$4&gt;=$C$1),$H92,IF(AND(($D92+$C$1)&gt;CY$4,CY$4&gt;=$C$1),$G92,0))*IF($A92="Residential",'General Inputs'!K$15,'General Inputs'!K$19)</f>
        <v>12748.932148885488</v>
      </c>
      <c r="CZ92" s="214">
        <f>IF(AND(($E92+$C$1)&gt;CZ$4,CZ$4&gt;=$C$1),$H92,IF(AND(($D92+$C$1)&gt;CZ$4,CZ$4&gt;=$C$1),$G92,0))*IF($A92="Residential",'General Inputs'!L$15,'General Inputs'!L$19)</f>
        <v>12940.166131118769</v>
      </c>
      <c r="DA92" s="214">
        <f>IF(AND(($E92+$C$1)&gt;DA$4,DA$4&gt;=$C$1),$H92,IF(AND(($D92+$C$1)&gt;DA$4,DA$4&gt;=$C$1),$G92,0))*IF($A92="Residential",'General Inputs'!M$15,'General Inputs'!M$19)</f>
        <v>13134.268623085549</v>
      </c>
      <c r="DB92" s="214">
        <f>IF(AND(($E92+$C$1)&gt;DB$4,DB$4&gt;=$C$1),$H92,IF(AND(($D92+$C$1)&gt;DB$4,DB$4&gt;=$C$1),$G92,0))*IF($A92="Residential",'General Inputs'!N$15,'General Inputs'!N$19)</f>
        <v>13331.282652431832</v>
      </c>
      <c r="DC92" s="214">
        <f>IF(AND(($E92+$C$1)&gt;DC$4,DC$4&gt;=$C$1),$H92,IF(AND(($D92+$C$1)&gt;DC$4,DC$4&gt;=$C$1),$G92,0))*IF($A92="Residential",'General Inputs'!O$15,'General Inputs'!O$19)</f>
        <v>13531.251892218306</v>
      </c>
      <c r="DD92" s="214">
        <f>IF(AND(($E92+$C$1)&gt;DD$4,DD$4&gt;=$C$1),$H92,IF(AND(($D92+$C$1)&gt;DD$4,DD$4&gt;=$C$1),$G92,0))*IF($A92="Residential",'General Inputs'!P$15,'General Inputs'!P$19)</f>
        <v>13734.22067060158</v>
      </c>
      <c r="DE92" s="214">
        <f>IF(AND(($E92+$C$1)&gt;DE$4,DE$4&gt;=$C$1),$H92,IF(AND(($D92+$C$1)&gt;DE$4,DE$4&gt;=$C$1),$G92,0))*IF($A92="Residential",'General Inputs'!Q$15,'General Inputs'!Q$19)</f>
        <v>13940.233980660603</v>
      </c>
      <c r="DF92" s="214">
        <f>IF(AND(($E92+$C$1)&gt;DF$4,DF$4&gt;=$C$1),$H92,IF(AND(($D92+$C$1)&gt;DF$4,DF$4&gt;=$C$1),$G92,0))*IF($A92="Residential",'General Inputs'!R$15,'General Inputs'!R$19)</f>
        <v>14149.33749037051</v>
      </c>
      <c r="DG92" s="214">
        <f>IF(AND(($E92+$C$1)&gt;DG$4,DG$4&gt;=$C$1),$H92,IF(AND(($D92+$C$1)&gt;DG$4,DG$4&gt;=$C$1),$G92,0))*IF($A92="Residential",'General Inputs'!S$15,'General Inputs'!S$19)</f>
        <v>14361.577552726068</v>
      </c>
      <c r="DH92" s="214">
        <f>IF(AND(($E92+$C$1)&gt;DH$4,DH$4&gt;=$C$1),$H92,IF(AND(($D92+$C$1)&gt;DH$4,DH$4&gt;=$C$1),$G92,0))*IF($A92="Residential",'General Inputs'!T$15,'General Inputs'!T$19)</f>
        <v>0</v>
      </c>
      <c r="DI92" s="214">
        <f>IF(AND(($E92+$C$1)&gt;DI$4,DI$4&gt;=$C$1),$H92,IF(AND(($D92+$C$1)&gt;DI$4,DI$4&gt;=$C$1),$G92,0))*IF($A92="Residential",'General Inputs'!U$15,'General Inputs'!U$19)</f>
        <v>0</v>
      </c>
      <c r="DJ92" s="214">
        <f>IF(AND(($E92+$C$1)&gt;DJ$4,DJ$4&gt;=$C$1),$H92,IF(AND(($D92+$C$1)&gt;DJ$4,DJ$4&gt;=$C$1),$G92,0))*IF($A92="Residential",'General Inputs'!V$15,'General Inputs'!V$19)</f>
        <v>0</v>
      </c>
      <c r="DK92" s="214">
        <f>IF(AND(($E92+$C$1)&gt;DK$4,DK$4&gt;=$C$1),$H92,IF(AND(($D92+$C$1)&gt;DK$4,DK$4&gt;=$C$1),$G92,0))*IF($A92="Residential",'General Inputs'!W$15,'General Inputs'!W$19)</f>
        <v>0</v>
      </c>
      <c r="DM92" s="214">
        <f t="shared" ref="DM92:DW93" si="130">IF($C$1=DM$4,$L92*$C92,IF($E92+$C$1=DM$4,-$M92*$C92,0))</f>
        <v>0</v>
      </c>
      <c r="DN92" s="214">
        <f t="shared" si="130"/>
        <v>15108</v>
      </c>
      <c r="DO92" s="214">
        <f t="shared" si="130"/>
        <v>0</v>
      </c>
      <c r="DP92" s="214">
        <f t="shared" si="130"/>
        <v>0</v>
      </c>
      <c r="DQ92" s="214">
        <f t="shared" si="130"/>
        <v>0</v>
      </c>
      <c r="DR92" s="214">
        <f t="shared" si="130"/>
        <v>0</v>
      </c>
      <c r="DS92" s="214">
        <f t="shared" si="130"/>
        <v>0</v>
      </c>
      <c r="DT92" s="214">
        <f t="shared" si="130"/>
        <v>0</v>
      </c>
      <c r="DU92" s="214">
        <f t="shared" si="130"/>
        <v>0</v>
      </c>
      <c r="DV92" s="214">
        <f t="shared" si="130"/>
        <v>0</v>
      </c>
      <c r="DW92" s="214">
        <f t="shared" si="130"/>
        <v>0</v>
      </c>
      <c r="DZ92" s="650"/>
      <c r="FI92" s="195"/>
      <c r="FJ92" s="195"/>
      <c r="FK92" s="195"/>
      <c r="FL92" s="195"/>
      <c r="FM92" s="195"/>
      <c r="FN92" s="195"/>
      <c r="FO92" s="195"/>
    </row>
    <row r="93" spans="1:171">
      <c r="A93" s="342" t="s">
        <v>112</v>
      </c>
      <c r="B93" s="427" t="str">
        <f>'Portfolio Inputs'!A92</f>
        <v>VFD Pump</v>
      </c>
      <c r="C93" s="217">
        <f>IF($C$1=2014,'Portfolio Inputs'!$C92,IF($C$1=2015,'Portfolio Inputs'!$D92,'Portfolio Inputs'!$E92))</f>
        <v>6</v>
      </c>
      <c r="D93" s="504">
        <f>VLOOKUP(B93,Sources!$B$4:$J$104,2,FALSE)</f>
        <v>15</v>
      </c>
      <c r="E93" s="504">
        <f>VLOOKUP(B93,Sources!$B$4:$J$104,3,FALSE)</f>
        <v>0</v>
      </c>
      <c r="G93" s="504">
        <f>IF($C$1=2014,'Portfolio Inputs'!$G92,IF($C$1=2015,'Portfolio Inputs'!$H92,'Portfolio Inputs'!$I92))*EnergyLineLoss</f>
        <v>181206.38399999996</v>
      </c>
      <c r="H93" s="504"/>
      <c r="I93" s="595">
        <f>IF($C$1=2014,'Portfolio Inputs'!$K92,IF($C$1=2015,'Portfolio Inputs'!$L92,'Portfolio Inputs'!$M92))*PeakLineLoss</f>
        <v>14.129411579999998</v>
      </c>
      <c r="J93" s="510"/>
      <c r="L93" s="606">
        <f>IF($C$1=2014,'Portfolio Inputs'!$O92,IF($C$1=2015,'Portfolio Inputs'!$P92,'Portfolio Inputs'!$Q92))</f>
        <v>2518</v>
      </c>
      <c r="M93" s="518">
        <f>VLOOKUP($B93,Sources!$B$4:$K$104,10,FALSE)</f>
        <v>0</v>
      </c>
      <c r="N93" s="419">
        <f>IF($C$1=2014,'Portfolio Inputs'!$W92,IF($C$1=2015,'Portfolio Inputs'!$X92,'Portfolio Inputs'!$Y92))</f>
        <v>4500</v>
      </c>
      <c r="O93" s="419">
        <f>IF($C$1=2014,'Portfolio Inputs'!$AA92,IF($C$1=2015,'Portfolio Inputs'!$AB92,'Portfolio Inputs'!$AC92))</f>
        <v>0</v>
      </c>
      <c r="Q93" s="436">
        <f t="shared" si="115"/>
        <v>4.801957263095133</v>
      </c>
      <c r="R93" s="437">
        <f t="shared" si="116"/>
        <v>16.121771184631395</v>
      </c>
      <c r="S93" s="437">
        <f t="shared" si="117"/>
        <v>6.0129601293860588</v>
      </c>
      <c r="T93" s="437">
        <f t="shared" si="118"/>
        <v>12.539121696614128</v>
      </c>
      <c r="U93" s="439">
        <f t="shared" si="127"/>
        <v>12.539121696614128</v>
      </c>
      <c r="V93" s="439">
        <f t="shared" si="119"/>
        <v>0.38295802363827286</v>
      </c>
      <c r="W93" s="439">
        <f t="shared" si="120"/>
        <v>0.38295802363827286</v>
      </c>
      <c r="Y93" s="215">
        <f t="shared" si="101"/>
        <v>66655.614048917007</v>
      </c>
      <c r="Z93" s="215">
        <f t="shared" si="102"/>
        <v>16809.841330322779</v>
      </c>
      <c r="AA93" s="215">
        <f t="shared" si="103"/>
        <v>169920.11263547064</v>
      </c>
      <c r="AB93" s="215">
        <f t="shared" si="104"/>
        <v>169920.11263547064</v>
      </c>
      <c r="AC93" s="216">
        <f t="shared" si="128"/>
        <v>0</v>
      </c>
      <c r="AD93" s="216">
        <f t="shared" si="129"/>
        <v>4134.5093715545754</v>
      </c>
      <c r="AE93" s="215">
        <f t="shared" si="105"/>
        <v>13880.926130099228</v>
      </c>
      <c r="AG93" s="214">
        <f>IF(AND(($E93+$C$1)&gt;AG$4,AG$4&gt;=$C$1),'General Inputs'!D$9*$H93,IF(AND(($D93+$C$1)&gt;AG$4,AG$4&gt;=$C$1),'General Inputs'!D$9*$G93,0))+IF(AND(($E93+$C$1)&gt;AG$4,AG$4&gt;=$C$1),'General Inputs'!D$10*$J93,IF(AND(($D93+$C$1)&gt;AG$4,AG$4&gt;=$C$1),'General Inputs'!D$10*$I93,0))</f>
        <v>0</v>
      </c>
      <c r="AH93" s="214">
        <f>IF(AND(($E93+$C$1)&gt;AH$4,AH$4&gt;=$C$1),'General Inputs'!E$9*$H93,IF(AND(($D93+$C$1)&gt;AH$4,AH$4&gt;=$C$1),'General Inputs'!E$9*$G93,0))+IF(AND(($E93+$C$1)&gt;AH$4,AH$4&gt;=$C$1),'General Inputs'!E$10*$J93,IF(AND(($D93+$C$1)&gt;AH$4,AH$4&gt;=$C$1),'General Inputs'!E$10*$I93,0))</f>
        <v>7537.1989281307178</v>
      </c>
      <c r="AI93" s="214">
        <f>IF(AND(($E93+$C$1)&gt;AI$4,AI$4&gt;=$C$1),'General Inputs'!F$9*$H93,IF(AND(($D93+$C$1)&gt;AI$4,AI$4&gt;=$C$1),'General Inputs'!F$9*$G93,0))+IF(AND(($E93+$C$1)&gt;AI$4,AI$4&gt;=$C$1),'General Inputs'!F$10*$J93,IF(AND(($D93+$C$1)&gt;AI$4,AI$4&gt;=$C$1),'General Inputs'!F$10*$I93,0))</f>
        <v>7650.2569120526778</v>
      </c>
      <c r="AJ93" s="214">
        <f>IF(AND(($E93+$C$1)&gt;AJ$4,AJ$4&gt;=$C$1),'General Inputs'!G$9*$H93,IF(AND(($D93+$C$1)&gt;AJ$4,AJ$4&gt;=$C$1),'General Inputs'!G$9*$G93,0))+IF(AND(($E93+$C$1)&gt;AJ$4,AJ$4&gt;=$C$1),'General Inputs'!G$10*$J93,IF(AND(($D93+$C$1)&gt;AJ$4,AJ$4&gt;=$C$1),'General Inputs'!G$10*$I93,0))</f>
        <v>7765.0107657334675</v>
      </c>
      <c r="AK93" s="214">
        <f>IF(AND(($E93+$C$1)&gt;AK$4,AK$4&gt;=$C$1),'General Inputs'!H$9*$H93,IF(AND(($D93+$C$1)&gt;AK$4,AK$4&gt;=$C$1),'General Inputs'!H$9*$G93,0))+IF(AND(($E93+$C$1)&gt;AK$4,AK$4&gt;=$C$1),'General Inputs'!H$10*$J93,IF(AND(($D93+$C$1)&gt;AK$4,AK$4&gt;=$C$1),'General Inputs'!H$10*$I93,0))</f>
        <v>7881.4859272194681</v>
      </c>
      <c r="AL93" s="214">
        <f>IF(AND(($E93+$C$1)&gt;AL$4,AL$4&gt;=$C$1),'General Inputs'!I$9*$H93,IF(AND(($D93+$C$1)&gt;AL$4,AL$4&gt;=$C$1),'General Inputs'!I$9*$G93,0))+IF(AND(($E93+$C$1)&gt;AL$4,AL$4&gt;=$C$1),'General Inputs'!I$10*$J93,IF(AND(($D93+$C$1)&gt;AL$4,AL$4&gt;=$C$1),'General Inputs'!I$10*$I93,0))</f>
        <v>7999.7082161277594</v>
      </c>
      <c r="AM93" s="214">
        <f>IF(AND(($E93+$C$1)&gt;AM$4,AM$4&gt;=$C$1),'General Inputs'!J$9*$H93,IF(AND(($D93+$C$1)&gt;AM$4,AM$4&gt;=$C$1),'General Inputs'!J$9*$G93,0))+IF(AND(($E93+$C$1)&gt;AM$4,AM$4&gt;=$C$1),'General Inputs'!J$10*$J93,IF(AND(($D93+$C$1)&gt;AM$4,AM$4&gt;=$C$1),'General Inputs'!J$10*$I93,0))</f>
        <v>8119.7038393696748</v>
      </c>
      <c r="AN93" s="214">
        <f>IF(AND(($E93+$C$1)&gt;AN$4,AN$4&gt;=$C$1),'General Inputs'!K$9*$H93,IF(AND(($D93+$C$1)&gt;AN$4,AN$4&gt;=$C$1),'General Inputs'!K$9*$G93,0))+IF(AND(($E93+$C$1)&gt;AN$4,AN$4&gt;=$C$1),'General Inputs'!K$10*$J93,IF(AND(($D93+$C$1)&gt;AN$4,AN$4&gt;=$C$1),'General Inputs'!K$10*$I93,0))</f>
        <v>8241.4993969602183</v>
      </c>
      <c r="AO93" s="214">
        <f>IF(AND(($E93+$C$1)&gt;AO$4,AO$4&gt;=$C$1),'General Inputs'!L$9*$H93,IF(AND(($D93+$C$1)&gt;AO$4,AO$4&gt;=$C$1),'General Inputs'!L$9*$G93,0))+IF(AND(($E93+$C$1)&gt;AO$4,AO$4&gt;=$C$1),'General Inputs'!L$10*$J93,IF(AND(($D93+$C$1)&gt;AO$4,AO$4&gt;=$C$1),'General Inputs'!L$10*$I93,0))</f>
        <v>8365.1218879146218</v>
      </c>
      <c r="AP93" s="214">
        <f>IF(AND(($E93+$C$1)&gt;AP$4,AP$4&gt;=$C$1),'General Inputs'!M$9*$H93,IF(AND(($D93+$C$1)&gt;AP$4,AP$4&gt;=$C$1),'General Inputs'!M$9*$G93,0))+IF(AND(($E93+$C$1)&gt;AP$4,AP$4&gt;=$C$1),'General Inputs'!M$10*$J93,IF(AND(($D93+$C$1)&gt;AP$4,AP$4&gt;=$C$1),'General Inputs'!M$10*$I93,0))</f>
        <v>8490.5987162333386</v>
      </c>
      <c r="AQ93" s="214">
        <f>IF(AND(($E93+$C$1)&gt;AQ$4,AQ$4&gt;=$C$1),'General Inputs'!N$9*$H93,IF(AND(($D93+$C$1)&gt;AQ$4,AQ$4&gt;=$C$1),'General Inputs'!N$9*$G93,0))+IF(AND(($E93+$C$1)&gt;AQ$4,AQ$4&gt;=$C$1),'General Inputs'!N$10*$J93,IF(AND(($D93+$C$1)&gt;AQ$4,AQ$4&gt;=$C$1),'General Inputs'!N$10*$I93,0))</f>
        <v>8617.9576969768386</v>
      </c>
      <c r="AR93" s="214">
        <f>IF(AND(($E93+$C$1)&gt;AR$4,AR$4&gt;=$C$1),'General Inputs'!O$9*$H93,IF(AND(($D93+$C$1)&gt;AR$4,AR$4&gt;=$C$1),'General Inputs'!O$9*$G93,0))+IF(AND(($E93+$C$1)&gt;AR$4,AR$4&gt;=$C$1),'General Inputs'!O$10*$J93,IF(AND(($D93+$C$1)&gt;AR$4,AR$4&gt;=$C$1),'General Inputs'!O$10*$I93,0))</f>
        <v>8747.2270624314897</v>
      </c>
      <c r="AS93" s="214">
        <f>IF(AND(($E93+$C$1)&gt;AS$4,AS$4&gt;=$C$1),'General Inputs'!P$9*$H93,IF(AND(($D93+$C$1)&gt;AS$4,AS$4&gt;=$C$1),'General Inputs'!P$9*$G93,0))+IF(AND(($E93+$C$1)&gt;AS$4,AS$4&gt;=$C$1),'General Inputs'!P$10*$J93,IF(AND(($D93+$C$1)&gt;AS$4,AS$4&gt;=$C$1),'General Inputs'!P$10*$I93,0))</f>
        <v>8878.4354683679612</v>
      </c>
      <c r="AT93" s="214">
        <f>IF(AND(($E93+$C$1)&gt;AT$4,AT$4&gt;=$C$1),'General Inputs'!Q$9*$H93,IF(AND(($D93+$C$1)&gt;AT$4,AT$4&gt;=$C$1),'General Inputs'!Q$9*$G93,0))+IF(AND(($E93+$C$1)&gt;AT$4,AT$4&gt;=$C$1),'General Inputs'!Q$10*$J93,IF(AND(($D93+$C$1)&gt;AT$4,AT$4&gt;=$C$1),'General Inputs'!Q$10*$I93,0))</f>
        <v>9011.6120003934811</v>
      </c>
      <c r="AU93" s="214">
        <f>IF(AND(($E93+$C$1)&gt;AU$4,AU$4&gt;=$C$1),'General Inputs'!R$9*$H93,IF(AND(($D93+$C$1)&gt;AU$4,AU$4&gt;=$C$1),'General Inputs'!R$9*$G93,0))+IF(AND(($E93+$C$1)&gt;AU$4,AU$4&gt;=$C$1),'General Inputs'!R$10*$J93,IF(AND(($D93+$C$1)&gt;AU$4,AU$4&gt;=$C$1),'General Inputs'!R$10*$I93,0))</f>
        <v>9146.7861803993819</v>
      </c>
      <c r="AV93" s="214">
        <f>IF(AND(($E93+$C$1)&gt;AV$4,AV$4&gt;=$C$1),'General Inputs'!S$9*$H93,IF(AND(($D93+$C$1)&gt;AV$4,AV$4&gt;=$C$1),'General Inputs'!S$9*$G93,0))+IF(AND(($E93+$C$1)&gt;AV$4,AV$4&gt;=$C$1),'General Inputs'!S$10*$J93,IF(AND(($D93+$C$1)&gt;AV$4,AV$4&gt;=$C$1),'General Inputs'!S$10*$I93,0))</f>
        <v>9283.9879731053716</v>
      </c>
      <c r="AW93" s="214">
        <f>IF(AND(($E93+$C$1)&gt;AW$4,AW$4&gt;=$C$1),'General Inputs'!T$9*$H93,IF(AND(($D93+$C$1)&gt;AW$4,AW$4&gt;=$C$1),'General Inputs'!T$9*$G93,0))+IF(AND(($E93+$C$1)&gt;AW$4,AW$4&gt;=$C$1),'General Inputs'!T$10*$J93,IF(AND(($D93+$C$1)&gt;AW$4,AW$4&gt;=$C$1),'General Inputs'!T$10*$I93,0))</f>
        <v>0</v>
      </c>
      <c r="AX93" s="214">
        <f>IF(AND(($E93+$C$1)&gt;AX$4,AX$4&gt;=$C$1),'General Inputs'!U$9*$H93,IF(AND(($D93+$C$1)&gt;AX$4,AX$4&gt;=$C$1),'General Inputs'!U$9*$G93,0))+IF(AND(($E93+$C$1)&gt;AX$4,AX$4&gt;=$C$1),'General Inputs'!U$10*$J93,IF(AND(($D93+$C$1)&gt;AX$4,AX$4&gt;=$C$1),'General Inputs'!U$10*$I93,0))</f>
        <v>0</v>
      </c>
      <c r="AY93" s="214">
        <f>IF(AND(($E93+$C$1)&gt;AY$4,AY$4&gt;=$C$1),'General Inputs'!V$9*$H93,IF(AND(($D93+$C$1)&gt;AY$4,AY$4&gt;=$C$1),'General Inputs'!V$9*$G93,0))+IF(AND(($E93+$C$1)&gt;AY$4,AY$4&gt;=$C$1),'General Inputs'!V$10*$J93,IF(AND(($D93+$C$1)&gt;AY$4,AY$4&gt;=$C$1),'General Inputs'!V$10*$I93,0))</f>
        <v>0</v>
      </c>
      <c r="AZ93" s="214">
        <f>IF(AND(($E93+$C$1)&gt;AZ$4,AZ$4&gt;=$C$1),'General Inputs'!W$9*$H93,IF(AND(($D93+$C$1)&gt;AZ$4,AZ$4&gt;=$C$1),'General Inputs'!W$9*$G93,0))+IF(AND(($E93+$C$1)&gt;AZ$4,AZ$4&gt;=$C$1),'General Inputs'!W$10*$J93,IF(AND(($D93+$C$1)&gt;AZ$4,AZ$4&gt;=$C$1),'General Inputs'!W$10*$I93,0))</f>
        <v>0</v>
      </c>
      <c r="BB93" s="214">
        <f>IF(AND(($E93+$C$1)&gt;BB$4,BB$4&gt;=$C$1),'General Inputs'!D$11*$H93,IF(AND(($D93+$C$1)&gt;BB$4,BB$4&gt;=$C$1),'General Inputs'!D$11*$G93,0))</f>
        <v>0</v>
      </c>
      <c r="BC93" s="214">
        <f>IF(AND(($E93+$C$1)&gt;BC$4,BC$4&gt;=$C$1),'General Inputs'!E$11*$H93,IF(AND(($D93+$C$1)&gt;BC$4,BC$4&gt;=$C$1),'General Inputs'!E$11*$G93,0))</f>
        <v>2065.7527775999997</v>
      </c>
      <c r="BD93" s="214">
        <f>IF(AND(($E93+$C$1)&gt;BD$4,BD$4&gt;=$C$1),'General Inputs'!F$11*$H93,IF(AND(($D93+$C$1)&gt;BD$4,BD$4&gt;=$C$1),'General Inputs'!F$11*$G93,0))</f>
        <v>2065.7527775999997</v>
      </c>
      <c r="BE93" s="214">
        <f>IF(AND(($E93+$C$1)&gt;BE$4,BE$4&gt;=$C$1),'General Inputs'!G$11*$H93,IF(AND(($D93+$C$1)&gt;BE$4,BE$4&gt;=$C$1),'General Inputs'!G$11*$G93,0))</f>
        <v>2065.7527775999997</v>
      </c>
      <c r="BF93" s="214">
        <f>IF(AND(($E93+$C$1)&gt;BF$4,BF$4&gt;=$C$1),'General Inputs'!H$11*$H93,IF(AND(($D93+$C$1)&gt;BF$4,BF$4&gt;=$C$1),'General Inputs'!H$11*$G93,0))</f>
        <v>2065.7527775999997</v>
      </c>
      <c r="BG93" s="214">
        <f>IF(AND(($E93+$C$1)&gt;BG$4,BG$4&gt;=$C$1),'General Inputs'!I$11*$H93,IF(AND(($D93+$C$1)&gt;BG$4,BG$4&gt;=$C$1),'General Inputs'!I$11*$G93,0))</f>
        <v>2065.7527775999997</v>
      </c>
      <c r="BH93" s="214">
        <f>IF(AND(($E93+$C$1)&gt;BH$4,BH$4&gt;=$C$1),'General Inputs'!J$11*$H93,IF(AND(($D93+$C$1)&gt;BH$4,BH$4&gt;=$C$1),'General Inputs'!J$11*$G93,0))</f>
        <v>2065.7527775999997</v>
      </c>
      <c r="BI93" s="214">
        <f>IF(AND(($E93+$C$1)&gt;BI$4,BI$4&gt;=$C$1),'General Inputs'!K$11*$H93,IF(AND(($D93+$C$1)&gt;BI$4,BI$4&gt;=$C$1),'General Inputs'!K$11*$G93,0))</f>
        <v>2065.7527775999997</v>
      </c>
      <c r="BJ93" s="214">
        <f>IF(AND(($E93+$C$1)&gt;BJ$4,BJ$4&gt;=$C$1),'General Inputs'!L$11*$H93,IF(AND(($D93+$C$1)&gt;BJ$4,BJ$4&gt;=$C$1),'General Inputs'!L$11*$G93,0))</f>
        <v>2065.7527775999997</v>
      </c>
      <c r="BK93" s="214">
        <f>IF(AND(($E93+$C$1)&gt;BK$4,BK$4&gt;=$C$1),'General Inputs'!M$11*$H93,IF(AND(($D93+$C$1)&gt;BK$4,BK$4&gt;=$C$1),'General Inputs'!M$11*$G93,0))</f>
        <v>2065.7527775999997</v>
      </c>
      <c r="BL93" s="214">
        <f>IF(AND(($E93+$C$1)&gt;BL$4,BL$4&gt;=$C$1),'General Inputs'!N$11*$H93,IF(AND(($D93+$C$1)&gt;BL$4,BL$4&gt;=$C$1),'General Inputs'!N$11*$G93,0))</f>
        <v>2065.7527775999997</v>
      </c>
      <c r="BM93" s="214">
        <f>IF(AND(($E93+$C$1)&gt;BM$4,BM$4&gt;=$C$1),'General Inputs'!O$11*$H93,IF(AND(($D93+$C$1)&gt;BM$4,BM$4&gt;=$C$1),'General Inputs'!O$11*$G93,0))</f>
        <v>2065.7527775999997</v>
      </c>
      <c r="BN93" s="214">
        <f>IF(AND(($E93+$C$1)&gt;BN$4,BN$4&gt;=$C$1),'General Inputs'!P$11*$H93,IF(AND(($D93+$C$1)&gt;BN$4,BN$4&gt;=$C$1),'General Inputs'!P$11*$G93,0))</f>
        <v>2065.7527775999997</v>
      </c>
      <c r="BO93" s="214">
        <f>IF(AND(($E93+$C$1)&gt;BO$4,BO$4&gt;=$C$1),'General Inputs'!Q$11*$H93,IF(AND(($D93+$C$1)&gt;BO$4,BO$4&gt;=$C$1),'General Inputs'!Q$11*$G93,0))</f>
        <v>2065.7527775999997</v>
      </c>
      <c r="BP93" s="214">
        <f>IF(AND(($E93+$C$1)&gt;BP$4,BP$4&gt;=$C$1),'General Inputs'!R$11*$H93,IF(AND(($D93+$C$1)&gt;BP$4,BP$4&gt;=$C$1),'General Inputs'!R$11*$G93,0))</f>
        <v>2065.7527775999997</v>
      </c>
      <c r="BQ93" s="214">
        <f>IF(AND(($E93+$C$1)&gt;BQ$4,BQ$4&gt;=$C$1),'General Inputs'!S$11*$H93,IF(AND(($D93+$C$1)&gt;BQ$4,BQ$4&gt;=$C$1),'General Inputs'!S$11*$G93,0))</f>
        <v>2065.7527775999997</v>
      </c>
      <c r="BR93" s="214">
        <f>IF(AND(($E93+$C$1)&gt;BR$4,BR$4&gt;=$C$1),'General Inputs'!T$11*$H93,IF(AND(($D93+$C$1)&gt;BR$4,BR$4&gt;=$C$1),'General Inputs'!T$11*$G93,0))</f>
        <v>0</v>
      </c>
      <c r="BS93" s="214">
        <f>IF(AND(($E93+$C$1)&gt;BS$4,BS$4&gt;=$C$1),'General Inputs'!U$11*$H93,IF(AND(($D93+$C$1)&gt;BS$4,BS$4&gt;=$C$1),'General Inputs'!U$11*$G93,0))</f>
        <v>0</v>
      </c>
      <c r="BT93" s="214">
        <f>IF(AND(($E93+$C$1)&gt;BT$4,BT$4&gt;=$C$1),'General Inputs'!V$11*$H93,IF(AND(($D93+$C$1)&gt;BT$4,BT$4&gt;=$C$1),'General Inputs'!V$11*$G93,0))</f>
        <v>0</v>
      </c>
      <c r="BU93" s="214">
        <f>IF(AND(($E93+$C$1)&gt;BU$4,BU$4&gt;=$C$1),'General Inputs'!W$11*$H93,IF(AND(($D93+$C$1)&gt;BU$4,BU$4&gt;=$C$1),'General Inputs'!W$11*$G93,0))</f>
        <v>0</v>
      </c>
      <c r="BW93" s="214">
        <f>IF(AND(($E93+$C$1)&gt;BW$4,BW$4&gt;=$C$1),$H93,IF(AND(($D93+$C$1)&gt;BW$4,BW$4&gt;=$C$1),$G93,0))*IF($A93="Residential",'General Inputs'!D$14,'General Inputs'!D$19)</f>
        <v>0</v>
      </c>
      <c r="BX93" s="214">
        <f>IF(AND(($E93+$C$1)&gt;BX$4,BX$4&gt;=$C$1),$H93,IF(AND(($D93+$C$1)&gt;BX$4,BX$4&gt;=$C$1),$G93,0))*IF($A93="Residential",'General Inputs'!E$14,'General Inputs'!E$19)</f>
        <v>19214.010839117433</v>
      </c>
      <c r="BY93" s="214">
        <f>IF(AND(($E93+$C$1)&gt;BY$4,BY$4&gt;=$C$1),$H93,IF(AND(($D93+$C$1)&gt;BY$4,BY$4&gt;=$C$1),$G93,0))*IF($A93="Residential",'General Inputs'!F$14,'General Inputs'!F$19)</f>
        <v>19502.221001704194</v>
      </c>
      <c r="BZ93" s="214">
        <f>IF(AND(($E93+$C$1)&gt;BZ$4,BZ$4&gt;=$C$1),$H93,IF(AND(($D93+$C$1)&gt;BZ$4,BZ$4&gt;=$C$1),$G93,0))*IF($A93="Residential",'General Inputs'!G$14,'General Inputs'!G$19)</f>
        <v>19794.754316729755</v>
      </c>
      <c r="CA93" s="214">
        <f>IF(AND(($E93+$C$1)&gt;CA$4,CA$4&gt;=$C$1),$H93,IF(AND(($D93+$C$1)&gt;CA$4,CA$4&gt;=$C$1),$G93,0))*IF($A93="Residential",'General Inputs'!H$14,'General Inputs'!H$19)</f>
        <v>20091.675631480699</v>
      </c>
      <c r="CB93" s="214">
        <f>IF(AND(($E93+$C$1)&gt;CB$4,CB$4&gt;=$C$1),$H93,IF(AND(($D93+$C$1)&gt;CB$4,CB$4&gt;=$C$1),$G93,0))*IF($A93="Residential",'General Inputs'!I$14,'General Inputs'!I$19)</f>
        <v>20393.050765952907</v>
      </c>
      <c r="CC93" s="214">
        <f>IF(AND(($E93+$C$1)&gt;CC$4,CC$4&gt;=$C$1),$H93,IF(AND(($D93+$C$1)&gt;CC$4,CC$4&gt;=$C$1),$G93,0))*IF($A93="Residential",'General Inputs'!J$14,'General Inputs'!J$19)</f>
        <v>20698.9465274422</v>
      </c>
      <c r="CD93" s="214">
        <f>IF(AND(($E93+$C$1)&gt;CD$4,CD$4&gt;=$C$1),$H93,IF(AND(($D93+$C$1)&gt;CD$4,CD$4&gt;=$C$1),$G93,0))*IF($A93="Residential",'General Inputs'!K$14,'General Inputs'!K$19)</f>
        <v>21009.430725353828</v>
      </c>
      <c r="CE93" s="214">
        <f>IF(AND(($E93+$C$1)&gt;CE$4,CE$4&gt;=$C$1),$H93,IF(AND(($D93+$C$1)&gt;CE$4,CE$4&gt;=$C$1),$G93,0))*IF($A93="Residential",'General Inputs'!L$14,'General Inputs'!L$19)</f>
        <v>21324.572186234134</v>
      </c>
      <c r="CF93" s="214">
        <f>IF(AND(($E93+$C$1)&gt;CF$4,CF$4&gt;=$C$1),$H93,IF(AND(($D93+$C$1)&gt;CF$4,CF$4&gt;=$C$1),$G93,0))*IF($A93="Residential",'General Inputs'!M$14,'General Inputs'!M$19)</f>
        <v>21644.440769027646</v>
      </c>
      <c r="CG93" s="214">
        <f>IF(AND(($E93+$C$1)&gt;CG$4,CG$4&gt;=$C$1),$H93,IF(AND(($D93+$C$1)&gt;CG$4,CG$4&gt;=$C$1),$G93,0))*IF($A93="Residential",'General Inputs'!N$14,'General Inputs'!N$19)</f>
        <v>21969.107380563059</v>
      </c>
      <c r="CH93" s="214">
        <f>IF(AND(($E93+$C$1)&gt;CH$4,CH$4&gt;=$C$1),$H93,IF(AND(($D93+$C$1)&gt;CH$4,CH$4&gt;=$C$1),$G93,0))*IF($A93="Residential",'General Inputs'!O$14,'General Inputs'!O$19)</f>
        <v>22298.6439912715</v>
      </c>
      <c r="CI93" s="214">
        <f>IF(AND(($E93+$C$1)&gt;CI$4,CI$4&gt;=$C$1),$H93,IF(AND(($D93+$C$1)&gt;CI$4,CI$4&gt;=$C$1),$G93,0))*IF($A93="Residential",'General Inputs'!P$14,'General Inputs'!P$19)</f>
        <v>22633.123651140573</v>
      </c>
      <c r="CJ93" s="214">
        <f>IF(AND(($E93+$C$1)&gt;CJ$4,CJ$4&gt;=$C$1),$H93,IF(AND(($D93+$C$1)&gt;CJ$4,CJ$4&gt;=$C$1),$G93,0))*IF($A93="Residential",'General Inputs'!Q$14,'General Inputs'!Q$19)</f>
        <v>22972.620505907678</v>
      </c>
      <c r="CK93" s="214">
        <f>IF(AND(($E93+$C$1)&gt;CK$4,CK$4&gt;=$C$1),$H93,IF(AND(($D93+$C$1)&gt;CK$4,CK$4&gt;=$C$1),$G93,0))*IF($A93="Residential",'General Inputs'!R$14,'General Inputs'!R$19)</f>
        <v>23317.209813496291</v>
      </c>
      <c r="CL93" s="214">
        <f>IF(AND(($E93+$C$1)&gt;CL$4,CL$4&gt;=$C$1),$H93,IF(AND(($D93+$C$1)&gt;CL$4,CL$4&gt;=$C$1),$G93,0))*IF($A93="Residential",'General Inputs'!S$14,'General Inputs'!S$19)</f>
        <v>23666.967960698734</v>
      </c>
      <c r="CM93" s="214">
        <f>IF(AND(($E93+$C$1)&gt;CM$4,CM$4&gt;=$C$1),$H93,IF(AND(($D93+$C$1)&gt;CM$4,CM$4&gt;=$C$1),$G93,0))*IF($A93="Residential",'General Inputs'!T$14,'General Inputs'!T$19)</f>
        <v>0</v>
      </c>
      <c r="CN93" s="214">
        <f>IF(AND(($E93+$C$1)&gt;CN$4,CN$4&gt;=$C$1),$H93,IF(AND(($D93+$C$1)&gt;CN$4,CN$4&gt;=$C$1),$G93,0))*IF($A93="Residential",'General Inputs'!U$14,'General Inputs'!U$19)</f>
        <v>0</v>
      </c>
      <c r="CO93" s="214">
        <f>IF(AND(($E93+$C$1)&gt;CO$4,CO$4&gt;=$C$1),$H93,IF(AND(($D93+$C$1)&gt;CO$4,CO$4&gt;=$C$1),$G93,0))*IF($A93="Residential",'General Inputs'!V$14,'General Inputs'!V$19)</f>
        <v>0</v>
      </c>
      <c r="CP93" s="214">
        <f>IF(AND(($E93+$C$1)&gt;CP$4,CP$4&gt;=$C$1),$H93,IF(AND(($D93+$C$1)&gt;CP$4,CP$4&gt;=$C$1),$G93,0))*IF($A93="Residential",'General Inputs'!W$14,'General Inputs'!W$19)</f>
        <v>0</v>
      </c>
      <c r="CR93" s="214">
        <f>IF(AND(($E93+$C$1)&gt;CR$4,CR$4&gt;=$C$1),$H93,IF(AND(($D93+$C$1)&gt;CR$4,CR$4&gt;=$C$1),$G93,0))*IF($A93="Residential",'General Inputs'!D$15,'General Inputs'!D$19)</f>
        <v>0</v>
      </c>
      <c r="CS93" s="214">
        <f>IF(AND(($E93+$C$1)&gt;CS$4,CS$4&gt;=$C$1),$H93,IF(AND(($D93+$C$1)&gt;CS$4,CS$4&gt;=$C$1),$G93,0))*IF($A93="Residential",'General Inputs'!E$15,'General Inputs'!E$19)</f>
        <v>19214.010839117433</v>
      </c>
      <c r="CT93" s="214">
        <f>IF(AND(($E93+$C$1)&gt;CT$4,CT$4&gt;=$C$1),$H93,IF(AND(($D93+$C$1)&gt;CT$4,CT$4&gt;=$C$1),$G93,0))*IF($A93="Residential",'General Inputs'!F$15,'General Inputs'!F$19)</f>
        <v>19502.221001704194</v>
      </c>
      <c r="CU93" s="214">
        <f>IF(AND(($E93+$C$1)&gt;CU$4,CU$4&gt;=$C$1),$H93,IF(AND(($D93+$C$1)&gt;CU$4,CU$4&gt;=$C$1),$G93,0))*IF($A93="Residential",'General Inputs'!G$15,'General Inputs'!G$19)</f>
        <v>19794.754316729755</v>
      </c>
      <c r="CV93" s="214">
        <f>IF(AND(($E93+$C$1)&gt;CV$4,CV$4&gt;=$C$1),$H93,IF(AND(($D93+$C$1)&gt;CV$4,CV$4&gt;=$C$1),$G93,0))*IF($A93="Residential",'General Inputs'!H$15,'General Inputs'!H$19)</f>
        <v>20091.675631480699</v>
      </c>
      <c r="CW93" s="214">
        <f>IF(AND(($E93+$C$1)&gt;CW$4,CW$4&gt;=$C$1),$H93,IF(AND(($D93+$C$1)&gt;CW$4,CW$4&gt;=$C$1),$G93,0))*IF($A93="Residential",'General Inputs'!I$15,'General Inputs'!I$19)</f>
        <v>20393.050765952907</v>
      </c>
      <c r="CX93" s="214">
        <f>IF(AND(($E93+$C$1)&gt;CX$4,CX$4&gt;=$C$1),$H93,IF(AND(($D93+$C$1)&gt;CX$4,CX$4&gt;=$C$1),$G93,0))*IF($A93="Residential",'General Inputs'!J$15,'General Inputs'!J$19)</f>
        <v>20698.9465274422</v>
      </c>
      <c r="CY93" s="214">
        <f>IF(AND(($E93+$C$1)&gt;CY$4,CY$4&gt;=$C$1),$H93,IF(AND(($D93+$C$1)&gt;CY$4,CY$4&gt;=$C$1),$G93,0))*IF($A93="Residential",'General Inputs'!K$15,'General Inputs'!K$19)</f>
        <v>21009.430725353828</v>
      </c>
      <c r="CZ93" s="214">
        <f>IF(AND(($E93+$C$1)&gt;CZ$4,CZ$4&gt;=$C$1),$H93,IF(AND(($D93+$C$1)&gt;CZ$4,CZ$4&gt;=$C$1),$G93,0))*IF($A93="Residential",'General Inputs'!L$15,'General Inputs'!L$19)</f>
        <v>21324.572186234134</v>
      </c>
      <c r="DA93" s="214">
        <f>IF(AND(($E93+$C$1)&gt;DA$4,DA$4&gt;=$C$1),$H93,IF(AND(($D93+$C$1)&gt;DA$4,DA$4&gt;=$C$1),$G93,0))*IF($A93="Residential",'General Inputs'!M$15,'General Inputs'!M$19)</f>
        <v>21644.440769027646</v>
      </c>
      <c r="DB93" s="214">
        <f>IF(AND(($E93+$C$1)&gt;DB$4,DB$4&gt;=$C$1),$H93,IF(AND(($D93+$C$1)&gt;DB$4,DB$4&gt;=$C$1),$G93,0))*IF($A93="Residential",'General Inputs'!N$15,'General Inputs'!N$19)</f>
        <v>21969.107380563059</v>
      </c>
      <c r="DC93" s="214">
        <f>IF(AND(($E93+$C$1)&gt;DC$4,DC$4&gt;=$C$1),$H93,IF(AND(($D93+$C$1)&gt;DC$4,DC$4&gt;=$C$1),$G93,0))*IF($A93="Residential",'General Inputs'!O$15,'General Inputs'!O$19)</f>
        <v>22298.6439912715</v>
      </c>
      <c r="DD93" s="214">
        <f>IF(AND(($E93+$C$1)&gt;DD$4,DD$4&gt;=$C$1),$H93,IF(AND(($D93+$C$1)&gt;DD$4,DD$4&gt;=$C$1),$G93,0))*IF($A93="Residential",'General Inputs'!P$15,'General Inputs'!P$19)</f>
        <v>22633.123651140573</v>
      </c>
      <c r="DE93" s="214">
        <f>IF(AND(($E93+$C$1)&gt;DE$4,DE$4&gt;=$C$1),$H93,IF(AND(($D93+$C$1)&gt;DE$4,DE$4&gt;=$C$1),$G93,0))*IF($A93="Residential",'General Inputs'!Q$15,'General Inputs'!Q$19)</f>
        <v>22972.620505907678</v>
      </c>
      <c r="DF93" s="214">
        <f>IF(AND(($E93+$C$1)&gt;DF$4,DF$4&gt;=$C$1),$H93,IF(AND(($D93+$C$1)&gt;DF$4,DF$4&gt;=$C$1),$G93,0))*IF($A93="Residential",'General Inputs'!R$15,'General Inputs'!R$19)</f>
        <v>23317.209813496291</v>
      </c>
      <c r="DG93" s="214">
        <f>IF(AND(($E93+$C$1)&gt;DG$4,DG$4&gt;=$C$1),$H93,IF(AND(($D93+$C$1)&gt;DG$4,DG$4&gt;=$C$1),$G93,0))*IF($A93="Residential",'General Inputs'!S$15,'General Inputs'!S$19)</f>
        <v>23666.967960698734</v>
      </c>
      <c r="DH93" s="214">
        <f>IF(AND(($E93+$C$1)&gt;DH$4,DH$4&gt;=$C$1),$H93,IF(AND(($D93+$C$1)&gt;DH$4,DH$4&gt;=$C$1),$G93,0))*IF($A93="Residential",'General Inputs'!T$15,'General Inputs'!T$19)</f>
        <v>0</v>
      </c>
      <c r="DI93" s="214">
        <f>IF(AND(($E93+$C$1)&gt;DI$4,DI$4&gt;=$C$1),$H93,IF(AND(($D93+$C$1)&gt;DI$4,DI$4&gt;=$C$1),$G93,0))*IF($A93="Residential",'General Inputs'!U$15,'General Inputs'!U$19)</f>
        <v>0</v>
      </c>
      <c r="DJ93" s="214">
        <f>IF(AND(($E93+$C$1)&gt;DJ$4,DJ$4&gt;=$C$1),$H93,IF(AND(($D93+$C$1)&gt;DJ$4,DJ$4&gt;=$C$1),$G93,0))*IF($A93="Residential",'General Inputs'!V$15,'General Inputs'!V$19)</f>
        <v>0</v>
      </c>
      <c r="DK93" s="214">
        <f>IF(AND(($E93+$C$1)&gt;DK$4,DK$4&gt;=$C$1),$H93,IF(AND(($D93+$C$1)&gt;DK$4,DK$4&gt;=$C$1),$G93,0))*IF($A93="Residential",'General Inputs'!W$15,'General Inputs'!W$19)</f>
        <v>0</v>
      </c>
      <c r="DM93" s="214">
        <f t="shared" si="130"/>
        <v>0</v>
      </c>
      <c r="DN93" s="214">
        <f t="shared" si="130"/>
        <v>15108</v>
      </c>
      <c r="DO93" s="214">
        <f t="shared" si="130"/>
        <v>0</v>
      </c>
      <c r="DP93" s="214">
        <f t="shared" si="130"/>
        <v>0</v>
      </c>
      <c r="DQ93" s="214">
        <f t="shared" si="130"/>
        <v>0</v>
      </c>
      <c r="DR93" s="214">
        <f t="shared" si="130"/>
        <v>0</v>
      </c>
      <c r="DS93" s="214">
        <f t="shared" si="130"/>
        <v>0</v>
      </c>
      <c r="DT93" s="214">
        <f t="shared" si="130"/>
        <v>0</v>
      </c>
      <c r="DU93" s="214">
        <f t="shared" si="130"/>
        <v>0</v>
      </c>
      <c r="DV93" s="214">
        <f t="shared" si="130"/>
        <v>0</v>
      </c>
      <c r="DW93" s="214">
        <f t="shared" si="130"/>
        <v>0</v>
      </c>
      <c r="DZ93" s="650"/>
      <c r="FI93" s="195"/>
      <c r="FJ93" s="195"/>
      <c r="FK93" s="195"/>
      <c r="FL93" s="195"/>
      <c r="FM93" s="195"/>
      <c r="FN93" s="195"/>
      <c r="FO93" s="195"/>
    </row>
    <row r="94" spans="1:171" s="449" customFormat="1">
      <c r="A94" s="435" t="s">
        <v>112</v>
      </c>
      <c r="B94" s="428" t="str">
        <f>'Portfolio Inputs'!A93</f>
        <v>Motors</v>
      </c>
      <c r="C94" s="454">
        <f>IF($C$1=2014,'Portfolio Inputs'!$C93,IF($C$1=2015,'Portfolio Inputs'!$D93,'Portfolio Inputs'!$E93))</f>
        <v>24</v>
      </c>
      <c r="D94" s="505"/>
      <c r="E94" s="505"/>
      <c r="F94" s="2"/>
      <c r="G94" s="515">
        <f t="shared" ref="G94:I94" si="131">SUM(G95:G96)</f>
        <v>7575.2769656149958</v>
      </c>
      <c r="H94" s="515"/>
      <c r="I94" s="512">
        <f t="shared" si="131"/>
        <v>1.7216538558215899</v>
      </c>
      <c r="J94" s="512"/>
      <c r="K94" s="2"/>
      <c r="L94" s="455"/>
      <c r="M94" s="455"/>
      <c r="N94" s="455">
        <f>IF($C$1=2014,'Portfolio Inputs'!$W93,IF($C$1=2015,'Portfolio Inputs'!$X93,'Portfolio Inputs'!$Y93))</f>
        <v>1200</v>
      </c>
      <c r="O94" s="455">
        <f>IF($C$1=2014,'Portfolio Inputs'!$AA93,IF($C$1=2015,'Portfolio Inputs'!$AB93,'Portfolio Inputs'!$AC93))</f>
        <v>0</v>
      </c>
      <c r="P94" s="16"/>
      <c r="Q94" s="433">
        <f t="shared" si="115"/>
        <v>1.1588038027392378</v>
      </c>
      <c r="R94" s="434">
        <f t="shared" si="116"/>
        <v>2.6652487463002474</v>
      </c>
      <c r="S94" s="434">
        <f t="shared" si="117"/>
        <v>1.4359239410900264</v>
      </c>
      <c r="T94" s="434">
        <f t="shared" si="118"/>
        <v>3.2360157790041675</v>
      </c>
      <c r="U94" s="434">
        <f>IF(AE94&gt;0,(AD94+AB94)/AE94,"n/a")</f>
        <v>3.2360157790041675</v>
      </c>
      <c r="V94" s="523">
        <f t="shared" si="119"/>
        <v>0.35809584435828723</v>
      </c>
      <c r="W94" s="523">
        <f t="shared" si="120"/>
        <v>0.35809584435828723</v>
      </c>
      <c r="X94" s="16"/>
      <c r="Y94" s="447">
        <f t="shared" si="101"/>
        <v>2938.532245093988</v>
      </c>
      <c r="Z94" s="447">
        <f t="shared" si="102"/>
        <v>702.73022955547265</v>
      </c>
      <c r="AA94" s="447">
        <f t="shared" si="103"/>
        <v>7103.457873990722</v>
      </c>
      <c r="AB94" s="447">
        <f t="shared" si="104"/>
        <v>7103.457873990722</v>
      </c>
      <c r="AC94" s="448">
        <f t="shared" si="128"/>
        <v>0</v>
      </c>
      <c r="AD94" s="448">
        <f t="shared" si="129"/>
        <v>1102.5358324145534</v>
      </c>
      <c r="AE94" s="525">
        <f t="shared" si="105"/>
        <v>2535.832414553473</v>
      </c>
      <c r="AF94" s="16"/>
      <c r="AG94" s="432">
        <f>SUM(AG95:AG96)</f>
        <v>0</v>
      </c>
      <c r="AH94" s="432">
        <f t="shared" ref="AH94:AZ94" si="132">SUM(AH95:AH96)</f>
        <v>332.2796197143399</v>
      </c>
      <c r="AI94" s="432">
        <f t="shared" si="132"/>
        <v>337.26381401005494</v>
      </c>
      <c r="AJ94" s="432">
        <f t="shared" si="132"/>
        <v>342.32277122020571</v>
      </c>
      <c r="AK94" s="432">
        <f t="shared" si="132"/>
        <v>347.45761278850875</v>
      </c>
      <c r="AL94" s="432">
        <f t="shared" si="132"/>
        <v>352.66947698033636</v>
      </c>
      <c r="AM94" s="432">
        <f t="shared" si="132"/>
        <v>357.95951913504132</v>
      </c>
      <c r="AN94" s="432">
        <f t="shared" si="132"/>
        <v>363.32891192206694</v>
      </c>
      <c r="AO94" s="432">
        <f t="shared" si="132"/>
        <v>368.77884560089791</v>
      </c>
      <c r="AP94" s="432">
        <f t="shared" si="132"/>
        <v>374.31052828491124</v>
      </c>
      <c r="AQ94" s="432">
        <f t="shared" si="132"/>
        <v>379.92518620918497</v>
      </c>
      <c r="AR94" s="432">
        <f t="shared" si="132"/>
        <v>385.62406400232271</v>
      </c>
      <c r="AS94" s="432">
        <f t="shared" si="132"/>
        <v>391.40842496235746</v>
      </c>
      <c r="AT94" s="432">
        <f t="shared" si="132"/>
        <v>397.27955133679279</v>
      </c>
      <c r="AU94" s="432">
        <f t="shared" si="132"/>
        <v>403.23874460684465</v>
      </c>
      <c r="AV94" s="432">
        <f t="shared" si="132"/>
        <v>409.28732577594735</v>
      </c>
      <c r="AW94" s="432">
        <f t="shared" si="132"/>
        <v>0</v>
      </c>
      <c r="AX94" s="432">
        <f t="shared" si="132"/>
        <v>0</v>
      </c>
      <c r="AY94" s="432">
        <f t="shared" si="132"/>
        <v>0</v>
      </c>
      <c r="AZ94" s="432">
        <f t="shared" si="132"/>
        <v>0</v>
      </c>
      <c r="BA94" s="16"/>
      <c r="BB94" s="432">
        <f>SUM(BB95:BB96)</f>
        <v>0</v>
      </c>
      <c r="BC94" s="432">
        <f t="shared" ref="BC94:BU94" si="133">SUM(BC95:BC96)</f>
        <v>86.358157408010953</v>
      </c>
      <c r="BD94" s="432">
        <f t="shared" si="133"/>
        <v>86.358157408010953</v>
      </c>
      <c r="BE94" s="432">
        <f t="shared" si="133"/>
        <v>86.358157408010953</v>
      </c>
      <c r="BF94" s="432">
        <f t="shared" si="133"/>
        <v>86.358157408010953</v>
      </c>
      <c r="BG94" s="432">
        <f t="shared" si="133"/>
        <v>86.358157408010953</v>
      </c>
      <c r="BH94" s="432">
        <f t="shared" si="133"/>
        <v>86.358157408010953</v>
      </c>
      <c r="BI94" s="432">
        <f t="shared" si="133"/>
        <v>86.358157408010953</v>
      </c>
      <c r="BJ94" s="432">
        <f t="shared" si="133"/>
        <v>86.358157408010953</v>
      </c>
      <c r="BK94" s="432">
        <f t="shared" si="133"/>
        <v>86.358157408010953</v>
      </c>
      <c r="BL94" s="432">
        <f t="shared" si="133"/>
        <v>86.358157408010953</v>
      </c>
      <c r="BM94" s="432">
        <f t="shared" si="133"/>
        <v>86.358157408010953</v>
      </c>
      <c r="BN94" s="432">
        <f t="shared" si="133"/>
        <v>86.358157408010953</v>
      </c>
      <c r="BO94" s="432">
        <f t="shared" si="133"/>
        <v>86.358157408010953</v>
      </c>
      <c r="BP94" s="432">
        <f t="shared" si="133"/>
        <v>86.358157408010953</v>
      </c>
      <c r="BQ94" s="432">
        <f t="shared" si="133"/>
        <v>86.358157408010953</v>
      </c>
      <c r="BR94" s="432">
        <f t="shared" si="133"/>
        <v>0</v>
      </c>
      <c r="BS94" s="432">
        <f t="shared" si="133"/>
        <v>0</v>
      </c>
      <c r="BT94" s="432">
        <f t="shared" si="133"/>
        <v>0</v>
      </c>
      <c r="BU94" s="432">
        <f t="shared" si="133"/>
        <v>0</v>
      </c>
      <c r="BV94" s="16"/>
      <c r="BW94" s="432">
        <f>SUM(BW95:BW96)</f>
        <v>0</v>
      </c>
      <c r="BX94" s="432">
        <f t="shared" ref="BX94:CP94" si="134">SUM(BX95:BX96)</f>
        <v>803.23579398087418</v>
      </c>
      <c r="BY94" s="432">
        <f t="shared" si="134"/>
        <v>815.2843308905874</v>
      </c>
      <c r="BZ94" s="432">
        <f t="shared" si="134"/>
        <v>827.51359585394607</v>
      </c>
      <c r="CA94" s="432">
        <f t="shared" si="134"/>
        <v>839.92629979175513</v>
      </c>
      <c r="CB94" s="432">
        <f t="shared" si="134"/>
        <v>852.52519428863127</v>
      </c>
      <c r="CC94" s="432">
        <f t="shared" si="134"/>
        <v>865.31307220296071</v>
      </c>
      <c r="CD94" s="432">
        <f t="shared" si="134"/>
        <v>878.29276828600496</v>
      </c>
      <c r="CE94" s="432">
        <f t="shared" si="134"/>
        <v>891.46715981029502</v>
      </c>
      <c r="CF94" s="432">
        <f t="shared" si="134"/>
        <v>904.83916720744935</v>
      </c>
      <c r="CG94" s="432">
        <f t="shared" si="134"/>
        <v>918.41175471556107</v>
      </c>
      <c r="CH94" s="432">
        <f t="shared" si="134"/>
        <v>932.18793103629434</v>
      </c>
      <c r="CI94" s="432">
        <f t="shared" si="134"/>
        <v>946.17075000183877</v>
      </c>
      <c r="CJ94" s="432">
        <f t="shared" si="134"/>
        <v>960.36331125186621</v>
      </c>
      <c r="CK94" s="432">
        <f t="shared" si="134"/>
        <v>974.76876092064413</v>
      </c>
      <c r="CL94" s="432">
        <f t="shared" si="134"/>
        <v>989.39029233445365</v>
      </c>
      <c r="CM94" s="432">
        <f t="shared" si="134"/>
        <v>0</v>
      </c>
      <c r="CN94" s="432">
        <f t="shared" si="134"/>
        <v>0</v>
      </c>
      <c r="CO94" s="432">
        <f t="shared" si="134"/>
        <v>0</v>
      </c>
      <c r="CP94" s="432">
        <f t="shared" si="134"/>
        <v>0</v>
      </c>
      <c r="CQ94" s="16"/>
      <c r="CR94" s="432">
        <f>SUM(CR95:CR96)</f>
        <v>0</v>
      </c>
      <c r="CS94" s="432">
        <f t="shared" ref="CS94:DK94" si="135">SUM(CS95:CS96)</f>
        <v>803.23579398087418</v>
      </c>
      <c r="CT94" s="432">
        <f t="shared" si="135"/>
        <v>815.2843308905874</v>
      </c>
      <c r="CU94" s="432">
        <f t="shared" si="135"/>
        <v>827.51359585394607</v>
      </c>
      <c r="CV94" s="432">
        <f t="shared" si="135"/>
        <v>839.92629979175513</v>
      </c>
      <c r="CW94" s="432">
        <f t="shared" si="135"/>
        <v>852.52519428863127</v>
      </c>
      <c r="CX94" s="432">
        <f t="shared" si="135"/>
        <v>865.31307220296071</v>
      </c>
      <c r="CY94" s="432">
        <f t="shared" si="135"/>
        <v>878.29276828600496</v>
      </c>
      <c r="CZ94" s="432">
        <f t="shared" si="135"/>
        <v>891.46715981029502</v>
      </c>
      <c r="DA94" s="432">
        <f t="shared" si="135"/>
        <v>904.83916720744935</v>
      </c>
      <c r="DB94" s="432">
        <f t="shared" si="135"/>
        <v>918.41175471556107</v>
      </c>
      <c r="DC94" s="432">
        <f t="shared" si="135"/>
        <v>932.18793103629434</v>
      </c>
      <c r="DD94" s="432">
        <f t="shared" si="135"/>
        <v>946.17075000183877</v>
      </c>
      <c r="DE94" s="432">
        <f t="shared" si="135"/>
        <v>960.36331125186621</v>
      </c>
      <c r="DF94" s="432">
        <f t="shared" si="135"/>
        <v>974.76876092064413</v>
      </c>
      <c r="DG94" s="432">
        <f t="shared" si="135"/>
        <v>989.39029233445365</v>
      </c>
      <c r="DH94" s="432">
        <f t="shared" si="135"/>
        <v>0</v>
      </c>
      <c r="DI94" s="432">
        <f t="shared" si="135"/>
        <v>0</v>
      </c>
      <c r="DJ94" s="432">
        <f t="shared" si="135"/>
        <v>0</v>
      </c>
      <c r="DK94" s="432">
        <f t="shared" si="135"/>
        <v>0</v>
      </c>
      <c r="DL94" s="16"/>
      <c r="DM94" s="432">
        <f t="shared" ref="DM94:DW94" si="136">SUM(DM95:DM96)</f>
        <v>0</v>
      </c>
      <c r="DN94" s="432">
        <f t="shared" si="136"/>
        <v>2760</v>
      </c>
      <c r="DO94" s="432">
        <f t="shared" si="136"/>
        <v>0</v>
      </c>
      <c r="DP94" s="432">
        <f t="shared" si="136"/>
        <v>0</v>
      </c>
      <c r="DQ94" s="432">
        <f t="shared" si="136"/>
        <v>0</v>
      </c>
      <c r="DR94" s="432">
        <f t="shared" si="136"/>
        <v>0</v>
      </c>
      <c r="DS94" s="432">
        <f t="shared" si="136"/>
        <v>0</v>
      </c>
      <c r="DT94" s="432">
        <f t="shared" si="136"/>
        <v>0</v>
      </c>
      <c r="DU94" s="432">
        <f t="shared" si="136"/>
        <v>0</v>
      </c>
      <c r="DV94" s="432">
        <f t="shared" si="136"/>
        <v>0</v>
      </c>
      <c r="DW94" s="432">
        <f t="shared" si="136"/>
        <v>0</v>
      </c>
      <c r="DX94" s="16"/>
      <c r="DY94" s="16"/>
      <c r="DZ94" s="650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</row>
    <row r="95" spans="1:171">
      <c r="A95" s="342" t="s">
        <v>112</v>
      </c>
      <c r="B95" s="427" t="str">
        <f>'Portfolio Inputs'!A94</f>
        <v>ODC Motor</v>
      </c>
      <c r="C95" s="217">
        <f>IF($C$1=2014,'Portfolio Inputs'!$C94,IF($C$1=2015,'Portfolio Inputs'!$D94,'Portfolio Inputs'!$E94))</f>
        <v>12</v>
      </c>
      <c r="D95" s="504">
        <f>VLOOKUP(B95,Sources!$B$4:$J$104,2,FALSE)</f>
        <v>15</v>
      </c>
      <c r="E95" s="504">
        <f>VLOOKUP(B95,Sources!$B$4:$J$104,3,FALSE)</f>
        <v>0</v>
      </c>
      <c r="G95" s="504">
        <f>IF($C$1=2014,'Portfolio Inputs'!$G94,IF($C$1=2015,'Portfolio Inputs'!$H94,'Portfolio Inputs'!$I94))*EnergyLineLoss</f>
        <v>4444.1624864941396</v>
      </c>
      <c r="H95" s="504"/>
      <c r="I95" s="595">
        <f>IF($C$1=2014,'Portfolio Inputs'!$K94,IF($C$1=2015,'Portfolio Inputs'!$L94,'Portfolio Inputs'!$M94))*PeakLineLoss</f>
        <v>1.0100369287486681</v>
      </c>
      <c r="J95" s="510"/>
      <c r="L95" s="606">
        <f>IF($C$1=2014,'Portfolio Inputs'!$O94,IF($C$1=2015,'Portfolio Inputs'!$P94,'Portfolio Inputs'!$Q94))</f>
        <v>115</v>
      </c>
      <c r="M95" s="518">
        <f>VLOOKUP($B95,Sources!$B$4:$K$104,10,FALSE)</f>
        <v>0</v>
      </c>
      <c r="N95" s="419">
        <f>IF($C$1=2014,'Portfolio Inputs'!$W94,IF($C$1=2015,'Portfolio Inputs'!$X94,'Portfolio Inputs'!$Y94))</f>
        <v>600</v>
      </c>
      <c r="O95" s="419">
        <f>IF($C$1=2014,'Portfolio Inputs'!$AA94,IF($C$1=2015,'Portfolio Inputs'!$AB94,'Portfolio Inputs'!$AC94))</f>
        <v>0</v>
      </c>
      <c r="Q95" s="436">
        <f t="shared" si="115"/>
        <v>1.359663128547375</v>
      </c>
      <c r="R95" s="437">
        <f t="shared" si="116"/>
        <v>3.1272251956589625</v>
      </c>
      <c r="S95" s="437">
        <f t="shared" si="117"/>
        <v>1.6848174242123009</v>
      </c>
      <c r="T95" s="437">
        <f t="shared" si="118"/>
        <v>3.7215628618576497</v>
      </c>
      <c r="U95" s="439">
        <f t="shared" ref="U95:U96" si="137">IF(AE95&gt;0,(AD95+AB95)/AE95,"n/a")</f>
        <v>3.7215628618576497</v>
      </c>
      <c r="V95" s="439">
        <f t="shared" si="119"/>
        <v>0.36534734976065608</v>
      </c>
      <c r="W95" s="439">
        <f t="shared" si="120"/>
        <v>0.36534734976065608</v>
      </c>
      <c r="Y95" s="215">
        <f t="shared" si="101"/>
        <v>1723.9389171218095</v>
      </c>
      <c r="Z95" s="215">
        <f t="shared" si="102"/>
        <v>412.26840133921155</v>
      </c>
      <c r="AA95" s="215">
        <f t="shared" si="103"/>
        <v>4167.361952741232</v>
      </c>
      <c r="AB95" s="215">
        <f t="shared" si="104"/>
        <v>4167.361952741232</v>
      </c>
      <c r="AC95" s="216">
        <f t="shared" si="128"/>
        <v>0</v>
      </c>
      <c r="AD95" s="216">
        <f t="shared" si="129"/>
        <v>551.2679162072767</v>
      </c>
      <c r="AE95" s="215">
        <f t="shared" si="105"/>
        <v>1267.9162072767365</v>
      </c>
      <c r="AG95" s="214">
        <f>IF(AND(($E95+$C$1)&gt;AG$4,AG$4&gt;=$C$1),'General Inputs'!D$9*$H95,IF(AND(($D95+$C$1)&gt;AG$4,AG$4&gt;=$C$1),'General Inputs'!D$9*$G95,0))+IF(AND(($E95+$C$1)&gt;AG$4,AG$4&gt;=$C$1),'General Inputs'!D$10*$J95,IF(AND(($D95+$C$1)&gt;AG$4,AG$4&gt;=$C$1),'General Inputs'!D$10*$I95,0))</f>
        <v>0</v>
      </c>
      <c r="AH95" s="214">
        <f>IF(AND(($E95+$C$1)&gt;AH$4,AH$4&gt;=$C$1),'General Inputs'!E$9*$H95,IF(AND(($D95+$C$1)&gt;AH$4,AH$4&gt;=$C$1),'General Inputs'!E$9*$G95,0))+IF(AND(($E95+$C$1)&gt;AH$4,AH$4&gt;=$C$1),'General Inputs'!E$10*$J95,IF(AND(($D95+$C$1)&gt;AH$4,AH$4&gt;=$C$1),'General Inputs'!E$10*$I95,0))</f>
        <v>194.93737689907979</v>
      </c>
      <c r="AI95" s="214">
        <f>IF(AND(($E95+$C$1)&gt;AI$4,AI$4&gt;=$C$1),'General Inputs'!F$9*$H95,IF(AND(($D95+$C$1)&gt;AI$4,AI$4&gt;=$C$1),'General Inputs'!F$9*$G95,0))+IF(AND(($E95+$C$1)&gt;AI$4,AI$4&gt;=$C$1),'General Inputs'!F$10*$J95,IF(AND(($D95+$C$1)&gt;AI$4,AI$4&gt;=$C$1),'General Inputs'!F$10*$I95,0))</f>
        <v>197.86143755256595</v>
      </c>
      <c r="AJ95" s="214">
        <f>IF(AND(($E95+$C$1)&gt;AJ$4,AJ$4&gt;=$C$1),'General Inputs'!G$9*$H95,IF(AND(($D95+$C$1)&gt;AJ$4,AJ$4&gt;=$C$1),'General Inputs'!G$9*$G95,0))+IF(AND(($E95+$C$1)&gt;AJ$4,AJ$4&gt;=$C$1),'General Inputs'!G$10*$J95,IF(AND(($D95+$C$1)&gt;AJ$4,AJ$4&gt;=$C$1),'General Inputs'!G$10*$I95,0))</f>
        <v>200.82935911585443</v>
      </c>
      <c r="AK95" s="214">
        <f>IF(AND(($E95+$C$1)&gt;AK$4,AK$4&gt;=$C$1),'General Inputs'!H$9*$H95,IF(AND(($D95+$C$1)&gt;AK$4,AK$4&gt;=$C$1),'General Inputs'!H$9*$G95,0))+IF(AND(($E95+$C$1)&gt;AK$4,AK$4&gt;=$C$1),'General Inputs'!H$10*$J95,IF(AND(($D95+$C$1)&gt;AK$4,AK$4&gt;=$C$1),'General Inputs'!H$10*$I95,0))</f>
        <v>203.84179950259224</v>
      </c>
      <c r="AL95" s="214">
        <f>IF(AND(($E95+$C$1)&gt;AL$4,AL$4&gt;=$C$1),'General Inputs'!I$9*$H95,IF(AND(($D95+$C$1)&gt;AL$4,AL$4&gt;=$C$1),'General Inputs'!I$9*$G95,0))+IF(AND(($E95+$C$1)&gt;AL$4,AL$4&gt;=$C$1),'General Inputs'!I$10*$J95,IF(AND(($D95+$C$1)&gt;AL$4,AL$4&gt;=$C$1),'General Inputs'!I$10*$I95,0))</f>
        <v>206.89942649513105</v>
      </c>
      <c r="AM95" s="214">
        <f>IF(AND(($E95+$C$1)&gt;AM$4,AM$4&gt;=$C$1),'General Inputs'!J$9*$H95,IF(AND(($D95+$C$1)&gt;AM$4,AM$4&gt;=$C$1),'General Inputs'!J$9*$G95,0))+IF(AND(($E95+$C$1)&gt;AM$4,AM$4&gt;=$C$1),'General Inputs'!J$10*$J95,IF(AND(($D95+$C$1)&gt;AM$4,AM$4&gt;=$C$1),'General Inputs'!J$10*$I95,0))</f>
        <v>210.002917892558</v>
      </c>
      <c r="AN95" s="214">
        <f>IF(AND(($E95+$C$1)&gt;AN$4,AN$4&gt;=$C$1),'General Inputs'!K$9*$H95,IF(AND(($D95+$C$1)&gt;AN$4,AN$4&gt;=$C$1),'General Inputs'!K$9*$G95,0))+IF(AND(($E95+$C$1)&gt;AN$4,AN$4&gt;=$C$1),'General Inputs'!K$10*$J95,IF(AND(($D95+$C$1)&gt;AN$4,AN$4&gt;=$C$1),'General Inputs'!K$10*$I95,0))</f>
        <v>213.15296166094632</v>
      </c>
      <c r="AO95" s="214">
        <f>IF(AND(($E95+$C$1)&gt;AO$4,AO$4&gt;=$C$1),'General Inputs'!L$9*$H95,IF(AND(($D95+$C$1)&gt;AO$4,AO$4&gt;=$C$1),'General Inputs'!L$9*$G95,0))+IF(AND(($E95+$C$1)&gt;AO$4,AO$4&gt;=$C$1),'General Inputs'!L$10*$J95,IF(AND(($D95+$C$1)&gt;AO$4,AO$4&gt;=$C$1),'General Inputs'!L$10*$I95,0))</f>
        <v>216.35025608586054</v>
      </c>
      <c r="AP95" s="214">
        <f>IF(AND(($E95+$C$1)&gt;AP$4,AP$4&gt;=$C$1),'General Inputs'!M$9*$H95,IF(AND(($D95+$C$1)&gt;AP$4,AP$4&gt;=$C$1),'General Inputs'!M$9*$G95,0))+IF(AND(($E95+$C$1)&gt;AP$4,AP$4&gt;=$C$1),'General Inputs'!M$10*$J95,IF(AND(($D95+$C$1)&gt;AP$4,AP$4&gt;=$C$1),'General Inputs'!M$10*$I95,0))</f>
        <v>219.59550992714838</v>
      </c>
      <c r="AQ95" s="214">
        <f>IF(AND(($E95+$C$1)&gt;AQ$4,AQ$4&gt;=$C$1),'General Inputs'!N$9*$H95,IF(AND(($D95+$C$1)&gt;AQ$4,AQ$4&gt;=$C$1),'General Inputs'!N$9*$G95,0))+IF(AND(($E95+$C$1)&gt;AQ$4,AQ$4&gt;=$C$1),'General Inputs'!N$10*$J95,IF(AND(($D95+$C$1)&gt;AQ$4,AQ$4&gt;=$C$1),'General Inputs'!N$10*$I95,0))</f>
        <v>222.88944257605561</v>
      </c>
      <c r="AR95" s="214">
        <f>IF(AND(($E95+$C$1)&gt;AR$4,AR$4&gt;=$C$1),'General Inputs'!O$9*$H95,IF(AND(($D95+$C$1)&gt;AR$4,AR$4&gt;=$C$1),'General Inputs'!O$9*$G95,0))+IF(AND(($E95+$C$1)&gt;AR$4,AR$4&gt;=$C$1),'General Inputs'!O$10*$J95,IF(AND(($D95+$C$1)&gt;AR$4,AR$4&gt;=$C$1),'General Inputs'!O$10*$I95,0))</f>
        <v>226.23278421469641</v>
      </c>
      <c r="AS95" s="214">
        <f>IF(AND(($E95+$C$1)&gt;AS$4,AS$4&gt;=$C$1),'General Inputs'!P$9*$H95,IF(AND(($D95+$C$1)&gt;AS$4,AS$4&gt;=$C$1),'General Inputs'!P$9*$G95,0))+IF(AND(($E95+$C$1)&gt;AS$4,AS$4&gt;=$C$1),'General Inputs'!P$10*$J95,IF(AND(($D95+$C$1)&gt;AS$4,AS$4&gt;=$C$1),'General Inputs'!P$10*$I95,0))</f>
        <v>229.62627597791683</v>
      </c>
      <c r="AT95" s="214">
        <f>IF(AND(($E95+$C$1)&gt;AT$4,AT$4&gt;=$C$1),'General Inputs'!Q$9*$H95,IF(AND(($D95+$C$1)&gt;AT$4,AT$4&gt;=$C$1),'General Inputs'!Q$9*$G95,0))+IF(AND(($E95+$C$1)&gt;AT$4,AT$4&gt;=$C$1),'General Inputs'!Q$10*$J95,IF(AND(($D95+$C$1)&gt;AT$4,AT$4&gt;=$C$1),'General Inputs'!Q$10*$I95,0))</f>
        <v>233.07067011758556</v>
      </c>
      <c r="AU95" s="214">
        <f>IF(AND(($E95+$C$1)&gt;AU$4,AU$4&gt;=$C$1),'General Inputs'!R$9*$H95,IF(AND(($D95+$C$1)&gt;AU$4,AU$4&gt;=$C$1),'General Inputs'!R$9*$G95,0))+IF(AND(($E95+$C$1)&gt;AU$4,AU$4&gt;=$C$1),'General Inputs'!R$10*$J95,IF(AND(($D95+$C$1)&gt;AU$4,AU$4&gt;=$C$1),'General Inputs'!R$10*$I95,0))</f>
        <v>236.56673016934934</v>
      </c>
      <c r="AV95" s="214">
        <f>IF(AND(($E95+$C$1)&gt;AV$4,AV$4&gt;=$C$1),'General Inputs'!S$9*$H95,IF(AND(($D95+$C$1)&gt;AV$4,AV$4&gt;=$C$1),'General Inputs'!S$9*$G95,0))+IF(AND(($E95+$C$1)&gt;AV$4,AV$4&gt;=$C$1),'General Inputs'!S$10*$J95,IF(AND(($D95+$C$1)&gt;AV$4,AV$4&gt;=$C$1),'General Inputs'!S$10*$I95,0))</f>
        <v>240.11523112188956</v>
      </c>
      <c r="AW95" s="214">
        <f>IF(AND(($E95+$C$1)&gt;AW$4,AW$4&gt;=$C$1),'General Inputs'!T$9*$H95,IF(AND(($D95+$C$1)&gt;AW$4,AW$4&gt;=$C$1),'General Inputs'!T$9*$G95,0))+IF(AND(($E95+$C$1)&gt;AW$4,AW$4&gt;=$C$1),'General Inputs'!T$10*$J95,IF(AND(($D95+$C$1)&gt;AW$4,AW$4&gt;=$C$1),'General Inputs'!T$10*$I95,0))</f>
        <v>0</v>
      </c>
      <c r="AX95" s="214">
        <f>IF(AND(($E95+$C$1)&gt;AX$4,AX$4&gt;=$C$1),'General Inputs'!U$9*$H95,IF(AND(($D95+$C$1)&gt;AX$4,AX$4&gt;=$C$1),'General Inputs'!U$9*$G95,0))+IF(AND(($E95+$C$1)&gt;AX$4,AX$4&gt;=$C$1),'General Inputs'!U$10*$J95,IF(AND(($D95+$C$1)&gt;AX$4,AX$4&gt;=$C$1),'General Inputs'!U$10*$I95,0))</f>
        <v>0</v>
      </c>
      <c r="AY95" s="214">
        <f>IF(AND(($E95+$C$1)&gt;AY$4,AY$4&gt;=$C$1),'General Inputs'!V$9*$H95,IF(AND(($D95+$C$1)&gt;AY$4,AY$4&gt;=$C$1),'General Inputs'!V$9*$G95,0))+IF(AND(($E95+$C$1)&gt;AY$4,AY$4&gt;=$C$1),'General Inputs'!V$10*$J95,IF(AND(($D95+$C$1)&gt;AY$4,AY$4&gt;=$C$1),'General Inputs'!V$10*$I95,0))</f>
        <v>0</v>
      </c>
      <c r="AZ95" s="214">
        <f>IF(AND(($E95+$C$1)&gt;AZ$4,AZ$4&gt;=$C$1),'General Inputs'!W$9*$H95,IF(AND(($D95+$C$1)&gt;AZ$4,AZ$4&gt;=$C$1),'General Inputs'!W$9*$G95,0))+IF(AND(($E95+$C$1)&gt;AZ$4,AZ$4&gt;=$C$1),'General Inputs'!W$10*$J95,IF(AND(($D95+$C$1)&gt;AZ$4,AZ$4&gt;=$C$1),'General Inputs'!W$10*$I95,0))</f>
        <v>0</v>
      </c>
      <c r="BB95" s="214">
        <f>IF(AND(($E95+$C$1)&gt;BB$4,BB$4&gt;=$C$1),'General Inputs'!D$11*$H95,IF(AND(($D95+$C$1)&gt;BB$4,BB$4&gt;=$C$1),'General Inputs'!D$11*$G95,0))</f>
        <v>0</v>
      </c>
      <c r="BC95" s="214">
        <f>IF(AND(($E95+$C$1)&gt;BC$4,BC$4&gt;=$C$1),'General Inputs'!E$11*$H95,IF(AND(($D95+$C$1)&gt;BC$4,BC$4&gt;=$C$1),'General Inputs'!E$11*$G95,0))</f>
        <v>50.663452346033196</v>
      </c>
      <c r="BD95" s="214">
        <f>IF(AND(($E95+$C$1)&gt;BD$4,BD$4&gt;=$C$1),'General Inputs'!F$11*$H95,IF(AND(($D95+$C$1)&gt;BD$4,BD$4&gt;=$C$1),'General Inputs'!F$11*$G95,0))</f>
        <v>50.663452346033196</v>
      </c>
      <c r="BE95" s="214">
        <f>IF(AND(($E95+$C$1)&gt;BE$4,BE$4&gt;=$C$1),'General Inputs'!G$11*$H95,IF(AND(($D95+$C$1)&gt;BE$4,BE$4&gt;=$C$1),'General Inputs'!G$11*$G95,0))</f>
        <v>50.663452346033196</v>
      </c>
      <c r="BF95" s="214">
        <f>IF(AND(($E95+$C$1)&gt;BF$4,BF$4&gt;=$C$1),'General Inputs'!H$11*$H95,IF(AND(($D95+$C$1)&gt;BF$4,BF$4&gt;=$C$1),'General Inputs'!H$11*$G95,0))</f>
        <v>50.663452346033196</v>
      </c>
      <c r="BG95" s="214">
        <f>IF(AND(($E95+$C$1)&gt;BG$4,BG$4&gt;=$C$1),'General Inputs'!I$11*$H95,IF(AND(($D95+$C$1)&gt;BG$4,BG$4&gt;=$C$1),'General Inputs'!I$11*$G95,0))</f>
        <v>50.663452346033196</v>
      </c>
      <c r="BH95" s="214">
        <f>IF(AND(($E95+$C$1)&gt;BH$4,BH$4&gt;=$C$1),'General Inputs'!J$11*$H95,IF(AND(($D95+$C$1)&gt;BH$4,BH$4&gt;=$C$1),'General Inputs'!J$11*$G95,0))</f>
        <v>50.663452346033196</v>
      </c>
      <c r="BI95" s="214">
        <f>IF(AND(($E95+$C$1)&gt;BI$4,BI$4&gt;=$C$1),'General Inputs'!K$11*$H95,IF(AND(($D95+$C$1)&gt;BI$4,BI$4&gt;=$C$1),'General Inputs'!K$11*$G95,0))</f>
        <v>50.663452346033196</v>
      </c>
      <c r="BJ95" s="214">
        <f>IF(AND(($E95+$C$1)&gt;BJ$4,BJ$4&gt;=$C$1),'General Inputs'!L$11*$H95,IF(AND(($D95+$C$1)&gt;BJ$4,BJ$4&gt;=$C$1),'General Inputs'!L$11*$G95,0))</f>
        <v>50.663452346033196</v>
      </c>
      <c r="BK95" s="214">
        <f>IF(AND(($E95+$C$1)&gt;BK$4,BK$4&gt;=$C$1),'General Inputs'!M$11*$H95,IF(AND(($D95+$C$1)&gt;BK$4,BK$4&gt;=$C$1),'General Inputs'!M$11*$G95,0))</f>
        <v>50.663452346033196</v>
      </c>
      <c r="BL95" s="214">
        <f>IF(AND(($E95+$C$1)&gt;BL$4,BL$4&gt;=$C$1),'General Inputs'!N$11*$H95,IF(AND(($D95+$C$1)&gt;BL$4,BL$4&gt;=$C$1),'General Inputs'!N$11*$G95,0))</f>
        <v>50.663452346033196</v>
      </c>
      <c r="BM95" s="214">
        <f>IF(AND(($E95+$C$1)&gt;BM$4,BM$4&gt;=$C$1),'General Inputs'!O$11*$H95,IF(AND(($D95+$C$1)&gt;BM$4,BM$4&gt;=$C$1),'General Inputs'!O$11*$G95,0))</f>
        <v>50.663452346033196</v>
      </c>
      <c r="BN95" s="214">
        <f>IF(AND(($E95+$C$1)&gt;BN$4,BN$4&gt;=$C$1),'General Inputs'!P$11*$H95,IF(AND(($D95+$C$1)&gt;BN$4,BN$4&gt;=$C$1),'General Inputs'!P$11*$G95,0))</f>
        <v>50.663452346033196</v>
      </c>
      <c r="BO95" s="214">
        <f>IF(AND(($E95+$C$1)&gt;BO$4,BO$4&gt;=$C$1),'General Inputs'!Q$11*$H95,IF(AND(($D95+$C$1)&gt;BO$4,BO$4&gt;=$C$1),'General Inputs'!Q$11*$G95,0))</f>
        <v>50.663452346033196</v>
      </c>
      <c r="BP95" s="214">
        <f>IF(AND(($E95+$C$1)&gt;BP$4,BP$4&gt;=$C$1),'General Inputs'!R$11*$H95,IF(AND(($D95+$C$1)&gt;BP$4,BP$4&gt;=$C$1),'General Inputs'!R$11*$G95,0))</f>
        <v>50.663452346033196</v>
      </c>
      <c r="BQ95" s="214">
        <f>IF(AND(($E95+$C$1)&gt;BQ$4,BQ$4&gt;=$C$1),'General Inputs'!S$11*$H95,IF(AND(($D95+$C$1)&gt;BQ$4,BQ$4&gt;=$C$1),'General Inputs'!S$11*$G95,0))</f>
        <v>50.663452346033196</v>
      </c>
      <c r="BR95" s="214">
        <f>IF(AND(($E95+$C$1)&gt;BR$4,BR$4&gt;=$C$1),'General Inputs'!T$11*$H95,IF(AND(($D95+$C$1)&gt;BR$4,BR$4&gt;=$C$1),'General Inputs'!T$11*$G95,0))</f>
        <v>0</v>
      </c>
      <c r="BS95" s="214">
        <f>IF(AND(($E95+$C$1)&gt;BS$4,BS$4&gt;=$C$1),'General Inputs'!U$11*$H95,IF(AND(($D95+$C$1)&gt;BS$4,BS$4&gt;=$C$1),'General Inputs'!U$11*$G95,0))</f>
        <v>0</v>
      </c>
      <c r="BT95" s="214">
        <f>IF(AND(($E95+$C$1)&gt;BT$4,BT$4&gt;=$C$1),'General Inputs'!V$11*$H95,IF(AND(($D95+$C$1)&gt;BT$4,BT$4&gt;=$C$1),'General Inputs'!V$11*$G95,0))</f>
        <v>0</v>
      </c>
      <c r="BU95" s="214">
        <f>IF(AND(($E95+$C$1)&gt;BU$4,BU$4&gt;=$C$1),'General Inputs'!W$11*$H95,IF(AND(($D95+$C$1)&gt;BU$4,BU$4&gt;=$C$1),'General Inputs'!W$11*$G95,0))</f>
        <v>0</v>
      </c>
      <c r="BW95" s="214">
        <f>IF(AND(($E95+$C$1)&gt;BW$4,BW$4&gt;=$C$1),$H95,IF(AND(($D95+$C$1)&gt;BW$4,BW$4&gt;=$C$1),$G95,0))*IF($A95="Residential",'General Inputs'!D$14,'General Inputs'!D$19)</f>
        <v>0</v>
      </c>
      <c r="BX95" s="214">
        <f>IF(AND(($E95+$C$1)&gt;BX$4,BX$4&gt;=$C$1),$H95,IF(AND(($D95+$C$1)&gt;BX$4,BX$4&gt;=$C$1),$G95,0))*IF($A95="Residential",'General Inputs'!E$14,'General Inputs'!E$19)</f>
        <v>471.23166580211381</v>
      </c>
      <c r="BY95" s="214">
        <f>IF(AND(($E95+$C$1)&gt;BY$4,BY$4&gt;=$C$1),$H95,IF(AND(($D95+$C$1)&gt;BY$4,BY$4&gt;=$C$1),$G95,0))*IF($A95="Residential",'General Inputs'!F$14,'General Inputs'!F$19)</f>
        <v>478.30014078914553</v>
      </c>
      <c r="BZ95" s="214">
        <f>IF(AND(($E95+$C$1)&gt;BZ$4,BZ$4&gt;=$C$1),$H95,IF(AND(($D95+$C$1)&gt;BZ$4,BZ$4&gt;=$C$1),$G95,0))*IF($A95="Residential",'General Inputs'!G$14,'General Inputs'!G$19)</f>
        <v>485.47464290098264</v>
      </c>
      <c r="CA95" s="214">
        <f>IF(AND(($E95+$C$1)&gt;CA$4,CA$4&gt;=$C$1),$H95,IF(AND(($D95+$C$1)&gt;CA$4,CA$4&gt;=$C$1),$G95,0))*IF($A95="Residential",'General Inputs'!H$14,'General Inputs'!H$19)</f>
        <v>492.75676254449729</v>
      </c>
      <c r="CB95" s="214">
        <f>IF(AND(($E95+$C$1)&gt;CB$4,CB$4&gt;=$C$1),$H95,IF(AND(($D95+$C$1)&gt;CB$4,CB$4&gt;=$C$1),$G95,0))*IF($A95="Residential",'General Inputs'!I$14,'General Inputs'!I$19)</f>
        <v>500.14811398266465</v>
      </c>
      <c r="CC95" s="214">
        <f>IF(AND(($E95+$C$1)&gt;CC$4,CC$4&gt;=$C$1),$H95,IF(AND(($D95+$C$1)&gt;CC$4,CC$4&gt;=$C$1),$G95,0))*IF($A95="Residential",'General Inputs'!J$14,'General Inputs'!J$19)</f>
        <v>507.65033569240461</v>
      </c>
      <c r="CD95" s="214">
        <f>IF(AND(($E95+$C$1)&gt;CD$4,CD$4&gt;=$C$1),$H95,IF(AND(($D95+$C$1)&gt;CD$4,CD$4&gt;=$C$1),$G95,0))*IF($A95="Residential",'General Inputs'!K$14,'General Inputs'!K$19)</f>
        <v>515.26509072779061</v>
      </c>
      <c r="CE95" s="214">
        <f>IF(AND(($E95+$C$1)&gt;CE$4,CE$4&gt;=$C$1),$H95,IF(AND(($D95+$C$1)&gt;CE$4,CE$4&gt;=$C$1),$G95,0))*IF($A95="Residential",'General Inputs'!L$14,'General Inputs'!L$19)</f>
        <v>522.99406708870742</v>
      </c>
      <c r="CF95" s="214">
        <f>IF(AND(($E95+$C$1)&gt;CF$4,CF$4&gt;=$C$1),$H95,IF(AND(($D95+$C$1)&gt;CF$4,CF$4&gt;=$C$1),$G95,0))*IF($A95="Residential",'General Inputs'!M$14,'General Inputs'!M$19)</f>
        <v>530.83897809503799</v>
      </c>
      <c r="CG95" s="214">
        <f>IF(AND(($E95+$C$1)&gt;CG$4,CG$4&gt;=$C$1),$H95,IF(AND(($D95+$C$1)&gt;CG$4,CG$4&gt;=$C$1),$G95,0))*IF($A95="Residential",'General Inputs'!N$14,'General Inputs'!N$19)</f>
        <v>538.80156276646358</v>
      </c>
      <c r="CH95" s="214">
        <f>IF(AND(($E95+$C$1)&gt;CH$4,CH$4&gt;=$C$1),$H95,IF(AND(($D95+$C$1)&gt;CH$4,CH$4&gt;=$C$1),$G95,0))*IF($A95="Residential",'General Inputs'!O$14,'General Inputs'!O$19)</f>
        <v>546.88358620796043</v>
      </c>
      <c r="CI95" s="214">
        <f>IF(AND(($E95+$C$1)&gt;CI$4,CI$4&gt;=$C$1),$H95,IF(AND(($D95+$C$1)&gt;CI$4,CI$4&gt;=$C$1),$G95,0))*IF($A95="Residential",'General Inputs'!P$14,'General Inputs'!P$19)</f>
        <v>555.08684000107985</v>
      </c>
      <c r="CJ95" s="214">
        <f>IF(AND(($E95+$C$1)&gt;CJ$4,CJ$4&gt;=$C$1),$H95,IF(AND(($D95+$C$1)&gt;CJ$4,CJ$4&gt;=$C$1),$G95,0))*IF($A95="Residential",'General Inputs'!Q$14,'General Inputs'!Q$19)</f>
        <v>563.41314260109596</v>
      </c>
      <c r="CK95" s="214">
        <f>IF(AND(($E95+$C$1)&gt;CK$4,CK$4&gt;=$C$1),$H95,IF(AND(($D95+$C$1)&gt;CK$4,CK$4&gt;=$C$1),$G95,0))*IF($A95="Residential",'General Inputs'!R$14,'General Inputs'!R$19)</f>
        <v>571.86433974011231</v>
      </c>
      <c r="CL95" s="214">
        <f>IF(AND(($E95+$C$1)&gt;CL$4,CL$4&gt;=$C$1),$H95,IF(AND(($D95+$C$1)&gt;CL$4,CL$4&gt;=$C$1),$G95,0))*IF($A95="Residential",'General Inputs'!S$14,'General Inputs'!S$19)</f>
        <v>580.44230483621391</v>
      </c>
      <c r="CM95" s="214">
        <f>IF(AND(($E95+$C$1)&gt;CM$4,CM$4&gt;=$C$1),$H95,IF(AND(($D95+$C$1)&gt;CM$4,CM$4&gt;=$C$1),$G95,0))*IF($A95="Residential",'General Inputs'!T$14,'General Inputs'!T$19)</f>
        <v>0</v>
      </c>
      <c r="CN95" s="214">
        <f>IF(AND(($E95+$C$1)&gt;CN$4,CN$4&gt;=$C$1),$H95,IF(AND(($D95+$C$1)&gt;CN$4,CN$4&gt;=$C$1),$G95,0))*IF($A95="Residential",'General Inputs'!U$14,'General Inputs'!U$19)</f>
        <v>0</v>
      </c>
      <c r="CO95" s="214">
        <f>IF(AND(($E95+$C$1)&gt;CO$4,CO$4&gt;=$C$1),$H95,IF(AND(($D95+$C$1)&gt;CO$4,CO$4&gt;=$C$1),$G95,0))*IF($A95="Residential",'General Inputs'!V$14,'General Inputs'!V$19)</f>
        <v>0</v>
      </c>
      <c r="CP95" s="214">
        <f>IF(AND(($E95+$C$1)&gt;CP$4,CP$4&gt;=$C$1),$H95,IF(AND(($D95+$C$1)&gt;CP$4,CP$4&gt;=$C$1),$G95,0))*IF($A95="Residential",'General Inputs'!W$14,'General Inputs'!W$19)</f>
        <v>0</v>
      </c>
      <c r="CR95" s="214">
        <f>IF(AND(($E95+$C$1)&gt;CR$4,CR$4&gt;=$C$1),$H95,IF(AND(($D95+$C$1)&gt;CR$4,CR$4&gt;=$C$1),$G95,0))*IF($A95="Residential",'General Inputs'!D$15,'General Inputs'!D$19)</f>
        <v>0</v>
      </c>
      <c r="CS95" s="214">
        <f>IF(AND(($E95+$C$1)&gt;CS$4,CS$4&gt;=$C$1),$H95,IF(AND(($D95+$C$1)&gt;CS$4,CS$4&gt;=$C$1),$G95,0))*IF($A95="Residential",'General Inputs'!E$15,'General Inputs'!E$19)</f>
        <v>471.23166580211381</v>
      </c>
      <c r="CT95" s="214">
        <f>IF(AND(($E95+$C$1)&gt;CT$4,CT$4&gt;=$C$1),$H95,IF(AND(($D95+$C$1)&gt;CT$4,CT$4&gt;=$C$1),$G95,0))*IF($A95="Residential",'General Inputs'!F$15,'General Inputs'!F$19)</f>
        <v>478.30014078914553</v>
      </c>
      <c r="CU95" s="214">
        <f>IF(AND(($E95+$C$1)&gt;CU$4,CU$4&gt;=$C$1),$H95,IF(AND(($D95+$C$1)&gt;CU$4,CU$4&gt;=$C$1),$G95,0))*IF($A95="Residential",'General Inputs'!G$15,'General Inputs'!G$19)</f>
        <v>485.47464290098264</v>
      </c>
      <c r="CV95" s="214">
        <f>IF(AND(($E95+$C$1)&gt;CV$4,CV$4&gt;=$C$1),$H95,IF(AND(($D95+$C$1)&gt;CV$4,CV$4&gt;=$C$1),$G95,0))*IF($A95="Residential",'General Inputs'!H$15,'General Inputs'!H$19)</f>
        <v>492.75676254449729</v>
      </c>
      <c r="CW95" s="214">
        <f>IF(AND(($E95+$C$1)&gt;CW$4,CW$4&gt;=$C$1),$H95,IF(AND(($D95+$C$1)&gt;CW$4,CW$4&gt;=$C$1),$G95,0))*IF($A95="Residential",'General Inputs'!I$15,'General Inputs'!I$19)</f>
        <v>500.14811398266465</v>
      </c>
      <c r="CX95" s="214">
        <f>IF(AND(($E95+$C$1)&gt;CX$4,CX$4&gt;=$C$1),$H95,IF(AND(($D95+$C$1)&gt;CX$4,CX$4&gt;=$C$1),$G95,0))*IF($A95="Residential",'General Inputs'!J$15,'General Inputs'!J$19)</f>
        <v>507.65033569240461</v>
      </c>
      <c r="CY95" s="214">
        <f>IF(AND(($E95+$C$1)&gt;CY$4,CY$4&gt;=$C$1),$H95,IF(AND(($D95+$C$1)&gt;CY$4,CY$4&gt;=$C$1),$G95,0))*IF($A95="Residential",'General Inputs'!K$15,'General Inputs'!K$19)</f>
        <v>515.26509072779061</v>
      </c>
      <c r="CZ95" s="214">
        <f>IF(AND(($E95+$C$1)&gt;CZ$4,CZ$4&gt;=$C$1),$H95,IF(AND(($D95+$C$1)&gt;CZ$4,CZ$4&gt;=$C$1),$G95,0))*IF($A95="Residential",'General Inputs'!L$15,'General Inputs'!L$19)</f>
        <v>522.99406708870742</v>
      </c>
      <c r="DA95" s="214">
        <f>IF(AND(($E95+$C$1)&gt;DA$4,DA$4&gt;=$C$1),$H95,IF(AND(($D95+$C$1)&gt;DA$4,DA$4&gt;=$C$1),$G95,0))*IF($A95="Residential",'General Inputs'!M$15,'General Inputs'!M$19)</f>
        <v>530.83897809503799</v>
      </c>
      <c r="DB95" s="214">
        <f>IF(AND(($E95+$C$1)&gt;DB$4,DB$4&gt;=$C$1),$H95,IF(AND(($D95+$C$1)&gt;DB$4,DB$4&gt;=$C$1),$G95,0))*IF($A95="Residential",'General Inputs'!N$15,'General Inputs'!N$19)</f>
        <v>538.80156276646358</v>
      </c>
      <c r="DC95" s="214">
        <f>IF(AND(($E95+$C$1)&gt;DC$4,DC$4&gt;=$C$1),$H95,IF(AND(($D95+$C$1)&gt;DC$4,DC$4&gt;=$C$1),$G95,0))*IF($A95="Residential",'General Inputs'!O$15,'General Inputs'!O$19)</f>
        <v>546.88358620796043</v>
      </c>
      <c r="DD95" s="214">
        <f>IF(AND(($E95+$C$1)&gt;DD$4,DD$4&gt;=$C$1),$H95,IF(AND(($D95+$C$1)&gt;DD$4,DD$4&gt;=$C$1),$G95,0))*IF($A95="Residential",'General Inputs'!P$15,'General Inputs'!P$19)</f>
        <v>555.08684000107985</v>
      </c>
      <c r="DE95" s="214">
        <f>IF(AND(($E95+$C$1)&gt;DE$4,DE$4&gt;=$C$1),$H95,IF(AND(($D95+$C$1)&gt;DE$4,DE$4&gt;=$C$1),$G95,0))*IF($A95="Residential",'General Inputs'!Q$15,'General Inputs'!Q$19)</f>
        <v>563.41314260109596</v>
      </c>
      <c r="DF95" s="214">
        <f>IF(AND(($E95+$C$1)&gt;DF$4,DF$4&gt;=$C$1),$H95,IF(AND(($D95+$C$1)&gt;DF$4,DF$4&gt;=$C$1),$G95,0))*IF($A95="Residential",'General Inputs'!R$15,'General Inputs'!R$19)</f>
        <v>571.86433974011231</v>
      </c>
      <c r="DG95" s="214">
        <f>IF(AND(($E95+$C$1)&gt;DG$4,DG$4&gt;=$C$1),$H95,IF(AND(($D95+$C$1)&gt;DG$4,DG$4&gt;=$C$1),$G95,0))*IF($A95="Residential",'General Inputs'!S$15,'General Inputs'!S$19)</f>
        <v>580.44230483621391</v>
      </c>
      <c r="DH95" s="214">
        <f>IF(AND(($E95+$C$1)&gt;DH$4,DH$4&gt;=$C$1),$H95,IF(AND(($D95+$C$1)&gt;DH$4,DH$4&gt;=$C$1),$G95,0))*IF($A95="Residential",'General Inputs'!T$15,'General Inputs'!T$19)</f>
        <v>0</v>
      </c>
      <c r="DI95" s="214">
        <f>IF(AND(($E95+$C$1)&gt;DI$4,DI$4&gt;=$C$1),$H95,IF(AND(($D95+$C$1)&gt;DI$4,DI$4&gt;=$C$1),$G95,0))*IF($A95="Residential",'General Inputs'!U$15,'General Inputs'!U$19)</f>
        <v>0</v>
      </c>
      <c r="DJ95" s="214">
        <f>IF(AND(($E95+$C$1)&gt;DJ$4,DJ$4&gt;=$C$1),$H95,IF(AND(($D95+$C$1)&gt;DJ$4,DJ$4&gt;=$C$1),$G95,0))*IF($A95="Residential",'General Inputs'!V$15,'General Inputs'!V$19)</f>
        <v>0</v>
      </c>
      <c r="DK95" s="214">
        <f>IF(AND(($E95+$C$1)&gt;DK$4,DK$4&gt;=$C$1),$H95,IF(AND(($D95+$C$1)&gt;DK$4,DK$4&gt;=$C$1),$G95,0))*IF($A95="Residential",'General Inputs'!W$15,'General Inputs'!W$19)</f>
        <v>0</v>
      </c>
      <c r="DM95" s="214">
        <f t="shared" ref="DM95:DW96" si="138">IF($C$1=DM$4,$L95*$C95,IF($E95+$C$1=DM$4,-$M95*$C95,0))</f>
        <v>0</v>
      </c>
      <c r="DN95" s="214">
        <f t="shared" si="138"/>
        <v>1380</v>
      </c>
      <c r="DO95" s="214">
        <f t="shared" si="138"/>
        <v>0</v>
      </c>
      <c r="DP95" s="214">
        <f t="shared" si="138"/>
        <v>0</v>
      </c>
      <c r="DQ95" s="214">
        <f t="shared" si="138"/>
        <v>0</v>
      </c>
      <c r="DR95" s="214">
        <f t="shared" si="138"/>
        <v>0</v>
      </c>
      <c r="DS95" s="214">
        <f t="shared" si="138"/>
        <v>0</v>
      </c>
      <c r="DT95" s="214">
        <f t="shared" si="138"/>
        <v>0</v>
      </c>
      <c r="DU95" s="214">
        <f t="shared" si="138"/>
        <v>0</v>
      </c>
      <c r="DV95" s="214">
        <f t="shared" si="138"/>
        <v>0</v>
      </c>
      <c r="DW95" s="214">
        <f t="shared" si="138"/>
        <v>0</v>
      </c>
      <c r="DZ95" s="650"/>
      <c r="FI95" s="195"/>
      <c r="FJ95" s="195"/>
      <c r="FK95" s="195"/>
      <c r="FL95" s="195"/>
      <c r="FM95" s="195"/>
      <c r="FN95" s="195"/>
      <c r="FO95" s="195"/>
    </row>
    <row r="96" spans="1:171">
      <c r="A96" s="342" t="s">
        <v>112</v>
      </c>
      <c r="B96" s="427" t="str">
        <f>'Portfolio Inputs'!A95</f>
        <v>TEFC Motor</v>
      </c>
      <c r="C96" s="217">
        <f>IF($C$1=2014,'Portfolio Inputs'!$C95,IF($C$1=2015,'Portfolio Inputs'!$D95,'Portfolio Inputs'!$E95))</f>
        <v>12</v>
      </c>
      <c r="D96" s="504">
        <f>VLOOKUP(B96,Sources!$B$4:$J$104,2,FALSE)</f>
        <v>15</v>
      </c>
      <c r="E96" s="504">
        <f>VLOOKUP(B96,Sources!$B$4:$J$104,3,FALSE)</f>
        <v>0</v>
      </c>
      <c r="G96" s="504">
        <f>IF($C$1=2014,'Portfolio Inputs'!$G95,IF($C$1=2015,'Portfolio Inputs'!$H95,'Portfolio Inputs'!$I95))*EnergyLineLoss</f>
        <v>3131.1144791208562</v>
      </c>
      <c r="H96" s="504"/>
      <c r="I96" s="595">
        <f>IF($C$1=2014,'Portfolio Inputs'!$K95,IF($C$1=2015,'Portfolio Inputs'!$L95,'Portfolio Inputs'!$M95))*PeakLineLoss</f>
        <v>0.7116169270729219</v>
      </c>
      <c r="J96" s="510"/>
      <c r="L96" s="606">
        <f>IF($C$1=2014,'Portfolio Inputs'!$O95,IF($C$1=2015,'Portfolio Inputs'!$P95,'Portfolio Inputs'!$Q95))</f>
        <v>115</v>
      </c>
      <c r="M96" s="518">
        <f>VLOOKUP($B96,Sources!$B$4:$K$104,10,FALSE)</f>
        <v>0</v>
      </c>
      <c r="N96" s="419">
        <f>IF($C$1=2014,'Portfolio Inputs'!$W95,IF($C$1=2015,'Portfolio Inputs'!$X95,'Portfolio Inputs'!$Y95))</f>
        <v>600</v>
      </c>
      <c r="O96" s="419">
        <f>IF($C$1=2014,'Portfolio Inputs'!$AA95,IF($C$1=2015,'Portfolio Inputs'!$AB95,'Portfolio Inputs'!$AC95))</f>
        <v>0</v>
      </c>
      <c r="Q96" s="436">
        <f t="shared" si="115"/>
        <v>0.95794447693110063</v>
      </c>
      <c r="R96" s="437">
        <f t="shared" si="116"/>
        <v>2.2032722969415315</v>
      </c>
      <c r="S96" s="437">
        <f t="shared" si="117"/>
        <v>1.1870304579677518</v>
      </c>
      <c r="T96" s="437">
        <f t="shared" si="118"/>
        <v>2.7504686961506852</v>
      </c>
      <c r="U96" s="439">
        <f t="shared" si="137"/>
        <v>2.7504686961506852</v>
      </c>
      <c r="V96" s="439">
        <f t="shared" si="119"/>
        <v>0.34828408637108133</v>
      </c>
      <c r="W96" s="439">
        <f t="shared" si="120"/>
        <v>0.34828408637108133</v>
      </c>
      <c r="Y96" s="215">
        <f t="shared" si="101"/>
        <v>1214.5933279721783</v>
      </c>
      <c r="Z96" s="215">
        <f t="shared" si="102"/>
        <v>290.46182821626121</v>
      </c>
      <c r="AA96" s="215">
        <f t="shared" si="103"/>
        <v>2936.0959212494904</v>
      </c>
      <c r="AB96" s="215">
        <f t="shared" si="104"/>
        <v>2936.0959212494904</v>
      </c>
      <c r="AC96" s="216">
        <f t="shared" si="128"/>
        <v>0</v>
      </c>
      <c r="AD96" s="216">
        <f t="shared" si="129"/>
        <v>551.2679162072767</v>
      </c>
      <c r="AE96" s="215">
        <f t="shared" si="105"/>
        <v>1267.9162072767365</v>
      </c>
      <c r="AG96" s="214">
        <f>IF(AND(($E96+$C$1)&gt;AG$4,AG$4&gt;=$C$1),'General Inputs'!D$9*$H96,IF(AND(($D96+$C$1)&gt;AG$4,AG$4&gt;=$C$1),'General Inputs'!D$9*$G96,0))+IF(AND(($E96+$C$1)&gt;AG$4,AG$4&gt;=$C$1),'General Inputs'!D$10*$J96,IF(AND(($D96+$C$1)&gt;AG$4,AG$4&gt;=$C$1),'General Inputs'!D$10*$I96,0))</f>
        <v>0</v>
      </c>
      <c r="AH96" s="214">
        <f>IF(AND(($E96+$C$1)&gt;AH$4,AH$4&gt;=$C$1),'General Inputs'!E$9*$H96,IF(AND(($D96+$C$1)&gt;AH$4,AH$4&gt;=$C$1),'General Inputs'!E$9*$G96,0))+IF(AND(($E96+$C$1)&gt;AH$4,AH$4&gt;=$C$1),'General Inputs'!E$10*$J96,IF(AND(($D96+$C$1)&gt;AH$4,AH$4&gt;=$C$1),'General Inputs'!E$10*$I96,0))</f>
        <v>137.34224281526011</v>
      </c>
      <c r="AI96" s="214">
        <f>IF(AND(($E96+$C$1)&gt;AI$4,AI$4&gt;=$C$1),'General Inputs'!F$9*$H96,IF(AND(($D96+$C$1)&gt;AI$4,AI$4&gt;=$C$1),'General Inputs'!F$9*$G96,0))+IF(AND(($E96+$C$1)&gt;AI$4,AI$4&gt;=$C$1),'General Inputs'!F$10*$J96,IF(AND(($D96+$C$1)&gt;AI$4,AI$4&gt;=$C$1),'General Inputs'!F$10*$I96,0))</f>
        <v>139.40237645748897</v>
      </c>
      <c r="AJ96" s="214">
        <f>IF(AND(($E96+$C$1)&gt;AJ$4,AJ$4&gt;=$C$1),'General Inputs'!G$9*$H96,IF(AND(($D96+$C$1)&gt;AJ$4,AJ$4&gt;=$C$1),'General Inputs'!G$9*$G96,0))+IF(AND(($E96+$C$1)&gt;AJ$4,AJ$4&gt;=$C$1),'General Inputs'!G$10*$J96,IF(AND(($D96+$C$1)&gt;AJ$4,AJ$4&gt;=$C$1),'General Inputs'!G$10*$I96,0))</f>
        <v>141.49341210435131</v>
      </c>
      <c r="AK96" s="214">
        <f>IF(AND(($E96+$C$1)&gt;AK$4,AK$4&gt;=$C$1),'General Inputs'!H$9*$H96,IF(AND(($D96+$C$1)&gt;AK$4,AK$4&gt;=$C$1),'General Inputs'!H$9*$G96,0))+IF(AND(($E96+$C$1)&gt;AK$4,AK$4&gt;=$C$1),'General Inputs'!H$10*$J96,IF(AND(($D96+$C$1)&gt;AK$4,AK$4&gt;=$C$1),'General Inputs'!H$10*$I96,0))</f>
        <v>143.61581328591654</v>
      </c>
      <c r="AL96" s="214">
        <f>IF(AND(($E96+$C$1)&gt;AL$4,AL$4&gt;=$C$1),'General Inputs'!I$9*$H96,IF(AND(($D96+$C$1)&gt;AL$4,AL$4&gt;=$C$1),'General Inputs'!I$9*$G96,0))+IF(AND(($E96+$C$1)&gt;AL$4,AL$4&gt;=$C$1),'General Inputs'!I$10*$J96,IF(AND(($D96+$C$1)&gt;AL$4,AL$4&gt;=$C$1),'General Inputs'!I$10*$I96,0))</f>
        <v>145.7700504852053</v>
      </c>
      <c r="AM96" s="214">
        <f>IF(AND(($E96+$C$1)&gt;AM$4,AM$4&gt;=$C$1),'General Inputs'!J$9*$H96,IF(AND(($D96+$C$1)&gt;AM$4,AM$4&gt;=$C$1),'General Inputs'!J$9*$G96,0))+IF(AND(($E96+$C$1)&gt;AM$4,AM$4&gt;=$C$1),'General Inputs'!J$10*$J96,IF(AND(($D96+$C$1)&gt;AM$4,AM$4&gt;=$C$1),'General Inputs'!J$10*$I96,0))</f>
        <v>147.95660124248334</v>
      </c>
      <c r="AN96" s="214">
        <f>IF(AND(($E96+$C$1)&gt;AN$4,AN$4&gt;=$C$1),'General Inputs'!K$9*$H96,IF(AND(($D96+$C$1)&gt;AN$4,AN$4&gt;=$C$1),'General Inputs'!K$9*$G96,0))+IF(AND(($E96+$C$1)&gt;AN$4,AN$4&gt;=$C$1),'General Inputs'!K$10*$J96,IF(AND(($D96+$C$1)&gt;AN$4,AN$4&gt;=$C$1),'General Inputs'!K$10*$I96,0))</f>
        <v>150.17595026112059</v>
      </c>
      <c r="AO96" s="214">
        <f>IF(AND(($E96+$C$1)&gt;AO$4,AO$4&gt;=$C$1),'General Inputs'!L$9*$H96,IF(AND(($D96+$C$1)&gt;AO$4,AO$4&gt;=$C$1),'General Inputs'!L$9*$G96,0))+IF(AND(($E96+$C$1)&gt;AO$4,AO$4&gt;=$C$1),'General Inputs'!L$10*$J96,IF(AND(($D96+$C$1)&gt;AO$4,AO$4&gt;=$C$1),'General Inputs'!L$10*$I96,0))</f>
        <v>152.42858951503737</v>
      </c>
      <c r="AP96" s="214">
        <f>IF(AND(($E96+$C$1)&gt;AP$4,AP$4&gt;=$C$1),'General Inputs'!M$9*$H96,IF(AND(($D96+$C$1)&gt;AP$4,AP$4&gt;=$C$1),'General Inputs'!M$9*$G96,0))+IF(AND(($E96+$C$1)&gt;AP$4,AP$4&gt;=$C$1),'General Inputs'!M$10*$J96,IF(AND(($D96+$C$1)&gt;AP$4,AP$4&gt;=$C$1),'General Inputs'!M$10*$I96,0))</f>
        <v>154.71501835776289</v>
      </c>
      <c r="AQ96" s="214">
        <f>IF(AND(($E96+$C$1)&gt;AQ$4,AQ$4&gt;=$C$1),'General Inputs'!N$9*$H96,IF(AND(($D96+$C$1)&gt;AQ$4,AQ$4&gt;=$C$1),'General Inputs'!N$9*$G96,0))+IF(AND(($E96+$C$1)&gt;AQ$4,AQ$4&gt;=$C$1),'General Inputs'!N$10*$J96,IF(AND(($D96+$C$1)&gt;AQ$4,AQ$4&gt;=$C$1),'General Inputs'!N$10*$I96,0))</f>
        <v>157.03574363312936</v>
      </c>
      <c r="AR96" s="214">
        <f>IF(AND(($E96+$C$1)&gt;AR$4,AR$4&gt;=$C$1),'General Inputs'!O$9*$H96,IF(AND(($D96+$C$1)&gt;AR$4,AR$4&gt;=$C$1),'General Inputs'!O$9*$G96,0))+IF(AND(($E96+$C$1)&gt;AR$4,AR$4&gt;=$C$1),'General Inputs'!O$10*$J96,IF(AND(($D96+$C$1)&gt;AR$4,AR$4&gt;=$C$1),'General Inputs'!O$10*$I96,0))</f>
        <v>159.39127978762627</v>
      </c>
      <c r="AS96" s="214">
        <f>IF(AND(($E96+$C$1)&gt;AS$4,AS$4&gt;=$C$1),'General Inputs'!P$9*$H96,IF(AND(($D96+$C$1)&gt;AS$4,AS$4&gt;=$C$1),'General Inputs'!P$9*$G96,0))+IF(AND(($E96+$C$1)&gt;AS$4,AS$4&gt;=$C$1),'General Inputs'!P$10*$J96,IF(AND(($D96+$C$1)&gt;AS$4,AS$4&gt;=$C$1),'General Inputs'!P$10*$I96,0))</f>
        <v>161.78214898444065</v>
      </c>
      <c r="AT96" s="214">
        <f>IF(AND(($E96+$C$1)&gt;AT$4,AT$4&gt;=$C$1),'General Inputs'!Q$9*$H96,IF(AND(($D96+$C$1)&gt;AT$4,AT$4&gt;=$C$1),'General Inputs'!Q$9*$G96,0))+IF(AND(($E96+$C$1)&gt;AT$4,AT$4&gt;=$C$1),'General Inputs'!Q$10*$J96,IF(AND(($D96+$C$1)&gt;AT$4,AT$4&gt;=$C$1),'General Inputs'!Q$10*$I96,0))</f>
        <v>164.20888121920723</v>
      </c>
      <c r="AU96" s="214">
        <f>IF(AND(($E96+$C$1)&gt;AU$4,AU$4&gt;=$C$1),'General Inputs'!R$9*$H96,IF(AND(($D96+$C$1)&gt;AU$4,AU$4&gt;=$C$1),'General Inputs'!R$9*$G96,0))+IF(AND(($E96+$C$1)&gt;AU$4,AU$4&gt;=$C$1),'General Inputs'!R$10*$J96,IF(AND(($D96+$C$1)&gt;AU$4,AU$4&gt;=$C$1),'General Inputs'!R$10*$I96,0))</f>
        <v>166.67201443749533</v>
      </c>
      <c r="AV96" s="214">
        <f>IF(AND(($E96+$C$1)&gt;AV$4,AV$4&gt;=$C$1),'General Inputs'!S$9*$H96,IF(AND(($D96+$C$1)&gt;AV$4,AV$4&gt;=$C$1),'General Inputs'!S$9*$G96,0))+IF(AND(($E96+$C$1)&gt;AV$4,AV$4&gt;=$C$1),'General Inputs'!S$10*$J96,IF(AND(($D96+$C$1)&gt;AV$4,AV$4&gt;=$C$1),'General Inputs'!S$10*$I96,0))</f>
        <v>169.17209465405776</v>
      </c>
      <c r="AW96" s="214">
        <f>IF(AND(($E96+$C$1)&gt;AW$4,AW$4&gt;=$C$1),'General Inputs'!T$9*$H96,IF(AND(($D96+$C$1)&gt;AW$4,AW$4&gt;=$C$1),'General Inputs'!T$9*$G96,0))+IF(AND(($E96+$C$1)&gt;AW$4,AW$4&gt;=$C$1),'General Inputs'!T$10*$J96,IF(AND(($D96+$C$1)&gt;AW$4,AW$4&gt;=$C$1),'General Inputs'!T$10*$I96,0))</f>
        <v>0</v>
      </c>
      <c r="AX96" s="214">
        <f>IF(AND(($E96+$C$1)&gt;AX$4,AX$4&gt;=$C$1),'General Inputs'!U$9*$H96,IF(AND(($D96+$C$1)&gt;AX$4,AX$4&gt;=$C$1),'General Inputs'!U$9*$G96,0))+IF(AND(($E96+$C$1)&gt;AX$4,AX$4&gt;=$C$1),'General Inputs'!U$10*$J96,IF(AND(($D96+$C$1)&gt;AX$4,AX$4&gt;=$C$1),'General Inputs'!U$10*$I96,0))</f>
        <v>0</v>
      </c>
      <c r="AY96" s="214">
        <f>IF(AND(($E96+$C$1)&gt;AY$4,AY$4&gt;=$C$1),'General Inputs'!V$9*$H96,IF(AND(($D96+$C$1)&gt;AY$4,AY$4&gt;=$C$1),'General Inputs'!V$9*$G96,0))+IF(AND(($E96+$C$1)&gt;AY$4,AY$4&gt;=$C$1),'General Inputs'!V$10*$J96,IF(AND(($D96+$C$1)&gt;AY$4,AY$4&gt;=$C$1),'General Inputs'!V$10*$I96,0))</f>
        <v>0</v>
      </c>
      <c r="AZ96" s="214">
        <f>IF(AND(($E96+$C$1)&gt;AZ$4,AZ$4&gt;=$C$1),'General Inputs'!W$9*$H96,IF(AND(($D96+$C$1)&gt;AZ$4,AZ$4&gt;=$C$1),'General Inputs'!W$9*$G96,0))+IF(AND(($E96+$C$1)&gt;AZ$4,AZ$4&gt;=$C$1),'General Inputs'!W$10*$J96,IF(AND(($D96+$C$1)&gt;AZ$4,AZ$4&gt;=$C$1),'General Inputs'!W$10*$I96,0))</f>
        <v>0</v>
      </c>
      <c r="BB96" s="214">
        <f>IF(AND(($E96+$C$1)&gt;BB$4,BB$4&gt;=$C$1),'General Inputs'!D$11*$H96,IF(AND(($D96+$C$1)&gt;BB$4,BB$4&gt;=$C$1),'General Inputs'!D$11*$G96,0))</f>
        <v>0</v>
      </c>
      <c r="BC96" s="214">
        <f>IF(AND(($E96+$C$1)&gt;BC$4,BC$4&gt;=$C$1),'General Inputs'!E$11*$H96,IF(AND(($D96+$C$1)&gt;BC$4,BC$4&gt;=$C$1),'General Inputs'!E$11*$G96,0))</f>
        <v>35.694705061977764</v>
      </c>
      <c r="BD96" s="214">
        <f>IF(AND(($E96+$C$1)&gt;BD$4,BD$4&gt;=$C$1),'General Inputs'!F$11*$H96,IF(AND(($D96+$C$1)&gt;BD$4,BD$4&gt;=$C$1),'General Inputs'!F$11*$G96,0))</f>
        <v>35.694705061977764</v>
      </c>
      <c r="BE96" s="214">
        <f>IF(AND(($E96+$C$1)&gt;BE$4,BE$4&gt;=$C$1),'General Inputs'!G$11*$H96,IF(AND(($D96+$C$1)&gt;BE$4,BE$4&gt;=$C$1),'General Inputs'!G$11*$G96,0))</f>
        <v>35.694705061977764</v>
      </c>
      <c r="BF96" s="214">
        <f>IF(AND(($E96+$C$1)&gt;BF$4,BF$4&gt;=$C$1),'General Inputs'!H$11*$H96,IF(AND(($D96+$C$1)&gt;BF$4,BF$4&gt;=$C$1),'General Inputs'!H$11*$G96,0))</f>
        <v>35.694705061977764</v>
      </c>
      <c r="BG96" s="214">
        <f>IF(AND(($E96+$C$1)&gt;BG$4,BG$4&gt;=$C$1),'General Inputs'!I$11*$H96,IF(AND(($D96+$C$1)&gt;BG$4,BG$4&gt;=$C$1),'General Inputs'!I$11*$G96,0))</f>
        <v>35.694705061977764</v>
      </c>
      <c r="BH96" s="214">
        <f>IF(AND(($E96+$C$1)&gt;BH$4,BH$4&gt;=$C$1),'General Inputs'!J$11*$H96,IF(AND(($D96+$C$1)&gt;BH$4,BH$4&gt;=$C$1),'General Inputs'!J$11*$G96,0))</f>
        <v>35.694705061977764</v>
      </c>
      <c r="BI96" s="214">
        <f>IF(AND(($E96+$C$1)&gt;BI$4,BI$4&gt;=$C$1),'General Inputs'!K$11*$H96,IF(AND(($D96+$C$1)&gt;BI$4,BI$4&gt;=$C$1),'General Inputs'!K$11*$G96,0))</f>
        <v>35.694705061977764</v>
      </c>
      <c r="BJ96" s="214">
        <f>IF(AND(($E96+$C$1)&gt;BJ$4,BJ$4&gt;=$C$1),'General Inputs'!L$11*$H96,IF(AND(($D96+$C$1)&gt;BJ$4,BJ$4&gt;=$C$1),'General Inputs'!L$11*$G96,0))</f>
        <v>35.694705061977764</v>
      </c>
      <c r="BK96" s="214">
        <f>IF(AND(($E96+$C$1)&gt;BK$4,BK$4&gt;=$C$1),'General Inputs'!M$11*$H96,IF(AND(($D96+$C$1)&gt;BK$4,BK$4&gt;=$C$1),'General Inputs'!M$11*$G96,0))</f>
        <v>35.694705061977764</v>
      </c>
      <c r="BL96" s="214">
        <f>IF(AND(($E96+$C$1)&gt;BL$4,BL$4&gt;=$C$1),'General Inputs'!N$11*$H96,IF(AND(($D96+$C$1)&gt;BL$4,BL$4&gt;=$C$1),'General Inputs'!N$11*$G96,0))</f>
        <v>35.694705061977764</v>
      </c>
      <c r="BM96" s="214">
        <f>IF(AND(($E96+$C$1)&gt;BM$4,BM$4&gt;=$C$1),'General Inputs'!O$11*$H96,IF(AND(($D96+$C$1)&gt;BM$4,BM$4&gt;=$C$1),'General Inputs'!O$11*$G96,0))</f>
        <v>35.694705061977764</v>
      </c>
      <c r="BN96" s="214">
        <f>IF(AND(($E96+$C$1)&gt;BN$4,BN$4&gt;=$C$1),'General Inputs'!P$11*$H96,IF(AND(($D96+$C$1)&gt;BN$4,BN$4&gt;=$C$1),'General Inputs'!P$11*$G96,0))</f>
        <v>35.694705061977764</v>
      </c>
      <c r="BO96" s="214">
        <f>IF(AND(($E96+$C$1)&gt;BO$4,BO$4&gt;=$C$1),'General Inputs'!Q$11*$H96,IF(AND(($D96+$C$1)&gt;BO$4,BO$4&gt;=$C$1),'General Inputs'!Q$11*$G96,0))</f>
        <v>35.694705061977764</v>
      </c>
      <c r="BP96" s="214">
        <f>IF(AND(($E96+$C$1)&gt;BP$4,BP$4&gt;=$C$1),'General Inputs'!R$11*$H96,IF(AND(($D96+$C$1)&gt;BP$4,BP$4&gt;=$C$1),'General Inputs'!R$11*$G96,0))</f>
        <v>35.694705061977764</v>
      </c>
      <c r="BQ96" s="214">
        <f>IF(AND(($E96+$C$1)&gt;BQ$4,BQ$4&gt;=$C$1),'General Inputs'!S$11*$H96,IF(AND(($D96+$C$1)&gt;BQ$4,BQ$4&gt;=$C$1),'General Inputs'!S$11*$G96,0))</f>
        <v>35.694705061977764</v>
      </c>
      <c r="BR96" s="214">
        <f>IF(AND(($E96+$C$1)&gt;BR$4,BR$4&gt;=$C$1),'General Inputs'!T$11*$H96,IF(AND(($D96+$C$1)&gt;BR$4,BR$4&gt;=$C$1),'General Inputs'!T$11*$G96,0))</f>
        <v>0</v>
      </c>
      <c r="BS96" s="214">
        <f>IF(AND(($E96+$C$1)&gt;BS$4,BS$4&gt;=$C$1),'General Inputs'!U$11*$H96,IF(AND(($D96+$C$1)&gt;BS$4,BS$4&gt;=$C$1),'General Inputs'!U$11*$G96,0))</f>
        <v>0</v>
      </c>
      <c r="BT96" s="214">
        <f>IF(AND(($E96+$C$1)&gt;BT$4,BT$4&gt;=$C$1),'General Inputs'!V$11*$H96,IF(AND(($D96+$C$1)&gt;BT$4,BT$4&gt;=$C$1),'General Inputs'!V$11*$G96,0))</f>
        <v>0</v>
      </c>
      <c r="BU96" s="214">
        <f>IF(AND(($E96+$C$1)&gt;BU$4,BU$4&gt;=$C$1),'General Inputs'!W$11*$H96,IF(AND(($D96+$C$1)&gt;BU$4,BU$4&gt;=$C$1),'General Inputs'!W$11*$G96,0))</f>
        <v>0</v>
      </c>
      <c r="BW96" s="214">
        <f>IF(AND(($E96+$C$1)&gt;BW$4,BW$4&gt;=$C$1),$H96,IF(AND(($D96+$C$1)&gt;BW$4,BW$4&gt;=$C$1),$G96,0))*IF($A96="Residential",'General Inputs'!D$14,'General Inputs'!D$19)</f>
        <v>0</v>
      </c>
      <c r="BX96" s="214">
        <f>IF(AND(($E96+$C$1)&gt;BX$4,BX$4&gt;=$C$1),$H96,IF(AND(($D96+$C$1)&gt;BX$4,BX$4&gt;=$C$1),$G96,0))*IF($A96="Residential",'General Inputs'!E$14,'General Inputs'!E$19)</f>
        <v>332.00412817876042</v>
      </c>
      <c r="BY96" s="214">
        <f>IF(AND(($E96+$C$1)&gt;BY$4,BY$4&gt;=$C$1),$H96,IF(AND(($D96+$C$1)&gt;BY$4,BY$4&gt;=$C$1),$G96,0))*IF($A96="Residential",'General Inputs'!F$14,'General Inputs'!F$19)</f>
        <v>336.98419010144187</v>
      </c>
      <c r="BZ96" s="214">
        <f>IF(AND(($E96+$C$1)&gt;BZ$4,BZ$4&gt;=$C$1),$H96,IF(AND(($D96+$C$1)&gt;BZ$4,BZ$4&gt;=$C$1),$G96,0))*IF($A96="Residential",'General Inputs'!G$14,'General Inputs'!G$19)</f>
        <v>342.03895295296343</v>
      </c>
      <c r="CA96" s="214">
        <f>IF(AND(($E96+$C$1)&gt;CA$4,CA$4&gt;=$C$1),$H96,IF(AND(($D96+$C$1)&gt;CA$4,CA$4&gt;=$C$1),$G96,0))*IF($A96="Residential",'General Inputs'!H$14,'General Inputs'!H$19)</f>
        <v>347.16953724725778</v>
      </c>
      <c r="CB96" s="214">
        <f>IF(AND(($E96+$C$1)&gt;CB$4,CB$4&gt;=$C$1),$H96,IF(AND(($D96+$C$1)&gt;CB$4,CB$4&gt;=$C$1),$G96,0))*IF($A96="Residential",'General Inputs'!I$14,'General Inputs'!I$19)</f>
        <v>352.37708030596662</v>
      </c>
      <c r="CC96" s="214">
        <f>IF(AND(($E96+$C$1)&gt;CC$4,CC$4&gt;=$C$1),$H96,IF(AND(($D96+$C$1)&gt;CC$4,CC$4&gt;=$C$1),$G96,0))*IF($A96="Residential",'General Inputs'!J$14,'General Inputs'!J$19)</f>
        <v>357.6627365105561</v>
      </c>
      <c r="CD96" s="214">
        <f>IF(AND(($E96+$C$1)&gt;CD$4,CD$4&gt;=$C$1),$H96,IF(AND(($D96+$C$1)&gt;CD$4,CD$4&gt;=$C$1),$G96,0))*IF($A96="Residential",'General Inputs'!K$14,'General Inputs'!K$19)</f>
        <v>363.02767755821441</v>
      </c>
      <c r="CE96" s="214">
        <f>IF(AND(($E96+$C$1)&gt;CE$4,CE$4&gt;=$C$1),$H96,IF(AND(($D96+$C$1)&gt;CE$4,CE$4&gt;=$C$1),$G96,0))*IF($A96="Residential",'General Inputs'!L$14,'General Inputs'!L$19)</f>
        <v>368.47309272158759</v>
      </c>
      <c r="CF96" s="214">
        <f>IF(AND(($E96+$C$1)&gt;CF$4,CF$4&gt;=$C$1),$H96,IF(AND(($D96+$C$1)&gt;CF$4,CF$4&gt;=$C$1),$G96,0))*IF($A96="Residential",'General Inputs'!M$14,'General Inputs'!M$19)</f>
        <v>374.00018911241136</v>
      </c>
      <c r="CG96" s="214">
        <f>IF(AND(($E96+$C$1)&gt;CG$4,CG$4&gt;=$C$1),$H96,IF(AND(($D96+$C$1)&gt;CG$4,CG$4&gt;=$C$1),$G96,0))*IF($A96="Residential",'General Inputs'!N$14,'General Inputs'!N$19)</f>
        <v>379.6101919490975</v>
      </c>
      <c r="CH96" s="214">
        <f>IF(AND(($E96+$C$1)&gt;CH$4,CH$4&gt;=$C$1),$H96,IF(AND(($D96+$C$1)&gt;CH$4,CH$4&gt;=$C$1),$G96,0))*IF($A96="Residential",'General Inputs'!O$14,'General Inputs'!O$19)</f>
        <v>385.30434482833391</v>
      </c>
      <c r="CI96" s="214">
        <f>IF(AND(($E96+$C$1)&gt;CI$4,CI$4&gt;=$C$1),$H96,IF(AND(($D96+$C$1)&gt;CI$4,CI$4&gt;=$C$1),$G96,0))*IF($A96="Residential",'General Inputs'!P$14,'General Inputs'!P$19)</f>
        <v>391.08391000075892</v>
      </c>
      <c r="CJ96" s="214">
        <f>IF(AND(($E96+$C$1)&gt;CJ$4,CJ$4&gt;=$C$1),$H96,IF(AND(($D96+$C$1)&gt;CJ$4,CJ$4&gt;=$C$1),$G96,0))*IF($A96="Residential",'General Inputs'!Q$14,'General Inputs'!Q$19)</f>
        <v>396.95016865077025</v>
      </c>
      <c r="CK96" s="214">
        <f>IF(AND(($E96+$C$1)&gt;CK$4,CK$4&gt;=$C$1),$H96,IF(AND(($D96+$C$1)&gt;CK$4,CK$4&gt;=$C$1),$G96,0))*IF($A96="Residential",'General Inputs'!R$14,'General Inputs'!R$19)</f>
        <v>402.90442118053176</v>
      </c>
      <c r="CL96" s="214">
        <f>IF(AND(($E96+$C$1)&gt;CL$4,CL$4&gt;=$C$1),$H96,IF(AND(($D96+$C$1)&gt;CL$4,CL$4&gt;=$C$1),$G96,0))*IF($A96="Residential",'General Inputs'!S$14,'General Inputs'!S$19)</f>
        <v>408.94798749823974</v>
      </c>
      <c r="CM96" s="214">
        <f>IF(AND(($E96+$C$1)&gt;CM$4,CM$4&gt;=$C$1),$H96,IF(AND(($D96+$C$1)&gt;CM$4,CM$4&gt;=$C$1),$G96,0))*IF($A96="Residential",'General Inputs'!T$14,'General Inputs'!T$19)</f>
        <v>0</v>
      </c>
      <c r="CN96" s="214">
        <f>IF(AND(($E96+$C$1)&gt;CN$4,CN$4&gt;=$C$1),$H96,IF(AND(($D96+$C$1)&gt;CN$4,CN$4&gt;=$C$1),$G96,0))*IF($A96="Residential",'General Inputs'!U$14,'General Inputs'!U$19)</f>
        <v>0</v>
      </c>
      <c r="CO96" s="214">
        <f>IF(AND(($E96+$C$1)&gt;CO$4,CO$4&gt;=$C$1),$H96,IF(AND(($D96+$C$1)&gt;CO$4,CO$4&gt;=$C$1),$G96,0))*IF($A96="Residential",'General Inputs'!V$14,'General Inputs'!V$19)</f>
        <v>0</v>
      </c>
      <c r="CP96" s="214">
        <f>IF(AND(($E96+$C$1)&gt;CP$4,CP$4&gt;=$C$1),$H96,IF(AND(($D96+$C$1)&gt;CP$4,CP$4&gt;=$C$1),$G96,0))*IF($A96="Residential",'General Inputs'!W$14,'General Inputs'!W$19)</f>
        <v>0</v>
      </c>
      <c r="CR96" s="214">
        <f>IF(AND(($E96+$C$1)&gt;CR$4,CR$4&gt;=$C$1),$H96,IF(AND(($D96+$C$1)&gt;CR$4,CR$4&gt;=$C$1),$G96,0))*IF($A96="Residential",'General Inputs'!D$15,'General Inputs'!D$19)</f>
        <v>0</v>
      </c>
      <c r="CS96" s="214">
        <f>IF(AND(($E96+$C$1)&gt;CS$4,CS$4&gt;=$C$1),$H96,IF(AND(($D96+$C$1)&gt;CS$4,CS$4&gt;=$C$1),$G96,0))*IF($A96="Residential",'General Inputs'!E$15,'General Inputs'!E$19)</f>
        <v>332.00412817876042</v>
      </c>
      <c r="CT96" s="214">
        <f>IF(AND(($E96+$C$1)&gt;CT$4,CT$4&gt;=$C$1),$H96,IF(AND(($D96+$C$1)&gt;CT$4,CT$4&gt;=$C$1),$G96,0))*IF($A96="Residential",'General Inputs'!F$15,'General Inputs'!F$19)</f>
        <v>336.98419010144187</v>
      </c>
      <c r="CU96" s="214">
        <f>IF(AND(($E96+$C$1)&gt;CU$4,CU$4&gt;=$C$1),$H96,IF(AND(($D96+$C$1)&gt;CU$4,CU$4&gt;=$C$1),$G96,0))*IF($A96="Residential",'General Inputs'!G$15,'General Inputs'!G$19)</f>
        <v>342.03895295296343</v>
      </c>
      <c r="CV96" s="214">
        <f>IF(AND(($E96+$C$1)&gt;CV$4,CV$4&gt;=$C$1),$H96,IF(AND(($D96+$C$1)&gt;CV$4,CV$4&gt;=$C$1),$G96,0))*IF($A96="Residential",'General Inputs'!H$15,'General Inputs'!H$19)</f>
        <v>347.16953724725778</v>
      </c>
      <c r="CW96" s="214">
        <f>IF(AND(($E96+$C$1)&gt;CW$4,CW$4&gt;=$C$1),$H96,IF(AND(($D96+$C$1)&gt;CW$4,CW$4&gt;=$C$1),$G96,0))*IF($A96="Residential",'General Inputs'!I$15,'General Inputs'!I$19)</f>
        <v>352.37708030596662</v>
      </c>
      <c r="CX96" s="214">
        <f>IF(AND(($E96+$C$1)&gt;CX$4,CX$4&gt;=$C$1),$H96,IF(AND(($D96+$C$1)&gt;CX$4,CX$4&gt;=$C$1),$G96,0))*IF($A96="Residential",'General Inputs'!J$15,'General Inputs'!J$19)</f>
        <v>357.6627365105561</v>
      </c>
      <c r="CY96" s="214">
        <f>IF(AND(($E96+$C$1)&gt;CY$4,CY$4&gt;=$C$1),$H96,IF(AND(($D96+$C$1)&gt;CY$4,CY$4&gt;=$C$1),$G96,0))*IF($A96="Residential",'General Inputs'!K$15,'General Inputs'!K$19)</f>
        <v>363.02767755821441</v>
      </c>
      <c r="CZ96" s="214">
        <f>IF(AND(($E96+$C$1)&gt;CZ$4,CZ$4&gt;=$C$1),$H96,IF(AND(($D96+$C$1)&gt;CZ$4,CZ$4&gt;=$C$1),$G96,0))*IF($A96="Residential",'General Inputs'!L$15,'General Inputs'!L$19)</f>
        <v>368.47309272158759</v>
      </c>
      <c r="DA96" s="214">
        <f>IF(AND(($E96+$C$1)&gt;DA$4,DA$4&gt;=$C$1),$H96,IF(AND(($D96+$C$1)&gt;DA$4,DA$4&gt;=$C$1),$G96,0))*IF($A96="Residential",'General Inputs'!M$15,'General Inputs'!M$19)</f>
        <v>374.00018911241136</v>
      </c>
      <c r="DB96" s="214">
        <f>IF(AND(($E96+$C$1)&gt;DB$4,DB$4&gt;=$C$1),$H96,IF(AND(($D96+$C$1)&gt;DB$4,DB$4&gt;=$C$1),$G96,0))*IF($A96="Residential",'General Inputs'!N$15,'General Inputs'!N$19)</f>
        <v>379.6101919490975</v>
      </c>
      <c r="DC96" s="214">
        <f>IF(AND(($E96+$C$1)&gt;DC$4,DC$4&gt;=$C$1),$H96,IF(AND(($D96+$C$1)&gt;DC$4,DC$4&gt;=$C$1),$G96,0))*IF($A96="Residential",'General Inputs'!O$15,'General Inputs'!O$19)</f>
        <v>385.30434482833391</v>
      </c>
      <c r="DD96" s="214">
        <f>IF(AND(($E96+$C$1)&gt;DD$4,DD$4&gt;=$C$1),$H96,IF(AND(($D96+$C$1)&gt;DD$4,DD$4&gt;=$C$1),$G96,0))*IF($A96="Residential",'General Inputs'!P$15,'General Inputs'!P$19)</f>
        <v>391.08391000075892</v>
      </c>
      <c r="DE96" s="214">
        <f>IF(AND(($E96+$C$1)&gt;DE$4,DE$4&gt;=$C$1),$H96,IF(AND(($D96+$C$1)&gt;DE$4,DE$4&gt;=$C$1),$G96,0))*IF($A96="Residential",'General Inputs'!Q$15,'General Inputs'!Q$19)</f>
        <v>396.95016865077025</v>
      </c>
      <c r="DF96" s="214">
        <f>IF(AND(($E96+$C$1)&gt;DF$4,DF$4&gt;=$C$1),$H96,IF(AND(($D96+$C$1)&gt;DF$4,DF$4&gt;=$C$1),$G96,0))*IF($A96="Residential",'General Inputs'!R$15,'General Inputs'!R$19)</f>
        <v>402.90442118053176</v>
      </c>
      <c r="DG96" s="214">
        <f>IF(AND(($E96+$C$1)&gt;DG$4,DG$4&gt;=$C$1),$H96,IF(AND(($D96+$C$1)&gt;DG$4,DG$4&gt;=$C$1),$G96,0))*IF($A96="Residential",'General Inputs'!S$15,'General Inputs'!S$19)</f>
        <v>408.94798749823974</v>
      </c>
      <c r="DH96" s="214">
        <f>IF(AND(($E96+$C$1)&gt;DH$4,DH$4&gt;=$C$1),$H96,IF(AND(($D96+$C$1)&gt;DH$4,DH$4&gt;=$C$1),$G96,0))*IF($A96="Residential",'General Inputs'!T$15,'General Inputs'!T$19)</f>
        <v>0</v>
      </c>
      <c r="DI96" s="214">
        <f>IF(AND(($E96+$C$1)&gt;DI$4,DI$4&gt;=$C$1),$H96,IF(AND(($D96+$C$1)&gt;DI$4,DI$4&gt;=$C$1),$G96,0))*IF($A96="Residential",'General Inputs'!U$15,'General Inputs'!U$19)</f>
        <v>0</v>
      </c>
      <c r="DJ96" s="214">
        <f>IF(AND(($E96+$C$1)&gt;DJ$4,DJ$4&gt;=$C$1),$H96,IF(AND(($D96+$C$1)&gt;DJ$4,DJ$4&gt;=$C$1),$G96,0))*IF($A96="Residential",'General Inputs'!V$15,'General Inputs'!V$19)</f>
        <v>0</v>
      </c>
      <c r="DK96" s="214">
        <f>IF(AND(($E96+$C$1)&gt;DK$4,DK$4&gt;=$C$1),$H96,IF(AND(($D96+$C$1)&gt;DK$4,DK$4&gt;=$C$1),$G96,0))*IF($A96="Residential",'General Inputs'!W$15,'General Inputs'!W$19)</f>
        <v>0</v>
      </c>
      <c r="DM96" s="214">
        <f t="shared" si="138"/>
        <v>0</v>
      </c>
      <c r="DN96" s="214">
        <f t="shared" si="138"/>
        <v>1380</v>
      </c>
      <c r="DO96" s="214">
        <f t="shared" si="138"/>
        <v>0</v>
      </c>
      <c r="DP96" s="214">
        <f t="shared" si="138"/>
        <v>0</v>
      </c>
      <c r="DQ96" s="214">
        <f t="shared" si="138"/>
        <v>0</v>
      </c>
      <c r="DR96" s="214">
        <f t="shared" si="138"/>
        <v>0</v>
      </c>
      <c r="DS96" s="214">
        <f t="shared" si="138"/>
        <v>0</v>
      </c>
      <c r="DT96" s="214">
        <f t="shared" si="138"/>
        <v>0</v>
      </c>
      <c r="DU96" s="214">
        <f t="shared" si="138"/>
        <v>0</v>
      </c>
      <c r="DV96" s="214">
        <f t="shared" si="138"/>
        <v>0</v>
      </c>
      <c r="DW96" s="214">
        <f t="shared" si="138"/>
        <v>0</v>
      </c>
      <c r="DZ96" s="650"/>
      <c r="FI96" s="195"/>
      <c r="FJ96" s="195"/>
      <c r="FK96" s="195"/>
      <c r="FL96" s="195"/>
      <c r="FM96" s="195"/>
      <c r="FN96" s="195"/>
      <c r="FO96" s="195"/>
    </row>
    <row r="97" spans="1:171">
      <c r="C97" s="196"/>
      <c r="D97" s="196"/>
      <c r="E97" s="213"/>
      <c r="G97" s="516"/>
      <c r="H97" s="516"/>
      <c r="L97" s="349"/>
      <c r="M97" s="349"/>
      <c r="N97" s="211"/>
      <c r="O97" s="211"/>
      <c r="Q97" s="209"/>
      <c r="R97" s="195"/>
      <c r="S97" s="195"/>
      <c r="T97" s="209"/>
      <c r="U97" s="209"/>
      <c r="V97" s="195"/>
      <c r="W97" s="195"/>
      <c r="Y97" s="209"/>
      <c r="Z97" s="195"/>
      <c r="AA97" s="194"/>
      <c r="AB97" s="194"/>
      <c r="AC97" s="194"/>
      <c r="AD97" s="194"/>
      <c r="AE97" s="194"/>
      <c r="AG97" s="194"/>
      <c r="FI97" s="195"/>
      <c r="FJ97" s="195"/>
      <c r="FK97" s="195"/>
      <c r="FL97" s="195"/>
      <c r="FM97" s="195"/>
      <c r="FN97" s="195"/>
      <c r="FO97" s="195"/>
    </row>
    <row r="98" spans="1:171">
      <c r="C98" s="196"/>
      <c r="D98" s="213"/>
      <c r="E98" s="213"/>
      <c r="G98" s="516"/>
      <c r="H98" s="516"/>
      <c r="L98" s="349"/>
      <c r="M98" s="349"/>
      <c r="N98" s="211"/>
      <c r="O98" s="211"/>
      <c r="Q98" s="209"/>
      <c r="R98" s="195"/>
      <c r="S98" s="195"/>
      <c r="T98" s="209"/>
      <c r="U98" s="209"/>
      <c r="V98" s="195"/>
      <c r="W98" s="195"/>
      <c r="Y98" s="209"/>
      <c r="Z98" s="195"/>
      <c r="AA98" s="194"/>
      <c r="AB98" s="194"/>
      <c r="AC98" s="194"/>
      <c r="AD98" s="194"/>
      <c r="AE98" s="194"/>
      <c r="AG98" s="194"/>
      <c r="FI98" s="195"/>
      <c r="FJ98" s="195"/>
      <c r="FK98" s="195"/>
      <c r="FL98" s="195"/>
      <c r="FM98" s="195"/>
      <c r="FN98" s="195"/>
      <c r="FO98" s="195"/>
    </row>
    <row r="99" spans="1:171">
      <c r="C99" s="196"/>
      <c r="D99" s="213"/>
      <c r="E99" s="213"/>
      <c r="G99" s="516"/>
      <c r="H99" s="516"/>
      <c r="L99" s="349"/>
      <c r="M99" s="349"/>
      <c r="N99" s="211"/>
      <c r="O99" s="211"/>
      <c r="Q99" s="209"/>
      <c r="R99" s="195"/>
      <c r="S99" s="195"/>
      <c r="T99" s="209"/>
      <c r="U99" s="209"/>
      <c r="V99" s="195"/>
      <c r="W99" s="195"/>
      <c r="Y99" s="209"/>
      <c r="Z99" s="195"/>
      <c r="AA99" s="194"/>
      <c r="AB99" s="194"/>
      <c r="AC99" s="194"/>
      <c r="AD99" s="194"/>
      <c r="AE99" s="194"/>
      <c r="AG99" s="194"/>
      <c r="FI99" s="195"/>
      <c r="FJ99" s="195"/>
      <c r="FK99" s="195"/>
      <c r="FL99" s="195"/>
      <c r="FM99" s="195"/>
      <c r="FN99" s="195"/>
      <c r="FO99" s="195"/>
    </row>
    <row r="100" spans="1:171">
      <c r="C100" s="196"/>
      <c r="D100" s="213"/>
      <c r="E100" s="213"/>
      <c r="G100" s="516"/>
      <c r="H100" s="516"/>
      <c r="L100" s="349"/>
      <c r="M100" s="349"/>
      <c r="N100" s="211"/>
      <c r="O100" s="211"/>
      <c r="Q100" s="209"/>
      <c r="R100" s="195"/>
      <c r="S100" s="195"/>
      <c r="T100" s="209"/>
      <c r="U100" s="209"/>
      <c r="V100" s="195"/>
      <c r="W100" s="195"/>
      <c r="Y100" s="209"/>
      <c r="Z100" s="195"/>
      <c r="AA100" s="194"/>
      <c r="AB100" s="194"/>
      <c r="AC100" s="194"/>
      <c r="AD100" s="194"/>
      <c r="AE100" s="194"/>
      <c r="AG100" s="194"/>
      <c r="FI100" s="195"/>
      <c r="FJ100" s="195"/>
      <c r="FK100" s="195"/>
      <c r="FL100" s="195"/>
      <c r="FM100" s="195"/>
      <c r="FN100" s="195"/>
      <c r="FO100" s="195"/>
    </row>
    <row r="101" spans="1:171">
      <c r="C101" s="196"/>
      <c r="D101" s="213"/>
      <c r="E101" s="213"/>
      <c r="G101" s="516"/>
      <c r="H101" s="516"/>
      <c r="L101" s="349"/>
      <c r="M101" s="349"/>
      <c r="N101" s="211"/>
      <c r="O101" s="211"/>
      <c r="Q101" s="209"/>
      <c r="R101" s="195"/>
      <c r="S101" s="195"/>
      <c r="T101" s="209"/>
      <c r="U101" s="209"/>
      <c r="V101" s="195"/>
      <c r="W101" s="195"/>
      <c r="Y101" s="209"/>
      <c r="Z101" s="195"/>
      <c r="AA101" s="194"/>
      <c r="AB101" s="194"/>
      <c r="AC101" s="194"/>
      <c r="AD101" s="194"/>
      <c r="AE101" s="194"/>
      <c r="AG101" s="194"/>
      <c r="FI101" s="195"/>
      <c r="FJ101" s="195"/>
      <c r="FK101" s="195"/>
      <c r="FL101" s="195"/>
      <c r="FM101" s="195"/>
      <c r="FN101" s="195"/>
      <c r="FO101" s="195"/>
    </row>
    <row r="102" spans="1:171">
      <c r="C102" s="196"/>
      <c r="D102" s="213"/>
      <c r="E102" s="213"/>
      <c r="G102" s="516"/>
      <c r="H102" s="516"/>
      <c r="L102" s="349"/>
      <c r="M102" s="349"/>
      <c r="N102" s="211"/>
      <c r="O102" s="211"/>
      <c r="Q102" s="209"/>
      <c r="R102" s="195"/>
      <c r="S102" s="195"/>
      <c r="T102" s="209"/>
      <c r="U102" s="209"/>
      <c r="V102" s="195"/>
      <c r="W102" s="195"/>
      <c r="Y102" s="209"/>
      <c r="Z102" s="195"/>
      <c r="AA102" s="194"/>
      <c r="AB102" s="194"/>
      <c r="AC102" s="194"/>
      <c r="AD102" s="194"/>
      <c r="AE102" s="194"/>
      <c r="AG102" s="194"/>
      <c r="FI102" s="195"/>
      <c r="FJ102" s="195"/>
      <c r="FK102" s="195"/>
      <c r="FL102" s="195"/>
      <c r="FM102" s="195"/>
      <c r="FN102" s="195"/>
      <c r="FO102" s="195"/>
    </row>
    <row r="103" spans="1:171">
      <c r="C103" s="196"/>
      <c r="D103" s="213"/>
      <c r="E103" s="213"/>
      <c r="G103" s="516"/>
      <c r="H103" s="516"/>
      <c r="L103" s="349"/>
      <c r="M103" s="349"/>
      <c r="N103" s="211"/>
      <c r="O103" s="211"/>
      <c r="Q103" s="209"/>
      <c r="R103" s="195"/>
      <c r="S103" s="195"/>
      <c r="T103" s="209"/>
      <c r="U103" s="209"/>
      <c r="V103" s="195"/>
      <c r="W103" s="195"/>
      <c r="Y103" s="209"/>
      <c r="Z103" s="195"/>
      <c r="AA103" s="194"/>
      <c r="AB103" s="194"/>
      <c r="AC103" s="194"/>
      <c r="AD103" s="194"/>
      <c r="AE103" s="194"/>
      <c r="AG103" s="194"/>
      <c r="FI103" s="195"/>
      <c r="FJ103" s="195"/>
      <c r="FK103" s="195"/>
      <c r="FL103" s="195"/>
      <c r="FM103" s="195"/>
      <c r="FN103" s="195"/>
      <c r="FO103" s="195"/>
    </row>
    <row r="104" spans="1:171">
      <c r="A104" s="195"/>
      <c r="B104" s="195"/>
      <c r="C104" s="196"/>
      <c r="D104" s="213"/>
      <c r="E104" s="213"/>
      <c r="G104" s="516"/>
      <c r="H104" s="516"/>
      <c r="L104" s="349"/>
      <c r="M104" s="349"/>
      <c r="N104" s="211"/>
      <c r="O104" s="211"/>
      <c r="Q104" s="209"/>
      <c r="R104" s="195"/>
      <c r="S104" s="195"/>
      <c r="T104" s="209"/>
      <c r="U104" s="209"/>
      <c r="V104" s="195"/>
      <c r="W104" s="195"/>
      <c r="Y104" s="209"/>
      <c r="Z104" s="195"/>
      <c r="AA104" s="194"/>
      <c r="AB104" s="194"/>
      <c r="AC104" s="194"/>
      <c r="AD104" s="194"/>
      <c r="AE104" s="194"/>
      <c r="AG104" s="194"/>
      <c r="FI104" s="195"/>
      <c r="FJ104" s="195"/>
      <c r="FK104" s="195"/>
      <c r="FL104" s="195"/>
      <c r="FM104" s="195"/>
      <c r="FN104" s="195"/>
      <c r="FO104" s="195"/>
    </row>
    <row r="105" spans="1:171">
      <c r="A105" s="195"/>
      <c r="B105" s="195"/>
      <c r="C105" s="196"/>
      <c r="D105" s="213"/>
      <c r="E105" s="213"/>
      <c r="G105" s="516"/>
      <c r="H105" s="516"/>
      <c r="L105" s="349"/>
      <c r="M105" s="349"/>
      <c r="N105" s="211"/>
      <c r="O105" s="211"/>
      <c r="Q105" s="209"/>
      <c r="R105" s="195"/>
      <c r="S105" s="195"/>
      <c r="T105" s="209"/>
      <c r="U105" s="209"/>
      <c r="V105" s="195"/>
      <c r="W105" s="195"/>
      <c r="Y105" s="209"/>
      <c r="Z105" s="195"/>
      <c r="AA105" s="194"/>
      <c r="AB105" s="194"/>
      <c r="AC105" s="194"/>
      <c r="AD105" s="194"/>
      <c r="AE105" s="194"/>
      <c r="AG105" s="194"/>
      <c r="FI105" s="195"/>
      <c r="FJ105" s="195"/>
      <c r="FK105" s="195"/>
      <c r="FL105" s="195"/>
      <c r="FM105" s="195"/>
      <c r="FN105" s="195"/>
      <c r="FO105" s="195"/>
    </row>
    <row r="106" spans="1:171">
      <c r="A106" s="195"/>
      <c r="B106" s="195"/>
      <c r="C106" s="196"/>
      <c r="D106" s="213"/>
      <c r="E106" s="213"/>
      <c r="G106" s="516"/>
      <c r="H106" s="516"/>
      <c r="L106" s="349"/>
      <c r="M106" s="349"/>
      <c r="N106" s="211"/>
      <c r="O106" s="211"/>
      <c r="Q106" s="209"/>
      <c r="R106" s="195"/>
      <c r="S106" s="195"/>
      <c r="T106" s="209"/>
      <c r="U106" s="209"/>
      <c r="V106" s="195"/>
      <c r="W106" s="195"/>
      <c r="Y106" s="209"/>
      <c r="Z106" s="195"/>
      <c r="AA106" s="194"/>
      <c r="AB106" s="194"/>
      <c r="AC106" s="194"/>
      <c r="AD106" s="194"/>
      <c r="AE106" s="194"/>
      <c r="AG106" s="194"/>
      <c r="FI106" s="195"/>
      <c r="FJ106" s="195"/>
      <c r="FK106" s="195"/>
      <c r="FL106" s="195"/>
      <c r="FM106" s="195"/>
      <c r="FN106" s="195"/>
      <c r="FO106" s="195"/>
    </row>
    <row r="107" spans="1:171">
      <c r="A107" s="195"/>
      <c r="B107" s="195"/>
      <c r="C107" s="196"/>
      <c r="D107" s="213"/>
      <c r="E107" s="213"/>
      <c r="G107" s="516"/>
      <c r="H107" s="516"/>
      <c r="L107" s="349"/>
      <c r="M107" s="349"/>
      <c r="N107" s="211"/>
      <c r="O107" s="211"/>
      <c r="Q107" s="209"/>
      <c r="R107" s="195"/>
      <c r="S107" s="195"/>
      <c r="T107" s="209"/>
      <c r="U107" s="209"/>
      <c r="V107" s="195"/>
      <c r="W107" s="195"/>
      <c r="Y107" s="209"/>
      <c r="Z107" s="195"/>
      <c r="AA107" s="194"/>
      <c r="AB107" s="194"/>
      <c r="AC107" s="194"/>
      <c r="AD107" s="194"/>
      <c r="AE107" s="194"/>
      <c r="AG107" s="194"/>
      <c r="FI107" s="195"/>
      <c r="FJ107" s="195"/>
      <c r="FK107" s="195"/>
      <c r="FL107" s="195"/>
      <c r="FM107" s="195"/>
      <c r="FN107" s="195"/>
      <c r="FO107" s="195"/>
    </row>
    <row r="108" spans="1:171">
      <c r="A108" s="195"/>
      <c r="B108" s="195"/>
      <c r="C108" s="196"/>
      <c r="D108" s="213"/>
      <c r="E108" s="213"/>
      <c r="G108" s="516"/>
      <c r="H108" s="516"/>
      <c r="L108" s="349"/>
      <c r="M108" s="349"/>
      <c r="N108" s="211"/>
      <c r="O108" s="211"/>
      <c r="Q108" s="209"/>
      <c r="R108" s="195"/>
      <c r="S108" s="195"/>
      <c r="T108" s="209"/>
      <c r="U108" s="209"/>
      <c r="V108" s="195"/>
      <c r="W108" s="195"/>
      <c r="Y108" s="209"/>
      <c r="Z108" s="195"/>
      <c r="AA108" s="194"/>
      <c r="AB108" s="194"/>
      <c r="AC108" s="194"/>
      <c r="AD108" s="194"/>
      <c r="AE108" s="194"/>
      <c r="AG108" s="194"/>
      <c r="FI108" s="195"/>
      <c r="FJ108" s="195"/>
      <c r="FK108" s="195"/>
      <c r="FL108" s="195"/>
      <c r="FM108" s="195"/>
      <c r="FN108" s="195"/>
      <c r="FO108" s="195"/>
    </row>
    <row r="109" spans="1:171">
      <c r="A109" s="195"/>
      <c r="B109" s="195"/>
      <c r="C109" s="196"/>
      <c r="D109" s="213"/>
      <c r="E109" s="213"/>
      <c r="G109" s="516"/>
      <c r="H109" s="516"/>
      <c r="L109" s="349"/>
      <c r="M109" s="349"/>
      <c r="N109" s="211"/>
      <c r="O109" s="211"/>
      <c r="Q109" s="209"/>
      <c r="R109" s="195"/>
      <c r="S109" s="195"/>
      <c r="T109" s="209"/>
      <c r="U109" s="209"/>
      <c r="V109" s="195"/>
      <c r="W109" s="195"/>
      <c r="Y109" s="209"/>
      <c r="Z109" s="195"/>
      <c r="AA109" s="194"/>
      <c r="AB109" s="194"/>
      <c r="AC109" s="194"/>
      <c r="AD109" s="194"/>
      <c r="AE109" s="194"/>
      <c r="AG109" s="194"/>
      <c r="FI109" s="195"/>
      <c r="FJ109" s="195"/>
      <c r="FK109" s="195"/>
      <c r="FL109" s="195"/>
      <c r="FM109" s="195"/>
      <c r="FN109" s="195"/>
      <c r="FO109" s="195"/>
    </row>
    <row r="110" spans="1:171">
      <c r="A110" s="195"/>
      <c r="B110" s="195"/>
      <c r="C110" s="196"/>
      <c r="D110" s="213"/>
      <c r="E110" s="213"/>
      <c r="G110" s="516"/>
      <c r="H110" s="516"/>
      <c r="L110" s="349"/>
      <c r="M110" s="349"/>
      <c r="N110" s="211"/>
      <c r="O110" s="211"/>
      <c r="Q110" s="209"/>
      <c r="R110" s="195"/>
      <c r="S110" s="195"/>
      <c r="T110" s="209"/>
      <c r="U110" s="209"/>
      <c r="V110" s="195"/>
      <c r="W110" s="195"/>
      <c r="Y110" s="209"/>
      <c r="Z110" s="195"/>
      <c r="AA110" s="194"/>
      <c r="AB110" s="194"/>
      <c r="AC110" s="194"/>
      <c r="AD110" s="194"/>
      <c r="AE110" s="194"/>
      <c r="AG110" s="194"/>
      <c r="FI110" s="195"/>
      <c r="FJ110" s="195"/>
      <c r="FK110" s="195"/>
      <c r="FL110" s="195"/>
      <c r="FM110" s="195"/>
      <c r="FN110" s="195"/>
      <c r="FO110" s="195"/>
    </row>
    <row r="111" spans="1:171">
      <c r="A111" s="195"/>
      <c r="B111" s="195"/>
      <c r="C111" s="196"/>
      <c r="D111" s="213"/>
      <c r="E111" s="213"/>
      <c r="G111" s="516"/>
      <c r="H111" s="516"/>
      <c r="L111" s="349"/>
      <c r="M111" s="349"/>
      <c r="N111" s="211"/>
      <c r="O111" s="211"/>
      <c r="Q111" s="209"/>
      <c r="R111" s="195"/>
      <c r="S111" s="195"/>
      <c r="T111" s="209"/>
      <c r="U111" s="209"/>
      <c r="V111" s="195"/>
      <c r="W111" s="195"/>
      <c r="Y111" s="209"/>
      <c r="Z111" s="195"/>
      <c r="AA111" s="194"/>
      <c r="AB111" s="194"/>
      <c r="AC111" s="194"/>
      <c r="AD111" s="194"/>
      <c r="AE111" s="194"/>
      <c r="AG111" s="194"/>
      <c r="FI111" s="195"/>
      <c r="FJ111" s="195"/>
      <c r="FK111" s="195"/>
      <c r="FL111" s="195"/>
      <c r="FM111" s="195"/>
      <c r="FN111" s="195"/>
      <c r="FO111" s="195"/>
    </row>
    <row r="112" spans="1:171">
      <c r="A112" s="195"/>
      <c r="B112" s="195"/>
      <c r="C112" s="196"/>
      <c r="D112" s="213"/>
      <c r="E112" s="213"/>
      <c r="G112" s="516"/>
      <c r="H112" s="516"/>
      <c r="L112" s="349"/>
      <c r="M112" s="349"/>
      <c r="N112" s="211"/>
      <c r="O112" s="211"/>
      <c r="Q112" s="209"/>
      <c r="R112" s="195"/>
      <c r="S112" s="195"/>
      <c r="T112" s="209"/>
      <c r="U112" s="209"/>
      <c r="V112" s="195"/>
      <c r="W112" s="195"/>
      <c r="Y112" s="209"/>
      <c r="Z112" s="195"/>
      <c r="AA112" s="194"/>
      <c r="AB112" s="194"/>
      <c r="AC112" s="194"/>
      <c r="AD112" s="194"/>
      <c r="AE112" s="194"/>
      <c r="AG112" s="194"/>
      <c r="FI112" s="195"/>
      <c r="FJ112" s="195"/>
      <c r="FK112" s="195"/>
      <c r="FL112" s="195"/>
      <c r="FM112" s="195"/>
      <c r="FN112" s="195"/>
      <c r="FO112" s="195"/>
    </row>
    <row r="113" spans="1:171">
      <c r="A113" s="195"/>
      <c r="B113" s="195"/>
      <c r="C113" s="196"/>
      <c r="D113" s="213"/>
      <c r="E113" s="213"/>
      <c r="G113" s="516"/>
      <c r="H113" s="516"/>
      <c r="L113" s="349"/>
      <c r="M113" s="349"/>
      <c r="N113" s="211"/>
      <c r="O113" s="211"/>
      <c r="Q113" s="209"/>
      <c r="R113" s="195"/>
      <c r="S113" s="195"/>
      <c r="T113" s="209"/>
      <c r="U113" s="209"/>
      <c r="V113" s="195"/>
      <c r="W113" s="195"/>
      <c r="Y113" s="209"/>
      <c r="Z113" s="195"/>
      <c r="AA113" s="194"/>
      <c r="AB113" s="194"/>
      <c r="AC113" s="194"/>
      <c r="AD113" s="194"/>
      <c r="AE113" s="194"/>
      <c r="AG113" s="194"/>
      <c r="FI113" s="195"/>
      <c r="FJ113" s="195"/>
      <c r="FK113" s="195"/>
      <c r="FL113" s="195"/>
      <c r="FM113" s="195"/>
      <c r="FN113" s="195"/>
      <c r="FO113" s="195"/>
    </row>
    <row r="114" spans="1:171">
      <c r="A114" s="195"/>
      <c r="B114" s="195"/>
      <c r="C114" s="196"/>
      <c r="D114" s="213"/>
      <c r="E114" s="213"/>
      <c r="G114" s="516"/>
      <c r="H114" s="516"/>
      <c r="L114" s="349"/>
      <c r="M114" s="349"/>
      <c r="N114" s="211"/>
      <c r="O114" s="211"/>
      <c r="Q114" s="209"/>
      <c r="R114" s="195"/>
      <c r="S114" s="195"/>
      <c r="T114" s="209"/>
      <c r="U114" s="209"/>
      <c r="V114" s="195"/>
      <c r="W114" s="195"/>
      <c r="Y114" s="209"/>
      <c r="Z114" s="195"/>
      <c r="AA114" s="194"/>
      <c r="AB114" s="194"/>
      <c r="AC114" s="194"/>
      <c r="AD114" s="194"/>
      <c r="AE114" s="194"/>
      <c r="AG114" s="194"/>
      <c r="FI114" s="195"/>
      <c r="FJ114" s="195"/>
      <c r="FK114" s="195"/>
      <c r="FL114" s="195"/>
      <c r="FM114" s="195"/>
      <c r="FN114" s="195"/>
      <c r="FO114" s="195"/>
    </row>
    <row r="115" spans="1:171">
      <c r="A115" s="195"/>
      <c r="B115" s="195"/>
      <c r="C115" s="196"/>
      <c r="D115" s="213"/>
      <c r="E115" s="213"/>
      <c r="G115" s="516"/>
      <c r="H115" s="516"/>
      <c r="L115" s="349"/>
      <c r="M115" s="349"/>
      <c r="N115" s="211"/>
      <c r="O115" s="211"/>
      <c r="Q115" s="209"/>
      <c r="R115" s="195"/>
      <c r="S115" s="195"/>
      <c r="T115" s="209"/>
      <c r="U115" s="209"/>
      <c r="V115" s="195"/>
      <c r="W115" s="195"/>
      <c r="Y115" s="209"/>
      <c r="Z115" s="195"/>
      <c r="AA115" s="194"/>
      <c r="AB115" s="194"/>
      <c r="AC115" s="194"/>
      <c r="AD115" s="194"/>
      <c r="AE115" s="194"/>
      <c r="AG115" s="194"/>
      <c r="FI115" s="195"/>
      <c r="FJ115" s="195"/>
      <c r="FK115" s="195"/>
      <c r="FL115" s="195"/>
      <c r="FM115" s="195"/>
      <c r="FN115" s="195"/>
      <c r="FO115" s="195"/>
    </row>
    <row r="116" spans="1:171">
      <c r="A116" s="195"/>
      <c r="B116" s="195"/>
      <c r="C116" s="196"/>
      <c r="D116" s="213"/>
      <c r="E116" s="213"/>
      <c r="G116" s="516"/>
      <c r="H116" s="516"/>
      <c r="L116" s="349"/>
      <c r="M116" s="349"/>
      <c r="N116" s="211"/>
      <c r="O116" s="211"/>
      <c r="Q116" s="209"/>
      <c r="R116" s="195"/>
      <c r="S116" s="195"/>
      <c r="T116" s="209"/>
      <c r="U116" s="209"/>
      <c r="V116" s="195"/>
      <c r="W116" s="195"/>
      <c r="Y116" s="209"/>
      <c r="Z116" s="195"/>
      <c r="AA116" s="194"/>
      <c r="AB116" s="194"/>
      <c r="AC116" s="194"/>
      <c r="AD116" s="194"/>
      <c r="AE116" s="194"/>
      <c r="AG116" s="194"/>
      <c r="FI116" s="195"/>
      <c r="FJ116" s="195"/>
      <c r="FK116" s="195"/>
      <c r="FL116" s="195"/>
      <c r="FM116" s="195"/>
      <c r="FN116" s="195"/>
      <c r="FO116" s="195"/>
    </row>
    <row r="117" spans="1:171">
      <c r="A117" s="195"/>
      <c r="B117" s="195"/>
      <c r="C117" s="196"/>
      <c r="D117" s="213"/>
      <c r="E117" s="213"/>
      <c r="G117" s="516"/>
      <c r="H117" s="516"/>
      <c r="L117" s="349"/>
      <c r="M117" s="349"/>
      <c r="N117" s="211"/>
      <c r="O117" s="211"/>
      <c r="Q117" s="209"/>
      <c r="R117" s="195"/>
      <c r="S117" s="195"/>
      <c r="T117" s="209"/>
      <c r="U117" s="209"/>
      <c r="V117" s="195"/>
      <c r="W117" s="195"/>
      <c r="Y117" s="209"/>
      <c r="Z117" s="195"/>
      <c r="AA117" s="194"/>
      <c r="AB117" s="194"/>
      <c r="AC117" s="194"/>
      <c r="AD117" s="194"/>
      <c r="AE117" s="194"/>
      <c r="AG117" s="194"/>
      <c r="FI117" s="195"/>
      <c r="FJ117" s="195"/>
      <c r="FK117" s="195"/>
      <c r="FL117" s="195"/>
      <c r="FM117" s="195"/>
      <c r="FN117" s="195"/>
      <c r="FO117" s="195"/>
    </row>
    <row r="118" spans="1:171">
      <c r="A118" s="195"/>
      <c r="B118" s="195"/>
      <c r="C118" s="196"/>
      <c r="D118" s="213"/>
      <c r="E118" s="213"/>
      <c r="G118" s="516"/>
      <c r="H118" s="516"/>
      <c r="L118" s="349"/>
      <c r="M118" s="349"/>
      <c r="N118" s="211"/>
      <c r="O118" s="211"/>
      <c r="Q118" s="209"/>
      <c r="R118" s="195"/>
      <c r="S118" s="195"/>
      <c r="T118" s="209"/>
      <c r="U118" s="209"/>
      <c r="V118" s="195"/>
      <c r="W118" s="195"/>
      <c r="Y118" s="209"/>
      <c r="Z118" s="195"/>
      <c r="AA118" s="194"/>
      <c r="AB118" s="194"/>
      <c r="AC118" s="194"/>
      <c r="AD118" s="194"/>
      <c r="AE118" s="194"/>
      <c r="AG118" s="194"/>
      <c r="FI118" s="195"/>
      <c r="FJ118" s="195"/>
      <c r="FK118" s="195"/>
      <c r="FL118" s="195"/>
      <c r="FM118" s="195"/>
      <c r="FN118" s="195"/>
      <c r="FO118" s="195"/>
    </row>
    <row r="119" spans="1:171">
      <c r="A119" s="195"/>
      <c r="B119" s="195"/>
      <c r="C119" s="196"/>
      <c r="D119" s="213"/>
      <c r="E119" s="213"/>
      <c r="G119" s="516"/>
      <c r="H119" s="516"/>
      <c r="L119" s="349"/>
      <c r="M119" s="349"/>
      <c r="N119" s="211"/>
      <c r="O119" s="211"/>
      <c r="Q119" s="209"/>
      <c r="R119" s="195"/>
      <c r="S119" s="195"/>
      <c r="T119" s="209"/>
      <c r="U119" s="209"/>
      <c r="V119" s="195"/>
      <c r="W119" s="195"/>
      <c r="Y119" s="209"/>
      <c r="Z119" s="195"/>
      <c r="AA119" s="194"/>
      <c r="AB119" s="194"/>
      <c r="AC119" s="194"/>
      <c r="AD119" s="194"/>
      <c r="AE119" s="194"/>
      <c r="AG119" s="194"/>
      <c r="FI119" s="195"/>
      <c r="FJ119" s="195"/>
      <c r="FK119" s="195"/>
      <c r="FL119" s="195"/>
      <c r="FM119" s="195"/>
      <c r="FN119" s="195"/>
      <c r="FO119" s="195"/>
    </row>
    <row r="120" spans="1:171">
      <c r="A120" s="195"/>
      <c r="B120" s="195"/>
      <c r="C120" s="196"/>
      <c r="D120" s="213"/>
      <c r="E120" s="213"/>
      <c r="G120" s="516"/>
      <c r="H120" s="516"/>
      <c r="L120" s="349"/>
      <c r="M120" s="349"/>
      <c r="N120" s="211"/>
      <c r="O120" s="211"/>
      <c r="Q120" s="209"/>
      <c r="R120" s="195"/>
      <c r="S120" s="195"/>
      <c r="T120" s="209"/>
      <c r="U120" s="209"/>
      <c r="V120" s="195"/>
      <c r="W120" s="195"/>
      <c r="Y120" s="209"/>
      <c r="Z120" s="195"/>
      <c r="AA120" s="194"/>
      <c r="AB120" s="194"/>
      <c r="AC120" s="194"/>
      <c r="AD120" s="194"/>
      <c r="AE120" s="194"/>
      <c r="AG120" s="194"/>
      <c r="FI120" s="195"/>
      <c r="FJ120" s="195"/>
      <c r="FK120" s="195"/>
      <c r="FL120" s="195"/>
      <c r="FM120" s="195"/>
      <c r="FN120" s="195"/>
      <c r="FO120" s="195"/>
    </row>
    <row r="121" spans="1:171">
      <c r="A121" s="195"/>
      <c r="B121" s="195"/>
      <c r="C121" s="196"/>
      <c r="D121" s="213"/>
      <c r="E121" s="213"/>
      <c r="G121" s="516"/>
      <c r="H121" s="516"/>
      <c r="L121" s="349"/>
      <c r="M121" s="349"/>
      <c r="N121" s="211"/>
      <c r="O121" s="211"/>
      <c r="Q121" s="209"/>
      <c r="R121" s="195"/>
      <c r="S121" s="195"/>
      <c r="T121" s="209"/>
      <c r="U121" s="209"/>
      <c r="V121" s="195"/>
      <c r="W121" s="195"/>
      <c r="Y121" s="209"/>
      <c r="Z121" s="195"/>
      <c r="AA121" s="194"/>
      <c r="AB121" s="194"/>
      <c r="AC121" s="194"/>
      <c r="AD121" s="194"/>
      <c r="AE121" s="194"/>
      <c r="AG121" s="194"/>
      <c r="FI121" s="195"/>
      <c r="FJ121" s="195"/>
      <c r="FK121" s="195"/>
      <c r="FL121" s="195"/>
      <c r="FM121" s="195"/>
      <c r="FN121" s="195"/>
      <c r="FO121" s="195"/>
    </row>
    <row r="122" spans="1:171">
      <c r="A122" s="195"/>
      <c r="B122" s="195"/>
      <c r="C122" s="196"/>
      <c r="D122" s="213"/>
      <c r="E122" s="213"/>
      <c r="G122" s="516"/>
      <c r="H122" s="516"/>
      <c r="L122" s="349"/>
      <c r="M122" s="349"/>
      <c r="N122" s="211"/>
      <c r="O122" s="211"/>
      <c r="Q122" s="209"/>
      <c r="R122" s="195"/>
      <c r="S122" s="195"/>
      <c r="T122" s="209"/>
      <c r="U122" s="209"/>
      <c r="V122" s="195"/>
      <c r="W122" s="195"/>
      <c r="Y122" s="209"/>
      <c r="Z122" s="195"/>
      <c r="AA122" s="194"/>
      <c r="AB122" s="194"/>
      <c r="AC122" s="194"/>
      <c r="AD122" s="194"/>
      <c r="AE122" s="194"/>
      <c r="AG122" s="194"/>
      <c r="FI122" s="195"/>
      <c r="FJ122" s="195"/>
      <c r="FK122" s="195"/>
      <c r="FL122" s="195"/>
      <c r="FM122" s="195"/>
      <c r="FN122" s="195"/>
      <c r="FO122" s="195"/>
    </row>
    <row r="123" spans="1:171">
      <c r="A123" s="195"/>
      <c r="B123" s="195"/>
      <c r="C123" s="196"/>
      <c r="D123" s="213"/>
      <c r="E123" s="213"/>
      <c r="G123" s="516"/>
      <c r="H123" s="516"/>
      <c r="L123" s="349"/>
      <c r="M123" s="349"/>
      <c r="N123" s="211"/>
      <c r="O123" s="211"/>
      <c r="Q123" s="209"/>
      <c r="R123" s="195"/>
      <c r="S123" s="195"/>
      <c r="T123" s="209"/>
      <c r="U123" s="209"/>
      <c r="V123" s="195"/>
      <c r="W123" s="195"/>
      <c r="Y123" s="209"/>
      <c r="Z123" s="195"/>
      <c r="AA123" s="194"/>
      <c r="AB123" s="194"/>
      <c r="AC123" s="194"/>
      <c r="AD123" s="194"/>
      <c r="AE123" s="194"/>
      <c r="AG123" s="194"/>
      <c r="FI123" s="195"/>
      <c r="FJ123" s="195"/>
      <c r="FK123" s="195"/>
      <c r="FL123" s="195"/>
      <c r="FM123" s="195"/>
      <c r="FN123" s="195"/>
      <c r="FO123" s="195"/>
    </row>
    <row r="124" spans="1:171">
      <c r="A124" s="195"/>
      <c r="B124" s="195"/>
      <c r="C124" s="196"/>
      <c r="D124" s="213"/>
      <c r="E124" s="213"/>
      <c r="G124" s="516"/>
      <c r="H124" s="516"/>
      <c r="L124" s="349"/>
      <c r="M124" s="349"/>
      <c r="N124" s="211"/>
      <c r="O124" s="211"/>
      <c r="Q124" s="209"/>
      <c r="R124" s="195"/>
      <c r="S124" s="195"/>
      <c r="T124" s="209"/>
      <c r="U124" s="209"/>
      <c r="V124" s="195"/>
      <c r="W124" s="195"/>
      <c r="Y124" s="209"/>
      <c r="Z124" s="195"/>
      <c r="AA124" s="194"/>
      <c r="AB124" s="194"/>
      <c r="AC124" s="194"/>
      <c r="AD124" s="194"/>
      <c r="AE124" s="194"/>
      <c r="AG124" s="194"/>
      <c r="FI124" s="195"/>
      <c r="FJ124" s="195"/>
      <c r="FK124" s="195"/>
      <c r="FL124" s="195"/>
      <c r="FM124" s="195"/>
      <c r="FN124" s="195"/>
      <c r="FO124" s="195"/>
    </row>
    <row r="125" spans="1:171">
      <c r="A125" s="195"/>
      <c r="B125" s="195"/>
      <c r="C125" s="196"/>
      <c r="D125" s="213"/>
      <c r="E125" s="213"/>
      <c r="G125" s="516"/>
      <c r="H125" s="516"/>
      <c r="L125" s="349"/>
      <c r="M125" s="349"/>
      <c r="N125" s="211"/>
      <c r="O125" s="211"/>
      <c r="Q125" s="209"/>
      <c r="R125" s="195"/>
      <c r="S125" s="195"/>
      <c r="T125" s="209"/>
      <c r="U125" s="209"/>
      <c r="V125" s="195"/>
      <c r="W125" s="195"/>
      <c r="Y125" s="209"/>
      <c r="Z125" s="195"/>
      <c r="AA125" s="194"/>
      <c r="AB125" s="194"/>
      <c r="AC125" s="194"/>
      <c r="AD125" s="194"/>
      <c r="AE125" s="194"/>
      <c r="AG125" s="194"/>
      <c r="FI125" s="195"/>
      <c r="FJ125" s="195"/>
      <c r="FK125" s="195"/>
      <c r="FL125" s="195"/>
      <c r="FM125" s="195"/>
      <c r="FN125" s="195"/>
      <c r="FO125" s="195"/>
    </row>
    <row r="126" spans="1:171">
      <c r="A126" s="195"/>
      <c r="B126" s="195"/>
      <c r="C126" s="196"/>
      <c r="D126" s="213"/>
      <c r="E126" s="213"/>
      <c r="G126" s="516"/>
      <c r="H126" s="516"/>
      <c r="L126" s="349"/>
      <c r="M126" s="349"/>
      <c r="N126" s="211"/>
      <c r="O126" s="211"/>
      <c r="Q126" s="209"/>
      <c r="R126" s="195"/>
      <c r="S126" s="195"/>
      <c r="T126" s="209"/>
      <c r="U126" s="209"/>
      <c r="V126" s="195"/>
      <c r="W126" s="195"/>
      <c r="Y126" s="209"/>
      <c r="Z126" s="195"/>
      <c r="AA126" s="194"/>
      <c r="AB126" s="194"/>
      <c r="AC126" s="194"/>
      <c r="AD126" s="194"/>
      <c r="AE126" s="194"/>
      <c r="AG126" s="194"/>
      <c r="FI126" s="195"/>
      <c r="FJ126" s="195"/>
      <c r="FK126" s="195"/>
      <c r="FL126" s="195"/>
      <c r="FM126" s="195"/>
      <c r="FN126" s="195"/>
      <c r="FO126" s="195"/>
    </row>
    <row r="127" spans="1:171">
      <c r="A127" s="195"/>
      <c r="B127" s="195"/>
      <c r="C127" s="196"/>
      <c r="D127" s="213"/>
      <c r="E127" s="213"/>
      <c r="G127" s="516"/>
      <c r="H127" s="516"/>
      <c r="L127" s="349"/>
      <c r="M127" s="349"/>
      <c r="N127" s="211"/>
      <c r="O127" s="211"/>
      <c r="Q127" s="209"/>
      <c r="R127" s="195"/>
      <c r="S127" s="195"/>
      <c r="T127" s="209"/>
      <c r="U127" s="209"/>
      <c r="V127" s="195"/>
      <c r="W127" s="195"/>
      <c r="Y127" s="209"/>
      <c r="Z127" s="195"/>
      <c r="AA127" s="194"/>
      <c r="AB127" s="194"/>
      <c r="AC127" s="194"/>
      <c r="AD127" s="194"/>
      <c r="AE127" s="194"/>
      <c r="AG127" s="194"/>
      <c r="FI127" s="195"/>
      <c r="FJ127" s="195"/>
      <c r="FK127" s="195"/>
      <c r="FL127" s="195"/>
      <c r="FM127" s="195"/>
      <c r="FN127" s="195"/>
      <c r="FO127" s="195"/>
    </row>
    <row r="128" spans="1:171">
      <c r="A128" s="195"/>
      <c r="B128" s="195"/>
      <c r="C128" s="196"/>
      <c r="D128" s="213"/>
      <c r="E128" s="213"/>
      <c r="G128" s="516"/>
      <c r="H128" s="516"/>
      <c r="L128" s="349"/>
      <c r="M128" s="349"/>
      <c r="N128" s="211"/>
      <c r="O128" s="211"/>
      <c r="Q128" s="209"/>
      <c r="R128" s="195"/>
      <c r="S128" s="195"/>
      <c r="T128" s="209"/>
      <c r="U128" s="209"/>
      <c r="V128" s="195"/>
      <c r="W128" s="195"/>
      <c r="Y128" s="209"/>
      <c r="Z128" s="195"/>
      <c r="AA128" s="194"/>
      <c r="AB128" s="194"/>
      <c r="AC128" s="194"/>
      <c r="AD128" s="194"/>
      <c r="AE128" s="194"/>
      <c r="AG128" s="194"/>
      <c r="FI128" s="195"/>
      <c r="FJ128" s="195"/>
      <c r="FK128" s="195"/>
      <c r="FL128" s="195"/>
      <c r="FM128" s="195"/>
      <c r="FN128" s="195"/>
      <c r="FO128" s="195"/>
    </row>
    <row r="129" spans="1:171">
      <c r="A129" s="195"/>
      <c r="B129" s="195"/>
      <c r="C129" s="196"/>
      <c r="D129" s="213"/>
      <c r="E129" s="213"/>
      <c r="G129" s="516"/>
      <c r="H129" s="516"/>
      <c r="L129" s="349"/>
      <c r="M129" s="349"/>
      <c r="N129" s="211"/>
      <c r="O129" s="211"/>
      <c r="Q129" s="209"/>
      <c r="R129" s="195"/>
      <c r="S129" s="195"/>
      <c r="T129" s="209"/>
      <c r="U129" s="209"/>
      <c r="V129" s="195"/>
      <c r="W129" s="195"/>
      <c r="Y129" s="209"/>
      <c r="Z129" s="195"/>
      <c r="AA129" s="194"/>
      <c r="AB129" s="194"/>
      <c r="AC129" s="194"/>
      <c r="AD129" s="194"/>
      <c r="AE129" s="194"/>
      <c r="AG129" s="194"/>
      <c r="FI129" s="195"/>
      <c r="FJ129" s="195"/>
      <c r="FK129" s="195"/>
      <c r="FL129" s="195"/>
      <c r="FM129" s="195"/>
      <c r="FN129" s="195"/>
      <c r="FO129" s="195"/>
    </row>
    <row r="130" spans="1:171">
      <c r="A130" s="195"/>
      <c r="B130" s="195"/>
      <c r="C130" s="196"/>
      <c r="D130" s="213"/>
      <c r="E130" s="213"/>
      <c r="G130" s="516"/>
      <c r="H130" s="516"/>
      <c r="L130" s="349"/>
      <c r="M130" s="349"/>
      <c r="N130" s="211"/>
      <c r="O130" s="211"/>
      <c r="Q130" s="209"/>
      <c r="R130" s="195"/>
      <c r="S130" s="195"/>
      <c r="T130" s="209"/>
      <c r="U130" s="209"/>
      <c r="V130" s="195"/>
      <c r="W130" s="195"/>
      <c r="Y130" s="209"/>
      <c r="Z130" s="195"/>
      <c r="AA130" s="194"/>
      <c r="AB130" s="194"/>
      <c r="AC130" s="194"/>
      <c r="AD130" s="194"/>
      <c r="AE130" s="194"/>
      <c r="AG130" s="194"/>
      <c r="FI130" s="195"/>
      <c r="FJ130" s="195"/>
      <c r="FK130" s="195"/>
      <c r="FL130" s="195"/>
      <c r="FM130" s="195"/>
      <c r="FN130" s="195"/>
      <c r="FO130" s="195"/>
    </row>
    <row r="131" spans="1:171">
      <c r="A131" s="195"/>
      <c r="B131" s="195"/>
      <c r="C131" s="196"/>
      <c r="D131" s="213"/>
      <c r="E131" s="213"/>
      <c r="G131" s="516"/>
      <c r="H131" s="516"/>
      <c r="L131" s="349"/>
      <c r="M131" s="349"/>
      <c r="N131" s="211"/>
      <c r="O131" s="211"/>
      <c r="Q131" s="209"/>
      <c r="R131" s="195"/>
      <c r="S131" s="195"/>
      <c r="T131" s="209"/>
      <c r="U131" s="209"/>
      <c r="V131" s="195"/>
      <c r="W131" s="195"/>
      <c r="Y131" s="209"/>
      <c r="Z131" s="195"/>
      <c r="AA131" s="194"/>
      <c r="AB131" s="194"/>
      <c r="AC131" s="194"/>
      <c r="AD131" s="194"/>
      <c r="AE131" s="194"/>
      <c r="AG131" s="194"/>
      <c r="FI131" s="195"/>
      <c r="FJ131" s="195"/>
      <c r="FK131" s="195"/>
      <c r="FL131" s="195"/>
      <c r="FM131" s="195"/>
      <c r="FN131" s="195"/>
      <c r="FO131" s="195"/>
    </row>
    <row r="132" spans="1:171">
      <c r="A132" s="195"/>
      <c r="B132" s="195"/>
      <c r="C132" s="196"/>
      <c r="D132" s="213"/>
      <c r="E132" s="213"/>
      <c r="G132" s="516"/>
      <c r="H132" s="516"/>
      <c r="L132" s="349"/>
      <c r="M132" s="349"/>
      <c r="N132" s="211"/>
      <c r="O132" s="211"/>
      <c r="Q132" s="209"/>
      <c r="R132" s="195"/>
      <c r="S132" s="195"/>
      <c r="T132" s="209"/>
      <c r="U132" s="209"/>
      <c r="V132" s="195"/>
      <c r="W132" s="195"/>
      <c r="Y132" s="209"/>
      <c r="Z132" s="195"/>
      <c r="AA132" s="194"/>
      <c r="AB132" s="194"/>
      <c r="AC132" s="194"/>
      <c r="AD132" s="194"/>
      <c r="AE132" s="194"/>
      <c r="AG132" s="194"/>
      <c r="FI132" s="195"/>
      <c r="FJ132" s="195"/>
      <c r="FK132" s="195"/>
      <c r="FL132" s="195"/>
      <c r="FM132" s="195"/>
      <c r="FN132" s="195"/>
      <c r="FO132" s="195"/>
    </row>
    <row r="133" spans="1:171">
      <c r="A133" s="195"/>
      <c r="B133" s="195"/>
      <c r="C133" s="196"/>
      <c r="D133" s="213"/>
      <c r="E133" s="213"/>
      <c r="G133" s="516"/>
      <c r="H133" s="516"/>
      <c r="L133" s="349"/>
      <c r="M133" s="349"/>
      <c r="N133" s="211"/>
      <c r="O133" s="211"/>
      <c r="Q133" s="209"/>
      <c r="R133" s="195"/>
      <c r="S133" s="195"/>
      <c r="T133" s="209"/>
      <c r="U133" s="209"/>
      <c r="V133" s="195"/>
      <c r="W133" s="195"/>
      <c r="Y133" s="209"/>
      <c r="Z133" s="195"/>
      <c r="AA133" s="194"/>
      <c r="AB133" s="194"/>
      <c r="AC133" s="194"/>
      <c r="AD133" s="194"/>
      <c r="AE133" s="194"/>
      <c r="AG133" s="194"/>
      <c r="FI133" s="195"/>
      <c r="FJ133" s="195"/>
      <c r="FK133" s="195"/>
      <c r="FL133" s="195"/>
      <c r="FM133" s="195"/>
      <c r="FN133" s="195"/>
      <c r="FO133" s="195"/>
    </row>
    <row r="134" spans="1:171">
      <c r="A134" s="195"/>
      <c r="B134" s="195"/>
      <c r="C134" s="196"/>
      <c r="D134" s="213"/>
      <c r="E134" s="213"/>
      <c r="G134" s="516"/>
      <c r="H134" s="516"/>
      <c r="L134" s="349"/>
      <c r="M134" s="349"/>
      <c r="N134" s="211"/>
      <c r="O134" s="211"/>
      <c r="Q134" s="209"/>
      <c r="R134" s="195"/>
      <c r="S134" s="195"/>
      <c r="T134" s="209"/>
      <c r="U134" s="209"/>
      <c r="V134" s="195"/>
      <c r="W134" s="195"/>
      <c r="Y134" s="209"/>
      <c r="Z134" s="195"/>
      <c r="AA134" s="194"/>
      <c r="AB134" s="194"/>
      <c r="AC134" s="194"/>
      <c r="AD134" s="194"/>
      <c r="AE134" s="194"/>
      <c r="AG134" s="194"/>
      <c r="FI134" s="195"/>
      <c r="FJ134" s="195"/>
      <c r="FK134" s="195"/>
      <c r="FL134" s="195"/>
      <c r="FM134" s="195"/>
      <c r="FN134" s="195"/>
      <c r="FO134" s="195"/>
    </row>
    <row r="135" spans="1:171">
      <c r="A135" s="195"/>
      <c r="B135" s="195"/>
      <c r="C135" s="196"/>
      <c r="D135" s="213"/>
      <c r="E135" s="213"/>
      <c r="G135" s="516"/>
      <c r="H135" s="516"/>
      <c r="L135" s="349"/>
      <c r="M135" s="349"/>
      <c r="N135" s="211"/>
      <c r="O135" s="211"/>
      <c r="Q135" s="209"/>
      <c r="R135" s="195"/>
      <c r="S135" s="195"/>
      <c r="T135" s="209"/>
      <c r="U135" s="209"/>
      <c r="V135" s="195"/>
      <c r="W135" s="195"/>
      <c r="Y135" s="209"/>
      <c r="Z135" s="195"/>
      <c r="AA135" s="194"/>
      <c r="AB135" s="194"/>
      <c r="AC135" s="194"/>
      <c r="AD135" s="194"/>
      <c r="AE135" s="194"/>
      <c r="AG135" s="194"/>
      <c r="FI135" s="195"/>
      <c r="FJ135" s="195"/>
      <c r="FK135" s="195"/>
      <c r="FL135" s="195"/>
      <c r="FM135" s="195"/>
      <c r="FN135" s="195"/>
      <c r="FO135" s="195"/>
    </row>
    <row r="136" spans="1:171">
      <c r="A136" s="195"/>
      <c r="B136" s="195"/>
      <c r="C136" s="196"/>
      <c r="D136" s="213"/>
      <c r="E136" s="213"/>
      <c r="G136" s="516"/>
      <c r="H136" s="516"/>
      <c r="L136" s="349"/>
      <c r="M136" s="349"/>
      <c r="N136" s="211"/>
      <c r="O136" s="211"/>
      <c r="Q136" s="209"/>
      <c r="R136" s="195"/>
      <c r="S136" s="195"/>
      <c r="T136" s="209"/>
      <c r="U136" s="209"/>
      <c r="V136" s="195"/>
      <c r="W136" s="195"/>
      <c r="Y136" s="209"/>
      <c r="Z136" s="195"/>
      <c r="AA136" s="194"/>
      <c r="AB136" s="194"/>
      <c r="AC136" s="194"/>
      <c r="AD136" s="194"/>
      <c r="AE136" s="194"/>
      <c r="AG136" s="194"/>
      <c r="FI136" s="195"/>
      <c r="FJ136" s="195"/>
      <c r="FK136" s="195"/>
      <c r="FL136" s="195"/>
      <c r="FM136" s="195"/>
      <c r="FN136" s="195"/>
      <c r="FO136" s="195"/>
    </row>
    <row r="137" spans="1:171">
      <c r="A137" s="195"/>
      <c r="B137" s="195"/>
      <c r="C137" s="196"/>
      <c r="D137" s="213"/>
      <c r="E137" s="213"/>
      <c r="G137" s="516"/>
      <c r="H137" s="516"/>
      <c r="L137" s="349"/>
      <c r="M137" s="349"/>
      <c r="N137" s="211"/>
      <c r="O137" s="211"/>
      <c r="Q137" s="209"/>
      <c r="R137" s="195"/>
      <c r="S137" s="195"/>
      <c r="T137" s="209"/>
      <c r="U137" s="209"/>
      <c r="V137" s="195"/>
      <c r="W137" s="195"/>
      <c r="Y137" s="209"/>
      <c r="Z137" s="195"/>
      <c r="AA137" s="194"/>
      <c r="AB137" s="194"/>
      <c r="AC137" s="194"/>
      <c r="AD137" s="194"/>
      <c r="AE137" s="194"/>
      <c r="AG137" s="194"/>
      <c r="FI137" s="195"/>
      <c r="FJ137" s="195"/>
      <c r="FK137" s="195"/>
      <c r="FL137" s="195"/>
      <c r="FM137" s="195"/>
      <c r="FN137" s="195"/>
      <c r="FO137" s="195"/>
    </row>
    <row r="138" spans="1:171">
      <c r="A138" s="195"/>
      <c r="B138" s="195"/>
      <c r="C138" s="196"/>
      <c r="D138" s="213"/>
      <c r="E138" s="213"/>
      <c r="G138" s="516"/>
      <c r="H138" s="516"/>
      <c r="L138" s="349"/>
      <c r="M138" s="349"/>
      <c r="N138" s="211"/>
      <c r="O138" s="211"/>
      <c r="Q138" s="209"/>
      <c r="R138" s="195"/>
      <c r="S138" s="195"/>
      <c r="T138" s="209"/>
      <c r="U138" s="209"/>
      <c r="V138" s="195"/>
      <c r="W138" s="195"/>
      <c r="Y138" s="209"/>
      <c r="Z138" s="195"/>
      <c r="AA138" s="194"/>
      <c r="AB138" s="194"/>
      <c r="AC138" s="194"/>
      <c r="AD138" s="194"/>
      <c r="AE138" s="194"/>
      <c r="AG138" s="194"/>
      <c r="FI138" s="195"/>
      <c r="FJ138" s="195"/>
      <c r="FK138" s="195"/>
      <c r="FL138" s="195"/>
      <c r="FM138" s="195"/>
      <c r="FN138" s="195"/>
      <c r="FO138" s="195"/>
    </row>
    <row r="139" spans="1:171">
      <c r="A139" s="195"/>
      <c r="B139" s="195"/>
      <c r="C139" s="196"/>
      <c r="D139" s="213"/>
      <c r="E139" s="213"/>
      <c r="G139" s="516"/>
      <c r="H139" s="516"/>
      <c r="L139" s="349"/>
      <c r="M139" s="349"/>
      <c r="N139" s="211"/>
      <c r="O139" s="211"/>
      <c r="Q139" s="209"/>
      <c r="R139" s="195"/>
      <c r="S139" s="195"/>
      <c r="T139" s="209"/>
      <c r="U139" s="209"/>
      <c r="V139" s="195"/>
      <c r="W139" s="195"/>
      <c r="Y139" s="209"/>
      <c r="Z139" s="195"/>
      <c r="AA139" s="194"/>
      <c r="AB139" s="194"/>
      <c r="AC139" s="194"/>
      <c r="AD139" s="194"/>
      <c r="AE139" s="194"/>
      <c r="AG139" s="194"/>
      <c r="FI139" s="195"/>
      <c r="FJ139" s="195"/>
      <c r="FK139" s="195"/>
      <c r="FL139" s="195"/>
      <c r="FM139" s="195"/>
      <c r="FN139" s="195"/>
      <c r="FO139" s="195"/>
    </row>
    <row r="140" spans="1:171">
      <c r="A140" s="195"/>
      <c r="B140" s="195"/>
      <c r="C140" s="196"/>
      <c r="D140" s="213"/>
      <c r="E140" s="213"/>
      <c r="G140" s="516"/>
      <c r="H140" s="516"/>
      <c r="L140" s="349"/>
      <c r="M140" s="349"/>
      <c r="N140" s="211"/>
      <c r="O140" s="211"/>
      <c r="Q140" s="209"/>
      <c r="R140" s="195"/>
      <c r="S140" s="195"/>
      <c r="T140" s="209"/>
      <c r="U140" s="209"/>
      <c r="V140" s="195"/>
      <c r="W140" s="195"/>
      <c r="Y140" s="209"/>
      <c r="Z140" s="195"/>
      <c r="AA140" s="194"/>
      <c r="AB140" s="194"/>
      <c r="AC140" s="194"/>
      <c r="AD140" s="194"/>
      <c r="AE140" s="194"/>
      <c r="AG140" s="194"/>
      <c r="FI140" s="195"/>
      <c r="FJ140" s="195"/>
      <c r="FK140" s="195"/>
      <c r="FL140" s="195"/>
      <c r="FM140" s="195"/>
      <c r="FN140" s="195"/>
      <c r="FO140" s="195"/>
    </row>
    <row r="141" spans="1:171">
      <c r="A141" s="195"/>
      <c r="B141" s="195"/>
      <c r="C141" s="196"/>
      <c r="D141" s="213"/>
      <c r="E141" s="213"/>
      <c r="G141" s="516"/>
      <c r="H141" s="516"/>
      <c r="L141" s="349"/>
      <c r="M141" s="349"/>
      <c r="N141" s="211"/>
      <c r="O141" s="211"/>
      <c r="Q141" s="209"/>
      <c r="R141" s="195"/>
      <c r="S141" s="195"/>
      <c r="T141" s="209"/>
      <c r="U141" s="209"/>
      <c r="V141" s="195"/>
      <c r="W141" s="195"/>
      <c r="Y141" s="209"/>
      <c r="Z141" s="195"/>
      <c r="AA141" s="194"/>
      <c r="AB141" s="194"/>
      <c r="AC141" s="194"/>
      <c r="AD141" s="194"/>
      <c r="AE141" s="194"/>
      <c r="AG141" s="194"/>
      <c r="FI141" s="195"/>
      <c r="FJ141" s="195"/>
      <c r="FK141" s="195"/>
      <c r="FL141" s="195"/>
      <c r="FM141" s="195"/>
      <c r="FN141" s="195"/>
      <c r="FO141" s="195"/>
    </row>
    <row r="142" spans="1:171">
      <c r="A142" s="195"/>
      <c r="B142" s="195"/>
      <c r="C142" s="196"/>
      <c r="D142" s="213"/>
      <c r="E142" s="213"/>
      <c r="G142" s="516"/>
      <c r="H142" s="516"/>
      <c r="L142" s="349"/>
      <c r="M142" s="349"/>
      <c r="N142" s="211"/>
      <c r="O142" s="211"/>
      <c r="Q142" s="209"/>
      <c r="R142" s="195"/>
      <c r="S142" s="195"/>
      <c r="T142" s="209"/>
      <c r="U142" s="209"/>
      <c r="V142" s="195"/>
      <c r="W142" s="195"/>
      <c r="Y142" s="209"/>
      <c r="Z142" s="195"/>
      <c r="AA142" s="194"/>
      <c r="AB142" s="194"/>
      <c r="AC142" s="194"/>
      <c r="AD142" s="194"/>
      <c r="AE142" s="194"/>
      <c r="AG142" s="194"/>
      <c r="FI142" s="195"/>
      <c r="FJ142" s="195"/>
      <c r="FK142" s="195"/>
      <c r="FL142" s="195"/>
      <c r="FM142" s="195"/>
      <c r="FN142" s="195"/>
      <c r="FO142" s="195"/>
    </row>
    <row r="143" spans="1:171">
      <c r="A143" s="195"/>
      <c r="B143" s="195"/>
      <c r="C143" s="196"/>
      <c r="D143" s="213"/>
      <c r="E143" s="213"/>
      <c r="G143" s="516"/>
      <c r="H143" s="516"/>
      <c r="L143" s="349"/>
      <c r="M143" s="349"/>
      <c r="N143" s="211"/>
      <c r="O143" s="211"/>
      <c r="Q143" s="209"/>
      <c r="R143" s="195"/>
      <c r="S143" s="195"/>
      <c r="T143" s="209"/>
      <c r="U143" s="209"/>
      <c r="V143" s="195"/>
      <c r="W143" s="195"/>
      <c r="Y143" s="209"/>
      <c r="Z143" s="195"/>
      <c r="AA143" s="194"/>
      <c r="AB143" s="194"/>
      <c r="AC143" s="194"/>
      <c r="AD143" s="194"/>
      <c r="AE143" s="194"/>
      <c r="AG143" s="194"/>
      <c r="FI143" s="195"/>
      <c r="FJ143" s="195"/>
      <c r="FK143" s="195"/>
      <c r="FL143" s="195"/>
      <c r="FM143" s="195"/>
      <c r="FN143" s="195"/>
      <c r="FO143" s="195"/>
    </row>
    <row r="144" spans="1:171">
      <c r="A144" s="195"/>
      <c r="B144" s="195"/>
      <c r="C144" s="196"/>
      <c r="D144" s="213"/>
      <c r="E144" s="213"/>
      <c r="G144" s="516"/>
      <c r="H144" s="516"/>
      <c r="L144" s="349"/>
      <c r="M144" s="349"/>
      <c r="N144" s="211"/>
      <c r="O144" s="211"/>
      <c r="Q144" s="209"/>
      <c r="R144" s="195"/>
      <c r="S144" s="195"/>
      <c r="T144" s="209"/>
      <c r="U144" s="209"/>
      <c r="V144" s="195"/>
      <c r="W144" s="195"/>
      <c r="Y144" s="209"/>
      <c r="Z144" s="195"/>
      <c r="AA144" s="194"/>
      <c r="AB144" s="194"/>
      <c r="AC144" s="194"/>
      <c r="AD144" s="194"/>
      <c r="AE144" s="194"/>
      <c r="AG144" s="194"/>
      <c r="FI144" s="195"/>
      <c r="FJ144" s="195"/>
      <c r="FK144" s="195"/>
      <c r="FL144" s="195"/>
      <c r="FM144" s="195"/>
      <c r="FN144" s="195"/>
      <c r="FO144" s="195"/>
    </row>
    <row r="145" spans="1:171">
      <c r="A145" s="195"/>
      <c r="B145" s="195"/>
      <c r="C145" s="196"/>
      <c r="D145" s="213"/>
      <c r="E145" s="213"/>
      <c r="G145" s="516"/>
      <c r="H145" s="516"/>
      <c r="L145" s="349"/>
      <c r="M145" s="349"/>
      <c r="N145" s="211"/>
      <c r="O145" s="211"/>
      <c r="Q145" s="209"/>
      <c r="R145" s="195"/>
      <c r="S145" s="195"/>
      <c r="T145" s="209"/>
      <c r="U145" s="209"/>
      <c r="V145" s="195"/>
      <c r="W145" s="195"/>
      <c r="Y145" s="209"/>
      <c r="Z145" s="195"/>
      <c r="AA145" s="194"/>
      <c r="AB145" s="194"/>
      <c r="AC145" s="194"/>
      <c r="AD145" s="194"/>
      <c r="AE145" s="194"/>
      <c r="AG145" s="194"/>
      <c r="FI145" s="195"/>
      <c r="FJ145" s="195"/>
      <c r="FK145" s="195"/>
      <c r="FL145" s="195"/>
      <c r="FM145" s="195"/>
      <c r="FN145" s="195"/>
      <c r="FO145" s="195"/>
    </row>
    <row r="146" spans="1:171">
      <c r="A146" s="195"/>
      <c r="B146" s="195"/>
      <c r="C146" s="196"/>
      <c r="D146" s="213"/>
      <c r="E146" s="213"/>
      <c r="G146" s="516"/>
      <c r="H146" s="516"/>
      <c r="L146" s="349"/>
      <c r="M146" s="349"/>
      <c r="N146" s="211"/>
      <c r="O146" s="211"/>
      <c r="Q146" s="209"/>
      <c r="R146" s="195"/>
      <c r="S146" s="195"/>
      <c r="T146" s="209"/>
      <c r="U146" s="209"/>
      <c r="V146" s="195"/>
      <c r="W146" s="195"/>
      <c r="Y146" s="209"/>
      <c r="Z146" s="195"/>
      <c r="AA146" s="194"/>
      <c r="AB146" s="194"/>
      <c r="AC146" s="194"/>
      <c r="AD146" s="194"/>
      <c r="AE146" s="194"/>
      <c r="AG146" s="194"/>
      <c r="FI146" s="195"/>
      <c r="FJ146" s="195"/>
      <c r="FK146" s="195"/>
      <c r="FL146" s="195"/>
      <c r="FM146" s="195"/>
      <c r="FN146" s="195"/>
      <c r="FO146" s="195"/>
    </row>
    <row r="147" spans="1:171">
      <c r="A147" s="195"/>
      <c r="B147" s="195"/>
      <c r="C147" s="196"/>
      <c r="D147" s="213"/>
      <c r="E147" s="213"/>
      <c r="G147" s="516"/>
      <c r="H147" s="516"/>
      <c r="L147" s="349"/>
      <c r="M147" s="349"/>
      <c r="N147" s="211"/>
      <c r="O147" s="211"/>
      <c r="Q147" s="209"/>
      <c r="R147" s="195"/>
      <c r="S147" s="195"/>
      <c r="T147" s="209"/>
      <c r="U147" s="209"/>
      <c r="V147" s="195"/>
      <c r="W147" s="195"/>
      <c r="Y147" s="209"/>
      <c r="Z147" s="195"/>
      <c r="AA147" s="194"/>
      <c r="AB147" s="194"/>
      <c r="AC147" s="194"/>
      <c r="AD147" s="194"/>
      <c r="AE147" s="194"/>
      <c r="AG147" s="194"/>
      <c r="FI147" s="195"/>
      <c r="FJ147" s="195"/>
      <c r="FK147" s="195"/>
      <c r="FL147" s="195"/>
      <c r="FM147" s="195"/>
      <c r="FN147" s="195"/>
      <c r="FO147" s="195"/>
    </row>
    <row r="148" spans="1:171">
      <c r="A148" s="195"/>
      <c r="B148" s="195"/>
      <c r="C148" s="196"/>
      <c r="D148" s="213"/>
      <c r="E148" s="213"/>
      <c r="G148" s="516"/>
      <c r="H148" s="516"/>
      <c r="L148" s="349"/>
      <c r="M148" s="349"/>
      <c r="N148" s="211"/>
      <c r="O148" s="211"/>
      <c r="Q148" s="209"/>
      <c r="R148" s="195"/>
      <c r="S148" s="195"/>
      <c r="T148" s="209"/>
      <c r="U148" s="209"/>
      <c r="V148" s="195"/>
      <c r="W148" s="195"/>
      <c r="Y148" s="209"/>
      <c r="Z148" s="195"/>
      <c r="AA148" s="194"/>
      <c r="AB148" s="194"/>
      <c r="AC148" s="194"/>
      <c r="AD148" s="194"/>
      <c r="AE148" s="194"/>
      <c r="AG148" s="194"/>
      <c r="FI148" s="195"/>
      <c r="FJ148" s="195"/>
      <c r="FK148" s="195"/>
      <c r="FL148" s="195"/>
      <c r="FM148" s="195"/>
      <c r="FN148" s="195"/>
      <c r="FO148" s="195"/>
    </row>
    <row r="149" spans="1:171">
      <c r="A149" s="195"/>
      <c r="B149" s="195"/>
      <c r="C149" s="196"/>
      <c r="D149" s="213"/>
      <c r="E149" s="213"/>
      <c r="G149" s="516"/>
      <c r="H149" s="516"/>
      <c r="L149" s="349"/>
      <c r="M149" s="349"/>
      <c r="N149" s="211"/>
      <c r="O149" s="211"/>
      <c r="Q149" s="209"/>
      <c r="R149" s="195"/>
      <c r="S149" s="195"/>
      <c r="T149" s="209"/>
      <c r="U149" s="209"/>
      <c r="V149" s="195"/>
      <c r="W149" s="195"/>
      <c r="Y149" s="209"/>
      <c r="Z149" s="195"/>
      <c r="AA149" s="194"/>
      <c r="AB149" s="194"/>
      <c r="AC149" s="194"/>
      <c r="AD149" s="194"/>
      <c r="AE149" s="194"/>
      <c r="AG149" s="194"/>
      <c r="FI149" s="195"/>
      <c r="FJ149" s="195"/>
      <c r="FK149" s="195"/>
      <c r="FL149" s="195"/>
      <c r="FM149" s="195"/>
      <c r="FN149" s="195"/>
      <c r="FO149" s="195"/>
    </row>
    <row r="150" spans="1:171">
      <c r="A150" s="195"/>
      <c r="B150" s="195"/>
      <c r="C150" s="196"/>
      <c r="D150" s="213"/>
      <c r="E150" s="213"/>
      <c r="G150" s="516"/>
      <c r="H150" s="516"/>
      <c r="L150" s="349"/>
      <c r="M150" s="349"/>
      <c r="N150" s="211"/>
      <c r="O150" s="211"/>
      <c r="Q150" s="209"/>
      <c r="R150" s="195"/>
      <c r="S150" s="195"/>
      <c r="T150" s="209"/>
      <c r="U150" s="209"/>
      <c r="V150" s="195"/>
      <c r="W150" s="195"/>
      <c r="Y150" s="209"/>
      <c r="Z150" s="195"/>
      <c r="AA150" s="194"/>
      <c r="AB150" s="194"/>
      <c r="AC150" s="194"/>
      <c r="AD150" s="194"/>
      <c r="AE150" s="194"/>
      <c r="AG150" s="194"/>
      <c r="FI150" s="195"/>
      <c r="FJ150" s="195"/>
      <c r="FK150" s="195"/>
      <c r="FL150" s="195"/>
      <c r="FM150" s="195"/>
      <c r="FN150" s="195"/>
      <c r="FO150" s="195"/>
    </row>
    <row r="151" spans="1:171">
      <c r="A151" s="195"/>
      <c r="B151" s="195"/>
      <c r="C151" s="196"/>
      <c r="D151" s="213"/>
      <c r="E151" s="213"/>
      <c r="G151" s="516"/>
      <c r="H151" s="516"/>
      <c r="L151" s="349"/>
      <c r="M151" s="349"/>
      <c r="N151" s="211"/>
      <c r="O151" s="211"/>
      <c r="Q151" s="209"/>
      <c r="R151" s="195"/>
      <c r="S151" s="195"/>
      <c r="T151" s="209"/>
      <c r="U151" s="209"/>
      <c r="V151" s="195"/>
      <c r="W151" s="195"/>
      <c r="Y151" s="209"/>
      <c r="Z151" s="195"/>
      <c r="AA151" s="194"/>
      <c r="AB151" s="194"/>
      <c r="AC151" s="194"/>
      <c r="AD151" s="194"/>
      <c r="AE151" s="194"/>
      <c r="AG151" s="194"/>
      <c r="FI151" s="195"/>
      <c r="FJ151" s="195"/>
      <c r="FK151" s="195"/>
      <c r="FL151" s="195"/>
      <c r="FM151" s="195"/>
      <c r="FN151" s="195"/>
      <c r="FO151" s="195"/>
    </row>
    <row r="152" spans="1:171">
      <c r="A152" s="195"/>
      <c r="B152" s="195"/>
      <c r="C152" s="196"/>
      <c r="D152" s="213"/>
      <c r="E152" s="213"/>
      <c r="G152" s="516"/>
      <c r="H152" s="516"/>
      <c r="L152" s="349"/>
      <c r="M152" s="349"/>
      <c r="N152" s="211"/>
      <c r="O152" s="211"/>
      <c r="Q152" s="209"/>
      <c r="R152" s="195"/>
      <c r="S152" s="195"/>
      <c r="T152" s="209"/>
      <c r="U152" s="209"/>
      <c r="V152" s="195"/>
      <c r="W152" s="195"/>
      <c r="Y152" s="209"/>
      <c r="Z152" s="195"/>
      <c r="AA152" s="194"/>
      <c r="AB152" s="194"/>
      <c r="AC152" s="194"/>
      <c r="AD152" s="194"/>
      <c r="AE152" s="194"/>
      <c r="AG152" s="194"/>
      <c r="FI152" s="195"/>
      <c r="FJ152" s="195"/>
      <c r="FK152" s="195"/>
      <c r="FL152" s="195"/>
      <c r="FM152" s="195"/>
      <c r="FN152" s="195"/>
      <c r="FO152" s="195"/>
    </row>
    <row r="153" spans="1:171">
      <c r="A153" s="195"/>
      <c r="B153" s="195"/>
      <c r="C153" s="196"/>
      <c r="D153" s="213"/>
      <c r="E153" s="213"/>
      <c r="G153" s="516"/>
      <c r="H153" s="516"/>
      <c r="L153" s="349"/>
      <c r="M153" s="349"/>
      <c r="N153" s="211"/>
      <c r="O153" s="211"/>
      <c r="Q153" s="209"/>
      <c r="R153" s="195"/>
      <c r="S153" s="195"/>
      <c r="T153" s="209"/>
      <c r="U153" s="209"/>
      <c r="V153" s="195"/>
      <c r="W153" s="195"/>
      <c r="Y153" s="209"/>
      <c r="Z153" s="195"/>
      <c r="AA153" s="194"/>
      <c r="AB153" s="194"/>
      <c r="AC153" s="194"/>
      <c r="AD153" s="194"/>
      <c r="AE153" s="194"/>
      <c r="AG153" s="194"/>
      <c r="FI153" s="195"/>
      <c r="FJ153" s="195"/>
      <c r="FK153" s="195"/>
      <c r="FL153" s="195"/>
      <c r="FM153" s="195"/>
      <c r="FN153" s="195"/>
      <c r="FO153" s="195"/>
    </row>
    <row r="154" spans="1:171">
      <c r="A154" s="195"/>
      <c r="B154" s="195"/>
      <c r="C154" s="196"/>
      <c r="D154" s="213"/>
      <c r="E154" s="213"/>
      <c r="G154" s="516"/>
      <c r="H154" s="516"/>
      <c r="L154" s="349"/>
      <c r="M154" s="349"/>
      <c r="N154" s="211"/>
      <c r="O154" s="211"/>
      <c r="Q154" s="209"/>
      <c r="R154" s="195"/>
      <c r="S154" s="195"/>
      <c r="T154" s="209"/>
      <c r="U154" s="209"/>
      <c r="V154" s="195"/>
      <c r="W154" s="195"/>
      <c r="Y154" s="209"/>
      <c r="Z154" s="195"/>
      <c r="AA154" s="194"/>
      <c r="AB154" s="194"/>
      <c r="AC154" s="194"/>
      <c r="AD154" s="194"/>
      <c r="AE154" s="194"/>
      <c r="AG154" s="194"/>
      <c r="FI154" s="195"/>
      <c r="FJ154" s="195"/>
      <c r="FK154" s="195"/>
      <c r="FL154" s="195"/>
      <c r="FM154" s="195"/>
      <c r="FN154" s="195"/>
      <c r="FO154" s="195"/>
    </row>
    <row r="155" spans="1:171">
      <c r="A155" s="195"/>
      <c r="B155" s="195"/>
      <c r="C155" s="196"/>
      <c r="D155" s="213"/>
      <c r="E155" s="213"/>
      <c r="G155" s="516"/>
      <c r="H155" s="516"/>
      <c r="L155" s="349"/>
      <c r="M155" s="349"/>
      <c r="N155" s="211"/>
      <c r="O155" s="211"/>
      <c r="Q155" s="209"/>
      <c r="R155" s="195"/>
      <c r="S155" s="195"/>
      <c r="T155" s="209"/>
      <c r="U155" s="209"/>
      <c r="V155" s="195"/>
      <c r="W155" s="195"/>
      <c r="Y155" s="209"/>
      <c r="Z155" s="195"/>
      <c r="AA155" s="194"/>
      <c r="AB155" s="194"/>
      <c r="AC155" s="194"/>
      <c r="AD155" s="194"/>
      <c r="AE155" s="194"/>
      <c r="AG155" s="194"/>
      <c r="FI155" s="195"/>
      <c r="FJ155" s="195"/>
      <c r="FK155" s="195"/>
      <c r="FL155" s="195"/>
      <c r="FM155" s="195"/>
      <c r="FN155" s="195"/>
      <c r="FO155" s="195"/>
    </row>
    <row r="156" spans="1:171">
      <c r="A156" s="195"/>
      <c r="B156" s="195"/>
      <c r="C156" s="196"/>
      <c r="D156" s="213"/>
      <c r="E156" s="213"/>
      <c r="G156" s="516"/>
      <c r="H156" s="516"/>
      <c r="L156" s="349"/>
      <c r="M156" s="349"/>
      <c r="N156" s="211"/>
      <c r="O156" s="211"/>
      <c r="Q156" s="209"/>
      <c r="R156" s="195"/>
      <c r="S156" s="195"/>
      <c r="T156" s="209"/>
      <c r="U156" s="209"/>
      <c r="V156" s="195"/>
      <c r="W156" s="195"/>
      <c r="Y156" s="209"/>
      <c r="Z156" s="195"/>
      <c r="AA156" s="194"/>
      <c r="AB156" s="194"/>
      <c r="AC156" s="194"/>
      <c r="AD156" s="194"/>
      <c r="AE156" s="194"/>
      <c r="AG156" s="194"/>
      <c r="FI156" s="195"/>
      <c r="FJ156" s="195"/>
      <c r="FK156" s="195"/>
      <c r="FL156" s="195"/>
      <c r="FM156" s="195"/>
      <c r="FN156" s="195"/>
      <c r="FO156" s="195"/>
    </row>
    <row r="157" spans="1:171">
      <c r="D157" s="213"/>
    </row>
  </sheetData>
  <mergeCells count="15">
    <mergeCell ref="BW3:CP3"/>
    <mergeCell ref="CR3:DK3"/>
    <mergeCell ref="DM3:DW3"/>
    <mergeCell ref="Y1:AE1"/>
    <mergeCell ref="G2:J2"/>
    <mergeCell ref="N2:O2"/>
    <mergeCell ref="Q2:W2"/>
    <mergeCell ref="Y2:Y3"/>
    <mergeCell ref="Z2:Z3"/>
    <mergeCell ref="AC2:AC3"/>
    <mergeCell ref="AA2:AB2"/>
    <mergeCell ref="AD2:AD3"/>
    <mergeCell ref="AE2:AE3"/>
    <mergeCell ref="AG3:AZ3"/>
    <mergeCell ref="BB3:BU3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O157"/>
  <sheetViews>
    <sheetView showGridLines="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R83" sqref="R83"/>
    </sheetView>
  </sheetViews>
  <sheetFormatPr defaultColWidth="9.109375" defaultRowHeight="10.199999999999999"/>
  <cols>
    <col min="1" max="1" width="9.6640625" style="211" hidden="1" customWidth="1"/>
    <col min="2" max="2" width="36.88671875" style="1" bestFit="1" customWidth="1"/>
    <col min="3" max="3" width="10.6640625" style="1" bestFit="1" customWidth="1"/>
    <col min="4" max="4" width="8.44140625" style="195" bestFit="1" customWidth="1"/>
    <col min="5" max="5" width="9.88671875" style="195" customWidth="1"/>
    <col min="6" max="6" width="2.5546875" style="2" customWidth="1"/>
    <col min="7" max="7" width="11.109375" style="196" bestFit="1" customWidth="1"/>
    <col min="8" max="8" width="8.33203125" style="196" bestFit="1" customWidth="1"/>
    <col min="9" max="9" width="8.109375" style="506" bestFit="1" customWidth="1"/>
    <col min="10" max="10" width="7.33203125" style="506" customWidth="1"/>
    <col min="11" max="11" width="1.88671875" style="2" customWidth="1"/>
    <col min="12" max="12" width="12.33203125" style="210" bestFit="1" customWidth="1"/>
    <col min="13" max="13" width="12.33203125" style="210" customWidth="1"/>
    <col min="14" max="14" width="9.109375" style="212" bestFit="1" customWidth="1"/>
    <col min="15" max="15" width="8" style="209" bestFit="1" customWidth="1"/>
    <col min="16" max="16" width="1.88671875" style="2" customWidth="1"/>
    <col min="17" max="17" width="6" style="195" bestFit="1" customWidth="1"/>
    <col min="18" max="18" width="6" style="211" bestFit="1" customWidth="1"/>
    <col min="19" max="19" width="7.109375" style="211" bestFit="1" customWidth="1"/>
    <col min="20" max="20" width="9.33203125" style="211" bestFit="1" customWidth="1"/>
    <col min="21" max="21" width="13.88671875" style="211" hidden="1" customWidth="1"/>
    <col min="22" max="22" width="5.109375" style="211" bestFit="1" customWidth="1"/>
    <col min="23" max="23" width="13.88671875" style="211" hidden="1" customWidth="1"/>
    <col min="24" max="24" width="1.88671875" style="2" customWidth="1"/>
    <col min="25" max="25" width="17.6640625" style="210" hidden="1" customWidth="1"/>
    <col min="26" max="26" width="24.6640625" style="209" hidden="1" customWidth="1"/>
    <col min="27" max="28" width="8.6640625" style="195" hidden="1" customWidth="1"/>
    <col min="29" max="29" width="20" style="195" hidden="1" customWidth="1"/>
    <col min="30" max="30" width="18.109375" style="209" hidden="1" customWidth="1"/>
    <col min="31" max="31" width="14.6640625" style="209" hidden="1" customWidth="1"/>
    <col min="32" max="32" width="1.88671875" style="2" customWidth="1"/>
    <col min="33" max="33" width="7.44140625" style="195" hidden="1" customWidth="1"/>
    <col min="34" max="47" width="7.44140625" style="194" hidden="1" customWidth="1"/>
    <col min="48" max="50" width="6.5546875" style="194" hidden="1" customWidth="1"/>
    <col min="51" max="52" width="4.44140625" style="194" hidden="1" customWidth="1"/>
    <col min="53" max="53" width="1.88671875" style="2" hidden="1" customWidth="1"/>
    <col min="54" max="68" width="6.5546875" style="2" hidden="1" customWidth="1"/>
    <col min="69" max="71" width="5.6640625" style="2" hidden="1" customWidth="1"/>
    <col min="72" max="73" width="4.44140625" style="2" hidden="1" customWidth="1"/>
    <col min="74" max="74" width="1.88671875" style="2" hidden="1" customWidth="1"/>
    <col min="75" max="89" width="7.44140625" style="2" hidden="1" customWidth="1"/>
    <col min="90" max="92" width="6.5546875" style="2" hidden="1" customWidth="1"/>
    <col min="93" max="94" width="4.44140625" style="2" hidden="1" customWidth="1"/>
    <col min="95" max="95" width="1.88671875" style="2" hidden="1" customWidth="1"/>
    <col min="96" max="110" width="7.44140625" style="2" hidden="1" customWidth="1"/>
    <col min="111" max="113" width="6.5546875" style="2" hidden="1" customWidth="1"/>
    <col min="114" max="115" width="4.44140625" style="2" hidden="1" customWidth="1"/>
    <col min="116" max="116" width="1.88671875" style="2" hidden="1" customWidth="1"/>
    <col min="117" max="117" width="7.44140625" style="2" hidden="1" customWidth="1"/>
    <col min="118" max="122" width="4.44140625" style="2" hidden="1" customWidth="1"/>
    <col min="123" max="123" width="7.109375" style="2" hidden="1" customWidth="1"/>
    <col min="124" max="124" width="4.44140625" style="2" hidden="1" customWidth="1"/>
    <col min="125" max="125" width="7.109375" style="2" hidden="1" customWidth="1"/>
    <col min="126" max="127" width="4.44140625" style="2" hidden="1" customWidth="1"/>
    <col min="128" max="129" width="1.88671875" style="2" customWidth="1"/>
    <col min="130" max="130" width="7" style="2" bestFit="1" customWidth="1"/>
    <col min="131" max="171" width="9.109375" style="2"/>
    <col min="172" max="16384" width="9.109375" style="195"/>
  </cols>
  <sheetData>
    <row r="1" spans="1:171">
      <c r="B1" s="225" t="s">
        <v>225</v>
      </c>
      <c r="C1" s="224">
        <v>2016</v>
      </c>
      <c r="G1" s="345"/>
      <c r="H1" s="345"/>
      <c r="I1" s="345"/>
      <c r="J1" s="345"/>
      <c r="Q1" s="209"/>
      <c r="Y1" s="781" t="s">
        <v>223</v>
      </c>
      <c r="Z1" s="782"/>
      <c r="AA1" s="782"/>
      <c r="AB1" s="782"/>
      <c r="AC1" s="782"/>
      <c r="AD1" s="782"/>
      <c r="AE1" s="783"/>
      <c r="AG1" s="209"/>
      <c r="AH1" s="223"/>
    </row>
    <row r="2" spans="1:171">
      <c r="C2" s="195"/>
      <c r="D2" s="196"/>
      <c r="E2" s="196"/>
      <c r="G2" s="778" t="s">
        <v>416</v>
      </c>
      <c r="H2" s="779"/>
      <c r="I2" s="779"/>
      <c r="J2" s="780"/>
      <c r="N2" s="789" t="s">
        <v>277</v>
      </c>
      <c r="O2" s="789"/>
      <c r="Q2" s="788" t="s">
        <v>224</v>
      </c>
      <c r="R2" s="788"/>
      <c r="S2" s="788"/>
      <c r="T2" s="788"/>
      <c r="U2" s="788"/>
      <c r="V2" s="788"/>
      <c r="W2" s="788"/>
      <c r="Y2" s="786" t="s">
        <v>217</v>
      </c>
      <c r="Z2" s="786" t="s">
        <v>216</v>
      </c>
      <c r="AA2" s="786" t="s">
        <v>454</v>
      </c>
      <c r="AB2" s="786"/>
      <c r="AC2" s="787" t="s">
        <v>213</v>
      </c>
      <c r="AD2" s="787" t="s">
        <v>214</v>
      </c>
      <c r="AE2" s="786" t="s">
        <v>7</v>
      </c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FO2" s="195"/>
    </row>
    <row r="3" spans="1:171" s="218" customFormat="1" ht="20.399999999999999">
      <c r="A3" s="344" t="s">
        <v>90</v>
      </c>
      <c r="B3" s="222" t="s">
        <v>212</v>
      </c>
      <c r="C3" s="221" t="s">
        <v>222</v>
      </c>
      <c r="D3" s="502" t="s">
        <v>2</v>
      </c>
      <c r="E3" s="220" t="s">
        <v>427</v>
      </c>
      <c r="F3" s="219"/>
      <c r="G3" s="220" t="s">
        <v>240</v>
      </c>
      <c r="H3" s="220" t="s">
        <v>429</v>
      </c>
      <c r="I3" s="507" t="s">
        <v>282</v>
      </c>
      <c r="J3" s="507" t="s">
        <v>431</v>
      </c>
      <c r="K3" s="219"/>
      <c r="L3" s="347" t="s">
        <v>415</v>
      </c>
      <c r="M3" s="347" t="s">
        <v>426</v>
      </c>
      <c r="N3" s="648" t="s">
        <v>276</v>
      </c>
      <c r="O3" s="648" t="s">
        <v>3</v>
      </c>
      <c r="P3" s="219"/>
      <c r="Q3" s="649" t="s">
        <v>210</v>
      </c>
      <c r="R3" s="649" t="s">
        <v>220</v>
      </c>
      <c r="S3" s="649" t="s">
        <v>219</v>
      </c>
      <c r="T3" s="649" t="s">
        <v>218</v>
      </c>
      <c r="U3" s="649" t="s">
        <v>402</v>
      </c>
      <c r="V3" s="649" t="s">
        <v>221</v>
      </c>
      <c r="W3" s="649" t="s">
        <v>403</v>
      </c>
      <c r="X3" s="219"/>
      <c r="Y3" s="786"/>
      <c r="Z3" s="786"/>
      <c r="AA3" s="647" t="s">
        <v>400</v>
      </c>
      <c r="AB3" s="647" t="s">
        <v>399</v>
      </c>
      <c r="AC3" s="787"/>
      <c r="AD3" s="787"/>
      <c r="AE3" s="786"/>
      <c r="AF3" s="219"/>
      <c r="AG3" s="775" t="s">
        <v>283</v>
      </c>
      <c r="AH3" s="776"/>
      <c r="AI3" s="776"/>
      <c r="AJ3" s="776"/>
      <c r="AK3" s="776"/>
      <c r="AL3" s="776"/>
      <c r="AM3" s="776"/>
      <c r="AN3" s="776"/>
      <c r="AO3" s="776"/>
      <c r="AP3" s="776"/>
      <c r="AQ3" s="776"/>
      <c r="AR3" s="776"/>
      <c r="AS3" s="776"/>
      <c r="AT3" s="776"/>
      <c r="AU3" s="776"/>
      <c r="AV3" s="776"/>
      <c r="AW3" s="776"/>
      <c r="AX3" s="776"/>
      <c r="AY3" s="776"/>
      <c r="AZ3" s="776"/>
      <c r="BA3" s="219"/>
      <c r="BB3" s="784" t="s">
        <v>216</v>
      </c>
      <c r="BC3" s="785"/>
      <c r="BD3" s="785"/>
      <c r="BE3" s="785"/>
      <c r="BF3" s="785"/>
      <c r="BG3" s="785"/>
      <c r="BH3" s="785"/>
      <c r="BI3" s="785"/>
      <c r="BJ3" s="785"/>
      <c r="BK3" s="785"/>
      <c r="BL3" s="785"/>
      <c r="BM3" s="785"/>
      <c r="BN3" s="785"/>
      <c r="BO3" s="785"/>
      <c r="BP3" s="785"/>
      <c r="BQ3" s="785"/>
      <c r="BR3" s="785"/>
      <c r="BS3" s="785"/>
      <c r="BT3" s="785"/>
      <c r="BU3" s="785"/>
      <c r="BV3" s="219"/>
      <c r="BW3" s="777" t="s">
        <v>215</v>
      </c>
      <c r="BX3" s="777"/>
      <c r="BY3" s="777"/>
      <c r="BZ3" s="777"/>
      <c r="CA3" s="777"/>
      <c r="CB3" s="777"/>
      <c r="CC3" s="777"/>
      <c r="CD3" s="777"/>
      <c r="CE3" s="777"/>
      <c r="CF3" s="777"/>
      <c r="CG3" s="777"/>
      <c r="CH3" s="777"/>
      <c r="CI3" s="777"/>
      <c r="CJ3" s="777"/>
      <c r="CK3" s="777"/>
      <c r="CL3" s="777"/>
      <c r="CM3" s="777"/>
      <c r="CN3" s="777"/>
      <c r="CO3" s="777"/>
      <c r="CP3" s="777"/>
      <c r="CQ3" s="219"/>
      <c r="CR3" s="777" t="s">
        <v>401</v>
      </c>
      <c r="CS3" s="777"/>
      <c r="CT3" s="777"/>
      <c r="CU3" s="777"/>
      <c r="CV3" s="777"/>
      <c r="CW3" s="777"/>
      <c r="CX3" s="777"/>
      <c r="CY3" s="777"/>
      <c r="CZ3" s="777"/>
      <c r="DA3" s="777"/>
      <c r="DB3" s="777"/>
      <c r="DC3" s="777"/>
      <c r="DD3" s="777"/>
      <c r="DE3" s="777"/>
      <c r="DF3" s="777"/>
      <c r="DG3" s="777"/>
      <c r="DH3" s="777"/>
      <c r="DI3" s="777"/>
      <c r="DJ3" s="777"/>
      <c r="DK3" s="777"/>
      <c r="DL3" s="219"/>
      <c r="DM3" s="777" t="s">
        <v>7</v>
      </c>
      <c r="DN3" s="777"/>
      <c r="DO3" s="777"/>
      <c r="DP3" s="777"/>
      <c r="DQ3" s="777"/>
      <c r="DR3" s="777"/>
      <c r="DS3" s="777"/>
      <c r="DT3" s="777"/>
      <c r="DU3" s="777"/>
      <c r="DV3" s="777"/>
      <c r="DW3" s="777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</row>
    <row r="4" spans="1:171">
      <c r="A4" s="1"/>
      <c r="C4" s="195"/>
      <c r="E4" s="196"/>
      <c r="L4" s="348"/>
      <c r="M4" s="348"/>
      <c r="O4" s="212"/>
      <c r="Q4" s="209"/>
      <c r="R4" s="209"/>
      <c r="S4" s="209"/>
      <c r="T4" s="209"/>
      <c r="U4" s="209"/>
      <c r="V4" s="209"/>
      <c r="W4" s="209"/>
      <c r="Y4" s="209"/>
      <c r="AA4" s="209"/>
      <c r="AB4" s="209"/>
      <c r="AC4" s="209"/>
      <c r="AG4" s="646">
        <v>2014</v>
      </c>
      <c r="AH4" s="646">
        <v>2015</v>
      </c>
      <c r="AI4" s="646">
        <v>2016</v>
      </c>
      <c r="AJ4" s="646">
        <v>2017</v>
      </c>
      <c r="AK4" s="646">
        <v>2018</v>
      </c>
      <c r="AL4" s="646">
        <v>2019</v>
      </c>
      <c r="AM4" s="646">
        <v>2020</v>
      </c>
      <c r="AN4" s="646">
        <v>2021</v>
      </c>
      <c r="AO4" s="646">
        <v>2022</v>
      </c>
      <c r="AP4" s="646">
        <v>2023</v>
      </c>
      <c r="AQ4" s="646">
        <v>2024</v>
      </c>
      <c r="AR4" s="646">
        <v>2025</v>
      </c>
      <c r="AS4" s="646">
        <v>2026</v>
      </c>
      <c r="AT4" s="646">
        <v>2027</v>
      </c>
      <c r="AU4" s="646">
        <v>2028</v>
      </c>
      <c r="AV4" s="646">
        <v>2029</v>
      </c>
      <c r="AW4" s="646">
        <v>2030</v>
      </c>
      <c r="AX4" s="646">
        <v>2031</v>
      </c>
      <c r="AY4" s="646">
        <v>2032</v>
      </c>
      <c r="AZ4" s="646">
        <v>2033</v>
      </c>
      <c r="BB4" s="646">
        <v>2014</v>
      </c>
      <c r="BC4" s="646">
        <v>2015</v>
      </c>
      <c r="BD4" s="646">
        <v>2016</v>
      </c>
      <c r="BE4" s="646">
        <v>2017</v>
      </c>
      <c r="BF4" s="646">
        <v>2018</v>
      </c>
      <c r="BG4" s="646">
        <v>2019</v>
      </c>
      <c r="BH4" s="646">
        <v>2020</v>
      </c>
      <c r="BI4" s="646">
        <v>2021</v>
      </c>
      <c r="BJ4" s="646">
        <v>2022</v>
      </c>
      <c r="BK4" s="646">
        <v>2023</v>
      </c>
      <c r="BL4" s="646">
        <v>2024</v>
      </c>
      <c r="BM4" s="646">
        <v>2025</v>
      </c>
      <c r="BN4" s="646">
        <v>2026</v>
      </c>
      <c r="BO4" s="646">
        <v>2027</v>
      </c>
      <c r="BP4" s="646">
        <v>2028</v>
      </c>
      <c r="BQ4" s="646">
        <v>2029</v>
      </c>
      <c r="BR4" s="646">
        <v>2030</v>
      </c>
      <c r="BS4" s="646">
        <v>2031</v>
      </c>
      <c r="BT4" s="646">
        <v>2032</v>
      </c>
      <c r="BU4" s="646">
        <v>2033</v>
      </c>
      <c r="BW4" s="646">
        <v>2014</v>
      </c>
      <c r="BX4" s="646">
        <v>2015</v>
      </c>
      <c r="BY4" s="646">
        <v>2016</v>
      </c>
      <c r="BZ4" s="646">
        <v>2017</v>
      </c>
      <c r="CA4" s="646">
        <v>2018</v>
      </c>
      <c r="CB4" s="646">
        <v>2019</v>
      </c>
      <c r="CC4" s="646">
        <v>2020</v>
      </c>
      <c r="CD4" s="646">
        <v>2021</v>
      </c>
      <c r="CE4" s="646">
        <v>2022</v>
      </c>
      <c r="CF4" s="646">
        <v>2023</v>
      </c>
      <c r="CG4" s="646">
        <v>2024</v>
      </c>
      <c r="CH4" s="646">
        <v>2025</v>
      </c>
      <c r="CI4" s="646">
        <v>2026</v>
      </c>
      <c r="CJ4" s="646">
        <v>2027</v>
      </c>
      <c r="CK4" s="646">
        <v>2028</v>
      </c>
      <c r="CL4" s="646">
        <v>2029</v>
      </c>
      <c r="CM4" s="646">
        <v>2030</v>
      </c>
      <c r="CN4" s="646">
        <v>2031</v>
      </c>
      <c r="CO4" s="646">
        <v>2032</v>
      </c>
      <c r="CP4" s="646">
        <v>2033</v>
      </c>
      <c r="CR4" s="646">
        <v>2014</v>
      </c>
      <c r="CS4" s="646">
        <v>2015</v>
      </c>
      <c r="CT4" s="646">
        <v>2016</v>
      </c>
      <c r="CU4" s="646">
        <v>2017</v>
      </c>
      <c r="CV4" s="646">
        <v>2018</v>
      </c>
      <c r="CW4" s="646">
        <v>2019</v>
      </c>
      <c r="CX4" s="646">
        <v>2020</v>
      </c>
      <c r="CY4" s="646">
        <v>2021</v>
      </c>
      <c r="CZ4" s="646">
        <v>2022</v>
      </c>
      <c r="DA4" s="646">
        <v>2023</v>
      </c>
      <c r="DB4" s="646">
        <v>2024</v>
      </c>
      <c r="DC4" s="646">
        <v>2025</v>
      </c>
      <c r="DD4" s="646">
        <v>2026</v>
      </c>
      <c r="DE4" s="646">
        <v>2027</v>
      </c>
      <c r="DF4" s="646">
        <v>2028</v>
      </c>
      <c r="DG4" s="646">
        <v>2029</v>
      </c>
      <c r="DH4" s="646">
        <v>2030</v>
      </c>
      <c r="DI4" s="646">
        <v>2031</v>
      </c>
      <c r="DJ4" s="646">
        <v>2032</v>
      </c>
      <c r="DK4" s="646">
        <v>2033</v>
      </c>
      <c r="DM4" s="646">
        <v>2014</v>
      </c>
      <c r="DN4" s="646">
        <v>2015</v>
      </c>
      <c r="DO4" s="646">
        <v>2016</v>
      </c>
      <c r="DP4" s="646">
        <v>2017</v>
      </c>
      <c r="DQ4" s="646">
        <v>2018</v>
      </c>
      <c r="DR4" s="646">
        <v>2019</v>
      </c>
      <c r="DS4" s="646">
        <v>2020</v>
      </c>
      <c r="DT4" s="646">
        <v>2021</v>
      </c>
      <c r="DU4" s="646">
        <v>2022</v>
      </c>
      <c r="DV4" s="646">
        <v>2023</v>
      </c>
      <c r="DW4" s="646">
        <v>2024</v>
      </c>
      <c r="DY4" s="219"/>
      <c r="DZ4" s="219"/>
      <c r="EA4" s="219"/>
      <c r="EB4" s="219"/>
      <c r="EC4" s="219"/>
      <c r="ED4" s="219"/>
      <c r="EE4" s="219"/>
      <c r="EF4" s="219"/>
      <c r="FO4" s="195"/>
    </row>
    <row r="5" spans="1:171">
      <c r="A5" s="343"/>
      <c r="B5" s="340" t="str">
        <f>'Portfolio Inputs'!A4</f>
        <v>Total Portfolio</v>
      </c>
      <c r="C5" s="350"/>
      <c r="D5" s="350"/>
      <c r="E5" s="350"/>
      <c r="G5" s="351"/>
      <c r="H5" s="351"/>
      <c r="I5" s="508"/>
      <c r="J5" s="517"/>
      <c r="L5" s="440"/>
      <c r="M5" s="440"/>
      <c r="N5" s="352"/>
      <c r="O5" s="352"/>
      <c r="Q5" s="353">
        <f t="shared" ref="Q5:Q20" si="0">IF(OR(AE5&gt;0,AC5&gt;0),Y5/(AC5+AE5),"n/a")</f>
        <v>1.4679090030848141</v>
      </c>
      <c r="R5" s="354">
        <f t="shared" ref="R5:R20" si="1">IF(OR(AC5&gt;0,AD5&gt;0),Y5/((AD5+AC5)),"n/a")</f>
        <v>2.1201011615743126</v>
      </c>
      <c r="S5" s="354">
        <f t="shared" ref="S5:S20" si="2">IF(OR(AC5&gt;0,AE5&gt;0),(Y5+Z5)/(AC5+AE5),"n/a")</f>
        <v>1.8240681149233324</v>
      </c>
      <c r="T5" s="354">
        <f t="shared" ref="T5:T20" si="3">IF(AE5&gt;0,(AD5+AA5)/AE5,"n/a")</f>
        <v>7.8289715711095953</v>
      </c>
      <c r="U5" s="354">
        <f>IF(AE5&gt;0,(AD5+AB5)/AE5,"n/a")</f>
        <v>6.902464672519022</v>
      </c>
      <c r="V5" s="354">
        <f>IF((AA5+AC5+AD5)&gt;0,Y5/(AA5+AC5+AD5),"n/a")</f>
        <v>0.29598179706599276</v>
      </c>
      <c r="W5" s="354">
        <f>IF((AB5+AC5+AD5)&gt;0,Y5/(AB5+AC5+AD5),"n/a")</f>
        <v>0.33193595782327201</v>
      </c>
      <c r="Y5" s="645">
        <f t="shared" ref="Y5:Y68" si="4">AG5+NPV(DiscountRate,AH5:AZ5)</f>
        <v>1644160.998692665</v>
      </c>
      <c r="Z5" s="645">
        <f t="shared" ref="Z5:Z68" si="5">BB5+NPV(DiscountRate,BC5:BU5)</f>
        <v>398923.17560782511</v>
      </c>
      <c r="AA5" s="645">
        <f t="shared" ref="AA5:AA68" si="6">BW5+NPV(DiscountRate,BX5:CP5)</f>
        <v>4779428.9420446334</v>
      </c>
      <c r="AB5" s="645">
        <f t="shared" ref="AB5:AB68" si="7">CR5+NPV(DiscountRate,CS5:DK5)</f>
        <v>4177737.0016167248</v>
      </c>
      <c r="AC5" s="352">
        <f>AC6+AC41</f>
        <v>470650.29320591839</v>
      </c>
      <c r="AD5" s="352">
        <f>AD6+AD41</f>
        <v>304860.34208460175</v>
      </c>
      <c r="AE5" s="645">
        <f t="shared" ref="AE5:AE68" si="8">DM5+NPV(DiscountRate,DN5:DW5)</f>
        <v>649419.81688772968</v>
      </c>
      <c r="AG5" s="355">
        <f t="shared" ref="AG5:AZ5" si="9">AG6+AG41</f>
        <v>0</v>
      </c>
      <c r="AH5" s="355">
        <f t="shared" si="9"/>
        <v>0</v>
      </c>
      <c r="AI5" s="355">
        <f t="shared" si="9"/>
        <v>228620.09115466103</v>
      </c>
      <c r="AJ5" s="355">
        <f t="shared" si="9"/>
        <v>232049.39252198095</v>
      </c>
      <c r="AK5" s="355">
        <f t="shared" si="9"/>
        <v>234968.0433409028</v>
      </c>
      <c r="AL5" s="355">
        <f t="shared" si="9"/>
        <v>238492.5639910163</v>
      </c>
      <c r="AM5" s="355">
        <f t="shared" si="9"/>
        <v>242069.95245088148</v>
      </c>
      <c r="AN5" s="355">
        <f t="shared" si="9"/>
        <v>215547.96199782373</v>
      </c>
      <c r="AO5" s="355">
        <f t="shared" si="9"/>
        <v>216601.74232955818</v>
      </c>
      <c r="AP5" s="355">
        <f t="shared" si="9"/>
        <v>219850.76846450145</v>
      </c>
      <c r="AQ5" s="355">
        <f t="shared" si="9"/>
        <v>189634.92198403887</v>
      </c>
      <c r="AR5" s="355">
        <f t="shared" si="9"/>
        <v>192042.95020674565</v>
      </c>
      <c r="AS5" s="355">
        <f t="shared" si="9"/>
        <v>190500.87342889083</v>
      </c>
      <c r="AT5" s="355">
        <f t="shared" si="9"/>
        <v>193031.11344775115</v>
      </c>
      <c r="AU5" s="355">
        <f t="shared" si="9"/>
        <v>195926.58014946739</v>
      </c>
      <c r="AV5" s="355">
        <f t="shared" si="9"/>
        <v>198865.4788517094</v>
      </c>
      <c r="AW5" s="355">
        <f t="shared" si="9"/>
        <v>198427.17049685161</v>
      </c>
      <c r="AX5" s="355">
        <f t="shared" si="9"/>
        <v>20299.956265080942</v>
      </c>
      <c r="AY5" s="355">
        <f t="shared" si="9"/>
        <v>20508.467028398874</v>
      </c>
      <c r="AZ5" s="355">
        <f t="shared" si="9"/>
        <v>20816.094033824855</v>
      </c>
      <c r="BB5" s="355">
        <f t="shared" ref="BB5:BU5" si="10">BB6+BB41</f>
        <v>0</v>
      </c>
      <c r="BC5" s="355">
        <f t="shared" si="10"/>
        <v>0</v>
      </c>
      <c r="BD5" s="355">
        <f t="shared" si="10"/>
        <v>60012.183636799251</v>
      </c>
      <c r="BE5" s="355">
        <f t="shared" si="10"/>
        <v>60012.183636799251</v>
      </c>
      <c r="BF5" s="355">
        <f t="shared" si="10"/>
        <v>59866.776946879239</v>
      </c>
      <c r="BG5" s="355">
        <f t="shared" si="10"/>
        <v>59866.776946879239</v>
      </c>
      <c r="BH5" s="355">
        <f t="shared" si="10"/>
        <v>59866.776946879239</v>
      </c>
      <c r="BI5" s="355">
        <f t="shared" si="10"/>
        <v>52347.884631375739</v>
      </c>
      <c r="BJ5" s="355">
        <f t="shared" si="10"/>
        <v>51821.180260910594</v>
      </c>
      <c r="BK5" s="355">
        <f t="shared" si="10"/>
        <v>51821.180260910594</v>
      </c>
      <c r="BL5" s="355">
        <f t="shared" si="10"/>
        <v>44012.222361234803</v>
      </c>
      <c r="BM5" s="355">
        <f t="shared" si="10"/>
        <v>43910.393137711595</v>
      </c>
      <c r="BN5" s="355">
        <f t="shared" si="10"/>
        <v>42894.791323115249</v>
      </c>
      <c r="BO5" s="355">
        <f t="shared" si="10"/>
        <v>42821.81384117678</v>
      </c>
      <c r="BP5" s="355">
        <f t="shared" si="10"/>
        <v>42821.81384117678</v>
      </c>
      <c r="BQ5" s="355">
        <f t="shared" si="10"/>
        <v>42821.81384117678</v>
      </c>
      <c r="BR5" s="355">
        <f t="shared" si="10"/>
        <v>42081.588945416777</v>
      </c>
      <c r="BS5" s="355">
        <f t="shared" si="10"/>
        <v>3916.8292105316677</v>
      </c>
      <c r="BT5" s="355">
        <f t="shared" si="10"/>
        <v>3896.9605794566678</v>
      </c>
      <c r="BU5" s="355">
        <f t="shared" si="10"/>
        <v>3896.9605794566678</v>
      </c>
      <c r="BW5" s="355">
        <f t="shared" ref="BW5:CP5" si="11">BW6+BW41</f>
        <v>0</v>
      </c>
      <c r="BX5" s="355">
        <f t="shared" si="11"/>
        <v>0</v>
      </c>
      <c r="BY5" s="355">
        <f t="shared" si="11"/>
        <v>673433.93113473454</v>
      </c>
      <c r="BZ5" s="355">
        <f t="shared" si="11"/>
        <v>683535.44010175532</v>
      </c>
      <c r="CA5" s="355">
        <f t="shared" si="11"/>
        <v>691971.30628897832</v>
      </c>
      <c r="CB5" s="355">
        <f t="shared" si="11"/>
        <v>702350.8758833129</v>
      </c>
      <c r="CC5" s="355">
        <f t="shared" si="11"/>
        <v>712886.13902156241</v>
      </c>
      <c r="CD5" s="355">
        <f t="shared" si="11"/>
        <v>625322.75556166656</v>
      </c>
      <c r="CE5" s="355">
        <f t="shared" si="11"/>
        <v>627732.75636419689</v>
      </c>
      <c r="CF5" s="355">
        <f t="shared" si="11"/>
        <v>637148.74770965963</v>
      </c>
      <c r="CG5" s="355">
        <f t="shared" si="11"/>
        <v>540069.96354847436</v>
      </c>
      <c r="CH5" s="355">
        <f t="shared" si="11"/>
        <v>546758.65497601137</v>
      </c>
      <c r="CI5" s="355">
        <f t="shared" si="11"/>
        <v>541572.94674909546</v>
      </c>
      <c r="CJ5" s="355">
        <f t="shared" si="11"/>
        <v>548884.98014004109</v>
      </c>
      <c r="CK5" s="355">
        <f t="shared" si="11"/>
        <v>557118.25484214153</v>
      </c>
      <c r="CL5" s="355">
        <f t="shared" si="11"/>
        <v>565475.0286647738</v>
      </c>
      <c r="CM5" s="355">
        <f t="shared" si="11"/>
        <v>562896.87034832698</v>
      </c>
      <c r="CN5" s="355">
        <f t="shared" si="11"/>
        <v>57464.682489265128</v>
      </c>
      <c r="CO5" s="355">
        <f t="shared" si="11"/>
        <v>58088.62346466411</v>
      </c>
      <c r="CP5" s="355">
        <f t="shared" si="11"/>
        <v>58959.952816634068</v>
      </c>
      <c r="CR5" s="355">
        <f t="shared" ref="CR5:DK5" si="12">CR6+CR41</f>
        <v>0</v>
      </c>
      <c r="CS5" s="355">
        <f t="shared" si="12"/>
        <v>0</v>
      </c>
      <c r="CT5" s="355">
        <f t="shared" si="12"/>
        <v>583545.89107431658</v>
      </c>
      <c r="CU5" s="355">
        <f t="shared" si="12"/>
        <v>592299.07944043109</v>
      </c>
      <c r="CV5" s="355">
        <f t="shared" si="12"/>
        <v>599705.2865216959</v>
      </c>
      <c r="CW5" s="355">
        <f t="shared" si="12"/>
        <v>608700.86581952125</v>
      </c>
      <c r="CX5" s="355">
        <f t="shared" si="12"/>
        <v>617831.37880681397</v>
      </c>
      <c r="CY5" s="355">
        <f t="shared" si="12"/>
        <v>547166.23038511293</v>
      </c>
      <c r="CZ5" s="355">
        <f t="shared" si="12"/>
        <v>549692.99090823322</v>
      </c>
      <c r="DA5" s="355">
        <f t="shared" si="12"/>
        <v>557938.38577185676</v>
      </c>
      <c r="DB5" s="355">
        <f t="shared" si="12"/>
        <v>479510.67072247225</v>
      </c>
      <c r="DC5" s="355">
        <f t="shared" si="12"/>
        <v>485554.36583533755</v>
      </c>
      <c r="DD5" s="355">
        <f t="shared" si="12"/>
        <v>481351.21078861516</v>
      </c>
      <c r="DE5" s="355">
        <f t="shared" si="12"/>
        <v>487759.91814015369</v>
      </c>
      <c r="DF5" s="355">
        <f t="shared" si="12"/>
        <v>495076.31691225589</v>
      </c>
      <c r="DG5" s="355">
        <f t="shared" si="12"/>
        <v>502502.46166593971</v>
      </c>
      <c r="DH5" s="355">
        <f t="shared" si="12"/>
        <v>501042.36618603853</v>
      </c>
      <c r="DI5" s="355">
        <f t="shared" si="12"/>
        <v>48016.294616976418</v>
      </c>
      <c r="DJ5" s="355">
        <f t="shared" si="12"/>
        <v>48498.509774291058</v>
      </c>
      <c r="DK5" s="355">
        <f t="shared" si="12"/>
        <v>49225.987420905425</v>
      </c>
      <c r="DM5" s="355">
        <f t="shared" ref="DM5:DW5" si="13">DM6+DM41</f>
        <v>0</v>
      </c>
      <c r="DN5" s="355">
        <f t="shared" si="13"/>
        <v>0</v>
      </c>
      <c r="DO5" s="355">
        <f t="shared" si="13"/>
        <v>812623.74137980747</v>
      </c>
      <c r="DP5" s="355">
        <f t="shared" si="13"/>
        <v>0</v>
      </c>
      <c r="DQ5" s="355">
        <f t="shared" si="13"/>
        <v>0</v>
      </c>
      <c r="DR5" s="355">
        <f t="shared" si="13"/>
        <v>0</v>
      </c>
      <c r="DS5" s="355">
        <f t="shared" si="13"/>
        <v>0</v>
      </c>
      <c r="DT5" s="355">
        <f t="shared" si="13"/>
        <v>0</v>
      </c>
      <c r="DU5" s="355">
        <f t="shared" si="13"/>
        <v>-16632</v>
      </c>
      <c r="DV5" s="355">
        <f t="shared" si="13"/>
        <v>0</v>
      </c>
      <c r="DW5" s="355">
        <f t="shared" si="13"/>
        <v>-65590.256729406959</v>
      </c>
      <c r="DX5" s="219"/>
      <c r="DY5" s="219"/>
      <c r="DZ5" s="219"/>
      <c r="EA5" s="219"/>
      <c r="EB5" s="219"/>
      <c r="EC5" s="219"/>
      <c r="ED5" s="219"/>
      <c r="EE5" s="219"/>
      <c r="EF5" s="219"/>
      <c r="FO5" s="195"/>
    </row>
    <row r="6" spans="1:171">
      <c r="A6" s="343"/>
      <c r="B6" s="340" t="str">
        <f>'Portfolio Inputs'!A5</f>
        <v>Residential Programs</v>
      </c>
      <c r="C6" s="350"/>
      <c r="D6" s="350"/>
      <c r="E6" s="350"/>
      <c r="G6" s="351"/>
      <c r="H6" s="351"/>
      <c r="I6" s="508"/>
      <c r="J6" s="517"/>
      <c r="L6" s="440"/>
      <c r="M6" s="440"/>
      <c r="N6" s="352"/>
      <c r="O6" s="352"/>
      <c r="Q6" s="353">
        <f t="shared" si="0"/>
        <v>1.2796426702381469</v>
      </c>
      <c r="R6" s="354">
        <f t="shared" si="1"/>
        <v>1.8398216096027873</v>
      </c>
      <c r="S6" s="354">
        <f t="shared" si="2"/>
        <v>1.5906735005782011</v>
      </c>
      <c r="T6" s="354">
        <f t="shared" si="3"/>
        <v>6.6544563901827987</v>
      </c>
      <c r="U6" s="354">
        <f>IF(AE6&gt;0,(AD6+AB6)/AE6,"n/a")</f>
        <v>5.5133000977200046</v>
      </c>
      <c r="V6" s="354">
        <f>IF((AA6+AC6+AD6)&gt;0,Y6/(AA6+AC6+AD6),"n/a")</f>
        <v>0.27194559149160519</v>
      </c>
      <c r="W6" s="354">
        <f>IF((AB6+AC6+AD6)&gt;0,Y6/(AB6+AC6+AD6),"n/a")</f>
        <v>0.32333143449087065</v>
      </c>
      <c r="Y6" s="645">
        <f t="shared" si="4"/>
        <v>526637.80345836468</v>
      </c>
      <c r="Z6" s="645">
        <f t="shared" si="5"/>
        <v>128004.94787160652</v>
      </c>
      <c r="AA6" s="645">
        <f t="shared" si="6"/>
        <v>1650311.8175424845</v>
      </c>
      <c r="AB6" s="645">
        <f t="shared" si="7"/>
        <v>1342542.3278586273</v>
      </c>
      <c r="AC6" s="352">
        <f>AC7+AC13+AC16+AC24+AC33+AC34+AC35</f>
        <v>141850.99160017079</v>
      </c>
      <c r="AD6" s="352">
        <f>AD7+AD13+AD16+AD24+AD33+AD34+AD35</f>
        <v>144392.95765535755</v>
      </c>
      <c r="AE6" s="645">
        <f t="shared" si="8"/>
        <v>269699.68243319442</v>
      </c>
      <c r="AG6" s="355">
        <f t="shared" ref="AG6:AZ6" si="14">AG7+AG13+AG16+AG24+AG33+AG34+AG35</f>
        <v>0</v>
      </c>
      <c r="AH6" s="355">
        <f t="shared" si="14"/>
        <v>0</v>
      </c>
      <c r="AI6" s="355">
        <f t="shared" si="14"/>
        <v>90963.702523387779</v>
      </c>
      <c r="AJ6" s="355">
        <f t="shared" si="14"/>
        <v>92328.158061238588</v>
      </c>
      <c r="AK6" s="355">
        <f t="shared" si="14"/>
        <v>93150.990363249352</v>
      </c>
      <c r="AL6" s="355">
        <f t="shared" si="14"/>
        <v>94548.255218698047</v>
      </c>
      <c r="AM6" s="355">
        <f t="shared" si="14"/>
        <v>95966.479046978508</v>
      </c>
      <c r="AN6" s="355">
        <f t="shared" si="14"/>
        <v>67252.936492862224</v>
      </c>
      <c r="AO6" s="355">
        <f t="shared" si="14"/>
        <v>66105.450302102603</v>
      </c>
      <c r="AP6" s="355">
        <f t="shared" si="14"/>
        <v>67097.032056634111</v>
      </c>
      <c r="AQ6" s="355">
        <f t="shared" si="14"/>
        <v>34688.132085293801</v>
      </c>
      <c r="AR6" s="355">
        <f t="shared" si="14"/>
        <v>34771.958459519446</v>
      </c>
      <c r="AS6" s="355">
        <f t="shared" si="14"/>
        <v>32159.509516390917</v>
      </c>
      <c r="AT6" s="355">
        <f t="shared" si="14"/>
        <v>32641.902159136771</v>
      </c>
      <c r="AU6" s="355">
        <f t="shared" si="14"/>
        <v>33131.530691523818</v>
      </c>
      <c r="AV6" s="355">
        <f t="shared" si="14"/>
        <v>33628.503651896681</v>
      </c>
      <c r="AW6" s="355">
        <f t="shared" si="14"/>
        <v>30711.640669041732</v>
      </c>
      <c r="AX6" s="355">
        <f t="shared" si="14"/>
        <v>17557.425389130134</v>
      </c>
      <c r="AY6" s="355">
        <f t="shared" si="14"/>
        <v>17820.786769967082</v>
      </c>
      <c r="AZ6" s="355">
        <f t="shared" si="14"/>
        <v>18088.098571516588</v>
      </c>
      <c r="BB6" s="355">
        <f t="shared" ref="BB6:BU6" si="15">BB7+BB13+BB16+BB24+BB33+BB34+BB35</f>
        <v>0</v>
      </c>
      <c r="BC6" s="355">
        <f t="shared" si="15"/>
        <v>0</v>
      </c>
      <c r="BD6" s="355">
        <f t="shared" si="15"/>
        <v>23743.876186509191</v>
      </c>
      <c r="BE6" s="355">
        <f t="shared" si="15"/>
        <v>23743.876186509191</v>
      </c>
      <c r="BF6" s="355">
        <f t="shared" si="15"/>
        <v>23598.469496589187</v>
      </c>
      <c r="BG6" s="355">
        <f t="shared" si="15"/>
        <v>23598.469496589187</v>
      </c>
      <c r="BH6" s="355">
        <f t="shared" si="15"/>
        <v>23598.469496589187</v>
      </c>
      <c r="BI6" s="355">
        <f t="shared" si="15"/>
        <v>16079.577181085679</v>
      </c>
      <c r="BJ6" s="355">
        <f t="shared" si="15"/>
        <v>15558.436027321546</v>
      </c>
      <c r="BK6" s="355">
        <f t="shared" si="15"/>
        <v>15558.436027321546</v>
      </c>
      <c r="BL6" s="355">
        <f t="shared" si="15"/>
        <v>7773.4325620977479</v>
      </c>
      <c r="BM6" s="355">
        <f t="shared" si="15"/>
        <v>7671.6033385745413</v>
      </c>
      <c r="BN6" s="355">
        <f t="shared" si="15"/>
        <v>6947.6730281591936</v>
      </c>
      <c r="BO6" s="355">
        <f t="shared" si="15"/>
        <v>6947.6730281591936</v>
      </c>
      <c r="BP6" s="355">
        <f t="shared" si="15"/>
        <v>6947.6730281591936</v>
      </c>
      <c r="BQ6" s="355">
        <f t="shared" si="15"/>
        <v>6947.6730281591936</v>
      </c>
      <c r="BR6" s="355">
        <f t="shared" si="15"/>
        <v>6207.4481323991931</v>
      </c>
      <c r="BS6" s="355">
        <f t="shared" si="15"/>
        <v>3340.6389093566677</v>
      </c>
      <c r="BT6" s="355">
        <f t="shared" si="15"/>
        <v>3340.6389093566677</v>
      </c>
      <c r="BU6" s="355">
        <f t="shared" si="15"/>
        <v>3340.6389093566677</v>
      </c>
      <c r="BW6" s="355">
        <f t="shared" ref="BW6:CP6" si="16">BW7+BW13+BW16+BW24+BW33+BW34+BW35</f>
        <v>0</v>
      </c>
      <c r="BX6" s="355">
        <f t="shared" si="16"/>
        <v>0</v>
      </c>
      <c r="BY6" s="355">
        <f t="shared" si="16"/>
        <v>288024.61760138755</v>
      </c>
      <c r="BZ6" s="355">
        <f t="shared" si="16"/>
        <v>292344.98686540825</v>
      </c>
      <c r="CA6" s="355">
        <f t="shared" si="16"/>
        <v>294912.99625408597</v>
      </c>
      <c r="CB6" s="355">
        <f t="shared" si="16"/>
        <v>299336.69119789725</v>
      </c>
      <c r="CC6" s="355">
        <f t="shared" si="16"/>
        <v>303826.74156586564</v>
      </c>
      <c r="CD6" s="355">
        <f t="shared" si="16"/>
        <v>210127.46714413434</v>
      </c>
      <c r="CE6" s="355">
        <f t="shared" si="16"/>
        <v>206366.96718465901</v>
      </c>
      <c r="CF6" s="355">
        <f t="shared" si="16"/>
        <v>209462.47169242887</v>
      </c>
      <c r="CG6" s="355">
        <f t="shared" si="16"/>
        <v>106223.1467905318</v>
      </c>
      <c r="CH6" s="355">
        <f t="shared" si="16"/>
        <v>106404.1359666997</v>
      </c>
      <c r="CI6" s="355">
        <f t="shared" si="16"/>
        <v>97808.766904122996</v>
      </c>
      <c r="CJ6" s="355">
        <f t="shared" si="16"/>
        <v>99275.898407684828</v>
      </c>
      <c r="CK6" s="355">
        <f t="shared" si="16"/>
        <v>100765.03688380009</v>
      </c>
      <c r="CL6" s="355">
        <f t="shared" si="16"/>
        <v>102276.51243705711</v>
      </c>
      <c r="CM6" s="355">
        <f t="shared" si="16"/>
        <v>92750.376377194611</v>
      </c>
      <c r="CN6" s="355">
        <f t="shared" si="16"/>
        <v>50663.846433836625</v>
      </c>
      <c r="CO6" s="355">
        <f t="shared" si="16"/>
        <v>51423.804130344171</v>
      </c>
      <c r="CP6" s="355">
        <f t="shared" si="16"/>
        <v>52195.161192299332</v>
      </c>
      <c r="CR6" s="355">
        <f t="shared" ref="CR6:DK6" si="17">CR7+CR13+CR16+CR24+CR33+CR34+CR35</f>
        <v>0</v>
      </c>
      <c r="CS6" s="355">
        <f t="shared" si="17"/>
        <v>0</v>
      </c>
      <c r="CT6" s="355">
        <f t="shared" si="17"/>
        <v>234310.41121124581</v>
      </c>
      <c r="CU6" s="355">
        <f t="shared" si="17"/>
        <v>237825.06737941442</v>
      </c>
      <c r="CV6" s="355">
        <f t="shared" si="17"/>
        <v>239914.16427976394</v>
      </c>
      <c r="CW6" s="355">
        <f t="shared" si="17"/>
        <v>243512.87674396037</v>
      </c>
      <c r="CX6" s="355">
        <f t="shared" si="17"/>
        <v>247165.56989511973</v>
      </c>
      <c r="CY6" s="355">
        <f t="shared" si="17"/>
        <v>170940.43433974331</v>
      </c>
      <c r="CZ6" s="355">
        <f t="shared" si="17"/>
        <v>167881.23648644047</v>
      </c>
      <c r="DA6" s="355">
        <f t="shared" si="17"/>
        <v>170399.45503373712</v>
      </c>
      <c r="DB6" s="355">
        <f t="shared" si="17"/>
        <v>86413.409422827521</v>
      </c>
      <c r="DC6" s="355">
        <f t="shared" si="17"/>
        <v>86560.645616198235</v>
      </c>
      <c r="DD6" s="355">
        <f t="shared" si="17"/>
        <v>79568.241715667667</v>
      </c>
      <c r="DE6" s="355">
        <f t="shared" si="17"/>
        <v>80761.765341402672</v>
      </c>
      <c r="DF6" s="355">
        <f t="shared" si="17"/>
        <v>81973.191821523724</v>
      </c>
      <c r="DG6" s="355">
        <f t="shared" si="17"/>
        <v>83202.789698846565</v>
      </c>
      <c r="DH6" s="355">
        <f t="shared" si="17"/>
        <v>75453.199139439093</v>
      </c>
      <c r="DI6" s="355">
        <f t="shared" si="17"/>
        <v>41215.458561547915</v>
      </c>
      <c r="DJ6" s="355">
        <f t="shared" si="17"/>
        <v>41833.69043997112</v>
      </c>
      <c r="DK6" s="355">
        <f t="shared" si="17"/>
        <v>42461.19579657069</v>
      </c>
      <c r="DM6" s="355">
        <f t="shared" ref="DM6:DW6" si="18">DM7+DM13+DM16+DM24+DM33+DM34+DM35</f>
        <v>0</v>
      </c>
      <c r="DN6" s="355">
        <f t="shared" si="18"/>
        <v>0</v>
      </c>
      <c r="DO6" s="355">
        <f t="shared" si="18"/>
        <v>362801.74137980747</v>
      </c>
      <c r="DP6" s="355">
        <f t="shared" si="18"/>
        <v>0</v>
      </c>
      <c r="DQ6" s="355">
        <f t="shared" si="18"/>
        <v>0</v>
      </c>
      <c r="DR6" s="355">
        <f t="shared" si="18"/>
        <v>0</v>
      </c>
      <c r="DS6" s="355">
        <f t="shared" si="18"/>
        <v>0</v>
      </c>
      <c r="DT6" s="355">
        <f t="shared" si="18"/>
        <v>0</v>
      </c>
      <c r="DU6" s="355">
        <f t="shared" si="18"/>
        <v>-16632</v>
      </c>
      <c r="DV6" s="355">
        <f t="shared" si="18"/>
        <v>0</v>
      </c>
      <c r="DW6" s="355">
        <f t="shared" si="18"/>
        <v>-65590.256729406959</v>
      </c>
      <c r="DY6" s="219"/>
      <c r="DZ6" s="219"/>
      <c r="EA6" s="219"/>
      <c r="EB6" s="219"/>
      <c r="EC6" s="219"/>
      <c r="ED6" s="219"/>
      <c r="EE6" s="219"/>
      <c r="EF6" s="219"/>
      <c r="FO6" s="195"/>
    </row>
    <row r="7" spans="1:171">
      <c r="A7" s="441" t="s">
        <v>12</v>
      </c>
      <c r="B7" s="426" t="str">
        <f>'Portfolio Inputs'!A6</f>
        <v>Residential Lighting &amp; Appliances</v>
      </c>
      <c r="C7" s="356">
        <f>IF($C$1=2014,'Portfolio Inputs'!$C6,IF($C$1=2015,'Portfolio Inputs'!$D6,'Portfolio Inputs'!$E6))</f>
        <v>17000</v>
      </c>
      <c r="D7" s="503"/>
      <c r="E7" s="503"/>
      <c r="G7" s="513">
        <f t="shared" ref="G7:I7" si="19">SUM(G8:G12)</f>
        <v>636315.59853599989</v>
      </c>
      <c r="H7" s="513"/>
      <c r="I7" s="509">
        <f t="shared" si="19"/>
        <v>56.097701846998291</v>
      </c>
      <c r="J7" s="509"/>
      <c r="L7" s="453"/>
      <c r="M7" s="453"/>
      <c r="N7" s="453">
        <f>IF($C$1=2014,'Portfolio Inputs'!$W6,IF($C$1=2015,'Portfolio Inputs'!$X6,'Portfolio Inputs'!$Y6))</f>
        <v>51250</v>
      </c>
      <c r="O7" s="453">
        <f>IF($C$1=2014,'Portfolio Inputs'!$AA6,IF($C$1=2015,'Portfolio Inputs'!$AB6,'Portfolio Inputs'!$AC6))</f>
        <v>0</v>
      </c>
      <c r="Q7" s="442">
        <f t="shared" si="0"/>
        <v>1.9306062134863242</v>
      </c>
      <c r="R7" s="443">
        <f t="shared" si="1"/>
        <v>2.7499366553073492</v>
      </c>
      <c r="S7" s="443">
        <f t="shared" si="2"/>
        <v>2.4288772560786325</v>
      </c>
      <c r="T7" s="443">
        <f t="shared" si="3"/>
        <v>7.0000469947862758</v>
      </c>
      <c r="U7" s="443">
        <f>IF(AE7&gt;0,(AD7+AB7)/AE7,"n/a")</f>
        <v>5.8255235956900355</v>
      </c>
      <c r="V7" s="522">
        <f>IF((AA7+AC7+AD7)&gt;0,Y7/(AA7+AC7+AD7),"n/a")</f>
        <v>0.27579903605279571</v>
      </c>
      <c r="W7" s="522">
        <f>IF((AB7+AC7+AD7)&gt;0,Y7/(AB7+AC7+AD7),"n/a")</f>
        <v>0.33140475388592827</v>
      </c>
      <c r="Y7" s="444">
        <f t="shared" si="4"/>
        <v>118970.55662096679</v>
      </c>
      <c r="Z7" s="444">
        <f t="shared" si="5"/>
        <v>30705.165492173659</v>
      </c>
      <c r="AA7" s="444">
        <f t="shared" si="6"/>
        <v>388103.81548864138</v>
      </c>
      <c r="AB7" s="444">
        <f t="shared" si="7"/>
        <v>315725.66733045439</v>
      </c>
      <c r="AC7" s="445">
        <f t="shared" ref="AC7:AC91" si="20">O7/((1+DiscountRate)^(IF($C$1=2015,1,IF($C$1=2016,2,0))))</f>
        <v>0</v>
      </c>
      <c r="AD7" s="445">
        <f t="shared" ref="AD7:AD91" si="21">N7/((1+DiscountRate)^(IF($C$1=2015,1,IF($C$1=2016,2,0))))</f>
        <v>43263.017128541796</v>
      </c>
      <c r="AE7" s="526">
        <f t="shared" si="8"/>
        <v>61623.419519679039</v>
      </c>
      <c r="AG7" s="446">
        <f>SUM(AG8:AG12)</f>
        <v>0</v>
      </c>
      <c r="AH7" s="446">
        <f t="shared" ref="AH7:AZ7" si="22">SUM(AH8:AH12)</f>
        <v>0</v>
      </c>
      <c r="AI7" s="446">
        <f t="shared" si="22"/>
        <v>26964.26156374409</v>
      </c>
      <c r="AJ7" s="446">
        <f t="shared" si="22"/>
        <v>27368.725487200245</v>
      </c>
      <c r="AK7" s="446">
        <f t="shared" si="22"/>
        <v>27779.256369508246</v>
      </c>
      <c r="AL7" s="446">
        <f t="shared" si="22"/>
        <v>28195.94521505087</v>
      </c>
      <c r="AM7" s="446">
        <f t="shared" si="22"/>
        <v>28618.884393276621</v>
      </c>
      <c r="AN7" s="446">
        <f t="shared" si="22"/>
        <v>7049.4374621223542</v>
      </c>
      <c r="AO7" s="446">
        <f t="shared" si="22"/>
        <v>7155.1790240541895</v>
      </c>
      <c r="AP7" s="446">
        <f t="shared" si="22"/>
        <v>7262.5067094149999</v>
      </c>
      <c r="AQ7" s="446">
        <f t="shared" si="22"/>
        <v>5283.9918575763868</v>
      </c>
      <c r="AR7" s="446">
        <f t="shared" si="22"/>
        <v>5363.2517354400316</v>
      </c>
      <c r="AS7" s="446">
        <f t="shared" si="22"/>
        <v>3223.4859917873737</v>
      </c>
      <c r="AT7" s="446">
        <f t="shared" si="22"/>
        <v>3271.8382816641838</v>
      </c>
      <c r="AU7" s="446">
        <f t="shared" si="22"/>
        <v>3320.9158558891463</v>
      </c>
      <c r="AV7" s="446">
        <f t="shared" si="22"/>
        <v>3370.7295937274835</v>
      </c>
      <c r="AW7" s="446">
        <f t="shared" si="22"/>
        <v>0</v>
      </c>
      <c r="AX7" s="446">
        <f t="shared" si="22"/>
        <v>0</v>
      </c>
      <c r="AY7" s="446">
        <f t="shared" si="22"/>
        <v>0</v>
      </c>
      <c r="AZ7" s="446">
        <f t="shared" si="22"/>
        <v>0</v>
      </c>
      <c r="BB7" s="446">
        <f>SUM(BB8:BB12)</f>
        <v>0</v>
      </c>
      <c r="BC7" s="446">
        <f t="shared" ref="BC7:BU7" si="23">SUM(BC8:BC12)</f>
        <v>0</v>
      </c>
      <c r="BD7" s="446">
        <f t="shared" si="23"/>
        <v>7253.9978233104011</v>
      </c>
      <c r="BE7" s="446">
        <f t="shared" si="23"/>
        <v>7253.9978233104011</v>
      </c>
      <c r="BF7" s="446">
        <f t="shared" si="23"/>
        <v>7253.9978233104011</v>
      </c>
      <c r="BG7" s="446">
        <f t="shared" si="23"/>
        <v>7253.9978233104011</v>
      </c>
      <c r="BH7" s="446">
        <f t="shared" si="23"/>
        <v>7253.9978233104011</v>
      </c>
      <c r="BI7" s="446">
        <f t="shared" si="23"/>
        <v>1765.7820490913998</v>
      </c>
      <c r="BJ7" s="446">
        <f t="shared" si="23"/>
        <v>1765.7820490913998</v>
      </c>
      <c r="BK7" s="446">
        <f t="shared" si="23"/>
        <v>1765.7820490913998</v>
      </c>
      <c r="BL7" s="446">
        <f t="shared" si="23"/>
        <v>1251.1625722163999</v>
      </c>
      <c r="BM7" s="446">
        <f t="shared" si="23"/>
        <v>1251.1625722163999</v>
      </c>
      <c r="BN7" s="446">
        <f t="shared" si="23"/>
        <v>740.22489576000009</v>
      </c>
      <c r="BO7" s="446">
        <f t="shared" si="23"/>
        <v>740.22489576000009</v>
      </c>
      <c r="BP7" s="446">
        <f t="shared" si="23"/>
        <v>740.22489576000009</v>
      </c>
      <c r="BQ7" s="446">
        <f t="shared" si="23"/>
        <v>740.22489576000009</v>
      </c>
      <c r="BR7" s="446">
        <f t="shared" si="23"/>
        <v>0</v>
      </c>
      <c r="BS7" s="446">
        <f t="shared" si="23"/>
        <v>0</v>
      </c>
      <c r="BT7" s="446">
        <f t="shared" si="23"/>
        <v>0</v>
      </c>
      <c r="BU7" s="446">
        <f t="shared" si="23"/>
        <v>0</v>
      </c>
      <c r="BW7" s="446">
        <f>SUM(BW8:BW12)</f>
        <v>0</v>
      </c>
      <c r="BX7" s="446">
        <f t="shared" ref="BX7:CP7" si="24">SUM(BX8:BX12)</f>
        <v>0</v>
      </c>
      <c r="BY7" s="446">
        <f t="shared" si="24"/>
        <v>87994.476248464955</v>
      </c>
      <c r="BZ7" s="446">
        <f t="shared" si="24"/>
        <v>89314.393392191909</v>
      </c>
      <c r="CA7" s="446">
        <f t="shared" si="24"/>
        <v>90654.109293074784</v>
      </c>
      <c r="CB7" s="446">
        <f t="shared" si="24"/>
        <v>92013.920932470894</v>
      </c>
      <c r="CC7" s="446">
        <f t="shared" si="24"/>
        <v>93394.129746457955</v>
      </c>
      <c r="CD7" s="446">
        <f t="shared" si="24"/>
        <v>23075.190679802628</v>
      </c>
      <c r="CE7" s="446">
        <f t="shared" si="24"/>
        <v>23421.318539999662</v>
      </c>
      <c r="CF7" s="446">
        <f t="shared" si="24"/>
        <v>23772.63831809966</v>
      </c>
      <c r="CG7" s="446">
        <f t="shared" si="24"/>
        <v>17097.006310362434</v>
      </c>
      <c r="CH7" s="446">
        <f t="shared" si="24"/>
        <v>17353.461405017872</v>
      </c>
      <c r="CI7" s="446">
        <f t="shared" si="24"/>
        <v>10420.824928371927</v>
      </c>
      <c r="CJ7" s="446">
        <f t="shared" si="24"/>
        <v>10577.137302297506</v>
      </c>
      <c r="CK7" s="446">
        <f t="shared" si="24"/>
        <v>10735.794361831966</v>
      </c>
      <c r="CL7" s="446">
        <f t="shared" si="24"/>
        <v>10896.831277259445</v>
      </c>
      <c r="CM7" s="446">
        <f t="shared" si="24"/>
        <v>0</v>
      </c>
      <c r="CN7" s="446">
        <f t="shared" si="24"/>
        <v>0</v>
      </c>
      <c r="CO7" s="446">
        <f t="shared" si="24"/>
        <v>0</v>
      </c>
      <c r="CP7" s="446">
        <f t="shared" si="24"/>
        <v>0</v>
      </c>
      <c r="CR7" s="446">
        <f>SUM(CR8:CR12)</f>
        <v>0</v>
      </c>
      <c r="CS7" s="446">
        <f t="shared" ref="CS7:DK7" si="25">SUM(CS8:CS12)</f>
        <v>0</v>
      </c>
      <c r="CT7" s="446">
        <f t="shared" si="25"/>
        <v>71584.235006711795</v>
      </c>
      <c r="CU7" s="446">
        <f t="shared" si="25"/>
        <v>72657.998531812467</v>
      </c>
      <c r="CV7" s="446">
        <f t="shared" si="25"/>
        <v>73747.868509789652</v>
      </c>
      <c r="CW7" s="446">
        <f t="shared" si="25"/>
        <v>74854.086537436495</v>
      </c>
      <c r="CX7" s="446">
        <f t="shared" si="25"/>
        <v>75976.897835498021</v>
      </c>
      <c r="CY7" s="446">
        <f t="shared" si="25"/>
        <v>18771.858676487016</v>
      </c>
      <c r="CZ7" s="446">
        <f t="shared" si="25"/>
        <v>19053.436556634319</v>
      </c>
      <c r="DA7" s="446">
        <f t="shared" si="25"/>
        <v>19339.238104983833</v>
      </c>
      <c r="DB7" s="446">
        <f t="shared" si="25"/>
        <v>13908.556193645956</v>
      </c>
      <c r="DC7" s="446">
        <f t="shared" si="25"/>
        <v>14117.184536550645</v>
      </c>
      <c r="DD7" s="446">
        <f t="shared" si="25"/>
        <v>8477.4273618043171</v>
      </c>
      <c r="DE7" s="446">
        <f t="shared" si="25"/>
        <v>8604.5887722313801</v>
      </c>
      <c r="DF7" s="446">
        <f t="shared" si="25"/>
        <v>8733.6576038148505</v>
      </c>
      <c r="DG7" s="446">
        <f t="shared" si="25"/>
        <v>8864.6624678720727</v>
      </c>
      <c r="DH7" s="446">
        <f t="shared" si="25"/>
        <v>0</v>
      </c>
      <c r="DI7" s="446">
        <f t="shared" si="25"/>
        <v>0</v>
      </c>
      <c r="DJ7" s="446">
        <f t="shared" si="25"/>
        <v>0</v>
      </c>
      <c r="DK7" s="446">
        <f t="shared" si="25"/>
        <v>0</v>
      </c>
      <c r="DM7" s="446">
        <f t="shared" ref="DM7:DW7" si="26">SUM(DM8:DM12)</f>
        <v>0</v>
      </c>
      <c r="DN7" s="446">
        <f t="shared" si="26"/>
        <v>0</v>
      </c>
      <c r="DO7" s="446">
        <f t="shared" si="26"/>
        <v>73000</v>
      </c>
      <c r="DP7" s="446">
        <f t="shared" si="26"/>
        <v>0</v>
      </c>
      <c r="DQ7" s="446">
        <f t="shared" si="26"/>
        <v>0</v>
      </c>
      <c r="DR7" s="446">
        <f t="shared" si="26"/>
        <v>0</v>
      </c>
      <c r="DS7" s="446">
        <f t="shared" si="26"/>
        <v>0</v>
      </c>
      <c r="DT7" s="446">
        <f t="shared" si="26"/>
        <v>0</v>
      </c>
      <c r="DU7" s="446">
        <f t="shared" si="26"/>
        <v>0</v>
      </c>
      <c r="DV7" s="446">
        <f t="shared" si="26"/>
        <v>0</v>
      </c>
      <c r="DW7" s="446">
        <f t="shared" si="26"/>
        <v>0</v>
      </c>
      <c r="DY7" s="219"/>
      <c r="DZ7" s="650"/>
      <c r="EA7" s="219"/>
      <c r="EB7" s="219"/>
      <c r="EC7" s="219"/>
      <c r="ED7" s="219"/>
      <c r="EE7" s="219"/>
      <c r="EF7" s="219"/>
      <c r="FO7" s="195"/>
    </row>
    <row r="8" spans="1:171">
      <c r="A8" s="341" t="s">
        <v>12</v>
      </c>
      <c r="B8" s="427" t="str">
        <f>'Portfolio Inputs'!A7</f>
        <v>CFL</v>
      </c>
      <c r="C8" s="217">
        <f>IF($C$1=2014,'Portfolio Inputs'!$C7,IF($C$1=2015,'Portfolio Inputs'!$D7,'Portfolio Inputs'!$E7))</f>
        <v>15000</v>
      </c>
      <c r="D8" s="504">
        <f>VLOOKUP(B8,Sources!$B$4:$J$104,2,FALSE)</f>
        <v>5</v>
      </c>
      <c r="E8" s="504">
        <f>VLOOKUP(B8,Sources!$B$4:$J$104,3,FALSE)</f>
        <v>0</v>
      </c>
      <c r="G8" s="504">
        <f>IF($C$1=2014,'Portfolio Inputs'!$G7,IF($C$1=2015,'Portfolio Inputs'!$H7,'Portfolio Inputs'!$I7))*EnergyLineLoss</f>
        <v>481422.43633499998</v>
      </c>
      <c r="H8" s="504"/>
      <c r="I8" s="504">
        <f>IF($C$1=2014,'Portfolio Inputs'!$K7,IF($C$1=2015,'Portfolio Inputs'!$L7,'Portfolio Inputs'!$M7))*PeakLineLoss</f>
        <v>43.737396322499997</v>
      </c>
      <c r="J8" s="510"/>
      <c r="L8" s="606">
        <f>IF($C$1=2014,'Portfolio Inputs'!$O7,IF($C$1=2015,'Portfolio Inputs'!$P7,'Portfolio Inputs'!$Q7))</f>
        <v>1.5</v>
      </c>
      <c r="M8" s="518">
        <f>VLOOKUP($B8,Sources!$B$4:$K$104,10,FALSE)</f>
        <v>0</v>
      </c>
      <c r="N8" s="419">
        <f>IF($C$1=2014,'Portfolio Inputs'!$W7,IF($C$1=2015,'Portfolio Inputs'!$X7,'Portfolio Inputs'!$Y7))</f>
        <v>15000</v>
      </c>
      <c r="O8" s="419"/>
      <c r="Q8" s="438">
        <f t="shared" si="0"/>
        <v>3.9657450845837343</v>
      </c>
      <c r="R8" s="439">
        <f t="shared" si="1"/>
        <v>5.9486176268756017</v>
      </c>
      <c r="S8" s="439">
        <f t="shared" si="2"/>
        <v>5.0026837681973015</v>
      </c>
      <c r="T8" s="439">
        <f t="shared" si="3"/>
        <v>13.595715028712254</v>
      </c>
      <c r="U8" s="439">
        <f>IF(AE8&gt;0,(AD8+AB8)/AE8,"n/a")</f>
        <v>11.184554559407653</v>
      </c>
      <c r="V8" s="439">
        <f>IF((AA8+AC8+AD8)&gt;0,Y8/(AA8+AC8+AD8),"n/a")</f>
        <v>0.29169080671436803</v>
      </c>
      <c r="W8" s="439">
        <f>IF((AB8+AC8+AD8)&gt;0,Y8/(AB8+AC8+AD8),"n/a")</f>
        <v>0.35457335949495022</v>
      </c>
      <c r="X8" s="194"/>
      <c r="Y8" s="215">
        <f t="shared" si="4"/>
        <v>75323.457448584813</v>
      </c>
      <c r="Z8" s="215">
        <f t="shared" si="5"/>
        <v>19695.115330428871</v>
      </c>
      <c r="AA8" s="215">
        <f t="shared" si="6"/>
        <v>245568.13496030786</v>
      </c>
      <c r="AB8" s="215">
        <f t="shared" si="7"/>
        <v>199771.71105061565</v>
      </c>
      <c r="AC8" s="216">
        <f t="shared" si="20"/>
        <v>0</v>
      </c>
      <c r="AD8" s="216">
        <f t="shared" si="21"/>
        <v>12662.346476646379</v>
      </c>
      <c r="AE8" s="215">
        <f t="shared" si="8"/>
        <v>18993.519714969567</v>
      </c>
      <c r="AG8" s="214">
        <f>IF(AND(($E8+$C$1)&gt;AG$4,AG$4&gt;=$C$1),'General Inputs'!D$9*$H8,IF(AND(($D8+$C$1)&gt;AG$4,AG$4&gt;=$C$1),'General Inputs'!D$9*$G8,0))+IF(AND(($E8+$C$1)&gt;AG$4,AG$4&gt;=$C$1),'General Inputs'!D$10*$J8,IF(AND(($D8+$C$1)&gt;AG$4,AG$4&gt;=$C$1),'General Inputs'!D$10*$I8,0))</f>
        <v>0</v>
      </c>
      <c r="AH8" s="214">
        <f>IF(AND(($E8+$C$1)&gt;AH$4,AH$4&gt;=$C$1),'General Inputs'!E$9*$H8,IF(AND(($D8+$C$1)&gt;AH$4,AH$4&gt;=$C$1),'General Inputs'!E$9*$G8,0))+IF(AND(($E8+$C$1)&gt;AH$4,AH$4&gt;=$C$1),'General Inputs'!E$10*$J8,IF(AND(($D8+$C$1)&gt;AH$4,AH$4&gt;=$C$1),'General Inputs'!E$10*$I8,0))</f>
        <v>0</v>
      </c>
      <c r="AI8" s="214">
        <f>IF(AND(($E8+$C$1)&gt;AI$4,AI$4&gt;=$C$1),'General Inputs'!F$9*$H8,IF(AND(($D8+$C$1)&gt;AI$4,AI$4&gt;=$C$1),'General Inputs'!F$9*$G8,0))+IF(AND(($E8+$C$1)&gt;AI$4,AI$4&gt;=$C$1),'General Inputs'!F$10*$J8,IF(AND(($D8+$C$1)&gt;AI$4,AI$4&gt;=$C$1),'General Inputs'!F$10*$I8,0))</f>
        <v>20420.548451227682</v>
      </c>
      <c r="AJ8" s="214">
        <f>IF(AND(($E8+$C$1)&gt;AJ$4,AJ$4&gt;=$C$1),'General Inputs'!G$9*$H8,IF(AND(($D8+$C$1)&gt;AJ$4,AJ$4&gt;=$C$1),'General Inputs'!G$9*$G8,0))+IF(AND(($E8+$C$1)&gt;AJ$4,AJ$4&gt;=$C$1),'General Inputs'!G$10*$J8,IF(AND(($D8+$C$1)&gt;AJ$4,AJ$4&gt;=$C$1),'General Inputs'!G$10*$I8,0))</f>
        <v>20726.856677996097</v>
      </c>
      <c r="AK8" s="214">
        <f>IF(AND(($E8+$C$1)&gt;AK$4,AK$4&gt;=$C$1),'General Inputs'!H$9*$H8,IF(AND(($D8+$C$1)&gt;AK$4,AK$4&gt;=$C$1),'General Inputs'!H$9*$G8,0))+IF(AND(($E8+$C$1)&gt;AK$4,AK$4&gt;=$C$1),'General Inputs'!H$10*$J8,IF(AND(($D8+$C$1)&gt;AK$4,AK$4&gt;=$C$1),'General Inputs'!H$10*$I8,0))</f>
        <v>21037.759528166036</v>
      </c>
      <c r="AL8" s="214">
        <f>IF(AND(($E8+$C$1)&gt;AL$4,AL$4&gt;=$C$1),'General Inputs'!I$9*$H8,IF(AND(($D8+$C$1)&gt;AL$4,AL$4&gt;=$C$1),'General Inputs'!I$9*$G8,0))+IF(AND(($E8+$C$1)&gt;AL$4,AL$4&gt;=$C$1),'General Inputs'!I$10*$J8,IF(AND(($D8+$C$1)&gt;AL$4,AL$4&gt;=$C$1),'General Inputs'!I$10*$I8,0))</f>
        <v>21353.325921088523</v>
      </c>
      <c r="AM8" s="214">
        <f>IF(AND(($E8+$C$1)&gt;AM$4,AM$4&gt;=$C$1),'General Inputs'!J$9*$H8,IF(AND(($D8+$C$1)&gt;AM$4,AM$4&gt;=$C$1),'General Inputs'!J$9*$G8,0))+IF(AND(($E8+$C$1)&gt;AM$4,AM$4&gt;=$C$1),'General Inputs'!J$10*$J8,IF(AND(($D8+$C$1)&gt;AM$4,AM$4&gt;=$C$1),'General Inputs'!J$10*$I8,0))</f>
        <v>21673.625809904846</v>
      </c>
      <c r="AN8" s="214">
        <f>IF(AND(($E8+$C$1)&gt;AN$4,AN$4&gt;=$C$1),'General Inputs'!K$9*$H8,IF(AND(($D8+$C$1)&gt;AN$4,AN$4&gt;=$C$1),'General Inputs'!K$9*$G8,0))+IF(AND(($E8+$C$1)&gt;AN$4,AN$4&gt;=$C$1),'General Inputs'!K$10*$J8,IF(AND(($D8+$C$1)&gt;AN$4,AN$4&gt;=$C$1),'General Inputs'!K$10*$I8,0))</f>
        <v>0</v>
      </c>
      <c r="AO8" s="214">
        <f>IF(AND(($E8+$C$1)&gt;AO$4,AO$4&gt;=$C$1),'General Inputs'!L$9*$H8,IF(AND(($D8+$C$1)&gt;AO$4,AO$4&gt;=$C$1),'General Inputs'!L$9*$G8,0))+IF(AND(($E8+$C$1)&gt;AO$4,AO$4&gt;=$C$1),'General Inputs'!L$10*$J8,IF(AND(($D8+$C$1)&gt;AO$4,AO$4&gt;=$C$1),'General Inputs'!L$10*$I8,0))</f>
        <v>0</v>
      </c>
      <c r="AP8" s="214">
        <f>IF(AND(($E8+$C$1)&gt;AP$4,AP$4&gt;=$C$1),'General Inputs'!M$9*$H8,IF(AND(($D8+$C$1)&gt;AP$4,AP$4&gt;=$C$1),'General Inputs'!M$9*$G8,0))+IF(AND(($E8+$C$1)&gt;AP$4,AP$4&gt;=$C$1),'General Inputs'!M$10*$J8,IF(AND(($D8+$C$1)&gt;AP$4,AP$4&gt;=$C$1),'General Inputs'!M$10*$I8,0))</f>
        <v>0</v>
      </c>
      <c r="AQ8" s="214">
        <f>IF(AND(($E8+$C$1)&gt;AQ$4,AQ$4&gt;=$C$1),'General Inputs'!N$9*$H8,IF(AND(($D8+$C$1)&gt;AQ$4,AQ$4&gt;=$C$1),'General Inputs'!N$9*$G8,0))+IF(AND(($E8+$C$1)&gt;AQ$4,AQ$4&gt;=$C$1),'General Inputs'!N$10*$J8,IF(AND(($D8+$C$1)&gt;AQ$4,AQ$4&gt;=$C$1),'General Inputs'!N$10*$I8,0))</f>
        <v>0</v>
      </c>
      <c r="AR8" s="214">
        <f>IF(AND(($E8+$C$1)&gt;AR$4,AR$4&gt;=$C$1),'General Inputs'!O$9*$H8,IF(AND(($D8+$C$1)&gt;AR$4,AR$4&gt;=$C$1),'General Inputs'!O$9*$G8,0))+IF(AND(($E8+$C$1)&gt;AR$4,AR$4&gt;=$C$1),'General Inputs'!O$10*$J8,IF(AND(($D8+$C$1)&gt;AR$4,AR$4&gt;=$C$1),'General Inputs'!O$10*$I8,0))</f>
        <v>0</v>
      </c>
      <c r="AS8" s="214">
        <f>IF(AND(($E8+$C$1)&gt;AS$4,AS$4&gt;=$C$1),'General Inputs'!P$9*$H8,IF(AND(($D8+$C$1)&gt;AS$4,AS$4&gt;=$C$1),'General Inputs'!P$9*$G8,0))+IF(AND(($E8+$C$1)&gt;AS$4,AS$4&gt;=$C$1),'General Inputs'!P$10*$J8,IF(AND(($D8+$C$1)&gt;AS$4,AS$4&gt;=$C$1),'General Inputs'!P$10*$I8,0))</f>
        <v>0</v>
      </c>
      <c r="AT8" s="214">
        <f>IF(AND(($E8+$C$1)&gt;AT$4,AT$4&gt;=$C$1),'General Inputs'!Q$9*$H8,IF(AND(($D8+$C$1)&gt;AT$4,AT$4&gt;=$C$1),'General Inputs'!Q$9*$G8,0))+IF(AND(($E8+$C$1)&gt;AT$4,AT$4&gt;=$C$1),'General Inputs'!Q$10*$J8,IF(AND(($D8+$C$1)&gt;AT$4,AT$4&gt;=$C$1),'General Inputs'!Q$10*$I8,0))</f>
        <v>0</v>
      </c>
      <c r="AU8" s="214">
        <f>IF(AND(($E8+$C$1)&gt;AU$4,AU$4&gt;=$C$1),'General Inputs'!R$9*$H8,IF(AND(($D8+$C$1)&gt;AU$4,AU$4&gt;=$C$1),'General Inputs'!R$9*$G8,0))+IF(AND(($E8+$C$1)&gt;AU$4,AU$4&gt;=$C$1),'General Inputs'!R$10*$J8,IF(AND(($D8+$C$1)&gt;AU$4,AU$4&gt;=$C$1),'General Inputs'!R$10*$I8,0))</f>
        <v>0</v>
      </c>
      <c r="AV8" s="214">
        <f>IF(AND(($E8+$C$1)&gt;AV$4,AV$4&gt;=$C$1),'General Inputs'!S$9*$H8,IF(AND(($D8+$C$1)&gt;AV$4,AV$4&gt;=$C$1),'General Inputs'!S$9*$G8,0))+IF(AND(($E8+$C$1)&gt;AV$4,AV$4&gt;=$C$1),'General Inputs'!S$10*$J8,IF(AND(($D8+$C$1)&gt;AV$4,AV$4&gt;=$C$1),'General Inputs'!S$10*$I8,0))</f>
        <v>0</v>
      </c>
      <c r="AW8" s="214">
        <f>IF(AND(($E8+$C$1)&gt;AW$4,AW$4&gt;=$C$1),'General Inputs'!T$9*$H8,IF(AND(($D8+$C$1)&gt;AW$4,AW$4&gt;=$C$1),'General Inputs'!T$9*$G8,0))+IF(AND(($E8+$C$1)&gt;AW$4,AW$4&gt;=$C$1),'General Inputs'!T$10*$J8,IF(AND(($D8+$C$1)&gt;AW$4,AW$4&gt;=$C$1),'General Inputs'!T$10*$I8,0))</f>
        <v>0</v>
      </c>
      <c r="AX8" s="214">
        <f>IF(AND(($E8+$C$1)&gt;AX$4,AX$4&gt;=$C$1),'General Inputs'!U$9*$H8,IF(AND(($D8+$C$1)&gt;AX$4,AX$4&gt;=$C$1),'General Inputs'!U$9*$G8,0))+IF(AND(($E8+$C$1)&gt;AX$4,AX$4&gt;=$C$1),'General Inputs'!U$10*$J8,IF(AND(($D8+$C$1)&gt;AX$4,AX$4&gt;=$C$1),'General Inputs'!U$10*$I8,0))</f>
        <v>0</v>
      </c>
      <c r="AY8" s="214">
        <f>IF(AND(($E8+$C$1)&gt;AY$4,AY$4&gt;=$C$1),'General Inputs'!V$9*$H8,IF(AND(($D8+$C$1)&gt;AY$4,AY$4&gt;=$C$1),'General Inputs'!V$9*$G8,0))+IF(AND(($E8+$C$1)&gt;AY$4,AY$4&gt;=$C$1),'General Inputs'!V$10*$J8,IF(AND(($D8+$C$1)&gt;AY$4,AY$4&gt;=$C$1),'General Inputs'!V$10*$I8,0))</f>
        <v>0</v>
      </c>
      <c r="AZ8" s="214">
        <f>IF(AND(($E8+$C$1)&gt;AZ$4,AZ$4&gt;=$C$1),'General Inputs'!W$9*$H8,IF(AND(($D8+$C$1)&gt;AZ$4,AZ$4&gt;=$C$1),'General Inputs'!W$9*$G8,0))+IF(AND(($E8+$C$1)&gt;AZ$4,AZ$4&gt;=$C$1),'General Inputs'!W$10*$J8,IF(AND(($D8+$C$1)&gt;AZ$4,AZ$4&gt;=$C$1),'General Inputs'!W$10*$I8,0))</f>
        <v>0</v>
      </c>
      <c r="BB8" s="214">
        <f>IF(AND(($E8+$C$1)&gt;BB$4,BB$4&gt;=$C$1),'General Inputs'!D$11*$H8,IF(AND(($D8+$C$1)&gt;BB$4,BB$4&gt;=$C$1),'General Inputs'!D$11*$G8,0))</f>
        <v>0</v>
      </c>
      <c r="BC8" s="214">
        <f>IF(AND(($E8+$C$1)&gt;BC$4,BC$4&gt;=$C$1),'General Inputs'!E$11*$H8,IF(AND(($D8+$C$1)&gt;BC$4,BC$4&gt;=$C$1),'General Inputs'!E$11*$G8,0))</f>
        <v>0</v>
      </c>
      <c r="BD8" s="214">
        <f>IF(AND(($E8+$C$1)&gt;BD$4,BD$4&gt;=$C$1),'General Inputs'!F$11*$H8,IF(AND(($D8+$C$1)&gt;BD$4,BD$4&gt;=$C$1),'General Inputs'!F$11*$G8,0))</f>
        <v>5488.2157742190002</v>
      </c>
      <c r="BE8" s="214">
        <f>IF(AND(($E8+$C$1)&gt;BE$4,BE$4&gt;=$C$1),'General Inputs'!G$11*$H8,IF(AND(($D8+$C$1)&gt;BE$4,BE$4&gt;=$C$1),'General Inputs'!G$11*$G8,0))</f>
        <v>5488.2157742190002</v>
      </c>
      <c r="BF8" s="214">
        <f>IF(AND(($E8+$C$1)&gt;BF$4,BF$4&gt;=$C$1),'General Inputs'!H$11*$H8,IF(AND(($D8+$C$1)&gt;BF$4,BF$4&gt;=$C$1),'General Inputs'!H$11*$G8,0))</f>
        <v>5488.2157742190002</v>
      </c>
      <c r="BG8" s="214">
        <f>IF(AND(($E8+$C$1)&gt;BG$4,BG$4&gt;=$C$1),'General Inputs'!I$11*$H8,IF(AND(($D8+$C$1)&gt;BG$4,BG$4&gt;=$C$1),'General Inputs'!I$11*$G8,0))</f>
        <v>5488.2157742190002</v>
      </c>
      <c r="BH8" s="214">
        <f>IF(AND(($E8+$C$1)&gt;BH$4,BH$4&gt;=$C$1),'General Inputs'!J$11*$H8,IF(AND(($D8+$C$1)&gt;BH$4,BH$4&gt;=$C$1),'General Inputs'!J$11*$G8,0))</f>
        <v>5488.2157742190002</v>
      </c>
      <c r="BI8" s="214">
        <f>IF(AND(($E8+$C$1)&gt;BI$4,BI$4&gt;=$C$1),'General Inputs'!K$11*$H8,IF(AND(($D8+$C$1)&gt;BI$4,BI$4&gt;=$C$1),'General Inputs'!K$11*$G8,0))</f>
        <v>0</v>
      </c>
      <c r="BJ8" s="214">
        <f>IF(AND(($E8+$C$1)&gt;BJ$4,BJ$4&gt;=$C$1),'General Inputs'!L$11*$H8,IF(AND(($D8+$C$1)&gt;BJ$4,BJ$4&gt;=$C$1),'General Inputs'!L$11*$G8,0))</f>
        <v>0</v>
      </c>
      <c r="BK8" s="214">
        <f>IF(AND(($E8+$C$1)&gt;BK$4,BK$4&gt;=$C$1),'General Inputs'!M$11*$H8,IF(AND(($D8+$C$1)&gt;BK$4,BK$4&gt;=$C$1),'General Inputs'!M$11*$G8,0))</f>
        <v>0</v>
      </c>
      <c r="BL8" s="214">
        <f>IF(AND(($E8+$C$1)&gt;BL$4,BL$4&gt;=$C$1),'General Inputs'!N$11*$H8,IF(AND(($D8+$C$1)&gt;BL$4,BL$4&gt;=$C$1),'General Inputs'!N$11*$G8,0))</f>
        <v>0</v>
      </c>
      <c r="BM8" s="214">
        <f>IF(AND(($E8+$C$1)&gt;BM$4,BM$4&gt;=$C$1),'General Inputs'!O$11*$H8,IF(AND(($D8+$C$1)&gt;BM$4,BM$4&gt;=$C$1),'General Inputs'!O$11*$G8,0))</f>
        <v>0</v>
      </c>
      <c r="BN8" s="214">
        <f>IF(AND(($E8+$C$1)&gt;BN$4,BN$4&gt;=$C$1),'General Inputs'!P$11*$H8,IF(AND(($D8+$C$1)&gt;BN$4,BN$4&gt;=$C$1),'General Inputs'!P$11*$G8,0))</f>
        <v>0</v>
      </c>
      <c r="BO8" s="214">
        <f>IF(AND(($E8+$C$1)&gt;BO$4,BO$4&gt;=$C$1),'General Inputs'!Q$11*$H8,IF(AND(($D8+$C$1)&gt;BO$4,BO$4&gt;=$C$1),'General Inputs'!Q$11*$G8,0))</f>
        <v>0</v>
      </c>
      <c r="BP8" s="214">
        <f>IF(AND(($E8+$C$1)&gt;BP$4,BP$4&gt;=$C$1),'General Inputs'!R$11*$H8,IF(AND(($D8+$C$1)&gt;BP$4,BP$4&gt;=$C$1),'General Inputs'!R$11*$G8,0))</f>
        <v>0</v>
      </c>
      <c r="BQ8" s="214">
        <f>IF(AND(($E8+$C$1)&gt;BQ$4,BQ$4&gt;=$C$1),'General Inputs'!S$11*$H8,IF(AND(($D8+$C$1)&gt;BQ$4,BQ$4&gt;=$C$1),'General Inputs'!S$11*$G8,0))</f>
        <v>0</v>
      </c>
      <c r="BR8" s="214">
        <f>IF(AND(($E8+$C$1)&gt;BR$4,BR$4&gt;=$C$1),'General Inputs'!T$11*$H8,IF(AND(($D8+$C$1)&gt;BR$4,BR$4&gt;=$C$1),'General Inputs'!T$11*$G8,0))</f>
        <v>0</v>
      </c>
      <c r="BS8" s="214">
        <f>IF(AND(($E8+$C$1)&gt;BS$4,BS$4&gt;=$C$1),'General Inputs'!U$11*$H8,IF(AND(($D8+$C$1)&gt;BS$4,BS$4&gt;=$C$1),'General Inputs'!U$11*$G8,0))</f>
        <v>0</v>
      </c>
      <c r="BT8" s="214">
        <f>IF(AND(($E8+$C$1)&gt;BT$4,BT$4&gt;=$C$1),'General Inputs'!V$11*$H8,IF(AND(($D8+$C$1)&gt;BT$4,BT$4&gt;=$C$1),'General Inputs'!V$11*$G8,0))</f>
        <v>0</v>
      </c>
      <c r="BU8" s="214">
        <f>IF(AND(($E8+$C$1)&gt;BU$4,BU$4&gt;=$C$1),'General Inputs'!W$11*$H8,IF(AND(($D8+$C$1)&gt;BU$4,BU$4&gt;=$C$1),'General Inputs'!W$11*$G8,0))</f>
        <v>0</v>
      </c>
      <c r="BW8" s="214">
        <f>IF(AND(($E8+$C$1)&gt;BW$4,BW$4&gt;=$C$1),$H8,IF(AND(($D8+$C$1)&gt;BW$4,BW$4&gt;=$C$1),$G8,0))*IF($A8="Residential",'General Inputs'!D$14,'General Inputs'!D$19)</f>
        <v>0</v>
      </c>
      <c r="BX8" s="214">
        <f>IF(AND(($E8+$C$1)&gt;BX$4,BX$4&gt;=$C$1),$H8,IF(AND(($D8+$C$1)&gt;BX$4,BX$4&gt;=$C$1),$G8,0))*IF($A8="Residential",'General Inputs'!E$14,'General Inputs'!E$19)</f>
        <v>0</v>
      </c>
      <c r="BY8" s="214">
        <f>IF(AND(($E8+$C$1)&gt;BY$4,BY$4&gt;=$C$1),$H8,IF(AND(($D8+$C$1)&gt;BY$4,BY$4&gt;=$C$1),$G8,0))*IF($A8="Residential",'General Inputs'!F$14,'General Inputs'!F$19)</f>
        <v>66574.69223923418</v>
      </c>
      <c r="BZ8" s="214">
        <f>IF(AND(($E8+$C$1)&gt;BZ$4,BZ$4&gt;=$C$1),$H8,IF(AND(($D8+$C$1)&gt;BZ$4,BZ$4&gt;=$C$1),$G8,0))*IF($A8="Residential",'General Inputs'!G$14,'General Inputs'!G$19)</f>
        <v>67573.312622822676</v>
      </c>
      <c r="CA8" s="214">
        <f>IF(AND(($E8+$C$1)&gt;CA$4,CA$4&gt;=$C$1),$H8,IF(AND(($D8+$C$1)&gt;CA$4,CA$4&gt;=$C$1),$G8,0))*IF($A8="Residential",'General Inputs'!H$14,'General Inputs'!H$19)</f>
        <v>68586.912312165019</v>
      </c>
      <c r="CB8" s="214">
        <f>IF(AND(($E8+$C$1)&gt;CB$4,CB$4&gt;=$C$1),$H8,IF(AND(($D8+$C$1)&gt;CB$4,CB$4&gt;=$C$1),$G8,0))*IF($A8="Residential",'General Inputs'!I$14,'General Inputs'!I$19)</f>
        <v>69615.715996847488</v>
      </c>
      <c r="CC8" s="214">
        <f>IF(AND(($E8+$C$1)&gt;CC$4,CC$4&gt;=$C$1),$H8,IF(AND(($D8+$C$1)&gt;CC$4,CC$4&gt;=$C$1),$G8,0))*IF($A8="Residential",'General Inputs'!J$14,'General Inputs'!J$19)</f>
        <v>70659.951736800183</v>
      </c>
      <c r="CD8" s="214">
        <f>IF(AND(($E8+$C$1)&gt;CD$4,CD$4&gt;=$C$1),$H8,IF(AND(($D8+$C$1)&gt;CD$4,CD$4&gt;=$C$1),$G8,0))*IF($A8="Residential",'General Inputs'!K$14,'General Inputs'!K$19)</f>
        <v>0</v>
      </c>
      <c r="CE8" s="214">
        <f>IF(AND(($E8+$C$1)&gt;CE$4,CE$4&gt;=$C$1),$H8,IF(AND(($D8+$C$1)&gt;CE$4,CE$4&gt;=$C$1),$G8,0))*IF($A8="Residential",'General Inputs'!L$14,'General Inputs'!L$19)</f>
        <v>0</v>
      </c>
      <c r="CF8" s="214">
        <f>IF(AND(($E8+$C$1)&gt;CF$4,CF$4&gt;=$C$1),$H8,IF(AND(($D8+$C$1)&gt;CF$4,CF$4&gt;=$C$1),$G8,0))*IF($A8="Residential",'General Inputs'!M$14,'General Inputs'!M$19)</f>
        <v>0</v>
      </c>
      <c r="CG8" s="214">
        <f>IF(AND(($E8+$C$1)&gt;CG$4,CG$4&gt;=$C$1),$H8,IF(AND(($D8+$C$1)&gt;CG$4,CG$4&gt;=$C$1),$G8,0))*IF($A8="Residential",'General Inputs'!N$14,'General Inputs'!N$19)</f>
        <v>0</v>
      </c>
      <c r="CH8" s="214">
        <f>IF(AND(($E8+$C$1)&gt;CH$4,CH$4&gt;=$C$1),$H8,IF(AND(($D8+$C$1)&gt;CH$4,CH$4&gt;=$C$1),$G8,0))*IF($A8="Residential",'General Inputs'!O$14,'General Inputs'!O$19)</f>
        <v>0</v>
      </c>
      <c r="CI8" s="214">
        <f>IF(AND(($E8+$C$1)&gt;CI$4,CI$4&gt;=$C$1),$H8,IF(AND(($D8+$C$1)&gt;CI$4,CI$4&gt;=$C$1),$G8,0))*IF($A8="Residential",'General Inputs'!P$14,'General Inputs'!P$19)</f>
        <v>0</v>
      </c>
      <c r="CJ8" s="214">
        <f>IF(AND(($E8+$C$1)&gt;CJ$4,CJ$4&gt;=$C$1),$H8,IF(AND(($D8+$C$1)&gt;CJ$4,CJ$4&gt;=$C$1),$G8,0))*IF($A8="Residential",'General Inputs'!Q$14,'General Inputs'!Q$19)</f>
        <v>0</v>
      </c>
      <c r="CK8" s="214">
        <f>IF(AND(($E8+$C$1)&gt;CK$4,CK$4&gt;=$C$1),$H8,IF(AND(($D8+$C$1)&gt;CK$4,CK$4&gt;=$C$1),$G8,0))*IF($A8="Residential",'General Inputs'!R$14,'General Inputs'!R$19)</f>
        <v>0</v>
      </c>
      <c r="CL8" s="214">
        <f>IF(AND(($E8+$C$1)&gt;CL$4,CL$4&gt;=$C$1),$H8,IF(AND(($D8+$C$1)&gt;CL$4,CL$4&gt;=$C$1),$G8,0))*IF($A8="Residential",'General Inputs'!S$14,'General Inputs'!S$19)</f>
        <v>0</v>
      </c>
      <c r="CM8" s="214">
        <f>IF(AND(($E8+$C$1)&gt;CM$4,CM$4&gt;=$C$1),$H8,IF(AND(($D8+$C$1)&gt;CM$4,CM$4&gt;=$C$1),$G8,0))*IF($A8="Residential",'General Inputs'!T$14,'General Inputs'!T$19)</f>
        <v>0</v>
      </c>
      <c r="CN8" s="214">
        <f>IF(AND(($E8+$C$1)&gt;CN$4,CN$4&gt;=$C$1),$H8,IF(AND(($D8+$C$1)&gt;CN$4,CN$4&gt;=$C$1),$G8,0))*IF($A8="Residential",'General Inputs'!U$14,'General Inputs'!U$19)</f>
        <v>0</v>
      </c>
      <c r="CO8" s="214">
        <f>IF(AND(($E8+$C$1)&gt;CO$4,CO$4&gt;=$C$1),$H8,IF(AND(($D8+$C$1)&gt;CO$4,CO$4&gt;=$C$1),$G8,0))*IF($A8="Residential",'General Inputs'!V$14,'General Inputs'!V$19)</f>
        <v>0</v>
      </c>
      <c r="CP8" s="214">
        <f>IF(AND(($E8+$C$1)&gt;CP$4,CP$4&gt;=$C$1),$H8,IF(AND(($D8+$C$1)&gt;CP$4,CP$4&gt;=$C$1),$G8,0))*IF($A8="Residential",'General Inputs'!W$14,'General Inputs'!W$19)</f>
        <v>0</v>
      </c>
      <c r="CR8" s="214">
        <f>IF(AND(($E8+$C$1)&gt;CR$4,CR$4&gt;=$C$1),$H8,IF(AND(($D8+$C$1)&gt;CR$4,CR$4&gt;=$C$1),$G8,0))*IF($A8="Residential",'General Inputs'!D$15,'General Inputs'!D$19)</f>
        <v>0</v>
      </c>
      <c r="CS8" s="214">
        <f>IF(AND(($E8+$C$1)&gt;CS$4,CS$4&gt;=$C$1),$H8,IF(AND(($D8+$C$1)&gt;CS$4,CS$4&gt;=$C$1),$G8,0))*IF($A8="Residential",'General Inputs'!E$15,'General Inputs'!E$19)</f>
        <v>0</v>
      </c>
      <c r="CT8" s="214">
        <f>IF(AND(($E8+$C$1)&gt;CT$4,CT$4&gt;=$C$1),$H8,IF(AND(($D8+$C$1)&gt;CT$4,CT$4&gt;=$C$1),$G8,0))*IF($A8="Residential",'General Inputs'!F$15,'General Inputs'!F$19)</f>
        <v>54159.063363207286</v>
      </c>
      <c r="CU8" s="214">
        <f>IF(AND(($E8+$C$1)&gt;CU$4,CU$4&gt;=$C$1),$H8,IF(AND(($D8+$C$1)&gt;CU$4,CU$4&gt;=$C$1),$G8,0))*IF($A8="Residential",'General Inputs'!G$15,'General Inputs'!G$19)</f>
        <v>54971.449313655387</v>
      </c>
      <c r="CV8" s="214">
        <f>IF(AND(($E8+$C$1)&gt;CV$4,CV$4&gt;=$C$1),$H8,IF(AND(($D8+$C$1)&gt;CV$4,CV$4&gt;=$C$1),$G8,0))*IF($A8="Residential",'General Inputs'!H$15,'General Inputs'!H$19)</f>
        <v>55796.021053360215</v>
      </c>
      <c r="CW8" s="214">
        <f>IF(AND(($E8+$C$1)&gt;CW$4,CW$4&gt;=$C$1),$H8,IF(AND(($D8+$C$1)&gt;CW$4,CW$4&gt;=$C$1),$G8,0))*IF($A8="Residential",'General Inputs'!I$15,'General Inputs'!I$19)</f>
        <v>56632.961369160614</v>
      </c>
      <c r="CX8" s="214">
        <f>IF(AND(($E8+$C$1)&gt;CX$4,CX$4&gt;=$C$1),$H8,IF(AND(($D8+$C$1)&gt;CX$4,CX$4&gt;=$C$1),$G8,0))*IF($A8="Residential",'General Inputs'!J$15,'General Inputs'!J$19)</f>
        <v>57482.455789698011</v>
      </c>
      <c r="CY8" s="214">
        <f>IF(AND(($E8+$C$1)&gt;CY$4,CY$4&gt;=$C$1),$H8,IF(AND(($D8+$C$1)&gt;CY$4,CY$4&gt;=$C$1),$G8,0))*IF($A8="Residential",'General Inputs'!K$15,'General Inputs'!K$19)</f>
        <v>0</v>
      </c>
      <c r="CZ8" s="214">
        <f>IF(AND(($E8+$C$1)&gt;CZ$4,CZ$4&gt;=$C$1),$H8,IF(AND(($D8+$C$1)&gt;CZ$4,CZ$4&gt;=$C$1),$G8,0))*IF($A8="Residential",'General Inputs'!L$15,'General Inputs'!L$19)</f>
        <v>0</v>
      </c>
      <c r="DA8" s="214">
        <f>IF(AND(($E8+$C$1)&gt;DA$4,DA$4&gt;=$C$1),$H8,IF(AND(($D8+$C$1)&gt;DA$4,DA$4&gt;=$C$1),$G8,0))*IF($A8="Residential",'General Inputs'!M$15,'General Inputs'!M$19)</f>
        <v>0</v>
      </c>
      <c r="DB8" s="214">
        <f>IF(AND(($E8+$C$1)&gt;DB$4,DB$4&gt;=$C$1),$H8,IF(AND(($D8+$C$1)&gt;DB$4,DB$4&gt;=$C$1),$G8,0))*IF($A8="Residential",'General Inputs'!N$15,'General Inputs'!N$19)</f>
        <v>0</v>
      </c>
      <c r="DC8" s="214">
        <f>IF(AND(($E8+$C$1)&gt;DC$4,DC$4&gt;=$C$1),$H8,IF(AND(($D8+$C$1)&gt;DC$4,DC$4&gt;=$C$1),$G8,0))*IF($A8="Residential",'General Inputs'!O$15,'General Inputs'!O$19)</f>
        <v>0</v>
      </c>
      <c r="DD8" s="214">
        <f>IF(AND(($E8+$C$1)&gt;DD$4,DD$4&gt;=$C$1),$H8,IF(AND(($D8+$C$1)&gt;DD$4,DD$4&gt;=$C$1),$G8,0))*IF($A8="Residential",'General Inputs'!P$15,'General Inputs'!P$19)</f>
        <v>0</v>
      </c>
      <c r="DE8" s="214">
        <f>IF(AND(($E8+$C$1)&gt;DE$4,DE$4&gt;=$C$1),$H8,IF(AND(($D8+$C$1)&gt;DE$4,DE$4&gt;=$C$1),$G8,0))*IF($A8="Residential",'General Inputs'!Q$15,'General Inputs'!Q$19)</f>
        <v>0</v>
      </c>
      <c r="DF8" s="214">
        <f>IF(AND(($E8+$C$1)&gt;DF$4,DF$4&gt;=$C$1),$H8,IF(AND(($D8+$C$1)&gt;DF$4,DF$4&gt;=$C$1),$G8,0))*IF($A8="Residential",'General Inputs'!R$15,'General Inputs'!R$19)</f>
        <v>0</v>
      </c>
      <c r="DG8" s="214">
        <f>IF(AND(($E8+$C$1)&gt;DG$4,DG$4&gt;=$C$1),$H8,IF(AND(($D8+$C$1)&gt;DG$4,DG$4&gt;=$C$1),$G8,0))*IF($A8="Residential",'General Inputs'!S$15,'General Inputs'!S$19)</f>
        <v>0</v>
      </c>
      <c r="DH8" s="214">
        <f>IF(AND(($E8+$C$1)&gt;DH$4,DH$4&gt;=$C$1),$H8,IF(AND(($D8+$C$1)&gt;DH$4,DH$4&gt;=$C$1),$G8,0))*IF($A8="Residential",'General Inputs'!T$15,'General Inputs'!T$19)</f>
        <v>0</v>
      </c>
      <c r="DI8" s="214">
        <f>IF(AND(($E8+$C$1)&gt;DI$4,DI$4&gt;=$C$1),$H8,IF(AND(($D8+$C$1)&gt;DI$4,DI$4&gt;=$C$1),$G8,0))*IF($A8="Residential",'General Inputs'!U$15,'General Inputs'!U$19)</f>
        <v>0</v>
      </c>
      <c r="DJ8" s="214">
        <f>IF(AND(($E8+$C$1)&gt;DJ$4,DJ$4&gt;=$C$1),$H8,IF(AND(($D8+$C$1)&gt;DJ$4,DJ$4&gt;=$C$1),$G8,0))*IF($A8="Residential",'General Inputs'!V$15,'General Inputs'!V$19)</f>
        <v>0</v>
      </c>
      <c r="DK8" s="214">
        <f>IF(AND(($E8+$C$1)&gt;DK$4,DK$4&gt;=$C$1),$H8,IF(AND(($D8+$C$1)&gt;DK$4,DK$4&gt;=$C$1),$G8,0))*IF($A8="Residential",'General Inputs'!W$15,'General Inputs'!W$19)</f>
        <v>0</v>
      </c>
      <c r="DM8" s="214">
        <f>IF($C$1=DM$4,$L8*$C8,IF($E8+$C$1=DM$4,-$M8*$C8,0))</f>
        <v>0</v>
      </c>
      <c r="DN8" s="214">
        <f t="shared" ref="DN8:DW28" si="27">IF($C$1=DN$4,$L8*$C8,IF($E8+$C$1=DN$4,-$M8*$C8,0))</f>
        <v>0</v>
      </c>
      <c r="DO8" s="214">
        <f t="shared" si="27"/>
        <v>22500</v>
      </c>
      <c r="DP8" s="214">
        <f t="shared" si="27"/>
        <v>0</v>
      </c>
      <c r="DQ8" s="214">
        <f t="shared" si="27"/>
        <v>0</v>
      </c>
      <c r="DR8" s="214">
        <f t="shared" si="27"/>
        <v>0</v>
      </c>
      <c r="DS8" s="214">
        <f t="shared" si="27"/>
        <v>0</v>
      </c>
      <c r="DT8" s="214">
        <f t="shared" si="27"/>
        <v>0</v>
      </c>
      <c r="DU8" s="214">
        <f t="shared" si="27"/>
        <v>0</v>
      </c>
      <c r="DV8" s="214">
        <f t="shared" si="27"/>
        <v>0</v>
      </c>
      <c r="DW8" s="214">
        <f t="shared" si="27"/>
        <v>0</v>
      </c>
      <c r="DY8" s="219"/>
      <c r="DZ8" s="650"/>
      <c r="EA8" s="219"/>
      <c r="EB8" s="219"/>
      <c r="EC8" s="219"/>
      <c r="ED8" s="219"/>
      <c r="EE8" s="219"/>
      <c r="EF8" s="219"/>
      <c r="FI8" s="195"/>
      <c r="FJ8" s="195"/>
      <c r="FK8" s="195"/>
      <c r="FL8" s="195"/>
      <c r="FM8" s="195"/>
      <c r="FN8" s="195"/>
      <c r="FO8" s="195"/>
    </row>
    <row r="9" spans="1:171">
      <c r="A9" s="341" t="s">
        <v>12</v>
      </c>
      <c r="B9" s="427" t="str">
        <f>'Portfolio Inputs'!A8</f>
        <v>LED</v>
      </c>
      <c r="C9" s="217">
        <f>IF($C$1=2014,'Portfolio Inputs'!$C8,IF($C$1=2015,'Portfolio Inputs'!$D8,'Portfolio Inputs'!$E8))</f>
        <v>700</v>
      </c>
      <c r="D9" s="504">
        <f>VLOOKUP(B9,Sources!$B$4:$J$104,2,FALSE)</f>
        <v>10</v>
      </c>
      <c r="E9" s="504">
        <f>VLOOKUP(B9,Sources!$B$4:$J$104,3,FALSE)</f>
        <v>0</v>
      </c>
      <c r="G9" s="504">
        <f>IF($C$1=2014,'Portfolio Inputs'!$G8,IF($C$1=2015,'Portfolio Inputs'!$H8,'Portfolio Inputs'!$I8))*EnergyLineLoss</f>
        <v>29093.154425999997</v>
      </c>
      <c r="H9" s="504"/>
      <c r="I9" s="504">
        <f>IF($C$1=2014,'Portfolio Inputs'!$K8,IF($C$1=2015,'Portfolio Inputs'!$L8,'Portfolio Inputs'!$M8))*PeakLineLoss</f>
        <v>2.6431232309999997</v>
      </c>
      <c r="J9" s="510"/>
      <c r="L9" s="606">
        <f>IF($C$1=2014,'Portfolio Inputs'!$O8,IF($C$1=2015,'Portfolio Inputs'!$P8,'Portfolio Inputs'!$Q8))</f>
        <v>20</v>
      </c>
      <c r="M9" s="518">
        <f>VLOOKUP($B9,Sources!$B$4:$K$104,10,FALSE)</f>
        <v>0</v>
      </c>
      <c r="N9" s="419">
        <f>IF($C$1=2014,'Portfolio Inputs'!$W8,IF($C$1=2015,'Portfolio Inputs'!$X8,'Portfolio Inputs'!$Y8))</f>
        <v>5250</v>
      </c>
      <c r="O9" s="419"/>
      <c r="Q9" s="438">
        <f t="shared" si="0"/>
        <v>0.65682580295679793</v>
      </c>
      <c r="R9" s="439">
        <f t="shared" si="1"/>
        <v>1.7515354745514611</v>
      </c>
      <c r="S9" s="439">
        <f t="shared" si="2"/>
        <v>0.82347270476675172</v>
      </c>
      <c r="T9" s="439">
        <f t="shared" si="3"/>
        <v>2.5163712658637118</v>
      </c>
      <c r="U9" s="439">
        <f>IF(AE9&gt;0,(AD9+AB9)/AE9,"n/a")</f>
        <v>2.1170232549526879</v>
      </c>
      <c r="V9" s="439">
        <f>IF((AA9+AC9+AD9)&gt;0,Y9/(AA9+AC9+AD9),"n/a")</f>
        <v>0.26102102335497418</v>
      </c>
      <c r="W9" s="439">
        <f>IF((AB9+AC9+AD9)&gt;0,Y9/(AB9+AC9+AD9),"n/a")</f>
        <v>0.31025913457501292</v>
      </c>
      <c r="Y9" s="215">
        <f t="shared" si="4"/>
        <v>7762.492165717742</v>
      </c>
      <c r="Z9" s="215">
        <f t="shared" si="5"/>
        <v>1969.4647559788173</v>
      </c>
      <c r="AA9" s="215">
        <f t="shared" si="6"/>
        <v>25307.132576601089</v>
      </c>
      <c r="AB9" s="215">
        <f t="shared" si="7"/>
        <v>20587.561889613808</v>
      </c>
      <c r="AC9" s="216">
        <f t="shared" si="20"/>
        <v>0</v>
      </c>
      <c r="AD9" s="216">
        <f t="shared" si="21"/>
        <v>4431.8212668262322</v>
      </c>
      <c r="AE9" s="215">
        <f t="shared" si="8"/>
        <v>11818.190044869953</v>
      </c>
      <c r="AG9" s="214">
        <f>IF(AND(($E9+$C$1)&gt;AG$4,AG$4&gt;=$C$1),'General Inputs'!D$9*$H9,IF(AND(($D9+$C$1)&gt;AG$4,AG$4&gt;=$C$1),'General Inputs'!D$9*$G9,0))+IF(AND(($E9+$C$1)&gt;AG$4,AG$4&gt;=$C$1),'General Inputs'!D$10*$J9,IF(AND(($D9+$C$1)&gt;AG$4,AG$4&gt;=$C$1),'General Inputs'!D$10*$I9,0))</f>
        <v>0</v>
      </c>
      <c r="AH9" s="214">
        <f>IF(AND(($E9+$C$1)&gt;AH$4,AH$4&gt;=$C$1),'General Inputs'!E$9*$H9,IF(AND(($D9+$C$1)&gt;AH$4,AH$4&gt;=$C$1),'General Inputs'!E$9*$G9,0))+IF(AND(($E9+$C$1)&gt;AH$4,AH$4&gt;=$C$1),'General Inputs'!E$10*$J9,IF(AND(($D9+$C$1)&gt;AH$4,AH$4&gt;=$C$1),'General Inputs'!E$10*$I9,0))</f>
        <v>0</v>
      </c>
      <c r="AI9" s="214">
        <f>IF(AND(($E9+$C$1)&gt;AI$4,AI$4&gt;=$C$1),'General Inputs'!F$9*$H9,IF(AND(($D9+$C$1)&gt;AI$4,AI$4&gt;=$C$1),'General Inputs'!F$9*$G9,0))+IF(AND(($E9+$C$1)&gt;AI$4,AI$4&gt;=$C$1),'General Inputs'!F$10*$J9,IF(AND(($D9+$C$1)&gt;AI$4,AI$4&gt;=$C$1),'General Inputs'!F$10*$I9,0))</f>
        <v>1234.0475323044068</v>
      </c>
      <c r="AJ9" s="214">
        <f>IF(AND(($E9+$C$1)&gt;AJ$4,AJ$4&gt;=$C$1),'General Inputs'!G$9*$H9,IF(AND(($D9+$C$1)&gt;AJ$4,AJ$4&gt;=$C$1),'General Inputs'!G$9*$G9,0))+IF(AND(($E9+$C$1)&gt;AJ$4,AJ$4&gt;=$C$1),'General Inputs'!G$10*$J9,IF(AND(($D9+$C$1)&gt;AJ$4,AJ$4&gt;=$C$1),'General Inputs'!G$10*$I9,0))</f>
        <v>1252.5582452889728</v>
      </c>
      <c r="AK9" s="214">
        <f>IF(AND(($E9+$C$1)&gt;AK$4,AK$4&gt;=$C$1),'General Inputs'!H$9*$H9,IF(AND(($D9+$C$1)&gt;AK$4,AK$4&gt;=$C$1),'General Inputs'!H$9*$G9,0))+IF(AND(($E9+$C$1)&gt;AK$4,AK$4&gt;=$C$1),'General Inputs'!H$10*$J9,IF(AND(($D9+$C$1)&gt;AK$4,AK$4&gt;=$C$1),'General Inputs'!H$10*$I9,0))</f>
        <v>1271.3466189683072</v>
      </c>
      <c r="AL9" s="214">
        <f>IF(AND(($E9+$C$1)&gt;AL$4,AL$4&gt;=$C$1),'General Inputs'!I$9*$H9,IF(AND(($D9+$C$1)&gt;AL$4,AL$4&gt;=$C$1),'General Inputs'!I$9*$G9,0))+IF(AND(($E9+$C$1)&gt;AL$4,AL$4&gt;=$C$1),'General Inputs'!I$10*$J9,IF(AND(($D9+$C$1)&gt;AL$4,AL$4&gt;=$C$1),'General Inputs'!I$10*$I9,0))</f>
        <v>1290.4168182528317</v>
      </c>
      <c r="AM9" s="214">
        <f>IF(AND(($E9+$C$1)&gt;AM$4,AM$4&gt;=$C$1),'General Inputs'!J$9*$H9,IF(AND(($D9+$C$1)&gt;AM$4,AM$4&gt;=$C$1),'General Inputs'!J$9*$G9,0))+IF(AND(($E9+$C$1)&gt;AM$4,AM$4&gt;=$C$1),'General Inputs'!J$10*$J9,IF(AND(($D9+$C$1)&gt;AM$4,AM$4&gt;=$C$1),'General Inputs'!J$10*$I9,0))</f>
        <v>1309.7730705266238</v>
      </c>
      <c r="AN9" s="214">
        <f>IF(AND(($E9+$C$1)&gt;AN$4,AN$4&gt;=$C$1),'General Inputs'!K$9*$H9,IF(AND(($D9+$C$1)&gt;AN$4,AN$4&gt;=$C$1),'General Inputs'!K$9*$G9,0))+IF(AND(($E9+$C$1)&gt;AN$4,AN$4&gt;=$C$1),'General Inputs'!K$10*$J9,IF(AND(($D9+$C$1)&gt;AN$4,AN$4&gt;=$C$1),'General Inputs'!K$10*$I9,0))</f>
        <v>1329.4196665845232</v>
      </c>
      <c r="AO9" s="214">
        <f>IF(AND(($E9+$C$1)&gt;AO$4,AO$4&gt;=$C$1),'General Inputs'!L$9*$H9,IF(AND(($D9+$C$1)&gt;AO$4,AO$4&gt;=$C$1),'General Inputs'!L$9*$G9,0))+IF(AND(($E9+$C$1)&gt;AO$4,AO$4&gt;=$C$1),'General Inputs'!L$10*$J9,IF(AND(($D9+$C$1)&gt;AO$4,AO$4&gt;=$C$1),'General Inputs'!L$10*$I9,0))</f>
        <v>1349.3609615832906</v>
      </c>
      <c r="AP9" s="214">
        <f>IF(AND(($E9+$C$1)&gt;AP$4,AP$4&gt;=$C$1),'General Inputs'!M$9*$H9,IF(AND(($D9+$C$1)&gt;AP$4,AP$4&gt;=$C$1),'General Inputs'!M$9*$G9,0))+IF(AND(($E9+$C$1)&gt;AP$4,AP$4&gt;=$C$1),'General Inputs'!M$10*$J9,IF(AND(($D9+$C$1)&gt;AP$4,AP$4&gt;=$C$1),'General Inputs'!M$10*$I9,0))</f>
        <v>1369.6013760070398</v>
      </c>
      <c r="AQ9" s="214">
        <f>IF(AND(($E9+$C$1)&gt;AQ$4,AQ$4&gt;=$C$1),'General Inputs'!N$9*$H9,IF(AND(($D9+$C$1)&gt;AQ$4,AQ$4&gt;=$C$1),'General Inputs'!N$9*$G9,0))+IF(AND(($E9+$C$1)&gt;AQ$4,AQ$4&gt;=$C$1),'General Inputs'!N$10*$J9,IF(AND(($D9+$C$1)&gt;AQ$4,AQ$4&gt;=$C$1),'General Inputs'!N$10*$I9,0))</f>
        <v>1390.1453966471454</v>
      </c>
      <c r="AR9" s="214">
        <f>IF(AND(($E9+$C$1)&gt;AR$4,AR$4&gt;=$C$1),'General Inputs'!O$9*$H9,IF(AND(($D9+$C$1)&gt;AR$4,AR$4&gt;=$C$1),'General Inputs'!O$9*$G9,0))+IF(AND(($E9+$C$1)&gt;AR$4,AR$4&gt;=$C$1),'General Inputs'!O$10*$J9,IF(AND(($D9+$C$1)&gt;AR$4,AR$4&gt;=$C$1),'General Inputs'!O$10*$I9,0))</f>
        <v>1410.9975775968524</v>
      </c>
      <c r="AS9" s="214">
        <f>IF(AND(($E9+$C$1)&gt;AS$4,AS$4&gt;=$C$1),'General Inputs'!P$9*$H9,IF(AND(($D9+$C$1)&gt;AS$4,AS$4&gt;=$C$1),'General Inputs'!P$9*$G9,0))+IF(AND(($E9+$C$1)&gt;AS$4,AS$4&gt;=$C$1),'General Inputs'!P$10*$J9,IF(AND(($D9+$C$1)&gt;AS$4,AS$4&gt;=$C$1),'General Inputs'!P$10*$I9,0))</f>
        <v>0</v>
      </c>
      <c r="AT9" s="214">
        <f>IF(AND(($E9+$C$1)&gt;AT$4,AT$4&gt;=$C$1),'General Inputs'!Q$9*$H9,IF(AND(($D9+$C$1)&gt;AT$4,AT$4&gt;=$C$1),'General Inputs'!Q$9*$G9,0))+IF(AND(($E9+$C$1)&gt;AT$4,AT$4&gt;=$C$1),'General Inputs'!Q$10*$J9,IF(AND(($D9+$C$1)&gt;AT$4,AT$4&gt;=$C$1),'General Inputs'!Q$10*$I9,0))</f>
        <v>0</v>
      </c>
      <c r="AU9" s="214">
        <f>IF(AND(($E9+$C$1)&gt;AU$4,AU$4&gt;=$C$1),'General Inputs'!R$9*$H9,IF(AND(($D9+$C$1)&gt;AU$4,AU$4&gt;=$C$1),'General Inputs'!R$9*$G9,0))+IF(AND(($E9+$C$1)&gt;AU$4,AU$4&gt;=$C$1),'General Inputs'!R$10*$J9,IF(AND(($D9+$C$1)&gt;AU$4,AU$4&gt;=$C$1),'General Inputs'!R$10*$I9,0))</f>
        <v>0</v>
      </c>
      <c r="AV9" s="214">
        <f>IF(AND(($E9+$C$1)&gt;AV$4,AV$4&gt;=$C$1),'General Inputs'!S$9*$H9,IF(AND(($D9+$C$1)&gt;AV$4,AV$4&gt;=$C$1),'General Inputs'!S$9*$G9,0))+IF(AND(($E9+$C$1)&gt;AV$4,AV$4&gt;=$C$1),'General Inputs'!S$10*$J9,IF(AND(($D9+$C$1)&gt;AV$4,AV$4&gt;=$C$1),'General Inputs'!S$10*$I9,0))</f>
        <v>0</v>
      </c>
      <c r="AW9" s="214">
        <f>IF(AND(($E9+$C$1)&gt;AW$4,AW$4&gt;=$C$1),'General Inputs'!T$9*$H9,IF(AND(($D9+$C$1)&gt;AW$4,AW$4&gt;=$C$1),'General Inputs'!T$9*$G9,0))+IF(AND(($E9+$C$1)&gt;AW$4,AW$4&gt;=$C$1),'General Inputs'!T$10*$J9,IF(AND(($D9+$C$1)&gt;AW$4,AW$4&gt;=$C$1),'General Inputs'!T$10*$I9,0))</f>
        <v>0</v>
      </c>
      <c r="AX9" s="214">
        <f>IF(AND(($E9+$C$1)&gt;AX$4,AX$4&gt;=$C$1),'General Inputs'!U$9*$H9,IF(AND(($D9+$C$1)&gt;AX$4,AX$4&gt;=$C$1),'General Inputs'!U$9*$G9,0))+IF(AND(($E9+$C$1)&gt;AX$4,AX$4&gt;=$C$1),'General Inputs'!U$10*$J9,IF(AND(($D9+$C$1)&gt;AX$4,AX$4&gt;=$C$1),'General Inputs'!U$10*$I9,0))</f>
        <v>0</v>
      </c>
      <c r="AY9" s="214">
        <f>IF(AND(($E9+$C$1)&gt;AY$4,AY$4&gt;=$C$1),'General Inputs'!V$9*$H9,IF(AND(($D9+$C$1)&gt;AY$4,AY$4&gt;=$C$1),'General Inputs'!V$9*$G9,0))+IF(AND(($E9+$C$1)&gt;AY$4,AY$4&gt;=$C$1),'General Inputs'!V$10*$J9,IF(AND(($D9+$C$1)&gt;AY$4,AY$4&gt;=$C$1),'General Inputs'!V$10*$I9,0))</f>
        <v>0</v>
      </c>
      <c r="AZ9" s="214">
        <f>IF(AND(($E9+$C$1)&gt;AZ$4,AZ$4&gt;=$C$1),'General Inputs'!W$9*$H9,IF(AND(($D9+$C$1)&gt;AZ$4,AZ$4&gt;=$C$1),'General Inputs'!W$9*$G9,0))+IF(AND(($E9+$C$1)&gt;AZ$4,AZ$4&gt;=$C$1),'General Inputs'!W$10*$J9,IF(AND(($D9+$C$1)&gt;AZ$4,AZ$4&gt;=$C$1),'General Inputs'!W$10*$I9,0))</f>
        <v>0</v>
      </c>
      <c r="BB9" s="214">
        <f>IF(AND(($E9+$C$1)&gt;BB$4,BB$4&gt;=$C$1),'General Inputs'!D$11*$H9,IF(AND(($D9+$C$1)&gt;BB$4,BB$4&gt;=$C$1),'General Inputs'!D$11*$G9,0))</f>
        <v>0</v>
      </c>
      <c r="BC9" s="214">
        <f>IF(AND(($E9+$C$1)&gt;BC$4,BC$4&gt;=$C$1),'General Inputs'!E$11*$H9,IF(AND(($D9+$C$1)&gt;BC$4,BC$4&gt;=$C$1),'General Inputs'!E$11*$G9,0))</f>
        <v>0</v>
      </c>
      <c r="BD9" s="214">
        <f>IF(AND(($E9+$C$1)&gt;BD$4,BD$4&gt;=$C$1),'General Inputs'!F$11*$H9,IF(AND(($D9+$C$1)&gt;BD$4,BD$4&gt;=$C$1),'General Inputs'!F$11*$G9,0))</f>
        <v>331.66196045639998</v>
      </c>
      <c r="BE9" s="214">
        <f>IF(AND(($E9+$C$1)&gt;BE$4,BE$4&gt;=$C$1),'General Inputs'!G$11*$H9,IF(AND(($D9+$C$1)&gt;BE$4,BE$4&gt;=$C$1),'General Inputs'!G$11*$G9,0))</f>
        <v>331.66196045639998</v>
      </c>
      <c r="BF9" s="214">
        <f>IF(AND(($E9+$C$1)&gt;BF$4,BF$4&gt;=$C$1),'General Inputs'!H$11*$H9,IF(AND(($D9+$C$1)&gt;BF$4,BF$4&gt;=$C$1),'General Inputs'!H$11*$G9,0))</f>
        <v>331.66196045639998</v>
      </c>
      <c r="BG9" s="214">
        <f>IF(AND(($E9+$C$1)&gt;BG$4,BG$4&gt;=$C$1),'General Inputs'!I$11*$H9,IF(AND(($D9+$C$1)&gt;BG$4,BG$4&gt;=$C$1),'General Inputs'!I$11*$G9,0))</f>
        <v>331.66196045639998</v>
      </c>
      <c r="BH9" s="214">
        <f>IF(AND(($E9+$C$1)&gt;BH$4,BH$4&gt;=$C$1),'General Inputs'!J$11*$H9,IF(AND(($D9+$C$1)&gt;BH$4,BH$4&gt;=$C$1),'General Inputs'!J$11*$G9,0))</f>
        <v>331.66196045639998</v>
      </c>
      <c r="BI9" s="214">
        <f>IF(AND(($E9+$C$1)&gt;BI$4,BI$4&gt;=$C$1),'General Inputs'!K$11*$H9,IF(AND(($D9+$C$1)&gt;BI$4,BI$4&gt;=$C$1),'General Inputs'!K$11*$G9,0))</f>
        <v>331.66196045639998</v>
      </c>
      <c r="BJ9" s="214">
        <f>IF(AND(($E9+$C$1)&gt;BJ$4,BJ$4&gt;=$C$1),'General Inputs'!L$11*$H9,IF(AND(($D9+$C$1)&gt;BJ$4,BJ$4&gt;=$C$1),'General Inputs'!L$11*$G9,0))</f>
        <v>331.66196045639998</v>
      </c>
      <c r="BK9" s="214">
        <f>IF(AND(($E9+$C$1)&gt;BK$4,BK$4&gt;=$C$1),'General Inputs'!M$11*$H9,IF(AND(($D9+$C$1)&gt;BK$4,BK$4&gt;=$C$1),'General Inputs'!M$11*$G9,0))</f>
        <v>331.66196045639998</v>
      </c>
      <c r="BL9" s="214">
        <f>IF(AND(($E9+$C$1)&gt;BL$4,BL$4&gt;=$C$1),'General Inputs'!N$11*$H9,IF(AND(($D9+$C$1)&gt;BL$4,BL$4&gt;=$C$1),'General Inputs'!N$11*$G9,0))</f>
        <v>331.66196045639998</v>
      </c>
      <c r="BM9" s="214">
        <f>IF(AND(($E9+$C$1)&gt;BM$4,BM$4&gt;=$C$1),'General Inputs'!O$11*$H9,IF(AND(($D9+$C$1)&gt;BM$4,BM$4&gt;=$C$1),'General Inputs'!O$11*$G9,0))</f>
        <v>331.66196045639998</v>
      </c>
      <c r="BN9" s="214">
        <f>IF(AND(($E9+$C$1)&gt;BN$4,BN$4&gt;=$C$1),'General Inputs'!P$11*$H9,IF(AND(($D9+$C$1)&gt;BN$4,BN$4&gt;=$C$1),'General Inputs'!P$11*$G9,0))</f>
        <v>0</v>
      </c>
      <c r="BO9" s="214">
        <f>IF(AND(($E9+$C$1)&gt;BO$4,BO$4&gt;=$C$1),'General Inputs'!Q$11*$H9,IF(AND(($D9+$C$1)&gt;BO$4,BO$4&gt;=$C$1),'General Inputs'!Q$11*$G9,0))</f>
        <v>0</v>
      </c>
      <c r="BP9" s="214">
        <f>IF(AND(($E9+$C$1)&gt;BP$4,BP$4&gt;=$C$1),'General Inputs'!R$11*$H9,IF(AND(($D9+$C$1)&gt;BP$4,BP$4&gt;=$C$1),'General Inputs'!R$11*$G9,0))</f>
        <v>0</v>
      </c>
      <c r="BQ9" s="214">
        <f>IF(AND(($E9+$C$1)&gt;BQ$4,BQ$4&gt;=$C$1),'General Inputs'!S$11*$H9,IF(AND(($D9+$C$1)&gt;BQ$4,BQ$4&gt;=$C$1),'General Inputs'!S$11*$G9,0))</f>
        <v>0</v>
      </c>
      <c r="BR9" s="214">
        <f>IF(AND(($E9+$C$1)&gt;BR$4,BR$4&gt;=$C$1),'General Inputs'!T$11*$H9,IF(AND(($D9+$C$1)&gt;BR$4,BR$4&gt;=$C$1),'General Inputs'!T$11*$G9,0))</f>
        <v>0</v>
      </c>
      <c r="BS9" s="214">
        <f>IF(AND(($E9+$C$1)&gt;BS$4,BS$4&gt;=$C$1),'General Inputs'!U$11*$H9,IF(AND(($D9+$C$1)&gt;BS$4,BS$4&gt;=$C$1),'General Inputs'!U$11*$G9,0))</f>
        <v>0</v>
      </c>
      <c r="BT9" s="214">
        <f>IF(AND(($E9+$C$1)&gt;BT$4,BT$4&gt;=$C$1),'General Inputs'!V$11*$H9,IF(AND(($D9+$C$1)&gt;BT$4,BT$4&gt;=$C$1),'General Inputs'!V$11*$G9,0))</f>
        <v>0</v>
      </c>
      <c r="BU9" s="214">
        <f>IF(AND(($E9+$C$1)&gt;BU$4,BU$4&gt;=$C$1),'General Inputs'!W$11*$H9,IF(AND(($D9+$C$1)&gt;BU$4,BU$4&gt;=$C$1),'General Inputs'!W$11*$G9,0))</f>
        <v>0</v>
      </c>
      <c r="BW9" s="214">
        <f>IF(AND(($E9+$C$1)&gt;BW$4,BW$4&gt;=$C$1),$H9,IF(AND(($D9+$C$1)&gt;BW$4,BW$4&gt;=$C$1),$G9,0))*IF($A9="Residential",'General Inputs'!D$14,'General Inputs'!D$19)</f>
        <v>0</v>
      </c>
      <c r="BX9" s="214">
        <f>IF(AND(($E9+$C$1)&gt;BX$4,BX$4&gt;=$C$1),$H9,IF(AND(($D9+$C$1)&gt;BX$4,BX$4&gt;=$C$1),$G9,0))*IF($A9="Residential",'General Inputs'!E$14,'General Inputs'!E$19)</f>
        <v>0</v>
      </c>
      <c r="BY9" s="214">
        <f>IF(AND(($E9+$C$1)&gt;BY$4,BY$4&gt;=$C$1),$H9,IF(AND(($D9+$C$1)&gt;BY$4,BY$4&gt;=$C$1),$G9,0))*IF($A9="Residential",'General Inputs'!F$14,'General Inputs'!F$19)</f>
        <v>4023.2188115796193</v>
      </c>
      <c r="BZ9" s="214">
        <f>IF(AND(($E9+$C$1)&gt;BZ$4,BZ$4&gt;=$C$1),$H9,IF(AND(($D9+$C$1)&gt;BZ$4,BZ$4&gt;=$C$1),$G9,0))*IF($A9="Residential",'General Inputs'!G$14,'General Inputs'!G$19)</f>
        <v>4083.5670937533132</v>
      </c>
      <c r="CA9" s="214">
        <f>IF(AND(($E9+$C$1)&gt;CA$4,CA$4&gt;=$C$1),$H9,IF(AND(($D9+$C$1)&gt;CA$4,CA$4&gt;=$C$1),$G9,0))*IF($A9="Residential",'General Inputs'!H$14,'General Inputs'!H$19)</f>
        <v>4144.8206001596118</v>
      </c>
      <c r="CB9" s="214">
        <f>IF(AND(($E9+$C$1)&gt;CB$4,CB$4&gt;=$C$1),$H9,IF(AND(($D9+$C$1)&gt;CB$4,CB$4&gt;=$C$1),$G9,0))*IF($A9="Residential",'General Inputs'!I$14,'General Inputs'!I$19)</f>
        <v>4206.9929091620061</v>
      </c>
      <c r="CC9" s="214">
        <f>IF(AND(($E9+$C$1)&gt;CC$4,CC$4&gt;=$C$1),$H9,IF(AND(($D9+$C$1)&gt;CC$4,CC$4&gt;=$C$1),$G9,0))*IF($A9="Residential",'General Inputs'!J$14,'General Inputs'!J$19)</f>
        <v>4270.0978027994352</v>
      </c>
      <c r="CD9" s="214">
        <f>IF(AND(($E9+$C$1)&gt;CD$4,CD$4&gt;=$C$1),$H9,IF(AND(($D9+$C$1)&gt;CD$4,CD$4&gt;=$C$1),$G9,0))*IF($A9="Residential",'General Inputs'!K$14,'General Inputs'!K$19)</f>
        <v>4334.1492698414268</v>
      </c>
      <c r="CE9" s="214">
        <f>IF(AND(($E9+$C$1)&gt;CE$4,CE$4&gt;=$C$1),$H9,IF(AND(($D9+$C$1)&gt;CE$4,CE$4&gt;=$C$1),$G9,0))*IF($A9="Residential",'General Inputs'!L$14,'General Inputs'!L$19)</f>
        <v>4399.1615088890467</v>
      </c>
      <c r="CF9" s="214">
        <f>IF(AND(($E9+$C$1)&gt;CF$4,CF$4&gt;=$C$1),$H9,IF(AND(($D9+$C$1)&gt;CF$4,CF$4&gt;=$C$1),$G9,0))*IF($A9="Residential",'General Inputs'!M$14,'General Inputs'!M$19)</f>
        <v>4465.1489315223826</v>
      </c>
      <c r="CG9" s="214">
        <f>IF(AND(($E9+$C$1)&gt;CG$4,CG$4&gt;=$C$1),$H9,IF(AND(($D9+$C$1)&gt;CG$4,CG$4&gt;=$C$1),$G9,0))*IF($A9="Residential",'General Inputs'!N$14,'General Inputs'!N$19)</f>
        <v>4532.1261654952177</v>
      </c>
      <c r="CH9" s="214">
        <f>IF(AND(($E9+$C$1)&gt;CH$4,CH$4&gt;=$C$1),$H9,IF(AND(($D9+$C$1)&gt;CH$4,CH$4&gt;=$C$1),$G9,0))*IF($A9="Residential",'General Inputs'!O$14,'General Inputs'!O$19)</f>
        <v>4600.1080579776453</v>
      </c>
      <c r="CI9" s="214">
        <f>IF(AND(($E9+$C$1)&gt;CI$4,CI$4&gt;=$C$1),$H9,IF(AND(($D9+$C$1)&gt;CI$4,CI$4&gt;=$C$1),$G9,0))*IF($A9="Residential",'General Inputs'!P$14,'General Inputs'!P$19)</f>
        <v>0</v>
      </c>
      <c r="CJ9" s="214">
        <f>IF(AND(($E9+$C$1)&gt;CJ$4,CJ$4&gt;=$C$1),$H9,IF(AND(($D9+$C$1)&gt;CJ$4,CJ$4&gt;=$C$1),$G9,0))*IF($A9="Residential",'General Inputs'!Q$14,'General Inputs'!Q$19)</f>
        <v>0</v>
      </c>
      <c r="CK9" s="214">
        <f>IF(AND(($E9+$C$1)&gt;CK$4,CK$4&gt;=$C$1),$H9,IF(AND(($D9+$C$1)&gt;CK$4,CK$4&gt;=$C$1),$G9,0))*IF($A9="Residential",'General Inputs'!R$14,'General Inputs'!R$19)</f>
        <v>0</v>
      </c>
      <c r="CL9" s="214">
        <f>IF(AND(($E9+$C$1)&gt;CL$4,CL$4&gt;=$C$1),$H9,IF(AND(($D9+$C$1)&gt;CL$4,CL$4&gt;=$C$1),$G9,0))*IF($A9="Residential",'General Inputs'!S$14,'General Inputs'!S$19)</f>
        <v>0</v>
      </c>
      <c r="CM9" s="214">
        <f>IF(AND(($E9+$C$1)&gt;CM$4,CM$4&gt;=$C$1),$H9,IF(AND(($D9+$C$1)&gt;CM$4,CM$4&gt;=$C$1),$G9,0))*IF($A9="Residential",'General Inputs'!T$14,'General Inputs'!T$19)</f>
        <v>0</v>
      </c>
      <c r="CN9" s="214">
        <f>IF(AND(($E9+$C$1)&gt;CN$4,CN$4&gt;=$C$1),$H9,IF(AND(($D9+$C$1)&gt;CN$4,CN$4&gt;=$C$1),$G9,0))*IF($A9="Residential",'General Inputs'!U$14,'General Inputs'!U$19)</f>
        <v>0</v>
      </c>
      <c r="CO9" s="214">
        <f>IF(AND(($E9+$C$1)&gt;CO$4,CO$4&gt;=$C$1),$H9,IF(AND(($D9+$C$1)&gt;CO$4,CO$4&gt;=$C$1),$G9,0))*IF($A9="Residential",'General Inputs'!V$14,'General Inputs'!V$19)</f>
        <v>0</v>
      </c>
      <c r="CP9" s="214">
        <f>IF(AND(($E9+$C$1)&gt;CP$4,CP$4&gt;=$C$1),$H9,IF(AND(($D9+$C$1)&gt;CP$4,CP$4&gt;=$C$1),$G9,0))*IF($A9="Residential",'General Inputs'!W$14,'General Inputs'!W$19)</f>
        <v>0</v>
      </c>
      <c r="CR9" s="214">
        <f>IF(AND(($E9+$C$1)&gt;CR$4,CR$4&gt;=$C$1),$H9,IF(AND(($D9+$C$1)&gt;CR$4,CR$4&gt;=$C$1),$G9,0))*IF($A9="Residential",'General Inputs'!D$15,'General Inputs'!D$19)</f>
        <v>0</v>
      </c>
      <c r="CS9" s="214">
        <f>IF(AND(($E9+$C$1)&gt;CS$4,CS$4&gt;=$C$1),$H9,IF(AND(($D9+$C$1)&gt;CS$4,CS$4&gt;=$C$1),$G9,0))*IF($A9="Residential",'General Inputs'!E$15,'General Inputs'!E$19)</f>
        <v>0</v>
      </c>
      <c r="CT9" s="214">
        <f>IF(AND(($E9+$C$1)&gt;CT$4,CT$4&gt;=$C$1),$H9,IF(AND(($D9+$C$1)&gt;CT$4,CT$4&gt;=$C$1),$G9,0))*IF($A9="Residential",'General Inputs'!F$15,'General Inputs'!F$19)</f>
        <v>3272.9218147549723</v>
      </c>
      <c r="CU9" s="214">
        <f>IF(AND(($E9+$C$1)&gt;CU$4,CU$4&gt;=$C$1),$H9,IF(AND(($D9+$C$1)&gt;CU$4,CU$4&gt;=$C$1),$G9,0))*IF($A9="Residential",'General Inputs'!G$15,'General Inputs'!G$19)</f>
        <v>3322.0156419762966</v>
      </c>
      <c r="CV9" s="214">
        <f>IF(AND(($E9+$C$1)&gt;CV$4,CV$4&gt;=$C$1),$H9,IF(AND(($D9+$C$1)&gt;CV$4,CV$4&gt;=$C$1),$G9,0))*IF($A9="Residential",'General Inputs'!H$15,'General Inputs'!H$19)</f>
        <v>3371.8458766059407</v>
      </c>
      <c r="CW9" s="214">
        <f>IF(AND(($E9+$C$1)&gt;CW$4,CW$4&gt;=$C$1),$H9,IF(AND(($D9+$C$1)&gt;CW$4,CW$4&gt;=$C$1),$G9,0))*IF($A9="Residential",'General Inputs'!I$15,'General Inputs'!I$19)</f>
        <v>3422.4235647550295</v>
      </c>
      <c r="CX9" s="214">
        <f>IF(AND(($E9+$C$1)&gt;CX$4,CX$4&gt;=$C$1),$H9,IF(AND(($D9+$C$1)&gt;CX$4,CX$4&gt;=$C$1),$G9,0))*IF($A9="Residential",'General Inputs'!J$15,'General Inputs'!J$19)</f>
        <v>3473.7599182263548</v>
      </c>
      <c r="CY9" s="214">
        <f>IF(AND(($E9+$C$1)&gt;CY$4,CY$4&gt;=$C$1),$H9,IF(AND(($D9+$C$1)&gt;CY$4,CY$4&gt;=$C$1),$G9,0))*IF($A9="Residential",'General Inputs'!K$15,'General Inputs'!K$19)</f>
        <v>3525.8663169997494</v>
      </c>
      <c r="CZ9" s="214">
        <f>IF(AND(($E9+$C$1)&gt;CZ$4,CZ$4&gt;=$C$1),$H9,IF(AND(($D9+$C$1)&gt;CZ$4,CZ$4&gt;=$C$1),$G9,0))*IF($A9="Residential",'General Inputs'!L$15,'General Inputs'!L$19)</f>
        <v>3578.7543117547452</v>
      </c>
      <c r="DA9" s="214">
        <f>IF(AND(($E9+$C$1)&gt;DA$4,DA$4&gt;=$C$1),$H9,IF(AND(($D9+$C$1)&gt;DA$4,DA$4&gt;=$C$1),$G9,0))*IF($A9="Residential",'General Inputs'!M$15,'General Inputs'!M$19)</f>
        <v>3632.4356264310663</v>
      </c>
      <c r="DB9" s="214">
        <f>IF(AND(($E9+$C$1)&gt;DB$4,DB$4&gt;=$C$1),$H9,IF(AND(($D9+$C$1)&gt;DB$4,DB$4&gt;=$C$1),$G9,0))*IF($A9="Residential",'General Inputs'!N$15,'General Inputs'!N$19)</f>
        <v>3686.9221608275316</v>
      </c>
      <c r="DC9" s="214">
        <f>IF(AND(($E9+$C$1)&gt;DC$4,DC$4&gt;=$C$1),$H9,IF(AND(($D9+$C$1)&gt;DC$4,DC$4&gt;=$C$1),$G9,0))*IF($A9="Residential",'General Inputs'!O$15,'General Inputs'!O$19)</f>
        <v>3742.2259932399443</v>
      </c>
      <c r="DD9" s="214">
        <f>IF(AND(($E9+$C$1)&gt;DD$4,DD$4&gt;=$C$1),$H9,IF(AND(($D9+$C$1)&gt;DD$4,DD$4&gt;=$C$1),$G9,0))*IF($A9="Residential",'General Inputs'!P$15,'General Inputs'!P$19)</f>
        <v>0</v>
      </c>
      <c r="DE9" s="214">
        <f>IF(AND(($E9+$C$1)&gt;DE$4,DE$4&gt;=$C$1),$H9,IF(AND(($D9+$C$1)&gt;DE$4,DE$4&gt;=$C$1),$G9,0))*IF($A9="Residential",'General Inputs'!Q$15,'General Inputs'!Q$19)</f>
        <v>0</v>
      </c>
      <c r="DF9" s="214">
        <f>IF(AND(($E9+$C$1)&gt;DF$4,DF$4&gt;=$C$1),$H9,IF(AND(($D9+$C$1)&gt;DF$4,DF$4&gt;=$C$1),$G9,0))*IF($A9="Residential",'General Inputs'!R$15,'General Inputs'!R$19)</f>
        <v>0</v>
      </c>
      <c r="DG9" s="214">
        <f>IF(AND(($E9+$C$1)&gt;DG$4,DG$4&gt;=$C$1),$H9,IF(AND(($D9+$C$1)&gt;DG$4,DG$4&gt;=$C$1),$G9,0))*IF($A9="Residential",'General Inputs'!S$15,'General Inputs'!S$19)</f>
        <v>0</v>
      </c>
      <c r="DH9" s="214">
        <f>IF(AND(($E9+$C$1)&gt;DH$4,DH$4&gt;=$C$1),$H9,IF(AND(($D9+$C$1)&gt;DH$4,DH$4&gt;=$C$1),$G9,0))*IF($A9="Residential",'General Inputs'!T$15,'General Inputs'!T$19)</f>
        <v>0</v>
      </c>
      <c r="DI9" s="214">
        <f>IF(AND(($E9+$C$1)&gt;DI$4,DI$4&gt;=$C$1),$H9,IF(AND(($D9+$C$1)&gt;DI$4,DI$4&gt;=$C$1),$G9,0))*IF($A9="Residential",'General Inputs'!U$15,'General Inputs'!U$19)</f>
        <v>0</v>
      </c>
      <c r="DJ9" s="214">
        <f>IF(AND(($E9+$C$1)&gt;DJ$4,DJ$4&gt;=$C$1),$H9,IF(AND(($D9+$C$1)&gt;DJ$4,DJ$4&gt;=$C$1),$G9,0))*IF($A9="Residential",'General Inputs'!V$15,'General Inputs'!V$19)</f>
        <v>0</v>
      </c>
      <c r="DK9" s="214">
        <f>IF(AND(($E9+$C$1)&gt;DK$4,DK$4&gt;=$C$1),$H9,IF(AND(($D9+$C$1)&gt;DK$4,DK$4&gt;=$C$1),$G9,0))*IF($A9="Residential",'General Inputs'!W$15,'General Inputs'!W$19)</f>
        <v>0</v>
      </c>
      <c r="DM9" s="214">
        <f>IF($C$1=DM$4,$L9*$C9,IF($E9+$C$1=DM$4,-$M9*$C9,0))</f>
        <v>0</v>
      </c>
      <c r="DN9" s="214">
        <f t="shared" si="27"/>
        <v>0</v>
      </c>
      <c r="DO9" s="214">
        <f t="shared" si="27"/>
        <v>14000</v>
      </c>
      <c r="DP9" s="214">
        <f t="shared" si="27"/>
        <v>0</v>
      </c>
      <c r="DQ9" s="214">
        <f t="shared" si="27"/>
        <v>0</v>
      </c>
      <c r="DR9" s="214">
        <f t="shared" si="27"/>
        <v>0</v>
      </c>
      <c r="DS9" s="214">
        <f t="shared" si="27"/>
        <v>0</v>
      </c>
      <c r="DT9" s="214">
        <f t="shared" si="27"/>
        <v>0</v>
      </c>
      <c r="DU9" s="214">
        <f t="shared" si="27"/>
        <v>0</v>
      </c>
      <c r="DV9" s="214">
        <f t="shared" si="27"/>
        <v>0</v>
      </c>
      <c r="DW9" s="214">
        <f t="shared" si="27"/>
        <v>0</v>
      </c>
      <c r="DY9" s="219"/>
      <c r="DZ9" s="650"/>
      <c r="EA9" s="219"/>
      <c r="EB9" s="219"/>
      <c r="EC9" s="219"/>
      <c r="ED9" s="219"/>
      <c r="EE9" s="219"/>
      <c r="EF9" s="219"/>
      <c r="FI9" s="195"/>
      <c r="FJ9" s="195"/>
      <c r="FK9" s="195"/>
      <c r="FL9" s="195"/>
      <c r="FM9" s="195"/>
      <c r="FN9" s="195"/>
      <c r="FO9" s="195"/>
    </row>
    <row r="10" spans="1:171">
      <c r="A10" s="342" t="s">
        <v>12</v>
      </c>
      <c r="B10" s="427" t="str">
        <f>'Portfolio Inputs'!A9</f>
        <v>ENERGY STAR Refrigerator</v>
      </c>
      <c r="C10" s="217">
        <f>IF($C$1=2014,'Portfolio Inputs'!$C9,IF($C$1=2015,'Portfolio Inputs'!$D9,'Portfolio Inputs'!$E9))</f>
        <v>600</v>
      </c>
      <c r="D10" s="504">
        <f>VLOOKUP(B10,Sources!$B$4:$J$104,2,FALSE)</f>
        <v>14</v>
      </c>
      <c r="E10" s="504">
        <f>VLOOKUP(B10,Sources!$B$4:$J$104,3,FALSE)</f>
        <v>0</v>
      </c>
      <c r="G10" s="504">
        <f>IF($C$1=2014,'Portfolio Inputs'!$G9,IF($C$1=2015,'Portfolio Inputs'!$H9,'Portfolio Inputs'!$I9))*EnergyLineLoss</f>
        <v>64932.008400000006</v>
      </c>
      <c r="H10" s="504"/>
      <c r="I10" s="504">
        <f>IF($C$1=2014,'Portfolio Inputs'!$K9,IF($C$1=2015,'Portfolio Inputs'!$L9,'Portfolio Inputs'!$M9))*PeakLineLoss</f>
        <v>7.4123297260273988</v>
      </c>
      <c r="J10" s="510"/>
      <c r="L10" s="606">
        <f>IF($C$1=2014,'Portfolio Inputs'!$O9,IF($C$1=2015,'Portfolio Inputs'!$P9,'Portfolio Inputs'!$Q9))</f>
        <v>40</v>
      </c>
      <c r="M10" s="518">
        <f>VLOOKUP($B10,Sources!$B$4:$K$104,10,FALSE)</f>
        <v>0</v>
      </c>
      <c r="N10" s="419">
        <f>IF($C$1=2014,'Portfolio Inputs'!$W9,IF($C$1=2015,'Portfolio Inputs'!$X9,'Portfolio Inputs'!$Y9))</f>
        <v>24000</v>
      </c>
      <c r="O10" s="419"/>
      <c r="Q10" s="438">
        <f t="shared" si="0"/>
        <v>1.0704144310810566</v>
      </c>
      <c r="R10" s="439">
        <f t="shared" si="1"/>
        <v>1.0704144310810566</v>
      </c>
      <c r="S10" s="439">
        <f t="shared" si="2"/>
        <v>1.3341588355966074</v>
      </c>
      <c r="T10" s="439">
        <f t="shared" si="3"/>
        <v>4.4604156542071616</v>
      </c>
      <c r="U10" s="439">
        <f t="shared" ref="U10:U12" si="28">IF(AE10&gt;0,(AD10+AB10)/AE10,"n/a")</f>
        <v>3.8150767863226092</v>
      </c>
      <c r="V10" s="439">
        <f t="shared" ref="V10:V12" si="29">IF((AA10+AC10+AD10)&gt;0,Y10/(AA10+AC10+AD10),"n/a")</f>
        <v>0.23998087040866209</v>
      </c>
      <c r="W10" s="439">
        <f t="shared" ref="W10:W12" si="30">IF((AB10+AC10+AD10)&gt;0,Y10/(AB10+AC10+AD10),"n/a")</f>
        <v>0.28057480649369576</v>
      </c>
      <c r="Y10" s="215">
        <f t="shared" si="4"/>
        <v>21686.333439921047</v>
      </c>
      <c r="Z10" s="215">
        <f t="shared" si="5"/>
        <v>5343.3968500042893</v>
      </c>
      <c r="AA10" s="215">
        <f t="shared" si="6"/>
        <v>70107.171146851237</v>
      </c>
      <c r="AB10" s="215">
        <f t="shared" si="7"/>
        <v>57032.764202849758</v>
      </c>
      <c r="AC10" s="216">
        <f t="shared" si="20"/>
        <v>0</v>
      </c>
      <c r="AD10" s="216">
        <f t="shared" si="21"/>
        <v>20259.754362634205</v>
      </c>
      <c r="AE10" s="215">
        <f t="shared" si="8"/>
        <v>20259.754362634205</v>
      </c>
      <c r="AG10" s="214">
        <f>IF(AND(($E10+$C$1)&gt;AG$4,AG$4&gt;=$C$1),'General Inputs'!D$9*$H10,IF(AND(($D10+$C$1)&gt;AG$4,AG$4&gt;=$C$1),'General Inputs'!D$9*$G10,0))+IF(AND(($E10+$C$1)&gt;AG$4,AG$4&gt;=$C$1),'General Inputs'!D$10*$J10,IF(AND(($D10+$C$1)&gt;AG$4,AG$4&gt;=$C$1),'General Inputs'!D$10*$I10,0))</f>
        <v>0</v>
      </c>
      <c r="AH10" s="214">
        <f>IF(AND(($E10+$C$1)&gt;AH$4,AH$4&gt;=$C$1),'General Inputs'!E$9*$H10,IF(AND(($D10+$C$1)&gt;AH$4,AH$4&gt;=$C$1),'General Inputs'!E$9*$G10,0))+IF(AND(($E10+$C$1)&gt;AH$4,AH$4&gt;=$C$1),'General Inputs'!E$10*$J10,IF(AND(($D10+$C$1)&gt;AH$4,AH$4&gt;=$C$1),'General Inputs'!E$10*$I10,0))</f>
        <v>0</v>
      </c>
      <c r="AI10" s="214">
        <f>IF(AND(($E10+$C$1)&gt;AI$4,AI$4&gt;=$C$1),'General Inputs'!F$9*$H10,IF(AND(($D10+$C$1)&gt;AI$4,AI$4&gt;=$C$1),'General Inputs'!F$9*$G10,0))+IF(AND(($E10+$C$1)&gt;AI$4,AI$4&gt;=$C$1),'General Inputs'!F$10*$J10,IF(AND(($D10+$C$1)&gt;AI$4,AI$4&gt;=$C$1),'General Inputs'!F$10*$I10,0))</f>
        <v>2777.5722510386663</v>
      </c>
      <c r="AJ10" s="214">
        <f>IF(AND(($E10+$C$1)&gt;AJ$4,AJ$4&gt;=$C$1),'General Inputs'!G$9*$H10,IF(AND(($D10+$C$1)&gt;AJ$4,AJ$4&gt;=$C$1),'General Inputs'!G$9*$G10,0))+IF(AND(($E10+$C$1)&gt;AJ$4,AJ$4&gt;=$C$1),'General Inputs'!G$10*$J10,IF(AND(($D10+$C$1)&gt;AJ$4,AJ$4&gt;=$C$1),'General Inputs'!G$10*$I10,0))</f>
        <v>2819.2358348042462</v>
      </c>
      <c r="AK10" s="214">
        <f>IF(AND(($E10+$C$1)&gt;AK$4,AK$4&gt;=$C$1),'General Inputs'!H$9*$H10,IF(AND(($D10+$C$1)&gt;AK$4,AK$4&gt;=$C$1),'General Inputs'!H$9*$G10,0))+IF(AND(($E10+$C$1)&gt;AK$4,AK$4&gt;=$C$1),'General Inputs'!H$10*$J10,IF(AND(($D10+$C$1)&gt;AK$4,AK$4&gt;=$C$1),'General Inputs'!H$10*$I10,0))</f>
        <v>2861.5243723263093</v>
      </c>
      <c r="AL10" s="214">
        <f>IF(AND(($E10+$C$1)&gt;AL$4,AL$4&gt;=$C$1),'General Inputs'!I$9*$H10,IF(AND(($D10+$C$1)&gt;AL$4,AL$4&gt;=$C$1),'General Inputs'!I$9*$G10,0))+IF(AND(($E10+$C$1)&gt;AL$4,AL$4&gt;=$C$1),'General Inputs'!I$10*$J10,IF(AND(($D10+$C$1)&gt;AL$4,AL$4&gt;=$C$1),'General Inputs'!I$10*$I10,0))</f>
        <v>2904.4472379112035</v>
      </c>
      <c r="AM10" s="214">
        <f>IF(AND(($E10+$C$1)&gt;AM$4,AM$4&gt;=$C$1),'General Inputs'!J$9*$H10,IF(AND(($D10+$C$1)&gt;AM$4,AM$4&gt;=$C$1),'General Inputs'!J$9*$G10,0))+IF(AND(($E10+$C$1)&gt;AM$4,AM$4&gt;=$C$1),'General Inputs'!J$10*$J10,IF(AND(($D10+$C$1)&gt;AM$4,AM$4&gt;=$C$1),'General Inputs'!J$10*$I10,0))</f>
        <v>2948.0139464798717</v>
      </c>
      <c r="AN10" s="214">
        <f>IF(AND(($E10+$C$1)&gt;AN$4,AN$4&gt;=$C$1),'General Inputs'!K$9*$H10,IF(AND(($D10+$C$1)&gt;AN$4,AN$4&gt;=$C$1),'General Inputs'!K$9*$G10,0))+IF(AND(($E10+$C$1)&gt;AN$4,AN$4&gt;=$C$1),'General Inputs'!K$10*$J10,IF(AND(($D10+$C$1)&gt;AN$4,AN$4&gt;=$C$1),'General Inputs'!K$10*$I10,0))</f>
        <v>2992.2341556770689</v>
      </c>
      <c r="AO10" s="214">
        <f>IF(AND(($E10+$C$1)&gt;AO$4,AO$4&gt;=$C$1),'General Inputs'!L$9*$H10,IF(AND(($D10+$C$1)&gt;AO$4,AO$4&gt;=$C$1),'General Inputs'!L$9*$G10,0))+IF(AND(($E10+$C$1)&gt;AO$4,AO$4&gt;=$C$1),'General Inputs'!L$10*$J10,IF(AND(($D10+$C$1)&gt;AO$4,AO$4&gt;=$C$1),'General Inputs'!L$10*$I10,0))</f>
        <v>3037.1176680122248</v>
      </c>
      <c r="AP10" s="214">
        <f>IF(AND(($E10+$C$1)&gt;AP$4,AP$4&gt;=$C$1),'General Inputs'!M$9*$H10,IF(AND(($D10+$C$1)&gt;AP$4,AP$4&gt;=$C$1),'General Inputs'!M$9*$G10,0))+IF(AND(($E10+$C$1)&gt;AP$4,AP$4&gt;=$C$1),'General Inputs'!M$10*$J10,IF(AND(($D10+$C$1)&gt;AP$4,AP$4&gt;=$C$1),'General Inputs'!M$10*$I10,0))</f>
        <v>3082.6744330324077</v>
      </c>
      <c r="AQ10" s="214">
        <f>IF(AND(($E10+$C$1)&gt;AQ$4,AQ$4&gt;=$C$1),'General Inputs'!N$9*$H10,IF(AND(($D10+$C$1)&gt;AQ$4,AQ$4&gt;=$C$1),'General Inputs'!N$9*$G10,0))+IF(AND(($E10+$C$1)&gt;AQ$4,AQ$4&gt;=$C$1),'General Inputs'!N$10*$J10,IF(AND(($D10+$C$1)&gt;AQ$4,AQ$4&gt;=$C$1),'General Inputs'!N$10*$I10,0))</f>
        <v>3128.9145495278935</v>
      </c>
      <c r="AR10" s="214">
        <f>IF(AND(($E10+$C$1)&gt;AR$4,AR$4&gt;=$C$1),'General Inputs'!O$9*$H10,IF(AND(($D10+$C$1)&gt;AR$4,AR$4&gt;=$C$1),'General Inputs'!O$9*$G10,0))+IF(AND(($E10+$C$1)&gt;AR$4,AR$4&gt;=$C$1),'General Inputs'!O$10*$J10,IF(AND(($D10+$C$1)&gt;AR$4,AR$4&gt;=$C$1),'General Inputs'!O$10*$I10,0))</f>
        <v>3175.8482677708116</v>
      </c>
      <c r="AS10" s="214">
        <f>IF(AND(($E10+$C$1)&gt;AS$4,AS$4&gt;=$C$1),'General Inputs'!P$9*$H10,IF(AND(($D10+$C$1)&gt;AS$4,AS$4&gt;=$C$1),'General Inputs'!P$9*$G10,0))+IF(AND(($E10+$C$1)&gt;AS$4,AS$4&gt;=$C$1),'General Inputs'!P$10*$J10,IF(AND(($D10+$C$1)&gt;AS$4,AS$4&gt;=$C$1),'General Inputs'!P$10*$I10,0))</f>
        <v>3223.4859917873737</v>
      </c>
      <c r="AT10" s="214">
        <f>IF(AND(($E10+$C$1)&gt;AT$4,AT$4&gt;=$C$1),'General Inputs'!Q$9*$H10,IF(AND(($D10+$C$1)&gt;AT$4,AT$4&gt;=$C$1),'General Inputs'!Q$9*$G10,0))+IF(AND(($E10+$C$1)&gt;AT$4,AT$4&gt;=$C$1),'General Inputs'!Q$10*$J10,IF(AND(($D10+$C$1)&gt;AT$4,AT$4&gt;=$C$1),'General Inputs'!Q$10*$I10,0))</f>
        <v>3271.8382816641838</v>
      </c>
      <c r="AU10" s="214">
        <f>IF(AND(($E10+$C$1)&gt;AU$4,AU$4&gt;=$C$1),'General Inputs'!R$9*$H10,IF(AND(($D10+$C$1)&gt;AU$4,AU$4&gt;=$C$1),'General Inputs'!R$9*$G10,0))+IF(AND(($E10+$C$1)&gt;AU$4,AU$4&gt;=$C$1),'General Inputs'!R$10*$J10,IF(AND(($D10+$C$1)&gt;AU$4,AU$4&gt;=$C$1),'General Inputs'!R$10*$I10,0))</f>
        <v>3320.9158558891463</v>
      </c>
      <c r="AV10" s="214">
        <f>IF(AND(($E10+$C$1)&gt;AV$4,AV$4&gt;=$C$1),'General Inputs'!S$9*$H10,IF(AND(($D10+$C$1)&gt;AV$4,AV$4&gt;=$C$1),'General Inputs'!S$9*$G10,0))+IF(AND(($E10+$C$1)&gt;AV$4,AV$4&gt;=$C$1),'General Inputs'!S$10*$J10,IF(AND(($D10+$C$1)&gt;AV$4,AV$4&gt;=$C$1),'General Inputs'!S$10*$I10,0))</f>
        <v>3370.7295937274835</v>
      </c>
      <c r="AW10" s="214">
        <f>IF(AND(($E10+$C$1)&gt;AW$4,AW$4&gt;=$C$1),'General Inputs'!T$9*$H10,IF(AND(($D10+$C$1)&gt;AW$4,AW$4&gt;=$C$1),'General Inputs'!T$9*$G10,0))+IF(AND(($E10+$C$1)&gt;AW$4,AW$4&gt;=$C$1),'General Inputs'!T$10*$J10,IF(AND(($D10+$C$1)&gt;AW$4,AW$4&gt;=$C$1),'General Inputs'!T$10*$I10,0))</f>
        <v>0</v>
      </c>
      <c r="AX10" s="214">
        <f>IF(AND(($E10+$C$1)&gt;AX$4,AX$4&gt;=$C$1),'General Inputs'!U$9*$H10,IF(AND(($D10+$C$1)&gt;AX$4,AX$4&gt;=$C$1),'General Inputs'!U$9*$G10,0))+IF(AND(($E10+$C$1)&gt;AX$4,AX$4&gt;=$C$1),'General Inputs'!U$10*$J10,IF(AND(($D10+$C$1)&gt;AX$4,AX$4&gt;=$C$1),'General Inputs'!U$10*$I10,0))</f>
        <v>0</v>
      </c>
      <c r="AY10" s="214">
        <f>IF(AND(($E10+$C$1)&gt;AY$4,AY$4&gt;=$C$1),'General Inputs'!V$9*$H10,IF(AND(($D10+$C$1)&gt;AY$4,AY$4&gt;=$C$1),'General Inputs'!V$9*$G10,0))+IF(AND(($E10+$C$1)&gt;AY$4,AY$4&gt;=$C$1),'General Inputs'!V$10*$J10,IF(AND(($D10+$C$1)&gt;AY$4,AY$4&gt;=$C$1),'General Inputs'!V$10*$I10,0))</f>
        <v>0</v>
      </c>
      <c r="AZ10" s="214">
        <f>IF(AND(($E10+$C$1)&gt;AZ$4,AZ$4&gt;=$C$1),'General Inputs'!W$9*$H10,IF(AND(($D10+$C$1)&gt;AZ$4,AZ$4&gt;=$C$1),'General Inputs'!W$9*$G10,0))+IF(AND(($E10+$C$1)&gt;AZ$4,AZ$4&gt;=$C$1),'General Inputs'!W$10*$J10,IF(AND(($D10+$C$1)&gt;AZ$4,AZ$4&gt;=$C$1),'General Inputs'!W$10*$I10,0))</f>
        <v>0</v>
      </c>
      <c r="BB10" s="214">
        <f>IF(AND(($E10+$C$1)&gt;BB$4,BB$4&gt;=$C$1),'General Inputs'!D$11*$H10,IF(AND(($D10+$C$1)&gt;BB$4,BB$4&gt;=$C$1),'General Inputs'!D$11*$G10,0))</f>
        <v>0</v>
      </c>
      <c r="BC10" s="214">
        <f>IF(AND(($E10+$C$1)&gt;BC$4,BC$4&gt;=$C$1),'General Inputs'!E$11*$H10,IF(AND(($D10+$C$1)&gt;BC$4,BC$4&gt;=$C$1),'General Inputs'!E$11*$G10,0))</f>
        <v>0</v>
      </c>
      <c r="BD10" s="214">
        <f>IF(AND(($E10+$C$1)&gt;BD$4,BD$4&gt;=$C$1),'General Inputs'!F$11*$H10,IF(AND(($D10+$C$1)&gt;BD$4,BD$4&gt;=$C$1),'General Inputs'!F$11*$G10,0))</f>
        <v>740.22489576000009</v>
      </c>
      <c r="BE10" s="214">
        <f>IF(AND(($E10+$C$1)&gt;BE$4,BE$4&gt;=$C$1),'General Inputs'!G$11*$H10,IF(AND(($D10+$C$1)&gt;BE$4,BE$4&gt;=$C$1),'General Inputs'!G$11*$G10,0))</f>
        <v>740.22489576000009</v>
      </c>
      <c r="BF10" s="214">
        <f>IF(AND(($E10+$C$1)&gt;BF$4,BF$4&gt;=$C$1),'General Inputs'!H$11*$H10,IF(AND(($D10+$C$1)&gt;BF$4,BF$4&gt;=$C$1),'General Inputs'!H$11*$G10,0))</f>
        <v>740.22489576000009</v>
      </c>
      <c r="BG10" s="214">
        <f>IF(AND(($E10+$C$1)&gt;BG$4,BG$4&gt;=$C$1),'General Inputs'!I$11*$H10,IF(AND(($D10+$C$1)&gt;BG$4,BG$4&gt;=$C$1),'General Inputs'!I$11*$G10,0))</f>
        <v>740.22489576000009</v>
      </c>
      <c r="BH10" s="214">
        <f>IF(AND(($E10+$C$1)&gt;BH$4,BH$4&gt;=$C$1),'General Inputs'!J$11*$H10,IF(AND(($D10+$C$1)&gt;BH$4,BH$4&gt;=$C$1),'General Inputs'!J$11*$G10,0))</f>
        <v>740.22489576000009</v>
      </c>
      <c r="BI10" s="214">
        <f>IF(AND(($E10+$C$1)&gt;BI$4,BI$4&gt;=$C$1),'General Inputs'!K$11*$H10,IF(AND(($D10+$C$1)&gt;BI$4,BI$4&gt;=$C$1),'General Inputs'!K$11*$G10,0))</f>
        <v>740.22489576000009</v>
      </c>
      <c r="BJ10" s="214">
        <f>IF(AND(($E10+$C$1)&gt;BJ$4,BJ$4&gt;=$C$1),'General Inputs'!L$11*$H10,IF(AND(($D10+$C$1)&gt;BJ$4,BJ$4&gt;=$C$1),'General Inputs'!L$11*$G10,0))</f>
        <v>740.22489576000009</v>
      </c>
      <c r="BK10" s="214">
        <f>IF(AND(($E10+$C$1)&gt;BK$4,BK$4&gt;=$C$1),'General Inputs'!M$11*$H10,IF(AND(($D10+$C$1)&gt;BK$4,BK$4&gt;=$C$1),'General Inputs'!M$11*$G10,0))</f>
        <v>740.22489576000009</v>
      </c>
      <c r="BL10" s="214">
        <f>IF(AND(($E10+$C$1)&gt;BL$4,BL$4&gt;=$C$1),'General Inputs'!N$11*$H10,IF(AND(($D10+$C$1)&gt;BL$4,BL$4&gt;=$C$1),'General Inputs'!N$11*$G10,0))</f>
        <v>740.22489576000009</v>
      </c>
      <c r="BM10" s="214">
        <f>IF(AND(($E10+$C$1)&gt;BM$4,BM$4&gt;=$C$1),'General Inputs'!O$11*$H10,IF(AND(($D10+$C$1)&gt;BM$4,BM$4&gt;=$C$1),'General Inputs'!O$11*$G10,0))</f>
        <v>740.22489576000009</v>
      </c>
      <c r="BN10" s="214">
        <f>IF(AND(($E10+$C$1)&gt;BN$4,BN$4&gt;=$C$1),'General Inputs'!P$11*$H10,IF(AND(($D10+$C$1)&gt;BN$4,BN$4&gt;=$C$1),'General Inputs'!P$11*$G10,0))</f>
        <v>740.22489576000009</v>
      </c>
      <c r="BO10" s="214">
        <f>IF(AND(($E10+$C$1)&gt;BO$4,BO$4&gt;=$C$1),'General Inputs'!Q$11*$H10,IF(AND(($D10+$C$1)&gt;BO$4,BO$4&gt;=$C$1),'General Inputs'!Q$11*$G10,0))</f>
        <v>740.22489576000009</v>
      </c>
      <c r="BP10" s="214">
        <f>IF(AND(($E10+$C$1)&gt;BP$4,BP$4&gt;=$C$1),'General Inputs'!R$11*$H10,IF(AND(($D10+$C$1)&gt;BP$4,BP$4&gt;=$C$1),'General Inputs'!R$11*$G10,0))</f>
        <v>740.22489576000009</v>
      </c>
      <c r="BQ10" s="214">
        <f>IF(AND(($E10+$C$1)&gt;BQ$4,BQ$4&gt;=$C$1),'General Inputs'!S$11*$H10,IF(AND(($D10+$C$1)&gt;BQ$4,BQ$4&gt;=$C$1),'General Inputs'!S$11*$G10,0))</f>
        <v>740.22489576000009</v>
      </c>
      <c r="BR10" s="214">
        <f>IF(AND(($E10+$C$1)&gt;BR$4,BR$4&gt;=$C$1),'General Inputs'!T$11*$H10,IF(AND(($D10+$C$1)&gt;BR$4,BR$4&gt;=$C$1),'General Inputs'!T$11*$G10,0))</f>
        <v>0</v>
      </c>
      <c r="BS10" s="214">
        <f>IF(AND(($E10+$C$1)&gt;BS$4,BS$4&gt;=$C$1),'General Inputs'!U$11*$H10,IF(AND(($D10+$C$1)&gt;BS$4,BS$4&gt;=$C$1),'General Inputs'!U$11*$G10,0))</f>
        <v>0</v>
      </c>
      <c r="BT10" s="214">
        <f>IF(AND(($E10+$C$1)&gt;BT$4,BT$4&gt;=$C$1),'General Inputs'!V$11*$H10,IF(AND(($D10+$C$1)&gt;BT$4,BT$4&gt;=$C$1),'General Inputs'!V$11*$G10,0))</f>
        <v>0</v>
      </c>
      <c r="BU10" s="214">
        <f>IF(AND(($E10+$C$1)&gt;BU$4,BU$4&gt;=$C$1),'General Inputs'!W$11*$H10,IF(AND(($D10+$C$1)&gt;BU$4,BU$4&gt;=$C$1),'General Inputs'!W$11*$G10,0))</f>
        <v>0</v>
      </c>
      <c r="BW10" s="214">
        <f>IF(AND(($E10+$C$1)&gt;BW$4,BW$4&gt;=$C$1),$H10,IF(AND(($D10+$C$1)&gt;BW$4,BW$4&gt;=$C$1),$G10,0))*IF($A10="Residential",'General Inputs'!D$14,'General Inputs'!D$19)</f>
        <v>0</v>
      </c>
      <c r="BX10" s="214">
        <f>IF(AND(($E10+$C$1)&gt;BX$4,BX$4&gt;=$C$1),$H10,IF(AND(($D10+$C$1)&gt;BX$4,BX$4&gt;=$C$1),$G10,0))*IF($A10="Residential",'General Inputs'!E$14,'General Inputs'!E$19)</f>
        <v>0</v>
      </c>
      <c r="BY10" s="214">
        <f>IF(AND(($E10+$C$1)&gt;BY$4,BY$4&gt;=$C$1),$H10,IF(AND(($D10+$C$1)&gt;BY$4,BY$4&gt;=$C$1),$G10,0))*IF($A10="Residential",'General Inputs'!F$14,'General Inputs'!F$19)</f>
        <v>8979.2833682917699</v>
      </c>
      <c r="BZ10" s="214">
        <f>IF(AND(($E10+$C$1)&gt;BZ$4,BZ$4&gt;=$C$1),$H10,IF(AND(($D10+$C$1)&gt;BZ$4,BZ$4&gt;=$C$1),$G10,0))*IF($A10="Residential",'General Inputs'!G$14,'General Inputs'!G$19)</f>
        <v>9113.9726188161458</v>
      </c>
      <c r="CA10" s="214">
        <f>IF(AND(($E10+$C$1)&gt;CA$4,CA$4&gt;=$C$1),$H10,IF(AND(($D10+$C$1)&gt;CA$4,CA$4&gt;=$C$1),$G10,0))*IF($A10="Residential",'General Inputs'!H$14,'General Inputs'!H$19)</f>
        <v>9250.6822080983875</v>
      </c>
      <c r="CB10" s="214">
        <f>IF(AND(($E10+$C$1)&gt;CB$4,CB$4&gt;=$C$1),$H10,IF(AND(($D10+$C$1)&gt;CB$4,CB$4&gt;=$C$1),$G10,0))*IF($A10="Residential",'General Inputs'!I$14,'General Inputs'!I$19)</f>
        <v>9389.4424412198623</v>
      </c>
      <c r="CC10" s="214">
        <f>IF(AND(($E10+$C$1)&gt;CC$4,CC$4&gt;=$C$1),$H10,IF(AND(($D10+$C$1)&gt;CC$4,CC$4&gt;=$C$1),$G10,0))*IF($A10="Residential",'General Inputs'!J$14,'General Inputs'!J$19)</f>
        <v>9530.2840778381578</v>
      </c>
      <c r="CD10" s="214">
        <f>IF(AND(($E10+$C$1)&gt;CD$4,CD$4&gt;=$C$1),$H10,IF(AND(($D10+$C$1)&gt;CD$4,CD$4&gt;=$C$1),$G10,0))*IF($A10="Residential",'General Inputs'!K$14,'General Inputs'!K$19)</f>
        <v>9673.2383390057294</v>
      </c>
      <c r="CE10" s="214">
        <f>IF(AND(($E10+$C$1)&gt;CE$4,CE$4&gt;=$C$1),$H10,IF(AND(($D10+$C$1)&gt;CE$4,CE$4&gt;=$C$1),$G10,0))*IF($A10="Residential",'General Inputs'!L$14,'General Inputs'!L$19)</f>
        <v>9818.3369140908126</v>
      </c>
      <c r="CF10" s="214">
        <f>IF(AND(($E10+$C$1)&gt;CF$4,CF$4&gt;=$C$1),$H10,IF(AND(($D10+$C$1)&gt;CF$4,CF$4&gt;=$C$1),$G10,0))*IF($A10="Residential",'General Inputs'!M$14,'General Inputs'!M$19)</f>
        <v>9965.6119678021751</v>
      </c>
      <c r="CG10" s="214">
        <f>IF(AND(($E10+$C$1)&gt;CG$4,CG$4&gt;=$C$1),$H10,IF(AND(($D10+$C$1)&gt;CG$4,CG$4&gt;=$C$1),$G10,0))*IF($A10="Residential",'General Inputs'!N$14,'General Inputs'!N$19)</f>
        <v>10115.096147319207</v>
      </c>
      <c r="CH10" s="214">
        <f>IF(AND(($E10+$C$1)&gt;CH$4,CH$4&gt;=$C$1),$H10,IF(AND(($D10+$C$1)&gt;CH$4,CH$4&gt;=$C$1),$G10,0))*IF($A10="Residential",'General Inputs'!O$14,'General Inputs'!O$19)</f>
        <v>10266.822589528994</v>
      </c>
      <c r="CI10" s="214">
        <f>IF(AND(($E10+$C$1)&gt;CI$4,CI$4&gt;=$C$1),$H10,IF(AND(($D10+$C$1)&gt;CI$4,CI$4&gt;=$C$1),$G10,0))*IF($A10="Residential",'General Inputs'!P$14,'General Inputs'!P$19)</f>
        <v>10420.824928371927</v>
      </c>
      <c r="CJ10" s="214">
        <f>IF(AND(($E10+$C$1)&gt;CJ$4,CJ$4&gt;=$C$1),$H10,IF(AND(($D10+$C$1)&gt;CJ$4,CJ$4&gt;=$C$1),$G10,0))*IF($A10="Residential",'General Inputs'!Q$14,'General Inputs'!Q$19)</f>
        <v>10577.137302297506</v>
      </c>
      <c r="CK10" s="214">
        <f>IF(AND(($E10+$C$1)&gt;CK$4,CK$4&gt;=$C$1),$H10,IF(AND(($D10+$C$1)&gt;CK$4,CK$4&gt;=$C$1),$G10,0))*IF($A10="Residential",'General Inputs'!R$14,'General Inputs'!R$19)</f>
        <v>10735.794361831966</v>
      </c>
      <c r="CL10" s="214">
        <f>IF(AND(($E10+$C$1)&gt;CL$4,CL$4&gt;=$C$1),$H10,IF(AND(($D10+$C$1)&gt;CL$4,CL$4&gt;=$C$1),$G10,0))*IF($A10="Residential",'General Inputs'!S$14,'General Inputs'!S$19)</f>
        <v>10896.831277259445</v>
      </c>
      <c r="CM10" s="214">
        <f>IF(AND(($E10+$C$1)&gt;CM$4,CM$4&gt;=$C$1),$H10,IF(AND(($D10+$C$1)&gt;CM$4,CM$4&gt;=$C$1),$G10,0))*IF($A10="Residential",'General Inputs'!T$14,'General Inputs'!T$19)</f>
        <v>0</v>
      </c>
      <c r="CN10" s="214">
        <f>IF(AND(($E10+$C$1)&gt;CN$4,CN$4&gt;=$C$1),$H10,IF(AND(($D10+$C$1)&gt;CN$4,CN$4&gt;=$C$1),$G10,0))*IF($A10="Residential",'General Inputs'!U$14,'General Inputs'!U$19)</f>
        <v>0</v>
      </c>
      <c r="CO10" s="214">
        <f>IF(AND(($E10+$C$1)&gt;CO$4,CO$4&gt;=$C$1),$H10,IF(AND(($D10+$C$1)&gt;CO$4,CO$4&gt;=$C$1),$G10,0))*IF($A10="Residential",'General Inputs'!V$14,'General Inputs'!V$19)</f>
        <v>0</v>
      </c>
      <c r="CP10" s="214">
        <f>IF(AND(($E10+$C$1)&gt;CP$4,CP$4&gt;=$C$1),$H10,IF(AND(($D10+$C$1)&gt;CP$4,CP$4&gt;=$C$1),$G10,0))*IF($A10="Residential",'General Inputs'!W$14,'General Inputs'!W$19)</f>
        <v>0</v>
      </c>
      <c r="CR10" s="214">
        <f>IF(AND(($E10+$C$1)&gt;CR$4,CR$4&gt;=$C$1),$H10,IF(AND(($D10+$C$1)&gt;CR$4,CR$4&gt;=$C$1),$G10,0))*IF($A10="Residential",'General Inputs'!D$15,'General Inputs'!D$19)</f>
        <v>0</v>
      </c>
      <c r="CS10" s="214">
        <f>IF(AND(($E10+$C$1)&gt;CS$4,CS$4&gt;=$C$1),$H10,IF(AND(($D10+$C$1)&gt;CS$4,CS$4&gt;=$C$1),$G10,0))*IF($A10="Residential",'General Inputs'!E$15,'General Inputs'!E$19)</f>
        <v>0</v>
      </c>
      <c r="CT10" s="214">
        <f>IF(AND(($E10+$C$1)&gt;CT$4,CT$4&gt;=$C$1),$H10,IF(AND(($D10+$C$1)&gt;CT$4,CT$4&gt;=$C$1),$G10,0))*IF($A10="Residential",'General Inputs'!F$15,'General Inputs'!F$19)</f>
        <v>7304.7213669718267</v>
      </c>
      <c r="CU10" s="214">
        <f>IF(AND(($E10+$C$1)&gt;CU$4,CU$4&gt;=$C$1),$H10,IF(AND(($D10+$C$1)&gt;CU$4,CU$4&gt;=$C$1),$G10,0))*IF($A10="Residential",'General Inputs'!G$15,'General Inputs'!G$19)</f>
        <v>7414.2921874764024</v>
      </c>
      <c r="CV10" s="214">
        <f>IF(AND(($E10+$C$1)&gt;CV$4,CV$4&gt;=$C$1),$H10,IF(AND(($D10+$C$1)&gt;CV$4,CV$4&gt;=$C$1),$G10,0))*IF($A10="Residential",'General Inputs'!H$15,'General Inputs'!H$19)</f>
        <v>7525.5065702885486</v>
      </c>
      <c r="CW10" s="214">
        <f>IF(AND(($E10+$C$1)&gt;CW$4,CW$4&gt;=$C$1),$H10,IF(AND(($D10+$C$1)&gt;CW$4,CW$4&gt;=$C$1),$G10,0))*IF($A10="Residential",'General Inputs'!I$15,'General Inputs'!I$19)</f>
        <v>7638.3891688428757</v>
      </c>
      <c r="CX10" s="214">
        <f>IF(AND(($E10+$C$1)&gt;CX$4,CX$4&gt;=$C$1),$H10,IF(AND(($D10+$C$1)&gt;CX$4,CX$4&gt;=$C$1),$G10,0))*IF($A10="Residential",'General Inputs'!J$15,'General Inputs'!J$19)</f>
        <v>7752.965006375518</v>
      </c>
      <c r="CY10" s="214">
        <f>IF(AND(($E10+$C$1)&gt;CY$4,CY$4&gt;=$C$1),$H10,IF(AND(($D10+$C$1)&gt;CY$4,CY$4&gt;=$C$1),$G10,0))*IF($A10="Residential",'General Inputs'!K$15,'General Inputs'!K$19)</f>
        <v>7869.2594814711501</v>
      </c>
      <c r="CZ10" s="214">
        <f>IF(AND(($E10+$C$1)&gt;CZ$4,CZ$4&gt;=$C$1),$H10,IF(AND(($D10+$C$1)&gt;CZ$4,CZ$4&gt;=$C$1),$G10,0))*IF($A10="Residential",'General Inputs'!L$15,'General Inputs'!L$19)</f>
        <v>7987.2983736932156</v>
      </c>
      <c r="DA10" s="214">
        <f>IF(AND(($E10+$C$1)&gt;DA$4,DA$4&gt;=$C$1),$H10,IF(AND(($D10+$C$1)&gt;DA$4,DA$4&gt;=$C$1),$G10,0))*IF($A10="Residential",'General Inputs'!M$15,'General Inputs'!M$19)</f>
        <v>8107.1078492986135</v>
      </c>
      <c r="DB10" s="214">
        <f>IF(AND(($E10+$C$1)&gt;DB$4,DB$4&gt;=$C$1),$H10,IF(AND(($D10+$C$1)&gt;DB$4,DB$4&gt;=$C$1),$G10,0))*IF($A10="Residential",'General Inputs'!N$15,'General Inputs'!N$19)</f>
        <v>8228.7144670380912</v>
      </c>
      <c r="DC10" s="214">
        <f>IF(AND(($E10+$C$1)&gt;DC$4,DC$4&gt;=$C$1),$H10,IF(AND(($D10+$C$1)&gt;DC$4,DC$4&gt;=$C$1),$G10,0))*IF($A10="Residential",'General Inputs'!O$15,'General Inputs'!O$19)</f>
        <v>8352.1451840436621</v>
      </c>
      <c r="DD10" s="214">
        <f>IF(AND(($E10+$C$1)&gt;DD$4,DD$4&gt;=$C$1),$H10,IF(AND(($D10+$C$1)&gt;DD$4,DD$4&gt;=$C$1),$G10,0))*IF($A10="Residential",'General Inputs'!P$15,'General Inputs'!P$19)</f>
        <v>8477.4273618043171</v>
      </c>
      <c r="DE10" s="214">
        <f>IF(AND(($E10+$C$1)&gt;DE$4,DE$4&gt;=$C$1),$H10,IF(AND(($D10+$C$1)&gt;DE$4,DE$4&gt;=$C$1),$G10,0))*IF($A10="Residential",'General Inputs'!Q$15,'General Inputs'!Q$19)</f>
        <v>8604.5887722313801</v>
      </c>
      <c r="DF10" s="214">
        <f>IF(AND(($E10+$C$1)&gt;DF$4,DF$4&gt;=$C$1),$H10,IF(AND(($D10+$C$1)&gt;DF$4,DF$4&gt;=$C$1),$G10,0))*IF($A10="Residential",'General Inputs'!R$15,'General Inputs'!R$19)</f>
        <v>8733.6576038148505</v>
      </c>
      <c r="DG10" s="214">
        <f>IF(AND(($E10+$C$1)&gt;DG$4,DG$4&gt;=$C$1),$H10,IF(AND(($D10+$C$1)&gt;DG$4,DG$4&gt;=$C$1),$G10,0))*IF($A10="Residential",'General Inputs'!S$15,'General Inputs'!S$19)</f>
        <v>8864.6624678720727</v>
      </c>
      <c r="DH10" s="214">
        <f>IF(AND(($E10+$C$1)&gt;DH$4,DH$4&gt;=$C$1),$H10,IF(AND(($D10+$C$1)&gt;DH$4,DH$4&gt;=$C$1),$G10,0))*IF($A10="Residential",'General Inputs'!T$15,'General Inputs'!T$19)</f>
        <v>0</v>
      </c>
      <c r="DI10" s="214">
        <f>IF(AND(($E10+$C$1)&gt;DI$4,DI$4&gt;=$C$1),$H10,IF(AND(($D10+$C$1)&gt;DI$4,DI$4&gt;=$C$1),$G10,0))*IF($A10="Residential",'General Inputs'!U$15,'General Inputs'!U$19)</f>
        <v>0</v>
      </c>
      <c r="DJ10" s="214">
        <f>IF(AND(($E10+$C$1)&gt;DJ$4,DJ$4&gt;=$C$1),$H10,IF(AND(($D10+$C$1)&gt;DJ$4,DJ$4&gt;=$C$1),$G10,0))*IF($A10="Residential",'General Inputs'!V$15,'General Inputs'!V$19)</f>
        <v>0</v>
      </c>
      <c r="DK10" s="214">
        <f>IF(AND(($E10+$C$1)&gt;DK$4,DK$4&gt;=$C$1),$H10,IF(AND(($D10+$C$1)&gt;DK$4,DK$4&gt;=$C$1),$G10,0))*IF($A10="Residential",'General Inputs'!W$15,'General Inputs'!W$19)</f>
        <v>0</v>
      </c>
      <c r="DM10" s="214">
        <f t="shared" ref="DM10:DM12" si="31">IF($C$1=DM$4,$L10*$C10,IF($E10+$C$1=DM$4,-$M10*$C10,0))</f>
        <v>0</v>
      </c>
      <c r="DN10" s="214">
        <f t="shared" si="27"/>
        <v>0</v>
      </c>
      <c r="DO10" s="214">
        <f t="shared" si="27"/>
        <v>24000</v>
      </c>
      <c r="DP10" s="214">
        <f t="shared" si="27"/>
        <v>0</v>
      </c>
      <c r="DQ10" s="214">
        <f t="shared" si="27"/>
        <v>0</v>
      </c>
      <c r="DR10" s="214">
        <f t="shared" si="27"/>
        <v>0</v>
      </c>
      <c r="DS10" s="214">
        <f t="shared" si="27"/>
        <v>0</v>
      </c>
      <c r="DT10" s="214">
        <f t="shared" si="27"/>
        <v>0</v>
      </c>
      <c r="DU10" s="214">
        <f t="shared" si="27"/>
        <v>0</v>
      </c>
      <c r="DV10" s="214">
        <f t="shared" si="27"/>
        <v>0</v>
      </c>
      <c r="DW10" s="214">
        <f t="shared" si="27"/>
        <v>0</v>
      </c>
      <c r="DY10" s="219"/>
      <c r="DZ10" s="650"/>
      <c r="EA10" s="219"/>
      <c r="EB10" s="219"/>
      <c r="EC10" s="219"/>
      <c r="ED10" s="219"/>
      <c r="EE10" s="219"/>
      <c r="EF10" s="219"/>
      <c r="FI10" s="195"/>
      <c r="FJ10" s="195"/>
      <c r="FK10" s="195"/>
      <c r="FL10" s="195"/>
      <c r="FM10" s="195"/>
      <c r="FN10" s="195"/>
      <c r="FO10" s="195"/>
    </row>
    <row r="11" spans="1:171">
      <c r="A11" s="341" t="s">
        <v>12</v>
      </c>
      <c r="B11" s="427" t="str">
        <f>'Portfolio Inputs'!A10</f>
        <v>ENERGY STAR Fixture</v>
      </c>
      <c r="C11" s="217">
        <f>IF($C$1=2014,'Portfolio Inputs'!$C10,IF($C$1=2015,'Portfolio Inputs'!$D10,'Portfolio Inputs'!$E10))</f>
        <v>500</v>
      </c>
      <c r="D11" s="504">
        <f>VLOOKUP(B11,Sources!$B$4:$J$104,2,FALSE)</f>
        <v>8</v>
      </c>
      <c r="E11" s="504">
        <f>VLOOKUP(B11,Sources!$B$4:$J$104,3,FALSE)</f>
        <v>0</v>
      </c>
      <c r="G11" s="504">
        <f>IF($C$1=2014,'Portfolio Inputs'!$G10,IF($C$1=2015,'Portfolio Inputs'!$H10,'Portfolio Inputs'!$I10))*EnergyLineLoss</f>
        <v>45142.059374999997</v>
      </c>
      <c r="H11" s="504"/>
      <c r="I11" s="504">
        <f>IF($C$1=2014,'Portfolio Inputs'!$K10,IF($C$1=2015,'Portfolio Inputs'!$L10,'Portfolio Inputs'!$M10))*PeakLineLoss</f>
        <v>9.8941499999999988E-2</v>
      </c>
      <c r="J11" s="510"/>
      <c r="L11" s="606">
        <f>IF($C$1=2014,'Portfolio Inputs'!$O10,IF($C$1=2015,'Portfolio Inputs'!$P10,'Portfolio Inputs'!$Q10))</f>
        <v>17</v>
      </c>
      <c r="M11" s="518">
        <f>VLOOKUP($B11,Sources!$B$4:$K$104,10,FALSE)</f>
        <v>0</v>
      </c>
      <c r="N11" s="419">
        <f>IF($C$1=2014,'Portfolio Inputs'!$W10,IF($C$1=2015,'Portfolio Inputs'!$X10,'Portfolio Inputs'!$Y10))</f>
        <v>5000</v>
      </c>
      <c r="O11" s="419"/>
      <c r="Q11" s="438">
        <f t="shared" si="0"/>
        <v>1.3834817494264686</v>
      </c>
      <c r="R11" s="439">
        <f t="shared" si="1"/>
        <v>2.3519189740249966</v>
      </c>
      <c r="S11" s="439">
        <f t="shared" si="2"/>
        <v>1.7503804406770387</v>
      </c>
      <c r="T11" s="439">
        <f t="shared" si="3"/>
        <v>5.2489164060471607</v>
      </c>
      <c r="U11" s="439">
        <f t="shared" si="28"/>
        <v>4.3797379682815309</v>
      </c>
      <c r="V11" s="439">
        <f t="shared" si="29"/>
        <v>0.26357473474574483</v>
      </c>
      <c r="W11" s="439">
        <f t="shared" si="30"/>
        <v>0.31588231064181738</v>
      </c>
      <c r="Y11" s="215">
        <f t="shared" si="4"/>
        <v>9926.93764470106</v>
      </c>
      <c r="Z11" s="215">
        <f t="shared" si="5"/>
        <v>2632.6190652509335</v>
      </c>
      <c r="AA11" s="215">
        <f t="shared" si="6"/>
        <v>33441.923465300701</v>
      </c>
      <c r="AB11" s="215">
        <f t="shared" si="7"/>
        <v>27205.281632190148</v>
      </c>
      <c r="AC11" s="216">
        <f t="shared" si="20"/>
        <v>0</v>
      </c>
      <c r="AD11" s="216">
        <f t="shared" si="21"/>
        <v>4220.7821588821262</v>
      </c>
      <c r="AE11" s="215">
        <f t="shared" si="8"/>
        <v>7175.3296700996143</v>
      </c>
      <c r="AG11" s="214">
        <f>IF(AND(($E11+$C$1)&gt;AG$4,AG$4&gt;=$C$1),'General Inputs'!D$9*$H11,IF(AND(($D11+$C$1)&gt;AG$4,AG$4&gt;=$C$1),'General Inputs'!D$9*$G11,0))+IF(AND(($E11+$C$1)&gt;AG$4,AG$4&gt;=$C$1),'General Inputs'!D$10*$J11,IF(AND(($D11+$C$1)&gt;AG$4,AG$4&gt;=$C$1),'General Inputs'!D$10*$I11,0))</f>
        <v>0</v>
      </c>
      <c r="AH11" s="214">
        <f>IF(AND(($E11+$C$1)&gt;AH$4,AH$4&gt;=$C$1),'General Inputs'!E$9*$H11,IF(AND(($D11+$C$1)&gt;AH$4,AH$4&gt;=$C$1),'General Inputs'!E$9*$G11,0))+IF(AND(($E11+$C$1)&gt;AH$4,AH$4&gt;=$C$1),'General Inputs'!E$10*$J11,IF(AND(($D11+$C$1)&gt;AH$4,AH$4&gt;=$C$1),'General Inputs'!E$10*$I11,0))</f>
        <v>0</v>
      </c>
      <c r="AI11" s="214">
        <f>IF(AND(($E11+$C$1)&gt;AI$4,AI$4&gt;=$C$1),'General Inputs'!F$9*$H11,IF(AND(($D11+$C$1)&gt;AI$4,AI$4&gt;=$C$1),'General Inputs'!F$9*$G11,0))+IF(AND(($E11+$C$1)&gt;AI$4,AI$4&gt;=$C$1),'General Inputs'!F$10*$J11,IF(AND(($D11+$C$1)&gt;AI$4,AI$4&gt;=$C$1),'General Inputs'!F$10*$I11,0))</f>
        <v>1853.0547624720045</v>
      </c>
      <c r="AJ11" s="214">
        <f>IF(AND(($E11+$C$1)&gt;AJ$4,AJ$4&gt;=$C$1),'General Inputs'!G$9*$H11,IF(AND(($D11+$C$1)&gt;AJ$4,AJ$4&gt;=$C$1),'General Inputs'!G$9*$G11,0))+IF(AND(($E11+$C$1)&gt;AJ$4,AJ$4&gt;=$C$1),'General Inputs'!G$10*$J11,IF(AND(($D11+$C$1)&gt;AJ$4,AJ$4&gt;=$C$1),'General Inputs'!G$10*$I11,0))</f>
        <v>1880.8505839090847</v>
      </c>
      <c r="AK11" s="214">
        <f>IF(AND(($E11+$C$1)&gt;AK$4,AK$4&gt;=$C$1),'General Inputs'!H$9*$H11,IF(AND(($D11+$C$1)&gt;AK$4,AK$4&gt;=$C$1),'General Inputs'!H$9*$G11,0))+IF(AND(($E11+$C$1)&gt;AK$4,AK$4&gt;=$C$1),'General Inputs'!H$10*$J11,IF(AND(($D11+$C$1)&gt;AK$4,AK$4&gt;=$C$1),'General Inputs'!H$10*$I11,0))</f>
        <v>1909.0633426677207</v>
      </c>
      <c r="AL11" s="214">
        <f>IF(AND(($E11+$C$1)&gt;AL$4,AL$4&gt;=$C$1),'General Inputs'!I$9*$H11,IF(AND(($D11+$C$1)&gt;AL$4,AL$4&gt;=$C$1),'General Inputs'!I$9*$G11,0))+IF(AND(($E11+$C$1)&gt;AL$4,AL$4&gt;=$C$1),'General Inputs'!I$10*$J11,IF(AND(($D11+$C$1)&gt;AL$4,AL$4&gt;=$C$1),'General Inputs'!I$10*$I11,0))</f>
        <v>1937.6992928077361</v>
      </c>
      <c r="AM11" s="214">
        <f>IF(AND(($E11+$C$1)&gt;AM$4,AM$4&gt;=$C$1),'General Inputs'!J$9*$H11,IF(AND(($D11+$C$1)&gt;AM$4,AM$4&gt;=$C$1),'General Inputs'!J$9*$G11,0))+IF(AND(($E11+$C$1)&gt;AM$4,AM$4&gt;=$C$1),'General Inputs'!J$10*$J11,IF(AND(($D11+$C$1)&gt;AM$4,AM$4&gt;=$C$1),'General Inputs'!J$10*$I11,0))</f>
        <v>1966.7647821998519</v>
      </c>
      <c r="AN11" s="214">
        <f>IF(AND(($E11+$C$1)&gt;AN$4,AN$4&gt;=$C$1),'General Inputs'!K$9*$H11,IF(AND(($D11+$C$1)&gt;AN$4,AN$4&gt;=$C$1),'General Inputs'!K$9*$G11,0))+IF(AND(($E11+$C$1)&gt;AN$4,AN$4&gt;=$C$1),'General Inputs'!K$10*$J11,IF(AND(($D11+$C$1)&gt;AN$4,AN$4&gt;=$C$1),'General Inputs'!K$10*$I11,0))</f>
        <v>1996.2662539328492</v>
      </c>
      <c r="AO11" s="214">
        <f>IF(AND(($E11+$C$1)&gt;AO$4,AO$4&gt;=$C$1),'General Inputs'!L$9*$H11,IF(AND(($D11+$C$1)&gt;AO$4,AO$4&gt;=$C$1),'General Inputs'!L$9*$G11,0))+IF(AND(($E11+$C$1)&gt;AO$4,AO$4&gt;=$C$1),'General Inputs'!L$10*$J11,IF(AND(($D11+$C$1)&gt;AO$4,AO$4&gt;=$C$1),'General Inputs'!L$10*$I11,0))</f>
        <v>2026.2102477418418</v>
      </c>
      <c r="AP11" s="214">
        <f>IF(AND(($E11+$C$1)&gt;AP$4,AP$4&gt;=$C$1),'General Inputs'!M$9*$H11,IF(AND(($D11+$C$1)&gt;AP$4,AP$4&gt;=$C$1),'General Inputs'!M$9*$G11,0))+IF(AND(($E11+$C$1)&gt;AP$4,AP$4&gt;=$C$1),'General Inputs'!M$10*$J11,IF(AND(($D11+$C$1)&gt;AP$4,AP$4&gt;=$C$1),'General Inputs'!M$10*$I11,0))</f>
        <v>2056.6034014579695</v>
      </c>
      <c r="AQ11" s="214">
        <f>IF(AND(($E11+$C$1)&gt;AQ$4,AQ$4&gt;=$C$1),'General Inputs'!N$9*$H11,IF(AND(($D11+$C$1)&gt;AQ$4,AQ$4&gt;=$C$1),'General Inputs'!N$9*$G11,0))+IF(AND(($E11+$C$1)&gt;AQ$4,AQ$4&gt;=$C$1),'General Inputs'!N$10*$J11,IF(AND(($D11+$C$1)&gt;AQ$4,AQ$4&gt;=$C$1),'General Inputs'!N$10*$I11,0))</f>
        <v>0</v>
      </c>
      <c r="AR11" s="214">
        <f>IF(AND(($E11+$C$1)&gt;AR$4,AR$4&gt;=$C$1),'General Inputs'!O$9*$H11,IF(AND(($D11+$C$1)&gt;AR$4,AR$4&gt;=$C$1),'General Inputs'!O$9*$G11,0))+IF(AND(($E11+$C$1)&gt;AR$4,AR$4&gt;=$C$1),'General Inputs'!O$10*$J11,IF(AND(($D11+$C$1)&gt;AR$4,AR$4&gt;=$C$1),'General Inputs'!O$10*$I11,0))</f>
        <v>0</v>
      </c>
      <c r="AS11" s="214">
        <f>IF(AND(($E11+$C$1)&gt;AS$4,AS$4&gt;=$C$1),'General Inputs'!P$9*$H11,IF(AND(($D11+$C$1)&gt;AS$4,AS$4&gt;=$C$1),'General Inputs'!P$9*$G11,0))+IF(AND(($E11+$C$1)&gt;AS$4,AS$4&gt;=$C$1),'General Inputs'!P$10*$J11,IF(AND(($D11+$C$1)&gt;AS$4,AS$4&gt;=$C$1),'General Inputs'!P$10*$I11,0))</f>
        <v>0</v>
      </c>
      <c r="AT11" s="214">
        <f>IF(AND(($E11+$C$1)&gt;AT$4,AT$4&gt;=$C$1),'General Inputs'!Q$9*$H11,IF(AND(($D11+$C$1)&gt;AT$4,AT$4&gt;=$C$1),'General Inputs'!Q$9*$G11,0))+IF(AND(($E11+$C$1)&gt;AT$4,AT$4&gt;=$C$1),'General Inputs'!Q$10*$J11,IF(AND(($D11+$C$1)&gt;AT$4,AT$4&gt;=$C$1),'General Inputs'!Q$10*$I11,0))</f>
        <v>0</v>
      </c>
      <c r="AU11" s="214">
        <f>IF(AND(($E11+$C$1)&gt;AU$4,AU$4&gt;=$C$1),'General Inputs'!R$9*$H11,IF(AND(($D11+$C$1)&gt;AU$4,AU$4&gt;=$C$1),'General Inputs'!R$9*$G11,0))+IF(AND(($E11+$C$1)&gt;AU$4,AU$4&gt;=$C$1),'General Inputs'!R$10*$J11,IF(AND(($D11+$C$1)&gt;AU$4,AU$4&gt;=$C$1),'General Inputs'!R$10*$I11,0))</f>
        <v>0</v>
      </c>
      <c r="AV11" s="214">
        <f>IF(AND(($E11+$C$1)&gt;AV$4,AV$4&gt;=$C$1),'General Inputs'!S$9*$H11,IF(AND(($D11+$C$1)&gt;AV$4,AV$4&gt;=$C$1),'General Inputs'!S$9*$G11,0))+IF(AND(($E11+$C$1)&gt;AV$4,AV$4&gt;=$C$1),'General Inputs'!S$10*$J11,IF(AND(($D11+$C$1)&gt;AV$4,AV$4&gt;=$C$1),'General Inputs'!S$10*$I11,0))</f>
        <v>0</v>
      </c>
      <c r="AW11" s="214">
        <f>IF(AND(($E11+$C$1)&gt;AW$4,AW$4&gt;=$C$1),'General Inputs'!T$9*$H11,IF(AND(($D11+$C$1)&gt;AW$4,AW$4&gt;=$C$1),'General Inputs'!T$9*$G11,0))+IF(AND(($E11+$C$1)&gt;AW$4,AW$4&gt;=$C$1),'General Inputs'!T$10*$J11,IF(AND(($D11+$C$1)&gt;AW$4,AW$4&gt;=$C$1),'General Inputs'!T$10*$I11,0))</f>
        <v>0</v>
      </c>
      <c r="AX11" s="214">
        <f>IF(AND(($E11+$C$1)&gt;AX$4,AX$4&gt;=$C$1),'General Inputs'!U$9*$H11,IF(AND(($D11+$C$1)&gt;AX$4,AX$4&gt;=$C$1),'General Inputs'!U$9*$G11,0))+IF(AND(($E11+$C$1)&gt;AX$4,AX$4&gt;=$C$1),'General Inputs'!U$10*$J11,IF(AND(($D11+$C$1)&gt;AX$4,AX$4&gt;=$C$1),'General Inputs'!U$10*$I11,0))</f>
        <v>0</v>
      </c>
      <c r="AY11" s="214">
        <f>IF(AND(($E11+$C$1)&gt;AY$4,AY$4&gt;=$C$1),'General Inputs'!V$9*$H11,IF(AND(($D11+$C$1)&gt;AY$4,AY$4&gt;=$C$1),'General Inputs'!V$9*$G11,0))+IF(AND(($E11+$C$1)&gt;AY$4,AY$4&gt;=$C$1),'General Inputs'!V$10*$J11,IF(AND(($D11+$C$1)&gt;AY$4,AY$4&gt;=$C$1),'General Inputs'!V$10*$I11,0))</f>
        <v>0</v>
      </c>
      <c r="AZ11" s="214">
        <f>IF(AND(($E11+$C$1)&gt;AZ$4,AZ$4&gt;=$C$1),'General Inputs'!W$9*$H11,IF(AND(($D11+$C$1)&gt;AZ$4,AZ$4&gt;=$C$1),'General Inputs'!W$9*$G11,0))+IF(AND(($E11+$C$1)&gt;AZ$4,AZ$4&gt;=$C$1),'General Inputs'!W$10*$J11,IF(AND(($D11+$C$1)&gt;AZ$4,AZ$4&gt;=$C$1),'General Inputs'!W$10*$I11,0))</f>
        <v>0</v>
      </c>
      <c r="BB11" s="214">
        <f>IF(AND(($E11+$C$1)&gt;BB$4,BB$4&gt;=$C$1),'General Inputs'!D$11*$H11,IF(AND(($D11+$C$1)&gt;BB$4,BB$4&gt;=$C$1),'General Inputs'!D$11*$G11,0))</f>
        <v>0</v>
      </c>
      <c r="BC11" s="214">
        <f>IF(AND(($E11+$C$1)&gt;BC$4,BC$4&gt;=$C$1),'General Inputs'!E$11*$H11,IF(AND(($D11+$C$1)&gt;BC$4,BC$4&gt;=$C$1),'General Inputs'!E$11*$G11,0))</f>
        <v>0</v>
      </c>
      <c r="BD11" s="214">
        <f>IF(AND(($E11+$C$1)&gt;BD$4,BD$4&gt;=$C$1),'General Inputs'!F$11*$H11,IF(AND(($D11+$C$1)&gt;BD$4,BD$4&gt;=$C$1),'General Inputs'!F$11*$G11,0))</f>
        <v>514.61947687500003</v>
      </c>
      <c r="BE11" s="214">
        <f>IF(AND(($E11+$C$1)&gt;BE$4,BE$4&gt;=$C$1),'General Inputs'!G$11*$H11,IF(AND(($D11+$C$1)&gt;BE$4,BE$4&gt;=$C$1),'General Inputs'!G$11*$G11,0))</f>
        <v>514.61947687500003</v>
      </c>
      <c r="BF11" s="214">
        <f>IF(AND(($E11+$C$1)&gt;BF$4,BF$4&gt;=$C$1),'General Inputs'!H$11*$H11,IF(AND(($D11+$C$1)&gt;BF$4,BF$4&gt;=$C$1),'General Inputs'!H$11*$G11,0))</f>
        <v>514.61947687500003</v>
      </c>
      <c r="BG11" s="214">
        <f>IF(AND(($E11+$C$1)&gt;BG$4,BG$4&gt;=$C$1),'General Inputs'!I$11*$H11,IF(AND(($D11+$C$1)&gt;BG$4,BG$4&gt;=$C$1),'General Inputs'!I$11*$G11,0))</f>
        <v>514.61947687500003</v>
      </c>
      <c r="BH11" s="214">
        <f>IF(AND(($E11+$C$1)&gt;BH$4,BH$4&gt;=$C$1),'General Inputs'!J$11*$H11,IF(AND(($D11+$C$1)&gt;BH$4,BH$4&gt;=$C$1),'General Inputs'!J$11*$G11,0))</f>
        <v>514.61947687500003</v>
      </c>
      <c r="BI11" s="214">
        <f>IF(AND(($E11+$C$1)&gt;BI$4,BI$4&gt;=$C$1),'General Inputs'!K$11*$H11,IF(AND(($D11+$C$1)&gt;BI$4,BI$4&gt;=$C$1),'General Inputs'!K$11*$G11,0))</f>
        <v>514.61947687500003</v>
      </c>
      <c r="BJ11" s="214">
        <f>IF(AND(($E11+$C$1)&gt;BJ$4,BJ$4&gt;=$C$1),'General Inputs'!L$11*$H11,IF(AND(($D11+$C$1)&gt;BJ$4,BJ$4&gt;=$C$1),'General Inputs'!L$11*$G11,0))</f>
        <v>514.61947687500003</v>
      </c>
      <c r="BK11" s="214">
        <f>IF(AND(($E11+$C$1)&gt;BK$4,BK$4&gt;=$C$1),'General Inputs'!M$11*$H11,IF(AND(($D11+$C$1)&gt;BK$4,BK$4&gt;=$C$1),'General Inputs'!M$11*$G11,0))</f>
        <v>514.61947687500003</v>
      </c>
      <c r="BL11" s="214">
        <f>IF(AND(($E11+$C$1)&gt;BL$4,BL$4&gt;=$C$1),'General Inputs'!N$11*$H11,IF(AND(($D11+$C$1)&gt;BL$4,BL$4&gt;=$C$1),'General Inputs'!N$11*$G11,0))</f>
        <v>0</v>
      </c>
      <c r="BM11" s="214">
        <f>IF(AND(($E11+$C$1)&gt;BM$4,BM$4&gt;=$C$1),'General Inputs'!O$11*$H11,IF(AND(($D11+$C$1)&gt;BM$4,BM$4&gt;=$C$1),'General Inputs'!O$11*$G11,0))</f>
        <v>0</v>
      </c>
      <c r="BN11" s="214">
        <f>IF(AND(($E11+$C$1)&gt;BN$4,BN$4&gt;=$C$1),'General Inputs'!P$11*$H11,IF(AND(($D11+$C$1)&gt;BN$4,BN$4&gt;=$C$1),'General Inputs'!P$11*$G11,0))</f>
        <v>0</v>
      </c>
      <c r="BO11" s="214">
        <f>IF(AND(($E11+$C$1)&gt;BO$4,BO$4&gt;=$C$1),'General Inputs'!Q$11*$H11,IF(AND(($D11+$C$1)&gt;BO$4,BO$4&gt;=$C$1),'General Inputs'!Q$11*$G11,0))</f>
        <v>0</v>
      </c>
      <c r="BP11" s="214">
        <f>IF(AND(($E11+$C$1)&gt;BP$4,BP$4&gt;=$C$1),'General Inputs'!R$11*$H11,IF(AND(($D11+$C$1)&gt;BP$4,BP$4&gt;=$C$1),'General Inputs'!R$11*$G11,0))</f>
        <v>0</v>
      </c>
      <c r="BQ11" s="214">
        <f>IF(AND(($E11+$C$1)&gt;BQ$4,BQ$4&gt;=$C$1),'General Inputs'!S$11*$H11,IF(AND(($D11+$C$1)&gt;BQ$4,BQ$4&gt;=$C$1),'General Inputs'!S$11*$G11,0))</f>
        <v>0</v>
      </c>
      <c r="BR11" s="214">
        <f>IF(AND(($E11+$C$1)&gt;BR$4,BR$4&gt;=$C$1),'General Inputs'!T$11*$H11,IF(AND(($D11+$C$1)&gt;BR$4,BR$4&gt;=$C$1),'General Inputs'!T$11*$G11,0))</f>
        <v>0</v>
      </c>
      <c r="BS11" s="214">
        <f>IF(AND(($E11+$C$1)&gt;BS$4,BS$4&gt;=$C$1),'General Inputs'!U$11*$H11,IF(AND(($D11+$C$1)&gt;BS$4,BS$4&gt;=$C$1),'General Inputs'!U$11*$G11,0))</f>
        <v>0</v>
      </c>
      <c r="BT11" s="214">
        <f>IF(AND(($E11+$C$1)&gt;BT$4,BT$4&gt;=$C$1),'General Inputs'!V$11*$H11,IF(AND(($D11+$C$1)&gt;BT$4,BT$4&gt;=$C$1),'General Inputs'!V$11*$G11,0))</f>
        <v>0</v>
      </c>
      <c r="BU11" s="214">
        <f>IF(AND(($E11+$C$1)&gt;BU$4,BU$4&gt;=$C$1),'General Inputs'!W$11*$H11,IF(AND(($D11+$C$1)&gt;BU$4,BU$4&gt;=$C$1),'General Inputs'!W$11*$G11,0))</f>
        <v>0</v>
      </c>
      <c r="BW11" s="214">
        <f>IF(AND(($E11+$C$1)&gt;BW$4,BW$4&gt;=$C$1),$H11,IF(AND(($D11+$C$1)&gt;BW$4,BW$4&gt;=$C$1),$G11,0))*IF($A11="Residential",'General Inputs'!D$14,'General Inputs'!D$19)</f>
        <v>0</v>
      </c>
      <c r="BX11" s="214">
        <f>IF(AND(($E11+$C$1)&gt;BX$4,BX$4&gt;=$C$1),$H11,IF(AND(($D11+$C$1)&gt;BX$4,BX$4&gt;=$C$1),$G11,0))*IF($A11="Residential",'General Inputs'!E$14,'General Inputs'!E$19)</f>
        <v>0</v>
      </c>
      <c r="BY11" s="214">
        <f>IF(AND(($E11+$C$1)&gt;BY$4,BY$4&gt;=$C$1),$H11,IF(AND(($D11+$C$1)&gt;BY$4,BY$4&gt;=$C$1),$G11,0))*IF($A11="Residential",'General Inputs'!F$14,'General Inputs'!F$19)</f>
        <v>6242.5813238263709</v>
      </c>
      <c r="BZ11" s="214">
        <f>IF(AND(($E11+$C$1)&gt;BZ$4,BZ$4&gt;=$C$1),$H11,IF(AND(($D11+$C$1)&gt;BZ$4,BZ$4&gt;=$C$1),$G11,0))*IF($A11="Residential",'General Inputs'!G$14,'General Inputs'!G$19)</f>
        <v>6336.2200436837657</v>
      </c>
      <c r="CA11" s="214">
        <f>IF(AND(($E11+$C$1)&gt;CA$4,CA$4&gt;=$C$1),$H11,IF(AND(($D11+$C$1)&gt;CA$4,CA$4&gt;=$C$1),$G11,0))*IF($A11="Residential",'General Inputs'!H$14,'General Inputs'!H$19)</f>
        <v>6431.2633443390214</v>
      </c>
      <c r="CB11" s="214">
        <f>IF(AND(($E11+$C$1)&gt;CB$4,CB$4&gt;=$C$1),$H11,IF(AND(($D11+$C$1)&gt;CB$4,CB$4&gt;=$C$1),$G11,0))*IF($A11="Residential",'General Inputs'!I$14,'General Inputs'!I$19)</f>
        <v>6527.732294504106</v>
      </c>
      <c r="CC11" s="214">
        <f>IF(AND(($E11+$C$1)&gt;CC$4,CC$4&gt;=$C$1),$H11,IF(AND(($D11+$C$1)&gt;CC$4,CC$4&gt;=$C$1),$G11,0))*IF($A11="Residential",'General Inputs'!J$14,'General Inputs'!J$19)</f>
        <v>6625.6482789216661</v>
      </c>
      <c r="CD11" s="214">
        <f>IF(AND(($E11+$C$1)&gt;CD$4,CD$4&gt;=$C$1),$H11,IF(AND(($D11+$C$1)&gt;CD$4,CD$4&gt;=$C$1),$G11,0))*IF($A11="Residential",'General Inputs'!K$14,'General Inputs'!K$19)</f>
        <v>6725.0330031054909</v>
      </c>
      <c r="CE11" s="214">
        <f>IF(AND(($E11+$C$1)&gt;CE$4,CE$4&gt;=$C$1),$H11,IF(AND(($D11+$C$1)&gt;CE$4,CE$4&gt;=$C$1),$G11,0))*IF($A11="Residential",'General Inputs'!L$14,'General Inputs'!L$19)</f>
        <v>6825.9084981520718</v>
      </c>
      <c r="CF11" s="214">
        <f>IF(AND(($E11+$C$1)&gt;CF$4,CF$4&gt;=$C$1),$H11,IF(AND(($D11+$C$1)&gt;CF$4,CF$4&gt;=$C$1),$G11,0))*IF($A11="Residential",'General Inputs'!M$14,'General Inputs'!M$19)</f>
        <v>6928.2971256243527</v>
      </c>
      <c r="CG11" s="214">
        <f>IF(AND(($E11+$C$1)&gt;CG$4,CG$4&gt;=$C$1),$H11,IF(AND(($D11+$C$1)&gt;CG$4,CG$4&gt;=$C$1),$G11,0))*IF($A11="Residential",'General Inputs'!N$14,'General Inputs'!N$19)</f>
        <v>0</v>
      </c>
      <c r="CH11" s="214">
        <f>IF(AND(($E11+$C$1)&gt;CH$4,CH$4&gt;=$C$1),$H11,IF(AND(($D11+$C$1)&gt;CH$4,CH$4&gt;=$C$1),$G11,0))*IF($A11="Residential",'General Inputs'!O$14,'General Inputs'!O$19)</f>
        <v>0</v>
      </c>
      <c r="CI11" s="214">
        <f>IF(AND(($E11+$C$1)&gt;CI$4,CI$4&gt;=$C$1),$H11,IF(AND(($D11+$C$1)&gt;CI$4,CI$4&gt;=$C$1),$G11,0))*IF($A11="Residential",'General Inputs'!P$14,'General Inputs'!P$19)</f>
        <v>0</v>
      </c>
      <c r="CJ11" s="214">
        <f>IF(AND(($E11+$C$1)&gt;CJ$4,CJ$4&gt;=$C$1),$H11,IF(AND(($D11+$C$1)&gt;CJ$4,CJ$4&gt;=$C$1),$G11,0))*IF($A11="Residential",'General Inputs'!Q$14,'General Inputs'!Q$19)</f>
        <v>0</v>
      </c>
      <c r="CK11" s="214">
        <f>IF(AND(($E11+$C$1)&gt;CK$4,CK$4&gt;=$C$1),$H11,IF(AND(($D11+$C$1)&gt;CK$4,CK$4&gt;=$C$1),$G11,0))*IF($A11="Residential",'General Inputs'!R$14,'General Inputs'!R$19)</f>
        <v>0</v>
      </c>
      <c r="CL11" s="214">
        <f>IF(AND(($E11+$C$1)&gt;CL$4,CL$4&gt;=$C$1),$H11,IF(AND(($D11+$C$1)&gt;CL$4,CL$4&gt;=$C$1),$G11,0))*IF($A11="Residential",'General Inputs'!S$14,'General Inputs'!S$19)</f>
        <v>0</v>
      </c>
      <c r="CM11" s="214">
        <f>IF(AND(($E11+$C$1)&gt;CM$4,CM$4&gt;=$C$1),$H11,IF(AND(($D11+$C$1)&gt;CM$4,CM$4&gt;=$C$1),$G11,0))*IF($A11="Residential",'General Inputs'!T$14,'General Inputs'!T$19)</f>
        <v>0</v>
      </c>
      <c r="CN11" s="214">
        <f>IF(AND(($E11+$C$1)&gt;CN$4,CN$4&gt;=$C$1),$H11,IF(AND(($D11+$C$1)&gt;CN$4,CN$4&gt;=$C$1),$G11,0))*IF($A11="Residential",'General Inputs'!U$14,'General Inputs'!U$19)</f>
        <v>0</v>
      </c>
      <c r="CO11" s="214">
        <f>IF(AND(($E11+$C$1)&gt;CO$4,CO$4&gt;=$C$1),$H11,IF(AND(($D11+$C$1)&gt;CO$4,CO$4&gt;=$C$1),$G11,0))*IF($A11="Residential",'General Inputs'!V$14,'General Inputs'!V$19)</f>
        <v>0</v>
      </c>
      <c r="CP11" s="214">
        <f>IF(AND(($E11+$C$1)&gt;CP$4,CP$4&gt;=$C$1),$H11,IF(AND(($D11+$C$1)&gt;CP$4,CP$4&gt;=$C$1),$G11,0))*IF($A11="Residential",'General Inputs'!W$14,'General Inputs'!W$19)</f>
        <v>0</v>
      </c>
      <c r="CR11" s="214">
        <f>IF(AND(($E11+$C$1)&gt;CR$4,CR$4&gt;=$C$1),$H11,IF(AND(($D11+$C$1)&gt;CR$4,CR$4&gt;=$C$1),$G11,0))*IF($A11="Residential",'General Inputs'!D$15,'General Inputs'!D$19)</f>
        <v>0</v>
      </c>
      <c r="CS11" s="214">
        <f>IF(AND(($E11+$C$1)&gt;CS$4,CS$4&gt;=$C$1),$H11,IF(AND(($D11+$C$1)&gt;CS$4,CS$4&gt;=$C$1),$G11,0))*IF($A11="Residential",'General Inputs'!E$15,'General Inputs'!E$19)</f>
        <v>0</v>
      </c>
      <c r="CT11" s="214">
        <f>IF(AND(($E11+$C$1)&gt;CT$4,CT$4&gt;=$C$1),$H11,IF(AND(($D11+$C$1)&gt;CT$4,CT$4&gt;=$C$1),$G11,0))*IF($A11="Residential",'General Inputs'!F$15,'General Inputs'!F$19)</f>
        <v>5078.3915943938873</v>
      </c>
      <c r="CU11" s="214">
        <f>IF(AND(($E11+$C$1)&gt;CU$4,CU$4&gt;=$C$1),$H11,IF(AND(($D11+$C$1)&gt;CU$4,CU$4&gt;=$C$1),$G11,0))*IF($A11="Residential",'General Inputs'!G$15,'General Inputs'!G$19)</f>
        <v>5154.567468309795</v>
      </c>
      <c r="CV11" s="214">
        <f>IF(AND(($E11+$C$1)&gt;CV$4,CV$4&gt;=$C$1),$H11,IF(AND(($D11+$C$1)&gt;CV$4,CV$4&gt;=$C$1),$G11,0))*IF($A11="Residential",'General Inputs'!H$15,'General Inputs'!H$19)</f>
        <v>5231.8859803344412</v>
      </c>
      <c r="CW11" s="214">
        <f>IF(AND(($E11+$C$1)&gt;CW$4,CW$4&gt;=$C$1),$H11,IF(AND(($D11+$C$1)&gt;CW$4,CW$4&gt;=$C$1),$G11,0))*IF($A11="Residential",'General Inputs'!I$15,'General Inputs'!I$19)</f>
        <v>5310.3642700394576</v>
      </c>
      <c r="CX11" s="214">
        <f>IF(AND(($E11+$C$1)&gt;CX$4,CX$4&gt;=$C$1),$H11,IF(AND(($D11+$C$1)&gt;CX$4,CX$4&gt;=$C$1),$G11,0))*IF($A11="Residential",'General Inputs'!J$15,'General Inputs'!J$19)</f>
        <v>5390.0197340900486</v>
      </c>
      <c r="CY11" s="214">
        <f>IF(AND(($E11+$C$1)&gt;CY$4,CY$4&gt;=$C$1),$H11,IF(AND(($D11+$C$1)&gt;CY$4,CY$4&gt;=$C$1),$G11,0))*IF($A11="Residential",'General Inputs'!K$15,'General Inputs'!K$19)</f>
        <v>5470.8700301013987</v>
      </c>
      <c r="CZ11" s="214">
        <f>IF(AND(($E11+$C$1)&gt;CZ$4,CZ$4&gt;=$C$1),$H11,IF(AND(($D11+$C$1)&gt;CZ$4,CZ$4&gt;=$C$1),$G11,0))*IF($A11="Residential",'General Inputs'!L$15,'General Inputs'!L$19)</f>
        <v>5552.9330805529189</v>
      </c>
      <c r="DA11" s="214">
        <f>IF(AND(($E11+$C$1)&gt;DA$4,DA$4&gt;=$C$1),$H11,IF(AND(($D11+$C$1)&gt;DA$4,DA$4&gt;=$C$1),$G11,0))*IF($A11="Residential",'General Inputs'!M$15,'General Inputs'!M$19)</f>
        <v>5636.2270767612126</v>
      </c>
      <c r="DB11" s="214">
        <f>IF(AND(($E11+$C$1)&gt;DB$4,DB$4&gt;=$C$1),$H11,IF(AND(($D11+$C$1)&gt;DB$4,DB$4&gt;=$C$1),$G11,0))*IF($A11="Residential",'General Inputs'!N$15,'General Inputs'!N$19)</f>
        <v>0</v>
      </c>
      <c r="DC11" s="214">
        <f>IF(AND(($E11+$C$1)&gt;DC$4,DC$4&gt;=$C$1),$H11,IF(AND(($D11+$C$1)&gt;DC$4,DC$4&gt;=$C$1),$G11,0))*IF($A11="Residential",'General Inputs'!O$15,'General Inputs'!O$19)</f>
        <v>0</v>
      </c>
      <c r="DD11" s="214">
        <f>IF(AND(($E11+$C$1)&gt;DD$4,DD$4&gt;=$C$1),$H11,IF(AND(($D11+$C$1)&gt;DD$4,DD$4&gt;=$C$1),$G11,0))*IF($A11="Residential",'General Inputs'!P$15,'General Inputs'!P$19)</f>
        <v>0</v>
      </c>
      <c r="DE11" s="214">
        <f>IF(AND(($E11+$C$1)&gt;DE$4,DE$4&gt;=$C$1),$H11,IF(AND(($D11+$C$1)&gt;DE$4,DE$4&gt;=$C$1),$G11,0))*IF($A11="Residential",'General Inputs'!Q$15,'General Inputs'!Q$19)</f>
        <v>0</v>
      </c>
      <c r="DF11" s="214">
        <f>IF(AND(($E11+$C$1)&gt;DF$4,DF$4&gt;=$C$1),$H11,IF(AND(($D11+$C$1)&gt;DF$4,DF$4&gt;=$C$1),$G11,0))*IF($A11="Residential",'General Inputs'!R$15,'General Inputs'!R$19)</f>
        <v>0</v>
      </c>
      <c r="DG11" s="214">
        <f>IF(AND(($E11+$C$1)&gt;DG$4,DG$4&gt;=$C$1),$H11,IF(AND(($D11+$C$1)&gt;DG$4,DG$4&gt;=$C$1),$G11,0))*IF($A11="Residential",'General Inputs'!S$15,'General Inputs'!S$19)</f>
        <v>0</v>
      </c>
      <c r="DH11" s="214">
        <f>IF(AND(($E11+$C$1)&gt;DH$4,DH$4&gt;=$C$1),$H11,IF(AND(($D11+$C$1)&gt;DH$4,DH$4&gt;=$C$1),$G11,0))*IF($A11="Residential",'General Inputs'!T$15,'General Inputs'!T$19)</f>
        <v>0</v>
      </c>
      <c r="DI11" s="214">
        <f>IF(AND(($E11+$C$1)&gt;DI$4,DI$4&gt;=$C$1),$H11,IF(AND(($D11+$C$1)&gt;DI$4,DI$4&gt;=$C$1),$G11,0))*IF($A11="Residential",'General Inputs'!U$15,'General Inputs'!U$19)</f>
        <v>0</v>
      </c>
      <c r="DJ11" s="214">
        <f>IF(AND(($E11+$C$1)&gt;DJ$4,DJ$4&gt;=$C$1),$H11,IF(AND(($D11+$C$1)&gt;DJ$4,DJ$4&gt;=$C$1),$G11,0))*IF($A11="Residential",'General Inputs'!V$15,'General Inputs'!V$19)</f>
        <v>0</v>
      </c>
      <c r="DK11" s="214">
        <f>IF(AND(($E11+$C$1)&gt;DK$4,DK$4&gt;=$C$1),$H11,IF(AND(($D11+$C$1)&gt;DK$4,DK$4&gt;=$C$1),$G11,0))*IF($A11="Residential",'General Inputs'!W$15,'General Inputs'!W$19)</f>
        <v>0</v>
      </c>
      <c r="DM11" s="214">
        <f t="shared" si="31"/>
        <v>0</v>
      </c>
      <c r="DN11" s="214">
        <f t="shared" si="27"/>
        <v>0</v>
      </c>
      <c r="DO11" s="214">
        <f t="shared" si="27"/>
        <v>8500</v>
      </c>
      <c r="DP11" s="214">
        <f t="shared" si="27"/>
        <v>0</v>
      </c>
      <c r="DQ11" s="214">
        <f t="shared" si="27"/>
        <v>0</v>
      </c>
      <c r="DR11" s="214">
        <f t="shared" si="27"/>
        <v>0</v>
      </c>
      <c r="DS11" s="214">
        <f t="shared" si="27"/>
        <v>0</v>
      </c>
      <c r="DT11" s="214">
        <f t="shared" si="27"/>
        <v>0</v>
      </c>
      <c r="DU11" s="214">
        <f t="shared" si="27"/>
        <v>0</v>
      </c>
      <c r="DV11" s="214">
        <f t="shared" si="27"/>
        <v>0</v>
      </c>
      <c r="DW11" s="214">
        <f t="shared" si="27"/>
        <v>0</v>
      </c>
      <c r="DY11" s="219"/>
      <c r="DZ11" s="650"/>
      <c r="EA11" s="219"/>
      <c r="EB11" s="219"/>
      <c r="EC11" s="219"/>
      <c r="ED11" s="219"/>
      <c r="EE11" s="219"/>
      <c r="EF11" s="219"/>
      <c r="FI11" s="195"/>
      <c r="FJ11" s="195"/>
      <c r="FK11" s="195"/>
      <c r="FL11" s="195"/>
      <c r="FM11" s="195"/>
      <c r="FN11" s="195"/>
      <c r="FO11" s="195"/>
    </row>
    <row r="12" spans="1:171">
      <c r="A12" s="342" t="s">
        <v>12</v>
      </c>
      <c r="B12" s="427" t="str">
        <f>'Portfolio Inputs'!A11</f>
        <v>Advanced Power Strip</v>
      </c>
      <c r="C12" s="217">
        <f>IF($C$1=2014,'Portfolio Inputs'!$C11,IF($C$1=2015,'Portfolio Inputs'!$D11,'Portfolio Inputs'!$E11))</f>
        <v>200</v>
      </c>
      <c r="D12" s="504">
        <f>VLOOKUP(B12,Sources!$B$4:$J$104,2,FALSE)</f>
        <v>10</v>
      </c>
      <c r="E12" s="504">
        <f>VLOOKUP(B12,Sources!$B$4:$J$104,3,FALSE)</f>
        <v>0</v>
      </c>
      <c r="G12" s="504">
        <f>IF($C$1=2014,'Portfolio Inputs'!$G11,IF($C$1=2015,'Portfolio Inputs'!$H11,'Portfolio Inputs'!$I11))*EnergyLineLoss</f>
        <v>15725.939999999997</v>
      </c>
      <c r="H12" s="504"/>
      <c r="I12" s="504">
        <f>IF($C$1=2014,'Portfolio Inputs'!$K11,IF($C$1=2015,'Portfolio Inputs'!$L11,'Portfolio Inputs'!$M11))*PeakLineLoss</f>
        <v>2.2059110674708928</v>
      </c>
      <c r="J12" s="510"/>
      <c r="L12" s="606">
        <f>IF($C$1=2014,'Portfolio Inputs'!$O11,IF($C$1=2015,'Portfolio Inputs'!$P11,'Portfolio Inputs'!$Q11))</f>
        <v>20</v>
      </c>
      <c r="M12" s="518">
        <f>VLOOKUP($B12,Sources!$B$4:$K$104,10,FALSE)</f>
        <v>0</v>
      </c>
      <c r="N12" s="419">
        <f>IF($C$1=2014,'Portfolio Inputs'!$W11,IF($C$1=2015,'Portfolio Inputs'!$X11,'Portfolio Inputs'!$Y11))</f>
        <v>2000</v>
      </c>
      <c r="O12" s="419"/>
      <c r="Q12" s="438">
        <f t="shared" si="0"/>
        <v>1.2649716809755336</v>
      </c>
      <c r="R12" s="439">
        <f t="shared" si="1"/>
        <v>2.5299433619510667</v>
      </c>
      <c r="S12" s="439">
        <f t="shared" si="2"/>
        <v>1.5802478106232392</v>
      </c>
      <c r="T12" s="439">
        <f t="shared" si="3"/>
        <v>4.5512198997268936</v>
      </c>
      <c r="U12" s="439">
        <f t="shared" si="28"/>
        <v>3.7957009318068007</v>
      </c>
      <c r="V12" s="439">
        <f t="shared" si="29"/>
        <v>0.27794123528319103</v>
      </c>
      <c r="W12" s="439">
        <f t="shared" si="30"/>
        <v>0.33326431763247255</v>
      </c>
      <c r="Y12" s="215">
        <f t="shared" si="4"/>
        <v>4271.3359220421316</v>
      </c>
      <c r="Z12" s="215">
        <f t="shared" si="5"/>
        <v>1064.5694905107546</v>
      </c>
      <c r="AA12" s="215">
        <f t="shared" si="6"/>
        <v>13679.453339580405</v>
      </c>
      <c r="AB12" s="215">
        <f t="shared" si="7"/>
        <v>11128.348555185074</v>
      </c>
      <c r="AC12" s="216">
        <f t="shared" si="20"/>
        <v>0</v>
      </c>
      <c r="AD12" s="216">
        <f t="shared" si="21"/>
        <v>1688.3128635528506</v>
      </c>
      <c r="AE12" s="215">
        <f t="shared" si="8"/>
        <v>3376.6257271057007</v>
      </c>
      <c r="AG12" s="214">
        <f>IF(AND(($E12+$C$1)&gt;AG$4,AG$4&gt;=$C$1),'General Inputs'!D$9*$H12,IF(AND(($D12+$C$1)&gt;AG$4,AG$4&gt;=$C$1),'General Inputs'!D$9*$G12,0))+IF(AND(($E12+$C$1)&gt;AG$4,AG$4&gt;=$C$1),'General Inputs'!D$10*$J12,IF(AND(($D12+$C$1)&gt;AG$4,AG$4&gt;=$C$1),'General Inputs'!D$10*$I12,0))</f>
        <v>0</v>
      </c>
      <c r="AH12" s="214">
        <f>IF(AND(($E12+$C$1)&gt;AH$4,AH$4&gt;=$C$1),'General Inputs'!E$9*$H12,IF(AND(($D12+$C$1)&gt;AH$4,AH$4&gt;=$C$1),'General Inputs'!E$9*$G12,0))+IF(AND(($E12+$C$1)&gt;AH$4,AH$4&gt;=$C$1),'General Inputs'!E$10*$J12,IF(AND(($D12+$C$1)&gt;AH$4,AH$4&gt;=$C$1),'General Inputs'!E$10*$I12,0))</f>
        <v>0</v>
      </c>
      <c r="AI12" s="214">
        <f>IF(AND(($E12+$C$1)&gt;AI$4,AI$4&gt;=$C$1),'General Inputs'!F$9*$H12,IF(AND(($D12+$C$1)&gt;AI$4,AI$4&gt;=$C$1),'General Inputs'!F$9*$G12,0))+IF(AND(($E12+$C$1)&gt;AI$4,AI$4&gt;=$C$1),'General Inputs'!F$10*$J12,IF(AND(($D12+$C$1)&gt;AI$4,AI$4&gt;=$C$1),'General Inputs'!F$10*$I12,0))</f>
        <v>679.03856670132757</v>
      </c>
      <c r="AJ12" s="214">
        <f>IF(AND(($E12+$C$1)&gt;AJ$4,AJ$4&gt;=$C$1),'General Inputs'!G$9*$H12,IF(AND(($D12+$C$1)&gt;AJ$4,AJ$4&gt;=$C$1),'General Inputs'!G$9*$G12,0))+IF(AND(($E12+$C$1)&gt;AJ$4,AJ$4&gt;=$C$1),'General Inputs'!G$10*$J12,IF(AND(($D12+$C$1)&gt;AJ$4,AJ$4&gt;=$C$1),'General Inputs'!G$10*$I12,0))</f>
        <v>689.22414520184748</v>
      </c>
      <c r="AK12" s="214">
        <f>IF(AND(($E12+$C$1)&gt;AK$4,AK$4&gt;=$C$1),'General Inputs'!H$9*$H12,IF(AND(($D12+$C$1)&gt;AK$4,AK$4&gt;=$C$1),'General Inputs'!H$9*$G12,0))+IF(AND(($E12+$C$1)&gt;AK$4,AK$4&gt;=$C$1),'General Inputs'!H$10*$J12,IF(AND(($D12+$C$1)&gt;AK$4,AK$4&gt;=$C$1),'General Inputs'!H$10*$I12,0))</f>
        <v>699.56250737987511</v>
      </c>
      <c r="AL12" s="214">
        <f>IF(AND(($E12+$C$1)&gt;AL$4,AL$4&gt;=$C$1),'General Inputs'!I$9*$H12,IF(AND(($D12+$C$1)&gt;AL$4,AL$4&gt;=$C$1),'General Inputs'!I$9*$G12,0))+IF(AND(($E12+$C$1)&gt;AL$4,AL$4&gt;=$C$1),'General Inputs'!I$10*$J12,IF(AND(($D12+$C$1)&gt;AL$4,AL$4&gt;=$C$1),'General Inputs'!I$10*$I12,0))</f>
        <v>710.05594499057304</v>
      </c>
      <c r="AM12" s="214">
        <f>IF(AND(($E12+$C$1)&gt;AM$4,AM$4&gt;=$C$1),'General Inputs'!J$9*$H12,IF(AND(($D12+$C$1)&gt;AM$4,AM$4&gt;=$C$1),'General Inputs'!J$9*$G12,0))+IF(AND(($E12+$C$1)&gt;AM$4,AM$4&gt;=$C$1),'General Inputs'!J$10*$J12,IF(AND(($D12+$C$1)&gt;AM$4,AM$4&gt;=$C$1),'General Inputs'!J$10*$I12,0))</f>
        <v>720.7067841654316</v>
      </c>
      <c r="AN12" s="214">
        <f>IF(AND(($E12+$C$1)&gt;AN$4,AN$4&gt;=$C$1),'General Inputs'!K$9*$H12,IF(AND(($D12+$C$1)&gt;AN$4,AN$4&gt;=$C$1),'General Inputs'!K$9*$G12,0))+IF(AND(($E12+$C$1)&gt;AN$4,AN$4&gt;=$C$1),'General Inputs'!K$10*$J12,IF(AND(($D12+$C$1)&gt;AN$4,AN$4&gt;=$C$1),'General Inputs'!K$10*$I12,0))</f>
        <v>731.51738592791298</v>
      </c>
      <c r="AO12" s="214">
        <f>IF(AND(($E12+$C$1)&gt;AO$4,AO$4&gt;=$C$1),'General Inputs'!L$9*$H12,IF(AND(($D12+$C$1)&gt;AO$4,AO$4&gt;=$C$1),'General Inputs'!L$9*$G12,0))+IF(AND(($E12+$C$1)&gt;AO$4,AO$4&gt;=$C$1),'General Inputs'!L$10*$J12,IF(AND(($D12+$C$1)&gt;AO$4,AO$4&gt;=$C$1),'General Inputs'!L$10*$I12,0))</f>
        <v>742.49014671683165</v>
      </c>
      <c r="AP12" s="214">
        <f>IF(AND(($E12+$C$1)&gt;AP$4,AP$4&gt;=$C$1),'General Inputs'!M$9*$H12,IF(AND(($D12+$C$1)&gt;AP$4,AP$4&gt;=$C$1),'General Inputs'!M$9*$G12,0))+IF(AND(($E12+$C$1)&gt;AP$4,AP$4&gt;=$C$1),'General Inputs'!M$10*$J12,IF(AND(($D12+$C$1)&gt;AP$4,AP$4&gt;=$C$1),'General Inputs'!M$10*$I12,0))</f>
        <v>753.62749891758403</v>
      </c>
      <c r="AQ12" s="214">
        <f>IF(AND(($E12+$C$1)&gt;AQ$4,AQ$4&gt;=$C$1),'General Inputs'!N$9*$H12,IF(AND(($D12+$C$1)&gt;AQ$4,AQ$4&gt;=$C$1),'General Inputs'!N$9*$G12,0))+IF(AND(($E12+$C$1)&gt;AQ$4,AQ$4&gt;=$C$1),'General Inputs'!N$10*$J12,IF(AND(($D12+$C$1)&gt;AQ$4,AQ$4&gt;=$C$1),'General Inputs'!N$10*$I12,0))</f>
        <v>764.93191140134775</v>
      </c>
      <c r="AR12" s="214">
        <f>IF(AND(($E12+$C$1)&gt;AR$4,AR$4&gt;=$C$1),'General Inputs'!O$9*$H12,IF(AND(($D12+$C$1)&gt;AR$4,AR$4&gt;=$C$1),'General Inputs'!O$9*$G12,0))+IF(AND(($E12+$C$1)&gt;AR$4,AR$4&gt;=$C$1),'General Inputs'!O$10*$J12,IF(AND(($D12+$C$1)&gt;AR$4,AR$4&gt;=$C$1),'General Inputs'!O$10*$I12,0))</f>
        <v>776.40589007236781</v>
      </c>
      <c r="AS12" s="214">
        <f>IF(AND(($E12+$C$1)&gt;AS$4,AS$4&gt;=$C$1),'General Inputs'!P$9*$H12,IF(AND(($D12+$C$1)&gt;AS$4,AS$4&gt;=$C$1),'General Inputs'!P$9*$G12,0))+IF(AND(($E12+$C$1)&gt;AS$4,AS$4&gt;=$C$1),'General Inputs'!P$10*$J12,IF(AND(($D12+$C$1)&gt;AS$4,AS$4&gt;=$C$1),'General Inputs'!P$10*$I12,0))</f>
        <v>0</v>
      </c>
      <c r="AT12" s="214">
        <f>IF(AND(($E12+$C$1)&gt;AT$4,AT$4&gt;=$C$1),'General Inputs'!Q$9*$H12,IF(AND(($D12+$C$1)&gt;AT$4,AT$4&gt;=$C$1),'General Inputs'!Q$9*$G12,0))+IF(AND(($E12+$C$1)&gt;AT$4,AT$4&gt;=$C$1),'General Inputs'!Q$10*$J12,IF(AND(($D12+$C$1)&gt;AT$4,AT$4&gt;=$C$1),'General Inputs'!Q$10*$I12,0))</f>
        <v>0</v>
      </c>
      <c r="AU12" s="214">
        <f>IF(AND(($E12+$C$1)&gt;AU$4,AU$4&gt;=$C$1),'General Inputs'!R$9*$H12,IF(AND(($D12+$C$1)&gt;AU$4,AU$4&gt;=$C$1),'General Inputs'!R$9*$G12,0))+IF(AND(($E12+$C$1)&gt;AU$4,AU$4&gt;=$C$1),'General Inputs'!R$10*$J12,IF(AND(($D12+$C$1)&gt;AU$4,AU$4&gt;=$C$1),'General Inputs'!R$10*$I12,0))</f>
        <v>0</v>
      </c>
      <c r="AV12" s="214">
        <f>IF(AND(($E12+$C$1)&gt;AV$4,AV$4&gt;=$C$1),'General Inputs'!S$9*$H12,IF(AND(($D12+$C$1)&gt;AV$4,AV$4&gt;=$C$1),'General Inputs'!S$9*$G12,0))+IF(AND(($E12+$C$1)&gt;AV$4,AV$4&gt;=$C$1),'General Inputs'!S$10*$J12,IF(AND(($D12+$C$1)&gt;AV$4,AV$4&gt;=$C$1),'General Inputs'!S$10*$I12,0))</f>
        <v>0</v>
      </c>
      <c r="AW12" s="214">
        <f>IF(AND(($E12+$C$1)&gt;AW$4,AW$4&gt;=$C$1),'General Inputs'!T$9*$H12,IF(AND(($D12+$C$1)&gt;AW$4,AW$4&gt;=$C$1),'General Inputs'!T$9*$G12,0))+IF(AND(($E12+$C$1)&gt;AW$4,AW$4&gt;=$C$1),'General Inputs'!T$10*$J12,IF(AND(($D12+$C$1)&gt;AW$4,AW$4&gt;=$C$1),'General Inputs'!T$10*$I12,0))</f>
        <v>0</v>
      </c>
      <c r="AX12" s="214">
        <f>IF(AND(($E12+$C$1)&gt;AX$4,AX$4&gt;=$C$1),'General Inputs'!U$9*$H12,IF(AND(($D12+$C$1)&gt;AX$4,AX$4&gt;=$C$1),'General Inputs'!U$9*$G12,0))+IF(AND(($E12+$C$1)&gt;AX$4,AX$4&gt;=$C$1),'General Inputs'!U$10*$J12,IF(AND(($D12+$C$1)&gt;AX$4,AX$4&gt;=$C$1),'General Inputs'!U$10*$I12,0))</f>
        <v>0</v>
      </c>
      <c r="AY12" s="214">
        <f>IF(AND(($E12+$C$1)&gt;AY$4,AY$4&gt;=$C$1),'General Inputs'!V$9*$H12,IF(AND(($D12+$C$1)&gt;AY$4,AY$4&gt;=$C$1),'General Inputs'!V$9*$G12,0))+IF(AND(($E12+$C$1)&gt;AY$4,AY$4&gt;=$C$1),'General Inputs'!V$10*$J12,IF(AND(($D12+$C$1)&gt;AY$4,AY$4&gt;=$C$1),'General Inputs'!V$10*$I12,0))</f>
        <v>0</v>
      </c>
      <c r="AZ12" s="214">
        <f>IF(AND(($E12+$C$1)&gt;AZ$4,AZ$4&gt;=$C$1),'General Inputs'!W$9*$H12,IF(AND(($D12+$C$1)&gt;AZ$4,AZ$4&gt;=$C$1),'General Inputs'!W$9*$G12,0))+IF(AND(($E12+$C$1)&gt;AZ$4,AZ$4&gt;=$C$1),'General Inputs'!W$10*$J12,IF(AND(($D12+$C$1)&gt;AZ$4,AZ$4&gt;=$C$1),'General Inputs'!W$10*$I12,0))</f>
        <v>0</v>
      </c>
      <c r="BB12" s="214">
        <f>IF(AND(($E12+$C$1)&gt;BB$4,BB$4&gt;=$C$1),'General Inputs'!D$11*$H12,IF(AND(($D12+$C$1)&gt;BB$4,BB$4&gt;=$C$1),'General Inputs'!D$11*$G12,0))</f>
        <v>0</v>
      </c>
      <c r="BC12" s="214">
        <f>IF(AND(($E12+$C$1)&gt;BC$4,BC$4&gt;=$C$1),'General Inputs'!E$11*$H12,IF(AND(($D12+$C$1)&gt;BC$4,BC$4&gt;=$C$1),'General Inputs'!E$11*$G12,0))</f>
        <v>0</v>
      </c>
      <c r="BD12" s="214">
        <f>IF(AND(($E12+$C$1)&gt;BD$4,BD$4&gt;=$C$1),'General Inputs'!F$11*$H12,IF(AND(($D12+$C$1)&gt;BD$4,BD$4&gt;=$C$1),'General Inputs'!F$11*$G12,0))</f>
        <v>179.27571599999996</v>
      </c>
      <c r="BE12" s="214">
        <f>IF(AND(($E12+$C$1)&gt;BE$4,BE$4&gt;=$C$1),'General Inputs'!G$11*$H12,IF(AND(($D12+$C$1)&gt;BE$4,BE$4&gt;=$C$1),'General Inputs'!G$11*$G12,0))</f>
        <v>179.27571599999996</v>
      </c>
      <c r="BF12" s="214">
        <f>IF(AND(($E12+$C$1)&gt;BF$4,BF$4&gt;=$C$1),'General Inputs'!H$11*$H12,IF(AND(($D12+$C$1)&gt;BF$4,BF$4&gt;=$C$1),'General Inputs'!H$11*$G12,0))</f>
        <v>179.27571599999996</v>
      </c>
      <c r="BG12" s="214">
        <f>IF(AND(($E12+$C$1)&gt;BG$4,BG$4&gt;=$C$1),'General Inputs'!I$11*$H12,IF(AND(($D12+$C$1)&gt;BG$4,BG$4&gt;=$C$1),'General Inputs'!I$11*$G12,0))</f>
        <v>179.27571599999996</v>
      </c>
      <c r="BH12" s="214">
        <f>IF(AND(($E12+$C$1)&gt;BH$4,BH$4&gt;=$C$1),'General Inputs'!J$11*$H12,IF(AND(($D12+$C$1)&gt;BH$4,BH$4&gt;=$C$1),'General Inputs'!J$11*$G12,0))</f>
        <v>179.27571599999996</v>
      </c>
      <c r="BI12" s="214">
        <f>IF(AND(($E12+$C$1)&gt;BI$4,BI$4&gt;=$C$1),'General Inputs'!K$11*$H12,IF(AND(($D12+$C$1)&gt;BI$4,BI$4&gt;=$C$1),'General Inputs'!K$11*$G12,0))</f>
        <v>179.27571599999996</v>
      </c>
      <c r="BJ12" s="214">
        <f>IF(AND(($E12+$C$1)&gt;BJ$4,BJ$4&gt;=$C$1),'General Inputs'!L$11*$H12,IF(AND(($D12+$C$1)&gt;BJ$4,BJ$4&gt;=$C$1),'General Inputs'!L$11*$G12,0))</f>
        <v>179.27571599999996</v>
      </c>
      <c r="BK12" s="214">
        <f>IF(AND(($E12+$C$1)&gt;BK$4,BK$4&gt;=$C$1),'General Inputs'!M$11*$H12,IF(AND(($D12+$C$1)&gt;BK$4,BK$4&gt;=$C$1),'General Inputs'!M$11*$G12,0))</f>
        <v>179.27571599999996</v>
      </c>
      <c r="BL12" s="214">
        <f>IF(AND(($E12+$C$1)&gt;BL$4,BL$4&gt;=$C$1),'General Inputs'!N$11*$H12,IF(AND(($D12+$C$1)&gt;BL$4,BL$4&gt;=$C$1),'General Inputs'!N$11*$G12,0))</f>
        <v>179.27571599999996</v>
      </c>
      <c r="BM12" s="214">
        <f>IF(AND(($E12+$C$1)&gt;BM$4,BM$4&gt;=$C$1),'General Inputs'!O$11*$H12,IF(AND(($D12+$C$1)&gt;BM$4,BM$4&gt;=$C$1),'General Inputs'!O$11*$G12,0))</f>
        <v>179.27571599999996</v>
      </c>
      <c r="BN12" s="214">
        <f>IF(AND(($E12+$C$1)&gt;BN$4,BN$4&gt;=$C$1),'General Inputs'!P$11*$H12,IF(AND(($D12+$C$1)&gt;BN$4,BN$4&gt;=$C$1),'General Inputs'!P$11*$G12,0))</f>
        <v>0</v>
      </c>
      <c r="BO12" s="214">
        <f>IF(AND(($E12+$C$1)&gt;BO$4,BO$4&gt;=$C$1),'General Inputs'!Q$11*$H12,IF(AND(($D12+$C$1)&gt;BO$4,BO$4&gt;=$C$1),'General Inputs'!Q$11*$G12,0))</f>
        <v>0</v>
      </c>
      <c r="BP12" s="214">
        <f>IF(AND(($E12+$C$1)&gt;BP$4,BP$4&gt;=$C$1),'General Inputs'!R$11*$H12,IF(AND(($D12+$C$1)&gt;BP$4,BP$4&gt;=$C$1),'General Inputs'!R$11*$G12,0))</f>
        <v>0</v>
      </c>
      <c r="BQ12" s="214">
        <f>IF(AND(($E12+$C$1)&gt;BQ$4,BQ$4&gt;=$C$1),'General Inputs'!S$11*$H12,IF(AND(($D12+$C$1)&gt;BQ$4,BQ$4&gt;=$C$1),'General Inputs'!S$11*$G12,0))</f>
        <v>0</v>
      </c>
      <c r="BR12" s="214">
        <f>IF(AND(($E12+$C$1)&gt;BR$4,BR$4&gt;=$C$1),'General Inputs'!T$11*$H12,IF(AND(($D12+$C$1)&gt;BR$4,BR$4&gt;=$C$1),'General Inputs'!T$11*$G12,0))</f>
        <v>0</v>
      </c>
      <c r="BS12" s="214">
        <f>IF(AND(($E12+$C$1)&gt;BS$4,BS$4&gt;=$C$1),'General Inputs'!U$11*$H12,IF(AND(($D12+$C$1)&gt;BS$4,BS$4&gt;=$C$1),'General Inputs'!U$11*$G12,0))</f>
        <v>0</v>
      </c>
      <c r="BT12" s="214">
        <f>IF(AND(($E12+$C$1)&gt;BT$4,BT$4&gt;=$C$1),'General Inputs'!V$11*$H12,IF(AND(($D12+$C$1)&gt;BT$4,BT$4&gt;=$C$1),'General Inputs'!V$11*$G12,0))</f>
        <v>0</v>
      </c>
      <c r="BU12" s="214">
        <f>IF(AND(($E12+$C$1)&gt;BU$4,BU$4&gt;=$C$1),'General Inputs'!W$11*$H12,IF(AND(($D12+$C$1)&gt;BU$4,BU$4&gt;=$C$1),'General Inputs'!W$11*$G12,0))</f>
        <v>0</v>
      </c>
      <c r="BW12" s="214">
        <f>IF(AND(($E12+$C$1)&gt;BW$4,BW$4&gt;=$C$1),$H12,IF(AND(($D12+$C$1)&gt;BW$4,BW$4&gt;=$C$1),$G12,0))*IF($A12="Residential",'General Inputs'!D$14,'General Inputs'!D$19)</f>
        <v>0</v>
      </c>
      <c r="BX12" s="214">
        <f>IF(AND(($E12+$C$1)&gt;BX$4,BX$4&gt;=$C$1),$H12,IF(AND(($D12+$C$1)&gt;BX$4,BX$4&gt;=$C$1),$G12,0))*IF($A12="Residential",'General Inputs'!E$14,'General Inputs'!E$19)</f>
        <v>0</v>
      </c>
      <c r="BY12" s="214">
        <f>IF(AND(($E12+$C$1)&gt;BY$4,BY$4&gt;=$C$1),$H12,IF(AND(($D12+$C$1)&gt;BY$4,BY$4&gt;=$C$1),$G12,0))*IF($A12="Residential",'General Inputs'!F$14,'General Inputs'!F$19)</f>
        <v>2174.7005055330192</v>
      </c>
      <c r="BZ12" s="214">
        <f>IF(AND(($E12+$C$1)&gt;BZ$4,BZ$4&gt;=$C$1),$H12,IF(AND(($D12+$C$1)&gt;BZ$4,BZ$4&gt;=$C$1),$G12,0))*IF($A12="Residential",'General Inputs'!G$14,'General Inputs'!G$19)</f>
        <v>2207.321013116014</v>
      </c>
      <c r="CA12" s="214">
        <f>IF(AND(($E12+$C$1)&gt;CA$4,CA$4&gt;=$C$1),$H12,IF(AND(($D12+$C$1)&gt;CA$4,CA$4&gt;=$C$1),$G12,0))*IF($A12="Residential",'General Inputs'!H$14,'General Inputs'!H$19)</f>
        <v>2240.4308283127539</v>
      </c>
      <c r="CB12" s="214">
        <f>IF(AND(($E12+$C$1)&gt;CB$4,CB$4&gt;=$C$1),$H12,IF(AND(($D12+$C$1)&gt;CB$4,CB$4&gt;=$C$1),$G12,0))*IF($A12="Residential",'General Inputs'!I$14,'General Inputs'!I$19)</f>
        <v>2274.0372907374453</v>
      </c>
      <c r="CC12" s="214">
        <f>IF(AND(($E12+$C$1)&gt;CC$4,CC$4&gt;=$C$1),$H12,IF(AND(($D12+$C$1)&gt;CC$4,CC$4&gt;=$C$1),$G12,0))*IF($A12="Residential",'General Inputs'!J$14,'General Inputs'!J$19)</f>
        <v>2308.1478500985063</v>
      </c>
      <c r="CD12" s="214">
        <f>IF(AND(($E12+$C$1)&gt;CD$4,CD$4&gt;=$C$1),$H12,IF(AND(($D12+$C$1)&gt;CD$4,CD$4&gt;=$C$1),$G12,0))*IF($A12="Residential",'General Inputs'!K$14,'General Inputs'!K$19)</f>
        <v>2342.7700678499837</v>
      </c>
      <c r="CE12" s="214">
        <f>IF(AND(($E12+$C$1)&gt;CE$4,CE$4&gt;=$C$1),$H12,IF(AND(($D12+$C$1)&gt;CE$4,CE$4&gt;=$C$1),$G12,0))*IF($A12="Residential",'General Inputs'!L$14,'General Inputs'!L$19)</f>
        <v>2377.9116188677331</v>
      </c>
      <c r="CF12" s="214">
        <f>IF(AND(($E12+$C$1)&gt;CF$4,CF$4&gt;=$C$1),$H12,IF(AND(($D12+$C$1)&gt;CF$4,CF$4&gt;=$C$1),$G12,0))*IF($A12="Residential",'General Inputs'!M$14,'General Inputs'!M$19)</f>
        <v>2413.5802931507487</v>
      </c>
      <c r="CG12" s="214">
        <f>IF(AND(($E12+$C$1)&gt;CG$4,CG$4&gt;=$C$1),$H12,IF(AND(($D12+$C$1)&gt;CG$4,CG$4&gt;=$C$1),$G12,0))*IF($A12="Residential",'General Inputs'!N$14,'General Inputs'!N$19)</f>
        <v>2449.7839975480101</v>
      </c>
      <c r="CH12" s="214">
        <f>IF(AND(($E12+$C$1)&gt;CH$4,CH$4&gt;=$C$1),$H12,IF(AND(($D12+$C$1)&gt;CH$4,CH$4&gt;=$C$1),$G12,0))*IF($A12="Residential",'General Inputs'!O$14,'General Inputs'!O$19)</f>
        <v>2486.5307575112297</v>
      </c>
      <c r="CI12" s="214">
        <f>IF(AND(($E12+$C$1)&gt;CI$4,CI$4&gt;=$C$1),$H12,IF(AND(($D12+$C$1)&gt;CI$4,CI$4&gt;=$C$1),$G12,0))*IF($A12="Residential",'General Inputs'!P$14,'General Inputs'!P$19)</f>
        <v>0</v>
      </c>
      <c r="CJ12" s="214">
        <f>IF(AND(($E12+$C$1)&gt;CJ$4,CJ$4&gt;=$C$1),$H12,IF(AND(($D12+$C$1)&gt;CJ$4,CJ$4&gt;=$C$1),$G12,0))*IF($A12="Residential",'General Inputs'!Q$14,'General Inputs'!Q$19)</f>
        <v>0</v>
      </c>
      <c r="CK12" s="214">
        <f>IF(AND(($E12+$C$1)&gt;CK$4,CK$4&gt;=$C$1),$H12,IF(AND(($D12+$C$1)&gt;CK$4,CK$4&gt;=$C$1),$G12,0))*IF($A12="Residential",'General Inputs'!R$14,'General Inputs'!R$19)</f>
        <v>0</v>
      </c>
      <c r="CL12" s="214">
        <f>IF(AND(($E12+$C$1)&gt;CL$4,CL$4&gt;=$C$1),$H12,IF(AND(($D12+$C$1)&gt;CL$4,CL$4&gt;=$C$1),$G12,0))*IF($A12="Residential",'General Inputs'!S$14,'General Inputs'!S$19)</f>
        <v>0</v>
      </c>
      <c r="CM12" s="214">
        <f>IF(AND(($E12+$C$1)&gt;CM$4,CM$4&gt;=$C$1),$H12,IF(AND(($D12+$C$1)&gt;CM$4,CM$4&gt;=$C$1),$G12,0))*IF($A12="Residential",'General Inputs'!T$14,'General Inputs'!T$19)</f>
        <v>0</v>
      </c>
      <c r="CN12" s="214">
        <f>IF(AND(($E12+$C$1)&gt;CN$4,CN$4&gt;=$C$1),$H12,IF(AND(($D12+$C$1)&gt;CN$4,CN$4&gt;=$C$1),$G12,0))*IF($A12="Residential",'General Inputs'!U$14,'General Inputs'!U$19)</f>
        <v>0</v>
      </c>
      <c r="CO12" s="214">
        <f>IF(AND(($E12+$C$1)&gt;CO$4,CO$4&gt;=$C$1),$H12,IF(AND(($D12+$C$1)&gt;CO$4,CO$4&gt;=$C$1),$G12,0))*IF($A12="Residential",'General Inputs'!V$14,'General Inputs'!V$19)</f>
        <v>0</v>
      </c>
      <c r="CP12" s="214">
        <f>IF(AND(($E12+$C$1)&gt;CP$4,CP$4&gt;=$C$1),$H12,IF(AND(($D12+$C$1)&gt;CP$4,CP$4&gt;=$C$1),$G12,0))*IF($A12="Residential",'General Inputs'!W$14,'General Inputs'!W$19)</f>
        <v>0</v>
      </c>
      <c r="CR12" s="214">
        <f>IF(AND(($E12+$C$1)&gt;CR$4,CR$4&gt;=$C$1),$H12,IF(AND(($D12+$C$1)&gt;CR$4,CR$4&gt;=$C$1),$G12,0))*IF($A12="Residential",'General Inputs'!D$15,'General Inputs'!D$19)</f>
        <v>0</v>
      </c>
      <c r="CS12" s="214">
        <f>IF(AND(($E12+$C$1)&gt;CS$4,CS$4&gt;=$C$1),$H12,IF(AND(($D12+$C$1)&gt;CS$4,CS$4&gt;=$C$1),$G12,0))*IF($A12="Residential",'General Inputs'!E$15,'General Inputs'!E$19)</f>
        <v>0</v>
      </c>
      <c r="CT12" s="214">
        <f>IF(AND(($E12+$C$1)&gt;CT$4,CT$4&gt;=$C$1),$H12,IF(AND(($D12+$C$1)&gt;CT$4,CT$4&gt;=$C$1),$G12,0))*IF($A12="Residential",'General Inputs'!F$15,'General Inputs'!F$19)</f>
        <v>1769.1368673838354</v>
      </c>
      <c r="CU12" s="214">
        <f>IF(AND(($E12+$C$1)&gt;CU$4,CU$4&gt;=$C$1),$H12,IF(AND(($D12+$C$1)&gt;CU$4,CU$4&gt;=$C$1),$G12,0))*IF($A12="Residential",'General Inputs'!G$15,'General Inputs'!G$19)</f>
        <v>1795.6739203945926</v>
      </c>
      <c r="CV12" s="214">
        <f>IF(AND(($E12+$C$1)&gt;CV$4,CV$4&gt;=$C$1),$H12,IF(AND(($D12+$C$1)&gt;CV$4,CV$4&gt;=$C$1),$G12,0))*IF($A12="Residential",'General Inputs'!H$15,'General Inputs'!H$19)</f>
        <v>1822.6090292005115</v>
      </c>
      <c r="CW12" s="214">
        <f>IF(AND(($E12+$C$1)&gt;CW$4,CW$4&gt;=$C$1),$H12,IF(AND(($D12+$C$1)&gt;CW$4,CW$4&gt;=$C$1),$G12,0))*IF($A12="Residential",'General Inputs'!I$15,'General Inputs'!I$19)</f>
        <v>1849.9481646385191</v>
      </c>
      <c r="CX12" s="214">
        <f>IF(AND(($E12+$C$1)&gt;CX$4,CX$4&gt;=$C$1),$H12,IF(AND(($D12+$C$1)&gt;CX$4,CX$4&gt;=$C$1),$G12,0))*IF($A12="Residential",'General Inputs'!J$15,'General Inputs'!J$19)</f>
        <v>1877.6973871080966</v>
      </c>
      <c r="CY12" s="214">
        <f>IF(AND(($E12+$C$1)&gt;CY$4,CY$4&gt;=$C$1),$H12,IF(AND(($D12+$C$1)&gt;CY$4,CY$4&gt;=$C$1),$G12,0))*IF($A12="Residential",'General Inputs'!K$15,'General Inputs'!K$19)</f>
        <v>1905.8628479147178</v>
      </c>
      <c r="CZ12" s="214">
        <f>IF(AND(($E12+$C$1)&gt;CZ$4,CZ$4&gt;=$C$1),$H12,IF(AND(($D12+$C$1)&gt;CZ$4,CZ$4&gt;=$C$1),$G12,0))*IF($A12="Residential",'General Inputs'!L$15,'General Inputs'!L$19)</f>
        <v>1934.4507906334384</v>
      </c>
      <c r="DA12" s="214">
        <f>IF(AND(($E12+$C$1)&gt;DA$4,DA$4&gt;=$C$1),$H12,IF(AND(($D12+$C$1)&gt;DA$4,DA$4&gt;=$C$1),$G12,0))*IF($A12="Residential",'General Inputs'!M$15,'General Inputs'!M$19)</f>
        <v>1963.4675524929398</v>
      </c>
      <c r="DB12" s="214">
        <f>IF(AND(($E12+$C$1)&gt;DB$4,DB$4&gt;=$C$1),$H12,IF(AND(($D12+$C$1)&gt;DB$4,DB$4&gt;=$C$1),$G12,0))*IF($A12="Residential",'General Inputs'!N$15,'General Inputs'!N$19)</f>
        <v>1992.9195657803334</v>
      </c>
      <c r="DC12" s="214">
        <f>IF(AND(($E12+$C$1)&gt;DC$4,DC$4&gt;=$C$1),$H12,IF(AND(($D12+$C$1)&gt;DC$4,DC$4&gt;=$C$1),$G12,0))*IF($A12="Residential",'General Inputs'!O$15,'General Inputs'!O$19)</f>
        <v>2022.8133592670383</v>
      </c>
      <c r="DD12" s="214">
        <f>IF(AND(($E12+$C$1)&gt;DD$4,DD$4&gt;=$C$1),$H12,IF(AND(($D12+$C$1)&gt;DD$4,DD$4&gt;=$C$1),$G12,0))*IF($A12="Residential",'General Inputs'!P$15,'General Inputs'!P$19)</f>
        <v>0</v>
      </c>
      <c r="DE12" s="214">
        <f>IF(AND(($E12+$C$1)&gt;DE$4,DE$4&gt;=$C$1),$H12,IF(AND(($D12+$C$1)&gt;DE$4,DE$4&gt;=$C$1),$G12,0))*IF($A12="Residential",'General Inputs'!Q$15,'General Inputs'!Q$19)</f>
        <v>0</v>
      </c>
      <c r="DF12" s="214">
        <f>IF(AND(($E12+$C$1)&gt;DF$4,DF$4&gt;=$C$1),$H12,IF(AND(($D12+$C$1)&gt;DF$4,DF$4&gt;=$C$1),$G12,0))*IF($A12="Residential",'General Inputs'!R$15,'General Inputs'!R$19)</f>
        <v>0</v>
      </c>
      <c r="DG12" s="214">
        <f>IF(AND(($E12+$C$1)&gt;DG$4,DG$4&gt;=$C$1),$H12,IF(AND(($D12+$C$1)&gt;DG$4,DG$4&gt;=$C$1),$G12,0))*IF($A12="Residential",'General Inputs'!S$15,'General Inputs'!S$19)</f>
        <v>0</v>
      </c>
      <c r="DH12" s="214">
        <f>IF(AND(($E12+$C$1)&gt;DH$4,DH$4&gt;=$C$1),$H12,IF(AND(($D12+$C$1)&gt;DH$4,DH$4&gt;=$C$1),$G12,0))*IF($A12="Residential",'General Inputs'!T$15,'General Inputs'!T$19)</f>
        <v>0</v>
      </c>
      <c r="DI12" s="214">
        <f>IF(AND(($E12+$C$1)&gt;DI$4,DI$4&gt;=$C$1),$H12,IF(AND(($D12+$C$1)&gt;DI$4,DI$4&gt;=$C$1),$G12,0))*IF($A12="Residential",'General Inputs'!U$15,'General Inputs'!U$19)</f>
        <v>0</v>
      </c>
      <c r="DJ12" s="214">
        <f>IF(AND(($E12+$C$1)&gt;DJ$4,DJ$4&gt;=$C$1),$H12,IF(AND(($D12+$C$1)&gt;DJ$4,DJ$4&gt;=$C$1),$G12,0))*IF($A12="Residential",'General Inputs'!V$15,'General Inputs'!V$19)</f>
        <v>0</v>
      </c>
      <c r="DK12" s="214">
        <f>IF(AND(($E12+$C$1)&gt;DK$4,DK$4&gt;=$C$1),$H12,IF(AND(($D12+$C$1)&gt;DK$4,DK$4&gt;=$C$1),$G12,0))*IF($A12="Residential",'General Inputs'!W$15,'General Inputs'!W$19)</f>
        <v>0</v>
      </c>
      <c r="DM12" s="214">
        <f t="shared" si="31"/>
        <v>0</v>
      </c>
      <c r="DN12" s="214">
        <f t="shared" si="27"/>
        <v>0</v>
      </c>
      <c r="DO12" s="214">
        <f t="shared" si="27"/>
        <v>4000</v>
      </c>
      <c r="DP12" s="214">
        <f t="shared" si="27"/>
        <v>0</v>
      </c>
      <c r="DQ12" s="214">
        <f t="shared" si="27"/>
        <v>0</v>
      </c>
      <c r="DR12" s="214">
        <f t="shared" si="27"/>
        <v>0</v>
      </c>
      <c r="DS12" s="214">
        <f t="shared" si="27"/>
        <v>0</v>
      </c>
      <c r="DT12" s="214">
        <f t="shared" si="27"/>
        <v>0</v>
      </c>
      <c r="DU12" s="214">
        <f t="shared" si="27"/>
        <v>0</v>
      </c>
      <c r="DV12" s="214">
        <f t="shared" si="27"/>
        <v>0</v>
      </c>
      <c r="DW12" s="214">
        <f t="shared" si="27"/>
        <v>0</v>
      </c>
      <c r="DY12" s="219"/>
      <c r="DZ12" s="650"/>
      <c r="EA12" s="219"/>
      <c r="EB12" s="219"/>
      <c r="EC12" s="219"/>
      <c r="ED12" s="219"/>
      <c r="EE12" s="219"/>
      <c r="EF12" s="219"/>
      <c r="FI12" s="195"/>
      <c r="FJ12" s="195"/>
      <c r="FK12" s="195"/>
      <c r="FL12" s="195"/>
      <c r="FM12" s="195"/>
      <c r="FN12" s="195"/>
      <c r="FO12" s="195"/>
    </row>
    <row r="13" spans="1:171">
      <c r="A13" s="441" t="s">
        <v>12</v>
      </c>
      <c r="B13" s="426" t="str">
        <f>'Portfolio Inputs'!A12</f>
        <v>Appliance Recycling</v>
      </c>
      <c r="C13" s="356">
        <f>IF($C$1=2014,'Portfolio Inputs'!$C12,IF($C$1=2015,'Portfolio Inputs'!$D12,'Portfolio Inputs'!$E12))</f>
        <v>425</v>
      </c>
      <c r="D13" s="503"/>
      <c r="E13" s="503"/>
      <c r="G13" s="513">
        <f t="shared" ref="G13:I13" si="32">SUM(G14:G15)</f>
        <v>549491.77499999991</v>
      </c>
      <c r="H13" s="513"/>
      <c r="I13" s="509">
        <f t="shared" si="32"/>
        <v>62.727371575342467</v>
      </c>
      <c r="J13" s="509"/>
      <c r="L13" s="453"/>
      <c r="M13" s="453"/>
      <c r="N13" s="453">
        <f>IF($C$1=2014,'Portfolio Inputs'!$W12,IF($C$1=2015,'Portfolio Inputs'!$X12,'Portfolio Inputs'!$Y12))</f>
        <v>21250</v>
      </c>
      <c r="O13" s="453">
        <f>IF($C$1=2014,'Portfolio Inputs'!$AA12,IF($C$1=2015,'Portfolio Inputs'!$AB12,'Portfolio Inputs'!$AC12))</f>
        <v>71346.875</v>
      </c>
      <c r="Q13" s="442">
        <f t="shared" si="0"/>
        <v>1.3453969496629081</v>
      </c>
      <c r="R13" s="443">
        <f t="shared" si="1"/>
        <v>1.6109256649147954</v>
      </c>
      <c r="S13" s="443">
        <f t="shared" si="2"/>
        <v>1.6877888833183989</v>
      </c>
      <c r="T13" s="443">
        <f t="shared" si="3"/>
        <v>12.738096074522831</v>
      </c>
      <c r="U13" s="443">
        <f>IF(AE13&gt;0,(AD13+AB13)/AE13,"n/a")</f>
        <v>10.462810991477491</v>
      </c>
      <c r="V13" s="522">
        <f>IF((AA13+AC13+AD13)&gt;0,Y13/(AA13+AC13+AD13),"n/a")</f>
        <v>0.25950149730274336</v>
      </c>
      <c r="W13" s="522">
        <f>IF((AB13+AC13+AD13)&gt;0,Y13/(AB13+AC13+AD13),"n/a")</f>
        <v>0.30763027195650844</v>
      </c>
      <c r="Y13" s="444">
        <f t="shared" si="4"/>
        <v>125920.01437869143</v>
      </c>
      <c r="Z13" s="444">
        <f t="shared" si="5"/>
        <v>32045.558910959102</v>
      </c>
      <c r="AA13" s="444">
        <f t="shared" si="6"/>
        <v>407071.85579883034</v>
      </c>
      <c r="AB13" s="444">
        <f t="shared" si="7"/>
        <v>331156.32517478749</v>
      </c>
      <c r="AC13" s="445">
        <f t="shared" si="20"/>
        <v>60227.923418398641</v>
      </c>
      <c r="AD13" s="445">
        <f t="shared" si="21"/>
        <v>17938.324175249036</v>
      </c>
      <c r="AE13" s="526">
        <f t="shared" si="8"/>
        <v>33365.282965963204</v>
      </c>
      <c r="AG13" s="446">
        <f>SUM(AG14:AG15)</f>
        <v>0</v>
      </c>
      <c r="AH13" s="446">
        <f t="shared" ref="AH13:AZ13" si="33">SUM(AH14:AH15)</f>
        <v>0</v>
      </c>
      <c r="AI13" s="446">
        <f t="shared" si="33"/>
        <v>23505.404253196983</v>
      </c>
      <c r="AJ13" s="446">
        <f t="shared" si="33"/>
        <v>23857.985316994935</v>
      </c>
      <c r="AK13" s="446">
        <f t="shared" si="33"/>
        <v>24215.855096749856</v>
      </c>
      <c r="AL13" s="446">
        <f t="shared" si="33"/>
        <v>24579.092923201097</v>
      </c>
      <c r="AM13" s="446">
        <f t="shared" si="33"/>
        <v>24947.779317049113</v>
      </c>
      <c r="AN13" s="446">
        <f t="shared" si="33"/>
        <v>25321.996006804849</v>
      </c>
      <c r="AO13" s="446">
        <f t="shared" si="33"/>
        <v>25701.825946906916</v>
      </c>
      <c r="AP13" s="446">
        <f t="shared" si="33"/>
        <v>26087.353336110515</v>
      </c>
      <c r="AQ13" s="446">
        <f t="shared" si="33"/>
        <v>0</v>
      </c>
      <c r="AR13" s="446">
        <f t="shared" si="33"/>
        <v>0</v>
      </c>
      <c r="AS13" s="446">
        <f t="shared" si="33"/>
        <v>0</v>
      </c>
      <c r="AT13" s="446">
        <f t="shared" si="33"/>
        <v>0</v>
      </c>
      <c r="AU13" s="446">
        <f t="shared" si="33"/>
        <v>0</v>
      </c>
      <c r="AV13" s="446">
        <f t="shared" si="33"/>
        <v>0</v>
      </c>
      <c r="AW13" s="446">
        <f t="shared" si="33"/>
        <v>0</v>
      </c>
      <c r="AX13" s="446">
        <f t="shared" si="33"/>
        <v>0</v>
      </c>
      <c r="AY13" s="446">
        <f t="shared" si="33"/>
        <v>0</v>
      </c>
      <c r="AZ13" s="446">
        <f t="shared" si="33"/>
        <v>0</v>
      </c>
      <c r="BB13" s="446">
        <f>SUM(BB14:BB15)</f>
        <v>0</v>
      </c>
      <c r="BC13" s="446">
        <f t="shared" ref="BC13:BU13" si="34">SUM(BC14:BC15)</f>
        <v>0</v>
      </c>
      <c r="BD13" s="446">
        <f t="shared" si="34"/>
        <v>6264.2062349999997</v>
      </c>
      <c r="BE13" s="446">
        <f t="shared" si="34"/>
        <v>6264.2062349999997</v>
      </c>
      <c r="BF13" s="446">
        <f t="shared" si="34"/>
        <v>6264.2062349999997</v>
      </c>
      <c r="BG13" s="446">
        <f t="shared" si="34"/>
        <v>6264.2062349999997</v>
      </c>
      <c r="BH13" s="446">
        <f t="shared" si="34"/>
        <v>6264.2062349999997</v>
      </c>
      <c r="BI13" s="446">
        <f t="shared" si="34"/>
        <v>6264.2062349999997</v>
      </c>
      <c r="BJ13" s="446">
        <f t="shared" si="34"/>
        <v>6264.2062349999997</v>
      </c>
      <c r="BK13" s="446">
        <f t="shared" si="34"/>
        <v>6264.2062349999997</v>
      </c>
      <c r="BL13" s="446">
        <f t="shared" si="34"/>
        <v>0</v>
      </c>
      <c r="BM13" s="446">
        <f t="shared" si="34"/>
        <v>0</v>
      </c>
      <c r="BN13" s="446">
        <f t="shared" si="34"/>
        <v>0</v>
      </c>
      <c r="BO13" s="446">
        <f t="shared" si="34"/>
        <v>0</v>
      </c>
      <c r="BP13" s="446">
        <f t="shared" si="34"/>
        <v>0</v>
      </c>
      <c r="BQ13" s="446">
        <f t="shared" si="34"/>
        <v>0</v>
      </c>
      <c r="BR13" s="446">
        <f t="shared" si="34"/>
        <v>0</v>
      </c>
      <c r="BS13" s="446">
        <f t="shared" si="34"/>
        <v>0</v>
      </c>
      <c r="BT13" s="446">
        <f t="shared" si="34"/>
        <v>0</v>
      </c>
      <c r="BU13" s="446">
        <f t="shared" si="34"/>
        <v>0</v>
      </c>
      <c r="BW13" s="446">
        <f>SUM(BW14:BW15)</f>
        <v>0</v>
      </c>
      <c r="BX13" s="446">
        <f t="shared" ref="BX13:CP13" si="35">SUM(BX14:BX15)</f>
        <v>0</v>
      </c>
      <c r="BY13" s="446">
        <f t="shared" si="35"/>
        <v>75987.829082314711</v>
      </c>
      <c r="BZ13" s="446">
        <f t="shared" si="35"/>
        <v>77127.646518549416</v>
      </c>
      <c r="CA13" s="446">
        <f t="shared" si="35"/>
        <v>78284.561216327653</v>
      </c>
      <c r="CB13" s="446">
        <f t="shared" si="35"/>
        <v>79458.829634572554</v>
      </c>
      <c r="CC13" s="446">
        <f t="shared" si="35"/>
        <v>80650.712079091143</v>
      </c>
      <c r="CD13" s="446">
        <f t="shared" si="35"/>
        <v>81860.472760277495</v>
      </c>
      <c r="CE13" s="446">
        <f t="shared" si="35"/>
        <v>83088.379851681631</v>
      </c>
      <c r="CF13" s="446">
        <f t="shared" si="35"/>
        <v>84334.705549456849</v>
      </c>
      <c r="CG13" s="446">
        <f t="shared" si="35"/>
        <v>0</v>
      </c>
      <c r="CH13" s="446">
        <f t="shared" si="35"/>
        <v>0</v>
      </c>
      <c r="CI13" s="446">
        <f t="shared" si="35"/>
        <v>0</v>
      </c>
      <c r="CJ13" s="446">
        <f t="shared" si="35"/>
        <v>0</v>
      </c>
      <c r="CK13" s="446">
        <f t="shared" si="35"/>
        <v>0</v>
      </c>
      <c r="CL13" s="446">
        <f t="shared" si="35"/>
        <v>0</v>
      </c>
      <c r="CM13" s="446">
        <f t="shared" si="35"/>
        <v>0</v>
      </c>
      <c r="CN13" s="446">
        <f t="shared" si="35"/>
        <v>0</v>
      </c>
      <c r="CO13" s="446">
        <f t="shared" si="35"/>
        <v>0</v>
      </c>
      <c r="CP13" s="446">
        <f t="shared" si="35"/>
        <v>0</v>
      </c>
      <c r="CR13" s="446">
        <f>SUM(CR14:CR15)</f>
        <v>0</v>
      </c>
      <c r="CS13" s="446">
        <f t="shared" ref="CS13:DK13" si="36">SUM(CS14:CS15)</f>
        <v>0</v>
      </c>
      <c r="CT13" s="446">
        <f t="shared" si="36"/>
        <v>61816.728124149238</v>
      </c>
      <c r="CU13" s="446">
        <f t="shared" si="36"/>
        <v>62743.979046011467</v>
      </c>
      <c r="CV13" s="446">
        <f t="shared" si="36"/>
        <v>63685.138731701634</v>
      </c>
      <c r="CW13" s="446">
        <f t="shared" si="36"/>
        <v>64640.415812677151</v>
      </c>
      <c r="CX13" s="446">
        <f t="shared" si="36"/>
        <v>65610.022049867301</v>
      </c>
      <c r="CY13" s="446">
        <f t="shared" si="36"/>
        <v>66594.172380615302</v>
      </c>
      <c r="CZ13" s="446">
        <f t="shared" si="36"/>
        <v>67593.084966324532</v>
      </c>
      <c r="DA13" s="446">
        <f t="shared" si="36"/>
        <v>68606.981240819383</v>
      </c>
      <c r="DB13" s="446">
        <f t="shared" si="36"/>
        <v>0</v>
      </c>
      <c r="DC13" s="446">
        <f t="shared" si="36"/>
        <v>0</v>
      </c>
      <c r="DD13" s="446">
        <f t="shared" si="36"/>
        <v>0</v>
      </c>
      <c r="DE13" s="446">
        <f t="shared" si="36"/>
        <v>0</v>
      </c>
      <c r="DF13" s="446">
        <f t="shared" si="36"/>
        <v>0</v>
      </c>
      <c r="DG13" s="446">
        <f t="shared" si="36"/>
        <v>0</v>
      </c>
      <c r="DH13" s="446">
        <f t="shared" si="36"/>
        <v>0</v>
      </c>
      <c r="DI13" s="446">
        <f t="shared" si="36"/>
        <v>0</v>
      </c>
      <c r="DJ13" s="446">
        <f t="shared" si="36"/>
        <v>0</v>
      </c>
      <c r="DK13" s="446">
        <f t="shared" si="36"/>
        <v>0</v>
      </c>
      <c r="DM13" s="446">
        <f t="shared" ref="DM13:DW13" si="37">SUM(DM14:DM15)</f>
        <v>0</v>
      </c>
      <c r="DN13" s="446">
        <f t="shared" si="37"/>
        <v>0</v>
      </c>
      <c r="DO13" s="446">
        <f t="shared" si="37"/>
        <v>39525</v>
      </c>
      <c r="DP13" s="446">
        <f t="shared" si="37"/>
        <v>0</v>
      </c>
      <c r="DQ13" s="446">
        <f t="shared" si="37"/>
        <v>0</v>
      </c>
      <c r="DR13" s="446">
        <f t="shared" si="37"/>
        <v>0</v>
      </c>
      <c r="DS13" s="446">
        <f t="shared" si="37"/>
        <v>0</v>
      </c>
      <c r="DT13" s="446">
        <f t="shared" si="37"/>
        <v>0</v>
      </c>
      <c r="DU13" s="446">
        <f t="shared" si="37"/>
        <v>0</v>
      </c>
      <c r="DV13" s="446">
        <f t="shared" si="37"/>
        <v>0</v>
      </c>
      <c r="DW13" s="446">
        <f t="shared" si="37"/>
        <v>0</v>
      </c>
      <c r="DZ13" s="650"/>
      <c r="FO13" s="195"/>
    </row>
    <row r="14" spans="1:171">
      <c r="A14" s="341" t="s">
        <v>12</v>
      </c>
      <c r="B14" s="427" t="str">
        <f>'Portfolio Inputs'!A13</f>
        <v>Refrigerator Recycle</v>
      </c>
      <c r="C14" s="217">
        <f>IF($C$1=2014,'Portfolio Inputs'!$C13,IF($C$1=2015,'Portfolio Inputs'!$D13,'Portfolio Inputs'!$E13))</f>
        <v>300</v>
      </c>
      <c r="D14" s="504">
        <f>VLOOKUP(B14,Sources!$B$4:$J$104,2,FALSE)</f>
        <v>8</v>
      </c>
      <c r="E14" s="504">
        <f>VLOOKUP(B14,Sources!$B$4:$J$104,3,FALSE)</f>
        <v>0</v>
      </c>
      <c r="G14" s="504">
        <f>IF($C$1=2014,'Portfolio Inputs'!$G13,IF($C$1=2015,'Portfolio Inputs'!$H13,'Portfolio Inputs'!$I13))*EnergyLineLoss</f>
        <v>404874.89999999997</v>
      </c>
      <c r="H14" s="504"/>
      <c r="I14" s="504">
        <f>IF($C$1=2014,'Portfolio Inputs'!$K13,IF($C$1=2015,'Portfolio Inputs'!$L13,'Portfolio Inputs'!$M13))*PeakLineLoss</f>
        <v>46.21859589041096</v>
      </c>
      <c r="J14" s="510"/>
      <c r="L14" s="606">
        <f>IF($C$1=2014,'Portfolio Inputs'!$O13,IF($C$1=2015,'Portfolio Inputs'!$P13,'Portfolio Inputs'!$Q13))</f>
        <v>93</v>
      </c>
      <c r="M14" s="518">
        <f>VLOOKUP($B14,Sources!$B$4:$K$104,10,FALSE)</f>
        <v>0</v>
      </c>
      <c r="N14" s="419">
        <f>IF($C$1=2014,'Portfolio Inputs'!$W13,IF($C$1=2015,'Portfolio Inputs'!$X13,'Portfolio Inputs'!$Y13))</f>
        <v>15000</v>
      </c>
      <c r="O14" s="419"/>
      <c r="Q14" s="438">
        <f t="shared" si="0"/>
        <v>3.9393746435748311</v>
      </c>
      <c r="R14" s="439">
        <f t="shared" si="1"/>
        <v>7.3272368370491847</v>
      </c>
      <c r="S14" s="439">
        <f t="shared" si="2"/>
        <v>4.9419115542947081</v>
      </c>
      <c r="T14" s="439">
        <f t="shared" si="3"/>
        <v>13.272770715243407</v>
      </c>
      <c r="U14" s="439">
        <f t="shared" ref="U14:U15" si="38">IF(AE14&gt;0,(AD14+AB14)/AE14,"n/a")</f>
        <v>10.897773238714439</v>
      </c>
      <c r="V14" s="439">
        <f t="shared" ref="V14:V15" si="39">IF((AA14+AC14+AD14)&gt;0,Y14/(AA14+AC14+AD14),"n/a")</f>
        <v>0.29680122772335465</v>
      </c>
      <c r="W14" s="439">
        <f t="shared" ref="W14:W15" si="40">IF((AB14+AC14+AD14)&gt;0,Y14/(AB14+AC14+AD14),"n/a")</f>
        <v>0.36148436540963857</v>
      </c>
      <c r="Y14" s="215">
        <f t="shared" si="4"/>
        <v>92780.011547163303</v>
      </c>
      <c r="Z14" s="215">
        <f t="shared" si="5"/>
        <v>23611.713677640899</v>
      </c>
      <c r="AA14" s="215">
        <f t="shared" si="6"/>
        <v>299937.4775161391</v>
      </c>
      <c r="AB14" s="215">
        <f t="shared" si="7"/>
        <v>244001.62138825378</v>
      </c>
      <c r="AC14" s="216">
        <f t="shared" si="20"/>
        <v>0</v>
      </c>
      <c r="AD14" s="216">
        <f t="shared" si="21"/>
        <v>12662.346476646379</v>
      </c>
      <c r="AE14" s="215">
        <f t="shared" si="8"/>
        <v>23551.964446562262</v>
      </c>
      <c r="AG14" s="214">
        <f>IF(AND(($E14+$C$1)&gt;AG$4,AG$4&gt;=$C$1),'General Inputs'!D$9*$H14,IF(AND(($D14+$C$1)&gt;AG$4,AG$4&gt;=$C$1),'General Inputs'!D$9*$G14,0))+IF(AND(($E14+$C$1)&gt;AG$4,AG$4&gt;=$C$1),'General Inputs'!D$10*$J14,IF(AND(($D14+$C$1)&gt;AG$4,AG$4&gt;=$C$1),'General Inputs'!D$10*$I14,0))</f>
        <v>0</v>
      </c>
      <c r="AH14" s="214">
        <f>IF(AND(($E14+$C$1)&gt;AH$4,AH$4&gt;=$C$1),'General Inputs'!E$9*$H14,IF(AND(($D14+$C$1)&gt;AH$4,AH$4&gt;=$C$1),'General Inputs'!E$9*$G14,0))+IF(AND(($E14+$C$1)&gt;AH$4,AH$4&gt;=$C$1),'General Inputs'!E$10*$J14,IF(AND(($D14+$C$1)&gt;AH$4,AH$4&gt;=$C$1),'General Inputs'!E$10*$I14,0))</f>
        <v>0</v>
      </c>
      <c r="AI14" s="214">
        <f>IF(AND(($E14+$C$1)&gt;AI$4,AI$4&gt;=$C$1),'General Inputs'!F$9*$H14,IF(AND(($D14+$C$1)&gt;AI$4,AI$4&gt;=$C$1),'General Inputs'!F$9*$G14,0))+IF(AND(($E14+$C$1)&gt;AI$4,AI$4&gt;=$C$1),'General Inputs'!F$10*$J14,IF(AND(($D14+$C$1)&gt;AI$4,AI$4&gt;=$C$1),'General Inputs'!F$10*$I14,0))</f>
        <v>17319.182250676458</v>
      </c>
      <c r="AJ14" s="214">
        <f>IF(AND(($E14+$C$1)&gt;AJ$4,AJ$4&gt;=$C$1),'General Inputs'!G$9*$H14,IF(AND(($D14+$C$1)&gt;AJ$4,AJ$4&gt;=$C$1),'General Inputs'!G$9*$G14,0))+IF(AND(($E14+$C$1)&gt;AJ$4,AJ$4&gt;=$C$1),'General Inputs'!G$10*$J14,IF(AND(($D14+$C$1)&gt;AJ$4,AJ$4&gt;=$C$1),'General Inputs'!G$10*$I14,0))</f>
        <v>17578.969984436604</v>
      </c>
      <c r="AK14" s="214">
        <f>IF(AND(($E14+$C$1)&gt;AK$4,AK$4&gt;=$C$1),'General Inputs'!H$9*$H14,IF(AND(($D14+$C$1)&gt;AK$4,AK$4&gt;=$C$1),'General Inputs'!H$9*$G14,0))+IF(AND(($E14+$C$1)&gt;AK$4,AK$4&gt;=$C$1),'General Inputs'!H$10*$J14,IF(AND(($D14+$C$1)&gt;AK$4,AK$4&gt;=$C$1),'General Inputs'!H$10*$I14,0))</f>
        <v>17842.654534203153</v>
      </c>
      <c r="AL14" s="214">
        <f>IF(AND(($E14+$C$1)&gt;AL$4,AL$4&gt;=$C$1),'General Inputs'!I$9*$H14,IF(AND(($D14+$C$1)&gt;AL$4,AL$4&gt;=$C$1),'General Inputs'!I$9*$G14,0))+IF(AND(($E14+$C$1)&gt;AL$4,AL$4&gt;=$C$1),'General Inputs'!I$10*$J14,IF(AND(($D14+$C$1)&gt;AL$4,AL$4&gt;=$C$1),'General Inputs'!I$10*$I14,0))</f>
        <v>18110.294352216195</v>
      </c>
      <c r="AM14" s="214">
        <f>IF(AND(($E14+$C$1)&gt;AM$4,AM$4&gt;=$C$1),'General Inputs'!J$9*$H14,IF(AND(($D14+$C$1)&gt;AM$4,AM$4&gt;=$C$1),'General Inputs'!J$9*$G14,0))+IF(AND(($E14+$C$1)&gt;AM$4,AM$4&gt;=$C$1),'General Inputs'!J$10*$J14,IF(AND(($D14+$C$1)&gt;AM$4,AM$4&gt;=$C$1),'General Inputs'!J$10*$I14,0))</f>
        <v>18381.948767499438</v>
      </c>
      <c r="AN14" s="214">
        <f>IF(AND(($E14+$C$1)&gt;AN$4,AN$4&gt;=$C$1),'General Inputs'!K$9*$H14,IF(AND(($D14+$C$1)&gt;AN$4,AN$4&gt;=$C$1),'General Inputs'!K$9*$G14,0))+IF(AND(($E14+$C$1)&gt;AN$4,AN$4&gt;=$C$1),'General Inputs'!K$10*$J14,IF(AND(($D14+$C$1)&gt;AN$4,AN$4&gt;=$C$1),'General Inputs'!K$10*$I14,0))</f>
        <v>18657.677999011928</v>
      </c>
      <c r="AO14" s="214">
        <f>IF(AND(($E14+$C$1)&gt;AO$4,AO$4&gt;=$C$1),'General Inputs'!L$9*$H14,IF(AND(($D14+$C$1)&gt;AO$4,AO$4&gt;=$C$1),'General Inputs'!L$9*$G14,0))+IF(AND(($E14+$C$1)&gt;AO$4,AO$4&gt;=$C$1),'General Inputs'!L$10*$J14,IF(AND(($D14+$C$1)&gt;AO$4,AO$4&gt;=$C$1),'General Inputs'!L$10*$I14,0))</f>
        <v>18937.543168997101</v>
      </c>
      <c r="AP14" s="214">
        <f>IF(AND(($E14+$C$1)&gt;AP$4,AP$4&gt;=$C$1),'General Inputs'!M$9*$H14,IF(AND(($D14+$C$1)&gt;AP$4,AP$4&gt;=$C$1),'General Inputs'!M$9*$G14,0))+IF(AND(($E14+$C$1)&gt;AP$4,AP$4&gt;=$C$1),'General Inputs'!M$10*$J14,IF(AND(($D14+$C$1)&gt;AP$4,AP$4&gt;=$C$1),'General Inputs'!M$10*$I14,0))</f>
        <v>19221.606316532056</v>
      </c>
      <c r="AQ14" s="214">
        <f>IF(AND(($E14+$C$1)&gt;AQ$4,AQ$4&gt;=$C$1),'General Inputs'!N$9*$H14,IF(AND(($D14+$C$1)&gt;AQ$4,AQ$4&gt;=$C$1),'General Inputs'!N$9*$G14,0))+IF(AND(($E14+$C$1)&gt;AQ$4,AQ$4&gt;=$C$1),'General Inputs'!N$10*$J14,IF(AND(($D14+$C$1)&gt;AQ$4,AQ$4&gt;=$C$1),'General Inputs'!N$10*$I14,0))</f>
        <v>0</v>
      </c>
      <c r="AR14" s="214">
        <f>IF(AND(($E14+$C$1)&gt;AR$4,AR$4&gt;=$C$1),'General Inputs'!O$9*$H14,IF(AND(($D14+$C$1)&gt;AR$4,AR$4&gt;=$C$1),'General Inputs'!O$9*$G14,0))+IF(AND(($E14+$C$1)&gt;AR$4,AR$4&gt;=$C$1),'General Inputs'!O$10*$J14,IF(AND(($D14+$C$1)&gt;AR$4,AR$4&gt;=$C$1),'General Inputs'!O$10*$I14,0))</f>
        <v>0</v>
      </c>
      <c r="AS14" s="214">
        <f>IF(AND(($E14+$C$1)&gt;AS$4,AS$4&gt;=$C$1),'General Inputs'!P$9*$H14,IF(AND(($D14+$C$1)&gt;AS$4,AS$4&gt;=$C$1),'General Inputs'!P$9*$G14,0))+IF(AND(($E14+$C$1)&gt;AS$4,AS$4&gt;=$C$1),'General Inputs'!P$10*$J14,IF(AND(($D14+$C$1)&gt;AS$4,AS$4&gt;=$C$1),'General Inputs'!P$10*$I14,0))</f>
        <v>0</v>
      </c>
      <c r="AT14" s="214">
        <f>IF(AND(($E14+$C$1)&gt;AT$4,AT$4&gt;=$C$1),'General Inputs'!Q$9*$H14,IF(AND(($D14+$C$1)&gt;AT$4,AT$4&gt;=$C$1),'General Inputs'!Q$9*$G14,0))+IF(AND(($E14+$C$1)&gt;AT$4,AT$4&gt;=$C$1),'General Inputs'!Q$10*$J14,IF(AND(($D14+$C$1)&gt;AT$4,AT$4&gt;=$C$1),'General Inputs'!Q$10*$I14,0))</f>
        <v>0</v>
      </c>
      <c r="AU14" s="214">
        <f>IF(AND(($E14+$C$1)&gt;AU$4,AU$4&gt;=$C$1),'General Inputs'!R$9*$H14,IF(AND(($D14+$C$1)&gt;AU$4,AU$4&gt;=$C$1),'General Inputs'!R$9*$G14,0))+IF(AND(($E14+$C$1)&gt;AU$4,AU$4&gt;=$C$1),'General Inputs'!R$10*$J14,IF(AND(($D14+$C$1)&gt;AU$4,AU$4&gt;=$C$1),'General Inputs'!R$10*$I14,0))</f>
        <v>0</v>
      </c>
      <c r="AV14" s="214">
        <f>IF(AND(($E14+$C$1)&gt;AV$4,AV$4&gt;=$C$1),'General Inputs'!S$9*$H14,IF(AND(($D14+$C$1)&gt;AV$4,AV$4&gt;=$C$1),'General Inputs'!S$9*$G14,0))+IF(AND(($E14+$C$1)&gt;AV$4,AV$4&gt;=$C$1),'General Inputs'!S$10*$J14,IF(AND(($D14+$C$1)&gt;AV$4,AV$4&gt;=$C$1),'General Inputs'!S$10*$I14,0))</f>
        <v>0</v>
      </c>
      <c r="AW14" s="214">
        <f>IF(AND(($E14+$C$1)&gt;AW$4,AW$4&gt;=$C$1),'General Inputs'!T$9*$H14,IF(AND(($D14+$C$1)&gt;AW$4,AW$4&gt;=$C$1),'General Inputs'!T$9*$G14,0))+IF(AND(($E14+$C$1)&gt;AW$4,AW$4&gt;=$C$1),'General Inputs'!T$10*$J14,IF(AND(($D14+$C$1)&gt;AW$4,AW$4&gt;=$C$1),'General Inputs'!T$10*$I14,0))</f>
        <v>0</v>
      </c>
      <c r="AX14" s="214">
        <f>IF(AND(($E14+$C$1)&gt;AX$4,AX$4&gt;=$C$1),'General Inputs'!U$9*$H14,IF(AND(($D14+$C$1)&gt;AX$4,AX$4&gt;=$C$1),'General Inputs'!U$9*$G14,0))+IF(AND(($E14+$C$1)&gt;AX$4,AX$4&gt;=$C$1),'General Inputs'!U$10*$J14,IF(AND(($D14+$C$1)&gt;AX$4,AX$4&gt;=$C$1),'General Inputs'!U$10*$I14,0))</f>
        <v>0</v>
      </c>
      <c r="AY14" s="214">
        <f>IF(AND(($E14+$C$1)&gt;AY$4,AY$4&gt;=$C$1),'General Inputs'!V$9*$H14,IF(AND(($D14+$C$1)&gt;AY$4,AY$4&gt;=$C$1),'General Inputs'!V$9*$G14,0))+IF(AND(($E14+$C$1)&gt;AY$4,AY$4&gt;=$C$1),'General Inputs'!V$10*$J14,IF(AND(($D14+$C$1)&gt;AY$4,AY$4&gt;=$C$1),'General Inputs'!V$10*$I14,0))</f>
        <v>0</v>
      </c>
      <c r="AZ14" s="214">
        <f>IF(AND(($E14+$C$1)&gt;AZ$4,AZ$4&gt;=$C$1),'General Inputs'!W$9*$H14,IF(AND(($D14+$C$1)&gt;AZ$4,AZ$4&gt;=$C$1),'General Inputs'!W$9*$G14,0))+IF(AND(($E14+$C$1)&gt;AZ$4,AZ$4&gt;=$C$1),'General Inputs'!W$10*$J14,IF(AND(($D14+$C$1)&gt;AZ$4,AZ$4&gt;=$C$1),'General Inputs'!W$10*$I14,0))</f>
        <v>0</v>
      </c>
      <c r="BB14" s="214">
        <f>IF(AND(($E14+$C$1)&gt;BB$4,BB$4&gt;=$C$1),'General Inputs'!D$11*$H14,IF(AND(($D14+$C$1)&gt;BB$4,BB$4&gt;=$C$1),'General Inputs'!D$11*$G14,0))</f>
        <v>0</v>
      </c>
      <c r="BC14" s="214">
        <f>IF(AND(($E14+$C$1)&gt;BC$4,BC$4&gt;=$C$1),'General Inputs'!E$11*$H14,IF(AND(($D14+$C$1)&gt;BC$4,BC$4&gt;=$C$1),'General Inputs'!E$11*$G14,0))</f>
        <v>0</v>
      </c>
      <c r="BD14" s="214">
        <f>IF(AND(($E14+$C$1)&gt;BD$4,BD$4&gt;=$C$1),'General Inputs'!F$11*$H14,IF(AND(($D14+$C$1)&gt;BD$4,BD$4&gt;=$C$1),'General Inputs'!F$11*$G14,0))</f>
        <v>4615.5738599999995</v>
      </c>
      <c r="BE14" s="214">
        <f>IF(AND(($E14+$C$1)&gt;BE$4,BE$4&gt;=$C$1),'General Inputs'!G$11*$H14,IF(AND(($D14+$C$1)&gt;BE$4,BE$4&gt;=$C$1),'General Inputs'!G$11*$G14,0))</f>
        <v>4615.5738599999995</v>
      </c>
      <c r="BF14" s="214">
        <f>IF(AND(($E14+$C$1)&gt;BF$4,BF$4&gt;=$C$1),'General Inputs'!H$11*$H14,IF(AND(($D14+$C$1)&gt;BF$4,BF$4&gt;=$C$1),'General Inputs'!H$11*$G14,0))</f>
        <v>4615.5738599999995</v>
      </c>
      <c r="BG14" s="214">
        <f>IF(AND(($E14+$C$1)&gt;BG$4,BG$4&gt;=$C$1),'General Inputs'!I$11*$H14,IF(AND(($D14+$C$1)&gt;BG$4,BG$4&gt;=$C$1),'General Inputs'!I$11*$G14,0))</f>
        <v>4615.5738599999995</v>
      </c>
      <c r="BH14" s="214">
        <f>IF(AND(($E14+$C$1)&gt;BH$4,BH$4&gt;=$C$1),'General Inputs'!J$11*$H14,IF(AND(($D14+$C$1)&gt;BH$4,BH$4&gt;=$C$1),'General Inputs'!J$11*$G14,0))</f>
        <v>4615.5738599999995</v>
      </c>
      <c r="BI14" s="214">
        <f>IF(AND(($E14+$C$1)&gt;BI$4,BI$4&gt;=$C$1),'General Inputs'!K$11*$H14,IF(AND(($D14+$C$1)&gt;BI$4,BI$4&gt;=$C$1),'General Inputs'!K$11*$G14,0))</f>
        <v>4615.5738599999995</v>
      </c>
      <c r="BJ14" s="214">
        <f>IF(AND(($E14+$C$1)&gt;BJ$4,BJ$4&gt;=$C$1),'General Inputs'!L$11*$H14,IF(AND(($D14+$C$1)&gt;BJ$4,BJ$4&gt;=$C$1),'General Inputs'!L$11*$G14,0))</f>
        <v>4615.5738599999995</v>
      </c>
      <c r="BK14" s="214">
        <f>IF(AND(($E14+$C$1)&gt;BK$4,BK$4&gt;=$C$1),'General Inputs'!M$11*$H14,IF(AND(($D14+$C$1)&gt;BK$4,BK$4&gt;=$C$1),'General Inputs'!M$11*$G14,0))</f>
        <v>4615.5738599999995</v>
      </c>
      <c r="BL14" s="214">
        <f>IF(AND(($E14+$C$1)&gt;BL$4,BL$4&gt;=$C$1),'General Inputs'!N$11*$H14,IF(AND(($D14+$C$1)&gt;BL$4,BL$4&gt;=$C$1),'General Inputs'!N$11*$G14,0))</f>
        <v>0</v>
      </c>
      <c r="BM14" s="214">
        <f>IF(AND(($E14+$C$1)&gt;BM$4,BM$4&gt;=$C$1),'General Inputs'!O$11*$H14,IF(AND(($D14+$C$1)&gt;BM$4,BM$4&gt;=$C$1),'General Inputs'!O$11*$G14,0))</f>
        <v>0</v>
      </c>
      <c r="BN14" s="214">
        <f>IF(AND(($E14+$C$1)&gt;BN$4,BN$4&gt;=$C$1),'General Inputs'!P$11*$H14,IF(AND(($D14+$C$1)&gt;BN$4,BN$4&gt;=$C$1),'General Inputs'!P$11*$G14,0))</f>
        <v>0</v>
      </c>
      <c r="BO14" s="214">
        <f>IF(AND(($E14+$C$1)&gt;BO$4,BO$4&gt;=$C$1),'General Inputs'!Q$11*$H14,IF(AND(($D14+$C$1)&gt;BO$4,BO$4&gt;=$C$1),'General Inputs'!Q$11*$G14,0))</f>
        <v>0</v>
      </c>
      <c r="BP14" s="214">
        <f>IF(AND(($E14+$C$1)&gt;BP$4,BP$4&gt;=$C$1),'General Inputs'!R$11*$H14,IF(AND(($D14+$C$1)&gt;BP$4,BP$4&gt;=$C$1),'General Inputs'!R$11*$G14,0))</f>
        <v>0</v>
      </c>
      <c r="BQ14" s="214">
        <f>IF(AND(($E14+$C$1)&gt;BQ$4,BQ$4&gt;=$C$1),'General Inputs'!S$11*$H14,IF(AND(($D14+$C$1)&gt;BQ$4,BQ$4&gt;=$C$1),'General Inputs'!S$11*$G14,0))</f>
        <v>0</v>
      </c>
      <c r="BR14" s="214">
        <f>IF(AND(($E14+$C$1)&gt;BR$4,BR$4&gt;=$C$1),'General Inputs'!T$11*$H14,IF(AND(($D14+$C$1)&gt;BR$4,BR$4&gt;=$C$1),'General Inputs'!T$11*$G14,0))</f>
        <v>0</v>
      </c>
      <c r="BS14" s="214">
        <f>IF(AND(($E14+$C$1)&gt;BS$4,BS$4&gt;=$C$1),'General Inputs'!U$11*$H14,IF(AND(($D14+$C$1)&gt;BS$4,BS$4&gt;=$C$1),'General Inputs'!U$11*$G14,0))</f>
        <v>0</v>
      </c>
      <c r="BT14" s="214">
        <f>IF(AND(($E14+$C$1)&gt;BT$4,BT$4&gt;=$C$1),'General Inputs'!V$11*$H14,IF(AND(($D14+$C$1)&gt;BT$4,BT$4&gt;=$C$1),'General Inputs'!V$11*$G14,0))</f>
        <v>0</v>
      </c>
      <c r="BU14" s="214">
        <f>IF(AND(($E14+$C$1)&gt;BU$4,BU$4&gt;=$C$1),'General Inputs'!W$11*$H14,IF(AND(($D14+$C$1)&gt;BU$4,BU$4&gt;=$C$1),'General Inputs'!W$11*$G14,0))</f>
        <v>0</v>
      </c>
      <c r="BW14" s="214">
        <f>IF(AND(($E14+$C$1)&gt;BW$4,BW$4&gt;=$C$1),$H14,IF(AND(($D14+$C$1)&gt;BW$4,BW$4&gt;=$C$1),$G14,0))*IF($A14="Residential",'General Inputs'!D$14,'General Inputs'!D$19)</f>
        <v>0</v>
      </c>
      <c r="BX14" s="214">
        <f>IF(AND(($E14+$C$1)&gt;BX$4,BX$4&gt;=$C$1),$H14,IF(AND(($D14+$C$1)&gt;BX$4,BX$4&gt;=$C$1),$G14,0))*IF($A14="Residential",'General Inputs'!E$14,'General Inputs'!E$19)</f>
        <v>0</v>
      </c>
      <c r="BY14" s="214">
        <f>IF(AND(($E14+$C$1)&gt;BY$4,BY$4&gt;=$C$1),$H14,IF(AND(($D14+$C$1)&gt;BY$4,BY$4&gt;=$C$1),$G14,0))*IF($A14="Residential",'General Inputs'!F$14,'General Inputs'!F$19)</f>
        <v>55989.126863489917</v>
      </c>
      <c r="BZ14" s="214">
        <f>IF(AND(($E14+$C$1)&gt;BZ$4,BZ$4&gt;=$C$1),$H14,IF(AND(($D14+$C$1)&gt;BZ$4,BZ$4&gt;=$C$1),$G14,0))*IF($A14="Residential",'General Inputs'!G$14,'General Inputs'!G$19)</f>
        <v>56828.963766442255</v>
      </c>
      <c r="CA14" s="214">
        <f>IF(AND(($E14+$C$1)&gt;CA$4,CA$4&gt;=$C$1),$H14,IF(AND(($D14+$C$1)&gt;CA$4,CA$4&gt;=$C$1),$G14,0))*IF($A14="Residential",'General Inputs'!H$14,'General Inputs'!H$19)</f>
        <v>57681.398222938886</v>
      </c>
      <c r="CB14" s="214">
        <f>IF(AND(($E14+$C$1)&gt;CB$4,CB$4&gt;=$C$1),$H14,IF(AND(($D14+$C$1)&gt;CB$4,CB$4&gt;=$C$1),$G14,0))*IF($A14="Residential",'General Inputs'!I$14,'General Inputs'!I$19)</f>
        <v>58546.619196282969</v>
      </c>
      <c r="CC14" s="214">
        <f>IF(AND(($E14+$C$1)&gt;CC$4,CC$4&gt;=$C$1),$H14,IF(AND(($D14+$C$1)&gt;CC$4,CC$4&gt;=$C$1),$G14,0))*IF($A14="Residential",'General Inputs'!J$14,'General Inputs'!J$19)</f>
        <v>59424.818484227202</v>
      </c>
      <c r="CD14" s="214">
        <f>IF(AND(($E14+$C$1)&gt;CD$4,CD$4&gt;=$C$1),$H14,IF(AND(($D14+$C$1)&gt;CD$4,CD$4&gt;=$C$1),$G14,0))*IF($A14="Residential",'General Inputs'!K$14,'General Inputs'!K$19)</f>
        <v>60316.190761490601</v>
      </c>
      <c r="CE14" s="214">
        <f>IF(AND(($E14+$C$1)&gt;CE$4,CE$4&gt;=$C$1),$H14,IF(AND(($D14+$C$1)&gt;CE$4,CE$4&gt;=$C$1),$G14,0))*IF($A14="Residential",'General Inputs'!L$14,'General Inputs'!L$19)</f>
        <v>61220.933622912948</v>
      </c>
      <c r="CF14" s="214">
        <f>IF(AND(($E14+$C$1)&gt;CF$4,CF$4&gt;=$C$1),$H14,IF(AND(($D14+$C$1)&gt;CF$4,CF$4&gt;=$C$1),$G14,0))*IF($A14="Residential",'General Inputs'!M$14,'General Inputs'!M$19)</f>
        <v>62139.247627256635</v>
      </c>
      <c r="CG14" s="214">
        <f>IF(AND(($E14+$C$1)&gt;CG$4,CG$4&gt;=$C$1),$H14,IF(AND(($D14+$C$1)&gt;CG$4,CG$4&gt;=$C$1),$G14,0))*IF($A14="Residential",'General Inputs'!N$14,'General Inputs'!N$19)</f>
        <v>0</v>
      </c>
      <c r="CH14" s="214">
        <f>IF(AND(($E14+$C$1)&gt;CH$4,CH$4&gt;=$C$1),$H14,IF(AND(($D14+$C$1)&gt;CH$4,CH$4&gt;=$C$1),$G14,0))*IF($A14="Residential",'General Inputs'!O$14,'General Inputs'!O$19)</f>
        <v>0</v>
      </c>
      <c r="CI14" s="214">
        <f>IF(AND(($E14+$C$1)&gt;CI$4,CI$4&gt;=$C$1),$H14,IF(AND(($D14+$C$1)&gt;CI$4,CI$4&gt;=$C$1),$G14,0))*IF($A14="Residential",'General Inputs'!P$14,'General Inputs'!P$19)</f>
        <v>0</v>
      </c>
      <c r="CJ14" s="214">
        <f>IF(AND(($E14+$C$1)&gt;CJ$4,CJ$4&gt;=$C$1),$H14,IF(AND(($D14+$C$1)&gt;CJ$4,CJ$4&gt;=$C$1),$G14,0))*IF($A14="Residential",'General Inputs'!Q$14,'General Inputs'!Q$19)</f>
        <v>0</v>
      </c>
      <c r="CK14" s="214">
        <f>IF(AND(($E14+$C$1)&gt;CK$4,CK$4&gt;=$C$1),$H14,IF(AND(($D14+$C$1)&gt;CK$4,CK$4&gt;=$C$1),$G14,0))*IF($A14="Residential",'General Inputs'!R$14,'General Inputs'!R$19)</f>
        <v>0</v>
      </c>
      <c r="CL14" s="214">
        <f>IF(AND(($E14+$C$1)&gt;CL$4,CL$4&gt;=$C$1),$H14,IF(AND(($D14+$C$1)&gt;CL$4,CL$4&gt;=$C$1),$G14,0))*IF($A14="Residential",'General Inputs'!S$14,'General Inputs'!S$19)</f>
        <v>0</v>
      </c>
      <c r="CM14" s="214">
        <f>IF(AND(($E14+$C$1)&gt;CM$4,CM$4&gt;=$C$1),$H14,IF(AND(($D14+$C$1)&gt;CM$4,CM$4&gt;=$C$1),$G14,0))*IF($A14="Residential",'General Inputs'!T$14,'General Inputs'!T$19)</f>
        <v>0</v>
      </c>
      <c r="CN14" s="214">
        <f>IF(AND(($E14+$C$1)&gt;CN$4,CN$4&gt;=$C$1),$H14,IF(AND(($D14+$C$1)&gt;CN$4,CN$4&gt;=$C$1),$G14,0))*IF($A14="Residential",'General Inputs'!U$14,'General Inputs'!U$19)</f>
        <v>0</v>
      </c>
      <c r="CO14" s="214">
        <f>IF(AND(($E14+$C$1)&gt;CO$4,CO$4&gt;=$C$1),$H14,IF(AND(($D14+$C$1)&gt;CO$4,CO$4&gt;=$C$1),$G14,0))*IF($A14="Residential",'General Inputs'!V$14,'General Inputs'!V$19)</f>
        <v>0</v>
      </c>
      <c r="CP14" s="214">
        <f>IF(AND(($E14+$C$1)&gt;CP$4,CP$4&gt;=$C$1),$H14,IF(AND(($D14+$C$1)&gt;CP$4,CP$4&gt;=$C$1),$G14,0))*IF($A14="Residential",'General Inputs'!W$14,'General Inputs'!W$19)</f>
        <v>0</v>
      </c>
      <c r="CR14" s="214">
        <f>IF(AND(($E14+$C$1)&gt;CR$4,CR$4&gt;=$C$1),$H14,IF(AND(($D14+$C$1)&gt;CR$4,CR$4&gt;=$C$1),$G14,0))*IF($A14="Residential",'General Inputs'!D$15,'General Inputs'!D$19)</f>
        <v>0</v>
      </c>
      <c r="CS14" s="214">
        <f>IF(AND(($E14+$C$1)&gt;CS$4,CS$4&gt;=$C$1),$H14,IF(AND(($D14+$C$1)&gt;CS$4,CS$4&gt;=$C$1),$G14,0))*IF($A14="Residential",'General Inputs'!E$15,'General Inputs'!E$19)</f>
        <v>0</v>
      </c>
      <c r="CT14" s="214">
        <f>IF(AND(($E14+$C$1)&gt;CT$4,CT$4&gt;=$C$1),$H14,IF(AND(($D14+$C$1)&gt;CT$4,CT$4&gt;=$C$1),$G14,0))*IF($A14="Residential",'General Inputs'!F$15,'General Inputs'!F$19)</f>
        <v>45547.618283444026</v>
      </c>
      <c r="CU14" s="214">
        <f>IF(AND(($E14+$C$1)&gt;CU$4,CU$4&gt;=$C$1),$H14,IF(AND(($D14+$C$1)&gt;CU$4,CU$4&gt;=$C$1),$G14,0))*IF($A14="Residential",'General Inputs'!G$15,'General Inputs'!G$19)</f>
        <v>46230.832557695678</v>
      </c>
      <c r="CV14" s="214">
        <f>IF(AND(($E14+$C$1)&gt;CV$4,CV$4&gt;=$C$1),$H14,IF(AND(($D14+$C$1)&gt;CV$4,CV$4&gt;=$C$1),$G14,0))*IF($A14="Residential",'General Inputs'!H$15,'General Inputs'!H$19)</f>
        <v>46924.29504606111</v>
      </c>
      <c r="CW14" s="214">
        <f>IF(AND(($E14+$C$1)&gt;CW$4,CW$4&gt;=$C$1),$H14,IF(AND(($D14+$C$1)&gt;CW$4,CW$4&gt;=$C$1),$G14,0))*IF($A14="Residential",'General Inputs'!I$15,'General Inputs'!I$19)</f>
        <v>47628.15947175202</v>
      </c>
      <c r="CX14" s="214">
        <f>IF(AND(($E14+$C$1)&gt;CX$4,CX$4&gt;=$C$1),$H14,IF(AND(($D14+$C$1)&gt;CX$4,CX$4&gt;=$C$1),$G14,0))*IF($A14="Residential",'General Inputs'!J$15,'General Inputs'!J$19)</f>
        <v>48342.581863828294</v>
      </c>
      <c r="CY14" s="214">
        <f>IF(AND(($E14+$C$1)&gt;CY$4,CY$4&gt;=$C$1),$H14,IF(AND(($D14+$C$1)&gt;CY$4,CY$4&gt;=$C$1),$G14,0))*IF($A14="Residential",'General Inputs'!K$15,'General Inputs'!K$19)</f>
        <v>49067.720591785714</v>
      </c>
      <c r="CZ14" s="214">
        <f>IF(AND(($E14+$C$1)&gt;CZ$4,CZ$4&gt;=$C$1),$H14,IF(AND(($D14+$C$1)&gt;CZ$4,CZ$4&gt;=$C$1),$G14,0))*IF($A14="Residential",'General Inputs'!L$15,'General Inputs'!L$19)</f>
        <v>49803.736400662492</v>
      </c>
      <c r="DA14" s="214">
        <f>IF(AND(($E14+$C$1)&gt;DA$4,DA$4&gt;=$C$1),$H14,IF(AND(($D14+$C$1)&gt;DA$4,DA$4&gt;=$C$1),$G14,0))*IF($A14="Residential",'General Inputs'!M$15,'General Inputs'!M$19)</f>
        <v>50550.792446672429</v>
      </c>
      <c r="DB14" s="214">
        <f>IF(AND(($E14+$C$1)&gt;DB$4,DB$4&gt;=$C$1),$H14,IF(AND(($D14+$C$1)&gt;DB$4,DB$4&gt;=$C$1),$G14,0))*IF($A14="Residential",'General Inputs'!N$15,'General Inputs'!N$19)</f>
        <v>0</v>
      </c>
      <c r="DC14" s="214">
        <f>IF(AND(($E14+$C$1)&gt;DC$4,DC$4&gt;=$C$1),$H14,IF(AND(($D14+$C$1)&gt;DC$4,DC$4&gt;=$C$1),$G14,0))*IF($A14="Residential",'General Inputs'!O$15,'General Inputs'!O$19)</f>
        <v>0</v>
      </c>
      <c r="DD14" s="214">
        <f>IF(AND(($E14+$C$1)&gt;DD$4,DD$4&gt;=$C$1),$H14,IF(AND(($D14+$C$1)&gt;DD$4,DD$4&gt;=$C$1),$G14,0))*IF($A14="Residential",'General Inputs'!P$15,'General Inputs'!P$19)</f>
        <v>0</v>
      </c>
      <c r="DE14" s="214">
        <f>IF(AND(($E14+$C$1)&gt;DE$4,DE$4&gt;=$C$1),$H14,IF(AND(($D14+$C$1)&gt;DE$4,DE$4&gt;=$C$1),$G14,0))*IF($A14="Residential",'General Inputs'!Q$15,'General Inputs'!Q$19)</f>
        <v>0</v>
      </c>
      <c r="DF14" s="214">
        <f>IF(AND(($E14+$C$1)&gt;DF$4,DF$4&gt;=$C$1),$H14,IF(AND(($D14+$C$1)&gt;DF$4,DF$4&gt;=$C$1),$G14,0))*IF($A14="Residential",'General Inputs'!R$15,'General Inputs'!R$19)</f>
        <v>0</v>
      </c>
      <c r="DG14" s="214">
        <f>IF(AND(($E14+$C$1)&gt;DG$4,DG$4&gt;=$C$1),$H14,IF(AND(($D14+$C$1)&gt;DG$4,DG$4&gt;=$C$1),$G14,0))*IF($A14="Residential",'General Inputs'!S$15,'General Inputs'!S$19)</f>
        <v>0</v>
      </c>
      <c r="DH14" s="214">
        <f>IF(AND(($E14+$C$1)&gt;DH$4,DH$4&gt;=$C$1),$H14,IF(AND(($D14+$C$1)&gt;DH$4,DH$4&gt;=$C$1),$G14,0))*IF($A14="Residential",'General Inputs'!T$15,'General Inputs'!T$19)</f>
        <v>0</v>
      </c>
      <c r="DI14" s="214">
        <f>IF(AND(($E14+$C$1)&gt;DI$4,DI$4&gt;=$C$1),$H14,IF(AND(($D14+$C$1)&gt;DI$4,DI$4&gt;=$C$1),$G14,0))*IF($A14="Residential",'General Inputs'!U$15,'General Inputs'!U$19)</f>
        <v>0</v>
      </c>
      <c r="DJ14" s="214">
        <f>IF(AND(($E14+$C$1)&gt;DJ$4,DJ$4&gt;=$C$1),$H14,IF(AND(($D14+$C$1)&gt;DJ$4,DJ$4&gt;=$C$1),$G14,0))*IF($A14="Residential",'General Inputs'!V$15,'General Inputs'!V$19)</f>
        <v>0</v>
      </c>
      <c r="DK14" s="214">
        <f>IF(AND(($E14+$C$1)&gt;DK$4,DK$4&gt;=$C$1),$H14,IF(AND(($D14+$C$1)&gt;DK$4,DK$4&gt;=$C$1),$G14,0))*IF($A14="Residential",'General Inputs'!W$15,'General Inputs'!W$19)</f>
        <v>0</v>
      </c>
      <c r="DM14" s="214">
        <f t="shared" ref="DM14:DM15" si="41">IF($C$1=DM$4,$L14*$C14,IF($E14+$C$1=DM$4,-$M14*$C14,0))</f>
        <v>0</v>
      </c>
      <c r="DN14" s="214">
        <f t="shared" si="27"/>
        <v>0</v>
      </c>
      <c r="DO14" s="214">
        <f t="shared" si="27"/>
        <v>27900</v>
      </c>
      <c r="DP14" s="214">
        <f t="shared" si="27"/>
        <v>0</v>
      </c>
      <c r="DQ14" s="214">
        <f t="shared" si="27"/>
        <v>0</v>
      </c>
      <c r="DR14" s="214">
        <f t="shared" si="27"/>
        <v>0</v>
      </c>
      <c r="DS14" s="214">
        <f t="shared" si="27"/>
        <v>0</v>
      </c>
      <c r="DT14" s="214">
        <f t="shared" si="27"/>
        <v>0</v>
      </c>
      <c r="DU14" s="214">
        <f t="shared" si="27"/>
        <v>0</v>
      </c>
      <c r="DV14" s="214">
        <f t="shared" si="27"/>
        <v>0</v>
      </c>
      <c r="DW14" s="214">
        <f t="shared" si="27"/>
        <v>0</v>
      </c>
      <c r="DZ14" s="650"/>
      <c r="FI14" s="195"/>
      <c r="FJ14" s="195"/>
      <c r="FK14" s="195"/>
      <c r="FL14" s="195"/>
      <c r="FM14" s="195"/>
      <c r="FN14" s="195"/>
      <c r="FO14" s="195"/>
    </row>
    <row r="15" spans="1:171">
      <c r="A15" s="341" t="s">
        <v>12</v>
      </c>
      <c r="B15" s="427" t="str">
        <f>'Portfolio Inputs'!A14</f>
        <v>Freezer Recycle</v>
      </c>
      <c r="C15" s="217">
        <f>IF($C$1=2014,'Portfolio Inputs'!$C14,IF($C$1=2015,'Portfolio Inputs'!$D14,'Portfolio Inputs'!$E14))</f>
        <v>125</v>
      </c>
      <c r="D15" s="504">
        <f>VLOOKUP(B15,Sources!$B$4:$J$104,2,FALSE)</f>
        <v>8</v>
      </c>
      <c r="E15" s="504">
        <f>VLOOKUP(B15,Sources!$B$4:$J$104,3,FALSE)</f>
        <v>0</v>
      </c>
      <c r="G15" s="504">
        <f>IF($C$1=2014,'Portfolio Inputs'!$G14,IF($C$1=2015,'Portfolio Inputs'!$H14,'Portfolio Inputs'!$I14))*EnergyLineLoss</f>
        <v>144616.875</v>
      </c>
      <c r="H15" s="504"/>
      <c r="I15" s="504">
        <f>IF($C$1=2014,'Portfolio Inputs'!$K14,IF($C$1=2015,'Portfolio Inputs'!$L14,'Portfolio Inputs'!$M14))*PeakLineLoss</f>
        <v>16.508775684931507</v>
      </c>
      <c r="J15" s="510"/>
      <c r="L15" s="606">
        <f>IF($C$1=2014,'Portfolio Inputs'!$O14,IF($C$1=2015,'Portfolio Inputs'!$P14,'Portfolio Inputs'!$Q14))</f>
        <v>93</v>
      </c>
      <c r="M15" s="518">
        <f>VLOOKUP($B15,Sources!$B$4:$K$104,10,FALSE)</f>
        <v>0</v>
      </c>
      <c r="N15" s="419">
        <f>IF($C$1=2014,'Portfolio Inputs'!$W14,IF($C$1=2015,'Portfolio Inputs'!$X14,'Portfolio Inputs'!$Y14))</f>
        <v>6250</v>
      </c>
      <c r="O15" s="419"/>
      <c r="Q15" s="438">
        <f t="shared" si="0"/>
        <v>3.3770434299070509</v>
      </c>
      <c r="R15" s="439">
        <f t="shared" si="1"/>
        <v>6.281300779627113</v>
      </c>
      <c r="S15" s="439">
        <f t="shared" si="2"/>
        <v>4.2364718909974028</v>
      </c>
      <c r="T15" s="439">
        <f t="shared" si="3"/>
        <v>11.454876936793454</v>
      </c>
      <c r="U15" s="439">
        <f t="shared" si="38"/>
        <v>9.4189015981088069</v>
      </c>
      <c r="V15" s="439">
        <f t="shared" si="39"/>
        <v>0.29481272025366528</v>
      </c>
      <c r="W15" s="439">
        <f t="shared" si="40"/>
        <v>0.35853898617914398</v>
      </c>
      <c r="Y15" s="215">
        <f t="shared" si="4"/>
        <v>33140.002831528138</v>
      </c>
      <c r="Z15" s="215">
        <f t="shared" si="5"/>
        <v>8433.8452333182031</v>
      </c>
      <c r="AA15" s="215">
        <f t="shared" si="6"/>
        <v>107134.37828269128</v>
      </c>
      <c r="AB15" s="215">
        <f t="shared" si="7"/>
        <v>87154.703786533632</v>
      </c>
      <c r="AC15" s="216">
        <f t="shared" si="20"/>
        <v>0</v>
      </c>
      <c r="AD15" s="216">
        <f t="shared" si="21"/>
        <v>5275.9776986026582</v>
      </c>
      <c r="AE15" s="215">
        <f t="shared" si="8"/>
        <v>9813.318519400942</v>
      </c>
      <c r="AG15" s="214">
        <f>IF(AND(($E15+$C$1)&gt;AG$4,AG$4&gt;=$C$1),'General Inputs'!D$9*$H15,IF(AND(($D15+$C$1)&gt;AG$4,AG$4&gt;=$C$1),'General Inputs'!D$9*$G15,0))+IF(AND(($E15+$C$1)&gt;AG$4,AG$4&gt;=$C$1),'General Inputs'!D$10*$J15,IF(AND(($D15+$C$1)&gt;AG$4,AG$4&gt;=$C$1),'General Inputs'!D$10*$I15,0))</f>
        <v>0</v>
      </c>
      <c r="AH15" s="214">
        <f>IF(AND(($E15+$C$1)&gt;AH$4,AH$4&gt;=$C$1),'General Inputs'!E$9*$H15,IF(AND(($D15+$C$1)&gt;AH$4,AH$4&gt;=$C$1),'General Inputs'!E$9*$G15,0))+IF(AND(($E15+$C$1)&gt;AH$4,AH$4&gt;=$C$1),'General Inputs'!E$10*$J15,IF(AND(($D15+$C$1)&gt;AH$4,AH$4&gt;=$C$1),'General Inputs'!E$10*$I15,0))</f>
        <v>0</v>
      </c>
      <c r="AI15" s="214">
        <f>IF(AND(($E15+$C$1)&gt;AI$4,AI$4&gt;=$C$1),'General Inputs'!F$9*$H15,IF(AND(($D15+$C$1)&gt;AI$4,AI$4&gt;=$C$1),'General Inputs'!F$9*$G15,0))+IF(AND(($E15+$C$1)&gt;AI$4,AI$4&gt;=$C$1),'General Inputs'!F$10*$J15,IF(AND(($D15+$C$1)&gt;AI$4,AI$4&gt;=$C$1),'General Inputs'!F$10*$I15,0))</f>
        <v>6186.2220025205233</v>
      </c>
      <c r="AJ15" s="214">
        <f>IF(AND(($E15+$C$1)&gt;AJ$4,AJ$4&gt;=$C$1),'General Inputs'!G$9*$H15,IF(AND(($D15+$C$1)&gt;AJ$4,AJ$4&gt;=$C$1),'General Inputs'!G$9*$G15,0))+IF(AND(($E15+$C$1)&gt;AJ$4,AJ$4&gt;=$C$1),'General Inputs'!G$10*$J15,IF(AND(($D15+$C$1)&gt;AJ$4,AJ$4&gt;=$C$1),'General Inputs'!G$10*$I15,0))</f>
        <v>6279.0153325583306</v>
      </c>
      <c r="AK15" s="214">
        <f>IF(AND(($E15+$C$1)&gt;AK$4,AK$4&gt;=$C$1),'General Inputs'!H$9*$H15,IF(AND(($D15+$C$1)&gt;AK$4,AK$4&gt;=$C$1),'General Inputs'!H$9*$G15,0))+IF(AND(($E15+$C$1)&gt;AK$4,AK$4&gt;=$C$1),'General Inputs'!H$10*$J15,IF(AND(($D15+$C$1)&gt;AK$4,AK$4&gt;=$C$1),'General Inputs'!H$10*$I15,0))</f>
        <v>6373.2005625467036</v>
      </c>
      <c r="AL15" s="214">
        <f>IF(AND(($E15+$C$1)&gt;AL$4,AL$4&gt;=$C$1),'General Inputs'!I$9*$H15,IF(AND(($D15+$C$1)&gt;AL$4,AL$4&gt;=$C$1),'General Inputs'!I$9*$G15,0))+IF(AND(($E15+$C$1)&gt;AL$4,AL$4&gt;=$C$1),'General Inputs'!I$10*$J15,IF(AND(($D15+$C$1)&gt;AL$4,AL$4&gt;=$C$1),'General Inputs'!I$10*$I15,0))</f>
        <v>6468.7985709849036</v>
      </c>
      <c r="AM15" s="214">
        <f>IF(AND(($E15+$C$1)&gt;AM$4,AM$4&gt;=$C$1),'General Inputs'!J$9*$H15,IF(AND(($D15+$C$1)&gt;AM$4,AM$4&gt;=$C$1),'General Inputs'!J$9*$G15,0))+IF(AND(($E15+$C$1)&gt;AM$4,AM$4&gt;=$C$1),'General Inputs'!J$10*$J15,IF(AND(($D15+$C$1)&gt;AM$4,AM$4&gt;=$C$1),'General Inputs'!J$10*$I15,0))</f>
        <v>6565.8305495496761</v>
      </c>
      <c r="AN15" s="214">
        <f>IF(AND(($E15+$C$1)&gt;AN$4,AN$4&gt;=$C$1),'General Inputs'!K$9*$H15,IF(AND(($D15+$C$1)&gt;AN$4,AN$4&gt;=$C$1),'General Inputs'!K$9*$G15,0))+IF(AND(($E15+$C$1)&gt;AN$4,AN$4&gt;=$C$1),'General Inputs'!K$10*$J15,IF(AND(($D15+$C$1)&gt;AN$4,AN$4&gt;=$C$1),'General Inputs'!K$10*$I15,0))</f>
        <v>6664.318007792921</v>
      </c>
      <c r="AO15" s="214">
        <f>IF(AND(($E15+$C$1)&gt;AO$4,AO$4&gt;=$C$1),'General Inputs'!L$9*$H15,IF(AND(($D15+$C$1)&gt;AO$4,AO$4&gt;=$C$1),'General Inputs'!L$9*$G15,0))+IF(AND(($E15+$C$1)&gt;AO$4,AO$4&gt;=$C$1),'General Inputs'!L$10*$J15,IF(AND(($D15+$C$1)&gt;AO$4,AO$4&gt;=$C$1),'General Inputs'!L$10*$I15,0))</f>
        <v>6764.2827779098143</v>
      </c>
      <c r="AP15" s="214">
        <f>IF(AND(($E15+$C$1)&gt;AP$4,AP$4&gt;=$C$1),'General Inputs'!M$9*$H15,IF(AND(($D15+$C$1)&gt;AP$4,AP$4&gt;=$C$1),'General Inputs'!M$9*$G15,0))+IF(AND(($E15+$C$1)&gt;AP$4,AP$4&gt;=$C$1),'General Inputs'!M$10*$J15,IF(AND(($D15+$C$1)&gt;AP$4,AP$4&gt;=$C$1),'General Inputs'!M$10*$I15,0))</f>
        <v>6865.7470195784599</v>
      </c>
      <c r="AQ15" s="214">
        <f>IF(AND(($E15+$C$1)&gt;AQ$4,AQ$4&gt;=$C$1),'General Inputs'!N$9*$H15,IF(AND(($D15+$C$1)&gt;AQ$4,AQ$4&gt;=$C$1),'General Inputs'!N$9*$G15,0))+IF(AND(($E15+$C$1)&gt;AQ$4,AQ$4&gt;=$C$1),'General Inputs'!N$10*$J15,IF(AND(($D15+$C$1)&gt;AQ$4,AQ$4&gt;=$C$1),'General Inputs'!N$10*$I15,0))</f>
        <v>0</v>
      </c>
      <c r="AR15" s="214">
        <f>IF(AND(($E15+$C$1)&gt;AR$4,AR$4&gt;=$C$1),'General Inputs'!O$9*$H15,IF(AND(($D15+$C$1)&gt;AR$4,AR$4&gt;=$C$1),'General Inputs'!O$9*$G15,0))+IF(AND(($E15+$C$1)&gt;AR$4,AR$4&gt;=$C$1),'General Inputs'!O$10*$J15,IF(AND(($D15+$C$1)&gt;AR$4,AR$4&gt;=$C$1),'General Inputs'!O$10*$I15,0))</f>
        <v>0</v>
      </c>
      <c r="AS15" s="214">
        <f>IF(AND(($E15+$C$1)&gt;AS$4,AS$4&gt;=$C$1),'General Inputs'!P$9*$H15,IF(AND(($D15+$C$1)&gt;AS$4,AS$4&gt;=$C$1),'General Inputs'!P$9*$G15,0))+IF(AND(($E15+$C$1)&gt;AS$4,AS$4&gt;=$C$1),'General Inputs'!P$10*$J15,IF(AND(($D15+$C$1)&gt;AS$4,AS$4&gt;=$C$1),'General Inputs'!P$10*$I15,0))</f>
        <v>0</v>
      </c>
      <c r="AT15" s="214">
        <f>IF(AND(($E15+$C$1)&gt;AT$4,AT$4&gt;=$C$1),'General Inputs'!Q$9*$H15,IF(AND(($D15+$C$1)&gt;AT$4,AT$4&gt;=$C$1),'General Inputs'!Q$9*$G15,0))+IF(AND(($E15+$C$1)&gt;AT$4,AT$4&gt;=$C$1),'General Inputs'!Q$10*$J15,IF(AND(($D15+$C$1)&gt;AT$4,AT$4&gt;=$C$1),'General Inputs'!Q$10*$I15,0))</f>
        <v>0</v>
      </c>
      <c r="AU15" s="214">
        <f>IF(AND(($E15+$C$1)&gt;AU$4,AU$4&gt;=$C$1),'General Inputs'!R$9*$H15,IF(AND(($D15+$C$1)&gt;AU$4,AU$4&gt;=$C$1),'General Inputs'!R$9*$G15,0))+IF(AND(($E15+$C$1)&gt;AU$4,AU$4&gt;=$C$1),'General Inputs'!R$10*$J15,IF(AND(($D15+$C$1)&gt;AU$4,AU$4&gt;=$C$1),'General Inputs'!R$10*$I15,0))</f>
        <v>0</v>
      </c>
      <c r="AV15" s="214">
        <f>IF(AND(($E15+$C$1)&gt;AV$4,AV$4&gt;=$C$1),'General Inputs'!S$9*$H15,IF(AND(($D15+$C$1)&gt;AV$4,AV$4&gt;=$C$1),'General Inputs'!S$9*$G15,0))+IF(AND(($E15+$C$1)&gt;AV$4,AV$4&gt;=$C$1),'General Inputs'!S$10*$J15,IF(AND(($D15+$C$1)&gt;AV$4,AV$4&gt;=$C$1),'General Inputs'!S$10*$I15,0))</f>
        <v>0</v>
      </c>
      <c r="AW15" s="214">
        <f>IF(AND(($E15+$C$1)&gt;AW$4,AW$4&gt;=$C$1),'General Inputs'!T$9*$H15,IF(AND(($D15+$C$1)&gt;AW$4,AW$4&gt;=$C$1),'General Inputs'!T$9*$G15,0))+IF(AND(($E15+$C$1)&gt;AW$4,AW$4&gt;=$C$1),'General Inputs'!T$10*$J15,IF(AND(($D15+$C$1)&gt;AW$4,AW$4&gt;=$C$1),'General Inputs'!T$10*$I15,0))</f>
        <v>0</v>
      </c>
      <c r="AX15" s="214">
        <f>IF(AND(($E15+$C$1)&gt;AX$4,AX$4&gt;=$C$1),'General Inputs'!U$9*$H15,IF(AND(($D15+$C$1)&gt;AX$4,AX$4&gt;=$C$1),'General Inputs'!U$9*$G15,0))+IF(AND(($E15+$C$1)&gt;AX$4,AX$4&gt;=$C$1),'General Inputs'!U$10*$J15,IF(AND(($D15+$C$1)&gt;AX$4,AX$4&gt;=$C$1),'General Inputs'!U$10*$I15,0))</f>
        <v>0</v>
      </c>
      <c r="AY15" s="214">
        <f>IF(AND(($E15+$C$1)&gt;AY$4,AY$4&gt;=$C$1),'General Inputs'!V$9*$H15,IF(AND(($D15+$C$1)&gt;AY$4,AY$4&gt;=$C$1),'General Inputs'!V$9*$G15,0))+IF(AND(($E15+$C$1)&gt;AY$4,AY$4&gt;=$C$1),'General Inputs'!V$10*$J15,IF(AND(($D15+$C$1)&gt;AY$4,AY$4&gt;=$C$1),'General Inputs'!V$10*$I15,0))</f>
        <v>0</v>
      </c>
      <c r="AZ15" s="214">
        <f>IF(AND(($E15+$C$1)&gt;AZ$4,AZ$4&gt;=$C$1),'General Inputs'!W$9*$H15,IF(AND(($D15+$C$1)&gt;AZ$4,AZ$4&gt;=$C$1),'General Inputs'!W$9*$G15,0))+IF(AND(($E15+$C$1)&gt;AZ$4,AZ$4&gt;=$C$1),'General Inputs'!W$10*$J15,IF(AND(($D15+$C$1)&gt;AZ$4,AZ$4&gt;=$C$1),'General Inputs'!W$10*$I15,0))</f>
        <v>0</v>
      </c>
      <c r="BB15" s="214">
        <f>IF(AND(($E15+$C$1)&gt;BB$4,BB$4&gt;=$C$1),'General Inputs'!D$11*$H15,IF(AND(($D15+$C$1)&gt;BB$4,BB$4&gt;=$C$1),'General Inputs'!D$11*$G15,0))</f>
        <v>0</v>
      </c>
      <c r="BC15" s="214">
        <f>IF(AND(($E15+$C$1)&gt;BC$4,BC$4&gt;=$C$1),'General Inputs'!E$11*$H15,IF(AND(($D15+$C$1)&gt;BC$4,BC$4&gt;=$C$1),'General Inputs'!E$11*$G15,0))</f>
        <v>0</v>
      </c>
      <c r="BD15" s="214">
        <f>IF(AND(($E15+$C$1)&gt;BD$4,BD$4&gt;=$C$1),'General Inputs'!F$11*$H15,IF(AND(($D15+$C$1)&gt;BD$4,BD$4&gt;=$C$1),'General Inputs'!F$11*$G15,0))</f>
        <v>1648.6323750000001</v>
      </c>
      <c r="BE15" s="214">
        <f>IF(AND(($E15+$C$1)&gt;BE$4,BE$4&gt;=$C$1),'General Inputs'!G$11*$H15,IF(AND(($D15+$C$1)&gt;BE$4,BE$4&gt;=$C$1),'General Inputs'!G$11*$G15,0))</f>
        <v>1648.6323750000001</v>
      </c>
      <c r="BF15" s="214">
        <f>IF(AND(($E15+$C$1)&gt;BF$4,BF$4&gt;=$C$1),'General Inputs'!H$11*$H15,IF(AND(($D15+$C$1)&gt;BF$4,BF$4&gt;=$C$1),'General Inputs'!H$11*$G15,0))</f>
        <v>1648.6323750000001</v>
      </c>
      <c r="BG15" s="214">
        <f>IF(AND(($E15+$C$1)&gt;BG$4,BG$4&gt;=$C$1),'General Inputs'!I$11*$H15,IF(AND(($D15+$C$1)&gt;BG$4,BG$4&gt;=$C$1),'General Inputs'!I$11*$G15,0))</f>
        <v>1648.6323750000001</v>
      </c>
      <c r="BH15" s="214">
        <f>IF(AND(($E15+$C$1)&gt;BH$4,BH$4&gt;=$C$1),'General Inputs'!J$11*$H15,IF(AND(($D15+$C$1)&gt;BH$4,BH$4&gt;=$C$1),'General Inputs'!J$11*$G15,0))</f>
        <v>1648.6323750000001</v>
      </c>
      <c r="BI15" s="214">
        <f>IF(AND(($E15+$C$1)&gt;BI$4,BI$4&gt;=$C$1),'General Inputs'!K$11*$H15,IF(AND(($D15+$C$1)&gt;BI$4,BI$4&gt;=$C$1),'General Inputs'!K$11*$G15,0))</f>
        <v>1648.6323750000001</v>
      </c>
      <c r="BJ15" s="214">
        <f>IF(AND(($E15+$C$1)&gt;BJ$4,BJ$4&gt;=$C$1),'General Inputs'!L$11*$H15,IF(AND(($D15+$C$1)&gt;BJ$4,BJ$4&gt;=$C$1),'General Inputs'!L$11*$G15,0))</f>
        <v>1648.6323750000001</v>
      </c>
      <c r="BK15" s="214">
        <f>IF(AND(($E15+$C$1)&gt;BK$4,BK$4&gt;=$C$1),'General Inputs'!M$11*$H15,IF(AND(($D15+$C$1)&gt;BK$4,BK$4&gt;=$C$1),'General Inputs'!M$11*$G15,0))</f>
        <v>1648.6323750000001</v>
      </c>
      <c r="BL15" s="214">
        <f>IF(AND(($E15+$C$1)&gt;BL$4,BL$4&gt;=$C$1),'General Inputs'!N$11*$H15,IF(AND(($D15+$C$1)&gt;BL$4,BL$4&gt;=$C$1),'General Inputs'!N$11*$G15,0))</f>
        <v>0</v>
      </c>
      <c r="BM15" s="214">
        <f>IF(AND(($E15+$C$1)&gt;BM$4,BM$4&gt;=$C$1),'General Inputs'!O$11*$H15,IF(AND(($D15+$C$1)&gt;BM$4,BM$4&gt;=$C$1),'General Inputs'!O$11*$G15,0))</f>
        <v>0</v>
      </c>
      <c r="BN15" s="214">
        <f>IF(AND(($E15+$C$1)&gt;BN$4,BN$4&gt;=$C$1),'General Inputs'!P$11*$H15,IF(AND(($D15+$C$1)&gt;BN$4,BN$4&gt;=$C$1),'General Inputs'!P$11*$G15,0))</f>
        <v>0</v>
      </c>
      <c r="BO15" s="214">
        <f>IF(AND(($E15+$C$1)&gt;BO$4,BO$4&gt;=$C$1),'General Inputs'!Q$11*$H15,IF(AND(($D15+$C$1)&gt;BO$4,BO$4&gt;=$C$1),'General Inputs'!Q$11*$G15,0))</f>
        <v>0</v>
      </c>
      <c r="BP15" s="214">
        <f>IF(AND(($E15+$C$1)&gt;BP$4,BP$4&gt;=$C$1),'General Inputs'!R$11*$H15,IF(AND(($D15+$C$1)&gt;BP$4,BP$4&gt;=$C$1),'General Inputs'!R$11*$G15,0))</f>
        <v>0</v>
      </c>
      <c r="BQ15" s="214">
        <f>IF(AND(($E15+$C$1)&gt;BQ$4,BQ$4&gt;=$C$1),'General Inputs'!S$11*$H15,IF(AND(($D15+$C$1)&gt;BQ$4,BQ$4&gt;=$C$1),'General Inputs'!S$11*$G15,0))</f>
        <v>0</v>
      </c>
      <c r="BR15" s="214">
        <f>IF(AND(($E15+$C$1)&gt;BR$4,BR$4&gt;=$C$1),'General Inputs'!T$11*$H15,IF(AND(($D15+$C$1)&gt;BR$4,BR$4&gt;=$C$1),'General Inputs'!T$11*$G15,0))</f>
        <v>0</v>
      </c>
      <c r="BS15" s="214">
        <f>IF(AND(($E15+$C$1)&gt;BS$4,BS$4&gt;=$C$1),'General Inputs'!U$11*$H15,IF(AND(($D15+$C$1)&gt;BS$4,BS$4&gt;=$C$1),'General Inputs'!U$11*$G15,0))</f>
        <v>0</v>
      </c>
      <c r="BT15" s="214">
        <f>IF(AND(($E15+$C$1)&gt;BT$4,BT$4&gt;=$C$1),'General Inputs'!V$11*$H15,IF(AND(($D15+$C$1)&gt;BT$4,BT$4&gt;=$C$1),'General Inputs'!V$11*$G15,0))</f>
        <v>0</v>
      </c>
      <c r="BU15" s="214">
        <f>IF(AND(($E15+$C$1)&gt;BU$4,BU$4&gt;=$C$1),'General Inputs'!W$11*$H15,IF(AND(($D15+$C$1)&gt;BU$4,BU$4&gt;=$C$1),'General Inputs'!W$11*$G15,0))</f>
        <v>0</v>
      </c>
      <c r="BW15" s="214">
        <f>IF(AND(($E15+$C$1)&gt;BW$4,BW$4&gt;=$C$1),$H15,IF(AND(($D15+$C$1)&gt;BW$4,BW$4&gt;=$C$1),$G15,0))*IF($A15="Residential",'General Inputs'!D$14,'General Inputs'!D$19)</f>
        <v>0</v>
      </c>
      <c r="BX15" s="214">
        <f>IF(AND(($E15+$C$1)&gt;BX$4,BX$4&gt;=$C$1),$H15,IF(AND(($D15+$C$1)&gt;BX$4,BX$4&gt;=$C$1),$G15,0))*IF($A15="Residential",'General Inputs'!E$14,'General Inputs'!E$19)</f>
        <v>0</v>
      </c>
      <c r="BY15" s="214">
        <f>IF(AND(($E15+$C$1)&gt;BY$4,BY$4&gt;=$C$1),$H15,IF(AND(($D15+$C$1)&gt;BY$4,BY$4&gt;=$C$1),$G15,0))*IF($A15="Residential",'General Inputs'!F$14,'General Inputs'!F$19)</f>
        <v>19998.70221882479</v>
      </c>
      <c r="BZ15" s="214">
        <f>IF(AND(($E15+$C$1)&gt;BZ$4,BZ$4&gt;=$C$1),$H15,IF(AND(($D15+$C$1)&gt;BZ$4,BZ$4&gt;=$C$1),$G15,0))*IF($A15="Residential",'General Inputs'!G$14,'General Inputs'!G$19)</f>
        <v>20298.682752107157</v>
      </c>
      <c r="CA15" s="214">
        <f>IF(AND(($E15+$C$1)&gt;CA$4,CA$4&gt;=$C$1),$H15,IF(AND(($D15+$C$1)&gt;CA$4,CA$4&gt;=$C$1),$G15,0))*IF($A15="Residential",'General Inputs'!H$14,'General Inputs'!H$19)</f>
        <v>20603.162993388763</v>
      </c>
      <c r="CB15" s="214">
        <f>IF(AND(($E15+$C$1)&gt;CB$4,CB$4&gt;=$C$1),$H15,IF(AND(($D15+$C$1)&gt;CB$4,CB$4&gt;=$C$1),$G15,0))*IF($A15="Residential",'General Inputs'!I$14,'General Inputs'!I$19)</f>
        <v>20912.210438289592</v>
      </c>
      <c r="CC15" s="214">
        <f>IF(AND(($E15+$C$1)&gt;CC$4,CC$4&gt;=$C$1),$H15,IF(AND(($D15+$C$1)&gt;CC$4,CC$4&gt;=$C$1),$G15,0))*IF($A15="Residential",'General Inputs'!J$14,'General Inputs'!J$19)</f>
        <v>21225.893594863934</v>
      </c>
      <c r="CD15" s="214">
        <f>IF(AND(($E15+$C$1)&gt;CD$4,CD$4&gt;=$C$1),$H15,IF(AND(($D15+$C$1)&gt;CD$4,CD$4&gt;=$C$1),$G15,0))*IF($A15="Residential",'General Inputs'!K$14,'General Inputs'!K$19)</f>
        <v>21544.28199878689</v>
      </c>
      <c r="CE15" s="214">
        <f>IF(AND(($E15+$C$1)&gt;CE$4,CE$4&gt;=$C$1),$H15,IF(AND(($D15+$C$1)&gt;CE$4,CE$4&gt;=$C$1),$G15,0))*IF($A15="Residential",'General Inputs'!L$14,'General Inputs'!L$19)</f>
        <v>21867.446228768687</v>
      </c>
      <c r="CF15" s="214">
        <f>IF(AND(($E15+$C$1)&gt;CF$4,CF$4&gt;=$C$1),$H15,IF(AND(($D15+$C$1)&gt;CF$4,CF$4&gt;=$C$1),$G15,0))*IF($A15="Residential",'General Inputs'!M$14,'General Inputs'!M$19)</f>
        <v>22195.457922200218</v>
      </c>
      <c r="CG15" s="214">
        <f>IF(AND(($E15+$C$1)&gt;CG$4,CG$4&gt;=$C$1),$H15,IF(AND(($D15+$C$1)&gt;CG$4,CG$4&gt;=$C$1),$G15,0))*IF($A15="Residential",'General Inputs'!N$14,'General Inputs'!N$19)</f>
        <v>0</v>
      </c>
      <c r="CH15" s="214">
        <f>IF(AND(($E15+$C$1)&gt;CH$4,CH$4&gt;=$C$1),$H15,IF(AND(($D15+$C$1)&gt;CH$4,CH$4&gt;=$C$1),$G15,0))*IF($A15="Residential",'General Inputs'!O$14,'General Inputs'!O$19)</f>
        <v>0</v>
      </c>
      <c r="CI15" s="214">
        <f>IF(AND(($E15+$C$1)&gt;CI$4,CI$4&gt;=$C$1),$H15,IF(AND(($D15+$C$1)&gt;CI$4,CI$4&gt;=$C$1),$G15,0))*IF($A15="Residential",'General Inputs'!P$14,'General Inputs'!P$19)</f>
        <v>0</v>
      </c>
      <c r="CJ15" s="214">
        <f>IF(AND(($E15+$C$1)&gt;CJ$4,CJ$4&gt;=$C$1),$H15,IF(AND(($D15+$C$1)&gt;CJ$4,CJ$4&gt;=$C$1),$G15,0))*IF($A15="Residential",'General Inputs'!Q$14,'General Inputs'!Q$19)</f>
        <v>0</v>
      </c>
      <c r="CK15" s="214">
        <f>IF(AND(($E15+$C$1)&gt;CK$4,CK$4&gt;=$C$1),$H15,IF(AND(($D15+$C$1)&gt;CK$4,CK$4&gt;=$C$1),$G15,0))*IF($A15="Residential",'General Inputs'!R$14,'General Inputs'!R$19)</f>
        <v>0</v>
      </c>
      <c r="CL15" s="214">
        <f>IF(AND(($E15+$C$1)&gt;CL$4,CL$4&gt;=$C$1),$H15,IF(AND(($D15+$C$1)&gt;CL$4,CL$4&gt;=$C$1),$G15,0))*IF($A15="Residential",'General Inputs'!S$14,'General Inputs'!S$19)</f>
        <v>0</v>
      </c>
      <c r="CM15" s="214">
        <f>IF(AND(($E15+$C$1)&gt;CM$4,CM$4&gt;=$C$1),$H15,IF(AND(($D15+$C$1)&gt;CM$4,CM$4&gt;=$C$1),$G15,0))*IF($A15="Residential",'General Inputs'!T$14,'General Inputs'!T$19)</f>
        <v>0</v>
      </c>
      <c r="CN15" s="214">
        <f>IF(AND(($E15+$C$1)&gt;CN$4,CN$4&gt;=$C$1),$H15,IF(AND(($D15+$C$1)&gt;CN$4,CN$4&gt;=$C$1),$G15,0))*IF($A15="Residential",'General Inputs'!U$14,'General Inputs'!U$19)</f>
        <v>0</v>
      </c>
      <c r="CO15" s="214">
        <f>IF(AND(($E15+$C$1)&gt;CO$4,CO$4&gt;=$C$1),$H15,IF(AND(($D15+$C$1)&gt;CO$4,CO$4&gt;=$C$1),$G15,0))*IF($A15="Residential",'General Inputs'!V$14,'General Inputs'!V$19)</f>
        <v>0</v>
      </c>
      <c r="CP15" s="214">
        <f>IF(AND(($E15+$C$1)&gt;CP$4,CP$4&gt;=$C$1),$H15,IF(AND(($D15+$C$1)&gt;CP$4,CP$4&gt;=$C$1),$G15,0))*IF($A15="Residential",'General Inputs'!W$14,'General Inputs'!W$19)</f>
        <v>0</v>
      </c>
      <c r="CR15" s="214">
        <f>IF(AND(($E15+$C$1)&gt;CR$4,CR$4&gt;=$C$1),$H15,IF(AND(($D15+$C$1)&gt;CR$4,CR$4&gt;=$C$1),$G15,0))*IF($A15="Residential",'General Inputs'!D$15,'General Inputs'!D$19)</f>
        <v>0</v>
      </c>
      <c r="CS15" s="214">
        <f>IF(AND(($E15+$C$1)&gt;CS$4,CS$4&gt;=$C$1),$H15,IF(AND(($D15+$C$1)&gt;CS$4,CS$4&gt;=$C$1),$G15,0))*IF($A15="Residential",'General Inputs'!E$15,'General Inputs'!E$19)</f>
        <v>0</v>
      </c>
      <c r="CT15" s="214">
        <f>IF(AND(($E15+$C$1)&gt;CT$4,CT$4&gt;=$C$1),$H15,IF(AND(($D15+$C$1)&gt;CT$4,CT$4&gt;=$C$1),$G15,0))*IF($A15="Residential",'General Inputs'!F$15,'General Inputs'!F$19)</f>
        <v>16269.109840705214</v>
      </c>
      <c r="CU15" s="214">
        <f>IF(AND(($E15+$C$1)&gt;CU$4,CU$4&gt;=$C$1),$H15,IF(AND(($D15+$C$1)&gt;CU$4,CU$4&gt;=$C$1),$G15,0))*IF($A15="Residential",'General Inputs'!G$15,'General Inputs'!G$19)</f>
        <v>16513.14648831579</v>
      </c>
      <c r="CV15" s="214">
        <f>IF(AND(($E15+$C$1)&gt;CV$4,CV$4&gt;=$C$1),$H15,IF(AND(($D15+$C$1)&gt;CV$4,CV$4&gt;=$C$1),$G15,0))*IF($A15="Residential",'General Inputs'!H$15,'General Inputs'!H$19)</f>
        <v>16760.843685640524</v>
      </c>
      <c r="CW15" s="214">
        <f>IF(AND(($E15+$C$1)&gt;CW$4,CW$4&gt;=$C$1),$H15,IF(AND(($D15+$C$1)&gt;CW$4,CW$4&gt;=$C$1),$G15,0))*IF($A15="Residential",'General Inputs'!I$15,'General Inputs'!I$19)</f>
        <v>17012.256340925131</v>
      </c>
      <c r="CX15" s="214">
        <f>IF(AND(($E15+$C$1)&gt;CX$4,CX$4&gt;=$C$1),$H15,IF(AND(($D15+$C$1)&gt;CX$4,CX$4&gt;=$C$1),$G15,0))*IF($A15="Residential",'General Inputs'!J$15,'General Inputs'!J$19)</f>
        <v>17267.440186039006</v>
      </c>
      <c r="CY15" s="214">
        <f>IF(AND(($E15+$C$1)&gt;CY$4,CY$4&gt;=$C$1),$H15,IF(AND(($D15+$C$1)&gt;CY$4,CY$4&gt;=$C$1),$G15,0))*IF($A15="Residential",'General Inputs'!K$15,'General Inputs'!K$19)</f>
        <v>17526.451788829589</v>
      </c>
      <c r="CZ15" s="214">
        <f>IF(AND(($E15+$C$1)&gt;CZ$4,CZ$4&gt;=$C$1),$H15,IF(AND(($D15+$C$1)&gt;CZ$4,CZ$4&gt;=$C$1),$G15,0))*IF($A15="Residential",'General Inputs'!L$15,'General Inputs'!L$19)</f>
        <v>17789.348565662032</v>
      </c>
      <c r="DA15" s="214">
        <f>IF(AND(($E15+$C$1)&gt;DA$4,DA$4&gt;=$C$1),$H15,IF(AND(($D15+$C$1)&gt;DA$4,DA$4&gt;=$C$1),$G15,0))*IF($A15="Residential",'General Inputs'!M$15,'General Inputs'!M$19)</f>
        <v>18056.188794146961</v>
      </c>
      <c r="DB15" s="214">
        <f>IF(AND(($E15+$C$1)&gt;DB$4,DB$4&gt;=$C$1),$H15,IF(AND(($D15+$C$1)&gt;DB$4,DB$4&gt;=$C$1),$G15,0))*IF($A15="Residential",'General Inputs'!N$15,'General Inputs'!N$19)</f>
        <v>0</v>
      </c>
      <c r="DC15" s="214">
        <f>IF(AND(($E15+$C$1)&gt;DC$4,DC$4&gt;=$C$1),$H15,IF(AND(($D15+$C$1)&gt;DC$4,DC$4&gt;=$C$1),$G15,0))*IF($A15="Residential",'General Inputs'!O$15,'General Inputs'!O$19)</f>
        <v>0</v>
      </c>
      <c r="DD15" s="214">
        <f>IF(AND(($E15+$C$1)&gt;DD$4,DD$4&gt;=$C$1),$H15,IF(AND(($D15+$C$1)&gt;DD$4,DD$4&gt;=$C$1),$G15,0))*IF($A15="Residential",'General Inputs'!P$15,'General Inputs'!P$19)</f>
        <v>0</v>
      </c>
      <c r="DE15" s="214">
        <f>IF(AND(($E15+$C$1)&gt;DE$4,DE$4&gt;=$C$1),$H15,IF(AND(($D15+$C$1)&gt;DE$4,DE$4&gt;=$C$1),$G15,0))*IF($A15="Residential",'General Inputs'!Q$15,'General Inputs'!Q$19)</f>
        <v>0</v>
      </c>
      <c r="DF15" s="214">
        <f>IF(AND(($E15+$C$1)&gt;DF$4,DF$4&gt;=$C$1),$H15,IF(AND(($D15+$C$1)&gt;DF$4,DF$4&gt;=$C$1),$G15,0))*IF($A15="Residential",'General Inputs'!R$15,'General Inputs'!R$19)</f>
        <v>0</v>
      </c>
      <c r="DG15" s="214">
        <f>IF(AND(($E15+$C$1)&gt;DG$4,DG$4&gt;=$C$1),$H15,IF(AND(($D15+$C$1)&gt;DG$4,DG$4&gt;=$C$1),$G15,0))*IF($A15="Residential",'General Inputs'!S$15,'General Inputs'!S$19)</f>
        <v>0</v>
      </c>
      <c r="DH15" s="214">
        <f>IF(AND(($E15+$C$1)&gt;DH$4,DH$4&gt;=$C$1),$H15,IF(AND(($D15+$C$1)&gt;DH$4,DH$4&gt;=$C$1),$G15,0))*IF($A15="Residential",'General Inputs'!T$15,'General Inputs'!T$19)</f>
        <v>0</v>
      </c>
      <c r="DI15" s="214">
        <f>IF(AND(($E15+$C$1)&gt;DI$4,DI$4&gt;=$C$1),$H15,IF(AND(($D15+$C$1)&gt;DI$4,DI$4&gt;=$C$1),$G15,0))*IF($A15="Residential",'General Inputs'!U$15,'General Inputs'!U$19)</f>
        <v>0</v>
      </c>
      <c r="DJ15" s="214">
        <f>IF(AND(($E15+$C$1)&gt;DJ$4,DJ$4&gt;=$C$1),$H15,IF(AND(($D15+$C$1)&gt;DJ$4,DJ$4&gt;=$C$1),$G15,0))*IF($A15="Residential",'General Inputs'!V$15,'General Inputs'!V$19)</f>
        <v>0</v>
      </c>
      <c r="DK15" s="214">
        <f>IF(AND(($E15+$C$1)&gt;DK$4,DK$4&gt;=$C$1),$H15,IF(AND(($D15+$C$1)&gt;DK$4,DK$4&gt;=$C$1),$G15,0))*IF($A15="Residential",'General Inputs'!W$15,'General Inputs'!W$19)</f>
        <v>0</v>
      </c>
      <c r="DM15" s="214">
        <f t="shared" si="41"/>
        <v>0</v>
      </c>
      <c r="DN15" s="214">
        <f t="shared" si="27"/>
        <v>0</v>
      </c>
      <c r="DO15" s="214">
        <f t="shared" si="27"/>
        <v>11625</v>
      </c>
      <c r="DP15" s="214">
        <f t="shared" si="27"/>
        <v>0</v>
      </c>
      <c r="DQ15" s="214">
        <f t="shared" si="27"/>
        <v>0</v>
      </c>
      <c r="DR15" s="214">
        <f t="shared" si="27"/>
        <v>0</v>
      </c>
      <c r="DS15" s="214">
        <f t="shared" si="27"/>
        <v>0</v>
      </c>
      <c r="DT15" s="214">
        <f t="shared" si="27"/>
        <v>0</v>
      </c>
      <c r="DU15" s="214">
        <f t="shared" si="27"/>
        <v>0</v>
      </c>
      <c r="DV15" s="214">
        <f t="shared" si="27"/>
        <v>0</v>
      </c>
      <c r="DW15" s="214">
        <f t="shared" si="27"/>
        <v>0</v>
      </c>
      <c r="DZ15" s="650"/>
      <c r="FI15" s="195"/>
      <c r="FJ15" s="195"/>
      <c r="FK15" s="195"/>
      <c r="FL15" s="195"/>
      <c r="FM15" s="195"/>
      <c r="FN15" s="195"/>
      <c r="FO15" s="195"/>
    </row>
    <row r="16" spans="1:171">
      <c r="A16" s="441" t="s">
        <v>12</v>
      </c>
      <c r="B16" s="426" t="str">
        <f>'Portfolio Inputs'!A15</f>
        <v>High Efficiency HVAC</v>
      </c>
      <c r="C16" s="356">
        <f>IF($C$1=2014,'Portfolio Inputs'!$C15,IF($C$1=2015,'Portfolio Inputs'!$D15,'Portfolio Inputs'!$E15))</f>
        <v>370</v>
      </c>
      <c r="D16" s="503"/>
      <c r="E16" s="503"/>
      <c r="G16" s="513">
        <f>SUM(G17:G23)</f>
        <v>465745.24100954016</v>
      </c>
      <c r="H16" s="513">
        <f>SUM(H17:H23)</f>
        <v>185330.58019040368</v>
      </c>
      <c r="I16" s="509">
        <f>SUM(I17:I23)</f>
        <v>140.06483186196763</v>
      </c>
      <c r="J16" s="509">
        <f>SUM(J17:J23)</f>
        <v>72.089277623434867</v>
      </c>
      <c r="L16" s="453"/>
      <c r="M16" s="453"/>
      <c r="N16" s="453">
        <f>IF($C$1=2014,'Portfolio Inputs'!$W15,IF($C$1=2015,'Portfolio Inputs'!$X15,'Portfolio Inputs'!$Y15))</f>
        <v>98550</v>
      </c>
      <c r="O16" s="453">
        <f>IF($C$1=2014,'Portfolio Inputs'!$AA15,IF($C$1=2015,'Portfolio Inputs'!$AB15,'Portfolio Inputs'!$AC15))</f>
        <v>0</v>
      </c>
      <c r="Q16" s="442">
        <f t="shared" si="0"/>
        <v>1.2359687524448209</v>
      </c>
      <c r="R16" s="443">
        <f t="shared" si="1"/>
        <v>2.5956619355926427</v>
      </c>
      <c r="S16" s="443">
        <f t="shared" si="2"/>
        <v>1.5175108738224412</v>
      </c>
      <c r="T16" s="443">
        <f t="shared" si="3"/>
        <v>4.1933090005567406</v>
      </c>
      <c r="U16" s="443">
        <f>IF(AE16&gt;0,(AD16+AB16)/AE16,"n/a")</f>
        <v>3.5000928087768504</v>
      </c>
      <c r="V16" s="522">
        <f>IF((AA16+AC16+AD16)&gt;0,Y16/(AA16+AC16+AD16),"n/a")</f>
        <v>0.29474783572608715</v>
      </c>
      <c r="W16" s="522">
        <f>IF((AB16+AC16+AD16)&gt;0,Y16/(AB16+AC16+AD16),"n/a")</f>
        <v>0.35312456553880495</v>
      </c>
      <c r="Y16" s="444">
        <f t="shared" si="4"/>
        <v>215937.31192418819</v>
      </c>
      <c r="Z16" s="444">
        <f t="shared" si="5"/>
        <v>49188.499922396746</v>
      </c>
      <c r="AA16" s="444">
        <f t="shared" si="6"/>
        <v>649425.50835859205</v>
      </c>
      <c r="AB16" s="444">
        <f t="shared" si="7"/>
        <v>528313.02817721723</v>
      </c>
      <c r="AC16" s="445">
        <f t="shared" si="20"/>
        <v>0</v>
      </c>
      <c r="AD16" s="445">
        <f t="shared" si="21"/>
        <v>83191.616351566714</v>
      </c>
      <c r="AE16" s="526">
        <f t="shared" si="8"/>
        <v>174710.9799475522</v>
      </c>
      <c r="AG16" s="446">
        <f t="shared" ref="AG16:CR16" si="42">SUM(AG17:AG23)</f>
        <v>0</v>
      </c>
      <c r="AH16" s="446">
        <f t="shared" si="42"/>
        <v>0</v>
      </c>
      <c r="AI16" s="446">
        <f t="shared" si="42"/>
        <v>27540.279888535679</v>
      </c>
      <c r="AJ16" s="446">
        <f t="shared" si="42"/>
        <v>27953.384086863713</v>
      </c>
      <c r="AK16" s="446">
        <f t="shared" si="42"/>
        <v>28372.684848166668</v>
      </c>
      <c r="AL16" s="446">
        <f t="shared" si="42"/>
        <v>28798.275120889157</v>
      </c>
      <c r="AM16" s="446">
        <f t="shared" si="42"/>
        <v>29230.24924770249</v>
      </c>
      <c r="AN16" s="446">
        <f t="shared" si="42"/>
        <v>29668.702986418026</v>
      </c>
      <c r="AO16" s="446">
        <f t="shared" si="42"/>
        <v>27957.453293061742</v>
      </c>
      <c r="AP16" s="446">
        <f t="shared" si="42"/>
        <v>28376.815092457662</v>
      </c>
      <c r="AQ16" s="446">
        <f t="shared" si="42"/>
        <v>23953.227955286704</v>
      </c>
      <c r="AR16" s="446">
        <f t="shared" si="42"/>
        <v>24312.526374615998</v>
      </c>
      <c r="AS16" s="446">
        <f t="shared" si="42"/>
        <v>24677.214270235239</v>
      </c>
      <c r="AT16" s="446">
        <f t="shared" si="42"/>
        <v>25047.37248428876</v>
      </c>
      <c r="AU16" s="446">
        <f t="shared" si="42"/>
        <v>25423.083071553086</v>
      </c>
      <c r="AV16" s="446">
        <f t="shared" si="42"/>
        <v>25804.429317626385</v>
      </c>
      <c r="AW16" s="446">
        <f t="shared" si="42"/>
        <v>26191.495757390781</v>
      </c>
      <c r="AX16" s="446">
        <f t="shared" si="42"/>
        <v>17557.425389130134</v>
      </c>
      <c r="AY16" s="446">
        <f t="shared" si="42"/>
        <v>17820.786769967082</v>
      </c>
      <c r="AZ16" s="446">
        <f t="shared" si="42"/>
        <v>18088.098571516588</v>
      </c>
      <c r="BB16" s="446">
        <f t="shared" si="42"/>
        <v>0</v>
      </c>
      <c r="BC16" s="446">
        <f t="shared" si="42"/>
        <v>0</v>
      </c>
      <c r="BD16" s="446">
        <f t="shared" si="42"/>
        <v>6836.8146546216904</v>
      </c>
      <c r="BE16" s="446">
        <f t="shared" si="42"/>
        <v>6836.8146546216904</v>
      </c>
      <c r="BF16" s="446">
        <f t="shared" si="42"/>
        <v>6836.8146546216904</v>
      </c>
      <c r="BG16" s="446">
        <f t="shared" si="42"/>
        <v>6836.8146546216904</v>
      </c>
      <c r="BH16" s="446">
        <f t="shared" si="42"/>
        <v>6836.8146546216904</v>
      </c>
      <c r="BI16" s="446">
        <f t="shared" si="42"/>
        <v>6836.8146546216904</v>
      </c>
      <c r="BJ16" s="446">
        <f t="shared" si="42"/>
        <v>6315.6735008575579</v>
      </c>
      <c r="BK16" s="446">
        <f t="shared" si="42"/>
        <v>6315.6735008575579</v>
      </c>
      <c r="BL16" s="446">
        <f t="shared" si="42"/>
        <v>5309.4957475087576</v>
      </c>
      <c r="BM16" s="446">
        <f t="shared" si="42"/>
        <v>5309.4957475087576</v>
      </c>
      <c r="BN16" s="446">
        <f t="shared" si="42"/>
        <v>5309.4957475087576</v>
      </c>
      <c r="BO16" s="446">
        <f t="shared" si="42"/>
        <v>5309.4957475087576</v>
      </c>
      <c r="BP16" s="446">
        <f t="shared" si="42"/>
        <v>5309.4957475087576</v>
      </c>
      <c r="BQ16" s="446">
        <f t="shared" si="42"/>
        <v>5309.4957475087576</v>
      </c>
      <c r="BR16" s="446">
        <f t="shared" si="42"/>
        <v>5309.4957475087576</v>
      </c>
      <c r="BS16" s="446">
        <f t="shared" si="42"/>
        <v>3340.6389093566677</v>
      </c>
      <c r="BT16" s="446">
        <f t="shared" si="42"/>
        <v>3340.6389093566677</v>
      </c>
      <c r="BU16" s="446">
        <f t="shared" si="42"/>
        <v>3340.6389093566677</v>
      </c>
      <c r="BW16" s="446">
        <f t="shared" si="42"/>
        <v>0</v>
      </c>
      <c r="BX16" s="446">
        <f t="shared" si="42"/>
        <v>0</v>
      </c>
      <c r="BY16" s="446">
        <f t="shared" si="42"/>
        <v>82933.844122208655</v>
      </c>
      <c r="BZ16" s="446">
        <f t="shared" si="42"/>
        <v>84177.851784041763</v>
      </c>
      <c r="CA16" s="446">
        <f t="shared" si="42"/>
        <v>85440.519560802364</v>
      </c>
      <c r="CB16" s="446">
        <f t="shared" si="42"/>
        <v>86722.127354214404</v>
      </c>
      <c r="CC16" s="446">
        <f t="shared" si="42"/>
        <v>88022.959264527613</v>
      </c>
      <c r="CD16" s="446">
        <f t="shared" si="42"/>
        <v>89343.303653495517</v>
      </c>
      <c r="CE16" s="446">
        <f t="shared" si="42"/>
        <v>83771.04124166067</v>
      </c>
      <c r="CF16" s="446">
        <f t="shared" si="42"/>
        <v>85027.606860285552</v>
      </c>
      <c r="CG16" s="446">
        <f t="shared" si="42"/>
        <v>72553.706701113755</v>
      </c>
      <c r="CH16" s="446">
        <f t="shared" si="42"/>
        <v>73642.012301630457</v>
      </c>
      <c r="CI16" s="446">
        <f t="shared" si="42"/>
        <v>74746.642486154902</v>
      </c>
      <c r="CJ16" s="446">
        <f t="shared" si="42"/>
        <v>75867.842123447219</v>
      </c>
      <c r="CK16" s="446">
        <f t="shared" si="42"/>
        <v>77005.859755298909</v>
      </c>
      <c r="CL16" s="446">
        <f t="shared" si="42"/>
        <v>78160.947651628405</v>
      </c>
      <c r="CM16" s="446">
        <f t="shared" si="42"/>
        <v>79333.361866402818</v>
      </c>
      <c r="CN16" s="446">
        <f t="shared" si="42"/>
        <v>50663.846433836625</v>
      </c>
      <c r="CO16" s="446">
        <f t="shared" si="42"/>
        <v>51423.804130344171</v>
      </c>
      <c r="CP16" s="446">
        <f t="shared" si="42"/>
        <v>52195.161192299332</v>
      </c>
      <c r="CR16" s="446">
        <f t="shared" si="42"/>
        <v>0</v>
      </c>
      <c r="CS16" s="446">
        <f t="shared" ref="CS16:DW16" si="43">SUM(CS17:CS23)</f>
        <v>0</v>
      </c>
      <c r="CT16" s="446">
        <f t="shared" si="43"/>
        <v>67467.368870869934</v>
      </c>
      <c r="CU16" s="446">
        <f t="shared" si="43"/>
        <v>68479.37940393298</v>
      </c>
      <c r="CV16" s="446">
        <f t="shared" si="43"/>
        <v>69506.570094991956</v>
      </c>
      <c r="CW16" s="446">
        <f t="shared" si="43"/>
        <v>70549.168646416831</v>
      </c>
      <c r="CX16" s="446">
        <f t="shared" si="43"/>
        <v>71607.406176113087</v>
      </c>
      <c r="CY16" s="446">
        <f t="shared" si="43"/>
        <v>72681.51726875476</v>
      </c>
      <c r="CZ16" s="446">
        <f t="shared" si="43"/>
        <v>68148.435659387134</v>
      </c>
      <c r="DA16" s="446">
        <f t="shared" si="43"/>
        <v>69170.662194277946</v>
      </c>
      <c r="DB16" s="446">
        <f t="shared" si="43"/>
        <v>59023.041133120802</v>
      </c>
      <c r="DC16" s="446">
        <f t="shared" si="43"/>
        <v>59908.386750117614</v>
      </c>
      <c r="DD16" s="446">
        <f t="shared" si="43"/>
        <v>60807.012551369371</v>
      </c>
      <c r="DE16" s="446">
        <f t="shared" si="43"/>
        <v>61719.1177396399</v>
      </c>
      <c r="DF16" s="446">
        <f t="shared" si="43"/>
        <v>62644.904505734507</v>
      </c>
      <c r="DG16" s="446">
        <f t="shared" si="43"/>
        <v>63584.578073320517</v>
      </c>
      <c r="DH16" s="446">
        <f t="shared" si="43"/>
        <v>64538.346744420305</v>
      </c>
      <c r="DI16" s="446">
        <f t="shared" si="43"/>
        <v>41215.458561547915</v>
      </c>
      <c r="DJ16" s="446">
        <f t="shared" si="43"/>
        <v>41833.69043997112</v>
      </c>
      <c r="DK16" s="446">
        <f t="shared" si="43"/>
        <v>42461.19579657069</v>
      </c>
      <c r="DM16" s="446">
        <f t="shared" si="43"/>
        <v>0</v>
      </c>
      <c r="DN16" s="446">
        <f t="shared" si="43"/>
        <v>0</v>
      </c>
      <c r="DO16" s="446">
        <f t="shared" si="43"/>
        <v>250276.74137980747</v>
      </c>
      <c r="DP16" s="446">
        <f t="shared" si="43"/>
        <v>0</v>
      </c>
      <c r="DQ16" s="446">
        <f t="shared" si="43"/>
        <v>0</v>
      </c>
      <c r="DR16" s="446">
        <f t="shared" si="43"/>
        <v>0</v>
      </c>
      <c r="DS16" s="446">
        <f t="shared" si="43"/>
        <v>0</v>
      </c>
      <c r="DT16" s="446">
        <f t="shared" si="43"/>
        <v>0</v>
      </c>
      <c r="DU16" s="446">
        <f t="shared" si="43"/>
        <v>-16632</v>
      </c>
      <c r="DV16" s="446">
        <f t="shared" si="43"/>
        <v>0</v>
      </c>
      <c r="DW16" s="446">
        <f t="shared" si="43"/>
        <v>-65590.256729406959</v>
      </c>
      <c r="DZ16" s="650"/>
      <c r="FO16" s="195"/>
    </row>
    <row r="17" spans="1:171">
      <c r="A17" s="342" t="s">
        <v>12</v>
      </c>
      <c r="B17" s="427" t="str">
        <f>'Portfolio Inputs'!A16</f>
        <v>Heat Pump SEER 15</v>
      </c>
      <c r="C17" s="217">
        <f>IF($C$1=2014,'Portfolio Inputs'!$C16,IF($C$1=2015,'Portfolio Inputs'!$D16,'Portfolio Inputs'!$E16))</f>
        <v>150</v>
      </c>
      <c r="D17" s="504">
        <f>VLOOKUP(B17,Sources!$B$4:$J$104,2,FALSE)</f>
        <v>18</v>
      </c>
      <c r="E17" s="504">
        <f>VLOOKUP(B17,Sources!$B$4:$J$104,3,FALSE)</f>
        <v>0</v>
      </c>
      <c r="G17" s="504">
        <f>IF($C$1=2014,'Portfolio Inputs'!$G16,IF($C$1=2015,'Portfolio Inputs'!$H16,'Portfolio Inputs'!$I16))*EnergyLineLoss</f>
        <v>75196.31253535577</v>
      </c>
      <c r="H17" s="504">
        <f>VLOOKUP($B17,Sources!$B$4:$K$104,6,FALSE)*C17*EnergyLineLoss</f>
        <v>0</v>
      </c>
      <c r="I17" s="504">
        <f>IF($C$1=2014,'Portfolio Inputs'!$K16,IF($C$1=2015,'Portfolio Inputs'!$L16,'Portfolio Inputs'!$M16))*PeakLineLoss</f>
        <v>78.701603923307758</v>
      </c>
      <c r="J17" s="510">
        <f>VLOOKUP($B17,Sources!$B$4:$K$104,8,FALSE)*C17*PeakLineLoss</f>
        <v>0</v>
      </c>
      <c r="L17" s="606">
        <f>IF($C$1=2014,'Portfolio Inputs'!$O16,IF($C$1=2015,'Portfolio Inputs'!$P16,'Portfolio Inputs'!$Q16))</f>
        <v>293.80824805778059</v>
      </c>
      <c r="M17" s="518">
        <f>VLOOKUP($B17,Sources!$B$4:$K$104,10,FALSE)</f>
        <v>0</v>
      </c>
      <c r="N17" s="419">
        <f>IF($C$1=2014,'Portfolio Inputs'!$W16,IF($C$1=2015,'Portfolio Inputs'!$X16,'Portfolio Inputs'!$Y16))</f>
        <v>33750</v>
      </c>
      <c r="O17" s="419"/>
      <c r="Q17" s="438">
        <f t="shared" si="0"/>
        <v>1.0346678179815911</v>
      </c>
      <c r="R17" s="439">
        <f t="shared" si="1"/>
        <v>1.3510841729908349</v>
      </c>
      <c r="S17" s="439">
        <f t="shared" si="2"/>
        <v>1.2220249491579316</v>
      </c>
      <c r="T17" s="439">
        <f t="shared" si="3"/>
        <v>3.2689237862630076</v>
      </c>
      <c r="U17" s="439">
        <f t="shared" ref="U17:U20" si="44">IF(AE17&gt;0,(AD17+AB17)/AE17,"n/a")</f>
        <v>2.8021129688255919</v>
      </c>
      <c r="V17" s="439">
        <f t="shared" ref="V17:V20" si="45">IF((AA17+AC17+AD17)&gt;0,Y17/(AA17+AC17+AD17),"n/a")</f>
        <v>0.31651634777463267</v>
      </c>
      <c r="W17" s="439">
        <f t="shared" ref="W17:W20" si="46">IF((AB17+AC17+AD17)&gt;0,Y17/(AB17+AC17+AD17),"n/a")</f>
        <v>0.36924557628211402</v>
      </c>
      <c r="Y17" s="215">
        <f t="shared" si="4"/>
        <v>38492.76581442717</v>
      </c>
      <c r="Z17" s="215">
        <f t="shared" si="5"/>
        <v>6970.2507884149745</v>
      </c>
      <c r="AA17" s="215">
        <f t="shared" si="6"/>
        <v>93123.55201969757</v>
      </c>
      <c r="AB17" s="215">
        <f t="shared" si="7"/>
        <v>75756.78061444308</v>
      </c>
      <c r="AC17" s="216">
        <f t="shared" si="20"/>
        <v>0</v>
      </c>
      <c r="AD17" s="216">
        <f t="shared" si="21"/>
        <v>28490.279572454354</v>
      </c>
      <c r="AE17" s="215">
        <f t="shared" si="8"/>
        <v>37203.01834604083</v>
      </c>
      <c r="AG17" s="214">
        <f>IF(AND(($E17+$C$1)&gt;AG$4,AG$4&gt;=$C$1),'General Inputs'!D$9*$H17,IF(AND(($D17+$C$1)&gt;AG$4,AG$4&gt;=$C$1),'General Inputs'!D$9*$G17,0))+IF(AND(($E17+$C$1)&gt;AG$4,AG$4&gt;=$C$1),'General Inputs'!D$10*$J17,IF(AND(($D17+$C$1)&gt;AG$4,AG$4&gt;=$C$1),'General Inputs'!D$10*$I17,0))</f>
        <v>0</v>
      </c>
      <c r="AH17" s="214">
        <f>IF(AND(($E17+$C$1)&gt;AH$4,AH$4&gt;=$C$1),'General Inputs'!E$9*$H17,IF(AND(($D17+$C$1)&gt;AH$4,AH$4&gt;=$C$1),'General Inputs'!E$9*$G17,0))+IF(AND(($E17+$C$1)&gt;AH$4,AH$4&gt;=$C$1),'General Inputs'!E$10*$J17,IF(AND(($D17+$C$1)&gt;AH$4,AH$4&gt;=$C$1),'General Inputs'!E$10*$I17,0))</f>
        <v>0</v>
      </c>
      <c r="AI17" s="214">
        <f>IF(AND(($E17+$C$1)&gt;AI$4,AI$4&gt;=$C$1),'General Inputs'!F$9*$H17,IF(AND(($D17+$C$1)&gt;AI$4,AI$4&gt;=$C$1),'General Inputs'!F$9*$G17,0))+IF(AND(($E17+$C$1)&gt;AI$4,AI$4&gt;=$C$1),'General Inputs'!F$10*$J17,IF(AND(($D17+$C$1)&gt;AI$4,AI$4&gt;=$C$1),'General Inputs'!F$10*$I17,0))</f>
        <v>4298.3222298962646</v>
      </c>
      <c r="AJ17" s="214">
        <f>IF(AND(($E17+$C$1)&gt;AJ$4,AJ$4&gt;=$C$1),'General Inputs'!G$9*$H17,IF(AND(($D17+$C$1)&gt;AJ$4,AJ$4&gt;=$C$1),'General Inputs'!G$9*$G17,0))+IF(AND(($E17+$C$1)&gt;AJ$4,AJ$4&gt;=$C$1),'General Inputs'!G$10*$J17,IF(AND(($D17+$C$1)&gt;AJ$4,AJ$4&gt;=$C$1),'General Inputs'!G$10*$I17,0))</f>
        <v>4362.7970633447094</v>
      </c>
      <c r="AK17" s="214">
        <f>IF(AND(($E17+$C$1)&gt;AK$4,AK$4&gt;=$C$1),'General Inputs'!H$9*$H17,IF(AND(($D17+$C$1)&gt;AK$4,AK$4&gt;=$C$1),'General Inputs'!H$9*$G17,0))+IF(AND(($E17+$C$1)&gt;AK$4,AK$4&gt;=$C$1),'General Inputs'!H$10*$J17,IF(AND(($D17+$C$1)&gt;AK$4,AK$4&gt;=$C$1),'General Inputs'!H$10*$I17,0))</f>
        <v>4428.2390192948787</v>
      </c>
      <c r="AL17" s="214">
        <f>IF(AND(($E17+$C$1)&gt;AL$4,AL$4&gt;=$C$1),'General Inputs'!I$9*$H17,IF(AND(($D17+$C$1)&gt;AL$4,AL$4&gt;=$C$1),'General Inputs'!I$9*$G17,0))+IF(AND(($E17+$C$1)&gt;AL$4,AL$4&gt;=$C$1),'General Inputs'!I$10*$J17,IF(AND(($D17+$C$1)&gt;AL$4,AL$4&gt;=$C$1),'General Inputs'!I$10*$I17,0))</f>
        <v>4494.6626045843013</v>
      </c>
      <c r="AM17" s="214">
        <f>IF(AND(($E17+$C$1)&gt;AM$4,AM$4&gt;=$C$1),'General Inputs'!J$9*$H17,IF(AND(($D17+$C$1)&gt;AM$4,AM$4&gt;=$C$1),'General Inputs'!J$9*$G17,0))+IF(AND(($E17+$C$1)&gt;AM$4,AM$4&gt;=$C$1),'General Inputs'!J$10*$J17,IF(AND(($D17+$C$1)&gt;AM$4,AM$4&gt;=$C$1),'General Inputs'!J$10*$I17,0))</f>
        <v>4562.0825436530649</v>
      </c>
      <c r="AN17" s="214">
        <f>IF(AND(($E17+$C$1)&gt;AN$4,AN$4&gt;=$C$1),'General Inputs'!K$9*$H17,IF(AND(($D17+$C$1)&gt;AN$4,AN$4&gt;=$C$1),'General Inputs'!K$9*$G17,0))+IF(AND(($E17+$C$1)&gt;AN$4,AN$4&gt;=$C$1),'General Inputs'!K$10*$J17,IF(AND(($D17+$C$1)&gt;AN$4,AN$4&gt;=$C$1),'General Inputs'!K$10*$I17,0))</f>
        <v>4630.5137818078611</v>
      </c>
      <c r="AO17" s="214">
        <f>IF(AND(($E17+$C$1)&gt;AO$4,AO$4&gt;=$C$1),'General Inputs'!L$9*$H17,IF(AND(($D17+$C$1)&gt;AO$4,AO$4&gt;=$C$1),'General Inputs'!L$9*$G17,0))+IF(AND(($E17+$C$1)&gt;AO$4,AO$4&gt;=$C$1),'General Inputs'!L$10*$J17,IF(AND(($D17+$C$1)&gt;AO$4,AO$4&gt;=$C$1),'General Inputs'!L$10*$I17,0))</f>
        <v>4699.9714885349786</v>
      </c>
      <c r="AP17" s="214">
        <f>IF(AND(($E17+$C$1)&gt;AP$4,AP$4&gt;=$C$1),'General Inputs'!M$9*$H17,IF(AND(($D17+$C$1)&gt;AP$4,AP$4&gt;=$C$1),'General Inputs'!M$9*$G17,0))+IF(AND(($E17+$C$1)&gt;AP$4,AP$4&gt;=$C$1),'General Inputs'!M$10*$J17,IF(AND(($D17+$C$1)&gt;AP$4,AP$4&gt;=$C$1),'General Inputs'!M$10*$I17,0))</f>
        <v>4770.4710608630021</v>
      </c>
      <c r="AQ17" s="214">
        <f>IF(AND(($E17+$C$1)&gt;AQ$4,AQ$4&gt;=$C$1),'General Inputs'!N$9*$H17,IF(AND(($D17+$C$1)&gt;AQ$4,AQ$4&gt;=$C$1),'General Inputs'!N$9*$G17,0))+IF(AND(($E17+$C$1)&gt;AQ$4,AQ$4&gt;=$C$1),'General Inputs'!N$10*$J17,IF(AND(($D17+$C$1)&gt;AQ$4,AQ$4&gt;=$C$1),'General Inputs'!N$10*$I17,0))</f>
        <v>4842.0281267759474</v>
      </c>
      <c r="AR17" s="214">
        <f>IF(AND(($E17+$C$1)&gt;AR$4,AR$4&gt;=$C$1),'General Inputs'!O$9*$H17,IF(AND(($D17+$C$1)&gt;AR$4,AR$4&gt;=$C$1),'General Inputs'!O$9*$G17,0))+IF(AND(($E17+$C$1)&gt;AR$4,AR$4&gt;=$C$1),'General Inputs'!O$10*$J17,IF(AND(($D17+$C$1)&gt;AR$4,AR$4&gt;=$C$1),'General Inputs'!O$10*$I17,0))</f>
        <v>4914.6585486775857</v>
      </c>
      <c r="AS17" s="214">
        <f>IF(AND(($E17+$C$1)&gt;AS$4,AS$4&gt;=$C$1),'General Inputs'!P$9*$H17,IF(AND(($D17+$C$1)&gt;AS$4,AS$4&gt;=$C$1),'General Inputs'!P$9*$G17,0))+IF(AND(($E17+$C$1)&gt;AS$4,AS$4&gt;=$C$1),'General Inputs'!P$10*$J17,IF(AND(($D17+$C$1)&gt;AS$4,AS$4&gt;=$C$1),'General Inputs'!P$10*$I17,0))</f>
        <v>4988.3784269077487</v>
      </c>
      <c r="AT17" s="214">
        <f>IF(AND(($E17+$C$1)&gt;AT$4,AT$4&gt;=$C$1),'General Inputs'!Q$9*$H17,IF(AND(($D17+$C$1)&gt;AT$4,AT$4&gt;=$C$1),'General Inputs'!Q$9*$G17,0))+IF(AND(($E17+$C$1)&gt;AT$4,AT$4&gt;=$C$1),'General Inputs'!Q$10*$J17,IF(AND(($D17+$C$1)&gt;AT$4,AT$4&gt;=$C$1),'General Inputs'!Q$10*$I17,0))</f>
        <v>5063.2041033113646</v>
      </c>
      <c r="AU17" s="214">
        <f>IF(AND(($E17+$C$1)&gt;AU$4,AU$4&gt;=$C$1),'General Inputs'!R$9*$H17,IF(AND(($D17+$C$1)&gt;AU$4,AU$4&gt;=$C$1),'General Inputs'!R$9*$G17,0))+IF(AND(($E17+$C$1)&gt;AU$4,AU$4&gt;=$C$1),'General Inputs'!R$10*$J17,IF(AND(($D17+$C$1)&gt;AU$4,AU$4&gt;=$C$1),'General Inputs'!R$10*$I17,0))</f>
        <v>5139.1521648610351</v>
      </c>
      <c r="AV17" s="214">
        <f>IF(AND(($E17+$C$1)&gt;AV$4,AV$4&gt;=$C$1),'General Inputs'!S$9*$H17,IF(AND(($D17+$C$1)&gt;AV$4,AV$4&gt;=$C$1),'General Inputs'!S$9*$G17,0))+IF(AND(($E17+$C$1)&gt;AV$4,AV$4&gt;=$C$1),'General Inputs'!S$10*$J17,IF(AND(($D17+$C$1)&gt;AV$4,AV$4&gt;=$C$1),'General Inputs'!S$10*$I17,0))</f>
        <v>5216.23944733395</v>
      </c>
      <c r="AW17" s="214">
        <f>IF(AND(($E17+$C$1)&gt;AW$4,AW$4&gt;=$C$1),'General Inputs'!T$9*$H17,IF(AND(($D17+$C$1)&gt;AW$4,AW$4&gt;=$C$1),'General Inputs'!T$9*$G17,0))+IF(AND(($E17+$C$1)&gt;AW$4,AW$4&gt;=$C$1),'General Inputs'!T$10*$J17,IF(AND(($D17+$C$1)&gt;AW$4,AW$4&gt;=$C$1),'General Inputs'!T$10*$I17,0))</f>
        <v>5294.4830390439593</v>
      </c>
      <c r="AX17" s="214">
        <f>IF(AND(($E17+$C$1)&gt;AX$4,AX$4&gt;=$C$1),'General Inputs'!U$9*$H17,IF(AND(($D17+$C$1)&gt;AX$4,AX$4&gt;=$C$1),'General Inputs'!U$9*$G17,0))+IF(AND(($E17+$C$1)&gt;AX$4,AX$4&gt;=$C$1),'General Inputs'!U$10*$J17,IF(AND(($D17+$C$1)&gt;AX$4,AX$4&gt;=$C$1),'General Inputs'!U$10*$I17,0))</f>
        <v>5373.900284629618</v>
      </c>
      <c r="AY17" s="214">
        <f>IF(AND(($E17+$C$1)&gt;AY$4,AY$4&gt;=$C$1),'General Inputs'!V$9*$H17,IF(AND(($D17+$C$1)&gt;AY$4,AY$4&gt;=$C$1),'General Inputs'!V$9*$G17,0))+IF(AND(($E17+$C$1)&gt;AY$4,AY$4&gt;=$C$1),'General Inputs'!V$10*$J17,IF(AND(($D17+$C$1)&gt;AY$4,AY$4&gt;=$C$1),'General Inputs'!V$10*$I17,0))</f>
        <v>5454.508788899062</v>
      </c>
      <c r="AZ17" s="214">
        <f>IF(AND(($E17+$C$1)&gt;AZ$4,AZ$4&gt;=$C$1),'General Inputs'!W$9*$H17,IF(AND(($D17+$C$1)&gt;AZ$4,AZ$4&gt;=$C$1),'General Inputs'!W$9*$G17,0))+IF(AND(($E17+$C$1)&gt;AZ$4,AZ$4&gt;=$C$1),'General Inputs'!W$10*$J17,IF(AND(($D17+$C$1)&gt;AZ$4,AZ$4&gt;=$C$1),'General Inputs'!W$10*$I17,0))</f>
        <v>5536.3264207325474</v>
      </c>
      <c r="BB17" s="214">
        <f>IF(AND(($E17+$C$1)&gt;BB$4,BB$4&gt;=$C$1),'General Inputs'!D$11*$H17,IF(AND(($D17+$C$1)&gt;BB$4,BB$4&gt;=$C$1),'General Inputs'!D$11*$G17,0))</f>
        <v>0</v>
      </c>
      <c r="BC17" s="214">
        <f>IF(AND(($E17+$C$1)&gt;BC$4,BC$4&gt;=$C$1),'General Inputs'!E$11*$H17,IF(AND(($D17+$C$1)&gt;BC$4,BC$4&gt;=$C$1),'General Inputs'!E$11*$G17,0))</f>
        <v>0</v>
      </c>
      <c r="BD17" s="214">
        <f>IF(AND(($E17+$C$1)&gt;BD$4,BD$4&gt;=$C$1),'General Inputs'!F$11*$H17,IF(AND(($D17+$C$1)&gt;BD$4,BD$4&gt;=$C$1),'General Inputs'!F$11*$G17,0))</f>
        <v>857.23796290305586</v>
      </c>
      <c r="BE17" s="214">
        <f>IF(AND(($E17+$C$1)&gt;BE$4,BE$4&gt;=$C$1),'General Inputs'!G$11*$H17,IF(AND(($D17+$C$1)&gt;BE$4,BE$4&gt;=$C$1),'General Inputs'!G$11*$G17,0))</f>
        <v>857.23796290305586</v>
      </c>
      <c r="BF17" s="214">
        <f>IF(AND(($E17+$C$1)&gt;BF$4,BF$4&gt;=$C$1),'General Inputs'!H$11*$H17,IF(AND(($D17+$C$1)&gt;BF$4,BF$4&gt;=$C$1),'General Inputs'!H$11*$G17,0))</f>
        <v>857.23796290305586</v>
      </c>
      <c r="BG17" s="214">
        <f>IF(AND(($E17+$C$1)&gt;BG$4,BG$4&gt;=$C$1),'General Inputs'!I$11*$H17,IF(AND(($D17+$C$1)&gt;BG$4,BG$4&gt;=$C$1),'General Inputs'!I$11*$G17,0))</f>
        <v>857.23796290305586</v>
      </c>
      <c r="BH17" s="214">
        <f>IF(AND(($E17+$C$1)&gt;BH$4,BH$4&gt;=$C$1),'General Inputs'!J$11*$H17,IF(AND(($D17+$C$1)&gt;BH$4,BH$4&gt;=$C$1),'General Inputs'!J$11*$G17,0))</f>
        <v>857.23796290305586</v>
      </c>
      <c r="BI17" s="214">
        <f>IF(AND(($E17+$C$1)&gt;BI$4,BI$4&gt;=$C$1),'General Inputs'!K$11*$H17,IF(AND(($D17+$C$1)&gt;BI$4,BI$4&gt;=$C$1),'General Inputs'!K$11*$G17,0))</f>
        <v>857.23796290305586</v>
      </c>
      <c r="BJ17" s="214">
        <f>IF(AND(($E17+$C$1)&gt;BJ$4,BJ$4&gt;=$C$1),'General Inputs'!L$11*$H17,IF(AND(($D17+$C$1)&gt;BJ$4,BJ$4&gt;=$C$1),'General Inputs'!L$11*$G17,0))</f>
        <v>857.23796290305586</v>
      </c>
      <c r="BK17" s="214">
        <f>IF(AND(($E17+$C$1)&gt;BK$4,BK$4&gt;=$C$1),'General Inputs'!M$11*$H17,IF(AND(($D17+$C$1)&gt;BK$4,BK$4&gt;=$C$1),'General Inputs'!M$11*$G17,0))</f>
        <v>857.23796290305586</v>
      </c>
      <c r="BL17" s="214">
        <f>IF(AND(($E17+$C$1)&gt;BL$4,BL$4&gt;=$C$1),'General Inputs'!N$11*$H17,IF(AND(($D17+$C$1)&gt;BL$4,BL$4&gt;=$C$1),'General Inputs'!N$11*$G17,0))</f>
        <v>857.23796290305586</v>
      </c>
      <c r="BM17" s="214">
        <f>IF(AND(($E17+$C$1)&gt;BM$4,BM$4&gt;=$C$1),'General Inputs'!O$11*$H17,IF(AND(($D17+$C$1)&gt;BM$4,BM$4&gt;=$C$1),'General Inputs'!O$11*$G17,0))</f>
        <v>857.23796290305586</v>
      </c>
      <c r="BN17" s="214">
        <f>IF(AND(($E17+$C$1)&gt;BN$4,BN$4&gt;=$C$1),'General Inputs'!P$11*$H17,IF(AND(($D17+$C$1)&gt;BN$4,BN$4&gt;=$C$1),'General Inputs'!P$11*$G17,0))</f>
        <v>857.23796290305586</v>
      </c>
      <c r="BO17" s="214">
        <f>IF(AND(($E17+$C$1)&gt;BO$4,BO$4&gt;=$C$1),'General Inputs'!Q$11*$H17,IF(AND(($D17+$C$1)&gt;BO$4,BO$4&gt;=$C$1),'General Inputs'!Q$11*$G17,0))</f>
        <v>857.23796290305586</v>
      </c>
      <c r="BP17" s="214">
        <f>IF(AND(($E17+$C$1)&gt;BP$4,BP$4&gt;=$C$1),'General Inputs'!R$11*$H17,IF(AND(($D17+$C$1)&gt;BP$4,BP$4&gt;=$C$1),'General Inputs'!R$11*$G17,0))</f>
        <v>857.23796290305586</v>
      </c>
      <c r="BQ17" s="214">
        <f>IF(AND(($E17+$C$1)&gt;BQ$4,BQ$4&gt;=$C$1),'General Inputs'!S$11*$H17,IF(AND(($D17+$C$1)&gt;BQ$4,BQ$4&gt;=$C$1),'General Inputs'!S$11*$G17,0))</f>
        <v>857.23796290305586</v>
      </c>
      <c r="BR17" s="214">
        <f>IF(AND(($E17+$C$1)&gt;BR$4,BR$4&gt;=$C$1),'General Inputs'!T$11*$H17,IF(AND(($D17+$C$1)&gt;BR$4,BR$4&gt;=$C$1),'General Inputs'!T$11*$G17,0))</f>
        <v>857.23796290305586</v>
      </c>
      <c r="BS17" s="214">
        <f>IF(AND(($E17+$C$1)&gt;BS$4,BS$4&gt;=$C$1),'General Inputs'!U$11*$H17,IF(AND(($D17+$C$1)&gt;BS$4,BS$4&gt;=$C$1),'General Inputs'!U$11*$G17,0))</f>
        <v>857.23796290305586</v>
      </c>
      <c r="BT17" s="214">
        <f>IF(AND(($E17+$C$1)&gt;BT$4,BT$4&gt;=$C$1),'General Inputs'!V$11*$H17,IF(AND(($D17+$C$1)&gt;BT$4,BT$4&gt;=$C$1),'General Inputs'!V$11*$G17,0))</f>
        <v>857.23796290305586</v>
      </c>
      <c r="BU17" s="214">
        <f>IF(AND(($E17+$C$1)&gt;BU$4,BU$4&gt;=$C$1),'General Inputs'!W$11*$H17,IF(AND(($D17+$C$1)&gt;BU$4,BU$4&gt;=$C$1),'General Inputs'!W$11*$G17,0))</f>
        <v>857.23796290305586</v>
      </c>
      <c r="BW17" s="214">
        <f>IF(AND(($E17+$C$1)&gt;BW$4,BW$4&gt;=$C$1),$H17,IF(AND(($D17+$C$1)&gt;BW$4,BW$4&gt;=$C$1),$G17,0))*IF($A17="Residential",'General Inputs'!D$14,'General Inputs'!D$19)</f>
        <v>0</v>
      </c>
      <c r="BX17" s="214">
        <f>IF(AND(($E17+$C$1)&gt;BX$4,BX$4&gt;=$C$1),$H17,IF(AND(($D17+$C$1)&gt;BX$4,BX$4&gt;=$C$1),$G17,0))*IF($A17="Residential",'General Inputs'!E$14,'General Inputs'!E$19)</f>
        <v>0</v>
      </c>
      <c r="BY17" s="214">
        <f>IF(AND(($E17+$C$1)&gt;BY$4,BY$4&gt;=$C$1),$H17,IF(AND(($D17+$C$1)&gt;BY$4,BY$4&gt;=$C$1),$G17,0))*IF($A17="Residential",'General Inputs'!F$14,'General Inputs'!F$19)</f>
        <v>10398.708050829211</v>
      </c>
      <c r="BZ17" s="214">
        <f>IF(AND(($E17+$C$1)&gt;BZ$4,BZ$4&gt;=$C$1),$H17,IF(AND(($D17+$C$1)&gt;BZ$4,BZ$4&gt;=$C$1),$G17,0))*IF($A17="Residential",'General Inputs'!G$14,'General Inputs'!G$19)</f>
        <v>10554.688671591648</v>
      </c>
      <c r="CA17" s="214">
        <f>IF(AND(($E17+$C$1)&gt;CA$4,CA$4&gt;=$C$1),$H17,IF(AND(($D17+$C$1)&gt;CA$4,CA$4&gt;=$C$1),$G17,0))*IF($A17="Residential",'General Inputs'!H$14,'General Inputs'!H$19)</f>
        <v>10713.009001665521</v>
      </c>
      <c r="CB17" s="214">
        <f>IF(AND(($E17+$C$1)&gt;CB$4,CB$4&gt;=$C$1),$H17,IF(AND(($D17+$C$1)&gt;CB$4,CB$4&gt;=$C$1),$G17,0))*IF($A17="Residential",'General Inputs'!I$14,'General Inputs'!I$19)</f>
        <v>10873.704136690503</v>
      </c>
      <c r="CC17" s="214">
        <f>IF(AND(($E17+$C$1)&gt;CC$4,CC$4&gt;=$C$1),$H17,IF(AND(($D17+$C$1)&gt;CC$4,CC$4&gt;=$C$1),$G17,0))*IF($A17="Residential",'General Inputs'!J$14,'General Inputs'!J$19)</f>
        <v>11036.809698740859</v>
      </c>
      <c r="CD17" s="214">
        <f>IF(AND(($E17+$C$1)&gt;CD$4,CD$4&gt;=$C$1),$H17,IF(AND(($D17+$C$1)&gt;CD$4,CD$4&gt;=$C$1),$G17,0))*IF($A17="Residential",'General Inputs'!K$14,'General Inputs'!K$19)</f>
        <v>11202.36184422197</v>
      </c>
      <c r="CE17" s="214">
        <f>IF(AND(($E17+$C$1)&gt;CE$4,CE$4&gt;=$C$1),$H17,IF(AND(($D17+$C$1)&gt;CE$4,CE$4&gt;=$C$1),$G17,0))*IF($A17="Residential",'General Inputs'!L$14,'General Inputs'!L$19)</f>
        <v>11370.397271885298</v>
      </c>
      <c r="CF17" s="214">
        <f>IF(AND(($E17+$C$1)&gt;CF$4,CF$4&gt;=$C$1),$H17,IF(AND(($D17+$C$1)&gt;CF$4,CF$4&gt;=$C$1),$G17,0))*IF($A17="Residential",'General Inputs'!M$14,'General Inputs'!M$19)</f>
        <v>11540.953230963576</v>
      </c>
      <c r="CG17" s="214">
        <f>IF(AND(($E17+$C$1)&gt;CG$4,CG$4&gt;=$C$1),$H17,IF(AND(($D17+$C$1)&gt;CG$4,CG$4&gt;=$C$1),$G17,0))*IF($A17="Residential",'General Inputs'!N$14,'General Inputs'!N$19)</f>
        <v>11714.06752942803</v>
      </c>
      <c r="CH17" s="214">
        <f>IF(AND(($E17+$C$1)&gt;CH$4,CH$4&gt;=$C$1),$H17,IF(AND(($D17+$C$1)&gt;CH$4,CH$4&gt;=$C$1),$G17,0))*IF($A17="Residential",'General Inputs'!O$14,'General Inputs'!O$19)</f>
        <v>11889.778542369448</v>
      </c>
      <c r="CI17" s="214">
        <f>IF(AND(($E17+$C$1)&gt;CI$4,CI$4&gt;=$C$1),$H17,IF(AND(($D17+$C$1)&gt;CI$4,CI$4&gt;=$C$1),$G17,0))*IF($A17="Residential",'General Inputs'!P$14,'General Inputs'!P$19)</f>
        <v>12068.12522050499</v>
      </c>
      <c r="CJ17" s="214">
        <f>IF(AND(($E17+$C$1)&gt;CJ$4,CJ$4&gt;=$C$1),$H17,IF(AND(($D17+$C$1)&gt;CJ$4,CJ$4&gt;=$C$1),$G17,0))*IF($A17="Residential",'General Inputs'!Q$14,'General Inputs'!Q$19)</f>
        <v>12249.147098812562</v>
      </c>
      <c r="CK17" s="214">
        <f>IF(AND(($E17+$C$1)&gt;CK$4,CK$4&gt;=$C$1),$H17,IF(AND(($D17+$C$1)&gt;CK$4,CK$4&gt;=$C$1),$G17,0))*IF($A17="Residential",'General Inputs'!R$14,'General Inputs'!R$19)</f>
        <v>12432.884305294749</v>
      </c>
      <c r="CL17" s="214">
        <f>IF(AND(($E17+$C$1)&gt;CL$4,CL$4&gt;=$C$1),$H17,IF(AND(($D17+$C$1)&gt;CL$4,CL$4&gt;=$C$1),$G17,0))*IF($A17="Residential",'General Inputs'!S$14,'General Inputs'!S$19)</f>
        <v>12619.37756987417</v>
      </c>
      <c r="CM17" s="214">
        <f>IF(AND(($E17+$C$1)&gt;CM$4,CM$4&gt;=$C$1),$H17,IF(AND(($D17+$C$1)&gt;CM$4,CM$4&gt;=$C$1),$G17,0))*IF($A17="Residential",'General Inputs'!T$14,'General Inputs'!T$19)</f>
        <v>12808.668233422281</v>
      </c>
      <c r="CN17" s="214">
        <f>IF(AND(($E17+$C$1)&gt;CN$4,CN$4&gt;=$C$1),$H17,IF(AND(($D17+$C$1)&gt;CN$4,CN$4&gt;=$C$1),$G17,0))*IF($A17="Residential",'General Inputs'!U$14,'General Inputs'!U$19)</f>
        <v>13000.798256923614</v>
      </c>
      <c r="CO17" s="214">
        <f>IF(AND(($E17+$C$1)&gt;CO$4,CO$4&gt;=$C$1),$H17,IF(AND(($D17+$C$1)&gt;CO$4,CO$4&gt;=$C$1),$G17,0))*IF($A17="Residential",'General Inputs'!V$14,'General Inputs'!V$19)</f>
        <v>13195.810230777466</v>
      </c>
      <c r="CP17" s="214">
        <f>IF(AND(($E17+$C$1)&gt;CP$4,CP$4&gt;=$C$1),$H17,IF(AND(($D17+$C$1)&gt;CP$4,CP$4&gt;=$C$1),$G17,0))*IF($A17="Residential",'General Inputs'!W$14,'General Inputs'!W$19)</f>
        <v>13393.747384239128</v>
      </c>
      <c r="CR17" s="214">
        <f>IF(AND(($E17+$C$1)&gt;CR$4,CR$4&gt;=$C$1),$H17,IF(AND(($D17+$C$1)&gt;CR$4,CR$4&gt;=$C$1),$G17,0))*IF($A17="Residential",'General Inputs'!D$15,'General Inputs'!D$19)</f>
        <v>0</v>
      </c>
      <c r="CS17" s="214">
        <f>IF(AND(($E17+$C$1)&gt;CS$4,CS$4&gt;=$C$1),$H17,IF(AND(($D17+$C$1)&gt;CS$4,CS$4&gt;=$C$1),$G17,0))*IF($A17="Residential",'General Inputs'!E$15,'General Inputs'!E$19)</f>
        <v>0</v>
      </c>
      <c r="CT17" s="214">
        <f>IF(AND(($E17+$C$1)&gt;CT$4,CT$4&gt;=$C$1),$H17,IF(AND(($D17+$C$1)&gt;CT$4,CT$4&gt;=$C$1),$G17,0))*IF($A17="Residential",'General Inputs'!F$15,'General Inputs'!F$19)</f>
        <v>8459.4350987995094</v>
      </c>
      <c r="CU17" s="214">
        <f>IF(AND(($E17+$C$1)&gt;CU$4,CU$4&gt;=$C$1),$H17,IF(AND(($D17+$C$1)&gt;CU$4,CU$4&gt;=$C$1),$G17,0))*IF($A17="Residential",'General Inputs'!G$15,'General Inputs'!G$19)</f>
        <v>8586.326625281501</v>
      </c>
      <c r="CV17" s="214">
        <f>IF(AND(($E17+$C$1)&gt;CV$4,CV$4&gt;=$C$1),$H17,IF(AND(($D17+$C$1)&gt;CV$4,CV$4&gt;=$C$1),$G17,0))*IF($A17="Residential",'General Inputs'!H$15,'General Inputs'!H$19)</f>
        <v>8715.1215246607244</v>
      </c>
      <c r="CW17" s="214">
        <f>IF(AND(($E17+$C$1)&gt;CW$4,CW$4&gt;=$C$1),$H17,IF(AND(($D17+$C$1)&gt;CW$4,CW$4&gt;=$C$1),$G17,0))*IF($A17="Residential",'General Inputs'!I$15,'General Inputs'!I$19)</f>
        <v>8845.848347530633</v>
      </c>
      <c r="CX17" s="214">
        <f>IF(AND(($E17+$C$1)&gt;CX$4,CX$4&gt;=$C$1),$H17,IF(AND(($D17+$C$1)&gt;CX$4,CX$4&gt;=$C$1),$G17,0))*IF($A17="Residential",'General Inputs'!J$15,'General Inputs'!J$19)</f>
        <v>8978.5360727435927</v>
      </c>
      <c r="CY17" s="214">
        <f>IF(AND(($E17+$C$1)&gt;CY$4,CY$4&gt;=$C$1),$H17,IF(AND(($D17+$C$1)&gt;CY$4,CY$4&gt;=$C$1),$G17,0))*IF($A17="Residential",'General Inputs'!K$15,'General Inputs'!K$19)</f>
        <v>9113.2141138347451</v>
      </c>
      <c r="CZ17" s="214">
        <f>IF(AND(($E17+$C$1)&gt;CZ$4,CZ$4&gt;=$C$1),$H17,IF(AND(($D17+$C$1)&gt;CZ$4,CZ$4&gt;=$C$1),$G17,0))*IF($A17="Residential",'General Inputs'!L$15,'General Inputs'!L$19)</f>
        <v>9249.9123255422655</v>
      </c>
      <c r="DA17" s="214">
        <f>IF(AND(($E17+$C$1)&gt;DA$4,DA$4&gt;=$C$1),$H17,IF(AND(($D17+$C$1)&gt;DA$4,DA$4&gt;=$C$1),$G17,0))*IF($A17="Residential",'General Inputs'!M$15,'General Inputs'!M$19)</f>
        <v>9388.6610104253978</v>
      </c>
      <c r="DB17" s="214">
        <f>IF(AND(($E17+$C$1)&gt;DB$4,DB$4&gt;=$C$1),$H17,IF(AND(($D17+$C$1)&gt;DB$4,DB$4&gt;=$C$1),$G17,0))*IF($A17="Residential",'General Inputs'!N$15,'General Inputs'!N$19)</f>
        <v>9529.4909255817784</v>
      </c>
      <c r="DC17" s="214">
        <f>IF(AND(($E17+$C$1)&gt;DC$4,DC$4&gt;=$C$1),$H17,IF(AND(($D17+$C$1)&gt;DC$4,DC$4&gt;=$C$1),$G17,0))*IF($A17="Residential",'General Inputs'!O$15,'General Inputs'!O$19)</f>
        <v>9672.4332894655035</v>
      </c>
      <c r="DD17" s="214">
        <f>IF(AND(($E17+$C$1)&gt;DD$4,DD$4&gt;=$C$1),$H17,IF(AND(($D17+$C$1)&gt;DD$4,DD$4&gt;=$C$1),$G17,0))*IF($A17="Residential",'General Inputs'!P$15,'General Inputs'!P$19)</f>
        <v>9817.5197888074854</v>
      </c>
      <c r="DE17" s="214">
        <f>IF(AND(($E17+$C$1)&gt;DE$4,DE$4&gt;=$C$1),$H17,IF(AND(($D17+$C$1)&gt;DE$4,DE$4&gt;=$C$1),$G17,0))*IF($A17="Residential",'General Inputs'!Q$15,'General Inputs'!Q$19)</f>
        <v>9964.7825856395975</v>
      </c>
      <c r="DF17" s="214">
        <f>IF(AND(($E17+$C$1)&gt;DF$4,DF$4&gt;=$C$1),$H17,IF(AND(($D17+$C$1)&gt;DF$4,DF$4&gt;=$C$1),$G17,0))*IF($A17="Residential",'General Inputs'!R$15,'General Inputs'!R$19)</f>
        <v>10114.25432442419</v>
      </c>
      <c r="DG17" s="214">
        <f>IF(AND(($E17+$C$1)&gt;DG$4,DG$4&gt;=$C$1),$H17,IF(AND(($D17+$C$1)&gt;DG$4,DG$4&gt;=$C$1),$G17,0))*IF($A17="Residential",'General Inputs'!S$15,'General Inputs'!S$19)</f>
        <v>10265.968139290551</v>
      </c>
      <c r="DH17" s="214">
        <f>IF(AND(($E17+$C$1)&gt;DH$4,DH$4&gt;=$C$1),$H17,IF(AND(($D17+$C$1)&gt;DH$4,DH$4&gt;=$C$1),$G17,0))*IF($A17="Residential",'General Inputs'!T$15,'General Inputs'!T$19)</f>
        <v>10419.957661379909</v>
      </c>
      <c r="DI17" s="214">
        <f>IF(AND(($E17+$C$1)&gt;DI$4,DI$4&gt;=$C$1),$H17,IF(AND(($D17+$C$1)&gt;DI$4,DI$4&gt;=$C$1),$G17,0))*IF($A17="Residential",'General Inputs'!U$15,'General Inputs'!U$19)</f>
        <v>10576.257026300606</v>
      </c>
      <c r="DJ17" s="214">
        <f>IF(AND(($E17+$C$1)&gt;DJ$4,DJ$4&gt;=$C$1),$H17,IF(AND(($D17+$C$1)&gt;DJ$4,DJ$4&gt;=$C$1),$G17,0))*IF($A17="Residential",'General Inputs'!V$15,'General Inputs'!V$19)</f>
        <v>10734.900881695114</v>
      </c>
      <c r="DK17" s="214">
        <f>IF(AND(($E17+$C$1)&gt;DK$4,DK$4&gt;=$C$1),$H17,IF(AND(($D17+$C$1)&gt;DK$4,DK$4&gt;=$C$1),$G17,0))*IF($A17="Residential",'General Inputs'!W$15,'General Inputs'!W$19)</f>
        <v>10895.924394920539</v>
      </c>
      <c r="DM17" s="214">
        <f t="shared" ref="DM17:DW32" si="47">IF($C$1=DM$4,$L17*$C17,IF($E17+$C$1=DM$4,-$M17*$C17,0))</f>
        <v>0</v>
      </c>
      <c r="DN17" s="214">
        <f t="shared" si="27"/>
        <v>0</v>
      </c>
      <c r="DO17" s="214">
        <f t="shared" si="27"/>
        <v>44071.237208667088</v>
      </c>
      <c r="DP17" s="214">
        <f t="shared" si="27"/>
        <v>0</v>
      </c>
      <c r="DQ17" s="214">
        <f t="shared" si="27"/>
        <v>0</v>
      </c>
      <c r="DR17" s="214">
        <f t="shared" si="27"/>
        <v>0</v>
      </c>
      <c r="DS17" s="214">
        <f t="shared" si="27"/>
        <v>0</v>
      </c>
      <c r="DT17" s="214">
        <f t="shared" si="27"/>
        <v>0</v>
      </c>
      <c r="DU17" s="214">
        <f t="shared" si="27"/>
        <v>0</v>
      </c>
      <c r="DV17" s="214">
        <f t="shared" si="27"/>
        <v>0</v>
      </c>
      <c r="DW17" s="214">
        <f t="shared" si="27"/>
        <v>0</v>
      </c>
      <c r="DZ17" s="650"/>
      <c r="FI17" s="195"/>
      <c r="FJ17" s="195"/>
      <c r="FK17" s="195"/>
      <c r="FL17" s="195"/>
      <c r="FM17" s="195"/>
      <c r="FN17" s="195"/>
      <c r="FO17" s="195"/>
    </row>
    <row r="18" spans="1:171">
      <c r="A18" s="342" t="s">
        <v>12</v>
      </c>
      <c r="B18" s="427" t="str">
        <f>'Portfolio Inputs'!A17</f>
        <v>Early Retirement Heat Pump SEER 15</v>
      </c>
      <c r="C18" s="217">
        <f>IF($C$1=2014,'Portfolio Inputs'!$C17,IF($C$1=2015,'Portfolio Inputs'!$D17,'Portfolio Inputs'!$E17))</f>
        <v>30</v>
      </c>
      <c r="D18" s="504">
        <f>VLOOKUP(B18,Sources!$B$4:$J$104,2,FALSE)</f>
        <v>18</v>
      </c>
      <c r="E18" s="504">
        <f>VLOOKUP(B18,Sources!$B$4:$J$104,3,FALSE)</f>
        <v>8</v>
      </c>
      <c r="G18" s="504">
        <f>IF($C$1=2014,'Portfolio Inputs'!$G17,IF($C$1=2015,'Portfolio Inputs'!$H17,'Portfolio Inputs'!$I17))*EnergyLineLoss</f>
        <v>15039.262507071153</v>
      </c>
      <c r="H18" s="504">
        <f>VLOOKUP($B18,Sources!$B$4:$K$104,6,FALSE)*C18*EnergyLineLoss</f>
        <v>103300.46894117648</v>
      </c>
      <c r="I18" s="504">
        <f>IF($C$1=2014,'Portfolio Inputs'!$K17,IF($C$1=2015,'Portfolio Inputs'!$L17,'Portfolio Inputs'!$M17))*PeakLineLoss</f>
        <v>15.74032078466155</v>
      </c>
      <c r="J18" s="510">
        <f>VLOOKUP($B18,Sources!$B$4:$K$104,8,FALSE)*C18*PeakLineLoss</f>
        <v>60.120571580562668</v>
      </c>
      <c r="L18" s="606">
        <f>IF($C$1=2014,'Portfolio Inputs'!$O17,IF($C$1=2015,'Portfolio Inputs'!$P17,'Portfolio Inputs'!$Q17))</f>
        <v>2480.1501390380126</v>
      </c>
      <c r="M18" s="518">
        <f>VLOOKUP($B18,Sources!$B$4:$K$104,10,FALSE)</f>
        <v>2186.3418909802322</v>
      </c>
      <c r="N18" s="419">
        <f>IF($C$1=2014,'Portfolio Inputs'!$W17,IF($C$1=2015,'Portfolio Inputs'!$X17,'Portfolio Inputs'!$Y17))</f>
        <v>18000</v>
      </c>
      <c r="O18" s="419"/>
      <c r="Q18" s="438">
        <f t="shared" si="0"/>
        <v>0.88661214404034649</v>
      </c>
      <c r="R18" s="439">
        <f t="shared" si="1"/>
        <v>2.024324941407075</v>
      </c>
      <c r="S18" s="439">
        <f t="shared" si="2"/>
        <v>1.0751606404508034</v>
      </c>
      <c r="T18" s="439">
        <f t="shared" si="3"/>
        <v>2.8595030265542936</v>
      </c>
      <c r="U18" s="439">
        <f t="shared" si="44"/>
        <v>2.4079088758394231</v>
      </c>
      <c r="V18" s="439">
        <f t="shared" si="45"/>
        <v>0.31005812401909422</v>
      </c>
      <c r="W18" s="439">
        <f t="shared" si="46"/>
        <v>0.36820834581261458</v>
      </c>
      <c r="Y18" s="215">
        <f t="shared" si="4"/>
        <v>30759.244547295915</v>
      </c>
      <c r="Z18" s="215">
        <f t="shared" si="5"/>
        <v>6541.3149922411549</v>
      </c>
      <c r="AA18" s="215">
        <f t="shared" si="6"/>
        <v>84009.953155161624</v>
      </c>
      <c r="AB18" s="215">
        <f t="shared" si="7"/>
        <v>68342.792479168231</v>
      </c>
      <c r="AC18" s="216">
        <f t="shared" si="20"/>
        <v>0</v>
      </c>
      <c r="AD18" s="216">
        <f t="shared" si="21"/>
        <v>15194.815771975655</v>
      </c>
      <c r="AE18" s="215">
        <f t="shared" si="8"/>
        <v>34693.010640621425</v>
      </c>
      <c r="AG18" s="214">
        <f>IF(AND(($E18+$C$1)&gt;AG$4,AG$4&gt;=$C$1),'General Inputs'!D$9*$H18,IF(AND(($D18+$C$1)&gt;AG$4,AG$4&gt;=$C$1),'General Inputs'!D$9*$G18,0))+IF(AND(($E18+$C$1)&gt;AG$4,AG$4&gt;=$C$1),'General Inputs'!D$10*$J18,IF(AND(($D18+$C$1)&gt;AG$4,AG$4&gt;=$C$1),'General Inputs'!D$10*$I18,0))</f>
        <v>0</v>
      </c>
      <c r="AH18" s="214">
        <f>IF(AND(($E18+$C$1)&gt;AH$4,AH$4&gt;=$C$1),'General Inputs'!E$9*$H18,IF(AND(($D18+$C$1)&gt;AH$4,AH$4&gt;=$C$1),'General Inputs'!E$9*$G18,0))+IF(AND(($E18+$C$1)&gt;AH$4,AH$4&gt;=$C$1),'General Inputs'!E$10*$J18,IF(AND(($D18+$C$1)&gt;AH$4,AH$4&gt;=$C$1),'General Inputs'!E$10*$I18,0))</f>
        <v>0</v>
      </c>
      <c r="AI18" s="214">
        <f>IF(AND(($E18+$C$1)&gt;AI$4,AI$4&gt;=$C$1),'General Inputs'!F$9*$H18,IF(AND(($D18+$C$1)&gt;AI$4,AI$4&gt;=$C$1),'General Inputs'!F$9*$G18,0))+IF(AND(($E18+$C$1)&gt;AI$4,AI$4&gt;=$C$1),'General Inputs'!F$10*$J18,IF(AND(($D18+$C$1)&gt;AI$4,AI$4&gt;=$C$1),'General Inputs'!F$10*$I18,0))</f>
        <v>5164.3881709831512</v>
      </c>
      <c r="AJ18" s="214">
        <f>IF(AND(($E18+$C$1)&gt;AJ$4,AJ$4&gt;=$C$1),'General Inputs'!G$9*$H18,IF(AND(($D18+$C$1)&gt;AJ$4,AJ$4&gt;=$C$1),'General Inputs'!G$9*$G18,0))+IF(AND(($E18+$C$1)&gt;AJ$4,AJ$4&gt;=$C$1),'General Inputs'!G$10*$J18,IF(AND(($D18+$C$1)&gt;AJ$4,AJ$4&gt;=$C$1),'General Inputs'!G$10*$I18,0))</f>
        <v>5241.8539935478984</v>
      </c>
      <c r="AK18" s="214">
        <f>IF(AND(($E18+$C$1)&gt;AK$4,AK$4&gt;=$C$1),'General Inputs'!H$9*$H18,IF(AND(($D18+$C$1)&gt;AK$4,AK$4&gt;=$C$1),'General Inputs'!H$9*$G18,0))+IF(AND(($E18+$C$1)&gt;AK$4,AK$4&gt;=$C$1),'General Inputs'!H$10*$J18,IF(AND(($D18+$C$1)&gt;AK$4,AK$4&gt;=$C$1),'General Inputs'!H$10*$I18,0))</f>
        <v>5320.4818034511163</v>
      </c>
      <c r="AL18" s="214">
        <f>IF(AND(($E18+$C$1)&gt;AL$4,AL$4&gt;=$C$1),'General Inputs'!I$9*$H18,IF(AND(($D18+$C$1)&gt;AL$4,AL$4&gt;=$C$1),'General Inputs'!I$9*$G18,0))+IF(AND(($E18+$C$1)&gt;AL$4,AL$4&gt;=$C$1),'General Inputs'!I$10*$J18,IF(AND(($D18+$C$1)&gt;AL$4,AL$4&gt;=$C$1),'General Inputs'!I$10*$I18,0))</f>
        <v>5400.2890305028823</v>
      </c>
      <c r="AM18" s="214">
        <f>IF(AND(($E18+$C$1)&gt;AM$4,AM$4&gt;=$C$1),'General Inputs'!J$9*$H18,IF(AND(($D18+$C$1)&gt;AM$4,AM$4&gt;=$C$1),'General Inputs'!J$9*$G18,0))+IF(AND(($E18+$C$1)&gt;AM$4,AM$4&gt;=$C$1),'General Inputs'!J$10*$J18,IF(AND(($D18+$C$1)&gt;AM$4,AM$4&gt;=$C$1),'General Inputs'!J$10*$I18,0))</f>
        <v>5481.293365960425</v>
      </c>
      <c r="AN18" s="214">
        <f>IF(AND(($E18+$C$1)&gt;AN$4,AN$4&gt;=$C$1),'General Inputs'!K$9*$H18,IF(AND(($D18+$C$1)&gt;AN$4,AN$4&gt;=$C$1),'General Inputs'!K$9*$G18,0))+IF(AND(($E18+$C$1)&gt;AN$4,AN$4&gt;=$C$1),'General Inputs'!K$10*$J18,IF(AND(($D18+$C$1)&gt;AN$4,AN$4&gt;=$C$1),'General Inputs'!K$10*$I18,0))</f>
        <v>5563.5127664498305</v>
      </c>
      <c r="AO18" s="214">
        <f>IF(AND(($E18+$C$1)&gt;AO$4,AO$4&gt;=$C$1),'General Inputs'!L$9*$H18,IF(AND(($D18+$C$1)&gt;AO$4,AO$4&gt;=$C$1),'General Inputs'!L$9*$G18,0))+IF(AND(($E18+$C$1)&gt;AO$4,AO$4&gt;=$C$1),'General Inputs'!L$10*$J18,IF(AND(($D18+$C$1)&gt;AO$4,AO$4&gt;=$C$1),'General Inputs'!L$10*$I18,0))</f>
        <v>5646.9654579465778</v>
      </c>
      <c r="AP18" s="214">
        <f>IF(AND(($E18+$C$1)&gt;AP$4,AP$4&gt;=$C$1),'General Inputs'!M$9*$H18,IF(AND(($D18+$C$1)&gt;AP$4,AP$4&gt;=$C$1),'General Inputs'!M$9*$G18,0))+IF(AND(($E18+$C$1)&gt;AP$4,AP$4&gt;=$C$1),'General Inputs'!M$10*$J18,IF(AND(($D18+$C$1)&gt;AP$4,AP$4&gt;=$C$1),'General Inputs'!M$10*$I18,0))</f>
        <v>5731.6699398157753</v>
      </c>
      <c r="AQ18" s="214">
        <f>IF(AND(($E18+$C$1)&gt;AQ$4,AQ$4&gt;=$C$1),'General Inputs'!N$9*$H18,IF(AND(($D18+$C$1)&gt;AQ$4,AQ$4&gt;=$C$1),'General Inputs'!N$9*$G18,0))+IF(AND(($E18+$C$1)&gt;AQ$4,AQ$4&gt;=$C$1),'General Inputs'!N$10*$J18,IF(AND(($D18+$C$1)&gt;AQ$4,AQ$4&gt;=$C$1),'General Inputs'!N$10*$I18,0))</f>
        <v>968.40562535518927</v>
      </c>
      <c r="AR18" s="214">
        <f>IF(AND(($E18+$C$1)&gt;AR$4,AR$4&gt;=$C$1),'General Inputs'!O$9*$H18,IF(AND(($D18+$C$1)&gt;AR$4,AR$4&gt;=$C$1),'General Inputs'!O$9*$G18,0))+IF(AND(($E18+$C$1)&gt;AR$4,AR$4&gt;=$C$1),'General Inputs'!O$10*$J18,IF(AND(($D18+$C$1)&gt;AR$4,AR$4&gt;=$C$1),'General Inputs'!O$10*$I18,0))</f>
        <v>982.93170973551696</v>
      </c>
      <c r="AS18" s="214">
        <f>IF(AND(($E18+$C$1)&gt;AS$4,AS$4&gt;=$C$1),'General Inputs'!P$9*$H18,IF(AND(($D18+$C$1)&gt;AS$4,AS$4&gt;=$C$1),'General Inputs'!P$9*$G18,0))+IF(AND(($E18+$C$1)&gt;AS$4,AS$4&gt;=$C$1),'General Inputs'!P$10*$J18,IF(AND(($D18+$C$1)&gt;AS$4,AS$4&gt;=$C$1),'General Inputs'!P$10*$I18,0))</f>
        <v>997.67568538154967</v>
      </c>
      <c r="AT18" s="214">
        <f>IF(AND(($E18+$C$1)&gt;AT$4,AT$4&gt;=$C$1),'General Inputs'!Q$9*$H18,IF(AND(($D18+$C$1)&gt;AT$4,AT$4&gt;=$C$1),'General Inputs'!Q$9*$G18,0))+IF(AND(($E18+$C$1)&gt;AT$4,AT$4&gt;=$C$1),'General Inputs'!Q$10*$J18,IF(AND(($D18+$C$1)&gt;AT$4,AT$4&gt;=$C$1),'General Inputs'!Q$10*$I18,0))</f>
        <v>1012.640820662273</v>
      </c>
      <c r="AU18" s="214">
        <f>IF(AND(($E18+$C$1)&gt;AU$4,AU$4&gt;=$C$1),'General Inputs'!R$9*$H18,IF(AND(($D18+$C$1)&gt;AU$4,AU$4&gt;=$C$1),'General Inputs'!R$9*$G18,0))+IF(AND(($E18+$C$1)&gt;AU$4,AU$4&gt;=$C$1),'General Inputs'!R$10*$J18,IF(AND(($D18+$C$1)&gt;AU$4,AU$4&gt;=$C$1),'General Inputs'!R$10*$I18,0))</f>
        <v>1027.8304329722068</v>
      </c>
      <c r="AV18" s="214">
        <f>IF(AND(($E18+$C$1)&gt;AV$4,AV$4&gt;=$C$1),'General Inputs'!S$9*$H18,IF(AND(($D18+$C$1)&gt;AV$4,AV$4&gt;=$C$1),'General Inputs'!S$9*$G18,0))+IF(AND(($E18+$C$1)&gt;AV$4,AV$4&gt;=$C$1),'General Inputs'!S$10*$J18,IF(AND(($D18+$C$1)&gt;AV$4,AV$4&gt;=$C$1),'General Inputs'!S$10*$I18,0))</f>
        <v>1043.24788946679</v>
      </c>
      <c r="AW18" s="214">
        <f>IF(AND(($E18+$C$1)&gt;AW$4,AW$4&gt;=$C$1),'General Inputs'!T$9*$H18,IF(AND(($D18+$C$1)&gt;AW$4,AW$4&gt;=$C$1),'General Inputs'!T$9*$G18,0))+IF(AND(($E18+$C$1)&gt;AW$4,AW$4&gt;=$C$1),'General Inputs'!T$10*$J18,IF(AND(($D18+$C$1)&gt;AW$4,AW$4&gt;=$C$1),'General Inputs'!T$10*$I18,0))</f>
        <v>1058.8966078087917</v>
      </c>
      <c r="AX18" s="214">
        <f>IF(AND(($E18+$C$1)&gt;AX$4,AX$4&gt;=$C$1),'General Inputs'!U$9*$H18,IF(AND(($D18+$C$1)&gt;AX$4,AX$4&gt;=$C$1),'General Inputs'!U$9*$G18,0))+IF(AND(($E18+$C$1)&gt;AX$4,AX$4&gt;=$C$1),'General Inputs'!U$10*$J18,IF(AND(($D18+$C$1)&gt;AX$4,AX$4&gt;=$C$1),'General Inputs'!U$10*$I18,0))</f>
        <v>1074.7800569259234</v>
      </c>
      <c r="AY18" s="214">
        <f>IF(AND(($E18+$C$1)&gt;AY$4,AY$4&gt;=$C$1),'General Inputs'!V$9*$H18,IF(AND(($D18+$C$1)&gt;AY$4,AY$4&gt;=$C$1),'General Inputs'!V$9*$G18,0))+IF(AND(($E18+$C$1)&gt;AY$4,AY$4&gt;=$C$1),'General Inputs'!V$10*$J18,IF(AND(($D18+$C$1)&gt;AY$4,AY$4&gt;=$C$1),'General Inputs'!V$10*$I18,0))</f>
        <v>1090.9017577798122</v>
      </c>
      <c r="AZ18" s="214">
        <f>IF(AND(($E18+$C$1)&gt;AZ$4,AZ$4&gt;=$C$1),'General Inputs'!W$9*$H18,IF(AND(($D18+$C$1)&gt;AZ$4,AZ$4&gt;=$C$1),'General Inputs'!W$9*$G18,0))+IF(AND(($E18+$C$1)&gt;AZ$4,AZ$4&gt;=$C$1),'General Inputs'!W$10*$J18,IF(AND(($D18+$C$1)&gt;AZ$4,AZ$4&gt;=$C$1),'General Inputs'!W$10*$I18,0))</f>
        <v>1107.2652841465092</v>
      </c>
      <c r="BB18" s="214">
        <f>IF(AND(($E18+$C$1)&gt;BB$4,BB$4&gt;=$C$1),'General Inputs'!D$11*$H18,IF(AND(($D18+$C$1)&gt;BB$4,BB$4&gt;=$C$1),'General Inputs'!D$11*$G18,0))</f>
        <v>0</v>
      </c>
      <c r="BC18" s="214">
        <f>IF(AND(($E18+$C$1)&gt;BC$4,BC$4&gt;=$C$1),'General Inputs'!E$11*$H18,IF(AND(($D18+$C$1)&gt;BC$4,BC$4&gt;=$C$1),'General Inputs'!E$11*$G18,0))</f>
        <v>0</v>
      </c>
      <c r="BD18" s="214">
        <f>IF(AND(($E18+$C$1)&gt;BD$4,BD$4&gt;=$C$1),'General Inputs'!F$11*$H18,IF(AND(($D18+$C$1)&gt;BD$4,BD$4&gt;=$C$1),'General Inputs'!F$11*$G18,0))</f>
        <v>1177.6253459294119</v>
      </c>
      <c r="BE18" s="214">
        <f>IF(AND(($E18+$C$1)&gt;BE$4,BE$4&gt;=$C$1),'General Inputs'!G$11*$H18,IF(AND(($D18+$C$1)&gt;BE$4,BE$4&gt;=$C$1),'General Inputs'!G$11*$G18,0))</f>
        <v>1177.6253459294119</v>
      </c>
      <c r="BF18" s="214">
        <f>IF(AND(($E18+$C$1)&gt;BF$4,BF$4&gt;=$C$1),'General Inputs'!H$11*$H18,IF(AND(($D18+$C$1)&gt;BF$4,BF$4&gt;=$C$1),'General Inputs'!H$11*$G18,0))</f>
        <v>1177.6253459294119</v>
      </c>
      <c r="BG18" s="214">
        <f>IF(AND(($E18+$C$1)&gt;BG$4,BG$4&gt;=$C$1),'General Inputs'!I$11*$H18,IF(AND(($D18+$C$1)&gt;BG$4,BG$4&gt;=$C$1),'General Inputs'!I$11*$G18,0))</f>
        <v>1177.6253459294119</v>
      </c>
      <c r="BH18" s="214">
        <f>IF(AND(($E18+$C$1)&gt;BH$4,BH$4&gt;=$C$1),'General Inputs'!J$11*$H18,IF(AND(($D18+$C$1)&gt;BH$4,BH$4&gt;=$C$1),'General Inputs'!J$11*$G18,0))</f>
        <v>1177.6253459294119</v>
      </c>
      <c r="BI18" s="214">
        <f>IF(AND(($E18+$C$1)&gt;BI$4,BI$4&gt;=$C$1),'General Inputs'!K$11*$H18,IF(AND(($D18+$C$1)&gt;BI$4,BI$4&gt;=$C$1),'General Inputs'!K$11*$G18,0))</f>
        <v>1177.6253459294119</v>
      </c>
      <c r="BJ18" s="214">
        <f>IF(AND(($E18+$C$1)&gt;BJ$4,BJ$4&gt;=$C$1),'General Inputs'!L$11*$H18,IF(AND(($D18+$C$1)&gt;BJ$4,BJ$4&gt;=$C$1),'General Inputs'!L$11*$G18,0))</f>
        <v>1177.6253459294119</v>
      </c>
      <c r="BK18" s="214">
        <f>IF(AND(($E18+$C$1)&gt;BK$4,BK$4&gt;=$C$1),'General Inputs'!M$11*$H18,IF(AND(($D18+$C$1)&gt;BK$4,BK$4&gt;=$C$1),'General Inputs'!M$11*$G18,0))</f>
        <v>1177.6253459294119</v>
      </c>
      <c r="BL18" s="214">
        <f>IF(AND(($E18+$C$1)&gt;BL$4,BL$4&gt;=$C$1),'General Inputs'!N$11*$H18,IF(AND(($D18+$C$1)&gt;BL$4,BL$4&gt;=$C$1),'General Inputs'!N$11*$G18,0))</f>
        <v>171.44759258061114</v>
      </c>
      <c r="BM18" s="214">
        <f>IF(AND(($E18+$C$1)&gt;BM$4,BM$4&gt;=$C$1),'General Inputs'!O$11*$H18,IF(AND(($D18+$C$1)&gt;BM$4,BM$4&gt;=$C$1),'General Inputs'!O$11*$G18,0))</f>
        <v>171.44759258061114</v>
      </c>
      <c r="BN18" s="214">
        <f>IF(AND(($E18+$C$1)&gt;BN$4,BN$4&gt;=$C$1),'General Inputs'!P$11*$H18,IF(AND(($D18+$C$1)&gt;BN$4,BN$4&gt;=$C$1),'General Inputs'!P$11*$G18,0))</f>
        <v>171.44759258061114</v>
      </c>
      <c r="BO18" s="214">
        <f>IF(AND(($E18+$C$1)&gt;BO$4,BO$4&gt;=$C$1),'General Inputs'!Q$11*$H18,IF(AND(($D18+$C$1)&gt;BO$4,BO$4&gt;=$C$1),'General Inputs'!Q$11*$G18,0))</f>
        <v>171.44759258061114</v>
      </c>
      <c r="BP18" s="214">
        <f>IF(AND(($E18+$C$1)&gt;BP$4,BP$4&gt;=$C$1),'General Inputs'!R$11*$H18,IF(AND(($D18+$C$1)&gt;BP$4,BP$4&gt;=$C$1),'General Inputs'!R$11*$G18,0))</f>
        <v>171.44759258061114</v>
      </c>
      <c r="BQ18" s="214">
        <f>IF(AND(($E18+$C$1)&gt;BQ$4,BQ$4&gt;=$C$1),'General Inputs'!S$11*$H18,IF(AND(($D18+$C$1)&gt;BQ$4,BQ$4&gt;=$C$1),'General Inputs'!S$11*$G18,0))</f>
        <v>171.44759258061114</v>
      </c>
      <c r="BR18" s="214">
        <f>IF(AND(($E18+$C$1)&gt;BR$4,BR$4&gt;=$C$1),'General Inputs'!T$11*$H18,IF(AND(($D18+$C$1)&gt;BR$4,BR$4&gt;=$C$1),'General Inputs'!T$11*$G18,0))</f>
        <v>171.44759258061114</v>
      </c>
      <c r="BS18" s="214">
        <f>IF(AND(($E18+$C$1)&gt;BS$4,BS$4&gt;=$C$1),'General Inputs'!U$11*$H18,IF(AND(($D18+$C$1)&gt;BS$4,BS$4&gt;=$C$1),'General Inputs'!U$11*$G18,0))</f>
        <v>171.44759258061114</v>
      </c>
      <c r="BT18" s="214">
        <f>IF(AND(($E18+$C$1)&gt;BT$4,BT$4&gt;=$C$1),'General Inputs'!V$11*$H18,IF(AND(($D18+$C$1)&gt;BT$4,BT$4&gt;=$C$1),'General Inputs'!V$11*$G18,0))</f>
        <v>171.44759258061114</v>
      </c>
      <c r="BU18" s="214">
        <f>IF(AND(($E18+$C$1)&gt;BU$4,BU$4&gt;=$C$1),'General Inputs'!W$11*$H18,IF(AND(($D18+$C$1)&gt;BU$4,BU$4&gt;=$C$1),'General Inputs'!W$11*$G18,0))</f>
        <v>171.44759258061114</v>
      </c>
      <c r="BW18" s="214">
        <f>IF(AND(($E18+$C$1)&gt;BW$4,BW$4&gt;=$C$1),$H18,IF(AND(($D18+$C$1)&gt;BW$4,BW$4&gt;=$C$1),$G18,0))*IF($A18="Residential",'General Inputs'!D$14,'General Inputs'!D$19)</f>
        <v>0</v>
      </c>
      <c r="BX18" s="214">
        <f>IF(AND(($E18+$C$1)&gt;BX$4,BX$4&gt;=$C$1),$H18,IF(AND(($D18+$C$1)&gt;BX$4,BX$4&gt;=$C$1),$G18,0))*IF($A18="Residential",'General Inputs'!E$14,'General Inputs'!E$19)</f>
        <v>0</v>
      </c>
      <c r="BY18" s="214">
        <f>IF(AND(($E18+$C$1)&gt;BY$4,BY$4&gt;=$C$1),$H18,IF(AND(($D18+$C$1)&gt;BY$4,BY$4&gt;=$C$1),$G18,0))*IF($A18="Residential",'General Inputs'!F$14,'General Inputs'!F$19)</f>
        <v>14285.160825246345</v>
      </c>
      <c r="BZ18" s="214">
        <f>IF(AND(($E18+$C$1)&gt;BZ$4,BZ$4&gt;=$C$1),$H18,IF(AND(($D18+$C$1)&gt;BZ$4,BZ$4&gt;=$C$1),$G18,0))*IF($A18="Residential",'General Inputs'!G$14,'General Inputs'!G$19)</f>
        <v>14499.438237625036</v>
      </c>
      <c r="CA18" s="214">
        <f>IF(AND(($E18+$C$1)&gt;CA$4,CA$4&gt;=$C$1),$H18,IF(AND(($D18+$C$1)&gt;CA$4,CA$4&gt;=$C$1),$G18,0))*IF($A18="Residential",'General Inputs'!H$14,'General Inputs'!H$19)</f>
        <v>14716.92981118941</v>
      </c>
      <c r="CB18" s="214">
        <f>IF(AND(($E18+$C$1)&gt;CB$4,CB$4&gt;=$C$1),$H18,IF(AND(($D18+$C$1)&gt;CB$4,CB$4&gt;=$C$1),$G18,0))*IF($A18="Residential",'General Inputs'!I$14,'General Inputs'!I$19)</f>
        <v>14937.683758357251</v>
      </c>
      <c r="CC18" s="214">
        <f>IF(AND(($E18+$C$1)&gt;CC$4,CC$4&gt;=$C$1),$H18,IF(AND(($D18+$C$1)&gt;CC$4,CC$4&gt;=$C$1),$G18,0))*IF($A18="Residential",'General Inputs'!J$14,'General Inputs'!J$19)</f>
        <v>15161.749014732606</v>
      </c>
      <c r="CD18" s="214">
        <f>IF(AND(($E18+$C$1)&gt;CD$4,CD$4&gt;=$C$1),$H18,IF(AND(($D18+$C$1)&gt;CD$4,CD$4&gt;=$C$1),$G18,0))*IF($A18="Residential",'General Inputs'!K$14,'General Inputs'!K$19)</f>
        <v>15389.175249953594</v>
      </c>
      <c r="CE18" s="214">
        <f>IF(AND(($E18+$C$1)&gt;CE$4,CE$4&gt;=$C$1),$H18,IF(AND(($D18+$C$1)&gt;CE$4,CE$4&gt;=$C$1),$G18,0))*IF($A18="Residential",'General Inputs'!L$14,'General Inputs'!L$19)</f>
        <v>15620.012878702895</v>
      </c>
      <c r="CF18" s="214">
        <f>IF(AND(($E18+$C$1)&gt;CF$4,CF$4&gt;=$C$1),$H18,IF(AND(($D18+$C$1)&gt;CF$4,CF$4&gt;=$C$1),$G18,0))*IF($A18="Residential",'General Inputs'!M$14,'General Inputs'!M$19)</f>
        <v>15854.313071883436</v>
      </c>
      <c r="CG18" s="214">
        <f>IF(AND(($E18+$C$1)&gt;CG$4,CG$4&gt;=$C$1),$H18,IF(AND(($D18+$C$1)&gt;CG$4,CG$4&gt;=$C$1),$G18,0))*IF($A18="Residential",'General Inputs'!N$14,'General Inputs'!N$19)</f>
        <v>2342.8135058856055</v>
      </c>
      <c r="CH18" s="214">
        <f>IF(AND(($E18+$C$1)&gt;CH$4,CH$4&gt;=$C$1),$H18,IF(AND(($D18+$C$1)&gt;CH$4,CH$4&gt;=$C$1),$G18,0))*IF($A18="Residential",'General Inputs'!O$14,'General Inputs'!O$19)</f>
        <v>2377.9557084738894</v>
      </c>
      <c r="CI18" s="214">
        <f>IF(AND(($E18+$C$1)&gt;CI$4,CI$4&gt;=$C$1),$H18,IF(AND(($D18+$C$1)&gt;CI$4,CI$4&gt;=$C$1),$G18,0))*IF($A18="Residential",'General Inputs'!P$14,'General Inputs'!P$19)</f>
        <v>2413.6250441009975</v>
      </c>
      <c r="CJ18" s="214">
        <f>IF(AND(($E18+$C$1)&gt;CJ$4,CJ$4&gt;=$C$1),$H18,IF(AND(($D18+$C$1)&gt;CJ$4,CJ$4&gt;=$C$1),$G18,0))*IF($A18="Residential",'General Inputs'!Q$14,'General Inputs'!Q$19)</f>
        <v>2449.8294197625123</v>
      </c>
      <c r="CK18" s="214">
        <f>IF(AND(($E18+$C$1)&gt;CK$4,CK$4&gt;=$C$1),$H18,IF(AND(($D18+$C$1)&gt;CK$4,CK$4&gt;=$C$1),$G18,0))*IF($A18="Residential",'General Inputs'!R$14,'General Inputs'!R$19)</f>
        <v>2486.5768610589494</v>
      </c>
      <c r="CL18" s="214">
        <f>IF(AND(($E18+$C$1)&gt;CL$4,CL$4&gt;=$C$1),$H18,IF(AND(($D18+$C$1)&gt;CL$4,CL$4&gt;=$C$1),$G18,0))*IF($A18="Residential",'General Inputs'!S$14,'General Inputs'!S$19)</f>
        <v>2523.8755139748337</v>
      </c>
      <c r="CM18" s="214">
        <f>IF(AND(($E18+$C$1)&gt;CM$4,CM$4&gt;=$C$1),$H18,IF(AND(($D18+$C$1)&gt;CM$4,CM$4&gt;=$C$1),$G18,0))*IF($A18="Residential",'General Inputs'!T$14,'General Inputs'!T$19)</f>
        <v>2561.7336466844558</v>
      </c>
      <c r="CN18" s="214">
        <f>IF(AND(($E18+$C$1)&gt;CN$4,CN$4&gt;=$C$1),$H18,IF(AND(($D18+$C$1)&gt;CN$4,CN$4&gt;=$C$1),$G18,0))*IF($A18="Residential",'General Inputs'!U$14,'General Inputs'!U$19)</f>
        <v>2600.1596513847226</v>
      </c>
      <c r="CO18" s="214">
        <f>IF(AND(($E18+$C$1)&gt;CO$4,CO$4&gt;=$C$1),$H18,IF(AND(($D18+$C$1)&gt;CO$4,CO$4&gt;=$C$1),$G18,0))*IF($A18="Residential",'General Inputs'!V$14,'General Inputs'!V$19)</f>
        <v>2639.162046155493</v>
      </c>
      <c r="CP18" s="214">
        <f>IF(AND(($E18+$C$1)&gt;CP$4,CP$4&gt;=$C$1),$H18,IF(AND(($D18+$C$1)&gt;CP$4,CP$4&gt;=$C$1),$G18,0))*IF($A18="Residential",'General Inputs'!W$14,'General Inputs'!W$19)</f>
        <v>2678.7494768478255</v>
      </c>
      <c r="CR18" s="214">
        <f>IF(AND(($E18+$C$1)&gt;CR$4,CR$4&gt;=$C$1),$H18,IF(AND(($D18+$C$1)&gt;CR$4,CR$4&gt;=$C$1),$G18,0))*IF($A18="Residential",'General Inputs'!D$15,'General Inputs'!D$19)</f>
        <v>0</v>
      </c>
      <c r="CS18" s="214">
        <f>IF(AND(($E18+$C$1)&gt;CS$4,CS$4&gt;=$C$1),$H18,IF(AND(($D18+$C$1)&gt;CS$4,CS$4&gt;=$C$1),$G18,0))*IF($A18="Residential",'General Inputs'!E$15,'General Inputs'!E$19)</f>
        <v>0</v>
      </c>
      <c r="CT18" s="214">
        <f>IF(AND(($E18+$C$1)&gt;CT$4,CT$4&gt;=$C$1),$H18,IF(AND(($D18+$C$1)&gt;CT$4,CT$4&gt;=$C$1),$G18,0))*IF($A18="Residential",'General Inputs'!F$15,'General Inputs'!F$19)</f>
        <v>11621.09660992438</v>
      </c>
      <c r="CU18" s="214">
        <f>IF(AND(($E18+$C$1)&gt;CU$4,CU$4&gt;=$C$1),$H18,IF(AND(($D18+$C$1)&gt;CU$4,CU$4&gt;=$C$1),$G18,0))*IF($A18="Residential",'General Inputs'!G$15,'General Inputs'!G$19)</f>
        <v>11795.413059073244</v>
      </c>
      <c r="CV18" s="214">
        <f>IF(AND(($E18+$C$1)&gt;CV$4,CV$4&gt;=$C$1),$H18,IF(AND(($D18+$C$1)&gt;CV$4,CV$4&gt;=$C$1),$G18,0))*IF($A18="Residential",'General Inputs'!H$15,'General Inputs'!H$19)</f>
        <v>11972.344254959342</v>
      </c>
      <c r="CW18" s="214">
        <f>IF(AND(($E18+$C$1)&gt;CW$4,CW$4&gt;=$C$1),$H18,IF(AND(($D18+$C$1)&gt;CW$4,CW$4&gt;=$C$1),$G18,0))*IF($A18="Residential",'General Inputs'!I$15,'General Inputs'!I$19)</f>
        <v>12151.929418783729</v>
      </c>
      <c r="CX18" s="214">
        <f>IF(AND(($E18+$C$1)&gt;CX$4,CX$4&gt;=$C$1),$H18,IF(AND(($D18+$C$1)&gt;CX$4,CX$4&gt;=$C$1),$G18,0))*IF($A18="Residential",'General Inputs'!J$15,'General Inputs'!J$19)</f>
        <v>12334.208360065484</v>
      </c>
      <c r="CY18" s="214">
        <f>IF(AND(($E18+$C$1)&gt;CY$4,CY$4&gt;=$C$1),$H18,IF(AND(($D18+$C$1)&gt;CY$4,CY$4&gt;=$C$1),$G18,0))*IF($A18="Residential",'General Inputs'!K$15,'General Inputs'!K$19)</f>
        <v>12519.221485466465</v>
      </c>
      <c r="CZ18" s="214">
        <f>IF(AND(($E18+$C$1)&gt;CZ$4,CZ$4&gt;=$C$1),$H18,IF(AND(($D18+$C$1)&gt;CZ$4,CZ$4&gt;=$C$1),$G18,0))*IF($A18="Residential",'General Inputs'!L$15,'General Inputs'!L$19)</f>
        <v>12707.00980774846</v>
      </c>
      <c r="DA18" s="214">
        <f>IF(AND(($E18+$C$1)&gt;DA$4,DA$4&gt;=$C$1),$H18,IF(AND(($D18+$C$1)&gt;DA$4,DA$4&gt;=$C$1),$G18,0))*IF($A18="Residential",'General Inputs'!M$15,'General Inputs'!M$19)</f>
        <v>12897.614954864686</v>
      </c>
      <c r="DB18" s="214">
        <f>IF(AND(($E18+$C$1)&gt;DB$4,DB$4&gt;=$C$1),$H18,IF(AND(($D18+$C$1)&gt;DB$4,DB$4&gt;=$C$1),$G18,0))*IF($A18="Residential",'General Inputs'!N$15,'General Inputs'!N$19)</f>
        <v>1905.8981851163553</v>
      </c>
      <c r="DC18" s="214">
        <f>IF(AND(($E18+$C$1)&gt;DC$4,DC$4&gt;=$C$1),$H18,IF(AND(($D18+$C$1)&gt;DC$4,DC$4&gt;=$C$1),$G18,0))*IF($A18="Residential",'General Inputs'!O$15,'General Inputs'!O$19)</f>
        <v>1934.4866578931005</v>
      </c>
      <c r="DD18" s="214">
        <f>IF(AND(($E18+$C$1)&gt;DD$4,DD$4&gt;=$C$1),$H18,IF(AND(($D18+$C$1)&gt;DD$4,DD$4&gt;=$C$1),$G18,0))*IF($A18="Residential",'General Inputs'!P$15,'General Inputs'!P$19)</f>
        <v>1963.5039577614971</v>
      </c>
      <c r="DE18" s="214">
        <f>IF(AND(($E18+$C$1)&gt;DE$4,DE$4&gt;=$C$1),$H18,IF(AND(($D18+$C$1)&gt;DE$4,DE$4&gt;=$C$1),$G18,0))*IF($A18="Residential",'General Inputs'!Q$15,'General Inputs'!Q$19)</f>
        <v>1992.9565171279194</v>
      </c>
      <c r="DF18" s="214">
        <f>IF(AND(($E18+$C$1)&gt;DF$4,DF$4&gt;=$C$1),$H18,IF(AND(($D18+$C$1)&gt;DF$4,DF$4&gt;=$C$1),$G18,0))*IF($A18="Residential",'General Inputs'!R$15,'General Inputs'!R$19)</f>
        <v>2022.8508648848378</v>
      </c>
      <c r="DG18" s="214">
        <f>IF(AND(($E18+$C$1)&gt;DG$4,DG$4&gt;=$C$1),$H18,IF(AND(($D18+$C$1)&gt;DG$4,DG$4&gt;=$C$1),$G18,0))*IF($A18="Residential",'General Inputs'!S$15,'General Inputs'!S$19)</f>
        <v>2053.1936278581102</v>
      </c>
      <c r="DH18" s="214">
        <f>IF(AND(($E18+$C$1)&gt;DH$4,DH$4&gt;=$C$1),$H18,IF(AND(($D18+$C$1)&gt;DH$4,DH$4&gt;=$C$1),$G18,0))*IF($A18="Residential",'General Inputs'!T$15,'General Inputs'!T$19)</f>
        <v>2083.9915322759816</v>
      </c>
      <c r="DI18" s="214">
        <f>IF(AND(($E18+$C$1)&gt;DI$4,DI$4&gt;=$C$1),$H18,IF(AND(($D18+$C$1)&gt;DI$4,DI$4&gt;=$C$1),$G18,0))*IF($A18="Residential",'General Inputs'!U$15,'General Inputs'!U$19)</f>
        <v>2115.2514052601209</v>
      </c>
      <c r="DJ18" s="214">
        <f>IF(AND(($E18+$C$1)&gt;DJ$4,DJ$4&gt;=$C$1),$H18,IF(AND(($D18+$C$1)&gt;DJ$4,DJ$4&gt;=$C$1),$G18,0))*IF($A18="Residential",'General Inputs'!V$15,'General Inputs'!V$19)</f>
        <v>2146.9801763390224</v>
      </c>
      <c r="DK18" s="214">
        <f>IF(AND(($E18+$C$1)&gt;DK$4,DK$4&gt;=$C$1),$H18,IF(AND(($D18+$C$1)&gt;DK$4,DK$4&gt;=$C$1),$G18,0))*IF($A18="Residential",'General Inputs'!W$15,'General Inputs'!W$19)</f>
        <v>2179.1848789841079</v>
      </c>
      <c r="DM18" s="214">
        <f t="shared" si="47"/>
        <v>0</v>
      </c>
      <c r="DN18" s="214">
        <f t="shared" si="27"/>
        <v>0</v>
      </c>
      <c r="DO18" s="214">
        <f t="shared" si="27"/>
        <v>74404.504171140376</v>
      </c>
      <c r="DP18" s="214">
        <f t="shared" si="27"/>
        <v>0</v>
      </c>
      <c r="DQ18" s="214">
        <f t="shared" si="27"/>
        <v>0</v>
      </c>
      <c r="DR18" s="214">
        <f t="shared" si="27"/>
        <v>0</v>
      </c>
      <c r="DS18" s="214">
        <f t="shared" si="27"/>
        <v>0</v>
      </c>
      <c r="DT18" s="214">
        <f t="shared" si="27"/>
        <v>0</v>
      </c>
      <c r="DU18" s="214">
        <f t="shared" si="27"/>
        <v>0</v>
      </c>
      <c r="DV18" s="214">
        <f t="shared" si="27"/>
        <v>0</v>
      </c>
      <c r="DW18" s="214">
        <f t="shared" si="27"/>
        <v>-65590.256729406959</v>
      </c>
      <c r="DZ18" s="650"/>
      <c r="FI18" s="195"/>
      <c r="FJ18" s="195"/>
      <c r="FK18" s="195"/>
      <c r="FL18" s="195"/>
      <c r="FM18" s="195"/>
      <c r="FN18" s="195"/>
      <c r="FO18" s="195"/>
    </row>
    <row r="19" spans="1:171">
      <c r="A19" s="342" t="s">
        <v>12</v>
      </c>
      <c r="B19" s="427" t="str">
        <f>'Portfolio Inputs'!A18</f>
        <v>Heat Pump Water Heater</v>
      </c>
      <c r="C19" s="217">
        <f>IF($C$1=2014,'Portfolio Inputs'!$C18,IF($C$1=2015,'Portfolio Inputs'!$D18,'Portfolio Inputs'!$E18))</f>
        <v>90</v>
      </c>
      <c r="D19" s="504">
        <f>VLOOKUP(B19,Sources!$B$4:$J$104,2,FALSE)</f>
        <v>15</v>
      </c>
      <c r="E19" s="504">
        <f>VLOOKUP(B19,Sources!$B$4:$J$104,3,FALSE)</f>
        <v>0</v>
      </c>
      <c r="G19" s="504">
        <f>IF($C$1=2014,'Portfolio Inputs'!$G18,IF($C$1=2015,'Portfolio Inputs'!$H18,'Portfolio Inputs'!$I18))*EnergyLineLoss</f>
        <v>163367.4022958641</v>
      </c>
      <c r="H19" s="504">
        <f>VLOOKUP($B19,Sources!$B$4:$K$104,6,FALSE)*C19*EnergyLineLoss</f>
        <v>0</v>
      </c>
      <c r="I19" s="504">
        <f>IF($C$1=2014,'Portfolio Inputs'!$K18,IF($C$1=2015,'Portfolio Inputs'!$L18,'Portfolio Inputs'!$M18))*PeakLineLoss</f>
        <v>7.7394742501001534</v>
      </c>
      <c r="J19" s="510">
        <f>VLOOKUP($B19,Sources!$B$4:$K$104,8,FALSE)*C19*PeakLineLoss</f>
        <v>0</v>
      </c>
      <c r="L19" s="606">
        <f>IF($C$1=2014,'Portfolio Inputs'!$O18,IF($C$1=2015,'Portfolio Inputs'!$P18,'Portfolio Inputs'!$Q18))</f>
        <v>700</v>
      </c>
      <c r="M19" s="518">
        <f>VLOOKUP($B19,Sources!$B$4:$K$104,10,FALSE)</f>
        <v>0</v>
      </c>
      <c r="N19" s="419">
        <f>IF($C$1=2014,'Portfolio Inputs'!$W18,IF($C$1=2015,'Portfolio Inputs'!$X18,'Portfolio Inputs'!$Y18))</f>
        <v>18000</v>
      </c>
      <c r="O19" s="419"/>
      <c r="Q19" s="438">
        <f t="shared" si="0"/>
        <v>1.0419801565425406</v>
      </c>
      <c r="R19" s="439">
        <f t="shared" si="1"/>
        <v>3.6469305478988914</v>
      </c>
      <c r="S19" s="439">
        <f t="shared" si="2"/>
        <v>1.3038005716664853</v>
      </c>
      <c r="T19" s="439">
        <f t="shared" si="3"/>
        <v>3.7373343433543651</v>
      </c>
      <c r="U19" s="439">
        <f t="shared" si="44"/>
        <v>3.0936357814036004</v>
      </c>
      <c r="V19" s="439">
        <f t="shared" si="45"/>
        <v>0.27880303468041701</v>
      </c>
      <c r="W19" s="439">
        <f t="shared" si="46"/>
        <v>0.33681410164896275</v>
      </c>
      <c r="Y19" s="215">
        <f t="shared" si="4"/>
        <v>55414.437808513889</v>
      </c>
      <c r="Z19" s="215">
        <f t="shared" si="5"/>
        <v>13924.09540602686</v>
      </c>
      <c r="AA19" s="215">
        <f t="shared" si="6"/>
        <v>183563.55811743948</v>
      </c>
      <c r="AB19" s="215">
        <f t="shared" si="7"/>
        <v>149330.47440209312</v>
      </c>
      <c r="AC19" s="216">
        <f t="shared" si="20"/>
        <v>0</v>
      </c>
      <c r="AD19" s="216">
        <f t="shared" si="21"/>
        <v>15194.815771975655</v>
      </c>
      <c r="AE19" s="215">
        <f t="shared" si="8"/>
        <v>53181.855201914783</v>
      </c>
      <c r="AG19" s="214">
        <f>IF(AND(($E19+$C$1)&gt;AG$4,AG$4&gt;=$C$1),'General Inputs'!D$9*$H19,IF(AND(($D19+$C$1)&gt;AG$4,AG$4&gt;=$C$1),'General Inputs'!D$9*$G19,0))+IF(AND(($E19+$C$1)&gt;AG$4,AG$4&gt;=$C$1),'General Inputs'!D$10*$J19,IF(AND(($D19+$C$1)&gt;AG$4,AG$4&gt;=$C$1),'General Inputs'!D$10*$I19,0))</f>
        <v>0</v>
      </c>
      <c r="AH19" s="214">
        <f>IF(AND(($E19+$C$1)&gt;AH$4,AH$4&gt;=$C$1),'General Inputs'!E$9*$H19,IF(AND(($D19+$C$1)&gt;AH$4,AH$4&gt;=$C$1),'General Inputs'!E$9*$G19,0))+IF(AND(($E19+$C$1)&gt;AH$4,AH$4&gt;=$C$1),'General Inputs'!E$10*$J19,IF(AND(($D19+$C$1)&gt;AH$4,AH$4&gt;=$C$1),'General Inputs'!E$10*$I19,0))</f>
        <v>0</v>
      </c>
      <c r="AI19" s="214">
        <f>IF(AND(($E19+$C$1)&gt;AI$4,AI$4&gt;=$C$1),'General Inputs'!F$9*$H19,IF(AND(($D19+$C$1)&gt;AI$4,AI$4&gt;=$C$1),'General Inputs'!F$9*$G19,0))+IF(AND(($E19+$C$1)&gt;AI$4,AI$4&gt;=$C$1),'General Inputs'!F$10*$J19,IF(AND(($D19+$C$1)&gt;AI$4,AI$4&gt;=$C$1),'General Inputs'!F$10*$I19,0))</f>
        <v>6820.0052467669802</v>
      </c>
      <c r="AJ19" s="214">
        <f>IF(AND(($E19+$C$1)&gt;AJ$4,AJ$4&gt;=$C$1),'General Inputs'!G$9*$H19,IF(AND(($D19+$C$1)&gt;AJ$4,AJ$4&gt;=$C$1),'General Inputs'!G$9*$G19,0))+IF(AND(($E19+$C$1)&gt;AJ$4,AJ$4&gt;=$C$1),'General Inputs'!G$10*$J19,IF(AND(($D19+$C$1)&gt;AJ$4,AJ$4&gt;=$C$1),'General Inputs'!G$10*$I19,0))</f>
        <v>6922.3053254684837</v>
      </c>
      <c r="AK19" s="214">
        <f>IF(AND(($E19+$C$1)&gt;AK$4,AK$4&gt;=$C$1),'General Inputs'!H$9*$H19,IF(AND(($D19+$C$1)&gt;AK$4,AK$4&gt;=$C$1),'General Inputs'!H$9*$G19,0))+IF(AND(($E19+$C$1)&gt;AK$4,AK$4&gt;=$C$1),'General Inputs'!H$10*$J19,IF(AND(($D19+$C$1)&gt;AK$4,AK$4&gt;=$C$1),'General Inputs'!H$10*$I19,0))</f>
        <v>7026.1399053505102</v>
      </c>
      <c r="AL19" s="214">
        <f>IF(AND(($E19+$C$1)&gt;AL$4,AL$4&gt;=$C$1),'General Inputs'!I$9*$H19,IF(AND(($D19+$C$1)&gt;AL$4,AL$4&gt;=$C$1),'General Inputs'!I$9*$G19,0))+IF(AND(($E19+$C$1)&gt;AL$4,AL$4&gt;=$C$1),'General Inputs'!I$10*$J19,IF(AND(($D19+$C$1)&gt;AL$4,AL$4&gt;=$C$1),'General Inputs'!I$10*$I19,0))</f>
        <v>7131.5320039307662</v>
      </c>
      <c r="AM19" s="214">
        <f>IF(AND(($E19+$C$1)&gt;AM$4,AM$4&gt;=$C$1),'General Inputs'!J$9*$H19,IF(AND(($D19+$C$1)&gt;AM$4,AM$4&gt;=$C$1),'General Inputs'!J$9*$G19,0))+IF(AND(($E19+$C$1)&gt;AM$4,AM$4&gt;=$C$1),'General Inputs'!J$10*$J19,IF(AND(($D19+$C$1)&gt;AM$4,AM$4&gt;=$C$1),'General Inputs'!J$10*$I19,0))</f>
        <v>7238.5049839897274</v>
      </c>
      <c r="AN19" s="214">
        <f>IF(AND(($E19+$C$1)&gt;AN$4,AN$4&gt;=$C$1),'General Inputs'!K$9*$H19,IF(AND(($D19+$C$1)&gt;AN$4,AN$4&gt;=$C$1),'General Inputs'!K$9*$G19,0))+IF(AND(($E19+$C$1)&gt;AN$4,AN$4&gt;=$C$1),'General Inputs'!K$10*$J19,IF(AND(($D19+$C$1)&gt;AN$4,AN$4&gt;=$C$1),'General Inputs'!K$10*$I19,0))</f>
        <v>7347.0825587495719</v>
      </c>
      <c r="AO19" s="214">
        <f>IF(AND(($E19+$C$1)&gt;AO$4,AO$4&gt;=$C$1),'General Inputs'!L$9*$H19,IF(AND(($D19+$C$1)&gt;AO$4,AO$4&gt;=$C$1),'General Inputs'!L$9*$G19,0))+IF(AND(($E19+$C$1)&gt;AO$4,AO$4&gt;=$C$1),'General Inputs'!L$10*$J19,IF(AND(($D19+$C$1)&gt;AO$4,AO$4&gt;=$C$1),'General Inputs'!L$10*$I19,0))</f>
        <v>7457.2887971308146</v>
      </c>
      <c r="AP19" s="214">
        <f>IF(AND(($E19+$C$1)&gt;AP$4,AP$4&gt;=$C$1),'General Inputs'!M$9*$H19,IF(AND(($D19+$C$1)&gt;AP$4,AP$4&gt;=$C$1),'General Inputs'!M$9*$G19,0))+IF(AND(($E19+$C$1)&gt;AP$4,AP$4&gt;=$C$1),'General Inputs'!M$10*$J19,IF(AND(($D19+$C$1)&gt;AP$4,AP$4&gt;=$C$1),'General Inputs'!M$10*$I19,0))</f>
        <v>7569.1481290877764</v>
      </c>
      <c r="AQ19" s="214">
        <f>IF(AND(($E19+$C$1)&gt;AQ$4,AQ$4&gt;=$C$1),'General Inputs'!N$9*$H19,IF(AND(($D19+$C$1)&gt;AQ$4,AQ$4&gt;=$C$1),'General Inputs'!N$9*$G19,0))+IF(AND(($E19+$C$1)&gt;AQ$4,AQ$4&gt;=$C$1),'General Inputs'!N$10*$J19,IF(AND(($D19+$C$1)&gt;AQ$4,AQ$4&gt;=$C$1),'General Inputs'!N$10*$I19,0))</f>
        <v>7682.6853510240926</v>
      </c>
      <c r="AR19" s="214">
        <f>IF(AND(($E19+$C$1)&gt;AR$4,AR$4&gt;=$C$1),'General Inputs'!O$9*$H19,IF(AND(($D19+$C$1)&gt;AR$4,AR$4&gt;=$C$1),'General Inputs'!O$9*$G19,0))+IF(AND(($E19+$C$1)&gt;AR$4,AR$4&gt;=$C$1),'General Inputs'!O$10*$J19,IF(AND(($D19+$C$1)&gt;AR$4,AR$4&gt;=$C$1),'General Inputs'!O$10*$I19,0))</f>
        <v>7797.9256312894522</v>
      </c>
      <c r="AS19" s="214">
        <f>IF(AND(($E19+$C$1)&gt;AS$4,AS$4&gt;=$C$1),'General Inputs'!P$9*$H19,IF(AND(($D19+$C$1)&gt;AS$4,AS$4&gt;=$C$1),'General Inputs'!P$9*$G19,0))+IF(AND(($E19+$C$1)&gt;AS$4,AS$4&gt;=$C$1),'General Inputs'!P$10*$J19,IF(AND(($D19+$C$1)&gt;AS$4,AS$4&gt;=$C$1),'General Inputs'!P$10*$I19,0))</f>
        <v>7914.8945157587941</v>
      </c>
      <c r="AT19" s="214">
        <f>IF(AND(($E19+$C$1)&gt;AT$4,AT$4&gt;=$C$1),'General Inputs'!Q$9*$H19,IF(AND(($D19+$C$1)&gt;AT$4,AT$4&gt;=$C$1),'General Inputs'!Q$9*$G19,0))+IF(AND(($E19+$C$1)&gt;AT$4,AT$4&gt;=$C$1),'General Inputs'!Q$10*$J19,IF(AND(($D19+$C$1)&gt;AT$4,AT$4&gt;=$C$1),'General Inputs'!Q$10*$I19,0))</f>
        <v>8033.6179334951757</v>
      </c>
      <c r="AU19" s="214">
        <f>IF(AND(($E19+$C$1)&gt;AU$4,AU$4&gt;=$C$1),'General Inputs'!R$9*$H19,IF(AND(($D19+$C$1)&gt;AU$4,AU$4&gt;=$C$1),'General Inputs'!R$9*$G19,0))+IF(AND(($E19+$C$1)&gt;AU$4,AU$4&gt;=$C$1),'General Inputs'!R$10*$J19,IF(AND(($D19+$C$1)&gt;AU$4,AU$4&gt;=$C$1),'General Inputs'!R$10*$I19,0))</f>
        <v>8154.1222024976023</v>
      </c>
      <c r="AV19" s="214">
        <f>IF(AND(($E19+$C$1)&gt;AV$4,AV$4&gt;=$C$1),'General Inputs'!S$9*$H19,IF(AND(($D19+$C$1)&gt;AV$4,AV$4&gt;=$C$1),'General Inputs'!S$9*$G19,0))+IF(AND(($E19+$C$1)&gt;AV$4,AV$4&gt;=$C$1),'General Inputs'!S$10*$J19,IF(AND(($D19+$C$1)&gt;AV$4,AV$4&gt;=$C$1),'General Inputs'!S$10*$I19,0))</f>
        <v>8276.434035535065</v>
      </c>
      <c r="AW19" s="214">
        <f>IF(AND(($E19+$C$1)&gt;AW$4,AW$4&gt;=$C$1),'General Inputs'!T$9*$H19,IF(AND(($D19+$C$1)&gt;AW$4,AW$4&gt;=$C$1),'General Inputs'!T$9*$G19,0))+IF(AND(($E19+$C$1)&gt;AW$4,AW$4&gt;=$C$1),'General Inputs'!T$10*$J19,IF(AND(($D19+$C$1)&gt;AW$4,AW$4&gt;=$C$1),'General Inputs'!T$10*$I19,0))</f>
        <v>8400.5805460680913</v>
      </c>
      <c r="AX19" s="214">
        <f>IF(AND(($E19+$C$1)&gt;AX$4,AX$4&gt;=$C$1),'General Inputs'!U$9*$H19,IF(AND(($D19+$C$1)&gt;AX$4,AX$4&gt;=$C$1),'General Inputs'!U$9*$G19,0))+IF(AND(($E19+$C$1)&gt;AX$4,AX$4&gt;=$C$1),'General Inputs'!U$10*$J19,IF(AND(($D19+$C$1)&gt;AX$4,AX$4&gt;=$C$1),'General Inputs'!U$10*$I19,0))</f>
        <v>0</v>
      </c>
      <c r="AY19" s="214">
        <f>IF(AND(($E19+$C$1)&gt;AY$4,AY$4&gt;=$C$1),'General Inputs'!V$9*$H19,IF(AND(($D19+$C$1)&gt;AY$4,AY$4&gt;=$C$1),'General Inputs'!V$9*$G19,0))+IF(AND(($E19+$C$1)&gt;AY$4,AY$4&gt;=$C$1),'General Inputs'!V$10*$J19,IF(AND(($D19+$C$1)&gt;AY$4,AY$4&gt;=$C$1),'General Inputs'!V$10*$I19,0))</f>
        <v>0</v>
      </c>
      <c r="AZ19" s="214">
        <f>IF(AND(($E19+$C$1)&gt;AZ$4,AZ$4&gt;=$C$1),'General Inputs'!W$9*$H19,IF(AND(($D19+$C$1)&gt;AZ$4,AZ$4&gt;=$C$1),'General Inputs'!W$9*$G19,0))+IF(AND(($E19+$C$1)&gt;AZ$4,AZ$4&gt;=$C$1),'General Inputs'!W$10*$J19,IF(AND(($D19+$C$1)&gt;AZ$4,AZ$4&gt;=$C$1),'General Inputs'!W$10*$I19,0))</f>
        <v>0</v>
      </c>
      <c r="BB19" s="214">
        <f>IF(AND(($E19+$C$1)&gt;BB$4,BB$4&gt;=$C$1),'General Inputs'!D$11*$H19,IF(AND(($D19+$C$1)&gt;BB$4,BB$4&gt;=$C$1),'General Inputs'!D$11*$G19,0))</f>
        <v>0</v>
      </c>
      <c r="BC19" s="214">
        <f>IF(AND(($E19+$C$1)&gt;BC$4,BC$4&gt;=$C$1),'General Inputs'!E$11*$H19,IF(AND(($D19+$C$1)&gt;BC$4,BC$4&gt;=$C$1),'General Inputs'!E$11*$G19,0))</f>
        <v>0</v>
      </c>
      <c r="BD19" s="214">
        <f>IF(AND(($E19+$C$1)&gt;BD$4,BD$4&gt;=$C$1),'General Inputs'!F$11*$H19,IF(AND(($D19+$C$1)&gt;BD$4,BD$4&gt;=$C$1),'General Inputs'!F$11*$G19,0))</f>
        <v>1862.3883861728509</v>
      </c>
      <c r="BE19" s="214">
        <f>IF(AND(($E19+$C$1)&gt;BE$4,BE$4&gt;=$C$1),'General Inputs'!G$11*$H19,IF(AND(($D19+$C$1)&gt;BE$4,BE$4&gt;=$C$1),'General Inputs'!G$11*$G19,0))</f>
        <v>1862.3883861728509</v>
      </c>
      <c r="BF19" s="214">
        <f>IF(AND(($E19+$C$1)&gt;BF$4,BF$4&gt;=$C$1),'General Inputs'!H$11*$H19,IF(AND(($D19+$C$1)&gt;BF$4,BF$4&gt;=$C$1),'General Inputs'!H$11*$G19,0))</f>
        <v>1862.3883861728509</v>
      </c>
      <c r="BG19" s="214">
        <f>IF(AND(($E19+$C$1)&gt;BG$4,BG$4&gt;=$C$1),'General Inputs'!I$11*$H19,IF(AND(($D19+$C$1)&gt;BG$4,BG$4&gt;=$C$1),'General Inputs'!I$11*$G19,0))</f>
        <v>1862.3883861728509</v>
      </c>
      <c r="BH19" s="214">
        <f>IF(AND(($E19+$C$1)&gt;BH$4,BH$4&gt;=$C$1),'General Inputs'!J$11*$H19,IF(AND(($D19+$C$1)&gt;BH$4,BH$4&gt;=$C$1),'General Inputs'!J$11*$G19,0))</f>
        <v>1862.3883861728509</v>
      </c>
      <c r="BI19" s="214">
        <f>IF(AND(($E19+$C$1)&gt;BI$4,BI$4&gt;=$C$1),'General Inputs'!K$11*$H19,IF(AND(($D19+$C$1)&gt;BI$4,BI$4&gt;=$C$1),'General Inputs'!K$11*$G19,0))</f>
        <v>1862.3883861728509</v>
      </c>
      <c r="BJ19" s="214">
        <f>IF(AND(($E19+$C$1)&gt;BJ$4,BJ$4&gt;=$C$1),'General Inputs'!L$11*$H19,IF(AND(($D19+$C$1)&gt;BJ$4,BJ$4&gt;=$C$1),'General Inputs'!L$11*$G19,0))</f>
        <v>1862.3883861728509</v>
      </c>
      <c r="BK19" s="214">
        <f>IF(AND(($E19+$C$1)&gt;BK$4,BK$4&gt;=$C$1),'General Inputs'!M$11*$H19,IF(AND(($D19+$C$1)&gt;BK$4,BK$4&gt;=$C$1),'General Inputs'!M$11*$G19,0))</f>
        <v>1862.3883861728509</v>
      </c>
      <c r="BL19" s="214">
        <f>IF(AND(($E19+$C$1)&gt;BL$4,BL$4&gt;=$C$1),'General Inputs'!N$11*$H19,IF(AND(($D19+$C$1)&gt;BL$4,BL$4&gt;=$C$1),'General Inputs'!N$11*$G19,0))</f>
        <v>1862.3883861728509</v>
      </c>
      <c r="BM19" s="214">
        <f>IF(AND(($E19+$C$1)&gt;BM$4,BM$4&gt;=$C$1),'General Inputs'!O$11*$H19,IF(AND(($D19+$C$1)&gt;BM$4,BM$4&gt;=$C$1),'General Inputs'!O$11*$G19,0))</f>
        <v>1862.3883861728509</v>
      </c>
      <c r="BN19" s="214">
        <f>IF(AND(($E19+$C$1)&gt;BN$4,BN$4&gt;=$C$1),'General Inputs'!P$11*$H19,IF(AND(($D19+$C$1)&gt;BN$4,BN$4&gt;=$C$1),'General Inputs'!P$11*$G19,0))</f>
        <v>1862.3883861728509</v>
      </c>
      <c r="BO19" s="214">
        <f>IF(AND(($E19+$C$1)&gt;BO$4,BO$4&gt;=$C$1),'General Inputs'!Q$11*$H19,IF(AND(($D19+$C$1)&gt;BO$4,BO$4&gt;=$C$1),'General Inputs'!Q$11*$G19,0))</f>
        <v>1862.3883861728509</v>
      </c>
      <c r="BP19" s="214">
        <f>IF(AND(($E19+$C$1)&gt;BP$4,BP$4&gt;=$C$1),'General Inputs'!R$11*$H19,IF(AND(($D19+$C$1)&gt;BP$4,BP$4&gt;=$C$1),'General Inputs'!R$11*$G19,0))</f>
        <v>1862.3883861728509</v>
      </c>
      <c r="BQ19" s="214">
        <f>IF(AND(($E19+$C$1)&gt;BQ$4,BQ$4&gt;=$C$1),'General Inputs'!S$11*$H19,IF(AND(($D19+$C$1)&gt;BQ$4,BQ$4&gt;=$C$1),'General Inputs'!S$11*$G19,0))</f>
        <v>1862.3883861728509</v>
      </c>
      <c r="BR19" s="214">
        <f>IF(AND(($E19+$C$1)&gt;BR$4,BR$4&gt;=$C$1),'General Inputs'!T$11*$H19,IF(AND(($D19+$C$1)&gt;BR$4,BR$4&gt;=$C$1),'General Inputs'!T$11*$G19,0))</f>
        <v>1862.3883861728509</v>
      </c>
      <c r="BS19" s="214">
        <f>IF(AND(($E19+$C$1)&gt;BS$4,BS$4&gt;=$C$1),'General Inputs'!U$11*$H19,IF(AND(($D19+$C$1)&gt;BS$4,BS$4&gt;=$C$1),'General Inputs'!U$11*$G19,0))</f>
        <v>0</v>
      </c>
      <c r="BT19" s="214">
        <f>IF(AND(($E19+$C$1)&gt;BT$4,BT$4&gt;=$C$1),'General Inputs'!V$11*$H19,IF(AND(($D19+$C$1)&gt;BT$4,BT$4&gt;=$C$1),'General Inputs'!V$11*$G19,0))</f>
        <v>0</v>
      </c>
      <c r="BU19" s="214">
        <f>IF(AND(($E19+$C$1)&gt;BU$4,BU$4&gt;=$C$1),'General Inputs'!W$11*$H19,IF(AND(($D19+$C$1)&gt;BU$4,BU$4&gt;=$C$1),'General Inputs'!W$11*$G19,0))</f>
        <v>0</v>
      </c>
      <c r="BW19" s="214">
        <f>IF(AND(($E19+$C$1)&gt;BW$4,BW$4&gt;=$C$1),$H19,IF(AND(($D19+$C$1)&gt;BW$4,BW$4&gt;=$C$1),$G19,0))*IF($A19="Residential",'General Inputs'!D$14,'General Inputs'!D$19)</f>
        <v>0</v>
      </c>
      <c r="BX19" s="214">
        <f>IF(AND(($E19+$C$1)&gt;BX$4,BX$4&gt;=$C$1),$H19,IF(AND(($D19+$C$1)&gt;BX$4,BX$4&gt;=$C$1),$G19,0))*IF($A19="Residential",'General Inputs'!E$14,'General Inputs'!E$19)</f>
        <v>0</v>
      </c>
      <c r="BY19" s="214">
        <f>IF(AND(($E19+$C$1)&gt;BY$4,BY$4&gt;=$C$1),$H19,IF(AND(($D19+$C$1)&gt;BY$4,BY$4&gt;=$C$1),$G19,0))*IF($A19="Residential",'General Inputs'!F$14,'General Inputs'!F$19)</f>
        <v>22591.665258829162</v>
      </c>
      <c r="BZ19" s="214">
        <f>IF(AND(($E19+$C$1)&gt;BZ$4,BZ$4&gt;=$C$1),$H19,IF(AND(($D19+$C$1)&gt;BZ$4,BZ$4&gt;=$C$1),$G19,0))*IF($A19="Residential",'General Inputs'!G$14,'General Inputs'!G$19)</f>
        <v>22930.540237711593</v>
      </c>
      <c r="CA19" s="214">
        <f>IF(AND(($E19+$C$1)&gt;CA$4,CA$4&gt;=$C$1),$H19,IF(AND(($D19+$C$1)&gt;CA$4,CA$4&gt;=$C$1),$G19,0))*IF($A19="Residential",'General Inputs'!H$14,'General Inputs'!H$19)</f>
        <v>23274.498341277264</v>
      </c>
      <c r="CB19" s="214">
        <f>IF(AND(($E19+$C$1)&gt;CB$4,CB$4&gt;=$C$1),$H19,IF(AND(($D19+$C$1)&gt;CB$4,CB$4&gt;=$C$1),$G19,0))*IF($A19="Residential",'General Inputs'!I$14,'General Inputs'!I$19)</f>
        <v>23623.615816396421</v>
      </c>
      <c r="CC19" s="214">
        <f>IF(AND(($E19+$C$1)&gt;CC$4,CC$4&gt;=$C$1),$H19,IF(AND(($D19+$C$1)&gt;CC$4,CC$4&gt;=$C$1),$G19,0))*IF($A19="Residential",'General Inputs'!J$14,'General Inputs'!J$19)</f>
        <v>23977.970053642366</v>
      </c>
      <c r="CD19" s="214">
        <f>IF(AND(($E19+$C$1)&gt;CD$4,CD$4&gt;=$C$1),$H19,IF(AND(($D19+$C$1)&gt;CD$4,CD$4&gt;=$C$1),$G19,0))*IF($A19="Residential",'General Inputs'!K$14,'General Inputs'!K$19)</f>
        <v>24337.639604446998</v>
      </c>
      <c r="CE19" s="214">
        <f>IF(AND(($E19+$C$1)&gt;CE$4,CE$4&gt;=$C$1),$H19,IF(AND(($D19+$C$1)&gt;CE$4,CE$4&gt;=$C$1),$G19,0))*IF($A19="Residential",'General Inputs'!L$14,'General Inputs'!L$19)</f>
        <v>24702.704198513697</v>
      </c>
      <c r="CF19" s="214">
        <f>IF(AND(($E19+$C$1)&gt;CF$4,CF$4&gt;=$C$1),$H19,IF(AND(($D19+$C$1)&gt;CF$4,CF$4&gt;=$C$1),$G19,0))*IF($A19="Residential",'General Inputs'!M$14,'General Inputs'!M$19)</f>
        <v>25073.244761491402</v>
      </c>
      <c r="CG19" s="214">
        <f>IF(AND(($E19+$C$1)&gt;CG$4,CG$4&gt;=$C$1),$H19,IF(AND(($D19+$C$1)&gt;CG$4,CG$4&gt;=$C$1),$G19,0))*IF($A19="Residential",'General Inputs'!N$14,'General Inputs'!N$19)</f>
        <v>25449.343432913771</v>
      </c>
      <c r="CH19" s="214">
        <f>IF(AND(($E19+$C$1)&gt;CH$4,CH$4&gt;=$C$1),$H19,IF(AND(($D19+$C$1)&gt;CH$4,CH$4&gt;=$C$1),$G19,0))*IF($A19="Residential",'General Inputs'!O$14,'General Inputs'!O$19)</f>
        <v>25831.083584407472</v>
      </c>
      <c r="CI19" s="214">
        <f>IF(AND(($E19+$C$1)&gt;CI$4,CI$4&gt;=$C$1),$H19,IF(AND(($D19+$C$1)&gt;CI$4,CI$4&gt;=$C$1),$G19,0))*IF($A19="Residential",'General Inputs'!P$14,'General Inputs'!P$19)</f>
        <v>26218.549838173582</v>
      </c>
      <c r="CJ19" s="214">
        <f>IF(AND(($E19+$C$1)&gt;CJ$4,CJ$4&gt;=$C$1),$H19,IF(AND(($D19+$C$1)&gt;CJ$4,CJ$4&gt;=$C$1),$G19,0))*IF($A19="Residential",'General Inputs'!Q$14,'General Inputs'!Q$19)</f>
        <v>26611.828085746183</v>
      </c>
      <c r="CK19" s="214">
        <f>IF(AND(($E19+$C$1)&gt;CK$4,CK$4&gt;=$C$1),$H19,IF(AND(($D19+$C$1)&gt;CK$4,CK$4&gt;=$C$1),$G19,0))*IF($A19="Residential",'General Inputs'!R$14,'General Inputs'!R$19)</f>
        <v>27011.005507032372</v>
      </c>
      <c r="CL19" s="214">
        <f>IF(AND(($E19+$C$1)&gt;CL$4,CL$4&gt;=$C$1),$H19,IF(AND(($D19+$C$1)&gt;CL$4,CL$4&gt;=$C$1),$G19,0))*IF($A19="Residential",'General Inputs'!S$14,'General Inputs'!S$19)</f>
        <v>27416.170589637855</v>
      </c>
      <c r="CM19" s="214">
        <f>IF(AND(($E19+$C$1)&gt;CM$4,CM$4&gt;=$C$1),$H19,IF(AND(($D19+$C$1)&gt;CM$4,CM$4&gt;=$C$1),$G19,0))*IF($A19="Residential",'General Inputs'!T$14,'General Inputs'!T$19)</f>
        <v>27827.413148482421</v>
      </c>
      <c r="CN19" s="214">
        <f>IF(AND(($E19+$C$1)&gt;CN$4,CN$4&gt;=$C$1),$H19,IF(AND(($D19+$C$1)&gt;CN$4,CN$4&gt;=$C$1),$G19,0))*IF($A19="Residential",'General Inputs'!U$14,'General Inputs'!U$19)</f>
        <v>0</v>
      </c>
      <c r="CO19" s="214">
        <f>IF(AND(($E19+$C$1)&gt;CO$4,CO$4&gt;=$C$1),$H19,IF(AND(($D19+$C$1)&gt;CO$4,CO$4&gt;=$C$1),$G19,0))*IF($A19="Residential",'General Inputs'!V$14,'General Inputs'!V$19)</f>
        <v>0</v>
      </c>
      <c r="CP19" s="214">
        <f>IF(AND(($E19+$C$1)&gt;CP$4,CP$4&gt;=$C$1),$H19,IF(AND(($D19+$C$1)&gt;CP$4,CP$4&gt;=$C$1),$G19,0))*IF($A19="Residential",'General Inputs'!W$14,'General Inputs'!W$19)</f>
        <v>0</v>
      </c>
      <c r="CR19" s="214">
        <f>IF(AND(($E19+$C$1)&gt;CR$4,CR$4&gt;=$C$1),$H19,IF(AND(($D19+$C$1)&gt;CR$4,CR$4&gt;=$C$1),$G19,0))*IF($A19="Residential",'General Inputs'!D$15,'General Inputs'!D$19)</f>
        <v>0</v>
      </c>
      <c r="CS19" s="214">
        <f>IF(AND(($E19+$C$1)&gt;CS$4,CS$4&gt;=$C$1),$H19,IF(AND(($D19+$C$1)&gt;CS$4,CS$4&gt;=$C$1),$G19,0))*IF($A19="Residential",'General Inputs'!E$15,'General Inputs'!E$19)</f>
        <v>0</v>
      </c>
      <c r="CT19" s="214">
        <f>IF(AND(($E19+$C$1)&gt;CT$4,CT$4&gt;=$C$1),$H19,IF(AND(($D19+$C$1)&gt;CT$4,CT$4&gt;=$C$1),$G19,0))*IF($A19="Residential",'General Inputs'!F$15,'General Inputs'!F$19)</f>
        <v>18378.50674302076</v>
      </c>
      <c r="CU19" s="214">
        <f>IF(AND(($E19+$C$1)&gt;CU$4,CU$4&gt;=$C$1),$H19,IF(AND(($D19+$C$1)&gt;CU$4,CU$4&gt;=$C$1),$G19,0))*IF($A19="Residential",'General Inputs'!G$15,'General Inputs'!G$19)</f>
        <v>18654.184344166068</v>
      </c>
      <c r="CV19" s="214">
        <f>IF(AND(($E19+$C$1)&gt;CV$4,CV$4&gt;=$C$1),$H19,IF(AND(($D19+$C$1)&gt;CV$4,CV$4&gt;=$C$1),$G19,0))*IF($A19="Residential",'General Inputs'!H$15,'General Inputs'!H$19)</f>
        <v>18933.997109328557</v>
      </c>
      <c r="CW19" s="214">
        <f>IF(AND(($E19+$C$1)&gt;CW$4,CW$4&gt;=$C$1),$H19,IF(AND(($D19+$C$1)&gt;CW$4,CW$4&gt;=$C$1),$G19,0))*IF($A19="Residential",'General Inputs'!I$15,'General Inputs'!I$19)</f>
        <v>19218.007065968482</v>
      </c>
      <c r="CX19" s="214">
        <f>IF(AND(($E19+$C$1)&gt;CX$4,CX$4&gt;=$C$1),$H19,IF(AND(($D19+$C$1)&gt;CX$4,CX$4&gt;=$C$1),$G19,0))*IF($A19="Residential",'General Inputs'!J$15,'General Inputs'!J$19)</f>
        <v>19506.277171958009</v>
      </c>
      <c r="CY19" s="214">
        <f>IF(AND(($E19+$C$1)&gt;CY$4,CY$4&gt;=$C$1),$H19,IF(AND(($D19+$C$1)&gt;CY$4,CY$4&gt;=$C$1),$G19,0))*IF($A19="Residential",'General Inputs'!K$15,'General Inputs'!K$19)</f>
        <v>19798.871329537378</v>
      </c>
      <c r="CZ19" s="214">
        <f>IF(AND(($E19+$C$1)&gt;CZ$4,CZ$4&gt;=$C$1),$H19,IF(AND(($D19+$C$1)&gt;CZ$4,CZ$4&gt;=$C$1),$G19,0))*IF($A19="Residential",'General Inputs'!L$15,'General Inputs'!L$19)</f>
        <v>20095.854399480435</v>
      </c>
      <c r="DA19" s="214">
        <f>IF(AND(($E19+$C$1)&gt;DA$4,DA$4&gt;=$C$1),$H19,IF(AND(($D19+$C$1)&gt;DA$4,DA$4&gt;=$C$1),$G19,0))*IF($A19="Residential",'General Inputs'!M$15,'General Inputs'!M$19)</f>
        <v>20397.29221547264</v>
      </c>
      <c r="DB19" s="214">
        <f>IF(AND(($E19+$C$1)&gt;DB$4,DB$4&gt;=$C$1),$H19,IF(AND(($D19+$C$1)&gt;DB$4,DB$4&gt;=$C$1),$G19,0))*IF($A19="Residential",'General Inputs'!N$15,'General Inputs'!N$19)</f>
        <v>20703.251598704726</v>
      </c>
      <c r="DC19" s="214">
        <f>IF(AND(($E19+$C$1)&gt;DC$4,DC$4&gt;=$C$1),$H19,IF(AND(($D19+$C$1)&gt;DC$4,DC$4&gt;=$C$1),$G19,0))*IF($A19="Residential",'General Inputs'!O$15,'General Inputs'!O$19)</f>
        <v>21013.800372685295</v>
      </c>
      <c r="DD19" s="214">
        <f>IF(AND(($E19+$C$1)&gt;DD$4,DD$4&gt;=$C$1),$H19,IF(AND(($D19+$C$1)&gt;DD$4,DD$4&gt;=$C$1),$G19,0))*IF($A19="Residential",'General Inputs'!P$15,'General Inputs'!P$19)</f>
        <v>21329.007378275575</v>
      </c>
      <c r="DE19" s="214">
        <f>IF(AND(($E19+$C$1)&gt;DE$4,DE$4&gt;=$C$1),$H19,IF(AND(($D19+$C$1)&gt;DE$4,DE$4&gt;=$C$1),$G19,0))*IF($A19="Residential",'General Inputs'!Q$15,'General Inputs'!Q$19)</f>
        <v>21648.942488949706</v>
      </c>
      <c r="DF19" s="214">
        <f>IF(AND(($E19+$C$1)&gt;DF$4,DF$4&gt;=$C$1),$H19,IF(AND(($D19+$C$1)&gt;DF$4,DF$4&gt;=$C$1),$G19,0))*IF($A19="Residential",'General Inputs'!R$15,'General Inputs'!R$19)</f>
        <v>21973.676626283948</v>
      </c>
      <c r="DG19" s="214">
        <f>IF(AND(($E19+$C$1)&gt;DG$4,DG$4&gt;=$C$1),$H19,IF(AND(($D19+$C$1)&gt;DG$4,DG$4&gt;=$C$1),$G19,0))*IF($A19="Residential",'General Inputs'!S$15,'General Inputs'!S$19)</f>
        <v>22303.281775678206</v>
      </c>
      <c r="DH19" s="214">
        <f>IF(AND(($E19+$C$1)&gt;DH$4,DH$4&gt;=$C$1),$H19,IF(AND(($D19+$C$1)&gt;DH$4,DH$4&gt;=$C$1),$G19,0))*IF($A19="Residential",'General Inputs'!T$15,'General Inputs'!T$19)</f>
        <v>22637.831002313374</v>
      </c>
      <c r="DI19" s="214">
        <f>IF(AND(($E19+$C$1)&gt;DI$4,DI$4&gt;=$C$1),$H19,IF(AND(($D19+$C$1)&gt;DI$4,DI$4&gt;=$C$1),$G19,0))*IF($A19="Residential",'General Inputs'!U$15,'General Inputs'!U$19)</f>
        <v>0</v>
      </c>
      <c r="DJ19" s="214">
        <f>IF(AND(($E19+$C$1)&gt;DJ$4,DJ$4&gt;=$C$1),$H19,IF(AND(($D19+$C$1)&gt;DJ$4,DJ$4&gt;=$C$1),$G19,0))*IF($A19="Residential",'General Inputs'!V$15,'General Inputs'!V$19)</f>
        <v>0</v>
      </c>
      <c r="DK19" s="214">
        <f>IF(AND(($E19+$C$1)&gt;DK$4,DK$4&gt;=$C$1),$H19,IF(AND(($D19+$C$1)&gt;DK$4,DK$4&gt;=$C$1),$G19,0))*IF($A19="Residential",'General Inputs'!W$15,'General Inputs'!W$19)</f>
        <v>0</v>
      </c>
      <c r="DM19" s="214">
        <f t="shared" si="47"/>
        <v>0</v>
      </c>
      <c r="DN19" s="214">
        <f t="shared" si="27"/>
        <v>0</v>
      </c>
      <c r="DO19" s="214">
        <f t="shared" si="27"/>
        <v>63000</v>
      </c>
      <c r="DP19" s="214">
        <f t="shared" si="27"/>
        <v>0</v>
      </c>
      <c r="DQ19" s="214">
        <f t="shared" si="27"/>
        <v>0</v>
      </c>
      <c r="DR19" s="214">
        <f t="shared" si="27"/>
        <v>0</v>
      </c>
      <c r="DS19" s="214">
        <f t="shared" si="27"/>
        <v>0</v>
      </c>
      <c r="DT19" s="214">
        <f t="shared" si="27"/>
        <v>0</v>
      </c>
      <c r="DU19" s="214">
        <f t="shared" si="27"/>
        <v>0</v>
      </c>
      <c r="DV19" s="214">
        <f t="shared" si="27"/>
        <v>0</v>
      </c>
      <c r="DW19" s="214">
        <f t="shared" si="27"/>
        <v>0</v>
      </c>
      <c r="DZ19" s="650"/>
      <c r="FI19" s="195"/>
      <c r="FJ19" s="195"/>
      <c r="FK19" s="195"/>
      <c r="FL19" s="195"/>
      <c r="FM19" s="195"/>
      <c r="FN19" s="195"/>
      <c r="FO19" s="195"/>
    </row>
    <row r="20" spans="1:171">
      <c r="A20" s="342" t="s">
        <v>12</v>
      </c>
      <c r="B20" s="427" t="str">
        <f>'Portfolio Inputs'!A19</f>
        <v>Electric Storage Water Heater</v>
      </c>
      <c r="C20" s="217">
        <f>IF($C$1=2014,'Portfolio Inputs'!$C19,IF($C$1=2015,'Portfolio Inputs'!$D19,'Portfolio Inputs'!$E19))</f>
        <v>70</v>
      </c>
      <c r="D20" s="504">
        <f>VLOOKUP(B20,Sources!$B$4:$J$104,2,FALSE)</f>
        <v>15</v>
      </c>
      <c r="E20" s="504">
        <f>VLOOKUP(B20,Sources!$B$4:$J$104,3,FALSE)</f>
        <v>0</v>
      </c>
      <c r="G20" s="504">
        <f>IF($C$1=2014,'Portfolio Inputs'!$G19,IF($C$1=2015,'Portfolio Inputs'!$H19,'Portfolio Inputs'!$I19))*EnergyLineLoss</f>
        <v>9339.3378929158025</v>
      </c>
      <c r="H20" s="504">
        <f>VLOOKUP($B20,Sources!$B$4:$K$104,6,FALSE)*C20*EnergyLineLoss</f>
        <v>0</v>
      </c>
      <c r="I20" s="504">
        <f>IF($C$1=2014,'Portfolio Inputs'!$K19,IF($C$1=2015,'Portfolio Inputs'!$L19,'Portfolio Inputs'!$M19))*PeakLineLoss</f>
        <v>1.1117163058265489</v>
      </c>
      <c r="J20" s="510">
        <f>VLOOKUP($B20,Sources!$B$4:$K$104,8,FALSE)*C20*PeakLineLoss</f>
        <v>0</v>
      </c>
      <c r="L20" s="606">
        <f>IF($C$1=2014,'Portfolio Inputs'!$O19,IF($C$1=2015,'Portfolio Inputs'!$P19,'Portfolio Inputs'!$Q19))</f>
        <v>50</v>
      </c>
      <c r="M20" s="518">
        <f>VLOOKUP($B20,Sources!$B$4:$K$104,10,FALSE)</f>
        <v>0</v>
      </c>
      <c r="N20" s="419">
        <f>IF($C$1=2014,'Portfolio Inputs'!$W19,IF($C$1=2015,'Portfolio Inputs'!$X19,'Portfolio Inputs'!$Y19))</f>
        <v>4200</v>
      </c>
      <c r="O20" s="419"/>
      <c r="Q20" s="438">
        <f t="shared" si="0"/>
        <v>1.1006103605272692</v>
      </c>
      <c r="R20" s="439">
        <f t="shared" si="1"/>
        <v>0.91717530043939088</v>
      </c>
      <c r="S20" s="439">
        <f t="shared" si="2"/>
        <v>1.3700284158758935</v>
      </c>
      <c r="T20" s="439">
        <f t="shared" si="3"/>
        <v>4.751780953717728</v>
      </c>
      <c r="U20" s="439">
        <f t="shared" si="44"/>
        <v>4.0894032139628553</v>
      </c>
      <c r="V20" s="439">
        <f t="shared" si="45"/>
        <v>0.23162060104352389</v>
      </c>
      <c r="W20" s="439">
        <f t="shared" si="46"/>
        <v>0.26913715839253655</v>
      </c>
      <c r="Y20" s="215">
        <f t="shared" si="4"/>
        <v>3251.8056015160255</v>
      </c>
      <c r="Z20" s="215">
        <f t="shared" si="5"/>
        <v>796.00844490733323</v>
      </c>
      <c r="AA20" s="215">
        <f t="shared" si="6"/>
        <v>10493.905577196389</v>
      </c>
      <c r="AB20" s="215">
        <f t="shared" si="7"/>
        <v>8536.8790747177663</v>
      </c>
      <c r="AC20" s="216">
        <f t="shared" si="20"/>
        <v>0</v>
      </c>
      <c r="AD20" s="216">
        <f t="shared" si="21"/>
        <v>3545.4570134609862</v>
      </c>
      <c r="AE20" s="215">
        <f t="shared" si="8"/>
        <v>2954.5475112174881</v>
      </c>
      <c r="AG20" s="214">
        <f>IF(AND(($E20+$C$1)&gt;AG$4,AG$4&gt;=$C$1),'General Inputs'!D$9*$H20,IF(AND(($D20+$C$1)&gt;AG$4,AG$4&gt;=$C$1),'General Inputs'!D$9*$G20,0))+IF(AND(($E20+$C$1)&gt;AG$4,AG$4&gt;=$C$1),'General Inputs'!D$10*$J20,IF(AND(($D20+$C$1)&gt;AG$4,AG$4&gt;=$C$1),'General Inputs'!D$10*$I20,0))</f>
        <v>0</v>
      </c>
      <c r="AH20" s="214">
        <f>IF(AND(($E20+$C$1)&gt;AH$4,AH$4&gt;=$C$1),'General Inputs'!E$9*$H20,IF(AND(($D20+$C$1)&gt;AH$4,AH$4&gt;=$C$1),'General Inputs'!E$9*$G20,0))+IF(AND(($E20+$C$1)&gt;AH$4,AH$4&gt;=$C$1),'General Inputs'!E$10*$J20,IF(AND(($D20+$C$1)&gt;AH$4,AH$4&gt;=$C$1),'General Inputs'!E$10*$I20,0))</f>
        <v>0</v>
      </c>
      <c r="AI20" s="214">
        <f>IF(AND(($E20+$C$1)&gt;AI$4,AI$4&gt;=$C$1),'General Inputs'!F$9*$H20,IF(AND(($D20+$C$1)&gt;AI$4,AI$4&gt;=$C$1),'General Inputs'!F$9*$G20,0))+IF(AND(($E20+$C$1)&gt;AI$4,AI$4&gt;=$C$1),'General Inputs'!F$10*$J20,IF(AND(($D20+$C$1)&gt;AI$4,AI$4&gt;=$C$1),'General Inputs'!F$10*$I20,0))</f>
        <v>400.2085402443297</v>
      </c>
      <c r="AJ20" s="214">
        <f>IF(AND(($E20+$C$1)&gt;AJ$4,AJ$4&gt;=$C$1),'General Inputs'!G$9*$H20,IF(AND(($D20+$C$1)&gt;AJ$4,AJ$4&gt;=$C$1),'General Inputs'!G$9*$G20,0))+IF(AND(($E20+$C$1)&gt;AJ$4,AJ$4&gt;=$C$1),'General Inputs'!G$10*$J20,IF(AND(($D20+$C$1)&gt;AJ$4,AJ$4&gt;=$C$1),'General Inputs'!G$10*$I20,0))</f>
        <v>406.21166834799459</v>
      </c>
      <c r="AK20" s="214">
        <f>IF(AND(($E20+$C$1)&gt;AK$4,AK$4&gt;=$C$1),'General Inputs'!H$9*$H20,IF(AND(($D20+$C$1)&gt;AK$4,AK$4&gt;=$C$1),'General Inputs'!H$9*$G20,0))+IF(AND(($E20+$C$1)&gt;AK$4,AK$4&gt;=$C$1),'General Inputs'!H$10*$J20,IF(AND(($D20+$C$1)&gt;AK$4,AK$4&gt;=$C$1),'General Inputs'!H$10*$I20,0))</f>
        <v>412.30484337321445</v>
      </c>
      <c r="AL20" s="214">
        <f>IF(AND(($E20+$C$1)&gt;AL$4,AL$4&gt;=$C$1),'General Inputs'!I$9*$H20,IF(AND(($D20+$C$1)&gt;AL$4,AL$4&gt;=$C$1),'General Inputs'!I$9*$G20,0))+IF(AND(($E20+$C$1)&gt;AL$4,AL$4&gt;=$C$1),'General Inputs'!I$10*$J20,IF(AND(($D20+$C$1)&gt;AL$4,AL$4&gt;=$C$1),'General Inputs'!I$10*$I20,0))</f>
        <v>418.48941602381257</v>
      </c>
      <c r="AM20" s="214">
        <f>IF(AND(($E20+$C$1)&gt;AM$4,AM$4&gt;=$C$1),'General Inputs'!J$9*$H20,IF(AND(($D20+$C$1)&gt;AM$4,AM$4&gt;=$C$1),'General Inputs'!J$9*$G20,0))+IF(AND(($E20+$C$1)&gt;AM$4,AM$4&gt;=$C$1),'General Inputs'!J$10*$J20,IF(AND(($D20+$C$1)&gt;AM$4,AM$4&gt;=$C$1),'General Inputs'!J$10*$I20,0))</f>
        <v>424.76675726416971</v>
      </c>
      <c r="AN20" s="214">
        <f>IF(AND(($E20+$C$1)&gt;AN$4,AN$4&gt;=$C$1),'General Inputs'!K$9*$H20,IF(AND(($D20+$C$1)&gt;AN$4,AN$4&gt;=$C$1),'General Inputs'!K$9*$G20,0))+IF(AND(($E20+$C$1)&gt;AN$4,AN$4&gt;=$C$1),'General Inputs'!K$10*$J20,IF(AND(($D20+$C$1)&gt;AN$4,AN$4&gt;=$C$1),'General Inputs'!K$10*$I20,0))</f>
        <v>431.13825862313217</v>
      </c>
      <c r="AO20" s="214">
        <f>IF(AND(($E20+$C$1)&gt;AO$4,AO$4&gt;=$C$1),'General Inputs'!L$9*$H20,IF(AND(($D20+$C$1)&gt;AO$4,AO$4&gt;=$C$1),'General Inputs'!L$9*$G20,0))+IF(AND(($E20+$C$1)&gt;AO$4,AO$4&gt;=$C$1),'General Inputs'!L$10*$J20,IF(AND(($D20+$C$1)&gt;AO$4,AO$4&gt;=$C$1),'General Inputs'!L$10*$I20,0))</f>
        <v>437.60533250247914</v>
      </c>
      <c r="AP20" s="214">
        <f>IF(AND(($E20+$C$1)&gt;AP$4,AP$4&gt;=$C$1),'General Inputs'!M$9*$H20,IF(AND(($D20+$C$1)&gt;AP$4,AP$4&gt;=$C$1),'General Inputs'!M$9*$G20,0))+IF(AND(($E20+$C$1)&gt;AP$4,AP$4&gt;=$C$1),'General Inputs'!M$10*$J20,IF(AND(($D20+$C$1)&gt;AP$4,AP$4&gt;=$C$1),'General Inputs'!M$10*$I20,0))</f>
        <v>444.16941249001627</v>
      </c>
      <c r="AQ20" s="214">
        <f>IF(AND(($E20+$C$1)&gt;AQ$4,AQ$4&gt;=$C$1),'General Inputs'!N$9*$H20,IF(AND(($D20+$C$1)&gt;AQ$4,AQ$4&gt;=$C$1),'General Inputs'!N$9*$G20,0))+IF(AND(($E20+$C$1)&gt;AQ$4,AQ$4&gt;=$C$1),'General Inputs'!N$10*$J20,IF(AND(($D20+$C$1)&gt;AQ$4,AQ$4&gt;=$C$1),'General Inputs'!N$10*$I20,0))</f>
        <v>450.83195367736653</v>
      </c>
      <c r="AR20" s="214">
        <f>IF(AND(($E20+$C$1)&gt;AR$4,AR$4&gt;=$C$1),'General Inputs'!O$9*$H20,IF(AND(($D20+$C$1)&gt;AR$4,AR$4&gt;=$C$1),'General Inputs'!O$9*$G20,0))+IF(AND(($E20+$C$1)&gt;AR$4,AR$4&gt;=$C$1),'General Inputs'!O$10*$J20,IF(AND(($D20+$C$1)&gt;AR$4,AR$4&gt;=$C$1),'General Inputs'!O$10*$I20,0))</f>
        <v>457.59443298252688</v>
      </c>
      <c r="AS20" s="214">
        <f>IF(AND(($E20+$C$1)&gt;AS$4,AS$4&gt;=$C$1),'General Inputs'!P$9*$H20,IF(AND(($D20+$C$1)&gt;AS$4,AS$4&gt;=$C$1),'General Inputs'!P$9*$G20,0))+IF(AND(($E20+$C$1)&gt;AS$4,AS$4&gt;=$C$1),'General Inputs'!P$10*$J20,IF(AND(($D20+$C$1)&gt;AS$4,AS$4&gt;=$C$1),'General Inputs'!P$10*$I20,0))</f>
        <v>464.45834947726479</v>
      </c>
      <c r="AT20" s="214">
        <f>IF(AND(($E20+$C$1)&gt;AT$4,AT$4&gt;=$C$1),'General Inputs'!Q$9*$H20,IF(AND(($D20+$C$1)&gt;AT$4,AT$4&gt;=$C$1),'General Inputs'!Q$9*$G20,0))+IF(AND(($E20+$C$1)&gt;AT$4,AT$4&gt;=$C$1),'General Inputs'!Q$10*$J20,IF(AND(($D20+$C$1)&gt;AT$4,AT$4&gt;=$C$1),'General Inputs'!Q$10*$I20,0))</f>
        <v>471.42522471942374</v>
      </c>
      <c r="AU20" s="214">
        <f>IF(AND(($E20+$C$1)&gt;AU$4,AU$4&gt;=$C$1),'General Inputs'!R$9*$H20,IF(AND(($D20+$C$1)&gt;AU$4,AU$4&gt;=$C$1),'General Inputs'!R$9*$G20,0))+IF(AND(($E20+$C$1)&gt;AU$4,AU$4&gt;=$C$1),'General Inputs'!R$10*$J20,IF(AND(($D20+$C$1)&gt;AU$4,AU$4&gt;=$C$1),'General Inputs'!R$10*$I20,0))</f>
        <v>478.49660309021505</v>
      </c>
      <c r="AV20" s="214">
        <f>IF(AND(($E20+$C$1)&gt;AV$4,AV$4&gt;=$C$1),'General Inputs'!S$9*$H20,IF(AND(($D20+$C$1)&gt;AV$4,AV$4&gt;=$C$1),'General Inputs'!S$9*$G20,0))+IF(AND(($E20+$C$1)&gt;AV$4,AV$4&gt;=$C$1),'General Inputs'!S$10*$J20,IF(AND(($D20+$C$1)&gt;AV$4,AV$4&gt;=$C$1),'General Inputs'!S$10*$I20,0))</f>
        <v>485.67405213656826</v>
      </c>
      <c r="AW20" s="214">
        <f>IF(AND(($E20+$C$1)&gt;AW$4,AW$4&gt;=$C$1),'General Inputs'!T$9*$H20,IF(AND(($D20+$C$1)&gt;AW$4,AW$4&gt;=$C$1),'General Inputs'!T$9*$G20,0))+IF(AND(($E20+$C$1)&gt;AW$4,AW$4&gt;=$C$1),'General Inputs'!T$10*$J20,IF(AND(($D20+$C$1)&gt;AW$4,AW$4&gt;=$C$1),'General Inputs'!T$10*$I20,0))</f>
        <v>492.95916291861676</v>
      </c>
      <c r="AX20" s="214">
        <f>IF(AND(($E20+$C$1)&gt;AX$4,AX$4&gt;=$C$1),'General Inputs'!U$9*$H20,IF(AND(($D20+$C$1)&gt;AX$4,AX$4&gt;=$C$1),'General Inputs'!U$9*$G20,0))+IF(AND(($E20+$C$1)&gt;AX$4,AX$4&gt;=$C$1),'General Inputs'!U$10*$J20,IF(AND(($D20+$C$1)&gt;AX$4,AX$4&gt;=$C$1),'General Inputs'!U$10*$I20,0))</f>
        <v>0</v>
      </c>
      <c r="AY20" s="214">
        <f>IF(AND(($E20+$C$1)&gt;AY$4,AY$4&gt;=$C$1),'General Inputs'!V$9*$H20,IF(AND(($D20+$C$1)&gt;AY$4,AY$4&gt;=$C$1),'General Inputs'!V$9*$G20,0))+IF(AND(($E20+$C$1)&gt;AY$4,AY$4&gt;=$C$1),'General Inputs'!V$10*$J20,IF(AND(($D20+$C$1)&gt;AY$4,AY$4&gt;=$C$1),'General Inputs'!V$10*$I20,0))</f>
        <v>0</v>
      </c>
      <c r="AZ20" s="214">
        <f>IF(AND(($E20+$C$1)&gt;AZ$4,AZ$4&gt;=$C$1),'General Inputs'!W$9*$H20,IF(AND(($D20+$C$1)&gt;AZ$4,AZ$4&gt;=$C$1),'General Inputs'!W$9*$G20,0))+IF(AND(($E20+$C$1)&gt;AZ$4,AZ$4&gt;=$C$1),'General Inputs'!W$10*$J20,IF(AND(($D20+$C$1)&gt;AZ$4,AZ$4&gt;=$C$1),'General Inputs'!W$10*$I20,0))</f>
        <v>0</v>
      </c>
      <c r="BB20" s="214">
        <f>IF(AND(($E20+$C$1)&gt;BB$4,BB$4&gt;=$C$1),'General Inputs'!D$11*$H20,IF(AND(($D20+$C$1)&gt;BB$4,BB$4&gt;=$C$1),'General Inputs'!D$11*$G20,0))</f>
        <v>0</v>
      </c>
      <c r="BC20" s="214">
        <f>IF(AND(($E20+$C$1)&gt;BC$4,BC$4&gt;=$C$1),'General Inputs'!E$11*$H20,IF(AND(($D20+$C$1)&gt;BC$4,BC$4&gt;=$C$1),'General Inputs'!E$11*$G20,0))</f>
        <v>0</v>
      </c>
      <c r="BD20" s="214">
        <f>IF(AND(($E20+$C$1)&gt;BD$4,BD$4&gt;=$C$1),'General Inputs'!F$11*$H20,IF(AND(($D20+$C$1)&gt;BD$4,BD$4&gt;=$C$1),'General Inputs'!F$11*$G20,0))</f>
        <v>106.46845197924016</v>
      </c>
      <c r="BE20" s="214">
        <f>IF(AND(($E20+$C$1)&gt;BE$4,BE$4&gt;=$C$1),'General Inputs'!G$11*$H20,IF(AND(($D20+$C$1)&gt;BE$4,BE$4&gt;=$C$1),'General Inputs'!G$11*$G20,0))</f>
        <v>106.46845197924016</v>
      </c>
      <c r="BF20" s="214">
        <f>IF(AND(($E20+$C$1)&gt;BF$4,BF$4&gt;=$C$1),'General Inputs'!H$11*$H20,IF(AND(($D20+$C$1)&gt;BF$4,BF$4&gt;=$C$1),'General Inputs'!H$11*$G20,0))</f>
        <v>106.46845197924016</v>
      </c>
      <c r="BG20" s="214">
        <f>IF(AND(($E20+$C$1)&gt;BG$4,BG$4&gt;=$C$1),'General Inputs'!I$11*$H20,IF(AND(($D20+$C$1)&gt;BG$4,BG$4&gt;=$C$1),'General Inputs'!I$11*$G20,0))</f>
        <v>106.46845197924016</v>
      </c>
      <c r="BH20" s="214">
        <f>IF(AND(($E20+$C$1)&gt;BH$4,BH$4&gt;=$C$1),'General Inputs'!J$11*$H20,IF(AND(($D20+$C$1)&gt;BH$4,BH$4&gt;=$C$1),'General Inputs'!J$11*$G20,0))</f>
        <v>106.46845197924016</v>
      </c>
      <c r="BI20" s="214">
        <f>IF(AND(($E20+$C$1)&gt;BI$4,BI$4&gt;=$C$1),'General Inputs'!K$11*$H20,IF(AND(($D20+$C$1)&gt;BI$4,BI$4&gt;=$C$1),'General Inputs'!K$11*$G20,0))</f>
        <v>106.46845197924016</v>
      </c>
      <c r="BJ20" s="214">
        <f>IF(AND(($E20+$C$1)&gt;BJ$4,BJ$4&gt;=$C$1),'General Inputs'!L$11*$H20,IF(AND(($D20+$C$1)&gt;BJ$4,BJ$4&gt;=$C$1),'General Inputs'!L$11*$G20,0))</f>
        <v>106.46845197924016</v>
      </c>
      <c r="BK20" s="214">
        <f>IF(AND(($E20+$C$1)&gt;BK$4,BK$4&gt;=$C$1),'General Inputs'!M$11*$H20,IF(AND(($D20+$C$1)&gt;BK$4,BK$4&gt;=$C$1),'General Inputs'!M$11*$G20,0))</f>
        <v>106.46845197924016</v>
      </c>
      <c r="BL20" s="214">
        <f>IF(AND(($E20+$C$1)&gt;BL$4,BL$4&gt;=$C$1),'General Inputs'!N$11*$H20,IF(AND(($D20+$C$1)&gt;BL$4,BL$4&gt;=$C$1),'General Inputs'!N$11*$G20,0))</f>
        <v>106.46845197924016</v>
      </c>
      <c r="BM20" s="214">
        <f>IF(AND(($E20+$C$1)&gt;BM$4,BM$4&gt;=$C$1),'General Inputs'!O$11*$H20,IF(AND(($D20+$C$1)&gt;BM$4,BM$4&gt;=$C$1),'General Inputs'!O$11*$G20,0))</f>
        <v>106.46845197924016</v>
      </c>
      <c r="BN20" s="214">
        <f>IF(AND(($E20+$C$1)&gt;BN$4,BN$4&gt;=$C$1),'General Inputs'!P$11*$H20,IF(AND(($D20+$C$1)&gt;BN$4,BN$4&gt;=$C$1),'General Inputs'!P$11*$G20,0))</f>
        <v>106.46845197924016</v>
      </c>
      <c r="BO20" s="214">
        <f>IF(AND(($E20+$C$1)&gt;BO$4,BO$4&gt;=$C$1),'General Inputs'!Q$11*$H20,IF(AND(($D20+$C$1)&gt;BO$4,BO$4&gt;=$C$1),'General Inputs'!Q$11*$G20,0))</f>
        <v>106.46845197924016</v>
      </c>
      <c r="BP20" s="214">
        <f>IF(AND(($E20+$C$1)&gt;BP$4,BP$4&gt;=$C$1),'General Inputs'!R$11*$H20,IF(AND(($D20+$C$1)&gt;BP$4,BP$4&gt;=$C$1),'General Inputs'!R$11*$G20,0))</f>
        <v>106.46845197924016</v>
      </c>
      <c r="BQ20" s="214">
        <f>IF(AND(($E20+$C$1)&gt;BQ$4,BQ$4&gt;=$C$1),'General Inputs'!S$11*$H20,IF(AND(($D20+$C$1)&gt;BQ$4,BQ$4&gt;=$C$1),'General Inputs'!S$11*$G20,0))</f>
        <v>106.46845197924016</v>
      </c>
      <c r="BR20" s="214">
        <f>IF(AND(($E20+$C$1)&gt;BR$4,BR$4&gt;=$C$1),'General Inputs'!T$11*$H20,IF(AND(($D20+$C$1)&gt;BR$4,BR$4&gt;=$C$1),'General Inputs'!T$11*$G20,0))</f>
        <v>106.46845197924016</v>
      </c>
      <c r="BS20" s="214">
        <f>IF(AND(($E20+$C$1)&gt;BS$4,BS$4&gt;=$C$1),'General Inputs'!U$11*$H20,IF(AND(($D20+$C$1)&gt;BS$4,BS$4&gt;=$C$1),'General Inputs'!U$11*$G20,0))</f>
        <v>0</v>
      </c>
      <c r="BT20" s="214">
        <f>IF(AND(($E20+$C$1)&gt;BT$4,BT$4&gt;=$C$1),'General Inputs'!V$11*$H20,IF(AND(($D20+$C$1)&gt;BT$4,BT$4&gt;=$C$1),'General Inputs'!V$11*$G20,0))</f>
        <v>0</v>
      </c>
      <c r="BU20" s="214">
        <f>IF(AND(($E20+$C$1)&gt;BU$4,BU$4&gt;=$C$1),'General Inputs'!W$11*$H20,IF(AND(($D20+$C$1)&gt;BU$4,BU$4&gt;=$C$1),'General Inputs'!W$11*$G20,0))</f>
        <v>0</v>
      </c>
      <c r="BW20" s="214">
        <f>IF(AND(($E20+$C$1)&gt;BW$4,BW$4&gt;=$C$1),$H20,IF(AND(($D20+$C$1)&gt;BW$4,BW$4&gt;=$C$1),$G20,0))*IF($A20="Residential",'General Inputs'!D$14,'General Inputs'!D$19)</f>
        <v>0</v>
      </c>
      <c r="BX20" s="214">
        <f>IF(AND(($E20+$C$1)&gt;BX$4,BX$4&gt;=$C$1),$H20,IF(AND(($D20+$C$1)&gt;BX$4,BX$4&gt;=$C$1),$G20,0))*IF($A20="Residential",'General Inputs'!E$14,'General Inputs'!E$19)</f>
        <v>0</v>
      </c>
      <c r="BY20" s="214">
        <f>IF(AND(($E20+$C$1)&gt;BY$4,BY$4&gt;=$C$1),$H20,IF(AND(($D20+$C$1)&gt;BY$4,BY$4&gt;=$C$1),$G20,0))*IF($A20="Residential",'General Inputs'!F$14,'General Inputs'!F$19)</f>
        <v>1291.5134381199268</v>
      </c>
      <c r="BZ20" s="214">
        <f>IF(AND(($E20+$C$1)&gt;BZ$4,BZ$4&gt;=$C$1),$H20,IF(AND(($D20+$C$1)&gt;BZ$4,BZ$4&gt;=$C$1),$G20,0))*IF($A20="Residential",'General Inputs'!G$14,'General Inputs'!G$19)</f>
        <v>1310.8861396917255</v>
      </c>
      <c r="CA20" s="214">
        <f>IF(AND(($E20+$C$1)&gt;CA$4,CA$4&gt;=$C$1),$H20,IF(AND(($D20+$C$1)&gt;CA$4,CA$4&gt;=$C$1),$G20,0))*IF($A20="Residential",'General Inputs'!H$14,'General Inputs'!H$19)</f>
        <v>1330.5494317871012</v>
      </c>
      <c r="CB20" s="214">
        <f>IF(AND(($E20+$C$1)&gt;CB$4,CB$4&gt;=$C$1),$H20,IF(AND(($D20+$C$1)&gt;CB$4,CB$4&gt;=$C$1),$G20,0))*IF($A20="Residential",'General Inputs'!I$14,'General Inputs'!I$19)</f>
        <v>1350.5076732639077</v>
      </c>
      <c r="CC20" s="214">
        <f>IF(AND(($E20+$C$1)&gt;CC$4,CC$4&gt;=$C$1),$H20,IF(AND(($D20+$C$1)&gt;CC$4,CC$4&gt;=$C$1),$G20,0))*IF($A20="Residential",'General Inputs'!J$14,'General Inputs'!J$19)</f>
        <v>1370.7652883628659</v>
      </c>
      <c r="CD20" s="214">
        <f>IF(AND(($E20+$C$1)&gt;CD$4,CD$4&gt;=$C$1),$H20,IF(AND(($D20+$C$1)&gt;CD$4,CD$4&gt;=$C$1),$G20,0))*IF($A20="Residential",'General Inputs'!K$14,'General Inputs'!K$19)</f>
        <v>1391.3267676883088</v>
      </c>
      <c r="CE20" s="214">
        <f>IF(AND(($E20+$C$1)&gt;CE$4,CE$4&gt;=$C$1),$H20,IF(AND(($D20+$C$1)&gt;CE$4,CE$4&gt;=$C$1),$G20,0))*IF($A20="Residential",'General Inputs'!L$14,'General Inputs'!L$19)</f>
        <v>1412.1966692036333</v>
      </c>
      <c r="CF20" s="214">
        <f>IF(AND(($E20+$C$1)&gt;CF$4,CF$4&gt;=$C$1),$H20,IF(AND(($D20+$C$1)&gt;CF$4,CF$4&gt;=$C$1),$G20,0))*IF($A20="Residential",'General Inputs'!M$14,'General Inputs'!M$19)</f>
        <v>1433.3796192416876</v>
      </c>
      <c r="CG20" s="214">
        <f>IF(AND(($E20+$C$1)&gt;CG$4,CG$4&gt;=$C$1),$H20,IF(AND(($D20+$C$1)&gt;CG$4,CG$4&gt;=$C$1),$G20,0))*IF($A20="Residential",'General Inputs'!N$14,'General Inputs'!N$19)</f>
        <v>1454.8803135303128</v>
      </c>
      <c r="CH20" s="214">
        <f>IF(AND(($E20+$C$1)&gt;CH$4,CH$4&gt;=$C$1),$H20,IF(AND(($D20+$C$1)&gt;CH$4,CH$4&gt;=$C$1),$G20,0))*IF($A20="Residential",'General Inputs'!O$14,'General Inputs'!O$19)</f>
        <v>1476.7035182332672</v>
      </c>
      <c r="CI20" s="214">
        <f>IF(AND(($E20+$C$1)&gt;CI$4,CI$4&gt;=$C$1),$H20,IF(AND(($D20+$C$1)&gt;CI$4,CI$4&gt;=$C$1),$G20,0))*IF($A20="Residential",'General Inputs'!P$14,'General Inputs'!P$19)</f>
        <v>1498.8540710067662</v>
      </c>
      <c r="CJ20" s="214">
        <f>IF(AND(($E20+$C$1)&gt;CJ$4,CJ$4&gt;=$C$1),$H20,IF(AND(($D20+$C$1)&gt;CJ$4,CJ$4&gt;=$C$1),$G20,0))*IF($A20="Residential",'General Inputs'!Q$14,'General Inputs'!Q$19)</f>
        <v>1521.3368820718674</v>
      </c>
      <c r="CK20" s="214">
        <f>IF(AND(($E20+$C$1)&gt;CK$4,CK$4&gt;=$C$1),$H20,IF(AND(($D20+$C$1)&gt;CK$4,CK$4&gt;=$C$1),$G20,0))*IF($A20="Residential",'General Inputs'!R$14,'General Inputs'!R$19)</f>
        <v>1544.1569353029452</v>
      </c>
      <c r="CL20" s="214">
        <f>IF(AND(($E20+$C$1)&gt;CL$4,CL$4&gt;=$C$1),$H20,IF(AND(($D20+$C$1)&gt;CL$4,CL$4&gt;=$C$1),$G20,0))*IF($A20="Residential",'General Inputs'!S$14,'General Inputs'!S$19)</f>
        <v>1567.3192893324895</v>
      </c>
      <c r="CM20" s="214">
        <f>IF(AND(($E20+$C$1)&gt;CM$4,CM$4&gt;=$C$1),$H20,IF(AND(($D20+$C$1)&gt;CM$4,CM$4&gt;=$C$1),$G20,0))*IF($A20="Residential",'General Inputs'!T$14,'General Inputs'!T$19)</f>
        <v>1590.8290786724765</v>
      </c>
      <c r="CN20" s="214">
        <f>IF(AND(($E20+$C$1)&gt;CN$4,CN$4&gt;=$C$1),$H20,IF(AND(($D20+$C$1)&gt;CN$4,CN$4&gt;=$C$1),$G20,0))*IF($A20="Residential",'General Inputs'!U$14,'General Inputs'!U$19)</f>
        <v>0</v>
      </c>
      <c r="CO20" s="214">
        <f>IF(AND(($E20+$C$1)&gt;CO$4,CO$4&gt;=$C$1),$H20,IF(AND(($D20+$C$1)&gt;CO$4,CO$4&gt;=$C$1),$G20,0))*IF($A20="Residential",'General Inputs'!V$14,'General Inputs'!V$19)</f>
        <v>0</v>
      </c>
      <c r="CP20" s="214">
        <f>IF(AND(($E20+$C$1)&gt;CP$4,CP$4&gt;=$C$1),$H20,IF(AND(($D20+$C$1)&gt;CP$4,CP$4&gt;=$C$1),$G20,0))*IF($A20="Residential",'General Inputs'!W$14,'General Inputs'!W$19)</f>
        <v>0</v>
      </c>
      <c r="CR20" s="214">
        <f>IF(AND(($E20+$C$1)&gt;CR$4,CR$4&gt;=$C$1),$H20,IF(AND(($D20+$C$1)&gt;CR$4,CR$4&gt;=$C$1),$G20,0))*IF($A20="Residential",'General Inputs'!D$15,'General Inputs'!D$19)</f>
        <v>0</v>
      </c>
      <c r="CS20" s="214">
        <f>IF(AND(($E20+$C$1)&gt;CS$4,CS$4&gt;=$C$1),$H20,IF(AND(($D20+$C$1)&gt;CS$4,CS$4&gt;=$C$1),$G20,0))*IF($A20="Residential",'General Inputs'!E$15,'General Inputs'!E$19)</f>
        <v>0</v>
      </c>
      <c r="CT20" s="214">
        <f>IF(AND(($E20+$C$1)&gt;CT$4,CT$4&gt;=$C$1),$H20,IF(AND(($D20+$C$1)&gt;CT$4,CT$4&gt;=$C$1),$G20,0))*IF($A20="Residential",'General Inputs'!F$15,'General Inputs'!F$19)</f>
        <v>1050.656875411722</v>
      </c>
      <c r="CU20" s="214">
        <f>IF(AND(($E20+$C$1)&gt;CU$4,CU$4&gt;=$C$1),$H20,IF(AND(($D20+$C$1)&gt;CU$4,CU$4&gt;=$C$1),$G20,0))*IF($A20="Residential",'General Inputs'!G$15,'General Inputs'!G$19)</f>
        <v>1066.4167285428978</v>
      </c>
      <c r="CV20" s="214">
        <f>IF(AND(($E20+$C$1)&gt;CV$4,CV$4&gt;=$C$1),$H20,IF(AND(($D20+$C$1)&gt;CV$4,CV$4&gt;=$C$1),$G20,0))*IF($A20="Residential",'General Inputs'!H$15,'General Inputs'!H$19)</f>
        <v>1082.4129794710411</v>
      </c>
      <c r="CW20" s="214">
        <f>IF(AND(($E20+$C$1)&gt;CW$4,CW$4&gt;=$C$1),$H20,IF(AND(($D20+$C$1)&gt;CW$4,CW$4&gt;=$C$1),$G20,0))*IF($A20="Residential",'General Inputs'!I$15,'General Inputs'!I$19)</f>
        <v>1098.6491741631066</v>
      </c>
      <c r="CX20" s="214">
        <f>IF(AND(($E20+$C$1)&gt;CX$4,CX$4&gt;=$C$1),$H20,IF(AND(($D20+$C$1)&gt;CX$4,CX$4&gt;=$C$1),$G20,0))*IF($A20="Residential",'General Inputs'!J$15,'General Inputs'!J$19)</f>
        <v>1115.1289117755532</v>
      </c>
      <c r="CY20" s="214">
        <f>IF(AND(($E20+$C$1)&gt;CY$4,CY$4&gt;=$C$1),$H20,IF(AND(($D20+$C$1)&gt;CY$4,CY$4&gt;=$C$1),$G20,0))*IF($A20="Residential",'General Inputs'!K$15,'General Inputs'!K$19)</f>
        <v>1131.8558454521863</v>
      </c>
      <c r="CZ20" s="214">
        <f>IF(AND(($E20+$C$1)&gt;CZ$4,CZ$4&gt;=$C$1),$H20,IF(AND(($D20+$C$1)&gt;CZ$4,CZ$4&gt;=$C$1),$G20,0))*IF($A20="Residential",'General Inputs'!L$15,'General Inputs'!L$19)</f>
        <v>1148.8336831339689</v>
      </c>
      <c r="DA20" s="214">
        <f>IF(AND(($E20+$C$1)&gt;DA$4,DA$4&gt;=$C$1),$H20,IF(AND(($D20+$C$1)&gt;DA$4,DA$4&gt;=$C$1),$G20,0))*IF($A20="Residential",'General Inputs'!M$15,'General Inputs'!M$19)</f>
        <v>1166.0661883809785</v>
      </c>
      <c r="DB20" s="214">
        <f>IF(AND(($E20+$C$1)&gt;DB$4,DB$4&gt;=$C$1),$H20,IF(AND(($D20+$C$1)&gt;DB$4,DB$4&gt;=$C$1),$G20,0))*IF($A20="Residential",'General Inputs'!N$15,'General Inputs'!N$19)</f>
        <v>1183.5571812066928</v>
      </c>
      <c r="DC20" s="214">
        <f>IF(AND(($E20+$C$1)&gt;DC$4,DC$4&gt;=$C$1),$H20,IF(AND(($D20+$C$1)&gt;DC$4,DC$4&gt;=$C$1),$G20,0))*IF($A20="Residential",'General Inputs'!O$15,'General Inputs'!O$19)</f>
        <v>1201.310538924793</v>
      </c>
      <c r="DD20" s="214">
        <f>IF(AND(($E20+$C$1)&gt;DD$4,DD$4&gt;=$C$1),$H20,IF(AND(($D20+$C$1)&gt;DD$4,DD$4&gt;=$C$1),$G20,0))*IF($A20="Residential",'General Inputs'!P$15,'General Inputs'!P$19)</f>
        <v>1219.330197008665</v>
      </c>
      <c r="DE20" s="214">
        <f>IF(AND(($E20+$C$1)&gt;DE$4,DE$4&gt;=$C$1),$H20,IF(AND(($D20+$C$1)&gt;DE$4,DE$4&gt;=$C$1),$G20,0))*IF($A20="Residential",'General Inputs'!Q$15,'General Inputs'!Q$19)</f>
        <v>1237.6201499637948</v>
      </c>
      <c r="DF20" s="214">
        <f>IF(AND(($E20+$C$1)&gt;DF$4,DF$4&gt;=$C$1),$H20,IF(AND(($D20+$C$1)&gt;DF$4,DF$4&gt;=$C$1),$G20,0))*IF($A20="Residential",'General Inputs'!R$15,'General Inputs'!R$19)</f>
        <v>1256.1844522132517</v>
      </c>
      <c r="DG20" s="214">
        <f>IF(AND(($E20+$C$1)&gt;DG$4,DG$4&gt;=$C$1),$H20,IF(AND(($D20+$C$1)&gt;DG$4,DG$4&gt;=$C$1),$G20,0))*IF($A20="Residential",'General Inputs'!S$15,'General Inputs'!S$19)</f>
        <v>1275.0272189964503</v>
      </c>
      <c r="DH20" s="214">
        <f>IF(AND(($E20+$C$1)&gt;DH$4,DH$4&gt;=$C$1),$H20,IF(AND(($D20+$C$1)&gt;DH$4,DH$4&gt;=$C$1),$G20,0))*IF($A20="Residential",'General Inputs'!T$15,'General Inputs'!T$19)</f>
        <v>1294.1526272813969</v>
      </c>
      <c r="DI20" s="214">
        <f>IF(AND(($E20+$C$1)&gt;DI$4,DI$4&gt;=$C$1),$H20,IF(AND(($D20+$C$1)&gt;DI$4,DI$4&gt;=$C$1),$G20,0))*IF($A20="Residential",'General Inputs'!U$15,'General Inputs'!U$19)</f>
        <v>0</v>
      </c>
      <c r="DJ20" s="214">
        <f>IF(AND(($E20+$C$1)&gt;DJ$4,DJ$4&gt;=$C$1),$H20,IF(AND(($D20+$C$1)&gt;DJ$4,DJ$4&gt;=$C$1),$G20,0))*IF($A20="Residential",'General Inputs'!V$15,'General Inputs'!V$19)</f>
        <v>0</v>
      </c>
      <c r="DK20" s="214">
        <f>IF(AND(($E20+$C$1)&gt;DK$4,DK$4&gt;=$C$1),$H20,IF(AND(($D20+$C$1)&gt;DK$4,DK$4&gt;=$C$1),$G20,0))*IF($A20="Residential",'General Inputs'!W$15,'General Inputs'!W$19)</f>
        <v>0</v>
      </c>
      <c r="DM20" s="214">
        <f t="shared" si="47"/>
        <v>0</v>
      </c>
      <c r="DN20" s="214">
        <f t="shared" si="27"/>
        <v>0</v>
      </c>
      <c r="DO20" s="214">
        <f t="shared" si="27"/>
        <v>3500</v>
      </c>
      <c r="DP20" s="214">
        <f t="shared" si="27"/>
        <v>0</v>
      </c>
      <c r="DQ20" s="214">
        <f t="shared" si="27"/>
        <v>0</v>
      </c>
      <c r="DR20" s="214">
        <f t="shared" si="27"/>
        <v>0</v>
      </c>
      <c r="DS20" s="214">
        <f t="shared" si="27"/>
        <v>0</v>
      </c>
      <c r="DT20" s="214">
        <f t="shared" si="27"/>
        <v>0</v>
      </c>
      <c r="DU20" s="214">
        <f t="shared" si="27"/>
        <v>0</v>
      </c>
      <c r="DV20" s="214">
        <f t="shared" si="27"/>
        <v>0</v>
      </c>
      <c r="DW20" s="214">
        <f t="shared" si="27"/>
        <v>0</v>
      </c>
      <c r="DZ20" s="650"/>
      <c r="FI20" s="195"/>
      <c r="FJ20" s="195"/>
      <c r="FK20" s="195"/>
      <c r="FL20" s="195"/>
      <c r="FM20" s="195"/>
      <c r="FN20" s="195"/>
      <c r="FO20" s="195"/>
    </row>
    <row r="21" spans="1:171">
      <c r="A21" s="342" t="s">
        <v>12</v>
      </c>
      <c r="B21" s="427" t="str">
        <f>'Portfolio Inputs'!A20</f>
        <v>Geothermal EER ≥21</v>
      </c>
      <c r="C21" s="217">
        <f>IF($C$1=2014,'Portfolio Inputs'!$C20,IF($C$1=2015,'Portfolio Inputs'!$D20,'Portfolio Inputs'!$E20))</f>
        <v>18</v>
      </c>
      <c r="D21" s="504">
        <f>VLOOKUP(B21,Sources!$B$4:$J$104,2,FALSE)</f>
        <v>18</v>
      </c>
      <c r="E21" s="504">
        <f>VLOOKUP(B21,Sources!$B$4:$J$104,3,FALSE)</f>
        <v>0</v>
      </c>
      <c r="G21" s="504">
        <f>IF($C$1=2014,'Portfolio Inputs'!$G20,IF($C$1=2015,'Portfolio Inputs'!$H20,'Portfolio Inputs'!$I20))*EnergyLineLoss</f>
        <v>93383.935596328956</v>
      </c>
      <c r="H21" s="504">
        <f>VLOOKUP($B21,Sources!$B$4:$K$104,6,FALSE)*C21*EnergyLineLoss</f>
        <v>0</v>
      </c>
      <c r="I21" s="504">
        <f>IF($C$1=2014,'Portfolio Inputs'!$K20,IF($C$1=2015,'Portfolio Inputs'!$L20,'Portfolio Inputs'!$M20))*PeakLineLoss</f>
        <v>14.605181581192902</v>
      </c>
      <c r="J21" s="510">
        <f>VLOOKUP($B21,Sources!$B$4:$K$104,8,FALSE)*C21*PeakLineLoss</f>
        <v>0</v>
      </c>
      <c r="L21" s="606">
        <f>IF($C$1=2014,'Portfolio Inputs'!$O20,IF($C$1=2015,'Portfolio Inputs'!$P20,'Portfolio Inputs'!$Q20))</f>
        <v>1230</v>
      </c>
      <c r="M21" s="518">
        <f>VLOOKUP($B21,Sources!$B$4:$K$104,10,FALSE)</f>
        <v>0</v>
      </c>
      <c r="N21" s="419">
        <f>IF($C$1=2014,'Portfolio Inputs'!$W20,IF($C$1=2015,'Portfolio Inputs'!$X20,'Portfolio Inputs'!$Y20))</f>
        <v>10800</v>
      </c>
      <c r="O21" s="419"/>
      <c r="Q21" s="438">
        <f t="shared" ref="Q21:Q23" si="48">IF(OR(AE21&gt;0,AC21&gt;0),Y21/(AC21+AE21),"n/a")</f>
        <v>1.9432321839040718</v>
      </c>
      <c r="R21" s="439">
        <f t="shared" ref="R21:R23" si="49">IF(OR(AC21&gt;0,AD21&gt;0),Y21/((AD21+AC21)),"n/a")</f>
        <v>3.9836259770033466</v>
      </c>
      <c r="S21" s="439">
        <f t="shared" ref="S21:S23" si="50">IF(OR(AC21&gt;0,AE21&gt;0),(Y21+Z21)/(AC21+AE21),"n/a")</f>
        <v>2.4063841187022499</v>
      </c>
      <c r="T21" s="439">
        <f t="shared" ref="T21:T23" si="51">IF(AE21&gt;0,(AD21+AA21)/AE21,"n/a")</f>
        <v>6.6755812726782597</v>
      </c>
      <c r="U21" s="439">
        <f t="shared" ref="U21:U23" si="52">IF(AE21&gt;0,(AD21+AB21)/AE21,"n/a")</f>
        <v>5.5216122087659461</v>
      </c>
      <c r="V21" s="439">
        <f t="shared" ref="V21:V23" si="53">IF((AA21+AC21+AD21)&gt;0,Y21/(AA21+AC21+AD21),"n/a")</f>
        <v>0.29109557722820478</v>
      </c>
      <c r="W21" s="439">
        <f t="shared" ref="W21:W23" si="54">IF((AB21+AC21+AD21)&gt;0,Y21/(AB21+AC21+AD21),"n/a")</f>
        <v>0.35193202826142961</v>
      </c>
      <c r="Y21" s="215">
        <f t="shared" ref="Y21:Y23" si="55">AG21+NPV(DiscountRate,AH21:AZ21)</f>
        <v>36318.277695013428</v>
      </c>
      <c r="Z21" s="215">
        <f t="shared" ref="Z21:Z23" si="56">BB21+NPV(DiscountRate,BC21:BU21)</f>
        <v>8656.1352381416418</v>
      </c>
      <c r="AA21" s="215">
        <f t="shared" ref="AA21:AA23" si="57">BW21+NPV(DiscountRate,BX21:CP21)</f>
        <v>115647.21049612682</v>
      </c>
      <c r="AB21" s="215">
        <f t="shared" ref="AB21:AB23" si="58">CR21+NPV(DiscountRate,CS21:DK21)</f>
        <v>94079.963276897455</v>
      </c>
      <c r="AC21" s="216">
        <f t="shared" ref="AC21:AC23" si="59">O21/((1+DiscountRate)^(IF($C$1=2015,1,IF($C$1=2016,2,0))))</f>
        <v>0</v>
      </c>
      <c r="AD21" s="216">
        <f t="shared" ref="AD21:AD23" si="60">N21/((1+DiscountRate)^(IF($C$1=2015,1,IF($C$1=2016,2,0))))</f>
        <v>9116.8894631853927</v>
      </c>
      <c r="AE21" s="215">
        <f t="shared" ref="AE21:AE23" si="61">DM21+NPV(DiscountRate,DN21:DW21)</f>
        <v>18689.623399530054</v>
      </c>
      <c r="AG21" s="214">
        <f>IF(AND(($E21+$C$1)&gt;AG$4,AG$4&gt;=$C$1),'General Inputs'!D$9*$H21,IF(AND(($D21+$C$1)&gt;AG$4,AG$4&gt;=$C$1),'General Inputs'!D$9*$G21,0))+IF(AND(($E21+$C$1)&gt;AG$4,AG$4&gt;=$C$1),'General Inputs'!D$10*$J21,IF(AND(($D21+$C$1)&gt;AG$4,AG$4&gt;=$C$1),'General Inputs'!D$10*$I21,0))</f>
        <v>0</v>
      </c>
      <c r="AH21" s="214">
        <f>IF(AND(($E21+$C$1)&gt;AH$4,AH$4&gt;=$C$1),'General Inputs'!E$9*$H21,IF(AND(($D21+$C$1)&gt;AH$4,AH$4&gt;=$C$1),'General Inputs'!E$9*$G21,0))+IF(AND(($E21+$C$1)&gt;AH$4,AH$4&gt;=$C$1),'General Inputs'!E$10*$J21,IF(AND(($D21+$C$1)&gt;AH$4,AH$4&gt;=$C$1),'General Inputs'!E$10*$I21,0))</f>
        <v>0</v>
      </c>
      <c r="AI21" s="214">
        <f>IF(AND(($E21+$C$1)&gt;AI$4,AI$4&gt;=$C$1),'General Inputs'!F$9*$H21,IF(AND(($D21+$C$1)&gt;AI$4,AI$4&gt;=$C$1),'General Inputs'!F$9*$G21,0))+IF(AND(($E21+$C$1)&gt;AI$4,AI$4&gt;=$C$1),'General Inputs'!F$10*$J21,IF(AND(($D21+$C$1)&gt;AI$4,AI$4&gt;=$C$1),'General Inputs'!F$10*$I21,0))</f>
        <v>4055.5064585541527</v>
      </c>
      <c r="AJ21" s="214">
        <f>IF(AND(($E21+$C$1)&gt;AJ$4,AJ$4&gt;=$C$1),'General Inputs'!G$9*$H21,IF(AND(($D21+$C$1)&gt;AJ$4,AJ$4&gt;=$C$1),'General Inputs'!G$9*$G21,0))+IF(AND(($E21+$C$1)&gt;AJ$4,AJ$4&gt;=$C$1),'General Inputs'!G$10*$J21,IF(AND(($D21+$C$1)&gt;AJ$4,AJ$4&gt;=$C$1),'General Inputs'!G$10*$I21,0))</f>
        <v>4116.3390554324651</v>
      </c>
      <c r="AK21" s="214">
        <f>IF(AND(($E21+$C$1)&gt;AK$4,AK$4&gt;=$C$1),'General Inputs'!H$9*$H21,IF(AND(($D21+$C$1)&gt;AK$4,AK$4&gt;=$C$1),'General Inputs'!H$9*$G21,0))+IF(AND(($E21+$C$1)&gt;AK$4,AK$4&gt;=$C$1),'General Inputs'!H$10*$J21,IF(AND(($D21+$C$1)&gt;AK$4,AK$4&gt;=$C$1),'General Inputs'!H$10*$I21,0))</f>
        <v>4178.0841412639511</v>
      </c>
      <c r="AL21" s="214">
        <f>IF(AND(($E21+$C$1)&gt;AL$4,AL$4&gt;=$C$1),'General Inputs'!I$9*$H21,IF(AND(($D21+$C$1)&gt;AL$4,AL$4&gt;=$C$1),'General Inputs'!I$9*$G21,0))+IF(AND(($E21+$C$1)&gt;AL$4,AL$4&gt;=$C$1),'General Inputs'!I$10*$J21,IF(AND(($D21+$C$1)&gt;AL$4,AL$4&gt;=$C$1),'General Inputs'!I$10*$I21,0))</f>
        <v>4240.7554033829101</v>
      </c>
      <c r="AM21" s="214">
        <f>IF(AND(($E21+$C$1)&gt;AM$4,AM$4&gt;=$C$1),'General Inputs'!J$9*$H21,IF(AND(($D21+$C$1)&gt;AM$4,AM$4&gt;=$C$1),'General Inputs'!J$9*$G21,0))+IF(AND(($E21+$C$1)&gt;AM$4,AM$4&gt;=$C$1),'General Inputs'!J$10*$J21,IF(AND(($D21+$C$1)&gt;AM$4,AM$4&gt;=$C$1),'General Inputs'!J$10*$I21,0))</f>
        <v>4304.3667344336527</v>
      </c>
      <c r="AN21" s="214">
        <f>IF(AND(($E21+$C$1)&gt;AN$4,AN$4&gt;=$C$1),'General Inputs'!K$9*$H21,IF(AND(($D21+$C$1)&gt;AN$4,AN$4&gt;=$C$1),'General Inputs'!K$9*$G21,0))+IF(AND(($E21+$C$1)&gt;AN$4,AN$4&gt;=$C$1),'General Inputs'!K$10*$J21,IF(AND(($D21+$C$1)&gt;AN$4,AN$4&gt;=$C$1),'General Inputs'!K$10*$I21,0))</f>
        <v>4368.9322354501573</v>
      </c>
      <c r="AO21" s="214">
        <f>IF(AND(($E21+$C$1)&gt;AO$4,AO$4&gt;=$C$1),'General Inputs'!L$9*$H21,IF(AND(($D21+$C$1)&gt;AO$4,AO$4&gt;=$C$1),'General Inputs'!L$9*$G21,0))+IF(AND(($E21+$C$1)&gt;AO$4,AO$4&gt;=$C$1),'General Inputs'!L$10*$J21,IF(AND(($D21+$C$1)&gt;AO$4,AO$4&gt;=$C$1),'General Inputs'!L$10*$I21,0))</f>
        <v>4434.4662189819092</v>
      </c>
      <c r="AP21" s="214">
        <f>IF(AND(($E21+$C$1)&gt;AP$4,AP$4&gt;=$C$1),'General Inputs'!M$9*$H21,IF(AND(($D21+$C$1)&gt;AP$4,AP$4&gt;=$C$1),'General Inputs'!M$9*$G21,0))+IF(AND(($E21+$C$1)&gt;AP$4,AP$4&gt;=$C$1),'General Inputs'!M$10*$J21,IF(AND(($D21+$C$1)&gt;AP$4,AP$4&gt;=$C$1),'General Inputs'!M$10*$I21,0))</f>
        <v>4500.9832122666367</v>
      </c>
      <c r="AQ21" s="214">
        <f>IF(AND(($E21+$C$1)&gt;AQ$4,AQ$4&gt;=$C$1),'General Inputs'!N$9*$H21,IF(AND(($D21+$C$1)&gt;AQ$4,AQ$4&gt;=$C$1),'General Inputs'!N$9*$G21,0))+IF(AND(($E21+$C$1)&gt;AQ$4,AQ$4&gt;=$C$1),'General Inputs'!N$10*$J21,IF(AND(($D21+$C$1)&gt;AQ$4,AQ$4&gt;=$C$1),'General Inputs'!N$10*$I21,0))</f>
        <v>4568.497960450637</v>
      </c>
      <c r="AR21" s="214">
        <f>IF(AND(($E21+$C$1)&gt;AR$4,AR$4&gt;=$C$1),'General Inputs'!O$9*$H21,IF(AND(($D21+$C$1)&gt;AR$4,AR$4&gt;=$C$1),'General Inputs'!O$9*$G21,0))+IF(AND(($E21+$C$1)&gt;AR$4,AR$4&gt;=$C$1),'General Inputs'!O$10*$J21,IF(AND(($D21+$C$1)&gt;AR$4,AR$4&gt;=$C$1),'General Inputs'!O$10*$I21,0))</f>
        <v>4637.0254298573955</v>
      </c>
      <c r="AS21" s="214">
        <f>IF(AND(($E21+$C$1)&gt;AS$4,AS$4&gt;=$C$1),'General Inputs'!P$9*$H21,IF(AND(($D21+$C$1)&gt;AS$4,AS$4&gt;=$C$1),'General Inputs'!P$9*$G21,0))+IF(AND(($E21+$C$1)&gt;AS$4,AS$4&gt;=$C$1),'General Inputs'!P$10*$J21,IF(AND(($D21+$C$1)&gt;AS$4,AS$4&gt;=$C$1),'General Inputs'!P$10*$I21,0))</f>
        <v>4706.5808113052562</v>
      </c>
      <c r="AT21" s="214">
        <f>IF(AND(($E21+$C$1)&gt;AT$4,AT$4&gt;=$C$1),'General Inputs'!Q$9*$H21,IF(AND(($D21+$C$1)&gt;AT$4,AT$4&gt;=$C$1),'General Inputs'!Q$9*$G21,0))+IF(AND(($E21+$C$1)&gt;AT$4,AT$4&gt;=$C$1),'General Inputs'!Q$10*$J21,IF(AND(($D21+$C$1)&gt;AT$4,AT$4&gt;=$C$1),'General Inputs'!Q$10*$I21,0))</f>
        <v>4777.1795234748342</v>
      </c>
      <c r="AU21" s="214">
        <f>IF(AND(($E21+$C$1)&gt;AU$4,AU$4&gt;=$C$1),'General Inputs'!R$9*$H21,IF(AND(($D21+$C$1)&gt;AU$4,AU$4&gt;=$C$1),'General Inputs'!R$9*$G21,0))+IF(AND(($E21+$C$1)&gt;AU$4,AU$4&gt;=$C$1),'General Inputs'!R$10*$J21,IF(AND(($D21+$C$1)&gt;AU$4,AU$4&gt;=$C$1),'General Inputs'!R$10*$I21,0))</f>
        <v>4848.837216326956</v>
      </c>
      <c r="AV21" s="214">
        <f>IF(AND(($E21+$C$1)&gt;AV$4,AV$4&gt;=$C$1),'General Inputs'!S$9*$H21,IF(AND(($D21+$C$1)&gt;AV$4,AV$4&gt;=$C$1),'General Inputs'!S$9*$G21,0))+IF(AND(($E21+$C$1)&gt;AV$4,AV$4&gt;=$C$1),'General Inputs'!S$10*$J21,IF(AND(($D21+$C$1)&gt;AV$4,AV$4&gt;=$C$1),'General Inputs'!S$10*$I21,0))</f>
        <v>4921.5697745718608</v>
      </c>
      <c r="AW21" s="214">
        <f>IF(AND(($E21+$C$1)&gt;AW$4,AW$4&gt;=$C$1),'General Inputs'!T$9*$H21,IF(AND(($D21+$C$1)&gt;AW$4,AW$4&gt;=$C$1),'General Inputs'!T$9*$G21,0))+IF(AND(($E21+$C$1)&gt;AW$4,AW$4&gt;=$C$1),'General Inputs'!T$10*$J21,IF(AND(($D21+$C$1)&gt;AW$4,AW$4&gt;=$C$1),'General Inputs'!T$10*$I21,0))</f>
        <v>4995.3933211904377</v>
      </c>
      <c r="AX21" s="214">
        <f>IF(AND(($E21+$C$1)&gt;AX$4,AX$4&gt;=$C$1),'General Inputs'!U$9*$H21,IF(AND(($D21+$C$1)&gt;AX$4,AX$4&gt;=$C$1),'General Inputs'!U$9*$G21,0))+IF(AND(($E21+$C$1)&gt;AX$4,AX$4&gt;=$C$1),'General Inputs'!U$10*$J21,IF(AND(($D21+$C$1)&gt;AX$4,AX$4&gt;=$C$1),'General Inputs'!U$10*$I21,0))</f>
        <v>5070.3242210082944</v>
      </c>
      <c r="AY21" s="214">
        <f>IF(AND(($E21+$C$1)&gt;AY$4,AY$4&gt;=$C$1),'General Inputs'!V$9*$H21,IF(AND(($D21+$C$1)&gt;AY$4,AY$4&gt;=$C$1),'General Inputs'!V$9*$G21,0))+IF(AND(($E21+$C$1)&gt;AY$4,AY$4&gt;=$C$1),'General Inputs'!V$10*$J21,IF(AND(($D21+$C$1)&gt;AY$4,AY$4&gt;=$C$1),'General Inputs'!V$10*$I21,0))</f>
        <v>5146.3790843234183</v>
      </c>
      <c r="AZ21" s="214">
        <f>IF(AND(($E21+$C$1)&gt;AZ$4,AZ$4&gt;=$C$1),'General Inputs'!W$9*$H21,IF(AND(($D21+$C$1)&gt;AZ$4,AZ$4&gt;=$C$1),'General Inputs'!W$9*$G21,0))+IF(AND(($E21+$C$1)&gt;AZ$4,AZ$4&gt;=$C$1),'General Inputs'!W$10*$J21,IF(AND(($D21+$C$1)&gt;AZ$4,AZ$4&gt;=$C$1),'General Inputs'!W$10*$I21,0))</f>
        <v>5223.5747705882695</v>
      </c>
      <c r="BB21" s="214">
        <f>IF(AND(($E21+$C$1)&gt;BB$4,BB$4&gt;=$C$1),'General Inputs'!D$11*$H21,IF(AND(($D21+$C$1)&gt;BB$4,BB$4&gt;=$C$1),'General Inputs'!D$11*$G21,0))</f>
        <v>0</v>
      </c>
      <c r="BC21" s="214">
        <f>IF(AND(($E21+$C$1)&gt;BC$4,BC$4&gt;=$C$1),'General Inputs'!E$11*$H21,IF(AND(($D21+$C$1)&gt;BC$4,BC$4&gt;=$C$1),'General Inputs'!E$11*$G21,0))</f>
        <v>0</v>
      </c>
      <c r="BD21" s="214">
        <f>IF(AND(($E21+$C$1)&gt;BD$4,BD$4&gt;=$C$1),'General Inputs'!F$11*$H21,IF(AND(($D21+$C$1)&gt;BD$4,BD$4&gt;=$C$1),'General Inputs'!F$11*$G21,0))</f>
        <v>1064.57686579815</v>
      </c>
      <c r="BE21" s="214">
        <f>IF(AND(($E21+$C$1)&gt;BE$4,BE$4&gt;=$C$1),'General Inputs'!G$11*$H21,IF(AND(($D21+$C$1)&gt;BE$4,BE$4&gt;=$C$1),'General Inputs'!G$11*$G21,0))</f>
        <v>1064.57686579815</v>
      </c>
      <c r="BF21" s="214">
        <f>IF(AND(($E21+$C$1)&gt;BF$4,BF$4&gt;=$C$1),'General Inputs'!H$11*$H21,IF(AND(($D21+$C$1)&gt;BF$4,BF$4&gt;=$C$1),'General Inputs'!H$11*$G21,0))</f>
        <v>1064.57686579815</v>
      </c>
      <c r="BG21" s="214">
        <f>IF(AND(($E21+$C$1)&gt;BG$4,BG$4&gt;=$C$1),'General Inputs'!I$11*$H21,IF(AND(($D21+$C$1)&gt;BG$4,BG$4&gt;=$C$1),'General Inputs'!I$11*$G21,0))</f>
        <v>1064.57686579815</v>
      </c>
      <c r="BH21" s="214">
        <f>IF(AND(($E21+$C$1)&gt;BH$4,BH$4&gt;=$C$1),'General Inputs'!J$11*$H21,IF(AND(($D21+$C$1)&gt;BH$4,BH$4&gt;=$C$1),'General Inputs'!J$11*$G21,0))</f>
        <v>1064.57686579815</v>
      </c>
      <c r="BI21" s="214">
        <f>IF(AND(($E21+$C$1)&gt;BI$4,BI$4&gt;=$C$1),'General Inputs'!K$11*$H21,IF(AND(($D21+$C$1)&gt;BI$4,BI$4&gt;=$C$1),'General Inputs'!K$11*$G21,0))</f>
        <v>1064.57686579815</v>
      </c>
      <c r="BJ21" s="214">
        <f>IF(AND(($E21+$C$1)&gt;BJ$4,BJ$4&gt;=$C$1),'General Inputs'!L$11*$H21,IF(AND(($D21+$C$1)&gt;BJ$4,BJ$4&gt;=$C$1),'General Inputs'!L$11*$G21,0))</f>
        <v>1064.57686579815</v>
      </c>
      <c r="BK21" s="214">
        <f>IF(AND(($E21+$C$1)&gt;BK$4,BK$4&gt;=$C$1),'General Inputs'!M$11*$H21,IF(AND(($D21+$C$1)&gt;BK$4,BK$4&gt;=$C$1),'General Inputs'!M$11*$G21,0))</f>
        <v>1064.57686579815</v>
      </c>
      <c r="BL21" s="214">
        <f>IF(AND(($E21+$C$1)&gt;BL$4,BL$4&gt;=$C$1),'General Inputs'!N$11*$H21,IF(AND(($D21+$C$1)&gt;BL$4,BL$4&gt;=$C$1),'General Inputs'!N$11*$G21,0))</f>
        <v>1064.57686579815</v>
      </c>
      <c r="BM21" s="214">
        <f>IF(AND(($E21+$C$1)&gt;BM$4,BM$4&gt;=$C$1),'General Inputs'!O$11*$H21,IF(AND(($D21+$C$1)&gt;BM$4,BM$4&gt;=$C$1),'General Inputs'!O$11*$G21,0))</f>
        <v>1064.57686579815</v>
      </c>
      <c r="BN21" s="214">
        <f>IF(AND(($E21+$C$1)&gt;BN$4,BN$4&gt;=$C$1),'General Inputs'!P$11*$H21,IF(AND(($D21+$C$1)&gt;BN$4,BN$4&gt;=$C$1),'General Inputs'!P$11*$G21,0))</f>
        <v>1064.57686579815</v>
      </c>
      <c r="BO21" s="214">
        <f>IF(AND(($E21+$C$1)&gt;BO$4,BO$4&gt;=$C$1),'General Inputs'!Q$11*$H21,IF(AND(($D21+$C$1)&gt;BO$4,BO$4&gt;=$C$1),'General Inputs'!Q$11*$G21,0))</f>
        <v>1064.57686579815</v>
      </c>
      <c r="BP21" s="214">
        <f>IF(AND(($E21+$C$1)&gt;BP$4,BP$4&gt;=$C$1),'General Inputs'!R$11*$H21,IF(AND(($D21+$C$1)&gt;BP$4,BP$4&gt;=$C$1),'General Inputs'!R$11*$G21,0))</f>
        <v>1064.57686579815</v>
      </c>
      <c r="BQ21" s="214">
        <f>IF(AND(($E21+$C$1)&gt;BQ$4,BQ$4&gt;=$C$1),'General Inputs'!S$11*$H21,IF(AND(($D21+$C$1)&gt;BQ$4,BQ$4&gt;=$C$1),'General Inputs'!S$11*$G21,0))</f>
        <v>1064.57686579815</v>
      </c>
      <c r="BR21" s="214">
        <f>IF(AND(($E21+$C$1)&gt;BR$4,BR$4&gt;=$C$1),'General Inputs'!T$11*$H21,IF(AND(($D21+$C$1)&gt;BR$4,BR$4&gt;=$C$1),'General Inputs'!T$11*$G21,0))</f>
        <v>1064.57686579815</v>
      </c>
      <c r="BS21" s="214">
        <f>IF(AND(($E21+$C$1)&gt;BS$4,BS$4&gt;=$C$1),'General Inputs'!U$11*$H21,IF(AND(($D21+$C$1)&gt;BS$4,BS$4&gt;=$C$1),'General Inputs'!U$11*$G21,0))</f>
        <v>1064.57686579815</v>
      </c>
      <c r="BT21" s="214">
        <f>IF(AND(($E21+$C$1)&gt;BT$4,BT$4&gt;=$C$1),'General Inputs'!V$11*$H21,IF(AND(($D21+$C$1)&gt;BT$4,BT$4&gt;=$C$1),'General Inputs'!V$11*$G21,0))</f>
        <v>1064.57686579815</v>
      </c>
      <c r="BU21" s="214">
        <f>IF(AND(($E21+$C$1)&gt;BU$4,BU$4&gt;=$C$1),'General Inputs'!W$11*$H21,IF(AND(($D21+$C$1)&gt;BU$4,BU$4&gt;=$C$1),'General Inputs'!W$11*$G21,0))</f>
        <v>1064.57686579815</v>
      </c>
      <c r="BW21" s="214">
        <f>IF(AND(($E21+$C$1)&gt;BW$4,BW$4&gt;=$C$1),$H21,IF(AND(($D21+$C$1)&gt;BW$4,BW$4&gt;=$C$1),$G21,0))*IF($A21="Residential",'General Inputs'!D$14,'General Inputs'!D$19)</f>
        <v>0</v>
      </c>
      <c r="BX21" s="214">
        <f>IF(AND(($E21+$C$1)&gt;BX$4,BX$4&gt;=$C$1),$H21,IF(AND(($D21+$C$1)&gt;BX$4,BX$4&gt;=$C$1),$G21,0))*IF($A21="Residential",'General Inputs'!E$14,'General Inputs'!E$19)</f>
        <v>0</v>
      </c>
      <c r="BY21" s="214">
        <f>IF(AND(($E21+$C$1)&gt;BY$4,BY$4&gt;=$C$1),$H21,IF(AND(($D21+$C$1)&gt;BY$4,BY$4&gt;=$C$1),$G21,0))*IF($A21="Residential",'General Inputs'!F$14,'General Inputs'!F$19)</f>
        <v>12913.828486564207</v>
      </c>
      <c r="BZ21" s="214">
        <f>IF(AND(($E21+$C$1)&gt;BZ$4,BZ$4&gt;=$C$1),$H21,IF(AND(($D21+$C$1)&gt;BZ$4,BZ$4&gt;=$C$1),$G21,0))*IF($A21="Residential",'General Inputs'!G$14,'General Inputs'!G$19)</f>
        <v>13107.535913862668</v>
      </c>
      <c r="CA21" s="214">
        <f>IF(AND(($E21+$C$1)&gt;CA$4,CA$4&gt;=$C$1),$H21,IF(AND(($D21+$C$1)&gt;CA$4,CA$4&gt;=$C$1),$G21,0))*IF($A21="Residential",'General Inputs'!H$14,'General Inputs'!H$19)</f>
        <v>13304.148952570606</v>
      </c>
      <c r="CB21" s="214">
        <f>IF(AND(($E21+$C$1)&gt;CB$4,CB$4&gt;=$C$1),$H21,IF(AND(($D21+$C$1)&gt;CB$4,CB$4&gt;=$C$1),$G21,0))*IF($A21="Residential",'General Inputs'!I$14,'General Inputs'!I$19)</f>
        <v>13503.711186859164</v>
      </c>
      <c r="CC21" s="214">
        <f>IF(AND(($E21+$C$1)&gt;CC$4,CC$4&gt;=$C$1),$H21,IF(AND(($D21+$C$1)&gt;CC$4,CC$4&gt;=$C$1),$G21,0))*IF($A21="Residential",'General Inputs'!J$14,'General Inputs'!J$19)</f>
        <v>13706.26685466205</v>
      </c>
      <c r="CD21" s="214">
        <f>IF(AND(($E21+$C$1)&gt;CD$4,CD$4&gt;=$C$1),$H21,IF(AND(($D21+$C$1)&gt;CD$4,CD$4&gt;=$C$1),$G21,0))*IF($A21="Residential",'General Inputs'!K$14,'General Inputs'!K$19)</f>
        <v>13911.860857481979</v>
      </c>
      <c r="CE21" s="214">
        <f>IF(AND(($E21+$C$1)&gt;CE$4,CE$4&gt;=$C$1),$H21,IF(AND(($D21+$C$1)&gt;CE$4,CE$4&gt;=$C$1),$G21,0))*IF($A21="Residential",'General Inputs'!L$14,'General Inputs'!L$19)</f>
        <v>14120.538770344205</v>
      </c>
      <c r="CF21" s="214">
        <f>IF(AND(($E21+$C$1)&gt;CF$4,CF$4&gt;=$C$1),$H21,IF(AND(($D21+$C$1)&gt;CF$4,CF$4&gt;=$C$1),$G21,0))*IF($A21="Residential",'General Inputs'!M$14,'General Inputs'!M$19)</f>
        <v>14332.346851899367</v>
      </c>
      <c r="CG21" s="214">
        <f>IF(AND(($E21+$C$1)&gt;CG$4,CG$4&gt;=$C$1),$H21,IF(AND(($D21+$C$1)&gt;CG$4,CG$4&gt;=$C$1),$G21,0))*IF($A21="Residential",'General Inputs'!N$14,'General Inputs'!N$19)</f>
        <v>14547.332054677858</v>
      </c>
      <c r="CH21" s="214">
        <f>IF(AND(($E21+$C$1)&gt;CH$4,CH$4&gt;=$C$1),$H21,IF(AND(($D21+$C$1)&gt;CH$4,CH$4&gt;=$C$1),$G21,0))*IF($A21="Residential",'General Inputs'!O$14,'General Inputs'!O$19)</f>
        <v>14765.542035498023</v>
      </c>
      <c r="CI21" s="214">
        <f>IF(AND(($E21+$C$1)&gt;CI$4,CI$4&gt;=$C$1),$H21,IF(AND(($D21+$C$1)&gt;CI$4,CI$4&gt;=$C$1),$G21,0))*IF($A21="Residential",'General Inputs'!P$14,'General Inputs'!P$19)</f>
        <v>14987.025166030493</v>
      </c>
      <c r="CJ21" s="214">
        <f>IF(AND(($E21+$C$1)&gt;CJ$4,CJ$4&gt;=$C$1),$H21,IF(AND(($D21+$C$1)&gt;CJ$4,CJ$4&gt;=$C$1),$G21,0))*IF($A21="Residential",'General Inputs'!Q$14,'General Inputs'!Q$19)</f>
        <v>15211.830543520948</v>
      </c>
      <c r="CK21" s="214">
        <f>IF(AND(($E21+$C$1)&gt;CK$4,CK$4&gt;=$C$1),$H21,IF(AND(($D21+$C$1)&gt;CK$4,CK$4&gt;=$C$1),$G21,0))*IF($A21="Residential",'General Inputs'!R$14,'General Inputs'!R$19)</f>
        <v>15440.008001673759</v>
      </c>
      <c r="CL21" s="214">
        <f>IF(AND(($E21+$C$1)&gt;CL$4,CL$4&gt;=$C$1),$H21,IF(AND(($D21+$C$1)&gt;CL$4,CL$4&gt;=$C$1),$G21,0))*IF($A21="Residential",'General Inputs'!S$14,'General Inputs'!S$19)</f>
        <v>15671.608121698866</v>
      </c>
      <c r="CM21" s="214">
        <f>IF(AND(($E21+$C$1)&gt;CM$4,CM$4&gt;=$C$1),$H21,IF(AND(($D21+$C$1)&gt;CM$4,CM$4&gt;=$C$1),$G21,0))*IF($A21="Residential",'General Inputs'!T$14,'General Inputs'!T$19)</f>
        <v>15906.682243524347</v>
      </c>
      <c r="CN21" s="214">
        <f>IF(AND(($E21+$C$1)&gt;CN$4,CN$4&gt;=$C$1),$H21,IF(AND(($D21+$C$1)&gt;CN$4,CN$4&gt;=$C$1),$G21,0))*IF($A21="Residential",'General Inputs'!U$14,'General Inputs'!U$19)</f>
        <v>16145.28247717721</v>
      </c>
      <c r="CO21" s="214">
        <f>IF(AND(($E21+$C$1)&gt;CO$4,CO$4&gt;=$C$1),$H21,IF(AND(($D21+$C$1)&gt;CO$4,CO$4&gt;=$C$1),$G21,0))*IF($A21="Residential",'General Inputs'!V$14,'General Inputs'!V$19)</f>
        <v>16387.461714334866</v>
      </c>
      <c r="CP21" s="214">
        <f>IF(AND(($E21+$C$1)&gt;CP$4,CP$4&gt;=$C$1),$H21,IF(AND(($D21+$C$1)&gt;CP$4,CP$4&gt;=$C$1),$G21,0))*IF($A21="Residential",'General Inputs'!W$14,'General Inputs'!W$19)</f>
        <v>16633.273640049887</v>
      </c>
      <c r="CR21" s="214">
        <f>IF(AND(($E21+$C$1)&gt;CR$4,CR$4&gt;=$C$1),$H21,IF(AND(($D21+$C$1)&gt;CR$4,CR$4&gt;=$C$1),$G21,0))*IF($A21="Residential",'General Inputs'!D$15,'General Inputs'!D$19)</f>
        <v>0</v>
      </c>
      <c r="CS21" s="214">
        <f>IF(AND(($E21+$C$1)&gt;CS$4,CS$4&gt;=$C$1),$H21,IF(AND(($D21+$C$1)&gt;CS$4,CS$4&gt;=$C$1),$G21,0))*IF($A21="Residential",'General Inputs'!E$15,'General Inputs'!E$19)</f>
        <v>0</v>
      </c>
      <c r="CT21" s="214">
        <f>IF(AND(($E21+$C$1)&gt;CT$4,CT$4&gt;=$C$1),$H21,IF(AND(($D21+$C$1)&gt;CT$4,CT$4&gt;=$C$1),$G21,0))*IF($A21="Residential",'General Inputs'!F$15,'General Inputs'!F$19)</f>
        <v>10505.506398019024</v>
      </c>
      <c r="CU21" s="214">
        <f>IF(AND(($E21+$C$1)&gt;CU$4,CU$4&gt;=$C$1),$H21,IF(AND(($D21+$C$1)&gt;CU$4,CU$4&gt;=$C$1),$G21,0))*IF($A21="Residential",'General Inputs'!G$15,'General Inputs'!G$19)</f>
        <v>10663.088993989308</v>
      </c>
      <c r="CV21" s="214">
        <f>IF(AND(($E21+$C$1)&gt;CV$4,CV$4&gt;=$C$1),$H21,IF(AND(($D21+$C$1)&gt;CV$4,CV$4&gt;=$C$1),$G21,0))*IF($A21="Residential",'General Inputs'!H$15,'General Inputs'!H$19)</f>
        <v>10823.035328899146</v>
      </c>
      <c r="CW21" s="214">
        <f>IF(AND(($E21+$C$1)&gt;CW$4,CW$4&gt;=$C$1),$H21,IF(AND(($D21+$C$1)&gt;CW$4,CW$4&gt;=$C$1),$G21,0))*IF($A21="Residential",'General Inputs'!I$15,'General Inputs'!I$19)</f>
        <v>10985.380858832632</v>
      </c>
      <c r="CX21" s="214">
        <f>IF(AND(($E21+$C$1)&gt;CX$4,CX$4&gt;=$C$1),$H21,IF(AND(($D21+$C$1)&gt;CX$4,CX$4&gt;=$C$1),$G21,0))*IF($A21="Residential",'General Inputs'!J$15,'General Inputs'!J$19)</f>
        <v>11150.16157171512</v>
      </c>
      <c r="CY21" s="214">
        <f>IF(AND(($E21+$C$1)&gt;CY$4,CY$4&gt;=$C$1),$H21,IF(AND(($D21+$C$1)&gt;CY$4,CY$4&gt;=$C$1),$G21,0))*IF($A21="Residential",'General Inputs'!K$15,'General Inputs'!K$19)</f>
        <v>11317.413995290846</v>
      </c>
      <c r="CZ21" s="214">
        <f>IF(AND(($E21+$C$1)&gt;CZ$4,CZ$4&gt;=$C$1),$H21,IF(AND(($D21+$C$1)&gt;CZ$4,CZ$4&gt;=$C$1),$G21,0))*IF($A21="Residential",'General Inputs'!L$15,'General Inputs'!L$19)</f>
        <v>11487.175205220206</v>
      </c>
      <c r="DA21" s="214">
        <f>IF(AND(($E21+$C$1)&gt;DA$4,DA$4&gt;=$C$1),$H21,IF(AND(($D21+$C$1)&gt;DA$4,DA$4&gt;=$C$1),$G21,0))*IF($A21="Residential",'General Inputs'!M$15,'General Inputs'!M$19)</f>
        <v>11659.482833298509</v>
      </c>
      <c r="DB21" s="214">
        <f>IF(AND(($E21+$C$1)&gt;DB$4,DB$4&gt;=$C$1),$H21,IF(AND(($D21+$C$1)&gt;DB$4,DB$4&gt;=$C$1),$G21,0))*IF($A21="Residential",'General Inputs'!N$15,'General Inputs'!N$19)</f>
        <v>11834.375075797985</v>
      </c>
      <c r="DC21" s="214">
        <f>IF(AND(($E21+$C$1)&gt;DC$4,DC$4&gt;=$C$1),$H21,IF(AND(($D21+$C$1)&gt;DC$4,DC$4&gt;=$C$1),$G21,0))*IF($A21="Residential",'General Inputs'!O$15,'General Inputs'!O$19)</f>
        <v>12011.890701934954</v>
      </c>
      <c r="DD21" s="214">
        <f>IF(AND(($E21+$C$1)&gt;DD$4,DD$4&gt;=$C$1),$H21,IF(AND(($D21+$C$1)&gt;DD$4,DD$4&gt;=$C$1),$G21,0))*IF($A21="Residential",'General Inputs'!P$15,'General Inputs'!P$19)</f>
        <v>12192.069062463977</v>
      </c>
      <c r="DE21" s="214">
        <f>IF(AND(($E21+$C$1)&gt;DE$4,DE$4&gt;=$C$1),$H21,IF(AND(($D21+$C$1)&gt;DE$4,DE$4&gt;=$C$1),$G21,0))*IF($A21="Residential",'General Inputs'!Q$15,'General Inputs'!Q$19)</f>
        <v>12374.950098400937</v>
      </c>
      <c r="DF21" s="214">
        <f>IF(AND(($E21+$C$1)&gt;DF$4,DF$4&gt;=$C$1),$H21,IF(AND(($D21+$C$1)&gt;DF$4,DF$4&gt;=$C$1),$G21,0))*IF($A21="Residential",'General Inputs'!R$15,'General Inputs'!R$19)</f>
        <v>12560.57434987695</v>
      </c>
      <c r="DG21" s="214">
        <f>IF(AND(($E21+$C$1)&gt;DG$4,DG$4&gt;=$C$1),$H21,IF(AND(($D21+$C$1)&gt;DG$4,DG$4&gt;=$C$1),$G21,0))*IF($A21="Residential",'General Inputs'!S$15,'General Inputs'!S$19)</f>
        <v>12748.982965125102</v>
      </c>
      <c r="DH21" s="214">
        <f>IF(AND(($E21+$C$1)&gt;DH$4,DH$4&gt;=$C$1),$H21,IF(AND(($D21+$C$1)&gt;DH$4,DH$4&gt;=$C$1),$G21,0))*IF($A21="Residential",'General Inputs'!T$15,'General Inputs'!T$19)</f>
        <v>12940.217709601977</v>
      </c>
      <c r="DI21" s="214">
        <f>IF(AND(($E21+$C$1)&gt;DI$4,DI$4&gt;=$C$1),$H21,IF(AND(($D21+$C$1)&gt;DI$4,DI$4&gt;=$C$1),$G21,0))*IF($A21="Residential",'General Inputs'!U$15,'General Inputs'!U$19)</f>
        <v>13134.320975246004</v>
      </c>
      <c r="DJ21" s="214">
        <f>IF(AND(($E21+$C$1)&gt;DJ$4,DJ$4&gt;=$C$1),$H21,IF(AND(($D21+$C$1)&gt;DJ$4,DJ$4&gt;=$C$1),$G21,0))*IF($A21="Residential",'General Inputs'!V$15,'General Inputs'!V$19)</f>
        <v>13331.335789874693</v>
      </c>
      <c r="DK21" s="214">
        <f>IF(AND(($E21+$C$1)&gt;DK$4,DK$4&gt;=$C$1),$H21,IF(AND(($D21+$C$1)&gt;DK$4,DK$4&gt;=$C$1),$G21,0))*IF($A21="Residential",'General Inputs'!W$15,'General Inputs'!W$19)</f>
        <v>13531.305826722812</v>
      </c>
      <c r="DM21" s="214">
        <f t="shared" si="47"/>
        <v>0</v>
      </c>
      <c r="DN21" s="214">
        <f t="shared" si="27"/>
        <v>0</v>
      </c>
      <c r="DO21" s="214">
        <f t="shared" si="27"/>
        <v>22140</v>
      </c>
      <c r="DP21" s="214">
        <f t="shared" si="27"/>
        <v>0</v>
      </c>
      <c r="DQ21" s="214">
        <f t="shared" si="27"/>
        <v>0</v>
      </c>
      <c r="DR21" s="214">
        <f t="shared" si="27"/>
        <v>0</v>
      </c>
      <c r="DS21" s="214">
        <f t="shared" si="27"/>
        <v>0</v>
      </c>
      <c r="DT21" s="214">
        <f t="shared" si="27"/>
        <v>0</v>
      </c>
      <c r="DU21" s="214">
        <f t="shared" si="27"/>
        <v>0</v>
      </c>
      <c r="DV21" s="214">
        <f t="shared" si="27"/>
        <v>0</v>
      </c>
      <c r="DW21" s="214">
        <f t="shared" si="27"/>
        <v>0</v>
      </c>
      <c r="DZ21" s="650"/>
      <c r="FI21" s="195"/>
      <c r="FJ21" s="195"/>
      <c r="FK21" s="195"/>
      <c r="FL21" s="195"/>
      <c r="FM21" s="195"/>
      <c r="FN21" s="195"/>
      <c r="FO21" s="195"/>
    </row>
    <row r="22" spans="1:171">
      <c r="A22" s="342" t="s">
        <v>12</v>
      </c>
      <c r="B22" s="427" t="str">
        <f>'Portfolio Inputs'!A21</f>
        <v>Early Retirement Geothermal EER ≥21</v>
      </c>
      <c r="C22" s="217">
        <f>IF($C$1=2014,'Portfolio Inputs'!$C21,IF($C$1=2015,'Portfolio Inputs'!$D21,'Portfolio Inputs'!$E21))</f>
        <v>7</v>
      </c>
      <c r="D22" s="504">
        <f>VLOOKUP(B22,Sources!$B$4:$J$104,2,FALSE)</f>
        <v>18</v>
      </c>
      <c r="E22" s="504">
        <f>VLOOKUP(B22,Sources!$B$4:$J$104,3,FALSE)</f>
        <v>6</v>
      </c>
      <c r="G22" s="504">
        <f>IF($C$1=2014,'Portfolio Inputs'!$G21,IF($C$1=2015,'Portfolio Inputs'!$H21,'Portfolio Inputs'!$I21))*EnergyLineLoss</f>
        <v>36315.974954127923</v>
      </c>
      <c r="H22" s="504">
        <f>VLOOKUP($B22,Sources!$B$4:$K$104,6,FALSE)*C22*EnergyLineLoss</f>
        <v>82030.111249227193</v>
      </c>
      <c r="I22" s="504">
        <f>IF($C$1=2014,'Portfolio Inputs'!$K21,IF($C$1=2015,'Portfolio Inputs'!$L21,'Portfolio Inputs'!$M21))*PeakLineLoss</f>
        <v>5.6797928371305728</v>
      </c>
      <c r="J22" s="510">
        <f>VLOOKUP($B22,Sources!$B$4:$K$104,8,FALSE)*C22*PeakLineLoss</f>
        <v>11.968706042872197</v>
      </c>
      <c r="L22" s="606">
        <f>IF($C$1=2014,'Portfolio Inputs'!$O21,IF($C$1=2015,'Portfolio Inputs'!$P21,'Portfolio Inputs'!$Q21))</f>
        <v>2913</v>
      </c>
      <c r="M22" s="518">
        <f>VLOOKUP($B22,Sources!$B$4:$K$104,10,FALSE)</f>
        <v>2376</v>
      </c>
      <c r="N22" s="419">
        <f>IF($C$1=2014,'Portfolio Inputs'!$W21,IF($C$1=2015,'Portfolio Inputs'!$X21,'Portfolio Inputs'!$Y21))</f>
        <v>6300</v>
      </c>
      <c r="O22" s="419"/>
      <c r="Q22" s="438">
        <f t="shared" si="48"/>
        <v>2.574500403321192</v>
      </c>
      <c r="R22" s="439">
        <f t="shared" si="49"/>
        <v>4.2442837257015356</v>
      </c>
      <c r="S22" s="439">
        <f t="shared" si="50"/>
        <v>3.2046106111878143</v>
      </c>
      <c r="T22" s="439">
        <f t="shared" si="51"/>
        <v>8.8251457116994541</v>
      </c>
      <c r="U22" s="439">
        <f t="shared" si="52"/>
        <v>7.2924513769224255</v>
      </c>
      <c r="V22" s="439">
        <f t="shared" si="53"/>
        <v>0.29172327431468792</v>
      </c>
      <c r="W22" s="439">
        <f t="shared" si="54"/>
        <v>0.3530363481707145</v>
      </c>
      <c r="Y22" s="215">
        <f t="shared" si="55"/>
        <v>22571.888253610246</v>
      </c>
      <c r="Z22" s="215">
        <f t="shared" si="56"/>
        <v>5524.4804704930975</v>
      </c>
      <c r="AA22" s="215">
        <f t="shared" si="57"/>
        <v>72056.128567828404</v>
      </c>
      <c r="AB22" s="215">
        <f t="shared" si="58"/>
        <v>58618.257201834887</v>
      </c>
      <c r="AC22" s="216">
        <f t="shared" si="59"/>
        <v>0</v>
      </c>
      <c r="AD22" s="216">
        <f t="shared" si="60"/>
        <v>5318.1855201914786</v>
      </c>
      <c r="AE22" s="215">
        <f t="shared" si="61"/>
        <v>8767.4828966784207</v>
      </c>
      <c r="AG22" s="214">
        <f>IF(AND(($E22+$C$1)&gt;AG$4,AG$4&gt;=$C$1),'General Inputs'!D$9*$H22,IF(AND(($D22+$C$1)&gt;AG$4,AG$4&gt;=$C$1),'General Inputs'!D$9*$G22,0))+IF(AND(($E22+$C$1)&gt;AG$4,AG$4&gt;=$C$1),'General Inputs'!D$10*$J22,IF(AND(($D22+$C$1)&gt;AG$4,AG$4&gt;=$C$1),'General Inputs'!D$10*$I22,0))</f>
        <v>0</v>
      </c>
      <c r="AH22" s="214">
        <f>IF(AND(($E22+$C$1)&gt;AH$4,AH$4&gt;=$C$1),'General Inputs'!E$9*$H22,IF(AND(($D22+$C$1)&gt;AH$4,AH$4&gt;=$C$1),'General Inputs'!E$9*$G22,0))+IF(AND(($E22+$C$1)&gt;AH$4,AH$4&gt;=$C$1),'General Inputs'!E$10*$J22,IF(AND(($D22+$C$1)&gt;AH$4,AH$4&gt;=$C$1),'General Inputs'!E$10*$I22,0))</f>
        <v>0</v>
      </c>
      <c r="AI22" s="214">
        <f>IF(AND(($E22+$C$1)&gt;AI$4,AI$4&gt;=$C$1),'General Inputs'!F$9*$H22,IF(AND(($D22+$C$1)&gt;AI$4,AI$4&gt;=$C$1),'General Inputs'!F$9*$G22,0))+IF(AND(($E22+$C$1)&gt;AI$4,AI$4&gt;=$C$1),'General Inputs'!F$10*$J22,IF(AND(($D22+$C$1)&gt;AI$4,AI$4&gt;=$C$1),'General Inputs'!F$10*$I22,0))</f>
        <v>3549.1506572318353</v>
      </c>
      <c r="AJ22" s="214">
        <f>IF(AND(($E22+$C$1)&gt;AJ$4,AJ$4&gt;=$C$1),'General Inputs'!G$9*$H22,IF(AND(($D22+$C$1)&gt;AJ$4,AJ$4&gt;=$C$1),'General Inputs'!G$9*$G22,0))+IF(AND(($E22+$C$1)&gt;AJ$4,AJ$4&gt;=$C$1),'General Inputs'!G$10*$J22,IF(AND(($D22+$C$1)&gt;AJ$4,AJ$4&gt;=$C$1),'General Inputs'!G$10*$I22,0))</f>
        <v>3602.3879170903124</v>
      </c>
      <c r="AK22" s="214">
        <f>IF(AND(($E22+$C$1)&gt;AK$4,AK$4&gt;=$C$1),'General Inputs'!H$9*$H22,IF(AND(($D22+$C$1)&gt;AK$4,AK$4&gt;=$C$1),'General Inputs'!H$9*$G22,0))+IF(AND(($E22+$C$1)&gt;AK$4,AK$4&gt;=$C$1),'General Inputs'!H$10*$J22,IF(AND(($D22+$C$1)&gt;AK$4,AK$4&gt;=$C$1),'General Inputs'!H$10*$I22,0))</f>
        <v>3656.4237358466667</v>
      </c>
      <c r="AL22" s="214">
        <f>IF(AND(($E22+$C$1)&gt;AL$4,AL$4&gt;=$C$1),'General Inputs'!I$9*$H22,IF(AND(($D22+$C$1)&gt;AL$4,AL$4&gt;=$C$1),'General Inputs'!I$9*$G22,0))+IF(AND(($E22+$C$1)&gt;AL$4,AL$4&gt;=$C$1),'General Inputs'!I$10*$J22,IF(AND(($D22+$C$1)&gt;AL$4,AL$4&gt;=$C$1),'General Inputs'!I$10*$I22,0))</f>
        <v>3711.2700918843661</v>
      </c>
      <c r="AM22" s="214">
        <f>IF(AND(($E22+$C$1)&gt;AM$4,AM$4&gt;=$C$1),'General Inputs'!J$9*$H22,IF(AND(($D22+$C$1)&gt;AM$4,AM$4&gt;=$C$1),'General Inputs'!J$9*$G22,0))+IF(AND(($E22+$C$1)&gt;AM$4,AM$4&gt;=$C$1),'General Inputs'!J$10*$J22,IF(AND(($D22+$C$1)&gt;AM$4,AM$4&gt;=$C$1),'General Inputs'!J$10*$I22,0))</f>
        <v>3766.9391432626308</v>
      </c>
      <c r="AN22" s="214">
        <f>IF(AND(($E22+$C$1)&gt;AN$4,AN$4&gt;=$C$1),'General Inputs'!K$9*$H22,IF(AND(($D22+$C$1)&gt;AN$4,AN$4&gt;=$C$1),'General Inputs'!K$9*$G22,0))+IF(AND(($E22+$C$1)&gt;AN$4,AN$4&gt;=$C$1),'General Inputs'!K$10*$J22,IF(AND(($D22+$C$1)&gt;AN$4,AN$4&gt;=$C$1),'General Inputs'!K$10*$I22,0))</f>
        <v>3823.4432304115699</v>
      </c>
      <c r="AO22" s="214">
        <f>IF(AND(($E22+$C$1)&gt;AO$4,AO$4&gt;=$C$1),'General Inputs'!L$9*$H22,IF(AND(($D22+$C$1)&gt;AO$4,AO$4&gt;=$C$1),'General Inputs'!L$9*$G22,0))+IF(AND(($E22+$C$1)&gt;AO$4,AO$4&gt;=$C$1),'General Inputs'!L$10*$J22,IF(AND(($D22+$C$1)&gt;AO$4,AO$4&gt;=$C$1),'General Inputs'!L$10*$I22,0))</f>
        <v>1724.5146407151867</v>
      </c>
      <c r="AP22" s="214">
        <f>IF(AND(($E22+$C$1)&gt;AP$4,AP$4&gt;=$C$1),'General Inputs'!M$9*$H22,IF(AND(($D22+$C$1)&gt;AP$4,AP$4&gt;=$C$1),'General Inputs'!M$9*$G22,0))+IF(AND(($E22+$C$1)&gt;AP$4,AP$4&gt;=$C$1),'General Inputs'!M$10*$J22,IF(AND(($D22+$C$1)&gt;AP$4,AP$4&gt;=$C$1),'General Inputs'!M$10*$I22,0))</f>
        <v>1750.3823603259141</v>
      </c>
      <c r="AQ22" s="214">
        <f>IF(AND(($E22+$C$1)&gt;AQ$4,AQ$4&gt;=$C$1),'General Inputs'!N$9*$H22,IF(AND(($D22+$C$1)&gt;AQ$4,AQ$4&gt;=$C$1),'General Inputs'!N$9*$G22,0))+IF(AND(($E22+$C$1)&gt;AQ$4,AQ$4&gt;=$C$1),'General Inputs'!N$10*$J22,IF(AND(($D22+$C$1)&gt;AQ$4,AQ$4&gt;=$C$1),'General Inputs'!N$10*$I22,0))</f>
        <v>1776.6380957308029</v>
      </c>
      <c r="AR22" s="214">
        <f>IF(AND(($E22+$C$1)&gt;AR$4,AR$4&gt;=$C$1),'General Inputs'!O$9*$H22,IF(AND(($D22+$C$1)&gt;AR$4,AR$4&gt;=$C$1),'General Inputs'!O$9*$G22,0))+IF(AND(($E22+$C$1)&gt;AR$4,AR$4&gt;=$C$1),'General Inputs'!O$10*$J22,IF(AND(($D22+$C$1)&gt;AR$4,AR$4&gt;=$C$1),'General Inputs'!O$10*$I22,0))</f>
        <v>1803.2876671667648</v>
      </c>
      <c r="AS22" s="214">
        <f>IF(AND(($E22+$C$1)&gt;AS$4,AS$4&gt;=$C$1),'General Inputs'!P$9*$H22,IF(AND(($D22+$C$1)&gt;AS$4,AS$4&gt;=$C$1),'General Inputs'!P$9*$G22,0))+IF(AND(($E22+$C$1)&gt;AS$4,AS$4&gt;=$C$1),'General Inputs'!P$10*$J22,IF(AND(($D22+$C$1)&gt;AS$4,AS$4&gt;=$C$1),'General Inputs'!P$10*$I22,0))</f>
        <v>1830.3369821742658</v>
      </c>
      <c r="AT22" s="214">
        <f>IF(AND(($E22+$C$1)&gt;AT$4,AT$4&gt;=$C$1),'General Inputs'!Q$9*$H22,IF(AND(($D22+$C$1)&gt;AT$4,AT$4&gt;=$C$1),'General Inputs'!Q$9*$G22,0))+IF(AND(($E22+$C$1)&gt;AT$4,AT$4&gt;=$C$1),'General Inputs'!Q$10*$J22,IF(AND(($D22+$C$1)&gt;AT$4,AT$4&gt;=$C$1),'General Inputs'!Q$10*$I22,0))</f>
        <v>1857.7920369068797</v>
      </c>
      <c r="AU22" s="214">
        <f>IF(AND(($E22+$C$1)&gt;AU$4,AU$4&gt;=$C$1),'General Inputs'!R$9*$H22,IF(AND(($D22+$C$1)&gt;AU$4,AU$4&gt;=$C$1),'General Inputs'!R$9*$G22,0))+IF(AND(($E22+$C$1)&gt;AU$4,AU$4&gt;=$C$1),'General Inputs'!R$10*$J22,IF(AND(($D22+$C$1)&gt;AU$4,AU$4&gt;=$C$1),'General Inputs'!R$10*$I22,0))</f>
        <v>1885.6589174604828</v>
      </c>
      <c r="AV22" s="214">
        <f>IF(AND(($E22+$C$1)&gt;AV$4,AV$4&gt;=$C$1),'General Inputs'!S$9*$H22,IF(AND(($D22+$C$1)&gt;AV$4,AV$4&gt;=$C$1),'General Inputs'!S$9*$G22,0))+IF(AND(($E22+$C$1)&gt;AV$4,AV$4&gt;=$C$1),'General Inputs'!S$10*$J22,IF(AND(($D22+$C$1)&gt;AV$4,AV$4&gt;=$C$1),'General Inputs'!S$10*$I22,0))</f>
        <v>1913.94380122239</v>
      </c>
      <c r="AW22" s="214">
        <f>IF(AND(($E22+$C$1)&gt;AW$4,AW$4&gt;=$C$1),'General Inputs'!T$9*$H22,IF(AND(($D22+$C$1)&gt;AW$4,AW$4&gt;=$C$1),'General Inputs'!T$9*$G22,0))+IF(AND(($E22+$C$1)&gt;AW$4,AW$4&gt;=$C$1),'General Inputs'!T$10*$J22,IF(AND(($D22+$C$1)&gt;AW$4,AW$4&gt;=$C$1),'General Inputs'!T$10*$I22,0))</f>
        <v>1942.6529582407256</v>
      </c>
      <c r="AX22" s="214">
        <f>IF(AND(($E22+$C$1)&gt;AX$4,AX$4&gt;=$C$1),'General Inputs'!U$9*$H22,IF(AND(($D22+$C$1)&gt;AX$4,AX$4&gt;=$C$1),'General Inputs'!U$9*$G22,0))+IF(AND(($E22+$C$1)&gt;AX$4,AX$4&gt;=$C$1),'General Inputs'!U$10*$J22,IF(AND(($D22+$C$1)&gt;AX$4,AX$4&gt;=$C$1),'General Inputs'!U$10*$I22,0))</f>
        <v>1971.7927526143365</v>
      </c>
      <c r="AY22" s="214">
        <f>IF(AND(($E22+$C$1)&gt;AY$4,AY$4&gt;=$C$1),'General Inputs'!V$9*$H22,IF(AND(($D22+$C$1)&gt;AY$4,AY$4&gt;=$C$1),'General Inputs'!V$9*$G22,0))+IF(AND(($E22+$C$1)&gt;AY$4,AY$4&gt;=$C$1),'General Inputs'!V$10*$J22,IF(AND(($D22+$C$1)&gt;AY$4,AY$4&gt;=$C$1),'General Inputs'!V$10*$I22,0))</f>
        <v>2001.3696439035514</v>
      </c>
      <c r="AZ22" s="214">
        <f>IF(AND(($E22+$C$1)&gt;AZ$4,AZ$4&gt;=$C$1),'General Inputs'!W$9*$H22,IF(AND(($D22+$C$1)&gt;AZ$4,AZ$4&gt;=$C$1),'General Inputs'!W$9*$G22,0))+IF(AND(($E22+$C$1)&gt;AZ$4,AZ$4&gt;=$C$1),'General Inputs'!W$10*$J22,IF(AND(($D22+$C$1)&gt;AZ$4,AZ$4&gt;=$C$1),'General Inputs'!W$10*$I22,0))</f>
        <v>2031.3901885621044</v>
      </c>
      <c r="BB22" s="214">
        <f>IF(AND(($E22+$C$1)&gt;BB$4,BB$4&gt;=$C$1),'General Inputs'!D$11*$H22,IF(AND(($D22+$C$1)&gt;BB$4,BB$4&gt;=$C$1),'General Inputs'!D$11*$G22,0))</f>
        <v>0</v>
      </c>
      <c r="BC22" s="214">
        <f>IF(AND(($E22+$C$1)&gt;BC$4,BC$4&gt;=$C$1),'General Inputs'!E$11*$H22,IF(AND(($D22+$C$1)&gt;BC$4,BC$4&gt;=$C$1),'General Inputs'!E$11*$G22,0))</f>
        <v>0</v>
      </c>
      <c r="BD22" s="214">
        <f>IF(AND(($E22+$C$1)&gt;BD$4,BD$4&gt;=$C$1),'General Inputs'!F$11*$H22,IF(AND(($D22+$C$1)&gt;BD$4,BD$4&gt;=$C$1),'General Inputs'!F$11*$G22,0))</f>
        <v>935.14326824119007</v>
      </c>
      <c r="BE22" s="214">
        <f>IF(AND(($E22+$C$1)&gt;BE$4,BE$4&gt;=$C$1),'General Inputs'!G$11*$H22,IF(AND(($D22+$C$1)&gt;BE$4,BE$4&gt;=$C$1),'General Inputs'!G$11*$G22,0))</f>
        <v>935.14326824119007</v>
      </c>
      <c r="BF22" s="214">
        <f>IF(AND(($E22+$C$1)&gt;BF$4,BF$4&gt;=$C$1),'General Inputs'!H$11*$H22,IF(AND(($D22+$C$1)&gt;BF$4,BF$4&gt;=$C$1),'General Inputs'!H$11*$G22,0))</f>
        <v>935.14326824119007</v>
      </c>
      <c r="BG22" s="214">
        <f>IF(AND(($E22+$C$1)&gt;BG$4,BG$4&gt;=$C$1),'General Inputs'!I$11*$H22,IF(AND(($D22+$C$1)&gt;BG$4,BG$4&gt;=$C$1),'General Inputs'!I$11*$G22,0))</f>
        <v>935.14326824119007</v>
      </c>
      <c r="BH22" s="214">
        <f>IF(AND(($E22+$C$1)&gt;BH$4,BH$4&gt;=$C$1),'General Inputs'!J$11*$H22,IF(AND(($D22+$C$1)&gt;BH$4,BH$4&gt;=$C$1),'General Inputs'!J$11*$G22,0))</f>
        <v>935.14326824119007</v>
      </c>
      <c r="BI22" s="214">
        <f>IF(AND(($E22+$C$1)&gt;BI$4,BI$4&gt;=$C$1),'General Inputs'!K$11*$H22,IF(AND(($D22+$C$1)&gt;BI$4,BI$4&gt;=$C$1),'General Inputs'!K$11*$G22,0))</f>
        <v>935.14326824119007</v>
      </c>
      <c r="BJ22" s="214">
        <f>IF(AND(($E22+$C$1)&gt;BJ$4,BJ$4&gt;=$C$1),'General Inputs'!L$11*$H22,IF(AND(($D22+$C$1)&gt;BJ$4,BJ$4&gt;=$C$1),'General Inputs'!L$11*$G22,0))</f>
        <v>414.00211447705834</v>
      </c>
      <c r="BK22" s="214">
        <f>IF(AND(($E22+$C$1)&gt;BK$4,BK$4&gt;=$C$1),'General Inputs'!M$11*$H22,IF(AND(($D22+$C$1)&gt;BK$4,BK$4&gt;=$C$1),'General Inputs'!M$11*$G22,0))</f>
        <v>414.00211447705834</v>
      </c>
      <c r="BL22" s="214">
        <f>IF(AND(($E22+$C$1)&gt;BL$4,BL$4&gt;=$C$1),'General Inputs'!N$11*$H22,IF(AND(($D22+$C$1)&gt;BL$4,BL$4&gt;=$C$1),'General Inputs'!N$11*$G22,0))</f>
        <v>414.00211447705834</v>
      </c>
      <c r="BM22" s="214">
        <f>IF(AND(($E22+$C$1)&gt;BM$4,BM$4&gt;=$C$1),'General Inputs'!O$11*$H22,IF(AND(($D22+$C$1)&gt;BM$4,BM$4&gt;=$C$1),'General Inputs'!O$11*$G22,0))</f>
        <v>414.00211447705834</v>
      </c>
      <c r="BN22" s="214">
        <f>IF(AND(($E22+$C$1)&gt;BN$4,BN$4&gt;=$C$1),'General Inputs'!P$11*$H22,IF(AND(($D22+$C$1)&gt;BN$4,BN$4&gt;=$C$1),'General Inputs'!P$11*$G22,0))</f>
        <v>414.00211447705834</v>
      </c>
      <c r="BO22" s="214">
        <f>IF(AND(($E22+$C$1)&gt;BO$4,BO$4&gt;=$C$1),'General Inputs'!Q$11*$H22,IF(AND(($D22+$C$1)&gt;BO$4,BO$4&gt;=$C$1),'General Inputs'!Q$11*$G22,0))</f>
        <v>414.00211447705834</v>
      </c>
      <c r="BP22" s="214">
        <f>IF(AND(($E22+$C$1)&gt;BP$4,BP$4&gt;=$C$1),'General Inputs'!R$11*$H22,IF(AND(($D22+$C$1)&gt;BP$4,BP$4&gt;=$C$1),'General Inputs'!R$11*$G22,0))</f>
        <v>414.00211447705834</v>
      </c>
      <c r="BQ22" s="214">
        <f>IF(AND(($E22+$C$1)&gt;BQ$4,BQ$4&gt;=$C$1),'General Inputs'!S$11*$H22,IF(AND(($D22+$C$1)&gt;BQ$4,BQ$4&gt;=$C$1),'General Inputs'!S$11*$G22,0))</f>
        <v>414.00211447705834</v>
      </c>
      <c r="BR22" s="214">
        <f>IF(AND(($E22+$C$1)&gt;BR$4,BR$4&gt;=$C$1),'General Inputs'!T$11*$H22,IF(AND(($D22+$C$1)&gt;BR$4,BR$4&gt;=$C$1),'General Inputs'!T$11*$G22,0))</f>
        <v>414.00211447705834</v>
      </c>
      <c r="BS22" s="214">
        <f>IF(AND(($E22+$C$1)&gt;BS$4,BS$4&gt;=$C$1),'General Inputs'!U$11*$H22,IF(AND(($D22+$C$1)&gt;BS$4,BS$4&gt;=$C$1),'General Inputs'!U$11*$G22,0))</f>
        <v>414.00211447705834</v>
      </c>
      <c r="BT22" s="214">
        <f>IF(AND(($E22+$C$1)&gt;BT$4,BT$4&gt;=$C$1),'General Inputs'!V$11*$H22,IF(AND(($D22+$C$1)&gt;BT$4,BT$4&gt;=$C$1),'General Inputs'!V$11*$G22,0))</f>
        <v>414.00211447705834</v>
      </c>
      <c r="BU22" s="214">
        <f>IF(AND(($E22+$C$1)&gt;BU$4,BU$4&gt;=$C$1),'General Inputs'!W$11*$H22,IF(AND(($D22+$C$1)&gt;BU$4,BU$4&gt;=$C$1),'General Inputs'!W$11*$G22,0))</f>
        <v>414.00211447705834</v>
      </c>
      <c r="BW22" s="214">
        <f>IF(AND(($E22+$C$1)&gt;BW$4,BW$4&gt;=$C$1),$H22,IF(AND(($D22+$C$1)&gt;BW$4,BW$4&gt;=$C$1),$G22,0))*IF($A22="Residential",'General Inputs'!D$14,'General Inputs'!D$19)</f>
        <v>0</v>
      </c>
      <c r="BX22" s="214">
        <f>IF(AND(($E22+$C$1)&gt;BX$4,BX$4&gt;=$C$1),$H22,IF(AND(($D22+$C$1)&gt;BX$4,BX$4&gt;=$C$1),$G22,0))*IF($A22="Residential",'General Inputs'!E$14,'General Inputs'!E$19)</f>
        <v>0</v>
      </c>
      <c r="BY22" s="214">
        <f>IF(AND(($E22+$C$1)&gt;BY$4,BY$4&gt;=$C$1),$H22,IF(AND(($D22+$C$1)&gt;BY$4,BY$4&gt;=$C$1),$G22,0))*IF($A22="Residential",'General Inputs'!F$14,'General Inputs'!F$19)</f>
        <v>11343.736806996862</v>
      </c>
      <c r="BZ22" s="214">
        <f>IF(AND(($E22+$C$1)&gt;BZ$4,BZ$4&gt;=$C$1),$H22,IF(AND(($D22+$C$1)&gt;BZ$4,BZ$4&gt;=$C$1),$G22,0))*IF($A22="Residential",'General Inputs'!G$14,'General Inputs'!G$19)</f>
        <v>11513.892859101812</v>
      </c>
      <c r="CA22" s="214">
        <f>IF(AND(($E22+$C$1)&gt;CA$4,CA$4&gt;=$C$1),$H22,IF(AND(($D22+$C$1)&gt;CA$4,CA$4&gt;=$C$1),$G22,0))*IF($A22="Residential",'General Inputs'!H$14,'General Inputs'!H$19)</f>
        <v>11686.601251988337</v>
      </c>
      <c r="CB22" s="214">
        <f>IF(AND(($E22+$C$1)&gt;CB$4,CB$4&gt;=$C$1),$H22,IF(AND(($D22+$C$1)&gt;CB$4,CB$4&gt;=$C$1),$G22,0))*IF($A22="Residential",'General Inputs'!I$14,'General Inputs'!I$19)</f>
        <v>11861.900270768161</v>
      </c>
      <c r="CC22" s="214">
        <f>IF(AND(($E22+$C$1)&gt;CC$4,CC$4&gt;=$C$1),$H22,IF(AND(($D22+$C$1)&gt;CC$4,CC$4&gt;=$C$1),$G22,0))*IF($A22="Residential",'General Inputs'!J$14,'General Inputs'!J$19)</f>
        <v>12039.828774829683</v>
      </c>
      <c r="CD22" s="214">
        <f>IF(AND(($E22+$C$1)&gt;CD$4,CD$4&gt;=$C$1),$H22,IF(AND(($D22+$C$1)&gt;CD$4,CD$4&gt;=$C$1),$G22,0))*IF($A22="Residential",'General Inputs'!K$14,'General Inputs'!K$19)</f>
        <v>12220.426206452126</v>
      </c>
      <c r="CE22" s="214">
        <f>IF(AND(($E22+$C$1)&gt;CE$4,CE$4&gt;=$C$1),$H22,IF(AND(($D22+$C$1)&gt;CE$4,CE$4&gt;=$C$1),$G22,0))*IF($A22="Residential",'General Inputs'!L$14,'General Inputs'!L$19)</f>
        <v>5491.3206329116347</v>
      </c>
      <c r="CF22" s="214">
        <f>IF(AND(($E22+$C$1)&gt;CF$4,CF$4&gt;=$C$1),$H22,IF(AND(($D22+$C$1)&gt;CF$4,CF$4&gt;=$C$1),$G22,0))*IF($A22="Residential",'General Inputs'!M$14,'General Inputs'!M$19)</f>
        <v>5573.6904424053091</v>
      </c>
      <c r="CG22" s="214">
        <f>IF(AND(($E22+$C$1)&gt;CG$4,CG$4&gt;=$C$1),$H22,IF(AND(($D22+$C$1)&gt;CG$4,CG$4&gt;=$C$1),$G22,0))*IF($A22="Residential",'General Inputs'!N$14,'General Inputs'!N$19)</f>
        <v>5657.2957990413879</v>
      </c>
      <c r="CH22" s="214">
        <f>IF(AND(($E22+$C$1)&gt;CH$4,CH$4&gt;=$C$1),$H22,IF(AND(($D22+$C$1)&gt;CH$4,CH$4&gt;=$C$1),$G22,0))*IF($A22="Residential",'General Inputs'!O$14,'General Inputs'!O$19)</f>
        <v>5742.155236027008</v>
      </c>
      <c r="CI22" s="214">
        <f>IF(AND(($E22+$C$1)&gt;CI$4,CI$4&gt;=$C$1),$H22,IF(AND(($D22+$C$1)&gt;CI$4,CI$4&gt;=$C$1),$G22,0))*IF($A22="Residential",'General Inputs'!P$14,'General Inputs'!P$19)</f>
        <v>5828.287564567413</v>
      </c>
      <c r="CJ22" s="214">
        <f>IF(AND(($E22+$C$1)&gt;CJ$4,CJ$4&gt;=$C$1),$H22,IF(AND(($D22+$C$1)&gt;CJ$4,CJ$4&gt;=$C$1),$G22,0))*IF($A22="Residential",'General Inputs'!Q$14,'General Inputs'!Q$19)</f>
        <v>5915.7118780359233</v>
      </c>
      <c r="CK22" s="214">
        <f>IF(AND(($E22+$C$1)&gt;CK$4,CK$4&gt;=$C$1),$H22,IF(AND(($D22+$C$1)&gt;CK$4,CK$4&gt;=$C$1),$G22,0))*IF($A22="Residential",'General Inputs'!R$14,'General Inputs'!R$19)</f>
        <v>6004.4475562064608</v>
      </c>
      <c r="CL22" s="214">
        <f>IF(AND(($E22+$C$1)&gt;CL$4,CL$4&gt;=$C$1),$H22,IF(AND(($D22+$C$1)&gt;CL$4,CL$4&gt;=$C$1),$G22,0))*IF($A22="Residential",'General Inputs'!S$14,'General Inputs'!S$19)</f>
        <v>6094.5142695495579</v>
      </c>
      <c r="CM22" s="214">
        <f>IF(AND(($E22+$C$1)&gt;CM$4,CM$4&gt;=$C$1),$H22,IF(AND(($D22+$C$1)&gt;CM$4,CM$4&gt;=$C$1),$G22,0))*IF($A22="Residential",'General Inputs'!T$14,'General Inputs'!T$19)</f>
        <v>6185.9319835928009</v>
      </c>
      <c r="CN22" s="214">
        <f>IF(AND(($E22+$C$1)&gt;CN$4,CN$4&gt;=$C$1),$H22,IF(AND(($D22+$C$1)&gt;CN$4,CN$4&gt;=$C$1),$G22,0))*IF($A22="Residential",'General Inputs'!U$14,'General Inputs'!U$19)</f>
        <v>6278.7209633466919</v>
      </c>
      <c r="CO22" s="214">
        <f>IF(AND(($E22+$C$1)&gt;CO$4,CO$4&gt;=$C$1),$H22,IF(AND(($D22+$C$1)&gt;CO$4,CO$4&gt;=$C$1),$G22,0))*IF($A22="Residential",'General Inputs'!V$14,'General Inputs'!V$19)</f>
        <v>6372.901777796892</v>
      </c>
      <c r="CP22" s="214">
        <f>IF(AND(($E22+$C$1)&gt;CP$4,CP$4&gt;=$C$1),$H22,IF(AND(($D22+$C$1)&gt;CP$4,CP$4&gt;=$C$1),$G22,0))*IF($A22="Residential",'General Inputs'!W$14,'General Inputs'!W$19)</f>
        <v>6468.4953044638451</v>
      </c>
      <c r="CR22" s="214">
        <f>IF(AND(($E22+$C$1)&gt;CR$4,CR$4&gt;=$C$1),$H22,IF(AND(($D22+$C$1)&gt;CR$4,CR$4&gt;=$C$1),$G22,0))*IF($A22="Residential",'General Inputs'!D$15,'General Inputs'!D$19)</f>
        <v>0</v>
      </c>
      <c r="CS22" s="214">
        <f>IF(AND(($E22+$C$1)&gt;CS$4,CS$4&gt;=$C$1),$H22,IF(AND(($D22+$C$1)&gt;CS$4,CS$4&gt;=$C$1),$G22,0))*IF($A22="Residential",'General Inputs'!E$15,'General Inputs'!E$19)</f>
        <v>0</v>
      </c>
      <c r="CT22" s="214">
        <f>IF(AND(($E22+$C$1)&gt;CT$4,CT$4&gt;=$C$1),$H22,IF(AND(($D22+$C$1)&gt;CT$4,CT$4&gt;=$C$1),$G22,0))*IF($A22="Residential",'General Inputs'!F$15,'General Inputs'!F$19)</f>
        <v>9228.2238166116204</v>
      </c>
      <c r="CU22" s="214">
        <f>IF(AND(($E22+$C$1)&gt;CU$4,CU$4&gt;=$C$1),$H22,IF(AND(($D22+$C$1)&gt;CU$4,CU$4&gt;=$C$1),$G22,0))*IF($A22="Residential",'General Inputs'!G$15,'General Inputs'!G$19)</f>
        <v>9366.6471738607943</v>
      </c>
      <c r="CV22" s="214">
        <f>IF(AND(($E22+$C$1)&gt;CV$4,CV$4&gt;=$C$1),$H22,IF(AND(($D22+$C$1)&gt;CV$4,CV$4&gt;=$C$1),$G22,0))*IF($A22="Residential",'General Inputs'!H$15,'General Inputs'!H$19)</f>
        <v>9507.146881468705</v>
      </c>
      <c r="CW22" s="214">
        <f>IF(AND(($E22+$C$1)&gt;CW$4,CW$4&gt;=$C$1),$H22,IF(AND(($D22+$C$1)&gt;CW$4,CW$4&gt;=$C$1),$G22,0))*IF($A22="Residential",'General Inputs'!I$15,'General Inputs'!I$19)</f>
        <v>9649.7540846907341</v>
      </c>
      <c r="CX22" s="214">
        <f>IF(AND(($E22+$C$1)&gt;CX$4,CX$4&gt;=$C$1),$H22,IF(AND(($D22+$C$1)&gt;CX$4,CX$4&gt;=$C$1),$G22,0))*IF($A22="Residential",'General Inputs'!J$15,'General Inputs'!J$19)</f>
        <v>9794.5003959610949</v>
      </c>
      <c r="CY22" s="214">
        <f>IF(AND(($E22+$C$1)&gt;CY$4,CY$4&gt;=$C$1),$H22,IF(AND(($D22+$C$1)&gt;CY$4,CY$4&gt;=$C$1),$G22,0))*IF($A22="Residential",'General Inputs'!K$15,'General Inputs'!K$19)</f>
        <v>9941.4179019005096</v>
      </c>
      <c r="CZ22" s="214">
        <f>IF(AND(($E22+$C$1)&gt;CZ$4,CZ$4&gt;=$C$1),$H22,IF(AND(($D22+$C$1)&gt;CZ$4,CZ$4&gt;=$C$1),$G22,0))*IF($A22="Residential",'General Inputs'!L$15,'General Inputs'!L$19)</f>
        <v>4467.2348020300797</v>
      </c>
      <c r="DA22" s="214">
        <f>IF(AND(($E22+$C$1)&gt;DA$4,DA$4&gt;=$C$1),$H22,IF(AND(($D22+$C$1)&gt;DA$4,DA$4&gt;=$C$1),$G22,0))*IF($A22="Residential",'General Inputs'!M$15,'General Inputs'!M$19)</f>
        <v>4534.2433240605314</v>
      </c>
      <c r="DB22" s="214">
        <f>IF(AND(($E22+$C$1)&gt;DB$4,DB$4&gt;=$C$1),$H22,IF(AND(($D22+$C$1)&gt;DB$4,DB$4&gt;=$C$1),$G22,0))*IF($A22="Residential",'General Inputs'!N$15,'General Inputs'!N$19)</f>
        <v>4602.2569739214387</v>
      </c>
      <c r="DC22" s="214">
        <f>IF(AND(($E22+$C$1)&gt;DC$4,DC$4&gt;=$C$1),$H22,IF(AND(($D22+$C$1)&gt;DC$4,DC$4&gt;=$C$1),$G22,0))*IF($A22="Residential",'General Inputs'!O$15,'General Inputs'!O$19)</f>
        <v>4671.2908285302592</v>
      </c>
      <c r="DD22" s="214">
        <f>IF(AND(($E22+$C$1)&gt;DD$4,DD$4&gt;=$C$1),$H22,IF(AND(($D22+$C$1)&gt;DD$4,DD$4&gt;=$C$1),$G22,0))*IF($A22="Residential",'General Inputs'!P$15,'General Inputs'!P$19)</f>
        <v>4741.360190958213</v>
      </c>
      <c r="DE22" s="214">
        <f>IF(AND(($E22+$C$1)&gt;DE$4,DE$4&gt;=$C$1),$H22,IF(AND(($D22+$C$1)&gt;DE$4,DE$4&gt;=$C$1),$G22,0))*IF($A22="Residential",'General Inputs'!Q$15,'General Inputs'!Q$19)</f>
        <v>4812.4805938225863</v>
      </c>
      <c r="DF22" s="214">
        <f>IF(AND(($E22+$C$1)&gt;DF$4,DF$4&gt;=$C$1),$H22,IF(AND(($D22+$C$1)&gt;DF$4,DF$4&gt;=$C$1),$G22,0))*IF($A22="Residential",'General Inputs'!R$15,'General Inputs'!R$19)</f>
        <v>4884.667802729924</v>
      </c>
      <c r="DG22" s="214">
        <f>IF(AND(($E22+$C$1)&gt;DG$4,DG$4&gt;=$C$1),$H22,IF(AND(($D22+$C$1)&gt;DG$4,DG$4&gt;=$C$1),$G22,0))*IF($A22="Residential",'General Inputs'!S$15,'General Inputs'!S$19)</f>
        <v>4957.937819770872</v>
      </c>
      <c r="DH22" s="214">
        <f>IF(AND(($E22+$C$1)&gt;DH$4,DH$4&gt;=$C$1),$H22,IF(AND(($D22+$C$1)&gt;DH$4,DH$4&gt;=$C$1),$G22,0))*IF($A22="Residential",'General Inputs'!T$15,'General Inputs'!T$19)</f>
        <v>5032.3068870674351</v>
      </c>
      <c r="DI22" s="214">
        <f>IF(AND(($E22+$C$1)&gt;DI$4,DI$4&gt;=$C$1),$H22,IF(AND(($D22+$C$1)&gt;DI$4,DI$4&gt;=$C$1),$G22,0))*IF($A22="Residential",'General Inputs'!U$15,'General Inputs'!U$19)</f>
        <v>5107.7914903734454</v>
      </c>
      <c r="DJ22" s="214">
        <f>IF(AND(($E22+$C$1)&gt;DJ$4,DJ$4&gt;=$C$1),$H22,IF(AND(($D22+$C$1)&gt;DJ$4,DJ$4&gt;=$C$1),$G22,0))*IF($A22="Residential",'General Inputs'!V$15,'General Inputs'!V$19)</f>
        <v>5184.4083627290465</v>
      </c>
      <c r="DK22" s="214">
        <f>IF(AND(($E22+$C$1)&gt;DK$4,DK$4&gt;=$C$1),$H22,IF(AND(($D22+$C$1)&gt;DK$4,DK$4&gt;=$C$1),$G22,0))*IF($A22="Residential",'General Inputs'!W$15,'General Inputs'!W$19)</f>
        <v>5262.1744881699824</v>
      </c>
      <c r="DM22" s="214">
        <f t="shared" si="47"/>
        <v>0</v>
      </c>
      <c r="DN22" s="214">
        <f t="shared" si="27"/>
        <v>0</v>
      </c>
      <c r="DO22" s="214">
        <f t="shared" si="27"/>
        <v>20391</v>
      </c>
      <c r="DP22" s="214">
        <f t="shared" si="27"/>
        <v>0</v>
      </c>
      <c r="DQ22" s="214">
        <f t="shared" si="27"/>
        <v>0</v>
      </c>
      <c r="DR22" s="214">
        <f t="shared" si="27"/>
        <v>0</v>
      </c>
      <c r="DS22" s="214">
        <f t="shared" si="27"/>
        <v>0</v>
      </c>
      <c r="DT22" s="214">
        <f t="shared" si="27"/>
        <v>0</v>
      </c>
      <c r="DU22" s="214">
        <f t="shared" si="27"/>
        <v>-16632</v>
      </c>
      <c r="DV22" s="214">
        <f t="shared" si="27"/>
        <v>0</v>
      </c>
      <c r="DW22" s="214">
        <f t="shared" si="27"/>
        <v>0</v>
      </c>
      <c r="DZ22" s="650"/>
      <c r="FI22" s="195"/>
      <c r="FJ22" s="195"/>
      <c r="FK22" s="195"/>
      <c r="FL22" s="195"/>
      <c r="FM22" s="195"/>
      <c r="FN22" s="195"/>
      <c r="FO22" s="195"/>
    </row>
    <row r="23" spans="1:171">
      <c r="A23" s="342" t="s">
        <v>12</v>
      </c>
      <c r="B23" s="427" t="str">
        <f>'Portfolio Inputs'!A22</f>
        <v>Heat Pump SEER 15 Replace Electric Furnace</v>
      </c>
      <c r="C23" s="217">
        <f>IF($C$1=2014,'Portfolio Inputs'!$C22,IF($C$1=2015,'Portfolio Inputs'!$D22,'Portfolio Inputs'!$E22))</f>
        <v>5</v>
      </c>
      <c r="D23" s="504">
        <f>VLOOKUP(B23,Sources!$B$4:$J$104,2,FALSE)</f>
        <v>18</v>
      </c>
      <c r="E23" s="504">
        <f>VLOOKUP(B23,Sources!$B$4:$J$104,3,FALSE)</f>
        <v>0</v>
      </c>
      <c r="G23" s="504">
        <f>IF($C$1=2014,'Portfolio Inputs'!$G22,IF($C$1=2015,'Portfolio Inputs'!$H22,'Portfolio Inputs'!$I22))*EnergyLineLoss</f>
        <v>73103.015227876458</v>
      </c>
      <c r="H23" s="504">
        <f>VLOOKUP($B23,Sources!$B$4:$K$104,6,FALSE)*C23*EnergyLineLoss</f>
        <v>0</v>
      </c>
      <c r="I23" s="504">
        <f>IF($C$1=2014,'Portfolio Inputs'!$K22,IF($C$1=2015,'Portfolio Inputs'!$L22,'Portfolio Inputs'!$M22))*PeakLineLoss</f>
        <v>16.486742179748141</v>
      </c>
      <c r="J23" s="510">
        <f>VLOOKUP($B23,Sources!$B$4:$K$104,8,FALSE)*C23*PeakLineLoss</f>
        <v>0</v>
      </c>
      <c r="L23" s="606">
        <f>IF($C$1=2014,'Portfolio Inputs'!$O22,IF($C$1=2015,'Portfolio Inputs'!$P22,'Portfolio Inputs'!$Q22))</f>
        <v>4554</v>
      </c>
      <c r="M23" s="518">
        <f>VLOOKUP($B23,Sources!$B$4:$K$104,10,FALSE)</f>
        <v>0</v>
      </c>
      <c r="N23" s="419">
        <f>IF($C$1=2014,'Portfolio Inputs'!$W22,IF($C$1=2015,'Portfolio Inputs'!$X22,'Portfolio Inputs'!$Y22))</f>
        <v>7500</v>
      </c>
      <c r="O23" s="419"/>
      <c r="Q23" s="438">
        <f t="shared" si="48"/>
        <v>1.5154374098070069</v>
      </c>
      <c r="R23" s="439">
        <f t="shared" si="49"/>
        <v>4.6008679761740723</v>
      </c>
      <c r="S23" s="439">
        <f t="shared" si="50"/>
        <v>1.8679715536684431</v>
      </c>
      <c r="T23" s="439">
        <f t="shared" si="51"/>
        <v>5.0392875783004465</v>
      </c>
      <c r="U23" s="439">
        <f t="shared" si="52"/>
        <v>4.1609289546531505</v>
      </c>
      <c r="V23" s="439">
        <f t="shared" si="53"/>
        <v>0.30072453422436041</v>
      </c>
      <c r="W23" s="439">
        <f t="shared" si="54"/>
        <v>0.36420650924892606</v>
      </c>
      <c r="Y23" s="215">
        <f t="shared" si="55"/>
        <v>29128.892203811462</v>
      </c>
      <c r="Z23" s="215">
        <f t="shared" si="56"/>
        <v>6776.2145821716904</v>
      </c>
      <c r="AA23" s="215">
        <f t="shared" si="57"/>
        <v>90531.200425141797</v>
      </c>
      <c r="AB23" s="215">
        <f t="shared" si="58"/>
        <v>73647.88112806264</v>
      </c>
      <c r="AC23" s="216">
        <f t="shared" si="59"/>
        <v>0</v>
      </c>
      <c r="AD23" s="216">
        <f t="shared" si="60"/>
        <v>6331.1732383231893</v>
      </c>
      <c r="AE23" s="215">
        <f t="shared" si="61"/>
        <v>19221.441951549201</v>
      </c>
      <c r="AG23" s="214">
        <f>IF(AND(($E23+$C$1)&gt;AG$4,AG$4&gt;=$C$1),'General Inputs'!D$9*$H23,IF(AND(($D23+$C$1)&gt;AG$4,AG$4&gt;=$C$1),'General Inputs'!D$9*$G23,0))+IF(AND(($E23+$C$1)&gt;AG$4,AG$4&gt;=$C$1),'General Inputs'!D$10*$J23,IF(AND(($D23+$C$1)&gt;AG$4,AG$4&gt;=$C$1),'General Inputs'!D$10*$I23,0))</f>
        <v>0</v>
      </c>
      <c r="AH23" s="214">
        <f>IF(AND(($E23+$C$1)&gt;AH$4,AH$4&gt;=$C$1),'General Inputs'!E$9*$H23,IF(AND(($D23+$C$1)&gt;AH$4,AH$4&gt;=$C$1),'General Inputs'!E$9*$G23,0))+IF(AND(($E23+$C$1)&gt;AH$4,AH$4&gt;=$C$1),'General Inputs'!E$10*$J23,IF(AND(($D23+$C$1)&gt;AH$4,AH$4&gt;=$C$1),'General Inputs'!E$10*$I23,0))</f>
        <v>0</v>
      </c>
      <c r="AI23" s="214">
        <f>IF(AND(($E23+$C$1)&gt;AI$4,AI$4&gt;=$C$1),'General Inputs'!F$9*$H23,IF(AND(($D23+$C$1)&gt;AI$4,AI$4&gt;=$C$1),'General Inputs'!F$9*$G23,0))+IF(AND(($E23+$C$1)&gt;AI$4,AI$4&gt;=$C$1),'General Inputs'!F$10*$J23,IF(AND(($D23+$C$1)&gt;AI$4,AI$4&gt;=$C$1),'General Inputs'!F$10*$I23,0))</f>
        <v>3252.6985848589648</v>
      </c>
      <c r="AJ23" s="214">
        <f>IF(AND(($E23+$C$1)&gt;AJ$4,AJ$4&gt;=$C$1),'General Inputs'!G$9*$H23,IF(AND(($D23+$C$1)&gt;AJ$4,AJ$4&gt;=$C$1),'General Inputs'!G$9*$G23,0))+IF(AND(($E23+$C$1)&gt;AJ$4,AJ$4&gt;=$C$1),'General Inputs'!G$10*$J23,IF(AND(($D23+$C$1)&gt;AJ$4,AJ$4&gt;=$C$1),'General Inputs'!G$10*$I23,0))</f>
        <v>3301.4890636318487</v>
      </c>
      <c r="AK23" s="214">
        <f>IF(AND(($E23+$C$1)&gt;AK$4,AK$4&gt;=$C$1),'General Inputs'!H$9*$H23,IF(AND(($D23+$C$1)&gt;AK$4,AK$4&gt;=$C$1),'General Inputs'!H$9*$G23,0))+IF(AND(($E23+$C$1)&gt;AK$4,AK$4&gt;=$C$1),'General Inputs'!H$10*$J23,IF(AND(($D23+$C$1)&gt;AK$4,AK$4&gt;=$C$1),'General Inputs'!H$10*$I23,0))</f>
        <v>3351.0113995863262</v>
      </c>
      <c r="AL23" s="214">
        <f>IF(AND(($E23+$C$1)&gt;AL$4,AL$4&gt;=$C$1),'General Inputs'!I$9*$H23,IF(AND(($D23+$C$1)&gt;AL$4,AL$4&gt;=$C$1),'General Inputs'!I$9*$G23,0))+IF(AND(($E23+$C$1)&gt;AL$4,AL$4&gt;=$C$1),'General Inputs'!I$10*$J23,IF(AND(($D23+$C$1)&gt;AL$4,AL$4&gt;=$C$1),'General Inputs'!I$10*$I23,0))</f>
        <v>3401.2765705801207</v>
      </c>
      <c r="AM23" s="214">
        <f>IF(AND(($E23+$C$1)&gt;AM$4,AM$4&gt;=$C$1),'General Inputs'!J$9*$H23,IF(AND(($D23+$C$1)&gt;AM$4,AM$4&gt;=$C$1),'General Inputs'!J$9*$G23,0))+IF(AND(($E23+$C$1)&gt;AM$4,AM$4&gt;=$C$1),'General Inputs'!J$10*$J23,IF(AND(($D23+$C$1)&gt;AM$4,AM$4&gt;=$C$1),'General Inputs'!J$10*$I23,0))</f>
        <v>3452.2957191388223</v>
      </c>
      <c r="AN23" s="214">
        <f>IF(AND(($E23+$C$1)&gt;AN$4,AN$4&gt;=$C$1),'General Inputs'!K$9*$H23,IF(AND(($D23+$C$1)&gt;AN$4,AN$4&gt;=$C$1),'General Inputs'!K$9*$G23,0))+IF(AND(($E23+$C$1)&gt;AN$4,AN$4&gt;=$C$1),'General Inputs'!K$10*$J23,IF(AND(($D23+$C$1)&gt;AN$4,AN$4&gt;=$C$1),'General Inputs'!K$10*$I23,0))</f>
        <v>3504.080154925904</v>
      </c>
      <c r="AO23" s="214">
        <f>IF(AND(($E23+$C$1)&gt;AO$4,AO$4&gt;=$C$1),'General Inputs'!L$9*$H23,IF(AND(($D23+$C$1)&gt;AO$4,AO$4&gt;=$C$1),'General Inputs'!L$9*$G23,0))+IF(AND(($E23+$C$1)&gt;AO$4,AO$4&gt;=$C$1),'General Inputs'!L$10*$J23,IF(AND(($D23+$C$1)&gt;AO$4,AO$4&gt;=$C$1),'General Inputs'!L$10*$I23,0))</f>
        <v>3556.6413572497922</v>
      </c>
      <c r="AP23" s="214">
        <f>IF(AND(($E23+$C$1)&gt;AP$4,AP$4&gt;=$C$1),'General Inputs'!M$9*$H23,IF(AND(($D23+$C$1)&gt;AP$4,AP$4&gt;=$C$1),'General Inputs'!M$9*$G23,0))+IF(AND(($E23+$C$1)&gt;AP$4,AP$4&gt;=$C$1),'General Inputs'!M$10*$J23,IF(AND(($D23+$C$1)&gt;AP$4,AP$4&gt;=$C$1),'General Inputs'!M$10*$I23,0))</f>
        <v>3609.9909776085383</v>
      </c>
      <c r="AQ23" s="214">
        <f>IF(AND(($E23+$C$1)&gt;AQ$4,AQ$4&gt;=$C$1),'General Inputs'!N$9*$H23,IF(AND(($D23+$C$1)&gt;AQ$4,AQ$4&gt;=$C$1),'General Inputs'!N$9*$G23,0))+IF(AND(($E23+$C$1)&gt;AQ$4,AQ$4&gt;=$C$1),'General Inputs'!N$10*$J23,IF(AND(($D23+$C$1)&gt;AQ$4,AQ$4&gt;=$C$1),'General Inputs'!N$10*$I23,0))</f>
        <v>3664.1408422726663</v>
      </c>
      <c r="AR23" s="214">
        <f>IF(AND(($E23+$C$1)&gt;AR$4,AR$4&gt;=$C$1),'General Inputs'!O$9*$H23,IF(AND(($D23+$C$1)&gt;AR$4,AR$4&gt;=$C$1),'General Inputs'!O$9*$G23,0))+IF(AND(($E23+$C$1)&gt;AR$4,AR$4&gt;=$C$1),'General Inputs'!O$10*$J23,IF(AND(($D23+$C$1)&gt;AR$4,AR$4&gt;=$C$1),'General Inputs'!O$10*$I23,0))</f>
        <v>3719.1029549067562</v>
      </c>
      <c r="AS23" s="214">
        <f>IF(AND(($E23+$C$1)&gt;AS$4,AS$4&gt;=$C$1),'General Inputs'!P$9*$H23,IF(AND(($D23+$C$1)&gt;AS$4,AS$4&gt;=$C$1),'General Inputs'!P$9*$G23,0))+IF(AND(($E23+$C$1)&gt;AS$4,AS$4&gt;=$C$1),'General Inputs'!P$10*$J23,IF(AND(($D23+$C$1)&gt;AS$4,AS$4&gt;=$C$1),'General Inputs'!P$10*$I23,0))</f>
        <v>3774.8894992303567</v>
      </c>
      <c r="AT23" s="214">
        <f>IF(AND(($E23+$C$1)&gt;AT$4,AT$4&gt;=$C$1),'General Inputs'!Q$9*$H23,IF(AND(($D23+$C$1)&gt;AT$4,AT$4&gt;=$C$1),'General Inputs'!Q$9*$G23,0))+IF(AND(($E23+$C$1)&gt;AT$4,AT$4&gt;=$C$1),'General Inputs'!Q$10*$J23,IF(AND(($D23+$C$1)&gt;AT$4,AT$4&gt;=$C$1),'General Inputs'!Q$10*$I23,0))</f>
        <v>3831.5128417188116</v>
      </c>
      <c r="AU23" s="214">
        <f>IF(AND(($E23+$C$1)&gt;AU$4,AU$4&gt;=$C$1),'General Inputs'!R$9*$H23,IF(AND(($D23+$C$1)&gt;AU$4,AU$4&gt;=$C$1),'General Inputs'!R$9*$G23,0))+IF(AND(($E23+$C$1)&gt;AU$4,AU$4&gt;=$C$1),'General Inputs'!R$10*$J23,IF(AND(($D23+$C$1)&gt;AU$4,AU$4&gt;=$C$1),'General Inputs'!R$10*$I23,0))</f>
        <v>3888.9855343445938</v>
      </c>
      <c r="AV23" s="214">
        <f>IF(AND(($E23+$C$1)&gt;AV$4,AV$4&gt;=$C$1),'General Inputs'!S$9*$H23,IF(AND(($D23+$C$1)&gt;AV$4,AV$4&gt;=$C$1),'General Inputs'!S$9*$G23,0))+IF(AND(($E23+$C$1)&gt;AV$4,AV$4&gt;=$C$1),'General Inputs'!S$10*$J23,IF(AND(($D23+$C$1)&gt;AV$4,AV$4&gt;=$C$1),'General Inputs'!S$10*$I23,0))</f>
        <v>3947.3203173597622</v>
      </c>
      <c r="AW23" s="214">
        <f>IF(AND(($E23+$C$1)&gt;AW$4,AW$4&gt;=$C$1),'General Inputs'!T$9*$H23,IF(AND(($D23+$C$1)&gt;AW$4,AW$4&gt;=$C$1),'General Inputs'!T$9*$G23,0))+IF(AND(($E23+$C$1)&gt;AW$4,AW$4&gt;=$C$1),'General Inputs'!T$10*$J23,IF(AND(($D23+$C$1)&gt;AW$4,AW$4&gt;=$C$1),'General Inputs'!T$10*$I23,0))</f>
        <v>4006.5301221201585</v>
      </c>
      <c r="AX23" s="214">
        <f>IF(AND(($E23+$C$1)&gt;AX$4,AX$4&gt;=$C$1),'General Inputs'!U$9*$H23,IF(AND(($D23+$C$1)&gt;AX$4,AX$4&gt;=$C$1),'General Inputs'!U$9*$G23,0))+IF(AND(($E23+$C$1)&gt;AX$4,AX$4&gt;=$C$1),'General Inputs'!U$10*$J23,IF(AND(($D23+$C$1)&gt;AX$4,AX$4&gt;=$C$1),'General Inputs'!U$10*$I23,0))</f>
        <v>4066.6280739519607</v>
      </c>
      <c r="AY23" s="214">
        <f>IF(AND(($E23+$C$1)&gt;AY$4,AY$4&gt;=$C$1),'General Inputs'!V$9*$H23,IF(AND(($D23+$C$1)&gt;AY$4,AY$4&gt;=$C$1),'General Inputs'!V$9*$G23,0))+IF(AND(($E23+$C$1)&gt;AY$4,AY$4&gt;=$C$1),'General Inputs'!V$10*$J23,IF(AND(($D23+$C$1)&gt;AY$4,AY$4&gt;=$C$1),'General Inputs'!V$10*$I23,0))</f>
        <v>4127.6274950612396</v>
      </c>
      <c r="AZ23" s="214">
        <f>IF(AND(($E23+$C$1)&gt;AZ$4,AZ$4&gt;=$C$1),'General Inputs'!W$9*$H23,IF(AND(($D23+$C$1)&gt;AZ$4,AZ$4&gt;=$C$1),'General Inputs'!W$9*$G23,0))+IF(AND(($E23+$C$1)&gt;AZ$4,AZ$4&gt;=$C$1),'General Inputs'!W$10*$J23,IF(AND(($D23+$C$1)&gt;AZ$4,AZ$4&gt;=$C$1),'General Inputs'!W$10*$I23,0))</f>
        <v>4189.5419074871579</v>
      </c>
      <c r="BB23" s="214">
        <f>IF(AND(($E23+$C$1)&gt;BB$4,BB$4&gt;=$C$1),'General Inputs'!D$11*$H23,IF(AND(($D23+$C$1)&gt;BB$4,BB$4&gt;=$C$1),'General Inputs'!D$11*$G23,0))</f>
        <v>0</v>
      </c>
      <c r="BC23" s="214">
        <f>IF(AND(($E23+$C$1)&gt;BC$4,BC$4&gt;=$C$1),'General Inputs'!E$11*$H23,IF(AND(($D23+$C$1)&gt;BC$4,BC$4&gt;=$C$1),'General Inputs'!E$11*$G23,0))</f>
        <v>0</v>
      </c>
      <c r="BD23" s="214">
        <f>IF(AND(($E23+$C$1)&gt;BD$4,BD$4&gt;=$C$1),'General Inputs'!F$11*$H23,IF(AND(($D23+$C$1)&gt;BD$4,BD$4&gt;=$C$1),'General Inputs'!F$11*$G23,0))</f>
        <v>833.37437359779165</v>
      </c>
      <c r="BE23" s="214">
        <f>IF(AND(($E23+$C$1)&gt;BE$4,BE$4&gt;=$C$1),'General Inputs'!G$11*$H23,IF(AND(($D23+$C$1)&gt;BE$4,BE$4&gt;=$C$1),'General Inputs'!G$11*$G23,0))</f>
        <v>833.37437359779165</v>
      </c>
      <c r="BF23" s="214">
        <f>IF(AND(($E23+$C$1)&gt;BF$4,BF$4&gt;=$C$1),'General Inputs'!H$11*$H23,IF(AND(($D23+$C$1)&gt;BF$4,BF$4&gt;=$C$1),'General Inputs'!H$11*$G23,0))</f>
        <v>833.37437359779165</v>
      </c>
      <c r="BG23" s="214">
        <f>IF(AND(($E23+$C$1)&gt;BG$4,BG$4&gt;=$C$1),'General Inputs'!I$11*$H23,IF(AND(($D23+$C$1)&gt;BG$4,BG$4&gt;=$C$1),'General Inputs'!I$11*$G23,0))</f>
        <v>833.37437359779165</v>
      </c>
      <c r="BH23" s="214">
        <f>IF(AND(($E23+$C$1)&gt;BH$4,BH$4&gt;=$C$1),'General Inputs'!J$11*$H23,IF(AND(($D23+$C$1)&gt;BH$4,BH$4&gt;=$C$1),'General Inputs'!J$11*$G23,0))</f>
        <v>833.37437359779165</v>
      </c>
      <c r="BI23" s="214">
        <f>IF(AND(($E23+$C$1)&gt;BI$4,BI$4&gt;=$C$1),'General Inputs'!K$11*$H23,IF(AND(($D23+$C$1)&gt;BI$4,BI$4&gt;=$C$1),'General Inputs'!K$11*$G23,0))</f>
        <v>833.37437359779165</v>
      </c>
      <c r="BJ23" s="214">
        <f>IF(AND(($E23+$C$1)&gt;BJ$4,BJ$4&gt;=$C$1),'General Inputs'!L$11*$H23,IF(AND(($D23+$C$1)&gt;BJ$4,BJ$4&gt;=$C$1),'General Inputs'!L$11*$G23,0))</f>
        <v>833.37437359779165</v>
      </c>
      <c r="BK23" s="214">
        <f>IF(AND(($E23+$C$1)&gt;BK$4,BK$4&gt;=$C$1),'General Inputs'!M$11*$H23,IF(AND(($D23+$C$1)&gt;BK$4,BK$4&gt;=$C$1),'General Inputs'!M$11*$G23,0))</f>
        <v>833.37437359779165</v>
      </c>
      <c r="BL23" s="214">
        <f>IF(AND(($E23+$C$1)&gt;BL$4,BL$4&gt;=$C$1),'General Inputs'!N$11*$H23,IF(AND(($D23+$C$1)&gt;BL$4,BL$4&gt;=$C$1),'General Inputs'!N$11*$G23,0))</f>
        <v>833.37437359779165</v>
      </c>
      <c r="BM23" s="214">
        <f>IF(AND(($E23+$C$1)&gt;BM$4,BM$4&gt;=$C$1),'General Inputs'!O$11*$H23,IF(AND(($D23+$C$1)&gt;BM$4,BM$4&gt;=$C$1),'General Inputs'!O$11*$G23,0))</f>
        <v>833.37437359779165</v>
      </c>
      <c r="BN23" s="214">
        <f>IF(AND(($E23+$C$1)&gt;BN$4,BN$4&gt;=$C$1),'General Inputs'!P$11*$H23,IF(AND(($D23+$C$1)&gt;BN$4,BN$4&gt;=$C$1),'General Inputs'!P$11*$G23,0))</f>
        <v>833.37437359779165</v>
      </c>
      <c r="BO23" s="214">
        <f>IF(AND(($E23+$C$1)&gt;BO$4,BO$4&gt;=$C$1),'General Inputs'!Q$11*$H23,IF(AND(($D23+$C$1)&gt;BO$4,BO$4&gt;=$C$1),'General Inputs'!Q$11*$G23,0))</f>
        <v>833.37437359779165</v>
      </c>
      <c r="BP23" s="214">
        <f>IF(AND(($E23+$C$1)&gt;BP$4,BP$4&gt;=$C$1),'General Inputs'!R$11*$H23,IF(AND(($D23+$C$1)&gt;BP$4,BP$4&gt;=$C$1),'General Inputs'!R$11*$G23,0))</f>
        <v>833.37437359779165</v>
      </c>
      <c r="BQ23" s="214">
        <f>IF(AND(($E23+$C$1)&gt;BQ$4,BQ$4&gt;=$C$1),'General Inputs'!S$11*$H23,IF(AND(($D23+$C$1)&gt;BQ$4,BQ$4&gt;=$C$1),'General Inputs'!S$11*$G23,0))</f>
        <v>833.37437359779165</v>
      </c>
      <c r="BR23" s="214">
        <f>IF(AND(($E23+$C$1)&gt;BR$4,BR$4&gt;=$C$1),'General Inputs'!T$11*$H23,IF(AND(($D23+$C$1)&gt;BR$4,BR$4&gt;=$C$1),'General Inputs'!T$11*$G23,0))</f>
        <v>833.37437359779165</v>
      </c>
      <c r="BS23" s="214">
        <f>IF(AND(($E23+$C$1)&gt;BS$4,BS$4&gt;=$C$1),'General Inputs'!U$11*$H23,IF(AND(($D23+$C$1)&gt;BS$4,BS$4&gt;=$C$1),'General Inputs'!U$11*$G23,0))</f>
        <v>833.37437359779165</v>
      </c>
      <c r="BT23" s="214">
        <f>IF(AND(($E23+$C$1)&gt;BT$4,BT$4&gt;=$C$1),'General Inputs'!V$11*$H23,IF(AND(($D23+$C$1)&gt;BT$4,BT$4&gt;=$C$1),'General Inputs'!V$11*$G23,0))</f>
        <v>833.37437359779165</v>
      </c>
      <c r="BU23" s="214">
        <f>IF(AND(($E23+$C$1)&gt;BU$4,BU$4&gt;=$C$1),'General Inputs'!W$11*$H23,IF(AND(($D23+$C$1)&gt;BU$4,BU$4&gt;=$C$1),'General Inputs'!W$11*$G23,0))</f>
        <v>833.37437359779165</v>
      </c>
      <c r="BW23" s="214">
        <f>IF(AND(($E23+$C$1)&gt;BW$4,BW$4&gt;=$C$1),$H23,IF(AND(($D23+$C$1)&gt;BW$4,BW$4&gt;=$C$1),$G23,0))*IF($A23="Residential",'General Inputs'!D$14,'General Inputs'!D$19)</f>
        <v>0</v>
      </c>
      <c r="BX23" s="214">
        <f>IF(AND(($E23+$C$1)&gt;BX$4,BX$4&gt;=$C$1),$H23,IF(AND(($D23+$C$1)&gt;BX$4,BX$4&gt;=$C$1),$G23,0))*IF($A23="Residential",'General Inputs'!E$14,'General Inputs'!E$19)</f>
        <v>0</v>
      </c>
      <c r="BY23" s="214">
        <f>IF(AND(($E23+$C$1)&gt;BY$4,BY$4&gt;=$C$1),$H23,IF(AND(($D23+$C$1)&gt;BY$4,BY$4&gt;=$C$1),$G23,0))*IF($A23="Residential",'General Inputs'!F$14,'General Inputs'!F$19)</f>
        <v>10109.231255622937</v>
      </c>
      <c r="BZ23" s="214">
        <f>IF(AND(($E23+$C$1)&gt;BZ$4,BZ$4&gt;=$C$1),$H23,IF(AND(($D23+$C$1)&gt;BZ$4,BZ$4&gt;=$C$1),$G23,0))*IF($A23="Residential",'General Inputs'!G$14,'General Inputs'!G$19)</f>
        <v>10260.86972445728</v>
      </c>
      <c r="CA23" s="214">
        <f>IF(AND(($E23+$C$1)&gt;CA$4,CA$4&gt;=$C$1),$H23,IF(AND(($D23+$C$1)&gt;CA$4,CA$4&gt;=$C$1),$G23,0))*IF($A23="Residential",'General Inputs'!H$14,'General Inputs'!H$19)</f>
        <v>10414.782770324136</v>
      </c>
      <c r="CB23" s="214">
        <f>IF(AND(($E23+$C$1)&gt;CB$4,CB$4&gt;=$C$1),$H23,IF(AND(($D23+$C$1)&gt;CB$4,CB$4&gt;=$C$1),$G23,0))*IF($A23="Residential",'General Inputs'!I$14,'General Inputs'!I$19)</f>
        <v>10571.004511878999</v>
      </c>
      <c r="CC23" s="214">
        <f>IF(AND(($E23+$C$1)&gt;CC$4,CC$4&gt;=$C$1),$H23,IF(AND(($D23+$C$1)&gt;CC$4,CC$4&gt;=$C$1),$G23,0))*IF($A23="Residential",'General Inputs'!J$14,'General Inputs'!J$19)</f>
        <v>10729.569579557181</v>
      </c>
      <c r="CD23" s="214">
        <f>IF(AND(($E23+$C$1)&gt;CD$4,CD$4&gt;=$C$1),$H23,IF(AND(($D23+$C$1)&gt;CD$4,CD$4&gt;=$C$1),$G23,0))*IF($A23="Residential",'General Inputs'!K$14,'General Inputs'!K$19)</f>
        <v>10890.513123250537</v>
      </c>
      <c r="CE23" s="214">
        <f>IF(AND(($E23+$C$1)&gt;CE$4,CE$4&gt;=$C$1),$H23,IF(AND(($D23+$C$1)&gt;CE$4,CE$4&gt;=$C$1),$G23,0))*IF($A23="Residential",'General Inputs'!L$14,'General Inputs'!L$19)</f>
        <v>11053.870820099293</v>
      </c>
      <c r="CF23" s="214">
        <f>IF(AND(($E23+$C$1)&gt;CF$4,CF$4&gt;=$C$1),$H23,IF(AND(($D23+$C$1)&gt;CF$4,CF$4&gt;=$C$1),$G23,0))*IF($A23="Residential",'General Inputs'!M$14,'General Inputs'!M$19)</f>
        <v>11219.678882400782</v>
      </c>
      <c r="CG23" s="214">
        <f>IF(AND(($E23+$C$1)&gt;CG$4,CG$4&gt;=$C$1),$H23,IF(AND(($D23+$C$1)&gt;CG$4,CG$4&gt;=$C$1),$G23,0))*IF($A23="Residential",'General Inputs'!N$14,'General Inputs'!N$19)</f>
        <v>11387.974065636794</v>
      </c>
      <c r="CH23" s="214">
        <f>IF(AND(($E23+$C$1)&gt;CH$4,CH$4&gt;=$C$1),$H23,IF(AND(($D23+$C$1)&gt;CH$4,CH$4&gt;=$C$1),$G23,0))*IF($A23="Residential",'General Inputs'!O$14,'General Inputs'!O$19)</f>
        <v>11558.793676621344</v>
      </c>
      <c r="CI23" s="214">
        <f>IF(AND(($E23+$C$1)&gt;CI$4,CI$4&gt;=$C$1),$H23,IF(AND(($D23+$C$1)&gt;CI$4,CI$4&gt;=$C$1),$G23,0))*IF($A23="Residential",'General Inputs'!P$14,'General Inputs'!P$19)</f>
        <v>11732.175581770663</v>
      </c>
      <c r="CJ23" s="214">
        <f>IF(AND(($E23+$C$1)&gt;CJ$4,CJ$4&gt;=$C$1),$H23,IF(AND(($D23+$C$1)&gt;CJ$4,CJ$4&gt;=$C$1),$G23,0))*IF($A23="Residential",'General Inputs'!Q$14,'General Inputs'!Q$19)</f>
        <v>11908.15821549722</v>
      </c>
      <c r="CK23" s="214">
        <f>IF(AND(($E23+$C$1)&gt;CK$4,CK$4&gt;=$C$1),$H23,IF(AND(($D23+$C$1)&gt;CK$4,CK$4&gt;=$C$1),$G23,0))*IF($A23="Residential",'General Inputs'!R$14,'General Inputs'!R$19)</f>
        <v>12086.780588729678</v>
      </c>
      <c r="CL23" s="214">
        <f>IF(AND(($E23+$C$1)&gt;CL$4,CL$4&gt;=$C$1),$H23,IF(AND(($D23+$C$1)&gt;CL$4,CL$4&gt;=$C$1),$G23,0))*IF($A23="Residential",'General Inputs'!S$14,'General Inputs'!S$19)</f>
        <v>12268.082297560622</v>
      </c>
      <c r="CM23" s="214">
        <f>IF(AND(($E23+$C$1)&gt;CM$4,CM$4&gt;=$C$1),$H23,IF(AND(($D23+$C$1)&gt;CM$4,CM$4&gt;=$C$1),$G23,0))*IF($A23="Residential",'General Inputs'!T$14,'General Inputs'!T$19)</f>
        <v>12452.10353202403</v>
      </c>
      <c r="CN23" s="214">
        <f>IF(AND(($E23+$C$1)&gt;CN$4,CN$4&gt;=$C$1),$H23,IF(AND(($D23+$C$1)&gt;CN$4,CN$4&gt;=$C$1),$G23,0))*IF($A23="Residential",'General Inputs'!U$14,'General Inputs'!U$19)</f>
        <v>12638.885085004389</v>
      </c>
      <c r="CO23" s="214">
        <f>IF(AND(($E23+$C$1)&gt;CO$4,CO$4&gt;=$C$1),$H23,IF(AND(($D23+$C$1)&gt;CO$4,CO$4&gt;=$C$1),$G23,0))*IF($A23="Residential",'General Inputs'!V$14,'General Inputs'!V$19)</f>
        <v>12828.468361279454</v>
      </c>
      <c r="CP23" s="214">
        <f>IF(AND(($E23+$C$1)&gt;CP$4,CP$4&gt;=$C$1),$H23,IF(AND(($D23+$C$1)&gt;CP$4,CP$4&gt;=$C$1),$G23,0))*IF($A23="Residential",'General Inputs'!W$14,'General Inputs'!W$19)</f>
        <v>13020.895386698645</v>
      </c>
      <c r="CR23" s="214">
        <f>IF(AND(($E23+$C$1)&gt;CR$4,CR$4&gt;=$C$1),$H23,IF(AND(($D23+$C$1)&gt;CR$4,CR$4&gt;=$C$1),$G23,0))*IF($A23="Residential",'General Inputs'!D$15,'General Inputs'!D$19)</f>
        <v>0</v>
      </c>
      <c r="CS23" s="214">
        <f>IF(AND(($E23+$C$1)&gt;CS$4,CS$4&gt;=$C$1),$H23,IF(AND(($D23+$C$1)&gt;CS$4,CS$4&gt;=$C$1),$G23,0))*IF($A23="Residential",'General Inputs'!E$15,'General Inputs'!E$19)</f>
        <v>0</v>
      </c>
      <c r="CT23" s="214">
        <f>IF(AND(($E23+$C$1)&gt;CT$4,CT$4&gt;=$C$1),$H23,IF(AND(($D23+$C$1)&gt;CT$4,CT$4&gt;=$C$1),$G23,0))*IF($A23="Residential",'General Inputs'!F$15,'General Inputs'!F$19)</f>
        <v>8223.9433290829165</v>
      </c>
      <c r="CU23" s="214">
        <f>IF(AND(($E23+$C$1)&gt;CU$4,CU$4&gt;=$C$1),$H23,IF(AND(($D23+$C$1)&gt;CU$4,CU$4&gt;=$C$1),$G23,0))*IF($A23="Residential",'General Inputs'!G$15,'General Inputs'!G$19)</f>
        <v>8347.3024790191594</v>
      </c>
      <c r="CV23" s="214">
        <f>IF(AND(($E23+$C$1)&gt;CV$4,CV$4&gt;=$C$1),$H23,IF(AND(($D23+$C$1)&gt;CV$4,CV$4&gt;=$C$1),$G23,0))*IF($A23="Residential",'General Inputs'!H$15,'General Inputs'!H$19)</f>
        <v>8472.5120162044459</v>
      </c>
      <c r="CW23" s="214">
        <f>IF(AND(($E23+$C$1)&gt;CW$4,CW$4&gt;=$C$1),$H23,IF(AND(($D23+$C$1)&gt;CW$4,CW$4&gt;=$C$1),$G23,0))*IF($A23="Residential",'General Inputs'!I$15,'General Inputs'!I$19)</f>
        <v>8599.5996964475125</v>
      </c>
      <c r="CX23" s="214">
        <f>IF(AND(($E23+$C$1)&gt;CX$4,CX$4&gt;=$C$1),$H23,IF(AND(($D23+$C$1)&gt;CX$4,CX$4&gt;=$C$1),$G23,0))*IF($A23="Residential",'General Inputs'!J$15,'General Inputs'!J$19)</f>
        <v>8728.5936918942243</v>
      </c>
      <c r="CY23" s="214">
        <f>IF(AND(($E23+$C$1)&gt;CY$4,CY$4&gt;=$C$1),$H23,IF(AND(($D23+$C$1)&gt;CY$4,CY$4&gt;=$C$1),$G23,0))*IF($A23="Residential",'General Inputs'!K$15,'General Inputs'!K$19)</f>
        <v>8859.5225972726366</v>
      </c>
      <c r="CZ23" s="214">
        <f>IF(AND(($E23+$C$1)&gt;CZ$4,CZ$4&gt;=$C$1),$H23,IF(AND(($D23+$C$1)&gt;CZ$4,CZ$4&gt;=$C$1),$G23,0))*IF($A23="Residential",'General Inputs'!L$15,'General Inputs'!L$19)</f>
        <v>8992.415436231724</v>
      </c>
      <c r="DA23" s="214">
        <f>IF(AND(($E23+$C$1)&gt;DA$4,DA$4&gt;=$C$1),$H23,IF(AND(($D23+$C$1)&gt;DA$4,DA$4&gt;=$C$1),$G23,0))*IF($A23="Residential",'General Inputs'!M$15,'General Inputs'!M$19)</f>
        <v>9127.3016677752003</v>
      </c>
      <c r="DB23" s="214">
        <f>IF(AND(($E23+$C$1)&gt;DB$4,DB$4&gt;=$C$1),$H23,IF(AND(($D23+$C$1)&gt;DB$4,DB$4&gt;=$C$1),$G23,0))*IF($A23="Residential",'General Inputs'!N$15,'General Inputs'!N$19)</f>
        <v>9264.2111927918268</v>
      </c>
      <c r="DC23" s="214">
        <f>IF(AND(($E23+$C$1)&gt;DC$4,DC$4&gt;=$C$1),$H23,IF(AND(($D23+$C$1)&gt;DC$4,DC$4&gt;=$C$1),$G23,0))*IF($A23="Residential",'General Inputs'!O$15,'General Inputs'!O$19)</f>
        <v>9403.1743606837026</v>
      </c>
      <c r="DD23" s="214">
        <f>IF(AND(($E23+$C$1)&gt;DD$4,DD$4&gt;=$C$1),$H23,IF(AND(($D23+$C$1)&gt;DD$4,DD$4&gt;=$C$1),$G23,0))*IF($A23="Residential",'General Inputs'!P$15,'General Inputs'!P$19)</f>
        <v>9544.221976093957</v>
      </c>
      <c r="DE23" s="214">
        <f>IF(AND(($E23+$C$1)&gt;DE$4,DE$4&gt;=$C$1),$H23,IF(AND(($D23+$C$1)&gt;DE$4,DE$4&gt;=$C$1),$G23,0))*IF($A23="Residential",'General Inputs'!Q$15,'General Inputs'!Q$19)</f>
        <v>9687.3853057353663</v>
      </c>
      <c r="DF23" s="214">
        <f>IF(AND(($E23+$C$1)&gt;DF$4,DF$4&gt;=$C$1),$H23,IF(AND(($D23+$C$1)&gt;DF$4,DF$4&gt;=$C$1),$G23,0))*IF($A23="Residential",'General Inputs'!R$15,'General Inputs'!R$19)</f>
        <v>9832.696085321395</v>
      </c>
      <c r="DG23" s="214">
        <f>IF(AND(($E23+$C$1)&gt;DG$4,DG$4&gt;=$C$1),$H23,IF(AND(($D23+$C$1)&gt;DG$4,DG$4&gt;=$C$1),$G23,0))*IF($A23="Residential",'General Inputs'!S$15,'General Inputs'!S$19)</f>
        <v>9980.1865266012155</v>
      </c>
      <c r="DH23" s="214">
        <f>IF(AND(($E23+$C$1)&gt;DH$4,DH$4&gt;=$C$1),$H23,IF(AND(($D23+$C$1)&gt;DH$4,DH$4&gt;=$C$1),$G23,0))*IF($A23="Residential",'General Inputs'!T$15,'General Inputs'!T$19)</f>
        <v>10129.889324500233</v>
      </c>
      <c r="DI23" s="214">
        <f>IF(AND(($E23+$C$1)&gt;DI$4,DI$4&gt;=$C$1),$H23,IF(AND(($D23+$C$1)&gt;DI$4,DI$4&gt;=$C$1),$G23,0))*IF($A23="Residential",'General Inputs'!U$15,'General Inputs'!U$19)</f>
        <v>10281.837664367735</v>
      </c>
      <c r="DJ23" s="214">
        <f>IF(AND(($E23+$C$1)&gt;DJ$4,DJ$4&gt;=$C$1),$H23,IF(AND(($D23+$C$1)&gt;DJ$4,DJ$4&gt;=$C$1),$G23,0))*IF($A23="Residential",'General Inputs'!V$15,'General Inputs'!V$19)</f>
        <v>10436.06522933325</v>
      </c>
      <c r="DK23" s="214">
        <f>IF(AND(($E23+$C$1)&gt;DK$4,DK$4&gt;=$C$1),$H23,IF(AND(($D23+$C$1)&gt;DK$4,DK$4&gt;=$C$1),$G23,0))*IF($A23="Residential",'General Inputs'!W$15,'General Inputs'!W$19)</f>
        <v>10592.606207773248</v>
      </c>
      <c r="DM23" s="214">
        <f t="shared" si="47"/>
        <v>0</v>
      </c>
      <c r="DN23" s="214">
        <f t="shared" si="27"/>
        <v>0</v>
      </c>
      <c r="DO23" s="214">
        <f t="shared" si="27"/>
        <v>22770</v>
      </c>
      <c r="DP23" s="214">
        <f t="shared" si="27"/>
        <v>0</v>
      </c>
      <c r="DQ23" s="214">
        <f t="shared" si="27"/>
        <v>0</v>
      </c>
      <c r="DR23" s="214">
        <f t="shared" si="27"/>
        <v>0</v>
      </c>
      <c r="DS23" s="214">
        <f t="shared" si="27"/>
        <v>0</v>
      </c>
      <c r="DT23" s="214">
        <f t="shared" si="27"/>
        <v>0</v>
      </c>
      <c r="DU23" s="214">
        <f t="shared" si="27"/>
        <v>0</v>
      </c>
      <c r="DV23" s="214">
        <f t="shared" si="27"/>
        <v>0</v>
      </c>
      <c r="DW23" s="214">
        <f t="shared" si="27"/>
        <v>0</v>
      </c>
      <c r="DZ23" s="650"/>
      <c r="FI23" s="195"/>
      <c r="FJ23" s="195"/>
      <c r="FK23" s="195"/>
      <c r="FL23" s="195"/>
      <c r="FM23" s="195"/>
      <c r="FN23" s="195"/>
      <c r="FO23" s="195"/>
    </row>
    <row r="24" spans="1:171">
      <c r="A24" s="441" t="s">
        <v>12</v>
      </c>
      <c r="B24" s="426" t="str">
        <f>'Portfolio Inputs'!A23</f>
        <v>Whole House Efficiency</v>
      </c>
      <c r="C24" s="356">
        <f>IF($C$1=2014,'Portfolio Inputs'!$C23,IF($C$1=2015,'Portfolio Inputs'!$D23,'Portfolio Inputs'!$E23))</f>
        <v>125</v>
      </c>
      <c r="D24" s="503"/>
      <c r="E24" s="503"/>
      <c r="G24" s="513">
        <f>SUM(G25:G32)</f>
        <v>111715.06547287326</v>
      </c>
      <c r="H24" s="513"/>
      <c r="I24" s="509">
        <f>SUM(I25:I32)</f>
        <v>28.975153442116913</v>
      </c>
      <c r="J24" s="509"/>
      <c r="L24" s="453"/>
      <c r="M24" s="453"/>
      <c r="N24" s="453">
        <f>IF($C$1=2014,'Portfolio Inputs'!$W23,IF($C$1=2015,'Portfolio Inputs'!$X23,'Portfolio Inputs'!$Y23))</f>
        <v>0</v>
      </c>
      <c r="O24" s="453">
        <f>IF($C$1=2014,'Portfolio Inputs'!$AA23,IF($C$1=2015,'Portfolio Inputs'!$AB23,'Portfolio Inputs'!$AC23))</f>
        <v>35010.9375</v>
      </c>
      <c r="Q24" s="442">
        <f>IF(OR(AE24&gt;0,AC24&gt;0),Y24/(AC24+AE24),"n/a")</f>
        <v>1.0455012979414564</v>
      </c>
      <c r="R24" s="443">
        <f>IF(OR(AC24&gt;0,AD24&gt;0),Y24/((AD24+AC24)),"n/a")</f>
        <v>1.0455012979414564</v>
      </c>
      <c r="S24" s="443">
        <f>IF(OR(AC24&gt;0,AE24&gt;0),(Y24+Z24)/(AC24+AE24),"n/a")</f>
        <v>1.2886967740017645</v>
      </c>
      <c r="T24" s="443" t="str">
        <f>IF(AE24&gt;0,(AD24+AA24)/AE24,"n/a")</f>
        <v>n/a</v>
      </c>
      <c r="U24" s="443" t="str">
        <f>IF(AE24&gt;0,(AD24+AB24)/AE24,"n/a")</f>
        <v>n/a</v>
      </c>
      <c r="V24" s="522">
        <f>IF((AA24+AC24+AD24)&gt;0,Y24/(AA24+AC24+AD24),"n/a")</f>
        <v>0.25179604878088968</v>
      </c>
      <c r="W24" s="522">
        <f>IF((AB24+AC24+AD24)&gt;0,Y24/(AB24+AC24+AD24),"n/a")</f>
        <v>0.29332414749292196</v>
      </c>
      <c r="Y24" s="444">
        <f t="shared" si="4"/>
        <v>30899.485650756484</v>
      </c>
      <c r="Z24" s="444">
        <f t="shared" si="5"/>
        <v>7187.5712996725288</v>
      </c>
      <c r="AA24" s="444">
        <f t="shared" si="6"/>
        <v>93161.616509232699</v>
      </c>
      <c r="AB24" s="444">
        <f t="shared" si="7"/>
        <v>75787.746391847133</v>
      </c>
      <c r="AC24" s="445">
        <f t="shared" si="20"/>
        <v>29554.708073147438</v>
      </c>
      <c r="AD24" s="445">
        <f t="shared" si="21"/>
        <v>0</v>
      </c>
      <c r="AE24" s="526">
        <f t="shared" si="8"/>
        <v>0</v>
      </c>
      <c r="AG24" s="446">
        <f t="shared" ref="AG24:AZ24" si="62">SUM(AG25:AG32)</f>
        <v>0</v>
      </c>
      <c r="AH24" s="446">
        <f t="shared" si="62"/>
        <v>0</v>
      </c>
      <c r="AI24" s="446">
        <f t="shared" si="62"/>
        <v>5029.0489343195823</v>
      </c>
      <c r="AJ24" s="446">
        <f t="shared" si="62"/>
        <v>5104.4846683343767</v>
      </c>
      <c r="AK24" s="446">
        <f t="shared" si="62"/>
        <v>4758.4877730811677</v>
      </c>
      <c r="AL24" s="446">
        <f t="shared" si="62"/>
        <v>4829.8650896773852</v>
      </c>
      <c r="AM24" s="446">
        <f t="shared" si="62"/>
        <v>4902.3130660225452</v>
      </c>
      <c r="AN24" s="446">
        <f t="shared" si="62"/>
        <v>3766.1429767306327</v>
      </c>
      <c r="AO24" s="446">
        <f t="shared" si="62"/>
        <v>3822.6351213815924</v>
      </c>
      <c r="AP24" s="446">
        <f t="shared" si="62"/>
        <v>3879.9746482023152</v>
      </c>
      <c r="AQ24" s="446">
        <f t="shared" si="62"/>
        <v>3938.1742679253493</v>
      </c>
      <c r="AR24" s="446">
        <f t="shared" si="62"/>
        <v>3560.7512748904787</v>
      </c>
      <c r="AS24" s="446">
        <f t="shared" si="62"/>
        <v>2700.3487436767705</v>
      </c>
      <c r="AT24" s="446">
        <f t="shared" si="62"/>
        <v>2740.8539748319217</v>
      </c>
      <c r="AU24" s="446">
        <f t="shared" si="62"/>
        <v>2781.9667844544006</v>
      </c>
      <c r="AV24" s="446">
        <f t="shared" si="62"/>
        <v>2823.6962862212163</v>
      </c>
      <c r="AW24" s="446">
        <f t="shared" si="62"/>
        <v>2866.0517305145345</v>
      </c>
      <c r="AX24" s="446">
        <f t="shared" si="62"/>
        <v>0</v>
      </c>
      <c r="AY24" s="446">
        <f t="shared" si="62"/>
        <v>0</v>
      </c>
      <c r="AZ24" s="446">
        <f t="shared" si="62"/>
        <v>0</v>
      </c>
      <c r="BB24" s="446">
        <f t="shared" ref="BB24:BU24" si="63">SUM(BB25:BB32)</f>
        <v>0</v>
      </c>
      <c r="BC24" s="446">
        <f t="shared" si="63"/>
        <v>0</v>
      </c>
      <c r="BD24" s="446">
        <f t="shared" si="63"/>
        <v>1273.5517463907549</v>
      </c>
      <c r="BE24" s="446">
        <f t="shared" si="63"/>
        <v>1273.5517463907549</v>
      </c>
      <c r="BF24" s="446">
        <f t="shared" si="63"/>
        <v>1164.238915670755</v>
      </c>
      <c r="BG24" s="446">
        <f t="shared" si="63"/>
        <v>1164.238915670755</v>
      </c>
      <c r="BH24" s="446">
        <f t="shared" si="63"/>
        <v>1164.238915670755</v>
      </c>
      <c r="BI24" s="446">
        <f t="shared" si="63"/>
        <v>863.43236486345495</v>
      </c>
      <c r="BJ24" s="446">
        <f t="shared" si="63"/>
        <v>863.43236486345495</v>
      </c>
      <c r="BK24" s="446">
        <f t="shared" si="63"/>
        <v>863.43236486345495</v>
      </c>
      <c r="BL24" s="446">
        <f t="shared" si="63"/>
        <v>863.43236486345495</v>
      </c>
      <c r="BM24" s="446">
        <f t="shared" si="63"/>
        <v>761.60314134024907</v>
      </c>
      <c r="BN24" s="446">
        <f t="shared" si="63"/>
        <v>548.61050738130041</v>
      </c>
      <c r="BO24" s="446">
        <f t="shared" si="63"/>
        <v>548.61050738130041</v>
      </c>
      <c r="BP24" s="446">
        <f t="shared" si="63"/>
        <v>548.61050738130041</v>
      </c>
      <c r="BQ24" s="446">
        <f t="shared" si="63"/>
        <v>548.61050738130041</v>
      </c>
      <c r="BR24" s="446">
        <f t="shared" si="63"/>
        <v>548.61050738130041</v>
      </c>
      <c r="BS24" s="446">
        <f t="shared" si="63"/>
        <v>0</v>
      </c>
      <c r="BT24" s="446">
        <f t="shared" si="63"/>
        <v>0</v>
      </c>
      <c r="BU24" s="446">
        <f t="shared" si="63"/>
        <v>0</v>
      </c>
      <c r="BW24" s="446">
        <f t="shared" ref="BW24:CP24" si="64">SUM(BW25:BW32)</f>
        <v>0</v>
      </c>
      <c r="BX24" s="446">
        <f t="shared" si="64"/>
        <v>0</v>
      </c>
      <c r="BY24" s="446">
        <f t="shared" si="64"/>
        <v>15448.794117204556</v>
      </c>
      <c r="BZ24" s="446">
        <f t="shared" si="64"/>
        <v>15680.526028962624</v>
      </c>
      <c r="CA24" s="446">
        <f t="shared" si="64"/>
        <v>14549.637934176053</v>
      </c>
      <c r="CB24" s="446">
        <f t="shared" si="64"/>
        <v>14767.882503188692</v>
      </c>
      <c r="CC24" s="446">
        <f t="shared" si="64"/>
        <v>14989.400740736522</v>
      </c>
      <c r="CD24" s="446">
        <f t="shared" si="64"/>
        <v>11283.310116664261</v>
      </c>
      <c r="CE24" s="446">
        <f t="shared" si="64"/>
        <v>11452.559768414221</v>
      </c>
      <c r="CF24" s="446">
        <f t="shared" si="64"/>
        <v>11624.348164940435</v>
      </c>
      <c r="CG24" s="446">
        <f t="shared" si="64"/>
        <v>11798.71338741454</v>
      </c>
      <c r="CH24" s="446">
        <f t="shared" si="64"/>
        <v>10563.336062535665</v>
      </c>
      <c r="CI24" s="446">
        <f t="shared" si="64"/>
        <v>7723.2933991177406</v>
      </c>
      <c r="CJ24" s="446">
        <f t="shared" si="64"/>
        <v>7839.1428001045051</v>
      </c>
      <c r="CK24" s="446">
        <f t="shared" si="64"/>
        <v>7956.7299421060725</v>
      </c>
      <c r="CL24" s="446">
        <f t="shared" si="64"/>
        <v>8076.0808912376624</v>
      </c>
      <c r="CM24" s="446">
        <f t="shared" si="64"/>
        <v>8197.2221046062277</v>
      </c>
      <c r="CN24" s="446">
        <f t="shared" si="64"/>
        <v>0</v>
      </c>
      <c r="CO24" s="446">
        <f t="shared" si="64"/>
        <v>0</v>
      </c>
      <c r="CP24" s="446">
        <f t="shared" si="64"/>
        <v>0</v>
      </c>
      <c r="CR24" s="446">
        <f t="shared" ref="CR24:DK24" si="65">SUM(CR25:CR32)</f>
        <v>0</v>
      </c>
      <c r="CS24" s="446">
        <f t="shared" si="65"/>
        <v>0</v>
      </c>
      <c r="CT24" s="446">
        <f t="shared" si="65"/>
        <v>12567.721927608722</v>
      </c>
      <c r="CU24" s="446">
        <f t="shared" si="65"/>
        <v>12756.237756522849</v>
      </c>
      <c r="CV24" s="446">
        <f t="shared" si="65"/>
        <v>11836.25092786204</v>
      </c>
      <c r="CW24" s="446">
        <f t="shared" si="65"/>
        <v>12013.794691779967</v>
      </c>
      <c r="CX24" s="446">
        <f t="shared" si="65"/>
        <v>12194.001612156668</v>
      </c>
      <c r="CY24" s="446">
        <f t="shared" si="65"/>
        <v>9179.0662037038219</v>
      </c>
      <c r="CZ24" s="446">
        <f t="shared" si="65"/>
        <v>9316.7521967593766</v>
      </c>
      <c r="DA24" s="446">
        <f t="shared" si="65"/>
        <v>9456.5034797107674</v>
      </c>
      <c r="DB24" s="446">
        <f t="shared" si="65"/>
        <v>9598.351031906428</v>
      </c>
      <c r="DC24" s="446">
        <f t="shared" si="65"/>
        <v>8593.3613494133169</v>
      </c>
      <c r="DD24" s="446">
        <f t="shared" si="65"/>
        <v>6282.9631276755854</v>
      </c>
      <c r="DE24" s="446">
        <f t="shared" si="65"/>
        <v>6377.2075745907196</v>
      </c>
      <c r="DF24" s="446">
        <f t="shared" si="65"/>
        <v>6472.8656882095793</v>
      </c>
      <c r="DG24" s="446">
        <f t="shared" si="65"/>
        <v>6569.9586735327211</v>
      </c>
      <c r="DH24" s="446">
        <f t="shared" si="65"/>
        <v>6668.5080536357127</v>
      </c>
      <c r="DI24" s="446">
        <f t="shared" si="65"/>
        <v>0</v>
      </c>
      <c r="DJ24" s="446">
        <f t="shared" si="65"/>
        <v>0</v>
      </c>
      <c r="DK24" s="446">
        <f t="shared" si="65"/>
        <v>0</v>
      </c>
      <c r="DM24" s="446">
        <f t="shared" ref="DM24:DW24" si="66">SUM(DM25:DM32)</f>
        <v>0</v>
      </c>
      <c r="DN24" s="446">
        <f t="shared" si="66"/>
        <v>0</v>
      </c>
      <c r="DO24" s="446">
        <f t="shared" si="66"/>
        <v>0</v>
      </c>
      <c r="DP24" s="446">
        <f t="shared" si="66"/>
        <v>0</v>
      </c>
      <c r="DQ24" s="446">
        <f t="shared" si="66"/>
        <v>0</v>
      </c>
      <c r="DR24" s="446">
        <f t="shared" si="66"/>
        <v>0</v>
      </c>
      <c r="DS24" s="446">
        <f t="shared" si="66"/>
        <v>0</v>
      </c>
      <c r="DT24" s="446">
        <f t="shared" si="66"/>
        <v>0</v>
      </c>
      <c r="DU24" s="446">
        <f t="shared" si="66"/>
        <v>0</v>
      </c>
      <c r="DV24" s="446">
        <f t="shared" si="66"/>
        <v>0</v>
      </c>
      <c r="DW24" s="446">
        <f t="shared" si="66"/>
        <v>0</v>
      </c>
      <c r="DZ24" s="650"/>
      <c r="FO24" s="195"/>
    </row>
    <row r="25" spans="1:171">
      <c r="A25" s="342" t="s">
        <v>12</v>
      </c>
      <c r="B25" s="427" t="str">
        <f>'Portfolio Inputs'!A24</f>
        <v>Air Sealing (Electric Heat)</v>
      </c>
      <c r="C25" s="217">
        <f>IF($C$1=2014,'Portfolio Inputs'!$C24,IF($C$1=2015,'Portfolio Inputs'!$D24,'Portfolio Inputs'!$E24))</f>
        <v>19</v>
      </c>
      <c r="D25" s="504">
        <f>VLOOKUP(B25,Sources!$B$4:$J$104,2,FALSE)</f>
        <v>15</v>
      </c>
      <c r="E25" s="504">
        <f>VLOOKUP(B25,Sources!$B$4:$J$104,3,FALSE)</f>
        <v>0</v>
      </c>
      <c r="G25" s="504">
        <f>IF($C$1=2014,'Portfolio Inputs'!$G24,IF($C$1=2015,'Portfolio Inputs'!$H24,'Portfolio Inputs'!$I24))*EnergyLineLoss</f>
        <v>26742.233789421691</v>
      </c>
      <c r="H25" s="504"/>
      <c r="I25" s="504">
        <f>IF($C$1=2014,'Portfolio Inputs'!$K24,IF($C$1=2015,'Portfolio Inputs'!$L24,'Portfolio Inputs'!$M24))*PeakLineLoss</f>
        <v>11.379608538796569</v>
      </c>
      <c r="J25" s="510"/>
      <c r="L25" s="606">
        <f>IF($C$1=2014,'Portfolio Inputs'!$O24,IF($C$1=2015,'Portfolio Inputs'!$P24,'Portfolio Inputs'!$Q24))</f>
        <v>0</v>
      </c>
      <c r="M25" s="518">
        <f>VLOOKUP($B25,Sources!$B$4:$K$104,10,FALSE)</f>
        <v>0</v>
      </c>
      <c r="N25" s="419">
        <f>IF($C$1=2014,'Portfolio Inputs'!$W24,IF($C$1=2015,'Portfolio Inputs'!$X24,'Portfolio Inputs'!$Y24))</f>
        <v>0</v>
      </c>
      <c r="O25" s="419"/>
      <c r="Q25" s="438" t="str">
        <f t="shared" ref="Q25:Q87" si="67">IF(OR(AE25&gt;0,AC25&gt;0),Y25/(AC25+AE25),"n/a")</f>
        <v>n/a</v>
      </c>
      <c r="R25" s="439" t="str">
        <f t="shared" ref="R25:R87" si="68">IF(OR(AC25&gt;0,AD25&gt;0),Y25/((AD25+AC25)),"n/a")</f>
        <v>n/a</v>
      </c>
      <c r="S25" s="439" t="str">
        <f t="shared" ref="S25:S87" si="69">IF(OR(AC25&gt;0,AE25&gt;0),(Y25+Z25)/(AC25+AE25),"n/a")</f>
        <v>n/a</v>
      </c>
      <c r="T25" s="439" t="str">
        <f t="shared" ref="T25:T87" si="70">IF(AE25&gt;0,(AD25+AA25)/AE25,"n/a")</f>
        <v>n/a</v>
      </c>
      <c r="U25" s="439" t="str">
        <f t="shared" ref="U25:U32" si="71">IF(AE25&gt;0,(AD25+AB25)/AE25,"n/a")</f>
        <v>n/a</v>
      </c>
      <c r="V25" s="439">
        <f t="shared" ref="V25:V87" si="72">IF((AA25+AC25+AD25)&gt;0,Y25/(AA25+AC25+AD25),"n/a")</f>
        <v>0.3440664634419966</v>
      </c>
      <c r="W25" s="439">
        <f t="shared" ref="W25:W87" si="73">IF((AB25+AC25+AD25)&gt;0,Y25/(AB25+AC25+AD25),"n/a")</f>
        <v>0.42294156307462671</v>
      </c>
      <c r="Y25" s="215">
        <f t="shared" si="4"/>
        <v>10338.58466466814</v>
      </c>
      <c r="Z25" s="215">
        <f t="shared" si="5"/>
        <v>2279.2883367259719</v>
      </c>
      <c r="AA25" s="215">
        <f t="shared" si="6"/>
        <v>30048.219641177086</v>
      </c>
      <c r="AB25" s="215">
        <f t="shared" si="7"/>
        <v>24444.47547200257</v>
      </c>
      <c r="AC25" s="216">
        <f t="shared" si="20"/>
        <v>0</v>
      </c>
      <c r="AD25" s="216">
        <f t="shared" si="21"/>
        <v>0</v>
      </c>
      <c r="AE25" s="215">
        <f t="shared" si="8"/>
        <v>0</v>
      </c>
      <c r="AG25" s="214">
        <f>IF(AND(($E25+$C$1)&gt;AG$4,AG$4&gt;=$C$1),'General Inputs'!D$9*$H25,IF(AND(($D25+$C$1)&gt;AG$4,AG$4&gt;=$C$1),'General Inputs'!D$9*$G25,0))+IF(AND(($E25+$C$1)&gt;AG$4,AG$4&gt;=$C$1),'General Inputs'!D$10*$J25,IF(AND(($D25+$C$1)&gt;AG$4,AG$4&gt;=$C$1),'General Inputs'!D$10*$I25,0))</f>
        <v>0</v>
      </c>
      <c r="AH25" s="214">
        <f>IF(AND(($E25+$C$1)&gt;AH$4,AH$4&gt;=$C$1),'General Inputs'!E$9*$H25,IF(AND(($D25+$C$1)&gt;AH$4,AH$4&gt;=$C$1),'General Inputs'!E$9*$G25,0))+IF(AND(($E25+$C$1)&gt;AH$4,AH$4&gt;=$C$1),'General Inputs'!E$10*$J25,IF(AND(($D25+$C$1)&gt;AH$4,AH$4&gt;=$C$1),'General Inputs'!E$10*$I25,0))</f>
        <v>0</v>
      </c>
      <c r="AI25" s="214">
        <f>IF(AND(($E25+$C$1)&gt;AI$4,AI$4&gt;=$C$1),'General Inputs'!F$9*$H25,IF(AND(($D25+$C$1)&gt;AI$4,AI$4&gt;=$C$1),'General Inputs'!F$9*$G25,0))+IF(AND(($E25+$C$1)&gt;AI$4,AI$4&gt;=$C$1),'General Inputs'!F$10*$J25,IF(AND(($D25+$C$1)&gt;AI$4,AI$4&gt;=$C$1),'General Inputs'!F$10*$I25,0))</f>
        <v>1272.397671899656</v>
      </c>
      <c r="AJ25" s="214">
        <f>IF(AND(($E25+$C$1)&gt;AJ$4,AJ$4&gt;=$C$1),'General Inputs'!G$9*$H25,IF(AND(($D25+$C$1)&gt;AJ$4,AJ$4&gt;=$C$1),'General Inputs'!G$9*$G25,0))+IF(AND(($E25+$C$1)&gt;AJ$4,AJ$4&gt;=$C$1),'General Inputs'!G$10*$J25,IF(AND(($D25+$C$1)&gt;AJ$4,AJ$4&gt;=$C$1),'General Inputs'!G$10*$I25,0))</f>
        <v>1291.4836369781506</v>
      </c>
      <c r="AK25" s="214">
        <f>IF(AND(($E25+$C$1)&gt;AK$4,AK$4&gt;=$C$1),'General Inputs'!H$9*$H25,IF(AND(($D25+$C$1)&gt;AK$4,AK$4&gt;=$C$1),'General Inputs'!H$9*$G25,0))+IF(AND(($E25+$C$1)&gt;AK$4,AK$4&gt;=$C$1),'General Inputs'!H$10*$J25,IF(AND(($D25+$C$1)&gt;AK$4,AK$4&gt;=$C$1),'General Inputs'!H$10*$I25,0))</f>
        <v>1310.8558915328226</v>
      </c>
      <c r="AL25" s="214">
        <f>IF(AND(($E25+$C$1)&gt;AL$4,AL$4&gt;=$C$1),'General Inputs'!I$9*$H25,IF(AND(($D25+$C$1)&gt;AL$4,AL$4&gt;=$C$1),'General Inputs'!I$9*$G25,0))+IF(AND(($E25+$C$1)&gt;AL$4,AL$4&gt;=$C$1),'General Inputs'!I$10*$J25,IF(AND(($D25+$C$1)&gt;AL$4,AL$4&gt;=$C$1),'General Inputs'!I$10*$I25,0))</f>
        <v>1330.518729905815</v>
      </c>
      <c r="AM25" s="214">
        <f>IF(AND(($E25+$C$1)&gt;AM$4,AM$4&gt;=$C$1),'General Inputs'!J$9*$H25,IF(AND(($D25+$C$1)&gt;AM$4,AM$4&gt;=$C$1),'General Inputs'!J$9*$G25,0))+IF(AND(($E25+$C$1)&gt;AM$4,AM$4&gt;=$C$1),'General Inputs'!J$10*$J25,IF(AND(($D25+$C$1)&gt;AM$4,AM$4&gt;=$C$1),'General Inputs'!J$10*$I25,0))</f>
        <v>1350.476510854402</v>
      </c>
      <c r="AN25" s="214">
        <f>IF(AND(($E25+$C$1)&gt;AN$4,AN$4&gt;=$C$1),'General Inputs'!K$9*$H25,IF(AND(($D25+$C$1)&gt;AN$4,AN$4&gt;=$C$1),'General Inputs'!K$9*$G25,0))+IF(AND(($E25+$C$1)&gt;AN$4,AN$4&gt;=$C$1),'General Inputs'!K$10*$J25,IF(AND(($D25+$C$1)&gt;AN$4,AN$4&gt;=$C$1),'General Inputs'!K$10*$I25,0))</f>
        <v>1370.7336585172177</v>
      </c>
      <c r="AO25" s="214">
        <f>IF(AND(($E25+$C$1)&gt;AO$4,AO$4&gt;=$C$1),'General Inputs'!L$9*$H25,IF(AND(($D25+$C$1)&gt;AO$4,AO$4&gt;=$C$1),'General Inputs'!L$9*$G25,0))+IF(AND(($E25+$C$1)&gt;AO$4,AO$4&gt;=$C$1),'General Inputs'!L$10*$J25,IF(AND(($D25+$C$1)&gt;AO$4,AO$4&gt;=$C$1),'General Inputs'!L$10*$I25,0))</f>
        <v>1391.2946633949759</v>
      </c>
      <c r="AP25" s="214">
        <f>IF(AND(($E25+$C$1)&gt;AP$4,AP$4&gt;=$C$1),'General Inputs'!M$9*$H25,IF(AND(($D25+$C$1)&gt;AP$4,AP$4&gt;=$C$1),'General Inputs'!M$9*$G25,0))+IF(AND(($E25+$C$1)&gt;AP$4,AP$4&gt;=$C$1),'General Inputs'!M$10*$J25,IF(AND(($D25+$C$1)&gt;AP$4,AP$4&gt;=$C$1),'General Inputs'!M$10*$I25,0))</f>
        <v>1412.1640833459003</v>
      </c>
      <c r="AQ25" s="214">
        <f>IF(AND(($E25+$C$1)&gt;AQ$4,AQ$4&gt;=$C$1),'General Inputs'!N$9*$H25,IF(AND(($D25+$C$1)&gt;AQ$4,AQ$4&gt;=$C$1),'General Inputs'!N$9*$G25,0))+IF(AND(($E25+$C$1)&gt;AQ$4,AQ$4&gt;=$C$1),'General Inputs'!N$10*$J25,IF(AND(($D25+$C$1)&gt;AQ$4,AQ$4&gt;=$C$1),'General Inputs'!N$10*$I25,0))</f>
        <v>1433.3465445960887</v>
      </c>
      <c r="AR25" s="214">
        <f>IF(AND(($E25+$C$1)&gt;AR$4,AR$4&gt;=$C$1),'General Inputs'!O$9*$H25,IF(AND(($D25+$C$1)&gt;AR$4,AR$4&gt;=$C$1),'General Inputs'!O$9*$G25,0))+IF(AND(($E25+$C$1)&gt;AR$4,AR$4&gt;=$C$1),'General Inputs'!O$10*$J25,IF(AND(($D25+$C$1)&gt;AR$4,AR$4&gt;=$C$1),'General Inputs'!O$10*$I25,0))</f>
        <v>1454.8467427650298</v>
      </c>
      <c r="AS25" s="214">
        <f>IF(AND(($E25+$C$1)&gt;AS$4,AS$4&gt;=$C$1),'General Inputs'!P$9*$H25,IF(AND(($D25+$C$1)&gt;AS$4,AS$4&gt;=$C$1),'General Inputs'!P$9*$G25,0))+IF(AND(($E25+$C$1)&gt;AS$4,AS$4&gt;=$C$1),'General Inputs'!P$10*$J25,IF(AND(($D25+$C$1)&gt;AS$4,AS$4&gt;=$C$1),'General Inputs'!P$10*$I25,0))</f>
        <v>1476.6694439065052</v>
      </c>
      <c r="AT25" s="214">
        <f>IF(AND(($E25+$C$1)&gt;AT$4,AT$4&gt;=$C$1),'General Inputs'!Q$9*$H25,IF(AND(($D25+$C$1)&gt;AT$4,AT$4&gt;=$C$1),'General Inputs'!Q$9*$G25,0))+IF(AND(($E25+$C$1)&gt;AT$4,AT$4&gt;=$C$1),'General Inputs'!Q$10*$J25,IF(AND(($D25+$C$1)&gt;AT$4,AT$4&gt;=$C$1),'General Inputs'!Q$10*$I25,0))</f>
        <v>1498.8194855651027</v>
      </c>
      <c r="AU25" s="214">
        <f>IF(AND(($E25+$C$1)&gt;AU$4,AU$4&gt;=$C$1),'General Inputs'!R$9*$H25,IF(AND(($D25+$C$1)&gt;AU$4,AU$4&gt;=$C$1),'General Inputs'!R$9*$G25,0))+IF(AND(($E25+$C$1)&gt;AU$4,AU$4&gt;=$C$1),'General Inputs'!R$10*$J25,IF(AND(($D25+$C$1)&gt;AU$4,AU$4&gt;=$C$1),'General Inputs'!R$10*$I25,0))</f>
        <v>1521.3017778485791</v>
      </c>
      <c r="AV25" s="214">
        <f>IF(AND(($E25+$C$1)&gt;AV$4,AV$4&gt;=$C$1),'General Inputs'!S$9*$H25,IF(AND(($D25+$C$1)&gt;AV$4,AV$4&gt;=$C$1),'General Inputs'!S$9*$G25,0))+IF(AND(($E25+$C$1)&gt;AV$4,AV$4&gt;=$C$1),'General Inputs'!S$10*$J25,IF(AND(($D25+$C$1)&gt;AV$4,AV$4&gt;=$C$1),'General Inputs'!S$10*$I25,0))</f>
        <v>1544.1213045163079</v>
      </c>
      <c r="AW25" s="214">
        <f>IF(AND(($E25+$C$1)&gt;AW$4,AW$4&gt;=$C$1),'General Inputs'!T$9*$H25,IF(AND(($D25+$C$1)&gt;AW$4,AW$4&gt;=$C$1),'General Inputs'!T$9*$G25,0))+IF(AND(($E25+$C$1)&gt;AW$4,AW$4&gt;=$C$1),'General Inputs'!T$10*$J25,IF(AND(($D25+$C$1)&gt;AW$4,AW$4&gt;=$C$1),'General Inputs'!T$10*$I25,0))</f>
        <v>1567.2831240840521</v>
      </c>
      <c r="AX25" s="214">
        <f>IF(AND(($E25+$C$1)&gt;AX$4,AX$4&gt;=$C$1),'General Inputs'!U$9*$H25,IF(AND(($D25+$C$1)&gt;AX$4,AX$4&gt;=$C$1),'General Inputs'!U$9*$G25,0))+IF(AND(($E25+$C$1)&gt;AX$4,AX$4&gt;=$C$1),'General Inputs'!U$10*$J25,IF(AND(($D25+$C$1)&gt;AX$4,AX$4&gt;=$C$1),'General Inputs'!U$10*$I25,0))</f>
        <v>0</v>
      </c>
      <c r="AY25" s="214">
        <f>IF(AND(($E25+$C$1)&gt;AY$4,AY$4&gt;=$C$1),'General Inputs'!V$9*$H25,IF(AND(($D25+$C$1)&gt;AY$4,AY$4&gt;=$C$1),'General Inputs'!V$9*$G25,0))+IF(AND(($E25+$C$1)&gt;AY$4,AY$4&gt;=$C$1),'General Inputs'!V$10*$J25,IF(AND(($D25+$C$1)&gt;AY$4,AY$4&gt;=$C$1),'General Inputs'!V$10*$I25,0))</f>
        <v>0</v>
      </c>
      <c r="AZ25" s="214">
        <f>IF(AND(($E25+$C$1)&gt;AZ$4,AZ$4&gt;=$C$1),'General Inputs'!W$9*$H25,IF(AND(($D25+$C$1)&gt;AZ$4,AZ$4&gt;=$C$1),'General Inputs'!W$9*$G25,0))+IF(AND(($E25+$C$1)&gt;AZ$4,AZ$4&gt;=$C$1),'General Inputs'!W$10*$J25,IF(AND(($D25+$C$1)&gt;AZ$4,AZ$4&gt;=$C$1),'General Inputs'!W$10*$I25,0))</f>
        <v>0</v>
      </c>
      <c r="BB25" s="214">
        <f>IF(AND(($E25+$C$1)&gt;BB$4,BB$4&gt;=$C$1),'General Inputs'!D$11*$H25,IF(AND(($D25+$C$1)&gt;BB$4,BB$4&gt;=$C$1),'General Inputs'!D$11*$G25,0))</f>
        <v>0</v>
      </c>
      <c r="BC25" s="214">
        <f>IF(AND(($E25+$C$1)&gt;BC$4,BC$4&gt;=$C$1),'General Inputs'!E$11*$H25,IF(AND(($D25+$C$1)&gt;BC$4,BC$4&gt;=$C$1),'General Inputs'!E$11*$G25,0))</f>
        <v>0</v>
      </c>
      <c r="BD25" s="214">
        <f>IF(AND(($E25+$C$1)&gt;BD$4,BD$4&gt;=$C$1),'General Inputs'!F$11*$H25,IF(AND(($D25+$C$1)&gt;BD$4,BD$4&gt;=$C$1),'General Inputs'!F$11*$G25,0))</f>
        <v>304.86146519940729</v>
      </c>
      <c r="BE25" s="214">
        <f>IF(AND(($E25+$C$1)&gt;BE$4,BE$4&gt;=$C$1),'General Inputs'!G$11*$H25,IF(AND(($D25+$C$1)&gt;BE$4,BE$4&gt;=$C$1),'General Inputs'!G$11*$G25,0))</f>
        <v>304.86146519940729</v>
      </c>
      <c r="BF25" s="214">
        <f>IF(AND(($E25+$C$1)&gt;BF$4,BF$4&gt;=$C$1),'General Inputs'!H$11*$H25,IF(AND(($D25+$C$1)&gt;BF$4,BF$4&gt;=$C$1),'General Inputs'!H$11*$G25,0))</f>
        <v>304.86146519940729</v>
      </c>
      <c r="BG25" s="214">
        <f>IF(AND(($E25+$C$1)&gt;BG$4,BG$4&gt;=$C$1),'General Inputs'!I$11*$H25,IF(AND(($D25+$C$1)&gt;BG$4,BG$4&gt;=$C$1),'General Inputs'!I$11*$G25,0))</f>
        <v>304.86146519940729</v>
      </c>
      <c r="BH25" s="214">
        <f>IF(AND(($E25+$C$1)&gt;BH$4,BH$4&gt;=$C$1),'General Inputs'!J$11*$H25,IF(AND(($D25+$C$1)&gt;BH$4,BH$4&gt;=$C$1),'General Inputs'!J$11*$G25,0))</f>
        <v>304.86146519940729</v>
      </c>
      <c r="BI25" s="214">
        <f>IF(AND(($E25+$C$1)&gt;BI$4,BI$4&gt;=$C$1),'General Inputs'!K$11*$H25,IF(AND(($D25+$C$1)&gt;BI$4,BI$4&gt;=$C$1),'General Inputs'!K$11*$G25,0))</f>
        <v>304.86146519940729</v>
      </c>
      <c r="BJ25" s="214">
        <f>IF(AND(($E25+$C$1)&gt;BJ$4,BJ$4&gt;=$C$1),'General Inputs'!L$11*$H25,IF(AND(($D25+$C$1)&gt;BJ$4,BJ$4&gt;=$C$1),'General Inputs'!L$11*$G25,0))</f>
        <v>304.86146519940729</v>
      </c>
      <c r="BK25" s="214">
        <f>IF(AND(($E25+$C$1)&gt;BK$4,BK$4&gt;=$C$1),'General Inputs'!M$11*$H25,IF(AND(($D25+$C$1)&gt;BK$4,BK$4&gt;=$C$1),'General Inputs'!M$11*$G25,0))</f>
        <v>304.86146519940729</v>
      </c>
      <c r="BL25" s="214">
        <f>IF(AND(($E25+$C$1)&gt;BL$4,BL$4&gt;=$C$1),'General Inputs'!N$11*$H25,IF(AND(($D25+$C$1)&gt;BL$4,BL$4&gt;=$C$1),'General Inputs'!N$11*$G25,0))</f>
        <v>304.86146519940729</v>
      </c>
      <c r="BM25" s="214">
        <f>IF(AND(($E25+$C$1)&gt;BM$4,BM$4&gt;=$C$1),'General Inputs'!O$11*$H25,IF(AND(($D25+$C$1)&gt;BM$4,BM$4&gt;=$C$1),'General Inputs'!O$11*$G25,0))</f>
        <v>304.86146519940729</v>
      </c>
      <c r="BN25" s="214">
        <f>IF(AND(($E25+$C$1)&gt;BN$4,BN$4&gt;=$C$1),'General Inputs'!P$11*$H25,IF(AND(($D25+$C$1)&gt;BN$4,BN$4&gt;=$C$1),'General Inputs'!P$11*$G25,0))</f>
        <v>304.86146519940729</v>
      </c>
      <c r="BO25" s="214">
        <f>IF(AND(($E25+$C$1)&gt;BO$4,BO$4&gt;=$C$1),'General Inputs'!Q$11*$H25,IF(AND(($D25+$C$1)&gt;BO$4,BO$4&gt;=$C$1),'General Inputs'!Q$11*$G25,0))</f>
        <v>304.86146519940729</v>
      </c>
      <c r="BP25" s="214">
        <f>IF(AND(($E25+$C$1)&gt;BP$4,BP$4&gt;=$C$1),'General Inputs'!R$11*$H25,IF(AND(($D25+$C$1)&gt;BP$4,BP$4&gt;=$C$1),'General Inputs'!R$11*$G25,0))</f>
        <v>304.86146519940729</v>
      </c>
      <c r="BQ25" s="214">
        <f>IF(AND(($E25+$C$1)&gt;BQ$4,BQ$4&gt;=$C$1),'General Inputs'!S$11*$H25,IF(AND(($D25+$C$1)&gt;BQ$4,BQ$4&gt;=$C$1),'General Inputs'!S$11*$G25,0))</f>
        <v>304.86146519940729</v>
      </c>
      <c r="BR25" s="214">
        <f>IF(AND(($E25+$C$1)&gt;BR$4,BR$4&gt;=$C$1),'General Inputs'!T$11*$H25,IF(AND(($D25+$C$1)&gt;BR$4,BR$4&gt;=$C$1),'General Inputs'!T$11*$G25,0))</f>
        <v>304.86146519940729</v>
      </c>
      <c r="BS25" s="214">
        <f>IF(AND(($E25+$C$1)&gt;BS$4,BS$4&gt;=$C$1),'General Inputs'!U$11*$H25,IF(AND(($D25+$C$1)&gt;BS$4,BS$4&gt;=$C$1),'General Inputs'!U$11*$G25,0))</f>
        <v>0</v>
      </c>
      <c r="BT25" s="214">
        <f>IF(AND(($E25+$C$1)&gt;BT$4,BT$4&gt;=$C$1),'General Inputs'!V$11*$H25,IF(AND(($D25+$C$1)&gt;BT$4,BT$4&gt;=$C$1),'General Inputs'!V$11*$G25,0))</f>
        <v>0</v>
      </c>
      <c r="BU25" s="214">
        <f>IF(AND(($E25+$C$1)&gt;BU$4,BU$4&gt;=$C$1),'General Inputs'!W$11*$H25,IF(AND(($D25+$C$1)&gt;BU$4,BU$4&gt;=$C$1),'General Inputs'!W$11*$G25,0))</f>
        <v>0</v>
      </c>
      <c r="BW25" s="214">
        <f>IF(AND(($E25+$C$1)&gt;BW$4,BW$4&gt;=$C$1),$H25,IF(AND(($D25+$C$1)&gt;BW$4,BW$4&gt;=$C$1),$G25,0))*IF($A25="Residential",'General Inputs'!D$14,'General Inputs'!D$19)</f>
        <v>0</v>
      </c>
      <c r="BX25" s="214">
        <f>IF(AND(($E25+$C$1)&gt;BX$4,BX$4&gt;=$C$1),$H25,IF(AND(($D25+$C$1)&gt;BX$4,BX$4&gt;=$C$1),$G25,0))*IF($A25="Residential",'General Inputs'!E$14,'General Inputs'!E$19)</f>
        <v>0</v>
      </c>
      <c r="BY25" s="214">
        <f>IF(AND(($E25+$C$1)&gt;BY$4,BY$4&gt;=$C$1),$H25,IF(AND(($D25+$C$1)&gt;BY$4,BY$4&gt;=$C$1),$G25,0))*IF($A25="Residential",'General Inputs'!F$14,'General Inputs'!F$19)</f>
        <v>3698.1159371673521</v>
      </c>
      <c r="BZ25" s="214">
        <f>IF(AND(($E25+$C$1)&gt;BZ$4,BZ$4&gt;=$C$1),$H25,IF(AND(($D25+$C$1)&gt;BZ$4,BZ$4&gt;=$C$1),$G25,0))*IF($A25="Residential",'General Inputs'!G$14,'General Inputs'!G$19)</f>
        <v>3753.5876762248618</v>
      </c>
      <c r="CA25" s="214">
        <f>IF(AND(($E25+$C$1)&gt;CA$4,CA$4&gt;=$C$1),$H25,IF(AND(($D25+$C$1)&gt;CA$4,CA$4&gt;=$C$1),$G25,0))*IF($A25="Residential",'General Inputs'!H$14,'General Inputs'!H$19)</f>
        <v>3809.8914913682343</v>
      </c>
      <c r="CB25" s="214">
        <f>IF(AND(($E25+$C$1)&gt;CB$4,CB$4&gt;=$C$1),$H25,IF(AND(($D25+$C$1)&gt;CB$4,CB$4&gt;=$C$1),$G25,0))*IF($A25="Residential",'General Inputs'!I$14,'General Inputs'!I$19)</f>
        <v>3867.0398637387575</v>
      </c>
      <c r="CC25" s="214">
        <f>IF(AND(($E25+$C$1)&gt;CC$4,CC$4&gt;=$C$1),$H25,IF(AND(($D25+$C$1)&gt;CC$4,CC$4&gt;=$C$1),$G25,0))*IF($A25="Residential",'General Inputs'!J$14,'General Inputs'!J$19)</f>
        <v>3925.0454616948382</v>
      </c>
      <c r="CD25" s="214">
        <f>IF(AND(($E25+$C$1)&gt;CD$4,CD$4&gt;=$C$1),$H25,IF(AND(($D25+$C$1)&gt;CD$4,CD$4&gt;=$C$1),$G25,0))*IF($A25="Residential",'General Inputs'!K$14,'General Inputs'!K$19)</f>
        <v>3983.9211436202604</v>
      </c>
      <c r="CE25" s="214">
        <f>IF(AND(($E25+$C$1)&gt;CE$4,CE$4&gt;=$C$1),$H25,IF(AND(($D25+$C$1)&gt;CE$4,CE$4&gt;=$C$1),$G25,0))*IF($A25="Residential",'General Inputs'!L$14,'General Inputs'!L$19)</f>
        <v>4043.6799607745634</v>
      </c>
      <c r="CF25" s="214">
        <f>IF(AND(($E25+$C$1)&gt;CF$4,CF$4&gt;=$C$1),$H25,IF(AND(($D25+$C$1)&gt;CF$4,CF$4&gt;=$C$1),$G25,0))*IF($A25="Residential",'General Inputs'!M$14,'General Inputs'!M$19)</f>
        <v>4104.3351601861814</v>
      </c>
      <c r="CG25" s="214">
        <f>IF(AND(($E25+$C$1)&gt;CG$4,CG$4&gt;=$C$1),$H25,IF(AND(($D25+$C$1)&gt;CG$4,CG$4&gt;=$C$1),$G25,0))*IF($A25="Residential",'General Inputs'!N$14,'General Inputs'!N$19)</f>
        <v>4165.9001875889735</v>
      </c>
      <c r="CH25" s="214">
        <f>IF(AND(($E25+$C$1)&gt;CH$4,CH$4&gt;=$C$1),$H25,IF(AND(($D25+$C$1)&gt;CH$4,CH$4&gt;=$C$1),$G25,0))*IF($A25="Residential",'General Inputs'!O$14,'General Inputs'!O$19)</f>
        <v>4228.3886904028077</v>
      </c>
      <c r="CI25" s="214">
        <f>IF(AND(($E25+$C$1)&gt;CI$4,CI$4&gt;=$C$1),$H25,IF(AND(($D25+$C$1)&gt;CI$4,CI$4&gt;=$C$1),$G25,0))*IF($A25="Residential",'General Inputs'!P$14,'General Inputs'!P$19)</f>
        <v>4291.8145207588495</v>
      </c>
      <c r="CJ25" s="214">
        <f>IF(AND(($E25+$C$1)&gt;CJ$4,CJ$4&gt;=$C$1),$H25,IF(AND(($D25+$C$1)&gt;CJ$4,CJ$4&gt;=$C$1),$G25,0))*IF($A25="Residential",'General Inputs'!Q$14,'General Inputs'!Q$19)</f>
        <v>4356.1917385702318</v>
      </c>
      <c r="CK25" s="214">
        <f>IF(AND(($E25+$C$1)&gt;CK$4,CK$4&gt;=$C$1),$H25,IF(AND(($D25+$C$1)&gt;CK$4,CK$4&gt;=$C$1),$G25,0))*IF($A25="Residential",'General Inputs'!R$14,'General Inputs'!R$19)</f>
        <v>4421.5346146487846</v>
      </c>
      <c r="CL25" s="214">
        <f>IF(AND(($E25+$C$1)&gt;CL$4,CL$4&gt;=$C$1),$H25,IF(AND(($D25+$C$1)&gt;CL$4,CL$4&gt;=$C$1),$G25,0))*IF($A25="Residential",'General Inputs'!S$14,'General Inputs'!S$19)</f>
        <v>4487.8576338685161</v>
      </c>
      <c r="CM25" s="214">
        <f>IF(AND(($E25+$C$1)&gt;CM$4,CM$4&gt;=$C$1),$H25,IF(AND(($D25+$C$1)&gt;CM$4,CM$4&gt;=$C$1),$G25,0))*IF($A25="Residential",'General Inputs'!T$14,'General Inputs'!T$19)</f>
        <v>4555.1754983765441</v>
      </c>
      <c r="CN25" s="214">
        <f>IF(AND(($E25+$C$1)&gt;CN$4,CN$4&gt;=$C$1),$H25,IF(AND(($D25+$C$1)&gt;CN$4,CN$4&gt;=$C$1),$G25,0))*IF($A25="Residential",'General Inputs'!U$14,'General Inputs'!U$19)</f>
        <v>0</v>
      </c>
      <c r="CO25" s="214">
        <f>IF(AND(($E25+$C$1)&gt;CO$4,CO$4&gt;=$C$1),$H25,IF(AND(($D25+$C$1)&gt;CO$4,CO$4&gt;=$C$1),$G25,0))*IF($A25="Residential",'General Inputs'!V$14,'General Inputs'!V$19)</f>
        <v>0</v>
      </c>
      <c r="CP25" s="214">
        <f>IF(AND(($E25+$C$1)&gt;CP$4,CP$4&gt;=$C$1),$H25,IF(AND(($D25+$C$1)&gt;CP$4,CP$4&gt;=$C$1),$G25,0))*IF($A25="Residential",'General Inputs'!W$14,'General Inputs'!W$19)</f>
        <v>0</v>
      </c>
      <c r="CR25" s="214">
        <f>IF(AND(($E25+$C$1)&gt;CR$4,CR$4&gt;=$C$1),$H25,IF(AND(($D25+$C$1)&gt;CR$4,CR$4&gt;=$C$1),$G25,0))*IF($A25="Residential",'General Inputs'!D$15,'General Inputs'!D$19)</f>
        <v>0</v>
      </c>
      <c r="CS25" s="214">
        <f>IF(AND(($E25+$C$1)&gt;CS$4,CS$4&gt;=$C$1),$H25,IF(AND(($D25+$C$1)&gt;CS$4,CS$4&gt;=$C$1),$G25,0))*IF($A25="Residential",'General Inputs'!E$15,'General Inputs'!E$19)</f>
        <v>0</v>
      </c>
      <c r="CT25" s="214">
        <f>IF(AND(($E25+$C$1)&gt;CT$4,CT$4&gt;=$C$1),$H25,IF(AND(($D25+$C$1)&gt;CT$4,CT$4&gt;=$C$1),$G25,0))*IF($A25="Residential",'General Inputs'!F$15,'General Inputs'!F$19)</f>
        <v>3008.4479346267158</v>
      </c>
      <c r="CU25" s="214">
        <f>IF(AND(($E25+$C$1)&gt;CU$4,CU$4&gt;=$C$1),$H25,IF(AND(($D25+$C$1)&gt;CU$4,CU$4&gt;=$C$1),$G25,0))*IF($A25="Residential",'General Inputs'!G$15,'General Inputs'!G$19)</f>
        <v>3053.5746536461161</v>
      </c>
      <c r="CV25" s="214">
        <f>IF(AND(($E25+$C$1)&gt;CV$4,CV$4&gt;=$C$1),$H25,IF(AND(($D25+$C$1)&gt;CV$4,CV$4&gt;=$C$1),$G25,0))*IF($A25="Residential",'General Inputs'!H$15,'General Inputs'!H$19)</f>
        <v>3099.3782734508077</v>
      </c>
      <c r="CW25" s="214">
        <f>IF(AND(($E25+$C$1)&gt;CW$4,CW$4&gt;=$C$1),$H25,IF(AND(($D25+$C$1)&gt;CW$4,CW$4&gt;=$C$1),$G25,0))*IF($A25="Residential",'General Inputs'!I$15,'General Inputs'!I$19)</f>
        <v>3145.8689475525694</v>
      </c>
      <c r="CX25" s="214">
        <f>IF(AND(($E25+$C$1)&gt;CX$4,CX$4&gt;=$C$1),$H25,IF(AND(($D25+$C$1)&gt;CX$4,CX$4&gt;=$C$1),$G25,0))*IF($A25="Residential",'General Inputs'!J$15,'General Inputs'!J$19)</f>
        <v>3193.0569817658575</v>
      </c>
      <c r="CY25" s="214">
        <f>IF(AND(($E25+$C$1)&gt;CY$4,CY$4&gt;=$C$1),$H25,IF(AND(($D25+$C$1)&gt;CY$4,CY$4&gt;=$C$1),$G25,0))*IF($A25="Residential",'General Inputs'!K$15,'General Inputs'!K$19)</f>
        <v>3240.9528364923449</v>
      </c>
      <c r="CZ25" s="214">
        <f>IF(AND(($E25+$C$1)&gt;CZ$4,CZ$4&gt;=$C$1),$H25,IF(AND(($D25+$C$1)&gt;CZ$4,CZ$4&gt;=$C$1),$G25,0))*IF($A25="Residential",'General Inputs'!L$15,'General Inputs'!L$19)</f>
        <v>3289.5671290397299</v>
      </c>
      <c r="DA25" s="214">
        <f>IF(AND(($E25+$C$1)&gt;DA$4,DA$4&gt;=$C$1),$H25,IF(AND(($D25+$C$1)&gt;DA$4,DA$4&gt;=$C$1),$G25,0))*IF($A25="Residential",'General Inputs'!M$15,'General Inputs'!M$19)</f>
        <v>3338.9106359753255</v>
      </c>
      <c r="DB25" s="214">
        <f>IF(AND(($E25+$C$1)&gt;DB$4,DB$4&gt;=$C$1),$H25,IF(AND(($D25+$C$1)&gt;DB$4,DB$4&gt;=$C$1),$G25,0))*IF($A25="Residential",'General Inputs'!N$15,'General Inputs'!N$19)</f>
        <v>3388.994295514955</v>
      </c>
      <c r="DC25" s="214">
        <f>IF(AND(($E25+$C$1)&gt;DC$4,DC$4&gt;=$C$1),$H25,IF(AND(($D25+$C$1)&gt;DC$4,DC$4&gt;=$C$1),$G25,0))*IF($A25="Residential",'General Inputs'!O$15,'General Inputs'!O$19)</f>
        <v>3439.8292099476789</v>
      </c>
      <c r="DD25" s="214">
        <f>IF(AND(($E25+$C$1)&gt;DD$4,DD$4&gt;=$C$1),$H25,IF(AND(($D25+$C$1)&gt;DD$4,DD$4&gt;=$C$1),$G25,0))*IF($A25="Residential",'General Inputs'!P$15,'General Inputs'!P$19)</f>
        <v>3491.426648096894</v>
      </c>
      <c r="DE25" s="214">
        <f>IF(AND(($E25+$C$1)&gt;DE$4,DE$4&gt;=$C$1),$H25,IF(AND(($D25+$C$1)&gt;DE$4,DE$4&gt;=$C$1),$G25,0))*IF($A25="Residential",'General Inputs'!Q$15,'General Inputs'!Q$19)</f>
        <v>3543.7980478183472</v>
      </c>
      <c r="DF25" s="214">
        <f>IF(AND(($E25+$C$1)&gt;DF$4,DF$4&gt;=$C$1),$H25,IF(AND(($D25+$C$1)&gt;DF$4,DF$4&gt;=$C$1),$G25,0))*IF($A25="Residential",'General Inputs'!R$15,'General Inputs'!R$19)</f>
        <v>3596.955018535622</v>
      </c>
      <c r="DG25" s="214">
        <f>IF(AND(($E25+$C$1)&gt;DG$4,DG$4&gt;=$C$1),$H25,IF(AND(($D25+$C$1)&gt;DG$4,DG$4&gt;=$C$1),$G25,0))*IF($A25="Residential",'General Inputs'!S$15,'General Inputs'!S$19)</f>
        <v>3650.9093438136556</v>
      </c>
      <c r="DH25" s="214">
        <f>IF(AND(($E25+$C$1)&gt;DH$4,DH$4&gt;=$C$1),$H25,IF(AND(($D25+$C$1)&gt;DH$4,DH$4&gt;=$C$1),$G25,0))*IF($A25="Residential",'General Inputs'!T$15,'General Inputs'!T$19)</f>
        <v>3705.6729839708601</v>
      </c>
      <c r="DI25" s="214">
        <f>IF(AND(($E25+$C$1)&gt;DI$4,DI$4&gt;=$C$1),$H25,IF(AND(($D25+$C$1)&gt;DI$4,DI$4&gt;=$C$1),$G25,0))*IF($A25="Residential",'General Inputs'!U$15,'General Inputs'!U$19)</f>
        <v>0</v>
      </c>
      <c r="DJ25" s="214">
        <f>IF(AND(($E25+$C$1)&gt;DJ$4,DJ$4&gt;=$C$1),$H25,IF(AND(($D25+$C$1)&gt;DJ$4,DJ$4&gt;=$C$1),$G25,0))*IF($A25="Residential",'General Inputs'!V$15,'General Inputs'!V$19)</f>
        <v>0</v>
      </c>
      <c r="DK25" s="214">
        <f>IF(AND(($E25+$C$1)&gt;DK$4,DK$4&gt;=$C$1),$H25,IF(AND(($D25+$C$1)&gt;DK$4,DK$4&gt;=$C$1),$G25,0))*IF($A25="Residential",'General Inputs'!W$15,'General Inputs'!W$19)</f>
        <v>0</v>
      </c>
      <c r="DM25" s="214">
        <f t="shared" si="47"/>
        <v>0</v>
      </c>
      <c r="DN25" s="214">
        <f t="shared" si="27"/>
        <v>0</v>
      </c>
      <c r="DO25" s="214">
        <f t="shared" si="27"/>
        <v>0</v>
      </c>
      <c r="DP25" s="214">
        <f t="shared" si="27"/>
        <v>0</v>
      </c>
      <c r="DQ25" s="214">
        <f t="shared" si="27"/>
        <v>0</v>
      </c>
      <c r="DR25" s="214">
        <f t="shared" si="27"/>
        <v>0</v>
      </c>
      <c r="DS25" s="214">
        <f t="shared" si="27"/>
        <v>0</v>
      </c>
      <c r="DT25" s="214">
        <f t="shared" si="27"/>
        <v>0</v>
      </c>
      <c r="DU25" s="214">
        <f t="shared" si="27"/>
        <v>0</v>
      </c>
      <c r="DV25" s="214">
        <f t="shared" si="27"/>
        <v>0</v>
      </c>
      <c r="DW25" s="214">
        <f t="shared" si="27"/>
        <v>0</v>
      </c>
      <c r="DZ25" s="650"/>
      <c r="FI25" s="195"/>
      <c r="FJ25" s="195"/>
      <c r="FK25" s="195"/>
      <c r="FL25" s="195"/>
      <c r="FM25" s="195"/>
      <c r="FN25" s="195"/>
      <c r="FO25" s="195"/>
    </row>
    <row r="26" spans="1:171">
      <c r="A26" s="342" t="s">
        <v>12</v>
      </c>
      <c r="B26" s="427" t="str">
        <f>'Portfolio Inputs'!A25</f>
        <v>Air Sealing (Gas Heat)</v>
      </c>
      <c r="C26" s="217">
        <f>IF($C$1=2014,'Portfolio Inputs'!$C25,IF($C$1=2015,'Portfolio Inputs'!$D25,'Portfolio Inputs'!$E25))</f>
        <v>106</v>
      </c>
      <c r="D26" s="504">
        <f>VLOOKUP(B26,Sources!$B$4:$J$104,2,FALSE)</f>
        <v>15</v>
      </c>
      <c r="E26" s="504">
        <f>VLOOKUP(B26,Sources!$B$4:$J$104,3,FALSE)</f>
        <v>0</v>
      </c>
      <c r="G26" s="504">
        <f>IF($C$1=2014,'Portfolio Inputs'!$G25,IF($C$1=2015,'Portfolio Inputs'!$H25,'Portfolio Inputs'!$I25))*EnergyLineLoss</f>
        <v>6341.2715189189184</v>
      </c>
      <c r="H26" s="504"/>
      <c r="I26" s="504">
        <f>IF($C$1=2014,'Portfolio Inputs'!$K25,IF($C$1=2015,'Portfolio Inputs'!$L25,'Portfolio Inputs'!$M25))*PeakLineLoss</f>
        <v>9.7845926472357672</v>
      </c>
      <c r="J26" s="510"/>
      <c r="L26" s="606">
        <f>IF($C$1=2014,'Portfolio Inputs'!$O25,IF($C$1=2015,'Portfolio Inputs'!$P25,'Portfolio Inputs'!$Q25))</f>
        <v>0</v>
      </c>
      <c r="M26" s="518">
        <f>VLOOKUP($B26,Sources!$B$4:$K$104,10,FALSE)</f>
        <v>0</v>
      </c>
      <c r="N26" s="419">
        <f>IF($C$1=2014,'Portfolio Inputs'!$W25,IF($C$1=2015,'Portfolio Inputs'!$X25,'Portfolio Inputs'!$Y25))</f>
        <v>0</v>
      </c>
      <c r="O26" s="419"/>
      <c r="Q26" s="438" t="str">
        <f t="shared" si="67"/>
        <v>n/a</v>
      </c>
      <c r="R26" s="439" t="str">
        <f t="shared" si="68"/>
        <v>n/a</v>
      </c>
      <c r="S26" s="439" t="str">
        <f t="shared" si="69"/>
        <v>n/a</v>
      </c>
      <c r="T26" s="439" t="str">
        <f t="shared" si="70"/>
        <v>n/a</v>
      </c>
      <c r="U26" s="439" t="str">
        <f t="shared" si="71"/>
        <v>n/a</v>
      </c>
      <c r="V26" s="439">
        <f t="shared" si="72"/>
        <v>0.46872586226246571</v>
      </c>
      <c r="W26" s="439">
        <f t="shared" si="73"/>
        <v>0.57617835477362567</v>
      </c>
      <c r="Y26" s="215">
        <f t="shared" si="4"/>
        <v>3339.7682342161474</v>
      </c>
      <c r="Z26" s="215">
        <f t="shared" si="5"/>
        <v>540.47789451312826</v>
      </c>
      <c r="AA26" s="215">
        <f t="shared" si="6"/>
        <v>7125.2058038692676</v>
      </c>
      <c r="AB26" s="215">
        <f t="shared" si="7"/>
        <v>5796.4139168822239</v>
      </c>
      <c r="AC26" s="216">
        <f t="shared" si="20"/>
        <v>0</v>
      </c>
      <c r="AD26" s="216">
        <f t="shared" si="21"/>
        <v>0</v>
      </c>
      <c r="AE26" s="215">
        <f t="shared" si="8"/>
        <v>0</v>
      </c>
      <c r="AG26" s="214">
        <f>IF(AND(($E26+$C$1)&gt;AG$4,AG$4&gt;=$C$1),'General Inputs'!D$9*$H26,IF(AND(($D26+$C$1)&gt;AG$4,AG$4&gt;=$C$1),'General Inputs'!D$9*$G26,0))+IF(AND(($E26+$C$1)&gt;AG$4,AG$4&gt;=$C$1),'General Inputs'!D$10*$J26,IF(AND(($D26+$C$1)&gt;AG$4,AG$4&gt;=$C$1),'General Inputs'!D$10*$I26,0))</f>
        <v>0</v>
      </c>
      <c r="AH26" s="214">
        <f>IF(AND(($E26+$C$1)&gt;AH$4,AH$4&gt;=$C$1),'General Inputs'!E$9*$H26,IF(AND(($D26+$C$1)&gt;AH$4,AH$4&gt;=$C$1),'General Inputs'!E$9*$G26,0))+IF(AND(($E26+$C$1)&gt;AH$4,AH$4&gt;=$C$1),'General Inputs'!E$10*$J26,IF(AND(($D26+$C$1)&gt;AH$4,AH$4&gt;=$C$1),'General Inputs'!E$10*$I26,0))</f>
        <v>0</v>
      </c>
      <c r="AI26" s="214">
        <f>IF(AND(($E26+$C$1)&gt;AI$4,AI$4&gt;=$C$1),'General Inputs'!F$9*$H26,IF(AND(($D26+$C$1)&gt;AI$4,AI$4&gt;=$C$1),'General Inputs'!F$9*$G26,0))+IF(AND(($E26+$C$1)&gt;AI$4,AI$4&gt;=$C$1),'General Inputs'!F$10*$J26,IF(AND(($D26+$C$1)&gt;AI$4,AI$4&gt;=$C$1),'General Inputs'!F$10*$I26,0))</f>
        <v>411.03434016685645</v>
      </c>
      <c r="AJ26" s="214">
        <f>IF(AND(($E26+$C$1)&gt;AJ$4,AJ$4&gt;=$C$1),'General Inputs'!G$9*$H26,IF(AND(($D26+$C$1)&gt;AJ$4,AJ$4&gt;=$C$1),'General Inputs'!G$9*$G26,0))+IF(AND(($E26+$C$1)&gt;AJ$4,AJ$4&gt;=$C$1),'General Inputs'!G$10*$J26,IF(AND(($D26+$C$1)&gt;AJ$4,AJ$4&gt;=$C$1),'General Inputs'!G$10*$I26,0))</f>
        <v>417.19985526935932</v>
      </c>
      <c r="AK26" s="214">
        <f>IF(AND(($E26+$C$1)&gt;AK$4,AK$4&gt;=$C$1),'General Inputs'!H$9*$H26,IF(AND(($D26+$C$1)&gt;AK$4,AK$4&gt;=$C$1),'General Inputs'!H$9*$G26,0))+IF(AND(($E26+$C$1)&gt;AK$4,AK$4&gt;=$C$1),'General Inputs'!H$10*$J26,IF(AND(($D26+$C$1)&gt;AK$4,AK$4&gt;=$C$1),'General Inputs'!H$10*$I26,0))</f>
        <v>423.45785309839965</v>
      </c>
      <c r="AL26" s="214">
        <f>IF(AND(($E26+$C$1)&gt;AL$4,AL$4&gt;=$C$1),'General Inputs'!I$9*$H26,IF(AND(($D26+$C$1)&gt;AL$4,AL$4&gt;=$C$1),'General Inputs'!I$9*$G26,0))+IF(AND(($E26+$C$1)&gt;AL$4,AL$4&gt;=$C$1),'General Inputs'!I$10*$J26,IF(AND(($D26+$C$1)&gt;AL$4,AL$4&gt;=$C$1),'General Inputs'!I$10*$I26,0))</f>
        <v>429.80972089487557</v>
      </c>
      <c r="AM26" s="214">
        <f>IF(AND(($E26+$C$1)&gt;AM$4,AM$4&gt;=$C$1),'General Inputs'!J$9*$H26,IF(AND(($D26+$C$1)&gt;AM$4,AM$4&gt;=$C$1),'General Inputs'!J$9*$G26,0))+IF(AND(($E26+$C$1)&gt;AM$4,AM$4&gt;=$C$1),'General Inputs'!J$10*$J26,IF(AND(($D26+$C$1)&gt;AM$4,AM$4&gt;=$C$1),'General Inputs'!J$10*$I26,0))</f>
        <v>436.25686670829862</v>
      </c>
      <c r="AN26" s="214">
        <f>IF(AND(($E26+$C$1)&gt;AN$4,AN$4&gt;=$C$1),'General Inputs'!K$9*$H26,IF(AND(($D26+$C$1)&gt;AN$4,AN$4&gt;=$C$1),'General Inputs'!K$9*$G26,0))+IF(AND(($E26+$C$1)&gt;AN$4,AN$4&gt;=$C$1),'General Inputs'!K$10*$J26,IF(AND(($D26+$C$1)&gt;AN$4,AN$4&gt;=$C$1),'General Inputs'!K$10*$I26,0))</f>
        <v>442.80071970892311</v>
      </c>
      <c r="AO26" s="214">
        <f>IF(AND(($E26+$C$1)&gt;AO$4,AO$4&gt;=$C$1),'General Inputs'!L$9*$H26,IF(AND(($D26+$C$1)&gt;AO$4,AO$4&gt;=$C$1),'General Inputs'!L$9*$G26,0))+IF(AND(($E26+$C$1)&gt;AO$4,AO$4&gt;=$C$1),'General Inputs'!L$10*$J26,IF(AND(($D26+$C$1)&gt;AO$4,AO$4&gt;=$C$1),'General Inputs'!L$10*$I26,0))</f>
        <v>449.44273050455683</v>
      </c>
      <c r="AP26" s="214">
        <f>IF(AND(($E26+$C$1)&gt;AP$4,AP$4&gt;=$C$1),'General Inputs'!M$9*$H26,IF(AND(($D26+$C$1)&gt;AP$4,AP$4&gt;=$C$1),'General Inputs'!M$9*$G26,0))+IF(AND(($E26+$C$1)&gt;AP$4,AP$4&gt;=$C$1),'General Inputs'!M$10*$J26,IF(AND(($D26+$C$1)&gt;AP$4,AP$4&gt;=$C$1),'General Inputs'!M$10*$I26,0))</f>
        <v>456.18437146212517</v>
      </c>
      <c r="AQ26" s="214">
        <f>IF(AND(($E26+$C$1)&gt;AQ$4,AQ$4&gt;=$C$1),'General Inputs'!N$9*$H26,IF(AND(($D26+$C$1)&gt;AQ$4,AQ$4&gt;=$C$1),'General Inputs'!N$9*$G26,0))+IF(AND(($E26+$C$1)&gt;AQ$4,AQ$4&gt;=$C$1),'General Inputs'!N$10*$J26,IF(AND(($D26+$C$1)&gt;AQ$4,AQ$4&gt;=$C$1),'General Inputs'!N$10*$I26,0))</f>
        <v>463.02713703405703</v>
      </c>
      <c r="AR26" s="214">
        <f>IF(AND(($E26+$C$1)&gt;AR$4,AR$4&gt;=$C$1),'General Inputs'!O$9*$H26,IF(AND(($D26+$C$1)&gt;AR$4,AR$4&gt;=$C$1),'General Inputs'!O$9*$G26,0))+IF(AND(($E26+$C$1)&gt;AR$4,AR$4&gt;=$C$1),'General Inputs'!O$10*$J26,IF(AND(($D26+$C$1)&gt;AR$4,AR$4&gt;=$C$1),'General Inputs'!O$10*$I26,0))</f>
        <v>469.9725440895678</v>
      </c>
      <c r="AS26" s="214">
        <f>IF(AND(($E26+$C$1)&gt;AS$4,AS$4&gt;=$C$1),'General Inputs'!P$9*$H26,IF(AND(($D26+$C$1)&gt;AS$4,AS$4&gt;=$C$1),'General Inputs'!P$9*$G26,0))+IF(AND(($E26+$C$1)&gt;AS$4,AS$4&gt;=$C$1),'General Inputs'!P$10*$J26,IF(AND(($D26+$C$1)&gt;AS$4,AS$4&gt;=$C$1),'General Inputs'!P$10*$I26,0))</f>
        <v>477.02213225091134</v>
      </c>
      <c r="AT26" s="214">
        <f>IF(AND(($E26+$C$1)&gt;AT$4,AT$4&gt;=$C$1),'General Inputs'!Q$9*$H26,IF(AND(($D26+$C$1)&gt;AT$4,AT$4&gt;=$C$1),'General Inputs'!Q$9*$G26,0))+IF(AND(($E26+$C$1)&gt;AT$4,AT$4&gt;=$C$1),'General Inputs'!Q$10*$J26,IF(AND(($D26+$C$1)&gt;AT$4,AT$4&gt;=$C$1),'General Inputs'!Q$10*$I26,0))</f>
        <v>484.17746423467491</v>
      </c>
      <c r="AU26" s="214">
        <f>IF(AND(($E26+$C$1)&gt;AU$4,AU$4&gt;=$C$1),'General Inputs'!R$9*$H26,IF(AND(($D26+$C$1)&gt;AU$4,AU$4&gt;=$C$1),'General Inputs'!R$9*$G26,0))+IF(AND(($E26+$C$1)&gt;AU$4,AU$4&gt;=$C$1),'General Inputs'!R$10*$J26,IF(AND(($D26+$C$1)&gt;AU$4,AU$4&gt;=$C$1),'General Inputs'!R$10*$I26,0))</f>
        <v>491.440126198195</v>
      </c>
      <c r="AV26" s="214">
        <f>IF(AND(($E26+$C$1)&gt;AV$4,AV$4&gt;=$C$1),'General Inputs'!S$9*$H26,IF(AND(($D26+$C$1)&gt;AV$4,AV$4&gt;=$C$1),'General Inputs'!S$9*$G26,0))+IF(AND(($E26+$C$1)&gt;AV$4,AV$4&gt;=$C$1),'General Inputs'!S$10*$J26,IF(AND(($D26+$C$1)&gt;AV$4,AV$4&gt;=$C$1),'General Inputs'!S$10*$I26,0))</f>
        <v>498.81172809116788</v>
      </c>
      <c r="AW26" s="214">
        <f>IF(AND(($E26+$C$1)&gt;AW$4,AW$4&gt;=$C$1),'General Inputs'!T$9*$H26,IF(AND(($D26+$C$1)&gt;AW$4,AW$4&gt;=$C$1),'General Inputs'!T$9*$G26,0))+IF(AND(($E26+$C$1)&gt;AW$4,AW$4&gt;=$C$1),'General Inputs'!T$10*$J26,IF(AND(($D26+$C$1)&gt;AW$4,AW$4&gt;=$C$1),'General Inputs'!T$10*$I26,0))</f>
        <v>506.29390401253539</v>
      </c>
      <c r="AX26" s="214">
        <f>IF(AND(($E26+$C$1)&gt;AX$4,AX$4&gt;=$C$1),'General Inputs'!U$9*$H26,IF(AND(($D26+$C$1)&gt;AX$4,AX$4&gt;=$C$1),'General Inputs'!U$9*$G26,0))+IF(AND(($E26+$C$1)&gt;AX$4,AX$4&gt;=$C$1),'General Inputs'!U$10*$J26,IF(AND(($D26+$C$1)&gt;AX$4,AX$4&gt;=$C$1),'General Inputs'!U$10*$I26,0))</f>
        <v>0</v>
      </c>
      <c r="AY26" s="214">
        <f>IF(AND(($E26+$C$1)&gt;AY$4,AY$4&gt;=$C$1),'General Inputs'!V$9*$H26,IF(AND(($D26+$C$1)&gt;AY$4,AY$4&gt;=$C$1),'General Inputs'!V$9*$G26,0))+IF(AND(($E26+$C$1)&gt;AY$4,AY$4&gt;=$C$1),'General Inputs'!V$10*$J26,IF(AND(($D26+$C$1)&gt;AY$4,AY$4&gt;=$C$1),'General Inputs'!V$10*$I26,0))</f>
        <v>0</v>
      </c>
      <c r="AZ26" s="214">
        <f>IF(AND(($E26+$C$1)&gt;AZ$4,AZ$4&gt;=$C$1),'General Inputs'!W$9*$H26,IF(AND(($D26+$C$1)&gt;AZ$4,AZ$4&gt;=$C$1),'General Inputs'!W$9*$G26,0))+IF(AND(($E26+$C$1)&gt;AZ$4,AZ$4&gt;=$C$1),'General Inputs'!W$10*$J26,IF(AND(($D26+$C$1)&gt;AZ$4,AZ$4&gt;=$C$1),'General Inputs'!W$10*$I26,0))</f>
        <v>0</v>
      </c>
      <c r="BB26" s="214">
        <f>IF(AND(($E26+$C$1)&gt;BB$4,BB$4&gt;=$C$1),'General Inputs'!D$11*$H26,IF(AND(($D26+$C$1)&gt;BB$4,BB$4&gt;=$C$1),'General Inputs'!D$11*$G26,0))</f>
        <v>0</v>
      </c>
      <c r="BC26" s="214">
        <f>IF(AND(($E26+$C$1)&gt;BC$4,BC$4&gt;=$C$1),'General Inputs'!E$11*$H26,IF(AND(($D26+$C$1)&gt;BC$4,BC$4&gt;=$C$1),'General Inputs'!E$11*$G26,0))</f>
        <v>0</v>
      </c>
      <c r="BD26" s="214">
        <f>IF(AND(($E26+$C$1)&gt;BD$4,BD$4&gt;=$C$1),'General Inputs'!F$11*$H26,IF(AND(($D26+$C$1)&gt;BD$4,BD$4&gt;=$C$1),'General Inputs'!F$11*$G26,0))</f>
        <v>72.29049531567567</v>
      </c>
      <c r="BE26" s="214">
        <f>IF(AND(($E26+$C$1)&gt;BE$4,BE$4&gt;=$C$1),'General Inputs'!G$11*$H26,IF(AND(($D26+$C$1)&gt;BE$4,BE$4&gt;=$C$1),'General Inputs'!G$11*$G26,0))</f>
        <v>72.29049531567567</v>
      </c>
      <c r="BF26" s="214">
        <f>IF(AND(($E26+$C$1)&gt;BF$4,BF$4&gt;=$C$1),'General Inputs'!H$11*$H26,IF(AND(($D26+$C$1)&gt;BF$4,BF$4&gt;=$C$1),'General Inputs'!H$11*$G26,0))</f>
        <v>72.29049531567567</v>
      </c>
      <c r="BG26" s="214">
        <f>IF(AND(($E26+$C$1)&gt;BG$4,BG$4&gt;=$C$1),'General Inputs'!I$11*$H26,IF(AND(($D26+$C$1)&gt;BG$4,BG$4&gt;=$C$1),'General Inputs'!I$11*$G26,0))</f>
        <v>72.29049531567567</v>
      </c>
      <c r="BH26" s="214">
        <f>IF(AND(($E26+$C$1)&gt;BH$4,BH$4&gt;=$C$1),'General Inputs'!J$11*$H26,IF(AND(($D26+$C$1)&gt;BH$4,BH$4&gt;=$C$1),'General Inputs'!J$11*$G26,0))</f>
        <v>72.29049531567567</v>
      </c>
      <c r="BI26" s="214">
        <f>IF(AND(($E26+$C$1)&gt;BI$4,BI$4&gt;=$C$1),'General Inputs'!K$11*$H26,IF(AND(($D26+$C$1)&gt;BI$4,BI$4&gt;=$C$1),'General Inputs'!K$11*$G26,0))</f>
        <v>72.29049531567567</v>
      </c>
      <c r="BJ26" s="214">
        <f>IF(AND(($E26+$C$1)&gt;BJ$4,BJ$4&gt;=$C$1),'General Inputs'!L$11*$H26,IF(AND(($D26+$C$1)&gt;BJ$4,BJ$4&gt;=$C$1),'General Inputs'!L$11*$G26,0))</f>
        <v>72.29049531567567</v>
      </c>
      <c r="BK26" s="214">
        <f>IF(AND(($E26+$C$1)&gt;BK$4,BK$4&gt;=$C$1),'General Inputs'!M$11*$H26,IF(AND(($D26+$C$1)&gt;BK$4,BK$4&gt;=$C$1),'General Inputs'!M$11*$G26,0))</f>
        <v>72.29049531567567</v>
      </c>
      <c r="BL26" s="214">
        <f>IF(AND(($E26+$C$1)&gt;BL$4,BL$4&gt;=$C$1),'General Inputs'!N$11*$H26,IF(AND(($D26+$C$1)&gt;BL$4,BL$4&gt;=$C$1),'General Inputs'!N$11*$G26,0))</f>
        <v>72.29049531567567</v>
      </c>
      <c r="BM26" s="214">
        <f>IF(AND(($E26+$C$1)&gt;BM$4,BM$4&gt;=$C$1),'General Inputs'!O$11*$H26,IF(AND(($D26+$C$1)&gt;BM$4,BM$4&gt;=$C$1),'General Inputs'!O$11*$G26,0))</f>
        <v>72.29049531567567</v>
      </c>
      <c r="BN26" s="214">
        <f>IF(AND(($E26+$C$1)&gt;BN$4,BN$4&gt;=$C$1),'General Inputs'!P$11*$H26,IF(AND(($D26+$C$1)&gt;BN$4,BN$4&gt;=$C$1),'General Inputs'!P$11*$G26,0))</f>
        <v>72.29049531567567</v>
      </c>
      <c r="BO26" s="214">
        <f>IF(AND(($E26+$C$1)&gt;BO$4,BO$4&gt;=$C$1),'General Inputs'!Q$11*$H26,IF(AND(($D26+$C$1)&gt;BO$4,BO$4&gt;=$C$1),'General Inputs'!Q$11*$G26,0))</f>
        <v>72.29049531567567</v>
      </c>
      <c r="BP26" s="214">
        <f>IF(AND(($E26+$C$1)&gt;BP$4,BP$4&gt;=$C$1),'General Inputs'!R$11*$H26,IF(AND(($D26+$C$1)&gt;BP$4,BP$4&gt;=$C$1),'General Inputs'!R$11*$G26,0))</f>
        <v>72.29049531567567</v>
      </c>
      <c r="BQ26" s="214">
        <f>IF(AND(($E26+$C$1)&gt;BQ$4,BQ$4&gt;=$C$1),'General Inputs'!S$11*$H26,IF(AND(($D26+$C$1)&gt;BQ$4,BQ$4&gt;=$C$1),'General Inputs'!S$11*$G26,0))</f>
        <v>72.29049531567567</v>
      </c>
      <c r="BR26" s="214">
        <f>IF(AND(($E26+$C$1)&gt;BR$4,BR$4&gt;=$C$1),'General Inputs'!T$11*$H26,IF(AND(($D26+$C$1)&gt;BR$4,BR$4&gt;=$C$1),'General Inputs'!T$11*$G26,0))</f>
        <v>72.29049531567567</v>
      </c>
      <c r="BS26" s="214">
        <f>IF(AND(($E26+$C$1)&gt;BS$4,BS$4&gt;=$C$1),'General Inputs'!U$11*$H26,IF(AND(($D26+$C$1)&gt;BS$4,BS$4&gt;=$C$1),'General Inputs'!U$11*$G26,0))</f>
        <v>0</v>
      </c>
      <c r="BT26" s="214">
        <f>IF(AND(($E26+$C$1)&gt;BT$4,BT$4&gt;=$C$1),'General Inputs'!V$11*$H26,IF(AND(($D26+$C$1)&gt;BT$4,BT$4&gt;=$C$1),'General Inputs'!V$11*$G26,0))</f>
        <v>0</v>
      </c>
      <c r="BU26" s="214">
        <f>IF(AND(($E26+$C$1)&gt;BU$4,BU$4&gt;=$C$1),'General Inputs'!W$11*$H26,IF(AND(($D26+$C$1)&gt;BU$4,BU$4&gt;=$C$1),'General Inputs'!W$11*$G26,0))</f>
        <v>0</v>
      </c>
      <c r="BW26" s="214">
        <f>IF(AND(($E26+$C$1)&gt;BW$4,BW$4&gt;=$C$1),$H26,IF(AND(($D26+$C$1)&gt;BW$4,BW$4&gt;=$C$1),$G26,0))*IF($A26="Residential",'General Inputs'!D$14,'General Inputs'!D$19)</f>
        <v>0</v>
      </c>
      <c r="BX26" s="214">
        <f>IF(AND(($E26+$C$1)&gt;BX$4,BX$4&gt;=$C$1),$H26,IF(AND(($D26+$C$1)&gt;BX$4,BX$4&gt;=$C$1),$G26,0))*IF($A26="Residential",'General Inputs'!E$14,'General Inputs'!E$19)</f>
        <v>0</v>
      </c>
      <c r="BY26" s="214">
        <f>IF(AND(($E26+$C$1)&gt;BY$4,BY$4&gt;=$C$1),$H26,IF(AND(($D26+$C$1)&gt;BY$4,BY$4&gt;=$C$1),$G26,0))*IF($A26="Residential",'General Inputs'!F$14,'General Inputs'!F$19)</f>
        <v>876.91841491924242</v>
      </c>
      <c r="BZ26" s="214">
        <f>IF(AND(($E26+$C$1)&gt;BZ$4,BZ$4&gt;=$C$1),$H26,IF(AND(($D26+$C$1)&gt;BZ$4,BZ$4&gt;=$C$1),$G26,0))*IF($A26="Residential",'General Inputs'!G$14,'General Inputs'!G$19)</f>
        <v>890.07219114303086</v>
      </c>
      <c r="CA26" s="214">
        <f>IF(AND(($E26+$C$1)&gt;CA$4,CA$4&gt;=$C$1),$H26,IF(AND(($D26+$C$1)&gt;CA$4,CA$4&gt;=$C$1),$G26,0))*IF($A26="Residential",'General Inputs'!H$14,'General Inputs'!H$19)</f>
        <v>903.42327401017621</v>
      </c>
      <c r="CB26" s="214">
        <f>IF(AND(($E26+$C$1)&gt;CB$4,CB$4&gt;=$C$1),$H26,IF(AND(($D26+$C$1)&gt;CB$4,CB$4&gt;=$C$1),$G26,0))*IF($A26="Residential",'General Inputs'!I$14,'General Inputs'!I$19)</f>
        <v>916.97462312032883</v>
      </c>
      <c r="CC26" s="214">
        <f>IF(AND(($E26+$C$1)&gt;CC$4,CC$4&gt;=$C$1),$H26,IF(AND(($D26+$C$1)&gt;CC$4,CC$4&gt;=$C$1),$G26,0))*IF($A26="Residential",'General Inputs'!J$14,'General Inputs'!J$19)</f>
        <v>930.72924246713364</v>
      </c>
      <c r="CD26" s="214">
        <f>IF(AND(($E26+$C$1)&gt;CD$4,CD$4&gt;=$C$1),$H26,IF(AND(($D26+$C$1)&gt;CD$4,CD$4&gt;=$C$1),$G26,0))*IF($A26="Residential",'General Inputs'!K$14,'General Inputs'!K$19)</f>
        <v>944.69018110414049</v>
      </c>
      <c r="CE26" s="214">
        <f>IF(AND(($E26+$C$1)&gt;CE$4,CE$4&gt;=$C$1),$H26,IF(AND(($D26+$C$1)&gt;CE$4,CE$4&gt;=$C$1),$G26,0))*IF($A26="Residential",'General Inputs'!L$14,'General Inputs'!L$19)</f>
        <v>958.86053382070236</v>
      </c>
      <c r="CF26" s="214">
        <f>IF(AND(($E26+$C$1)&gt;CF$4,CF$4&gt;=$C$1),$H26,IF(AND(($D26+$C$1)&gt;CF$4,CF$4&gt;=$C$1),$G26,0))*IF($A26="Residential",'General Inputs'!M$14,'General Inputs'!M$19)</f>
        <v>973.24344182801292</v>
      </c>
      <c r="CG26" s="214">
        <f>IF(AND(($E26+$C$1)&gt;CG$4,CG$4&gt;=$C$1),$H26,IF(AND(($D26+$C$1)&gt;CG$4,CG$4&gt;=$C$1),$G26,0))*IF($A26="Residential",'General Inputs'!N$14,'General Inputs'!N$19)</f>
        <v>987.84209345543297</v>
      </c>
      <c r="CH26" s="214">
        <f>IF(AND(($E26+$C$1)&gt;CH$4,CH$4&gt;=$C$1),$H26,IF(AND(($D26+$C$1)&gt;CH$4,CH$4&gt;=$C$1),$G26,0))*IF($A26="Residential",'General Inputs'!O$14,'General Inputs'!O$19)</f>
        <v>1002.6597248572643</v>
      </c>
      <c r="CI26" s="214">
        <f>IF(AND(($E26+$C$1)&gt;CI$4,CI$4&gt;=$C$1),$H26,IF(AND(($D26+$C$1)&gt;CI$4,CI$4&gt;=$C$1),$G26,0))*IF($A26="Residential",'General Inputs'!P$14,'General Inputs'!P$19)</f>
        <v>1017.6996207301232</v>
      </c>
      <c r="CJ26" s="214">
        <f>IF(AND(($E26+$C$1)&gt;CJ$4,CJ$4&gt;=$C$1),$H26,IF(AND(($D26+$C$1)&gt;CJ$4,CJ$4&gt;=$C$1),$G26,0))*IF($A26="Residential",'General Inputs'!Q$14,'General Inputs'!Q$19)</f>
        <v>1032.965115041075</v>
      </c>
      <c r="CK26" s="214">
        <f>IF(AND(($E26+$C$1)&gt;CK$4,CK$4&gt;=$C$1),$H26,IF(AND(($D26+$C$1)&gt;CK$4,CK$4&gt;=$C$1),$G26,0))*IF($A26="Residential",'General Inputs'!R$14,'General Inputs'!R$19)</f>
        <v>1048.4595917666909</v>
      </c>
      <c r="CL26" s="214">
        <f>IF(AND(($E26+$C$1)&gt;CL$4,CL$4&gt;=$C$1),$H26,IF(AND(($D26+$C$1)&gt;CL$4,CL$4&gt;=$C$1),$G26,0))*IF($A26="Residential",'General Inputs'!S$14,'General Inputs'!S$19)</f>
        <v>1064.1864856431912</v>
      </c>
      <c r="CM26" s="214">
        <f>IF(AND(($E26+$C$1)&gt;CM$4,CM$4&gt;=$C$1),$H26,IF(AND(($D26+$C$1)&gt;CM$4,CM$4&gt;=$C$1),$G26,0))*IF($A26="Residential",'General Inputs'!T$14,'General Inputs'!T$19)</f>
        <v>1080.1492829278391</v>
      </c>
      <c r="CN26" s="214">
        <f>IF(AND(($E26+$C$1)&gt;CN$4,CN$4&gt;=$C$1),$H26,IF(AND(($D26+$C$1)&gt;CN$4,CN$4&gt;=$C$1),$G26,0))*IF($A26="Residential",'General Inputs'!U$14,'General Inputs'!U$19)</f>
        <v>0</v>
      </c>
      <c r="CO26" s="214">
        <f>IF(AND(($E26+$C$1)&gt;CO$4,CO$4&gt;=$C$1),$H26,IF(AND(($D26+$C$1)&gt;CO$4,CO$4&gt;=$C$1),$G26,0))*IF($A26="Residential",'General Inputs'!V$14,'General Inputs'!V$19)</f>
        <v>0</v>
      </c>
      <c r="CP26" s="214">
        <f>IF(AND(($E26+$C$1)&gt;CP$4,CP$4&gt;=$C$1),$H26,IF(AND(($D26+$C$1)&gt;CP$4,CP$4&gt;=$C$1),$G26,0))*IF($A26="Residential",'General Inputs'!W$14,'General Inputs'!W$19)</f>
        <v>0</v>
      </c>
      <c r="CR26" s="214">
        <f>IF(AND(($E26+$C$1)&gt;CR$4,CR$4&gt;=$C$1),$H26,IF(AND(($D26+$C$1)&gt;CR$4,CR$4&gt;=$C$1),$G26,0))*IF($A26="Residential",'General Inputs'!D$15,'General Inputs'!D$19)</f>
        <v>0</v>
      </c>
      <c r="CS26" s="214">
        <f>IF(AND(($E26+$C$1)&gt;CS$4,CS$4&gt;=$C$1),$H26,IF(AND(($D26+$C$1)&gt;CS$4,CS$4&gt;=$C$1),$G26,0))*IF($A26="Residential",'General Inputs'!E$15,'General Inputs'!E$19)</f>
        <v>0</v>
      </c>
      <c r="CT26" s="214">
        <f>IF(AND(($E26+$C$1)&gt;CT$4,CT$4&gt;=$C$1),$H26,IF(AND(($D26+$C$1)&gt;CT$4,CT$4&gt;=$C$1),$G26,0))*IF($A26="Residential",'General Inputs'!F$15,'General Inputs'!F$19)</f>
        <v>713.38039126504066</v>
      </c>
      <c r="CU26" s="214">
        <f>IF(AND(($E26+$C$1)&gt;CU$4,CU$4&gt;=$C$1),$H26,IF(AND(($D26+$C$1)&gt;CU$4,CU$4&gt;=$C$1),$G26,0))*IF($A26="Residential",'General Inputs'!G$15,'General Inputs'!G$19)</f>
        <v>724.0810971340162</v>
      </c>
      <c r="CV26" s="214">
        <f>IF(AND(($E26+$C$1)&gt;CV$4,CV$4&gt;=$C$1),$H26,IF(AND(($D26+$C$1)&gt;CV$4,CV$4&gt;=$C$1),$G26,0))*IF($A26="Residential",'General Inputs'!H$15,'General Inputs'!H$19)</f>
        <v>734.94231359102639</v>
      </c>
      <c r="CW26" s="214">
        <f>IF(AND(($E26+$C$1)&gt;CW$4,CW$4&gt;=$C$1),$H26,IF(AND(($D26+$C$1)&gt;CW$4,CW$4&gt;=$C$1),$G26,0))*IF($A26="Residential",'General Inputs'!I$15,'General Inputs'!I$19)</f>
        <v>745.96644829489173</v>
      </c>
      <c r="CX26" s="214">
        <f>IF(AND(($E26+$C$1)&gt;CX$4,CX$4&gt;=$C$1),$H26,IF(AND(($D26+$C$1)&gt;CX$4,CX$4&gt;=$C$1),$G26,0))*IF($A26="Residential",'General Inputs'!J$15,'General Inputs'!J$19)</f>
        <v>757.15594501931503</v>
      </c>
      <c r="CY26" s="214">
        <f>IF(AND(($E26+$C$1)&gt;CY$4,CY$4&gt;=$C$1),$H26,IF(AND(($D26+$C$1)&gt;CY$4,CY$4&gt;=$C$1),$G26,0))*IF($A26="Residential",'General Inputs'!K$15,'General Inputs'!K$19)</f>
        <v>768.51328419460458</v>
      </c>
      <c r="CZ26" s="214">
        <f>IF(AND(($E26+$C$1)&gt;CZ$4,CZ$4&gt;=$C$1),$H26,IF(AND(($D26+$C$1)&gt;CZ$4,CZ$4&gt;=$C$1),$G26,0))*IF($A26="Residential",'General Inputs'!L$15,'General Inputs'!L$19)</f>
        <v>780.04098345752357</v>
      </c>
      <c r="DA26" s="214">
        <f>IF(AND(($E26+$C$1)&gt;DA$4,DA$4&gt;=$C$1),$H26,IF(AND(($D26+$C$1)&gt;DA$4,DA$4&gt;=$C$1),$G26,0))*IF($A26="Residential",'General Inputs'!M$15,'General Inputs'!M$19)</f>
        <v>791.74159820938632</v>
      </c>
      <c r="DB26" s="214">
        <f>IF(AND(($E26+$C$1)&gt;DB$4,DB$4&gt;=$C$1),$H26,IF(AND(($D26+$C$1)&gt;DB$4,DB$4&gt;=$C$1),$G26,0))*IF($A26="Residential",'General Inputs'!N$15,'General Inputs'!N$19)</f>
        <v>803.61772218252702</v>
      </c>
      <c r="DC26" s="214">
        <f>IF(AND(($E26+$C$1)&gt;DC$4,DC$4&gt;=$C$1),$H26,IF(AND(($D26+$C$1)&gt;DC$4,DC$4&gt;=$C$1),$G26,0))*IF($A26="Residential",'General Inputs'!O$15,'General Inputs'!O$19)</f>
        <v>815.67198801526479</v>
      </c>
      <c r="DD26" s="214">
        <f>IF(AND(($E26+$C$1)&gt;DD$4,DD$4&gt;=$C$1),$H26,IF(AND(($D26+$C$1)&gt;DD$4,DD$4&gt;=$C$1),$G26,0))*IF($A26="Residential",'General Inputs'!P$15,'General Inputs'!P$19)</f>
        <v>827.90706783549376</v>
      </c>
      <c r="DE26" s="214">
        <f>IF(AND(($E26+$C$1)&gt;DE$4,DE$4&gt;=$C$1),$H26,IF(AND(($D26+$C$1)&gt;DE$4,DE$4&gt;=$C$1),$G26,0))*IF($A26="Residential",'General Inputs'!Q$15,'General Inputs'!Q$19)</f>
        <v>840.32567385302616</v>
      </c>
      <c r="DF26" s="214">
        <f>IF(AND(($E26+$C$1)&gt;DF$4,DF$4&gt;=$C$1),$H26,IF(AND(($D26+$C$1)&gt;DF$4,DF$4&gt;=$C$1),$G26,0))*IF($A26="Residential",'General Inputs'!R$15,'General Inputs'!R$19)</f>
        <v>852.93055896082149</v>
      </c>
      <c r="DG26" s="214">
        <f>IF(AND(($E26+$C$1)&gt;DG$4,DG$4&gt;=$C$1),$H26,IF(AND(($D26+$C$1)&gt;DG$4,DG$4&gt;=$C$1),$G26,0))*IF($A26="Residential",'General Inputs'!S$15,'General Inputs'!S$19)</f>
        <v>865.72451734523361</v>
      </c>
      <c r="DH26" s="214">
        <f>IF(AND(($E26+$C$1)&gt;DH$4,DH$4&gt;=$C$1),$H26,IF(AND(($D26+$C$1)&gt;DH$4,DH$4&gt;=$C$1),$G26,0))*IF($A26="Residential",'General Inputs'!T$15,'General Inputs'!T$19)</f>
        <v>878.71038510541212</v>
      </c>
      <c r="DI26" s="214">
        <f>IF(AND(($E26+$C$1)&gt;DI$4,DI$4&gt;=$C$1),$H26,IF(AND(($D26+$C$1)&gt;DI$4,DI$4&gt;=$C$1),$G26,0))*IF($A26="Residential",'General Inputs'!U$15,'General Inputs'!U$19)</f>
        <v>0</v>
      </c>
      <c r="DJ26" s="214">
        <f>IF(AND(($E26+$C$1)&gt;DJ$4,DJ$4&gt;=$C$1),$H26,IF(AND(($D26+$C$1)&gt;DJ$4,DJ$4&gt;=$C$1),$G26,0))*IF($A26="Residential",'General Inputs'!V$15,'General Inputs'!V$19)</f>
        <v>0</v>
      </c>
      <c r="DK26" s="214">
        <f>IF(AND(($E26+$C$1)&gt;DK$4,DK$4&gt;=$C$1),$H26,IF(AND(($D26+$C$1)&gt;DK$4,DK$4&gt;=$C$1),$G26,0))*IF($A26="Residential",'General Inputs'!W$15,'General Inputs'!W$19)</f>
        <v>0</v>
      </c>
      <c r="DM26" s="214">
        <f t="shared" si="47"/>
        <v>0</v>
      </c>
      <c r="DN26" s="214">
        <f t="shared" si="27"/>
        <v>0</v>
      </c>
      <c r="DO26" s="214">
        <f t="shared" si="27"/>
        <v>0</v>
      </c>
      <c r="DP26" s="214">
        <f t="shared" si="27"/>
        <v>0</v>
      </c>
      <c r="DQ26" s="214">
        <f t="shared" si="27"/>
        <v>0</v>
      </c>
      <c r="DR26" s="214">
        <f t="shared" si="27"/>
        <v>0</v>
      </c>
      <c r="DS26" s="214">
        <f t="shared" si="27"/>
        <v>0</v>
      </c>
      <c r="DT26" s="214">
        <f t="shared" si="27"/>
        <v>0</v>
      </c>
      <c r="DU26" s="214">
        <f t="shared" si="27"/>
        <v>0</v>
      </c>
      <c r="DV26" s="214">
        <f t="shared" si="27"/>
        <v>0</v>
      </c>
      <c r="DW26" s="214">
        <f t="shared" si="27"/>
        <v>0</v>
      </c>
      <c r="DZ26" s="650"/>
      <c r="FI26" s="195"/>
      <c r="FJ26" s="195"/>
      <c r="FK26" s="195"/>
      <c r="FL26" s="195"/>
      <c r="FM26" s="195"/>
      <c r="FN26" s="195"/>
      <c r="FO26" s="195"/>
    </row>
    <row r="27" spans="1:171">
      <c r="A27" s="342" t="s">
        <v>12</v>
      </c>
      <c r="B27" s="427" t="str">
        <f>'Portfolio Inputs'!A26</f>
        <v>CFL</v>
      </c>
      <c r="C27" s="217">
        <f>IF($C$1=2014,'Portfolio Inputs'!$C26,IF($C$1=2015,'Portfolio Inputs'!$D26,'Portfolio Inputs'!$E26))</f>
        <v>500</v>
      </c>
      <c r="D27" s="504">
        <f>VLOOKUP(B27,Sources!$B$4:$J$104,2,FALSE)</f>
        <v>5</v>
      </c>
      <c r="E27" s="504">
        <f>VLOOKUP(B27,Sources!$B$4:$J$104,3,FALSE)</f>
        <v>0</v>
      </c>
      <c r="G27" s="504">
        <f>IF($C$1=2014,'Portfolio Inputs'!$G26,IF($C$1=2015,'Portfolio Inputs'!$H26,'Portfolio Inputs'!$I26))*EnergyLineLoss</f>
        <v>16047.414544499999</v>
      </c>
      <c r="H27" s="504"/>
      <c r="I27" s="504">
        <f>IF($C$1=2014,'Portfolio Inputs'!$K26,IF($C$1=2015,'Portfolio Inputs'!$L26,'Portfolio Inputs'!$M26))*PeakLineLoss</f>
        <v>1.4579132107499999</v>
      </c>
      <c r="J27" s="510"/>
      <c r="L27" s="606">
        <f>IF($C$1=2014,'Portfolio Inputs'!$O26,IF($C$1=2015,'Portfolio Inputs'!$P26,'Portfolio Inputs'!$Q26))</f>
        <v>0</v>
      </c>
      <c r="M27" s="518">
        <f>VLOOKUP($B27,Sources!$B$4:$K$104,10,FALSE)</f>
        <v>0</v>
      </c>
      <c r="N27" s="419">
        <f>IF($C$1=2014,'Portfolio Inputs'!$W26,IF($C$1=2015,'Portfolio Inputs'!$X26,'Portfolio Inputs'!$Y26))</f>
        <v>0</v>
      </c>
      <c r="O27" s="419"/>
      <c r="Q27" s="438" t="str">
        <f t="shared" si="67"/>
        <v>n/a</v>
      </c>
      <c r="R27" s="439" t="str">
        <f t="shared" si="68"/>
        <v>n/a</v>
      </c>
      <c r="S27" s="439" t="str">
        <f t="shared" si="69"/>
        <v>n/a</v>
      </c>
      <c r="T27" s="439" t="str">
        <f t="shared" si="70"/>
        <v>n/a</v>
      </c>
      <c r="U27" s="439" t="str">
        <f t="shared" si="71"/>
        <v>n/a</v>
      </c>
      <c r="V27" s="439">
        <f t="shared" si="72"/>
        <v>0.30673139843962105</v>
      </c>
      <c r="W27" s="439">
        <f t="shared" si="73"/>
        <v>0.37704766632098541</v>
      </c>
      <c r="Y27" s="215">
        <f t="shared" si="4"/>
        <v>2510.7819149528277</v>
      </c>
      <c r="Z27" s="215">
        <f t="shared" si="5"/>
        <v>656.50384434762896</v>
      </c>
      <c r="AA27" s="215">
        <f t="shared" si="6"/>
        <v>8185.6044986769293</v>
      </c>
      <c r="AB27" s="215">
        <f t="shared" si="7"/>
        <v>6659.0570350205207</v>
      </c>
      <c r="AC27" s="216">
        <f t="shared" si="20"/>
        <v>0</v>
      </c>
      <c r="AD27" s="216">
        <f t="shared" si="21"/>
        <v>0</v>
      </c>
      <c r="AE27" s="215">
        <f t="shared" si="8"/>
        <v>0</v>
      </c>
      <c r="AG27" s="214">
        <f>IF(AND(($E27+$C$1)&gt;AG$4,AG$4&gt;=$C$1),'General Inputs'!D$9*$H27,IF(AND(($D27+$C$1)&gt;AG$4,AG$4&gt;=$C$1),'General Inputs'!D$9*$G27,0))+IF(AND(($E27+$C$1)&gt;AG$4,AG$4&gt;=$C$1),'General Inputs'!D$10*$J27,IF(AND(($D27+$C$1)&gt;AG$4,AG$4&gt;=$C$1),'General Inputs'!D$10*$I27,0))</f>
        <v>0</v>
      </c>
      <c r="AH27" s="214">
        <f>IF(AND(($E27+$C$1)&gt;AH$4,AH$4&gt;=$C$1),'General Inputs'!E$9*$H27,IF(AND(($D27+$C$1)&gt;AH$4,AH$4&gt;=$C$1),'General Inputs'!E$9*$G27,0))+IF(AND(($E27+$C$1)&gt;AH$4,AH$4&gt;=$C$1),'General Inputs'!E$10*$J27,IF(AND(($D27+$C$1)&gt;AH$4,AH$4&gt;=$C$1),'General Inputs'!E$10*$I27,0))</f>
        <v>0</v>
      </c>
      <c r="AI27" s="214">
        <f>IF(AND(($E27+$C$1)&gt;AI$4,AI$4&gt;=$C$1),'General Inputs'!F$9*$H27,IF(AND(($D27+$C$1)&gt;AI$4,AI$4&gt;=$C$1),'General Inputs'!F$9*$G27,0))+IF(AND(($E27+$C$1)&gt;AI$4,AI$4&gt;=$C$1),'General Inputs'!F$10*$J27,IF(AND(($D27+$C$1)&gt;AI$4,AI$4&gt;=$C$1),'General Inputs'!F$10*$I27,0))</f>
        <v>680.68494837425624</v>
      </c>
      <c r="AJ27" s="214">
        <f>IF(AND(($E27+$C$1)&gt;AJ$4,AJ$4&gt;=$C$1),'General Inputs'!G$9*$H27,IF(AND(($D27+$C$1)&gt;AJ$4,AJ$4&gt;=$C$1),'General Inputs'!G$9*$G27,0))+IF(AND(($E27+$C$1)&gt;AJ$4,AJ$4&gt;=$C$1),'General Inputs'!G$10*$J27,IF(AND(($D27+$C$1)&gt;AJ$4,AJ$4&gt;=$C$1),'General Inputs'!G$10*$I27,0))</f>
        <v>690.89522259986995</v>
      </c>
      <c r="AK27" s="214">
        <f>IF(AND(($E27+$C$1)&gt;AK$4,AK$4&gt;=$C$1),'General Inputs'!H$9*$H27,IF(AND(($D27+$C$1)&gt;AK$4,AK$4&gt;=$C$1),'General Inputs'!H$9*$G27,0))+IF(AND(($E27+$C$1)&gt;AK$4,AK$4&gt;=$C$1),'General Inputs'!H$10*$J27,IF(AND(($D27+$C$1)&gt;AK$4,AK$4&gt;=$C$1),'General Inputs'!H$10*$I27,0))</f>
        <v>701.25865093886785</v>
      </c>
      <c r="AL27" s="214">
        <f>IF(AND(($E27+$C$1)&gt;AL$4,AL$4&gt;=$C$1),'General Inputs'!I$9*$H27,IF(AND(($D27+$C$1)&gt;AL$4,AL$4&gt;=$C$1),'General Inputs'!I$9*$G27,0))+IF(AND(($E27+$C$1)&gt;AL$4,AL$4&gt;=$C$1),'General Inputs'!I$10*$J27,IF(AND(($D27+$C$1)&gt;AL$4,AL$4&gt;=$C$1),'General Inputs'!I$10*$I27,0))</f>
        <v>711.7775307029508</v>
      </c>
      <c r="AM27" s="214">
        <f>IF(AND(($E27+$C$1)&gt;AM$4,AM$4&gt;=$C$1),'General Inputs'!J$9*$H27,IF(AND(($D27+$C$1)&gt;AM$4,AM$4&gt;=$C$1),'General Inputs'!J$9*$G27,0))+IF(AND(($E27+$C$1)&gt;AM$4,AM$4&gt;=$C$1),'General Inputs'!J$10*$J27,IF(AND(($D27+$C$1)&gt;AM$4,AM$4&gt;=$C$1),'General Inputs'!J$10*$I27,0))</f>
        <v>722.45419366349495</v>
      </c>
      <c r="AN27" s="214">
        <f>IF(AND(($E27+$C$1)&gt;AN$4,AN$4&gt;=$C$1),'General Inputs'!K$9*$H27,IF(AND(($D27+$C$1)&gt;AN$4,AN$4&gt;=$C$1),'General Inputs'!K$9*$G27,0))+IF(AND(($E27+$C$1)&gt;AN$4,AN$4&gt;=$C$1),'General Inputs'!K$10*$J27,IF(AND(($D27+$C$1)&gt;AN$4,AN$4&gt;=$C$1),'General Inputs'!K$10*$I27,0))</f>
        <v>0</v>
      </c>
      <c r="AO27" s="214">
        <f>IF(AND(($E27+$C$1)&gt;AO$4,AO$4&gt;=$C$1),'General Inputs'!L$9*$H27,IF(AND(($D27+$C$1)&gt;AO$4,AO$4&gt;=$C$1),'General Inputs'!L$9*$G27,0))+IF(AND(($E27+$C$1)&gt;AO$4,AO$4&gt;=$C$1),'General Inputs'!L$10*$J27,IF(AND(($D27+$C$1)&gt;AO$4,AO$4&gt;=$C$1),'General Inputs'!L$10*$I27,0))</f>
        <v>0</v>
      </c>
      <c r="AP27" s="214">
        <f>IF(AND(($E27+$C$1)&gt;AP$4,AP$4&gt;=$C$1),'General Inputs'!M$9*$H27,IF(AND(($D27+$C$1)&gt;AP$4,AP$4&gt;=$C$1),'General Inputs'!M$9*$G27,0))+IF(AND(($E27+$C$1)&gt;AP$4,AP$4&gt;=$C$1),'General Inputs'!M$10*$J27,IF(AND(($D27+$C$1)&gt;AP$4,AP$4&gt;=$C$1),'General Inputs'!M$10*$I27,0))</f>
        <v>0</v>
      </c>
      <c r="AQ27" s="214">
        <f>IF(AND(($E27+$C$1)&gt;AQ$4,AQ$4&gt;=$C$1),'General Inputs'!N$9*$H27,IF(AND(($D27+$C$1)&gt;AQ$4,AQ$4&gt;=$C$1),'General Inputs'!N$9*$G27,0))+IF(AND(($E27+$C$1)&gt;AQ$4,AQ$4&gt;=$C$1),'General Inputs'!N$10*$J27,IF(AND(($D27+$C$1)&gt;AQ$4,AQ$4&gt;=$C$1),'General Inputs'!N$10*$I27,0))</f>
        <v>0</v>
      </c>
      <c r="AR27" s="214">
        <f>IF(AND(($E27+$C$1)&gt;AR$4,AR$4&gt;=$C$1),'General Inputs'!O$9*$H27,IF(AND(($D27+$C$1)&gt;AR$4,AR$4&gt;=$C$1),'General Inputs'!O$9*$G27,0))+IF(AND(($E27+$C$1)&gt;AR$4,AR$4&gt;=$C$1),'General Inputs'!O$10*$J27,IF(AND(($D27+$C$1)&gt;AR$4,AR$4&gt;=$C$1),'General Inputs'!O$10*$I27,0))</f>
        <v>0</v>
      </c>
      <c r="AS27" s="214">
        <f>IF(AND(($E27+$C$1)&gt;AS$4,AS$4&gt;=$C$1),'General Inputs'!P$9*$H27,IF(AND(($D27+$C$1)&gt;AS$4,AS$4&gt;=$C$1),'General Inputs'!P$9*$G27,0))+IF(AND(($E27+$C$1)&gt;AS$4,AS$4&gt;=$C$1),'General Inputs'!P$10*$J27,IF(AND(($D27+$C$1)&gt;AS$4,AS$4&gt;=$C$1),'General Inputs'!P$10*$I27,0))</f>
        <v>0</v>
      </c>
      <c r="AT27" s="214">
        <f>IF(AND(($E27+$C$1)&gt;AT$4,AT$4&gt;=$C$1),'General Inputs'!Q$9*$H27,IF(AND(($D27+$C$1)&gt;AT$4,AT$4&gt;=$C$1),'General Inputs'!Q$9*$G27,0))+IF(AND(($E27+$C$1)&gt;AT$4,AT$4&gt;=$C$1),'General Inputs'!Q$10*$J27,IF(AND(($D27+$C$1)&gt;AT$4,AT$4&gt;=$C$1),'General Inputs'!Q$10*$I27,0))</f>
        <v>0</v>
      </c>
      <c r="AU27" s="214">
        <f>IF(AND(($E27+$C$1)&gt;AU$4,AU$4&gt;=$C$1),'General Inputs'!R$9*$H27,IF(AND(($D27+$C$1)&gt;AU$4,AU$4&gt;=$C$1),'General Inputs'!R$9*$G27,0))+IF(AND(($E27+$C$1)&gt;AU$4,AU$4&gt;=$C$1),'General Inputs'!R$10*$J27,IF(AND(($D27+$C$1)&gt;AU$4,AU$4&gt;=$C$1),'General Inputs'!R$10*$I27,0))</f>
        <v>0</v>
      </c>
      <c r="AV27" s="214">
        <f>IF(AND(($E27+$C$1)&gt;AV$4,AV$4&gt;=$C$1),'General Inputs'!S$9*$H27,IF(AND(($D27+$C$1)&gt;AV$4,AV$4&gt;=$C$1),'General Inputs'!S$9*$G27,0))+IF(AND(($E27+$C$1)&gt;AV$4,AV$4&gt;=$C$1),'General Inputs'!S$10*$J27,IF(AND(($D27+$C$1)&gt;AV$4,AV$4&gt;=$C$1),'General Inputs'!S$10*$I27,0))</f>
        <v>0</v>
      </c>
      <c r="AW27" s="214">
        <f>IF(AND(($E27+$C$1)&gt;AW$4,AW$4&gt;=$C$1),'General Inputs'!T$9*$H27,IF(AND(($D27+$C$1)&gt;AW$4,AW$4&gt;=$C$1),'General Inputs'!T$9*$G27,0))+IF(AND(($E27+$C$1)&gt;AW$4,AW$4&gt;=$C$1),'General Inputs'!T$10*$J27,IF(AND(($D27+$C$1)&gt;AW$4,AW$4&gt;=$C$1),'General Inputs'!T$10*$I27,0))</f>
        <v>0</v>
      </c>
      <c r="AX27" s="214">
        <f>IF(AND(($E27+$C$1)&gt;AX$4,AX$4&gt;=$C$1),'General Inputs'!U$9*$H27,IF(AND(($D27+$C$1)&gt;AX$4,AX$4&gt;=$C$1),'General Inputs'!U$9*$G27,0))+IF(AND(($E27+$C$1)&gt;AX$4,AX$4&gt;=$C$1),'General Inputs'!U$10*$J27,IF(AND(($D27+$C$1)&gt;AX$4,AX$4&gt;=$C$1),'General Inputs'!U$10*$I27,0))</f>
        <v>0</v>
      </c>
      <c r="AY27" s="214">
        <f>IF(AND(($E27+$C$1)&gt;AY$4,AY$4&gt;=$C$1),'General Inputs'!V$9*$H27,IF(AND(($D27+$C$1)&gt;AY$4,AY$4&gt;=$C$1),'General Inputs'!V$9*$G27,0))+IF(AND(($E27+$C$1)&gt;AY$4,AY$4&gt;=$C$1),'General Inputs'!V$10*$J27,IF(AND(($D27+$C$1)&gt;AY$4,AY$4&gt;=$C$1),'General Inputs'!V$10*$I27,0))</f>
        <v>0</v>
      </c>
      <c r="AZ27" s="214">
        <f>IF(AND(($E27+$C$1)&gt;AZ$4,AZ$4&gt;=$C$1),'General Inputs'!W$9*$H27,IF(AND(($D27+$C$1)&gt;AZ$4,AZ$4&gt;=$C$1),'General Inputs'!W$9*$G27,0))+IF(AND(($E27+$C$1)&gt;AZ$4,AZ$4&gt;=$C$1),'General Inputs'!W$10*$J27,IF(AND(($D27+$C$1)&gt;AZ$4,AZ$4&gt;=$C$1),'General Inputs'!W$10*$I27,0))</f>
        <v>0</v>
      </c>
      <c r="BB27" s="214">
        <f>IF(AND(($E27+$C$1)&gt;BB$4,BB$4&gt;=$C$1),'General Inputs'!D$11*$H27,IF(AND(($D27+$C$1)&gt;BB$4,BB$4&gt;=$C$1),'General Inputs'!D$11*$G27,0))</f>
        <v>0</v>
      </c>
      <c r="BC27" s="214">
        <f>IF(AND(($E27+$C$1)&gt;BC$4,BC$4&gt;=$C$1),'General Inputs'!E$11*$H27,IF(AND(($D27+$C$1)&gt;BC$4,BC$4&gt;=$C$1),'General Inputs'!E$11*$G27,0))</f>
        <v>0</v>
      </c>
      <c r="BD27" s="214">
        <f>IF(AND(($E27+$C$1)&gt;BD$4,BD$4&gt;=$C$1),'General Inputs'!F$11*$H27,IF(AND(($D27+$C$1)&gt;BD$4,BD$4&gt;=$C$1),'General Inputs'!F$11*$G27,0))</f>
        <v>182.94052580729999</v>
      </c>
      <c r="BE27" s="214">
        <f>IF(AND(($E27+$C$1)&gt;BE$4,BE$4&gt;=$C$1),'General Inputs'!G$11*$H27,IF(AND(($D27+$C$1)&gt;BE$4,BE$4&gt;=$C$1),'General Inputs'!G$11*$G27,0))</f>
        <v>182.94052580729999</v>
      </c>
      <c r="BF27" s="214">
        <f>IF(AND(($E27+$C$1)&gt;BF$4,BF$4&gt;=$C$1),'General Inputs'!H$11*$H27,IF(AND(($D27+$C$1)&gt;BF$4,BF$4&gt;=$C$1),'General Inputs'!H$11*$G27,0))</f>
        <v>182.94052580729999</v>
      </c>
      <c r="BG27" s="214">
        <f>IF(AND(($E27+$C$1)&gt;BG$4,BG$4&gt;=$C$1),'General Inputs'!I$11*$H27,IF(AND(($D27+$C$1)&gt;BG$4,BG$4&gt;=$C$1),'General Inputs'!I$11*$G27,0))</f>
        <v>182.94052580729999</v>
      </c>
      <c r="BH27" s="214">
        <f>IF(AND(($E27+$C$1)&gt;BH$4,BH$4&gt;=$C$1),'General Inputs'!J$11*$H27,IF(AND(($D27+$C$1)&gt;BH$4,BH$4&gt;=$C$1),'General Inputs'!J$11*$G27,0))</f>
        <v>182.94052580729999</v>
      </c>
      <c r="BI27" s="214">
        <f>IF(AND(($E27+$C$1)&gt;BI$4,BI$4&gt;=$C$1),'General Inputs'!K$11*$H27,IF(AND(($D27+$C$1)&gt;BI$4,BI$4&gt;=$C$1),'General Inputs'!K$11*$G27,0))</f>
        <v>0</v>
      </c>
      <c r="BJ27" s="214">
        <f>IF(AND(($E27+$C$1)&gt;BJ$4,BJ$4&gt;=$C$1),'General Inputs'!L$11*$H27,IF(AND(($D27+$C$1)&gt;BJ$4,BJ$4&gt;=$C$1),'General Inputs'!L$11*$G27,0))</f>
        <v>0</v>
      </c>
      <c r="BK27" s="214">
        <f>IF(AND(($E27+$C$1)&gt;BK$4,BK$4&gt;=$C$1),'General Inputs'!M$11*$H27,IF(AND(($D27+$C$1)&gt;BK$4,BK$4&gt;=$C$1),'General Inputs'!M$11*$G27,0))</f>
        <v>0</v>
      </c>
      <c r="BL27" s="214">
        <f>IF(AND(($E27+$C$1)&gt;BL$4,BL$4&gt;=$C$1),'General Inputs'!N$11*$H27,IF(AND(($D27+$C$1)&gt;BL$4,BL$4&gt;=$C$1),'General Inputs'!N$11*$G27,0))</f>
        <v>0</v>
      </c>
      <c r="BM27" s="214">
        <f>IF(AND(($E27+$C$1)&gt;BM$4,BM$4&gt;=$C$1),'General Inputs'!O$11*$H27,IF(AND(($D27+$C$1)&gt;BM$4,BM$4&gt;=$C$1),'General Inputs'!O$11*$G27,0))</f>
        <v>0</v>
      </c>
      <c r="BN27" s="214">
        <f>IF(AND(($E27+$C$1)&gt;BN$4,BN$4&gt;=$C$1),'General Inputs'!P$11*$H27,IF(AND(($D27+$C$1)&gt;BN$4,BN$4&gt;=$C$1),'General Inputs'!P$11*$G27,0))</f>
        <v>0</v>
      </c>
      <c r="BO27" s="214">
        <f>IF(AND(($E27+$C$1)&gt;BO$4,BO$4&gt;=$C$1),'General Inputs'!Q$11*$H27,IF(AND(($D27+$C$1)&gt;BO$4,BO$4&gt;=$C$1),'General Inputs'!Q$11*$G27,0))</f>
        <v>0</v>
      </c>
      <c r="BP27" s="214">
        <f>IF(AND(($E27+$C$1)&gt;BP$4,BP$4&gt;=$C$1),'General Inputs'!R$11*$H27,IF(AND(($D27+$C$1)&gt;BP$4,BP$4&gt;=$C$1),'General Inputs'!R$11*$G27,0))</f>
        <v>0</v>
      </c>
      <c r="BQ27" s="214">
        <f>IF(AND(($E27+$C$1)&gt;BQ$4,BQ$4&gt;=$C$1),'General Inputs'!S$11*$H27,IF(AND(($D27+$C$1)&gt;BQ$4,BQ$4&gt;=$C$1),'General Inputs'!S$11*$G27,0))</f>
        <v>0</v>
      </c>
      <c r="BR27" s="214">
        <f>IF(AND(($E27+$C$1)&gt;BR$4,BR$4&gt;=$C$1),'General Inputs'!T$11*$H27,IF(AND(($D27+$C$1)&gt;BR$4,BR$4&gt;=$C$1),'General Inputs'!T$11*$G27,0))</f>
        <v>0</v>
      </c>
      <c r="BS27" s="214">
        <f>IF(AND(($E27+$C$1)&gt;BS$4,BS$4&gt;=$C$1),'General Inputs'!U$11*$H27,IF(AND(($D27+$C$1)&gt;BS$4,BS$4&gt;=$C$1),'General Inputs'!U$11*$G27,0))</f>
        <v>0</v>
      </c>
      <c r="BT27" s="214">
        <f>IF(AND(($E27+$C$1)&gt;BT$4,BT$4&gt;=$C$1),'General Inputs'!V$11*$H27,IF(AND(($D27+$C$1)&gt;BT$4,BT$4&gt;=$C$1),'General Inputs'!V$11*$G27,0))</f>
        <v>0</v>
      </c>
      <c r="BU27" s="214">
        <f>IF(AND(($E27+$C$1)&gt;BU$4,BU$4&gt;=$C$1),'General Inputs'!W$11*$H27,IF(AND(($D27+$C$1)&gt;BU$4,BU$4&gt;=$C$1),'General Inputs'!W$11*$G27,0))</f>
        <v>0</v>
      </c>
      <c r="BW27" s="214">
        <f>IF(AND(($E27+$C$1)&gt;BW$4,BW$4&gt;=$C$1),$H27,IF(AND(($D27+$C$1)&gt;BW$4,BW$4&gt;=$C$1),$G27,0))*IF($A27="Residential",'General Inputs'!D$14,'General Inputs'!D$19)</f>
        <v>0</v>
      </c>
      <c r="BX27" s="214">
        <f>IF(AND(($E27+$C$1)&gt;BX$4,BX$4&gt;=$C$1),$H27,IF(AND(($D27+$C$1)&gt;BX$4,BX$4&gt;=$C$1),$G27,0))*IF($A27="Residential",'General Inputs'!E$14,'General Inputs'!E$19)</f>
        <v>0</v>
      </c>
      <c r="BY27" s="214">
        <f>IF(AND(($E27+$C$1)&gt;BY$4,BY$4&gt;=$C$1),$H27,IF(AND(($D27+$C$1)&gt;BY$4,BY$4&gt;=$C$1),$G27,0))*IF($A27="Residential",'General Inputs'!F$14,'General Inputs'!F$19)</f>
        <v>2219.1564079744726</v>
      </c>
      <c r="BZ27" s="214">
        <f>IF(AND(($E27+$C$1)&gt;BZ$4,BZ$4&gt;=$C$1),$H27,IF(AND(($D27+$C$1)&gt;BZ$4,BZ$4&gt;=$C$1),$G27,0))*IF($A27="Residential",'General Inputs'!G$14,'General Inputs'!G$19)</f>
        <v>2252.4437540940894</v>
      </c>
      <c r="CA27" s="214">
        <f>IF(AND(($E27+$C$1)&gt;CA$4,CA$4&gt;=$C$1),$H27,IF(AND(($D27+$C$1)&gt;CA$4,CA$4&gt;=$C$1),$G27,0))*IF($A27="Residential",'General Inputs'!H$14,'General Inputs'!H$19)</f>
        <v>2286.2304104055006</v>
      </c>
      <c r="CB27" s="214">
        <f>IF(AND(($E27+$C$1)&gt;CB$4,CB$4&gt;=$C$1),$H27,IF(AND(($D27+$C$1)&gt;CB$4,CB$4&gt;=$C$1),$G27,0))*IF($A27="Residential",'General Inputs'!I$14,'General Inputs'!I$19)</f>
        <v>2320.523866561583</v>
      </c>
      <c r="CC27" s="214">
        <f>IF(AND(($E27+$C$1)&gt;CC$4,CC$4&gt;=$C$1),$H27,IF(AND(($D27+$C$1)&gt;CC$4,CC$4&gt;=$C$1),$G27,0))*IF($A27="Residential",'General Inputs'!J$14,'General Inputs'!J$19)</f>
        <v>2355.331724560006</v>
      </c>
      <c r="CD27" s="214">
        <f>IF(AND(($E27+$C$1)&gt;CD$4,CD$4&gt;=$C$1),$H27,IF(AND(($D27+$C$1)&gt;CD$4,CD$4&gt;=$C$1),$G27,0))*IF($A27="Residential",'General Inputs'!K$14,'General Inputs'!K$19)</f>
        <v>0</v>
      </c>
      <c r="CE27" s="214">
        <f>IF(AND(($E27+$C$1)&gt;CE$4,CE$4&gt;=$C$1),$H27,IF(AND(($D27+$C$1)&gt;CE$4,CE$4&gt;=$C$1),$G27,0))*IF($A27="Residential",'General Inputs'!L$14,'General Inputs'!L$19)</f>
        <v>0</v>
      </c>
      <c r="CF27" s="214">
        <f>IF(AND(($E27+$C$1)&gt;CF$4,CF$4&gt;=$C$1),$H27,IF(AND(($D27+$C$1)&gt;CF$4,CF$4&gt;=$C$1),$G27,0))*IF($A27="Residential",'General Inputs'!M$14,'General Inputs'!M$19)</f>
        <v>0</v>
      </c>
      <c r="CG27" s="214">
        <f>IF(AND(($E27+$C$1)&gt;CG$4,CG$4&gt;=$C$1),$H27,IF(AND(($D27+$C$1)&gt;CG$4,CG$4&gt;=$C$1),$G27,0))*IF($A27="Residential",'General Inputs'!N$14,'General Inputs'!N$19)</f>
        <v>0</v>
      </c>
      <c r="CH27" s="214">
        <f>IF(AND(($E27+$C$1)&gt;CH$4,CH$4&gt;=$C$1),$H27,IF(AND(($D27+$C$1)&gt;CH$4,CH$4&gt;=$C$1),$G27,0))*IF($A27="Residential",'General Inputs'!O$14,'General Inputs'!O$19)</f>
        <v>0</v>
      </c>
      <c r="CI27" s="214">
        <f>IF(AND(($E27+$C$1)&gt;CI$4,CI$4&gt;=$C$1),$H27,IF(AND(($D27+$C$1)&gt;CI$4,CI$4&gt;=$C$1),$G27,0))*IF($A27="Residential",'General Inputs'!P$14,'General Inputs'!P$19)</f>
        <v>0</v>
      </c>
      <c r="CJ27" s="214">
        <f>IF(AND(($E27+$C$1)&gt;CJ$4,CJ$4&gt;=$C$1),$H27,IF(AND(($D27+$C$1)&gt;CJ$4,CJ$4&gt;=$C$1),$G27,0))*IF($A27="Residential",'General Inputs'!Q$14,'General Inputs'!Q$19)</f>
        <v>0</v>
      </c>
      <c r="CK27" s="214">
        <f>IF(AND(($E27+$C$1)&gt;CK$4,CK$4&gt;=$C$1),$H27,IF(AND(($D27+$C$1)&gt;CK$4,CK$4&gt;=$C$1),$G27,0))*IF($A27="Residential",'General Inputs'!R$14,'General Inputs'!R$19)</f>
        <v>0</v>
      </c>
      <c r="CL27" s="214">
        <f>IF(AND(($E27+$C$1)&gt;CL$4,CL$4&gt;=$C$1),$H27,IF(AND(($D27+$C$1)&gt;CL$4,CL$4&gt;=$C$1),$G27,0))*IF($A27="Residential",'General Inputs'!S$14,'General Inputs'!S$19)</f>
        <v>0</v>
      </c>
      <c r="CM27" s="214">
        <f>IF(AND(($E27+$C$1)&gt;CM$4,CM$4&gt;=$C$1),$H27,IF(AND(($D27+$C$1)&gt;CM$4,CM$4&gt;=$C$1),$G27,0))*IF($A27="Residential",'General Inputs'!T$14,'General Inputs'!T$19)</f>
        <v>0</v>
      </c>
      <c r="CN27" s="214">
        <f>IF(AND(($E27+$C$1)&gt;CN$4,CN$4&gt;=$C$1),$H27,IF(AND(($D27+$C$1)&gt;CN$4,CN$4&gt;=$C$1),$G27,0))*IF($A27="Residential",'General Inputs'!U$14,'General Inputs'!U$19)</f>
        <v>0</v>
      </c>
      <c r="CO27" s="214">
        <f>IF(AND(($E27+$C$1)&gt;CO$4,CO$4&gt;=$C$1),$H27,IF(AND(($D27+$C$1)&gt;CO$4,CO$4&gt;=$C$1),$G27,0))*IF($A27="Residential",'General Inputs'!V$14,'General Inputs'!V$19)</f>
        <v>0</v>
      </c>
      <c r="CP27" s="214">
        <f>IF(AND(($E27+$C$1)&gt;CP$4,CP$4&gt;=$C$1),$H27,IF(AND(($D27+$C$1)&gt;CP$4,CP$4&gt;=$C$1),$G27,0))*IF($A27="Residential",'General Inputs'!W$14,'General Inputs'!W$19)</f>
        <v>0</v>
      </c>
      <c r="CR27" s="214">
        <f>IF(AND(($E27+$C$1)&gt;CR$4,CR$4&gt;=$C$1),$H27,IF(AND(($D27+$C$1)&gt;CR$4,CR$4&gt;=$C$1),$G27,0))*IF($A27="Residential",'General Inputs'!D$15,'General Inputs'!D$19)</f>
        <v>0</v>
      </c>
      <c r="CS27" s="214">
        <f>IF(AND(($E27+$C$1)&gt;CS$4,CS$4&gt;=$C$1),$H27,IF(AND(($D27+$C$1)&gt;CS$4,CS$4&gt;=$C$1),$G27,0))*IF($A27="Residential",'General Inputs'!E$15,'General Inputs'!E$19)</f>
        <v>0</v>
      </c>
      <c r="CT27" s="214">
        <f>IF(AND(($E27+$C$1)&gt;CT$4,CT$4&gt;=$C$1),$H27,IF(AND(($D27+$C$1)&gt;CT$4,CT$4&gt;=$C$1),$G27,0))*IF($A27="Residential",'General Inputs'!F$15,'General Inputs'!F$19)</f>
        <v>1805.3021121069096</v>
      </c>
      <c r="CU27" s="214">
        <f>IF(AND(($E27+$C$1)&gt;CU$4,CU$4&gt;=$C$1),$H27,IF(AND(($D27+$C$1)&gt;CU$4,CU$4&gt;=$C$1),$G27,0))*IF($A27="Residential",'General Inputs'!G$15,'General Inputs'!G$19)</f>
        <v>1832.381643788513</v>
      </c>
      <c r="CV27" s="214">
        <f>IF(AND(($E27+$C$1)&gt;CV$4,CV$4&gt;=$C$1),$H27,IF(AND(($D27+$C$1)&gt;CV$4,CV$4&gt;=$C$1),$G27,0))*IF($A27="Residential",'General Inputs'!H$15,'General Inputs'!H$19)</f>
        <v>1859.8673684453406</v>
      </c>
      <c r="CW27" s="214">
        <f>IF(AND(($E27+$C$1)&gt;CW$4,CW$4&gt;=$C$1),$H27,IF(AND(($D27+$C$1)&gt;CW$4,CW$4&gt;=$C$1),$G27,0))*IF($A27="Residential",'General Inputs'!I$15,'General Inputs'!I$19)</f>
        <v>1887.7653789720205</v>
      </c>
      <c r="CX27" s="214">
        <f>IF(AND(($E27+$C$1)&gt;CX$4,CX$4&gt;=$C$1),$H27,IF(AND(($D27+$C$1)&gt;CX$4,CX$4&gt;=$C$1),$G27,0))*IF($A27="Residential",'General Inputs'!J$15,'General Inputs'!J$19)</f>
        <v>1916.0818596566005</v>
      </c>
      <c r="CY27" s="214">
        <f>IF(AND(($E27+$C$1)&gt;CY$4,CY$4&gt;=$C$1),$H27,IF(AND(($D27+$C$1)&gt;CY$4,CY$4&gt;=$C$1),$G27,0))*IF($A27="Residential",'General Inputs'!K$15,'General Inputs'!K$19)</f>
        <v>0</v>
      </c>
      <c r="CZ27" s="214">
        <f>IF(AND(($E27+$C$1)&gt;CZ$4,CZ$4&gt;=$C$1),$H27,IF(AND(($D27+$C$1)&gt;CZ$4,CZ$4&gt;=$C$1),$G27,0))*IF($A27="Residential",'General Inputs'!L$15,'General Inputs'!L$19)</f>
        <v>0</v>
      </c>
      <c r="DA27" s="214">
        <f>IF(AND(($E27+$C$1)&gt;DA$4,DA$4&gt;=$C$1),$H27,IF(AND(($D27+$C$1)&gt;DA$4,DA$4&gt;=$C$1),$G27,0))*IF($A27="Residential",'General Inputs'!M$15,'General Inputs'!M$19)</f>
        <v>0</v>
      </c>
      <c r="DB27" s="214">
        <f>IF(AND(($E27+$C$1)&gt;DB$4,DB$4&gt;=$C$1),$H27,IF(AND(($D27+$C$1)&gt;DB$4,DB$4&gt;=$C$1),$G27,0))*IF($A27="Residential",'General Inputs'!N$15,'General Inputs'!N$19)</f>
        <v>0</v>
      </c>
      <c r="DC27" s="214">
        <f>IF(AND(($E27+$C$1)&gt;DC$4,DC$4&gt;=$C$1),$H27,IF(AND(($D27+$C$1)&gt;DC$4,DC$4&gt;=$C$1),$G27,0))*IF($A27="Residential",'General Inputs'!O$15,'General Inputs'!O$19)</f>
        <v>0</v>
      </c>
      <c r="DD27" s="214">
        <f>IF(AND(($E27+$C$1)&gt;DD$4,DD$4&gt;=$C$1),$H27,IF(AND(($D27+$C$1)&gt;DD$4,DD$4&gt;=$C$1),$G27,0))*IF($A27="Residential",'General Inputs'!P$15,'General Inputs'!P$19)</f>
        <v>0</v>
      </c>
      <c r="DE27" s="214">
        <f>IF(AND(($E27+$C$1)&gt;DE$4,DE$4&gt;=$C$1),$H27,IF(AND(($D27+$C$1)&gt;DE$4,DE$4&gt;=$C$1),$G27,0))*IF($A27="Residential",'General Inputs'!Q$15,'General Inputs'!Q$19)</f>
        <v>0</v>
      </c>
      <c r="DF27" s="214">
        <f>IF(AND(($E27+$C$1)&gt;DF$4,DF$4&gt;=$C$1),$H27,IF(AND(($D27+$C$1)&gt;DF$4,DF$4&gt;=$C$1),$G27,0))*IF($A27="Residential",'General Inputs'!R$15,'General Inputs'!R$19)</f>
        <v>0</v>
      </c>
      <c r="DG27" s="214">
        <f>IF(AND(($E27+$C$1)&gt;DG$4,DG$4&gt;=$C$1),$H27,IF(AND(($D27+$C$1)&gt;DG$4,DG$4&gt;=$C$1),$G27,0))*IF($A27="Residential",'General Inputs'!S$15,'General Inputs'!S$19)</f>
        <v>0</v>
      </c>
      <c r="DH27" s="214">
        <f>IF(AND(($E27+$C$1)&gt;DH$4,DH$4&gt;=$C$1),$H27,IF(AND(($D27+$C$1)&gt;DH$4,DH$4&gt;=$C$1),$G27,0))*IF($A27="Residential",'General Inputs'!T$15,'General Inputs'!T$19)</f>
        <v>0</v>
      </c>
      <c r="DI27" s="214">
        <f>IF(AND(($E27+$C$1)&gt;DI$4,DI$4&gt;=$C$1),$H27,IF(AND(($D27+$C$1)&gt;DI$4,DI$4&gt;=$C$1),$G27,0))*IF($A27="Residential",'General Inputs'!U$15,'General Inputs'!U$19)</f>
        <v>0</v>
      </c>
      <c r="DJ27" s="214">
        <f>IF(AND(($E27+$C$1)&gt;DJ$4,DJ$4&gt;=$C$1),$H27,IF(AND(($D27+$C$1)&gt;DJ$4,DJ$4&gt;=$C$1),$G27,0))*IF($A27="Residential",'General Inputs'!V$15,'General Inputs'!V$19)</f>
        <v>0</v>
      </c>
      <c r="DK27" s="214">
        <f>IF(AND(($E27+$C$1)&gt;DK$4,DK$4&gt;=$C$1),$H27,IF(AND(($D27+$C$1)&gt;DK$4,DK$4&gt;=$C$1),$G27,0))*IF($A27="Residential",'General Inputs'!W$15,'General Inputs'!W$19)</f>
        <v>0</v>
      </c>
      <c r="DM27" s="214">
        <f t="shared" si="47"/>
        <v>0</v>
      </c>
      <c r="DN27" s="214">
        <f t="shared" si="27"/>
        <v>0</v>
      </c>
      <c r="DO27" s="214">
        <f t="shared" si="27"/>
        <v>0</v>
      </c>
      <c r="DP27" s="214">
        <f t="shared" si="27"/>
        <v>0</v>
      </c>
      <c r="DQ27" s="214">
        <f t="shared" si="27"/>
        <v>0</v>
      </c>
      <c r="DR27" s="214">
        <f t="shared" si="27"/>
        <v>0</v>
      </c>
      <c r="DS27" s="214">
        <f t="shared" si="27"/>
        <v>0</v>
      </c>
      <c r="DT27" s="214">
        <f t="shared" si="27"/>
        <v>0</v>
      </c>
      <c r="DU27" s="214">
        <f t="shared" si="27"/>
        <v>0</v>
      </c>
      <c r="DV27" s="214">
        <f t="shared" si="27"/>
        <v>0</v>
      </c>
      <c r="DW27" s="214">
        <f t="shared" si="27"/>
        <v>0</v>
      </c>
      <c r="DZ27" s="650"/>
      <c r="FI27" s="195"/>
      <c r="FJ27" s="195"/>
      <c r="FK27" s="195"/>
      <c r="FL27" s="195"/>
      <c r="FM27" s="195"/>
      <c r="FN27" s="195"/>
      <c r="FO27" s="195"/>
    </row>
    <row r="28" spans="1:171">
      <c r="A28" s="342" t="s">
        <v>12</v>
      </c>
      <c r="B28" s="427" t="str">
        <f>'Portfolio Inputs'!A27</f>
        <v>Faucet Aerator - Bathroom</v>
      </c>
      <c r="C28" s="217">
        <f>IF($C$1=2014,'Portfolio Inputs'!$C27,IF($C$1=2015,'Portfolio Inputs'!$D27,'Portfolio Inputs'!$E27))</f>
        <v>125</v>
      </c>
      <c r="D28" s="504">
        <f>VLOOKUP(B28,Sources!$B$4:$J$104,2,FALSE)</f>
        <v>9</v>
      </c>
      <c r="E28" s="504">
        <f>VLOOKUP(B28,Sources!$B$4:$J$104,3,FALSE)</f>
        <v>0</v>
      </c>
      <c r="G28" s="504">
        <f>IF($C$1=2014,'Portfolio Inputs'!$G27,IF($C$1=2015,'Portfolio Inputs'!$H27,'Portfolio Inputs'!$I27))*EnergyLineLoss</f>
        <v>8932.3880283514009</v>
      </c>
      <c r="H28" s="504"/>
      <c r="I28" s="504">
        <f>IF($C$1=2014,'Portfolio Inputs'!$K27,IF($C$1=2015,'Portfolio Inputs'!$L27,'Portfolio Inputs'!$M27))*PeakLineLoss</f>
        <v>0.99752556661792291</v>
      </c>
      <c r="J28" s="510"/>
      <c r="L28" s="606">
        <f>IF($C$1=2014,'Portfolio Inputs'!$O27,IF($C$1=2015,'Portfolio Inputs'!$P27,'Portfolio Inputs'!$Q27))</f>
        <v>0</v>
      </c>
      <c r="M28" s="518">
        <f>VLOOKUP($B28,Sources!$B$4:$K$104,10,FALSE)</f>
        <v>0</v>
      </c>
      <c r="N28" s="419">
        <f>IF($C$1=2014,'Portfolio Inputs'!$W27,IF($C$1=2015,'Portfolio Inputs'!$X27,'Portfolio Inputs'!$Y27))</f>
        <v>0</v>
      </c>
      <c r="O28" s="419"/>
      <c r="Q28" s="438" t="str">
        <f t="shared" si="67"/>
        <v>n/a</v>
      </c>
      <c r="R28" s="439" t="str">
        <f t="shared" si="68"/>
        <v>n/a</v>
      </c>
      <c r="S28" s="439" t="str">
        <f t="shared" si="69"/>
        <v>n/a</v>
      </c>
      <c r="T28" s="439" t="str">
        <f t="shared" si="70"/>
        <v>n/a</v>
      </c>
      <c r="U28" s="439" t="str">
        <f t="shared" si="71"/>
        <v>n/a</v>
      </c>
      <c r="V28" s="439">
        <f t="shared" si="72"/>
        <v>0.3090545025511322</v>
      </c>
      <c r="W28" s="439">
        <f t="shared" si="73"/>
        <v>0.37990332762048679</v>
      </c>
      <c r="Y28" s="215">
        <f t="shared" si="4"/>
        <v>2229.4343129480694</v>
      </c>
      <c r="Z28" s="215">
        <f t="shared" si="5"/>
        <v>564.57412911382801</v>
      </c>
      <c r="AA28" s="215">
        <f t="shared" si="6"/>
        <v>7213.7253932393878</v>
      </c>
      <c r="AB28" s="215">
        <f t="shared" si="7"/>
        <v>5868.4253357612452</v>
      </c>
      <c r="AC28" s="216">
        <f t="shared" si="20"/>
        <v>0</v>
      </c>
      <c r="AD28" s="216">
        <f t="shared" si="21"/>
        <v>0</v>
      </c>
      <c r="AE28" s="215">
        <f t="shared" si="8"/>
        <v>0</v>
      </c>
      <c r="AG28" s="214">
        <f>IF(AND(($E28+$C$1)&gt;AG$4,AG$4&gt;=$C$1),'General Inputs'!D$9*$H28,IF(AND(($D28+$C$1)&gt;AG$4,AG$4&gt;=$C$1),'General Inputs'!D$9*$G28,0))+IF(AND(($E28+$C$1)&gt;AG$4,AG$4&gt;=$C$1),'General Inputs'!D$10*$J28,IF(AND(($D28+$C$1)&gt;AG$4,AG$4&gt;=$C$1),'General Inputs'!D$10*$I28,0))</f>
        <v>0</v>
      </c>
      <c r="AH28" s="214">
        <f>IF(AND(($E28+$C$1)&gt;AH$4,AH$4&gt;=$C$1),'General Inputs'!E$9*$H28,IF(AND(($D28+$C$1)&gt;AH$4,AH$4&gt;=$C$1),'General Inputs'!E$9*$G28,0))+IF(AND(($E28+$C$1)&gt;AH$4,AH$4&gt;=$C$1),'General Inputs'!E$10*$J28,IF(AND(($D28+$C$1)&gt;AH$4,AH$4&gt;=$C$1),'General Inputs'!E$10*$I28,0))</f>
        <v>0</v>
      </c>
      <c r="AI28" s="214">
        <f>IF(AND(($E28+$C$1)&gt;AI$4,AI$4&gt;=$C$1),'General Inputs'!F$9*$H28,IF(AND(($D28+$C$1)&gt;AI$4,AI$4&gt;=$C$1),'General Inputs'!F$9*$G28,0))+IF(AND(($E28+$C$1)&gt;AI$4,AI$4&gt;=$C$1),'General Inputs'!F$10*$J28,IF(AND(($D28+$C$1)&gt;AI$4,AI$4&gt;=$C$1),'General Inputs'!F$10*$I28,0))</f>
        <v>381.75567080973337</v>
      </c>
      <c r="AJ28" s="214">
        <f>IF(AND(($E28+$C$1)&gt;AJ$4,AJ$4&gt;=$C$1),'General Inputs'!G$9*$H28,IF(AND(($D28+$C$1)&gt;AJ$4,AJ$4&gt;=$C$1),'General Inputs'!G$9*$G28,0))+IF(AND(($E28+$C$1)&gt;AJ$4,AJ$4&gt;=$C$1),'General Inputs'!G$10*$J28,IF(AND(($D28+$C$1)&gt;AJ$4,AJ$4&gt;=$C$1),'General Inputs'!G$10*$I28,0))</f>
        <v>387.48200587187938</v>
      </c>
      <c r="AK28" s="214">
        <f>IF(AND(($E28+$C$1)&gt;AK$4,AK$4&gt;=$C$1),'General Inputs'!H$9*$H28,IF(AND(($D28+$C$1)&gt;AK$4,AK$4&gt;=$C$1),'General Inputs'!H$9*$G28,0))+IF(AND(($E28+$C$1)&gt;AK$4,AK$4&gt;=$C$1),'General Inputs'!H$10*$J28,IF(AND(($D28+$C$1)&gt;AK$4,AK$4&gt;=$C$1),'General Inputs'!H$10*$I28,0))</f>
        <v>393.29423595995752</v>
      </c>
      <c r="AL28" s="214">
        <f>IF(AND(($E28+$C$1)&gt;AL$4,AL$4&gt;=$C$1),'General Inputs'!I$9*$H28,IF(AND(($D28+$C$1)&gt;AL$4,AL$4&gt;=$C$1),'General Inputs'!I$9*$G28,0))+IF(AND(($E28+$C$1)&gt;AL$4,AL$4&gt;=$C$1),'General Inputs'!I$10*$J28,IF(AND(($D28+$C$1)&gt;AL$4,AL$4&gt;=$C$1),'General Inputs'!I$10*$I28,0))</f>
        <v>399.19364949935681</v>
      </c>
      <c r="AM28" s="214">
        <f>IF(AND(($E28+$C$1)&gt;AM$4,AM$4&gt;=$C$1),'General Inputs'!J$9*$H28,IF(AND(($D28+$C$1)&gt;AM$4,AM$4&gt;=$C$1),'General Inputs'!J$9*$G28,0))+IF(AND(($E28+$C$1)&gt;AM$4,AM$4&gt;=$C$1),'General Inputs'!J$10*$J28,IF(AND(($D28+$C$1)&gt;AM$4,AM$4&gt;=$C$1),'General Inputs'!J$10*$I28,0))</f>
        <v>405.1815542418471</v>
      </c>
      <c r="AN28" s="214">
        <f>IF(AND(($E28+$C$1)&gt;AN$4,AN$4&gt;=$C$1),'General Inputs'!K$9*$H28,IF(AND(($D28+$C$1)&gt;AN$4,AN$4&gt;=$C$1),'General Inputs'!K$9*$G28,0))+IF(AND(($E28+$C$1)&gt;AN$4,AN$4&gt;=$C$1),'General Inputs'!K$10*$J28,IF(AND(($D28+$C$1)&gt;AN$4,AN$4&gt;=$C$1),'General Inputs'!K$10*$I28,0))</f>
        <v>411.25927755547474</v>
      </c>
      <c r="AO28" s="214">
        <f>IF(AND(($E28+$C$1)&gt;AO$4,AO$4&gt;=$C$1),'General Inputs'!L$9*$H28,IF(AND(($D28+$C$1)&gt;AO$4,AO$4&gt;=$C$1),'General Inputs'!L$9*$G28,0))+IF(AND(($E28+$C$1)&gt;AO$4,AO$4&gt;=$C$1),'General Inputs'!L$10*$J28,IF(AND(($D28+$C$1)&gt;AO$4,AO$4&gt;=$C$1),'General Inputs'!L$10*$I28,0))</f>
        <v>417.42816671880684</v>
      </c>
      <c r="AP28" s="214">
        <f>IF(AND(($E28+$C$1)&gt;AP$4,AP$4&gt;=$C$1),'General Inputs'!M$9*$H28,IF(AND(($D28+$C$1)&gt;AP$4,AP$4&gt;=$C$1),'General Inputs'!M$9*$G28,0))+IF(AND(($E28+$C$1)&gt;AP$4,AP$4&gt;=$C$1),'General Inputs'!M$10*$J28,IF(AND(($D28+$C$1)&gt;AP$4,AP$4&gt;=$C$1),'General Inputs'!M$10*$I28,0))</f>
        <v>423.68958921958887</v>
      </c>
      <c r="AQ28" s="214">
        <f>IF(AND(($E28+$C$1)&gt;AQ$4,AQ$4&gt;=$C$1),'General Inputs'!N$9*$H28,IF(AND(($D28+$C$1)&gt;AQ$4,AQ$4&gt;=$C$1),'General Inputs'!N$9*$G28,0))+IF(AND(($E28+$C$1)&gt;AQ$4,AQ$4&gt;=$C$1),'General Inputs'!N$10*$J28,IF(AND(($D28+$C$1)&gt;AQ$4,AQ$4&gt;=$C$1),'General Inputs'!N$10*$I28,0))</f>
        <v>430.0449330578827</v>
      </c>
      <c r="AR28" s="214">
        <f>IF(AND(($E28+$C$1)&gt;AR$4,AR$4&gt;=$C$1),'General Inputs'!O$9*$H28,IF(AND(($D28+$C$1)&gt;AR$4,AR$4&gt;=$C$1),'General Inputs'!O$9*$G28,0))+IF(AND(($E28+$C$1)&gt;AR$4,AR$4&gt;=$C$1),'General Inputs'!O$10*$J28,IF(AND(($D28+$C$1)&gt;AR$4,AR$4&gt;=$C$1),'General Inputs'!O$10*$I28,0))</f>
        <v>0</v>
      </c>
      <c r="AS28" s="214">
        <f>IF(AND(($E28+$C$1)&gt;AS$4,AS$4&gt;=$C$1),'General Inputs'!P$9*$H28,IF(AND(($D28+$C$1)&gt;AS$4,AS$4&gt;=$C$1),'General Inputs'!P$9*$G28,0))+IF(AND(($E28+$C$1)&gt;AS$4,AS$4&gt;=$C$1),'General Inputs'!P$10*$J28,IF(AND(($D28+$C$1)&gt;AS$4,AS$4&gt;=$C$1),'General Inputs'!P$10*$I28,0))</f>
        <v>0</v>
      </c>
      <c r="AT28" s="214">
        <f>IF(AND(($E28+$C$1)&gt;AT$4,AT$4&gt;=$C$1),'General Inputs'!Q$9*$H28,IF(AND(($D28+$C$1)&gt;AT$4,AT$4&gt;=$C$1),'General Inputs'!Q$9*$G28,0))+IF(AND(($E28+$C$1)&gt;AT$4,AT$4&gt;=$C$1),'General Inputs'!Q$10*$J28,IF(AND(($D28+$C$1)&gt;AT$4,AT$4&gt;=$C$1),'General Inputs'!Q$10*$I28,0))</f>
        <v>0</v>
      </c>
      <c r="AU28" s="214">
        <f>IF(AND(($E28+$C$1)&gt;AU$4,AU$4&gt;=$C$1),'General Inputs'!R$9*$H28,IF(AND(($D28+$C$1)&gt;AU$4,AU$4&gt;=$C$1),'General Inputs'!R$9*$G28,0))+IF(AND(($E28+$C$1)&gt;AU$4,AU$4&gt;=$C$1),'General Inputs'!R$10*$J28,IF(AND(($D28+$C$1)&gt;AU$4,AU$4&gt;=$C$1),'General Inputs'!R$10*$I28,0))</f>
        <v>0</v>
      </c>
      <c r="AV28" s="214">
        <f>IF(AND(($E28+$C$1)&gt;AV$4,AV$4&gt;=$C$1),'General Inputs'!S$9*$H28,IF(AND(($D28+$C$1)&gt;AV$4,AV$4&gt;=$C$1),'General Inputs'!S$9*$G28,0))+IF(AND(($E28+$C$1)&gt;AV$4,AV$4&gt;=$C$1),'General Inputs'!S$10*$J28,IF(AND(($D28+$C$1)&gt;AV$4,AV$4&gt;=$C$1),'General Inputs'!S$10*$I28,0))</f>
        <v>0</v>
      </c>
      <c r="AW28" s="214">
        <f>IF(AND(($E28+$C$1)&gt;AW$4,AW$4&gt;=$C$1),'General Inputs'!T$9*$H28,IF(AND(($D28+$C$1)&gt;AW$4,AW$4&gt;=$C$1),'General Inputs'!T$9*$G28,0))+IF(AND(($E28+$C$1)&gt;AW$4,AW$4&gt;=$C$1),'General Inputs'!T$10*$J28,IF(AND(($D28+$C$1)&gt;AW$4,AW$4&gt;=$C$1),'General Inputs'!T$10*$I28,0))</f>
        <v>0</v>
      </c>
      <c r="AX28" s="214">
        <f>IF(AND(($E28+$C$1)&gt;AX$4,AX$4&gt;=$C$1),'General Inputs'!U$9*$H28,IF(AND(($D28+$C$1)&gt;AX$4,AX$4&gt;=$C$1),'General Inputs'!U$9*$G28,0))+IF(AND(($E28+$C$1)&gt;AX$4,AX$4&gt;=$C$1),'General Inputs'!U$10*$J28,IF(AND(($D28+$C$1)&gt;AX$4,AX$4&gt;=$C$1),'General Inputs'!U$10*$I28,0))</f>
        <v>0</v>
      </c>
      <c r="AY28" s="214">
        <f>IF(AND(($E28+$C$1)&gt;AY$4,AY$4&gt;=$C$1),'General Inputs'!V$9*$H28,IF(AND(($D28+$C$1)&gt;AY$4,AY$4&gt;=$C$1),'General Inputs'!V$9*$G28,0))+IF(AND(($E28+$C$1)&gt;AY$4,AY$4&gt;=$C$1),'General Inputs'!V$10*$J28,IF(AND(($D28+$C$1)&gt;AY$4,AY$4&gt;=$C$1),'General Inputs'!V$10*$I28,0))</f>
        <v>0</v>
      </c>
      <c r="AZ28" s="214">
        <f>IF(AND(($E28+$C$1)&gt;AZ$4,AZ$4&gt;=$C$1),'General Inputs'!W$9*$H28,IF(AND(($D28+$C$1)&gt;AZ$4,AZ$4&gt;=$C$1),'General Inputs'!W$9*$G28,0))+IF(AND(($E28+$C$1)&gt;AZ$4,AZ$4&gt;=$C$1),'General Inputs'!W$10*$J28,IF(AND(($D28+$C$1)&gt;AZ$4,AZ$4&gt;=$C$1),'General Inputs'!W$10*$I28,0))</f>
        <v>0</v>
      </c>
      <c r="BB28" s="214">
        <f>IF(AND(($E28+$C$1)&gt;BB$4,BB$4&gt;=$C$1),'General Inputs'!D$11*$H28,IF(AND(($D28+$C$1)&gt;BB$4,BB$4&gt;=$C$1),'General Inputs'!D$11*$G28,0))</f>
        <v>0</v>
      </c>
      <c r="BC28" s="214">
        <f>IF(AND(($E28+$C$1)&gt;BC$4,BC$4&gt;=$C$1),'General Inputs'!E$11*$H28,IF(AND(($D28+$C$1)&gt;BC$4,BC$4&gt;=$C$1),'General Inputs'!E$11*$G28,0))</f>
        <v>0</v>
      </c>
      <c r="BD28" s="214">
        <f>IF(AND(($E28+$C$1)&gt;BD$4,BD$4&gt;=$C$1),'General Inputs'!F$11*$H28,IF(AND(($D28+$C$1)&gt;BD$4,BD$4&gt;=$C$1),'General Inputs'!F$11*$G28,0))</f>
        <v>101.82922352320597</v>
      </c>
      <c r="BE28" s="214">
        <f>IF(AND(($E28+$C$1)&gt;BE$4,BE$4&gt;=$C$1),'General Inputs'!G$11*$H28,IF(AND(($D28+$C$1)&gt;BE$4,BE$4&gt;=$C$1),'General Inputs'!G$11*$G28,0))</f>
        <v>101.82922352320597</v>
      </c>
      <c r="BF28" s="214">
        <f>IF(AND(($E28+$C$1)&gt;BF$4,BF$4&gt;=$C$1),'General Inputs'!H$11*$H28,IF(AND(($D28+$C$1)&gt;BF$4,BF$4&gt;=$C$1),'General Inputs'!H$11*$G28,0))</f>
        <v>101.82922352320597</v>
      </c>
      <c r="BG28" s="214">
        <f>IF(AND(($E28+$C$1)&gt;BG$4,BG$4&gt;=$C$1),'General Inputs'!I$11*$H28,IF(AND(($D28+$C$1)&gt;BG$4,BG$4&gt;=$C$1),'General Inputs'!I$11*$G28,0))</f>
        <v>101.82922352320597</v>
      </c>
      <c r="BH28" s="214">
        <f>IF(AND(($E28+$C$1)&gt;BH$4,BH$4&gt;=$C$1),'General Inputs'!J$11*$H28,IF(AND(($D28+$C$1)&gt;BH$4,BH$4&gt;=$C$1),'General Inputs'!J$11*$G28,0))</f>
        <v>101.82922352320597</v>
      </c>
      <c r="BI28" s="214">
        <f>IF(AND(($E28+$C$1)&gt;BI$4,BI$4&gt;=$C$1),'General Inputs'!K$11*$H28,IF(AND(($D28+$C$1)&gt;BI$4,BI$4&gt;=$C$1),'General Inputs'!K$11*$G28,0))</f>
        <v>101.82922352320597</v>
      </c>
      <c r="BJ28" s="214">
        <f>IF(AND(($E28+$C$1)&gt;BJ$4,BJ$4&gt;=$C$1),'General Inputs'!L$11*$H28,IF(AND(($D28+$C$1)&gt;BJ$4,BJ$4&gt;=$C$1),'General Inputs'!L$11*$G28,0))</f>
        <v>101.82922352320597</v>
      </c>
      <c r="BK28" s="214">
        <f>IF(AND(($E28+$C$1)&gt;BK$4,BK$4&gt;=$C$1),'General Inputs'!M$11*$H28,IF(AND(($D28+$C$1)&gt;BK$4,BK$4&gt;=$C$1),'General Inputs'!M$11*$G28,0))</f>
        <v>101.82922352320597</v>
      </c>
      <c r="BL28" s="214">
        <f>IF(AND(($E28+$C$1)&gt;BL$4,BL$4&gt;=$C$1),'General Inputs'!N$11*$H28,IF(AND(($D28+$C$1)&gt;BL$4,BL$4&gt;=$C$1),'General Inputs'!N$11*$G28,0))</f>
        <v>101.82922352320597</v>
      </c>
      <c r="BM28" s="214">
        <f>IF(AND(($E28+$C$1)&gt;BM$4,BM$4&gt;=$C$1),'General Inputs'!O$11*$H28,IF(AND(($D28+$C$1)&gt;BM$4,BM$4&gt;=$C$1),'General Inputs'!O$11*$G28,0))</f>
        <v>0</v>
      </c>
      <c r="BN28" s="214">
        <f>IF(AND(($E28+$C$1)&gt;BN$4,BN$4&gt;=$C$1),'General Inputs'!P$11*$H28,IF(AND(($D28+$C$1)&gt;BN$4,BN$4&gt;=$C$1),'General Inputs'!P$11*$G28,0))</f>
        <v>0</v>
      </c>
      <c r="BO28" s="214">
        <f>IF(AND(($E28+$C$1)&gt;BO$4,BO$4&gt;=$C$1),'General Inputs'!Q$11*$H28,IF(AND(($D28+$C$1)&gt;BO$4,BO$4&gt;=$C$1),'General Inputs'!Q$11*$G28,0))</f>
        <v>0</v>
      </c>
      <c r="BP28" s="214">
        <f>IF(AND(($E28+$C$1)&gt;BP$4,BP$4&gt;=$C$1),'General Inputs'!R$11*$H28,IF(AND(($D28+$C$1)&gt;BP$4,BP$4&gt;=$C$1),'General Inputs'!R$11*$G28,0))</f>
        <v>0</v>
      </c>
      <c r="BQ28" s="214">
        <f>IF(AND(($E28+$C$1)&gt;BQ$4,BQ$4&gt;=$C$1),'General Inputs'!S$11*$H28,IF(AND(($D28+$C$1)&gt;BQ$4,BQ$4&gt;=$C$1),'General Inputs'!S$11*$G28,0))</f>
        <v>0</v>
      </c>
      <c r="BR28" s="214">
        <f>IF(AND(($E28+$C$1)&gt;BR$4,BR$4&gt;=$C$1),'General Inputs'!T$11*$H28,IF(AND(($D28+$C$1)&gt;BR$4,BR$4&gt;=$C$1),'General Inputs'!T$11*$G28,0))</f>
        <v>0</v>
      </c>
      <c r="BS28" s="214">
        <f>IF(AND(($E28+$C$1)&gt;BS$4,BS$4&gt;=$C$1),'General Inputs'!U$11*$H28,IF(AND(($D28+$C$1)&gt;BS$4,BS$4&gt;=$C$1),'General Inputs'!U$11*$G28,0))</f>
        <v>0</v>
      </c>
      <c r="BT28" s="214">
        <f>IF(AND(($E28+$C$1)&gt;BT$4,BT$4&gt;=$C$1),'General Inputs'!V$11*$H28,IF(AND(($D28+$C$1)&gt;BT$4,BT$4&gt;=$C$1),'General Inputs'!V$11*$G28,0))</f>
        <v>0</v>
      </c>
      <c r="BU28" s="214">
        <f>IF(AND(($E28+$C$1)&gt;BU$4,BU$4&gt;=$C$1),'General Inputs'!W$11*$H28,IF(AND(($D28+$C$1)&gt;BU$4,BU$4&gt;=$C$1),'General Inputs'!W$11*$G28,0))</f>
        <v>0</v>
      </c>
      <c r="BW28" s="214">
        <f>IF(AND(($E28+$C$1)&gt;BW$4,BW$4&gt;=$C$1),$H28,IF(AND(($D28+$C$1)&gt;BW$4,BW$4&gt;=$C$1),$G28,0))*IF($A28="Residential",'General Inputs'!D$14,'General Inputs'!D$19)</f>
        <v>0</v>
      </c>
      <c r="BX28" s="214">
        <f>IF(AND(($E28+$C$1)&gt;BX$4,BX$4&gt;=$C$1),$H28,IF(AND(($D28+$C$1)&gt;BX$4,BX$4&gt;=$C$1),$G28,0))*IF($A28="Residential",'General Inputs'!E$14,'General Inputs'!E$19)</f>
        <v>0</v>
      </c>
      <c r="BY28" s="214">
        <f>IF(AND(($E28+$C$1)&gt;BY$4,BY$4&gt;=$C$1),$H28,IF(AND(($D28+$C$1)&gt;BY$4,BY$4&gt;=$C$1),$G28,0))*IF($A28="Residential",'General Inputs'!F$14,'General Inputs'!F$19)</f>
        <v>1235.2373696499467</v>
      </c>
      <c r="BZ28" s="214">
        <f>IF(AND(($E28+$C$1)&gt;BZ$4,BZ$4&gt;=$C$1),$H28,IF(AND(($D28+$C$1)&gt;BZ$4,BZ$4&gt;=$C$1),$G28,0))*IF($A28="Residential",'General Inputs'!G$14,'General Inputs'!G$19)</f>
        <v>1253.7659301946958</v>
      </c>
      <c r="CA28" s="214">
        <f>IF(AND(($E28+$C$1)&gt;CA$4,CA$4&gt;=$C$1),$H28,IF(AND(($D28+$C$1)&gt;CA$4,CA$4&gt;=$C$1),$G28,0))*IF($A28="Residential",'General Inputs'!H$14,'General Inputs'!H$19)</f>
        <v>1272.5724191476161</v>
      </c>
      <c r="CB28" s="214">
        <f>IF(AND(($E28+$C$1)&gt;CB$4,CB$4&gt;=$C$1),$H28,IF(AND(($D28+$C$1)&gt;CB$4,CB$4&gt;=$C$1),$G28,0))*IF($A28="Residential",'General Inputs'!I$14,'General Inputs'!I$19)</f>
        <v>1291.6610054348303</v>
      </c>
      <c r="CC28" s="214">
        <f>IF(AND(($E28+$C$1)&gt;CC$4,CC$4&gt;=$C$1),$H28,IF(AND(($D28+$C$1)&gt;CC$4,CC$4&gt;=$C$1),$G28,0))*IF($A28="Residential",'General Inputs'!J$14,'General Inputs'!J$19)</f>
        <v>1311.0359205163525</v>
      </c>
      <c r="CD28" s="214">
        <f>IF(AND(($E28+$C$1)&gt;CD$4,CD$4&gt;=$C$1),$H28,IF(AND(($D28+$C$1)&gt;CD$4,CD$4&gt;=$C$1),$G28,0))*IF($A28="Residential",'General Inputs'!K$14,'General Inputs'!K$19)</f>
        <v>1330.7014593240974</v>
      </c>
      <c r="CE28" s="214">
        <f>IF(AND(($E28+$C$1)&gt;CE$4,CE$4&gt;=$C$1),$H28,IF(AND(($D28+$C$1)&gt;CE$4,CE$4&gt;=$C$1),$G28,0))*IF($A28="Residential",'General Inputs'!L$14,'General Inputs'!L$19)</f>
        <v>1350.6619812139588</v>
      </c>
      <c r="CF28" s="214">
        <f>IF(AND(($E28+$C$1)&gt;CF$4,CF$4&gt;=$C$1),$H28,IF(AND(($D28+$C$1)&gt;CF$4,CF$4&gt;=$C$1),$G28,0))*IF($A28="Residential",'General Inputs'!M$14,'General Inputs'!M$19)</f>
        <v>1370.921910932168</v>
      </c>
      <c r="CG28" s="214">
        <f>IF(AND(($E28+$C$1)&gt;CG$4,CG$4&gt;=$C$1),$H28,IF(AND(($D28+$C$1)&gt;CG$4,CG$4&gt;=$C$1),$G28,0))*IF($A28="Residential",'General Inputs'!N$14,'General Inputs'!N$19)</f>
        <v>1391.4857395961503</v>
      </c>
      <c r="CH28" s="214">
        <f>IF(AND(($E28+$C$1)&gt;CH$4,CH$4&gt;=$C$1),$H28,IF(AND(($D28+$C$1)&gt;CH$4,CH$4&gt;=$C$1),$G28,0))*IF($A28="Residential",'General Inputs'!O$14,'General Inputs'!O$19)</f>
        <v>0</v>
      </c>
      <c r="CI28" s="214">
        <f>IF(AND(($E28+$C$1)&gt;CI$4,CI$4&gt;=$C$1),$H28,IF(AND(($D28+$C$1)&gt;CI$4,CI$4&gt;=$C$1),$G28,0))*IF($A28="Residential",'General Inputs'!P$14,'General Inputs'!P$19)</f>
        <v>0</v>
      </c>
      <c r="CJ28" s="214">
        <f>IF(AND(($E28+$C$1)&gt;CJ$4,CJ$4&gt;=$C$1),$H28,IF(AND(($D28+$C$1)&gt;CJ$4,CJ$4&gt;=$C$1),$G28,0))*IF($A28="Residential",'General Inputs'!Q$14,'General Inputs'!Q$19)</f>
        <v>0</v>
      </c>
      <c r="CK28" s="214">
        <f>IF(AND(($E28+$C$1)&gt;CK$4,CK$4&gt;=$C$1),$H28,IF(AND(($D28+$C$1)&gt;CK$4,CK$4&gt;=$C$1),$G28,0))*IF($A28="Residential",'General Inputs'!R$14,'General Inputs'!R$19)</f>
        <v>0</v>
      </c>
      <c r="CL28" s="214">
        <f>IF(AND(($E28+$C$1)&gt;CL$4,CL$4&gt;=$C$1),$H28,IF(AND(($D28+$C$1)&gt;CL$4,CL$4&gt;=$C$1),$G28,0))*IF($A28="Residential",'General Inputs'!S$14,'General Inputs'!S$19)</f>
        <v>0</v>
      </c>
      <c r="CM28" s="214">
        <f>IF(AND(($E28+$C$1)&gt;CM$4,CM$4&gt;=$C$1),$H28,IF(AND(($D28+$C$1)&gt;CM$4,CM$4&gt;=$C$1),$G28,0))*IF($A28="Residential",'General Inputs'!T$14,'General Inputs'!T$19)</f>
        <v>0</v>
      </c>
      <c r="CN28" s="214">
        <f>IF(AND(($E28+$C$1)&gt;CN$4,CN$4&gt;=$C$1),$H28,IF(AND(($D28+$C$1)&gt;CN$4,CN$4&gt;=$C$1),$G28,0))*IF($A28="Residential",'General Inputs'!U$14,'General Inputs'!U$19)</f>
        <v>0</v>
      </c>
      <c r="CO28" s="214">
        <f>IF(AND(($E28+$C$1)&gt;CO$4,CO$4&gt;=$C$1),$H28,IF(AND(($D28+$C$1)&gt;CO$4,CO$4&gt;=$C$1),$G28,0))*IF($A28="Residential",'General Inputs'!V$14,'General Inputs'!V$19)</f>
        <v>0</v>
      </c>
      <c r="CP28" s="214">
        <f>IF(AND(($E28+$C$1)&gt;CP$4,CP$4&gt;=$C$1),$H28,IF(AND(($D28+$C$1)&gt;CP$4,CP$4&gt;=$C$1),$G28,0))*IF($A28="Residential",'General Inputs'!W$14,'General Inputs'!W$19)</f>
        <v>0</v>
      </c>
      <c r="CR28" s="214">
        <f>IF(AND(($E28+$C$1)&gt;CR$4,CR$4&gt;=$C$1),$H28,IF(AND(($D28+$C$1)&gt;CR$4,CR$4&gt;=$C$1),$G28,0))*IF($A28="Residential",'General Inputs'!D$15,'General Inputs'!D$19)</f>
        <v>0</v>
      </c>
      <c r="CS28" s="214">
        <f>IF(AND(($E28+$C$1)&gt;CS$4,CS$4&gt;=$C$1),$H28,IF(AND(($D28+$C$1)&gt;CS$4,CS$4&gt;=$C$1),$G28,0))*IF($A28="Residential",'General Inputs'!E$15,'General Inputs'!E$19)</f>
        <v>0</v>
      </c>
      <c r="CT28" s="214">
        <f>IF(AND(($E28+$C$1)&gt;CT$4,CT$4&gt;=$C$1),$H28,IF(AND(($D28+$C$1)&gt;CT$4,CT$4&gt;=$C$1),$G28,0))*IF($A28="Residential",'General Inputs'!F$15,'General Inputs'!F$19)</f>
        <v>1004.8758277555729</v>
      </c>
      <c r="CU28" s="214">
        <f>IF(AND(($E28+$C$1)&gt;CU$4,CU$4&gt;=$C$1),$H28,IF(AND(($D28+$C$1)&gt;CU$4,CU$4&gt;=$C$1),$G28,0))*IF($A28="Residential",'General Inputs'!G$15,'General Inputs'!G$19)</f>
        <v>1019.9489651719064</v>
      </c>
      <c r="CV28" s="214">
        <f>IF(AND(($E28+$C$1)&gt;CV$4,CV$4&gt;=$C$1),$H28,IF(AND(($D28+$C$1)&gt;CV$4,CV$4&gt;=$C$1),$G28,0))*IF($A28="Residential",'General Inputs'!H$15,'General Inputs'!H$19)</f>
        <v>1035.2481996494848</v>
      </c>
      <c r="CW28" s="214">
        <f>IF(AND(($E28+$C$1)&gt;CW$4,CW$4&gt;=$C$1),$H28,IF(AND(($D28+$C$1)&gt;CW$4,CW$4&gt;=$C$1),$G28,0))*IF($A28="Residential",'General Inputs'!I$15,'General Inputs'!I$19)</f>
        <v>1050.7769226442272</v>
      </c>
      <c r="CX28" s="214">
        <f>IF(AND(($E28+$C$1)&gt;CX$4,CX$4&gt;=$C$1),$H28,IF(AND(($D28+$C$1)&gt;CX$4,CX$4&gt;=$C$1),$G28,0))*IF($A28="Residential",'General Inputs'!J$15,'General Inputs'!J$19)</f>
        <v>1066.5385764838904</v>
      </c>
      <c r="CY28" s="214">
        <f>IF(AND(($E28+$C$1)&gt;CY$4,CY$4&gt;=$C$1),$H28,IF(AND(($D28+$C$1)&gt;CY$4,CY$4&gt;=$C$1),$G28,0))*IF($A28="Residential",'General Inputs'!K$15,'General Inputs'!K$19)</f>
        <v>1082.5366551311486</v>
      </c>
      <c r="CZ28" s="214">
        <f>IF(AND(($E28+$C$1)&gt;CZ$4,CZ$4&gt;=$C$1),$H28,IF(AND(($D28+$C$1)&gt;CZ$4,CZ$4&gt;=$C$1),$G28,0))*IF($A28="Residential",'General Inputs'!L$15,'General Inputs'!L$19)</f>
        <v>1098.7747049581158</v>
      </c>
      <c r="DA28" s="214">
        <f>IF(AND(($E28+$C$1)&gt;DA$4,DA$4&gt;=$C$1),$H28,IF(AND(($D28+$C$1)&gt;DA$4,DA$4&gt;=$C$1),$G28,0))*IF($A28="Residential",'General Inputs'!M$15,'General Inputs'!M$19)</f>
        <v>1115.2563255324874</v>
      </c>
      <c r="DB28" s="214">
        <f>IF(AND(($E28+$C$1)&gt;DB$4,DB$4&gt;=$C$1),$H28,IF(AND(($D28+$C$1)&gt;DB$4,DB$4&gt;=$C$1),$G28,0))*IF($A28="Residential",'General Inputs'!N$15,'General Inputs'!N$19)</f>
        <v>1131.9851704154744</v>
      </c>
      <c r="DC28" s="214">
        <f>IF(AND(($E28+$C$1)&gt;DC$4,DC$4&gt;=$C$1),$H28,IF(AND(($D28+$C$1)&gt;DC$4,DC$4&gt;=$C$1),$G28,0))*IF($A28="Residential",'General Inputs'!O$15,'General Inputs'!O$19)</f>
        <v>0</v>
      </c>
      <c r="DD28" s="214">
        <f>IF(AND(($E28+$C$1)&gt;DD$4,DD$4&gt;=$C$1),$H28,IF(AND(($D28+$C$1)&gt;DD$4,DD$4&gt;=$C$1),$G28,0))*IF($A28="Residential",'General Inputs'!P$15,'General Inputs'!P$19)</f>
        <v>0</v>
      </c>
      <c r="DE28" s="214">
        <f>IF(AND(($E28+$C$1)&gt;DE$4,DE$4&gt;=$C$1),$H28,IF(AND(($D28+$C$1)&gt;DE$4,DE$4&gt;=$C$1),$G28,0))*IF($A28="Residential",'General Inputs'!Q$15,'General Inputs'!Q$19)</f>
        <v>0</v>
      </c>
      <c r="DF28" s="214">
        <f>IF(AND(($E28+$C$1)&gt;DF$4,DF$4&gt;=$C$1),$H28,IF(AND(($D28+$C$1)&gt;DF$4,DF$4&gt;=$C$1),$G28,0))*IF($A28="Residential",'General Inputs'!R$15,'General Inputs'!R$19)</f>
        <v>0</v>
      </c>
      <c r="DG28" s="214">
        <f>IF(AND(($E28+$C$1)&gt;DG$4,DG$4&gt;=$C$1),$H28,IF(AND(($D28+$C$1)&gt;DG$4,DG$4&gt;=$C$1),$G28,0))*IF($A28="Residential",'General Inputs'!S$15,'General Inputs'!S$19)</f>
        <v>0</v>
      </c>
      <c r="DH28" s="214">
        <f>IF(AND(($E28+$C$1)&gt;DH$4,DH$4&gt;=$C$1),$H28,IF(AND(($D28+$C$1)&gt;DH$4,DH$4&gt;=$C$1),$G28,0))*IF($A28="Residential",'General Inputs'!T$15,'General Inputs'!T$19)</f>
        <v>0</v>
      </c>
      <c r="DI28" s="214">
        <f>IF(AND(($E28+$C$1)&gt;DI$4,DI$4&gt;=$C$1),$H28,IF(AND(($D28+$C$1)&gt;DI$4,DI$4&gt;=$C$1),$G28,0))*IF($A28="Residential",'General Inputs'!U$15,'General Inputs'!U$19)</f>
        <v>0</v>
      </c>
      <c r="DJ28" s="214">
        <f>IF(AND(($E28+$C$1)&gt;DJ$4,DJ$4&gt;=$C$1),$H28,IF(AND(($D28+$C$1)&gt;DJ$4,DJ$4&gt;=$C$1),$G28,0))*IF($A28="Residential",'General Inputs'!V$15,'General Inputs'!V$19)</f>
        <v>0</v>
      </c>
      <c r="DK28" s="214">
        <f>IF(AND(($E28+$C$1)&gt;DK$4,DK$4&gt;=$C$1),$H28,IF(AND(($D28+$C$1)&gt;DK$4,DK$4&gt;=$C$1),$G28,0))*IF($A28="Residential",'General Inputs'!W$15,'General Inputs'!W$19)</f>
        <v>0</v>
      </c>
      <c r="DM28" s="214">
        <f t="shared" si="47"/>
        <v>0</v>
      </c>
      <c r="DN28" s="214">
        <f t="shared" si="27"/>
        <v>0</v>
      </c>
      <c r="DO28" s="214">
        <f t="shared" si="27"/>
        <v>0</v>
      </c>
      <c r="DP28" s="214">
        <f t="shared" si="27"/>
        <v>0</v>
      </c>
      <c r="DQ28" s="214">
        <f t="shared" si="27"/>
        <v>0</v>
      </c>
      <c r="DR28" s="214">
        <f t="shared" si="27"/>
        <v>0</v>
      </c>
      <c r="DS28" s="214">
        <f t="shared" si="27"/>
        <v>0</v>
      </c>
      <c r="DT28" s="214">
        <f t="shared" si="27"/>
        <v>0</v>
      </c>
      <c r="DU28" s="214">
        <f t="shared" si="27"/>
        <v>0</v>
      </c>
      <c r="DV28" s="214">
        <f t="shared" si="27"/>
        <v>0</v>
      </c>
      <c r="DW28" s="214">
        <f t="shared" si="27"/>
        <v>0</v>
      </c>
      <c r="DZ28" s="650"/>
      <c r="FI28" s="195"/>
      <c r="FJ28" s="195"/>
      <c r="FK28" s="195"/>
      <c r="FL28" s="195"/>
      <c r="FM28" s="195"/>
      <c r="FN28" s="195"/>
      <c r="FO28" s="195"/>
    </row>
    <row r="29" spans="1:171">
      <c r="A29" s="342" t="s">
        <v>12</v>
      </c>
      <c r="B29" s="427" t="str">
        <f>'Portfolio Inputs'!A28</f>
        <v>Low Flow Showerhead</v>
      </c>
      <c r="C29" s="217">
        <f>IF($C$1=2014,'Portfolio Inputs'!$C28,IF($C$1=2015,'Portfolio Inputs'!$D28,'Portfolio Inputs'!$E28))</f>
        <v>125</v>
      </c>
      <c r="D29" s="504">
        <f>VLOOKUP(B29,Sources!$B$4:$J$104,2,FALSE)</f>
        <v>10</v>
      </c>
      <c r="E29" s="504">
        <f>VLOOKUP(B29,Sources!$B$4:$J$104,3,FALSE)</f>
        <v>0</v>
      </c>
      <c r="G29" s="504">
        <f>IF($C$1=2014,'Portfolio Inputs'!$G28,IF($C$1=2015,'Portfolio Inputs'!$H28,'Portfolio Inputs'!$I28))*EnergyLineLoss</f>
        <v>18683.564382363922</v>
      </c>
      <c r="H29" s="504"/>
      <c r="I29" s="504">
        <f>IF($C$1=2014,'Portfolio Inputs'!$K28,IF($C$1=2015,'Portfolio Inputs'!$L28,'Portfolio Inputs'!$M28))*PeakLineLoss</f>
        <v>1.3668502363939921</v>
      </c>
      <c r="J29" s="510"/>
      <c r="L29" s="606">
        <f>IF($C$1=2014,'Portfolio Inputs'!$O28,IF($C$1=2015,'Portfolio Inputs'!$P28,'Portfolio Inputs'!$Q28))</f>
        <v>0</v>
      </c>
      <c r="M29" s="518">
        <f>VLOOKUP($B29,Sources!$B$4:$K$104,10,FALSE)</f>
        <v>0</v>
      </c>
      <c r="N29" s="419">
        <f>IF($C$1=2014,'Portfolio Inputs'!$W28,IF($C$1=2015,'Portfolio Inputs'!$X28,'Portfolio Inputs'!$Y28))</f>
        <v>0</v>
      </c>
      <c r="O29" s="419"/>
      <c r="Q29" s="438" t="str">
        <f t="shared" si="67"/>
        <v>n/a</v>
      </c>
      <c r="R29" s="439" t="str">
        <f t="shared" si="68"/>
        <v>n/a</v>
      </c>
      <c r="S29" s="439" t="str">
        <f t="shared" si="69"/>
        <v>n/a</v>
      </c>
      <c r="T29" s="439" t="str">
        <f t="shared" si="70"/>
        <v>n/a</v>
      </c>
      <c r="U29" s="439" t="str">
        <f t="shared" si="71"/>
        <v>n/a</v>
      </c>
      <c r="V29" s="439">
        <f t="shared" si="72"/>
        <v>0.30475772010702351</v>
      </c>
      <c r="W29" s="439">
        <f t="shared" si="73"/>
        <v>0.37462153448981361</v>
      </c>
      <c r="Y29" s="215">
        <f t="shared" si="4"/>
        <v>4952.9800296246285</v>
      </c>
      <c r="Z29" s="215">
        <f t="shared" si="5"/>
        <v>1264.786245875162</v>
      </c>
      <c r="AA29" s="215">
        <f t="shared" si="6"/>
        <v>16252.188879367068</v>
      </c>
      <c r="AB29" s="215">
        <f t="shared" si="7"/>
        <v>13221.290218593416</v>
      </c>
      <c r="AC29" s="216">
        <f t="shared" si="20"/>
        <v>0</v>
      </c>
      <c r="AD29" s="216">
        <f t="shared" si="21"/>
        <v>0</v>
      </c>
      <c r="AE29" s="215">
        <f t="shared" si="8"/>
        <v>0</v>
      </c>
      <c r="AG29" s="214">
        <f>IF(AND(($E29+$C$1)&gt;AG$4,AG$4&gt;=$C$1),'General Inputs'!D$9*$H29,IF(AND(($D29+$C$1)&gt;AG$4,AG$4&gt;=$C$1),'General Inputs'!D$9*$G29,0))+IF(AND(($E29+$C$1)&gt;AG$4,AG$4&gt;=$C$1),'General Inputs'!D$10*$J29,IF(AND(($D29+$C$1)&gt;AG$4,AG$4&gt;=$C$1),'General Inputs'!D$10*$I29,0))</f>
        <v>0</v>
      </c>
      <c r="AH29" s="214">
        <f>IF(AND(($E29+$C$1)&gt;AH$4,AH$4&gt;=$C$1),'General Inputs'!E$9*$H29,IF(AND(($D29+$C$1)&gt;AH$4,AH$4&gt;=$C$1),'General Inputs'!E$9*$G29,0))+IF(AND(($E29+$C$1)&gt;AH$4,AH$4&gt;=$C$1),'General Inputs'!E$10*$J29,IF(AND(($D29+$C$1)&gt;AH$4,AH$4&gt;=$C$1),'General Inputs'!E$10*$I29,0))</f>
        <v>0</v>
      </c>
      <c r="AI29" s="214">
        <f>IF(AND(($E29+$C$1)&gt;AI$4,AI$4&gt;=$C$1),'General Inputs'!F$9*$H29,IF(AND(($D29+$C$1)&gt;AI$4,AI$4&gt;=$C$1),'General Inputs'!F$9*$G29,0))+IF(AND(($E29+$C$1)&gt;AI$4,AI$4&gt;=$C$1),'General Inputs'!F$10*$J29,IF(AND(($D29+$C$1)&gt;AI$4,AI$4&gt;=$C$1),'General Inputs'!F$10*$I29,0))</f>
        <v>787.40340764596795</v>
      </c>
      <c r="AJ29" s="214">
        <f>IF(AND(($E29+$C$1)&gt;AJ$4,AJ$4&gt;=$C$1),'General Inputs'!G$9*$H29,IF(AND(($D29+$C$1)&gt;AJ$4,AJ$4&gt;=$C$1),'General Inputs'!G$9*$G29,0))+IF(AND(($E29+$C$1)&gt;AJ$4,AJ$4&gt;=$C$1),'General Inputs'!G$10*$J29,IF(AND(($D29+$C$1)&gt;AJ$4,AJ$4&gt;=$C$1),'General Inputs'!G$10*$I29,0))</f>
        <v>799.21445876065752</v>
      </c>
      <c r="AK29" s="214">
        <f>IF(AND(($E29+$C$1)&gt;AK$4,AK$4&gt;=$C$1),'General Inputs'!H$9*$H29,IF(AND(($D29+$C$1)&gt;AK$4,AK$4&gt;=$C$1),'General Inputs'!H$9*$G29,0))+IF(AND(($E29+$C$1)&gt;AK$4,AK$4&gt;=$C$1),'General Inputs'!H$10*$J29,IF(AND(($D29+$C$1)&gt;AK$4,AK$4&gt;=$C$1),'General Inputs'!H$10*$I29,0))</f>
        <v>811.20267564206711</v>
      </c>
      <c r="AL29" s="214">
        <f>IF(AND(($E29+$C$1)&gt;AL$4,AL$4&gt;=$C$1),'General Inputs'!I$9*$H29,IF(AND(($D29+$C$1)&gt;AL$4,AL$4&gt;=$C$1),'General Inputs'!I$9*$G29,0))+IF(AND(($E29+$C$1)&gt;AL$4,AL$4&gt;=$C$1),'General Inputs'!I$10*$J29,IF(AND(($D29+$C$1)&gt;AL$4,AL$4&gt;=$C$1),'General Inputs'!I$10*$I29,0))</f>
        <v>823.37071577669803</v>
      </c>
      <c r="AM29" s="214">
        <f>IF(AND(($E29+$C$1)&gt;AM$4,AM$4&gt;=$C$1),'General Inputs'!J$9*$H29,IF(AND(($D29+$C$1)&gt;AM$4,AM$4&gt;=$C$1),'General Inputs'!J$9*$G29,0))+IF(AND(($E29+$C$1)&gt;AM$4,AM$4&gt;=$C$1),'General Inputs'!J$10*$J29,IF(AND(($D29+$C$1)&gt;AM$4,AM$4&gt;=$C$1),'General Inputs'!J$10*$I29,0))</f>
        <v>835.72127651334836</v>
      </c>
      <c r="AN29" s="214">
        <f>IF(AND(($E29+$C$1)&gt;AN$4,AN$4&gt;=$C$1),'General Inputs'!K$9*$H29,IF(AND(($D29+$C$1)&gt;AN$4,AN$4&gt;=$C$1),'General Inputs'!K$9*$G29,0))+IF(AND(($E29+$C$1)&gt;AN$4,AN$4&gt;=$C$1),'General Inputs'!K$10*$J29,IF(AND(($D29+$C$1)&gt;AN$4,AN$4&gt;=$C$1),'General Inputs'!K$10*$I29,0))</f>
        <v>848.25709566104842</v>
      </c>
      <c r="AO29" s="214">
        <f>IF(AND(($E29+$C$1)&gt;AO$4,AO$4&gt;=$C$1),'General Inputs'!L$9*$H29,IF(AND(($D29+$C$1)&gt;AO$4,AO$4&gt;=$C$1),'General Inputs'!L$9*$G29,0))+IF(AND(($E29+$C$1)&gt;AO$4,AO$4&gt;=$C$1),'General Inputs'!L$10*$J29,IF(AND(($D29+$C$1)&gt;AO$4,AO$4&gt;=$C$1),'General Inputs'!L$10*$I29,0))</f>
        <v>860.9809520959642</v>
      </c>
      <c r="AP29" s="214">
        <f>IF(AND(($E29+$C$1)&gt;AP$4,AP$4&gt;=$C$1),'General Inputs'!M$9*$H29,IF(AND(($D29+$C$1)&gt;AP$4,AP$4&gt;=$C$1),'General Inputs'!M$9*$G29,0))+IF(AND(($E29+$C$1)&gt;AP$4,AP$4&gt;=$C$1),'General Inputs'!M$10*$J29,IF(AND(($D29+$C$1)&gt;AP$4,AP$4&gt;=$C$1),'General Inputs'!M$10*$I29,0))</f>
        <v>873.89566637740347</v>
      </c>
      <c r="AQ29" s="214">
        <f>IF(AND(($E29+$C$1)&gt;AQ$4,AQ$4&gt;=$C$1),'General Inputs'!N$9*$H29,IF(AND(($D29+$C$1)&gt;AQ$4,AQ$4&gt;=$C$1),'General Inputs'!N$9*$G29,0))+IF(AND(($E29+$C$1)&gt;AQ$4,AQ$4&gt;=$C$1),'General Inputs'!N$10*$J29,IF(AND(($D29+$C$1)&gt;AQ$4,AQ$4&gt;=$C$1),'General Inputs'!N$10*$I29,0))</f>
        <v>887.00410137306449</v>
      </c>
      <c r="AR29" s="214">
        <f>IF(AND(($E29+$C$1)&gt;AR$4,AR$4&gt;=$C$1),'General Inputs'!O$9*$H29,IF(AND(($D29+$C$1)&gt;AR$4,AR$4&gt;=$C$1),'General Inputs'!O$9*$G29,0))+IF(AND(($E29+$C$1)&gt;AR$4,AR$4&gt;=$C$1),'General Inputs'!O$10*$J29,IF(AND(($D29+$C$1)&gt;AR$4,AR$4&gt;=$C$1),'General Inputs'!O$10*$I29,0))</f>
        <v>900.3091628936603</v>
      </c>
      <c r="AS29" s="214">
        <f>IF(AND(($E29+$C$1)&gt;AS$4,AS$4&gt;=$C$1),'General Inputs'!P$9*$H29,IF(AND(($D29+$C$1)&gt;AS$4,AS$4&gt;=$C$1),'General Inputs'!P$9*$G29,0))+IF(AND(($E29+$C$1)&gt;AS$4,AS$4&gt;=$C$1),'General Inputs'!P$10*$J29,IF(AND(($D29+$C$1)&gt;AS$4,AS$4&gt;=$C$1),'General Inputs'!P$10*$I29,0))</f>
        <v>0</v>
      </c>
      <c r="AT29" s="214">
        <f>IF(AND(($E29+$C$1)&gt;AT$4,AT$4&gt;=$C$1),'General Inputs'!Q$9*$H29,IF(AND(($D29+$C$1)&gt;AT$4,AT$4&gt;=$C$1),'General Inputs'!Q$9*$G29,0))+IF(AND(($E29+$C$1)&gt;AT$4,AT$4&gt;=$C$1),'General Inputs'!Q$10*$J29,IF(AND(($D29+$C$1)&gt;AT$4,AT$4&gt;=$C$1),'General Inputs'!Q$10*$I29,0))</f>
        <v>0</v>
      </c>
      <c r="AU29" s="214">
        <f>IF(AND(($E29+$C$1)&gt;AU$4,AU$4&gt;=$C$1),'General Inputs'!R$9*$H29,IF(AND(($D29+$C$1)&gt;AU$4,AU$4&gt;=$C$1),'General Inputs'!R$9*$G29,0))+IF(AND(($E29+$C$1)&gt;AU$4,AU$4&gt;=$C$1),'General Inputs'!R$10*$J29,IF(AND(($D29+$C$1)&gt;AU$4,AU$4&gt;=$C$1),'General Inputs'!R$10*$I29,0))</f>
        <v>0</v>
      </c>
      <c r="AV29" s="214">
        <f>IF(AND(($E29+$C$1)&gt;AV$4,AV$4&gt;=$C$1),'General Inputs'!S$9*$H29,IF(AND(($D29+$C$1)&gt;AV$4,AV$4&gt;=$C$1),'General Inputs'!S$9*$G29,0))+IF(AND(($E29+$C$1)&gt;AV$4,AV$4&gt;=$C$1),'General Inputs'!S$10*$J29,IF(AND(($D29+$C$1)&gt;AV$4,AV$4&gt;=$C$1),'General Inputs'!S$10*$I29,0))</f>
        <v>0</v>
      </c>
      <c r="AW29" s="214">
        <f>IF(AND(($E29+$C$1)&gt;AW$4,AW$4&gt;=$C$1),'General Inputs'!T$9*$H29,IF(AND(($D29+$C$1)&gt;AW$4,AW$4&gt;=$C$1),'General Inputs'!T$9*$G29,0))+IF(AND(($E29+$C$1)&gt;AW$4,AW$4&gt;=$C$1),'General Inputs'!T$10*$J29,IF(AND(($D29+$C$1)&gt;AW$4,AW$4&gt;=$C$1),'General Inputs'!T$10*$I29,0))</f>
        <v>0</v>
      </c>
      <c r="AX29" s="214">
        <f>IF(AND(($E29+$C$1)&gt;AX$4,AX$4&gt;=$C$1),'General Inputs'!U$9*$H29,IF(AND(($D29+$C$1)&gt;AX$4,AX$4&gt;=$C$1),'General Inputs'!U$9*$G29,0))+IF(AND(($E29+$C$1)&gt;AX$4,AX$4&gt;=$C$1),'General Inputs'!U$10*$J29,IF(AND(($D29+$C$1)&gt;AX$4,AX$4&gt;=$C$1),'General Inputs'!U$10*$I29,0))</f>
        <v>0</v>
      </c>
      <c r="AY29" s="214">
        <f>IF(AND(($E29+$C$1)&gt;AY$4,AY$4&gt;=$C$1),'General Inputs'!V$9*$H29,IF(AND(($D29+$C$1)&gt;AY$4,AY$4&gt;=$C$1),'General Inputs'!V$9*$G29,0))+IF(AND(($E29+$C$1)&gt;AY$4,AY$4&gt;=$C$1),'General Inputs'!V$10*$J29,IF(AND(($D29+$C$1)&gt;AY$4,AY$4&gt;=$C$1),'General Inputs'!V$10*$I29,0))</f>
        <v>0</v>
      </c>
      <c r="AZ29" s="214">
        <f>IF(AND(($E29+$C$1)&gt;AZ$4,AZ$4&gt;=$C$1),'General Inputs'!W$9*$H29,IF(AND(($D29+$C$1)&gt;AZ$4,AZ$4&gt;=$C$1),'General Inputs'!W$9*$G29,0))+IF(AND(($E29+$C$1)&gt;AZ$4,AZ$4&gt;=$C$1),'General Inputs'!W$10*$J29,IF(AND(($D29+$C$1)&gt;AZ$4,AZ$4&gt;=$C$1),'General Inputs'!W$10*$I29,0))</f>
        <v>0</v>
      </c>
      <c r="BB29" s="214">
        <f>IF(AND(($E29+$C$1)&gt;BB$4,BB$4&gt;=$C$1),'General Inputs'!D$11*$H29,IF(AND(($D29+$C$1)&gt;BB$4,BB$4&gt;=$C$1),'General Inputs'!D$11*$G29,0))</f>
        <v>0</v>
      </c>
      <c r="BC29" s="214">
        <f>IF(AND(($E29+$C$1)&gt;BC$4,BC$4&gt;=$C$1),'General Inputs'!E$11*$H29,IF(AND(($D29+$C$1)&gt;BC$4,BC$4&gt;=$C$1),'General Inputs'!E$11*$G29,0))</f>
        <v>0</v>
      </c>
      <c r="BD29" s="214">
        <f>IF(AND(($E29+$C$1)&gt;BD$4,BD$4&gt;=$C$1),'General Inputs'!F$11*$H29,IF(AND(($D29+$C$1)&gt;BD$4,BD$4&gt;=$C$1),'General Inputs'!F$11*$G29,0))</f>
        <v>212.99263395894872</v>
      </c>
      <c r="BE29" s="214">
        <f>IF(AND(($E29+$C$1)&gt;BE$4,BE$4&gt;=$C$1),'General Inputs'!G$11*$H29,IF(AND(($D29+$C$1)&gt;BE$4,BE$4&gt;=$C$1),'General Inputs'!G$11*$G29,0))</f>
        <v>212.99263395894872</v>
      </c>
      <c r="BF29" s="214">
        <f>IF(AND(($E29+$C$1)&gt;BF$4,BF$4&gt;=$C$1),'General Inputs'!H$11*$H29,IF(AND(($D29+$C$1)&gt;BF$4,BF$4&gt;=$C$1),'General Inputs'!H$11*$G29,0))</f>
        <v>212.99263395894872</v>
      </c>
      <c r="BG29" s="214">
        <f>IF(AND(($E29+$C$1)&gt;BG$4,BG$4&gt;=$C$1),'General Inputs'!I$11*$H29,IF(AND(($D29+$C$1)&gt;BG$4,BG$4&gt;=$C$1),'General Inputs'!I$11*$G29,0))</f>
        <v>212.99263395894872</v>
      </c>
      <c r="BH29" s="214">
        <f>IF(AND(($E29+$C$1)&gt;BH$4,BH$4&gt;=$C$1),'General Inputs'!J$11*$H29,IF(AND(($D29+$C$1)&gt;BH$4,BH$4&gt;=$C$1),'General Inputs'!J$11*$G29,0))</f>
        <v>212.99263395894872</v>
      </c>
      <c r="BI29" s="214">
        <f>IF(AND(($E29+$C$1)&gt;BI$4,BI$4&gt;=$C$1),'General Inputs'!K$11*$H29,IF(AND(($D29+$C$1)&gt;BI$4,BI$4&gt;=$C$1),'General Inputs'!K$11*$G29,0))</f>
        <v>212.99263395894872</v>
      </c>
      <c r="BJ29" s="214">
        <f>IF(AND(($E29+$C$1)&gt;BJ$4,BJ$4&gt;=$C$1),'General Inputs'!L$11*$H29,IF(AND(($D29+$C$1)&gt;BJ$4,BJ$4&gt;=$C$1),'General Inputs'!L$11*$G29,0))</f>
        <v>212.99263395894872</v>
      </c>
      <c r="BK29" s="214">
        <f>IF(AND(($E29+$C$1)&gt;BK$4,BK$4&gt;=$C$1),'General Inputs'!M$11*$H29,IF(AND(($D29+$C$1)&gt;BK$4,BK$4&gt;=$C$1),'General Inputs'!M$11*$G29,0))</f>
        <v>212.99263395894872</v>
      </c>
      <c r="BL29" s="214">
        <f>IF(AND(($E29+$C$1)&gt;BL$4,BL$4&gt;=$C$1),'General Inputs'!N$11*$H29,IF(AND(($D29+$C$1)&gt;BL$4,BL$4&gt;=$C$1),'General Inputs'!N$11*$G29,0))</f>
        <v>212.99263395894872</v>
      </c>
      <c r="BM29" s="214">
        <f>IF(AND(($E29+$C$1)&gt;BM$4,BM$4&gt;=$C$1),'General Inputs'!O$11*$H29,IF(AND(($D29+$C$1)&gt;BM$4,BM$4&gt;=$C$1),'General Inputs'!O$11*$G29,0))</f>
        <v>212.99263395894872</v>
      </c>
      <c r="BN29" s="214">
        <f>IF(AND(($E29+$C$1)&gt;BN$4,BN$4&gt;=$C$1),'General Inputs'!P$11*$H29,IF(AND(($D29+$C$1)&gt;BN$4,BN$4&gt;=$C$1),'General Inputs'!P$11*$G29,0))</f>
        <v>0</v>
      </c>
      <c r="BO29" s="214">
        <f>IF(AND(($E29+$C$1)&gt;BO$4,BO$4&gt;=$C$1),'General Inputs'!Q$11*$H29,IF(AND(($D29+$C$1)&gt;BO$4,BO$4&gt;=$C$1),'General Inputs'!Q$11*$G29,0))</f>
        <v>0</v>
      </c>
      <c r="BP29" s="214">
        <f>IF(AND(($E29+$C$1)&gt;BP$4,BP$4&gt;=$C$1),'General Inputs'!R$11*$H29,IF(AND(($D29+$C$1)&gt;BP$4,BP$4&gt;=$C$1),'General Inputs'!R$11*$G29,0))</f>
        <v>0</v>
      </c>
      <c r="BQ29" s="214">
        <f>IF(AND(($E29+$C$1)&gt;BQ$4,BQ$4&gt;=$C$1),'General Inputs'!S$11*$H29,IF(AND(($D29+$C$1)&gt;BQ$4,BQ$4&gt;=$C$1),'General Inputs'!S$11*$G29,0))</f>
        <v>0</v>
      </c>
      <c r="BR29" s="214">
        <f>IF(AND(($E29+$C$1)&gt;BR$4,BR$4&gt;=$C$1),'General Inputs'!T$11*$H29,IF(AND(($D29+$C$1)&gt;BR$4,BR$4&gt;=$C$1),'General Inputs'!T$11*$G29,0))</f>
        <v>0</v>
      </c>
      <c r="BS29" s="214">
        <f>IF(AND(($E29+$C$1)&gt;BS$4,BS$4&gt;=$C$1),'General Inputs'!U$11*$H29,IF(AND(($D29+$C$1)&gt;BS$4,BS$4&gt;=$C$1),'General Inputs'!U$11*$G29,0))</f>
        <v>0</v>
      </c>
      <c r="BT29" s="214">
        <f>IF(AND(($E29+$C$1)&gt;BT$4,BT$4&gt;=$C$1),'General Inputs'!V$11*$H29,IF(AND(($D29+$C$1)&gt;BT$4,BT$4&gt;=$C$1),'General Inputs'!V$11*$G29,0))</f>
        <v>0</v>
      </c>
      <c r="BU29" s="214">
        <f>IF(AND(($E29+$C$1)&gt;BU$4,BU$4&gt;=$C$1),'General Inputs'!W$11*$H29,IF(AND(($D29+$C$1)&gt;BU$4,BU$4&gt;=$C$1),'General Inputs'!W$11*$G29,0))</f>
        <v>0</v>
      </c>
      <c r="BW29" s="214">
        <f>IF(AND(($E29+$C$1)&gt;BW$4,BW$4&gt;=$C$1),$H29,IF(AND(($D29+$C$1)&gt;BW$4,BW$4&gt;=$C$1),$G29,0))*IF($A29="Residential",'General Inputs'!D$14,'General Inputs'!D$19)</f>
        <v>0</v>
      </c>
      <c r="BX29" s="214">
        <f>IF(AND(($E29+$C$1)&gt;BX$4,BX$4&gt;=$C$1),$H29,IF(AND(($D29+$C$1)&gt;BX$4,BX$4&gt;=$C$1),$G29,0))*IF($A29="Residential",'General Inputs'!E$14,'General Inputs'!E$19)</f>
        <v>0</v>
      </c>
      <c r="BY29" s="214">
        <f>IF(AND(($E29+$C$1)&gt;BY$4,BY$4&gt;=$C$1),$H29,IF(AND(($D29+$C$1)&gt;BY$4,BY$4&gt;=$C$1),$G29,0))*IF($A29="Residential",'General Inputs'!F$14,'General Inputs'!F$19)</f>
        <v>2583.7029079015651</v>
      </c>
      <c r="BZ29" s="214">
        <f>IF(AND(($E29+$C$1)&gt;BZ$4,BZ$4&gt;=$C$1),$H29,IF(AND(($D29+$C$1)&gt;BZ$4,BZ$4&gt;=$C$1),$G29,0))*IF($A29="Residential",'General Inputs'!G$14,'General Inputs'!G$19)</f>
        <v>2622.4584515200881</v>
      </c>
      <c r="CA29" s="214">
        <f>IF(AND(($E29+$C$1)&gt;CA$4,CA$4&gt;=$C$1),$H29,IF(AND(($D29+$C$1)&gt;CA$4,CA$4&gt;=$C$1),$G29,0))*IF($A29="Residential",'General Inputs'!H$14,'General Inputs'!H$19)</f>
        <v>2661.7953282928893</v>
      </c>
      <c r="CB29" s="214">
        <f>IF(AND(($E29+$C$1)&gt;CB$4,CB$4&gt;=$C$1),$H29,IF(AND(($D29+$C$1)&gt;CB$4,CB$4&gt;=$C$1),$G29,0))*IF($A29="Residential",'General Inputs'!I$14,'General Inputs'!I$19)</f>
        <v>2701.7222582172826</v>
      </c>
      <c r="CC29" s="214">
        <f>IF(AND(($E29+$C$1)&gt;CC$4,CC$4&gt;=$C$1),$H29,IF(AND(($D29+$C$1)&gt;CC$4,CC$4&gt;=$C$1),$G29,0))*IF($A29="Residential",'General Inputs'!J$14,'General Inputs'!J$19)</f>
        <v>2742.2480920905414</v>
      </c>
      <c r="CD29" s="214">
        <f>IF(AND(($E29+$C$1)&gt;CD$4,CD$4&gt;=$C$1),$H29,IF(AND(($D29+$C$1)&gt;CD$4,CD$4&gt;=$C$1),$G29,0))*IF($A29="Residential",'General Inputs'!K$14,'General Inputs'!K$19)</f>
        <v>2783.381813471899</v>
      </c>
      <c r="CE29" s="214">
        <f>IF(AND(($E29+$C$1)&gt;CE$4,CE$4&gt;=$C$1),$H29,IF(AND(($D29+$C$1)&gt;CE$4,CE$4&gt;=$C$1),$G29,0))*IF($A29="Residential",'General Inputs'!L$14,'General Inputs'!L$19)</f>
        <v>2825.132540673977</v>
      </c>
      <c r="CF29" s="214">
        <f>IF(AND(($E29+$C$1)&gt;CF$4,CF$4&gt;=$C$1),$H29,IF(AND(($D29+$C$1)&gt;CF$4,CF$4&gt;=$C$1),$G29,0))*IF($A29="Residential",'General Inputs'!M$14,'General Inputs'!M$19)</f>
        <v>2867.5095287840863</v>
      </c>
      <c r="CG29" s="214">
        <f>IF(AND(($E29+$C$1)&gt;CG$4,CG$4&gt;=$C$1),$H29,IF(AND(($D29+$C$1)&gt;CG$4,CG$4&gt;=$C$1),$G29,0))*IF($A29="Residential",'General Inputs'!N$14,'General Inputs'!N$19)</f>
        <v>2910.5221717158474</v>
      </c>
      <c r="CH29" s="214">
        <f>IF(AND(($E29+$C$1)&gt;CH$4,CH$4&gt;=$C$1),$H29,IF(AND(($D29+$C$1)&gt;CH$4,CH$4&gt;=$C$1),$G29,0))*IF($A29="Residential",'General Inputs'!O$14,'General Inputs'!O$19)</f>
        <v>2954.1800042915847</v>
      </c>
      <c r="CI29" s="214">
        <f>IF(AND(($E29+$C$1)&gt;CI$4,CI$4&gt;=$C$1),$H29,IF(AND(($D29+$C$1)&gt;CI$4,CI$4&gt;=$C$1),$G29,0))*IF($A29="Residential",'General Inputs'!P$14,'General Inputs'!P$19)</f>
        <v>0</v>
      </c>
      <c r="CJ29" s="214">
        <f>IF(AND(($E29+$C$1)&gt;CJ$4,CJ$4&gt;=$C$1),$H29,IF(AND(($D29+$C$1)&gt;CJ$4,CJ$4&gt;=$C$1),$G29,0))*IF($A29="Residential",'General Inputs'!Q$14,'General Inputs'!Q$19)</f>
        <v>0</v>
      </c>
      <c r="CK29" s="214">
        <f>IF(AND(($E29+$C$1)&gt;CK$4,CK$4&gt;=$C$1),$H29,IF(AND(($D29+$C$1)&gt;CK$4,CK$4&gt;=$C$1),$G29,0))*IF($A29="Residential",'General Inputs'!R$14,'General Inputs'!R$19)</f>
        <v>0</v>
      </c>
      <c r="CL29" s="214">
        <f>IF(AND(($E29+$C$1)&gt;CL$4,CL$4&gt;=$C$1),$H29,IF(AND(($D29+$C$1)&gt;CL$4,CL$4&gt;=$C$1),$G29,0))*IF($A29="Residential",'General Inputs'!S$14,'General Inputs'!S$19)</f>
        <v>0</v>
      </c>
      <c r="CM29" s="214">
        <f>IF(AND(($E29+$C$1)&gt;CM$4,CM$4&gt;=$C$1),$H29,IF(AND(($D29+$C$1)&gt;CM$4,CM$4&gt;=$C$1),$G29,0))*IF($A29="Residential",'General Inputs'!T$14,'General Inputs'!T$19)</f>
        <v>0</v>
      </c>
      <c r="CN29" s="214">
        <f>IF(AND(($E29+$C$1)&gt;CN$4,CN$4&gt;=$C$1),$H29,IF(AND(($D29+$C$1)&gt;CN$4,CN$4&gt;=$C$1),$G29,0))*IF($A29="Residential",'General Inputs'!U$14,'General Inputs'!U$19)</f>
        <v>0</v>
      </c>
      <c r="CO29" s="214">
        <f>IF(AND(($E29+$C$1)&gt;CO$4,CO$4&gt;=$C$1),$H29,IF(AND(($D29+$C$1)&gt;CO$4,CO$4&gt;=$C$1),$G29,0))*IF($A29="Residential",'General Inputs'!V$14,'General Inputs'!V$19)</f>
        <v>0</v>
      </c>
      <c r="CP29" s="214">
        <f>IF(AND(($E29+$C$1)&gt;CP$4,CP$4&gt;=$C$1),$H29,IF(AND(($D29+$C$1)&gt;CP$4,CP$4&gt;=$C$1),$G29,0))*IF($A29="Residential",'General Inputs'!W$14,'General Inputs'!W$19)</f>
        <v>0</v>
      </c>
      <c r="CR29" s="214">
        <f>IF(AND(($E29+$C$1)&gt;CR$4,CR$4&gt;=$C$1),$H29,IF(AND(($D29+$C$1)&gt;CR$4,CR$4&gt;=$C$1),$G29,0))*IF($A29="Residential",'General Inputs'!D$15,'General Inputs'!D$19)</f>
        <v>0</v>
      </c>
      <c r="CS29" s="214">
        <f>IF(AND(($E29+$C$1)&gt;CS$4,CS$4&gt;=$C$1),$H29,IF(AND(($D29+$C$1)&gt;CS$4,CS$4&gt;=$C$1),$G29,0))*IF($A29="Residential",'General Inputs'!E$15,'General Inputs'!E$19)</f>
        <v>0</v>
      </c>
      <c r="CT29" s="214">
        <f>IF(AND(($E29+$C$1)&gt;CT$4,CT$4&gt;=$C$1),$H29,IF(AND(($D29+$C$1)&gt;CT$4,CT$4&gt;=$C$1),$G29,0))*IF($A29="Residential",'General Inputs'!F$15,'General Inputs'!F$19)</f>
        <v>2101.8637081776683</v>
      </c>
      <c r="CU29" s="214">
        <f>IF(AND(($E29+$C$1)&gt;CU$4,CU$4&gt;=$C$1),$H29,IF(AND(($D29+$C$1)&gt;CU$4,CU$4&gt;=$C$1),$G29,0))*IF($A29="Residential",'General Inputs'!G$15,'General Inputs'!G$19)</f>
        <v>2133.3916638003329</v>
      </c>
      <c r="CV29" s="214">
        <f>IF(AND(($E29+$C$1)&gt;CV$4,CV$4&gt;=$C$1),$H29,IF(AND(($D29+$C$1)&gt;CV$4,CV$4&gt;=$C$1),$G29,0))*IF($A29="Residential",'General Inputs'!H$15,'General Inputs'!H$19)</f>
        <v>2165.3925387573377</v>
      </c>
      <c r="CW29" s="214">
        <f>IF(AND(($E29+$C$1)&gt;CW$4,CW$4&gt;=$C$1),$H29,IF(AND(($D29+$C$1)&gt;CW$4,CW$4&gt;=$C$1),$G29,0))*IF($A29="Residential",'General Inputs'!I$15,'General Inputs'!I$19)</f>
        <v>2197.8734268386975</v>
      </c>
      <c r="CX29" s="214">
        <f>IF(AND(($E29+$C$1)&gt;CX$4,CX$4&gt;=$C$1),$H29,IF(AND(($D29+$C$1)&gt;CX$4,CX$4&gt;=$C$1),$G29,0))*IF($A29="Residential",'General Inputs'!J$15,'General Inputs'!J$19)</f>
        <v>2230.841528241278</v>
      </c>
      <c r="CY29" s="214">
        <f>IF(AND(($E29+$C$1)&gt;CY$4,CY$4&gt;=$C$1),$H29,IF(AND(($D29+$C$1)&gt;CY$4,CY$4&gt;=$C$1),$G29,0))*IF($A29="Residential",'General Inputs'!K$15,'General Inputs'!K$19)</f>
        <v>2264.3041511648967</v>
      </c>
      <c r="CZ29" s="214">
        <f>IF(AND(($E29+$C$1)&gt;CZ$4,CZ$4&gt;=$C$1),$H29,IF(AND(($D29+$C$1)&gt;CZ$4,CZ$4&gt;=$C$1),$G29,0))*IF($A29="Residential",'General Inputs'!L$15,'General Inputs'!L$19)</f>
        <v>2298.2687134323701</v>
      </c>
      <c r="DA29" s="214">
        <f>IF(AND(($E29+$C$1)&gt;DA$4,DA$4&gt;=$C$1),$H29,IF(AND(($D29+$C$1)&gt;DA$4,DA$4&gt;=$C$1),$G29,0))*IF($A29="Residential",'General Inputs'!M$15,'General Inputs'!M$19)</f>
        <v>2332.7427441338555</v>
      </c>
      <c r="DB29" s="214">
        <f>IF(AND(($E29+$C$1)&gt;DB$4,DB$4&gt;=$C$1),$H29,IF(AND(($D29+$C$1)&gt;DB$4,DB$4&gt;=$C$1),$G29,0))*IF($A29="Residential",'General Inputs'!N$15,'General Inputs'!N$19)</f>
        <v>2367.7338852958628</v>
      </c>
      <c r="DC29" s="214">
        <f>IF(AND(($E29+$C$1)&gt;DC$4,DC$4&gt;=$C$1),$H29,IF(AND(($D29+$C$1)&gt;DC$4,DC$4&gt;=$C$1),$G29,0))*IF($A29="Residential",'General Inputs'!O$15,'General Inputs'!O$19)</f>
        <v>2403.2498935753006</v>
      </c>
      <c r="DD29" s="214">
        <f>IF(AND(($E29+$C$1)&gt;DD$4,DD$4&gt;=$C$1),$H29,IF(AND(($D29+$C$1)&gt;DD$4,DD$4&gt;=$C$1),$G29,0))*IF($A29="Residential",'General Inputs'!P$15,'General Inputs'!P$19)</f>
        <v>0</v>
      </c>
      <c r="DE29" s="214">
        <f>IF(AND(($E29+$C$1)&gt;DE$4,DE$4&gt;=$C$1),$H29,IF(AND(($D29+$C$1)&gt;DE$4,DE$4&gt;=$C$1),$G29,0))*IF($A29="Residential",'General Inputs'!Q$15,'General Inputs'!Q$19)</f>
        <v>0</v>
      </c>
      <c r="DF29" s="214">
        <f>IF(AND(($E29+$C$1)&gt;DF$4,DF$4&gt;=$C$1),$H29,IF(AND(($D29+$C$1)&gt;DF$4,DF$4&gt;=$C$1),$G29,0))*IF($A29="Residential",'General Inputs'!R$15,'General Inputs'!R$19)</f>
        <v>0</v>
      </c>
      <c r="DG29" s="214">
        <f>IF(AND(($E29+$C$1)&gt;DG$4,DG$4&gt;=$C$1),$H29,IF(AND(($D29+$C$1)&gt;DG$4,DG$4&gt;=$C$1),$G29,0))*IF($A29="Residential",'General Inputs'!S$15,'General Inputs'!S$19)</f>
        <v>0</v>
      </c>
      <c r="DH29" s="214">
        <f>IF(AND(($E29+$C$1)&gt;DH$4,DH$4&gt;=$C$1),$H29,IF(AND(($D29+$C$1)&gt;DH$4,DH$4&gt;=$C$1),$G29,0))*IF($A29="Residential",'General Inputs'!T$15,'General Inputs'!T$19)</f>
        <v>0</v>
      </c>
      <c r="DI29" s="214">
        <f>IF(AND(($E29+$C$1)&gt;DI$4,DI$4&gt;=$C$1),$H29,IF(AND(($D29+$C$1)&gt;DI$4,DI$4&gt;=$C$1),$G29,0))*IF($A29="Residential",'General Inputs'!U$15,'General Inputs'!U$19)</f>
        <v>0</v>
      </c>
      <c r="DJ29" s="214">
        <f>IF(AND(($E29+$C$1)&gt;DJ$4,DJ$4&gt;=$C$1),$H29,IF(AND(($D29+$C$1)&gt;DJ$4,DJ$4&gt;=$C$1),$G29,0))*IF($A29="Residential",'General Inputs'!V$15,'General Inputs'!V$19)</f>
        <v>0</v>
      </c>
      <c r="DK29" s="214">
        <f>IF(AND(($E29+$C$1)&gt;DK$4,DK$4&gt;=$C$1),$H29,IF(AND(($D29+$C$1)&gt;DK$4,DK$4&gt;=$C$1),$G29,0))*IF($A29="Residential",'General Inputs'!W$15,'General Inputs'!W$19)</f>
        <v>0</v>
      </c>
      <c r="DM29" s="214">
        <f t="shared" si="47"/>
        <v>0</v>
      </c>
      <c r="DN29" s="214">
        <f t="shared" si="47"/>
        <v>0</v>
      </c>
      <c r="DO29" s="214">
        <f t="shared" si="47"/>
        <v>0</v>
      </c>
      <c r="DP29" s="214">
        <f t="shared" si="47"/>
        <v>0</v>
      </c>
      <c r="DQ29" s="214">
        <f t="shared" si="47"/>
        <v>0</v>
      </c>
      <c r="DR29" s="214">
        <f t="shared" si="47"/>
        <v>0</v>
      </c>
      <c r="DS29" s="214">
        <f t="shared" si="47"/>
        <v>0</v>
      </c>
      <c r="DT29" s="214">
        <f t="shared" si="47"/>
        <v>0</v>
      </c>
      <c r="DU29" s="214">
        <f t="shared" si="47"/>
        <v>0</v>
      </c>
      <c r="DV29" s="214">
        <f t="shared" si="47"/>
        <v>0</v>
      </c>
      <c r="DW29" s="214">
        <f t="shared" si="47"/>
        <v>0</v>
      </c>
      <c r="DZ29" s="650"/>
      <c r="FI29" s="195"/>
      <c r="FJ29" s="195"/>
      <c r="FK29" s="195"/>
      <c r="FL29" s="195"/>
      <c r="FM29" s="195"/>
      <c r="FN29" s="195"/>
      <c r="FO29" s="195"/>
    </row>
    <row r="30" spans="1:171">
      <c r="A30" s="342" t="s">
        <v>12</v>
      </c>
      <c r="B30" s="427" t="str">
        <f>'Portfolio Inputs'!A29</f>
        <v>Hot Water Pipe Insulation</v>
      </c>
      <c r="C30" s="217">
        <f>IF($C$1=2014,'Portfolio Inputs'!$C29,IF($C$1=2015,'Portfolio Inputs'!$D29,'Portfolio Inputs'!$E29))</f>
        <v>106</v>
      </c>
      <c r="D30" s="504">
        <f>VLOOKUP(B30,Sources!$B$4:$J$104,2,FALSE)</f>
        <v>15</v>
      </c>
      <c r="E30" s="504">
        <f>VLOOKUP(B30,Sources!$B$4:$J$104,3,FALSE)</f>
        <v>0</v>
      </c>
      <c r="G30" s="504">
        <f>IF($C$1=2014,'Portfolio Inputs'!$G29,IF($C$1=2015,'Portfolio Inputs'!$H29,'Portfolio Inputs'!$I29))*EnergyLineLoss</f>
        <v>15040.223409317316</v>
      </c>
      <c r="H30" s="504"/>
      <c r="I30" s="504">
        <f>IF($C$1=2014,'Portfolio Inputs'!$K29,IF($C$1=2015,'Portfolio Inputs'!$L29,'Portfolio Inputs'!$M29))*PeakLineLoss</f>
        <v>1.716920480515675</v>
      </c>
      <c r="J30" s="510"/>
      <c r="L30" s="606">
        <f>IF($C$1=2014,'Portfolio Inputs'!$O29,IF($C$1=2015,'Portfolio Inputs'!$P29,'Portfolio Inputs'!$Q29))</f>
        <v>0</v>
      </c>
      <c r="M30" s="518">
        <f>VLOOKUP($B30,Sources!$B$4:$K$104,10,FALSE)</f>
        <v>0</v>
      </c>
      <c r="N30" s="419">
        <f>IF($C$1=2014,'Portfolio Inputs'!$W29,IF($C$1=2015,'Portfolio Inputs'!$X29,'Portfolio Inputs'!$Y29))</f>
        <v>0</v>
      </c>
      <c r="O30" s="419"/>
      <c r="Q30" s="438" t="str">
        <f t="shared" si="67"/>
        <v>n/a</v>
      </c>
      <c r="R30" s="439" t="str">
        <f t="shared" si="68"/>
        <v>n/a</v>
      </c>
      <c r="S30" s="439" t="str">
        <f t="shared" si="69"/>
        <v>n/a</v>
      </c>
      <c r="T30" s="439" t="str">
        <f t="shared" si="70"/>
        <v>n/a</v>
      </c>
      <c r="U30" s="439" t="str">
        <f t="shared" si="71"/>
        <v>n/a</v>
      </c>
      <c r="V30" s="439">
        <f t="shared" si="72"/>
        <v>0.30933117233464419</v>
      </c>
      <c r="W30" s="439">
        <f t="shared" si="73"/>
        <v>0.38024342223338065</v>
      </c>
      <c r="Y30" s="215">
        <f t="shared" si="4"/>
        <v>5227.5601514843111</v>
      </c>
      <c r="Z30" s="215">
        <f t="shared" si="5"/>
        <v>1281.9050969545515</v>
      </c>
      <c r="AA30" s="215">
        <f t="shared" si="6"/>
        <v>16899.558204980945</v>
      </c>
      <c r="AB30" s="215">
        <f t="shared" si="7"/>
        <v>13747.930525082982</v>
      </c>
      <c r="AC30" s="216">
        <f t="shared" si="20"/>
        <v>0</v>
      </c>
      <c r="AD30" s="216">
        <f t="shared" si="21"/>
        <v>0</v>
      </c>
      <c r="AE30" s="215">
        <f t="shared" si="8"/>
        <v>0</v>
      </c>
      <c r="AG30" s="214">
        <f>IF(AND(($E30+$C$1)&gt;AG$4,AG$4&gt;=$C$1),'General Inputs'!D$9*$H30,IF(AND(($D30+$C$1)&gt;AG$4,AG$4&gt;=$C$1),'General Inputs'!D$9*$G30,0))+IF(AND(($E30+$C$1)&gt;AG$4,AG$4&gt;=$C$1),'General Inputs'!D$10*$J30,IF(AND(($D30+$C$1)&gt;AG$4,AG$4&gt;=$C$1),'General Inputs'!D$10*$I30,0))</f>
        <v>0</v>
      </c>
      <c r="AH30" s="214">
        <f>IF(AND(($E30+$C$1)&gt;AH$4,AH$4&gt;=$C$1),'General Inputs'!E$9*$H30,IF(AND(($D30+$C$1)&gt;AH$4,AH$4&gt;=$C$1),'General Inputs'!E$9*$G30,0))+IF(AND(($E30+$C$1)&gt;AH$4,AH$4&gt;=$C$1),'General Inputs'!E$10*$J30,IF(AND(($D30+$C$1)&gt;AH$4,AH$4&gt;=$C$1),'General Inputs'!E$10*$I30,0))</f>
        <v>0</v>
      </c>
      <c r="AI30" s="214">
        <f>IF(AND(($E30+$C$1)&gt;AI$4,AI$4&gt;=$C$1),'General Inputs'!F$9*$H30,IF(AND(($D30+$C$1)&gt;AI$4,AI$4&gt;=$C$1),'General Inputs'!F$9*$G30,0))+IF(AND(($E30+$C$1)&gt;AI$4,AI$4&gt;=$C$1),'General Inputs'!F$10*$J30,IF(AND(($D30+$C$1)&gt;AI$4,AI$4&gt;=$C$1),'General Inputs'!F$10*$I30,0))</f>
        <v>643.37001458192901</v>
      </c>
      <c r="AJ30" s="214">
        <f>IF(AND(($E30+$C$1)&gt;AJ$4,AJ$4&gt;=$C$1),'General Inputs'!G$9*$H30,IF(AND(($D30+$C$1)&gt;AJ$4,AJ$4&gt;=$C$1),'General Inputs'!G$9*$G30,0))+IF(AND(($E30+$C$1)&gt;AJ$4,AJ$4&gt;=$C$1),'General Inputs'!G$10*$J30,IF(AND(($D30+$C$1)&gt;AJ$4,AJ$4&gt;=$C$1),'General Inputs'!G$10*$I30,0))</f>
        <v>653.02056480065789</v>
      </c>
      <c r="AK30" s="214">
        <f>IF(AND(($E30+$C$1)&gt;AK$4,AK$4&gt;=$C$1),'General Inputs'!H$9*$H30,IF(AND(($D30+$C$1)&gt;AK$4,AK$4&gt;=$C$1),'General Inputs'!H$9*$G30,0))+IF(AND(($E30+$C$1)&gt;AK$4,AK$4&gt;=$C$1),'General Inputs'!H$10*$J30,IF(AND(($D30+$C$1)&gt;AK$4,AK$4&gt;=$C$1),'General Inputs'!H$10*$I30,0))</f>
        <v>662.81587327266777</v>
      </c>
      <c r="AL30" s="214">
        <f>IF(AND(($E30+$C$1)&gt;AL$4,AL$4&gt;=$C$1),'General Inputs'!I$9*$H30,IF(AND(($D30+$C$1)&gt;AL$4,AL$4&gt;=$C$1),'General Inputs'!I$9*$G30,0))+IF(AND(($E30+$C$1)&gt;AL$4,AL$4&gt;=$C$1),'General Inputs'!I$10*$J30,IF(AND(($D30+$C$1)&gt;AL$4,AL$4&gt;=$C$1),'General Inputs'!I$10*$I30,0))</f>
        <v>672.75811137175765</v>
      </c>
      <c r="AM30" s="214">
        <f>IF(AND(($E30+$C$1)&gt;AM$4,AM$4&gt;=$C$1),'General Inputs'!J$9*$H30,IF(AND(($D30+$C$1)&gt;AM$4,AM$4&gt;=$C$1),'General Inputs'!J$9*$G30,0))+IF(AND(($E30+$C$1)&gt;AM$4,AM$4&gt;=$C$1),'General Inputs'!J$10*$J30,IF(AND(($D30+$C$1)&gt;AM$4,AM$4&gt;=$C$1),'General Inputs'!J$10*$I30,0))</f>
        <v>682.84948304233387</v>
      </c>
      <c r="AN30" s="214">
        <f>IF(AND(($E30+$C$1)&gt;AN$4,AN$4&gt;=$C$1),'General Inputs'!K$9*$H30,IF(AND(($D30+$C$1)&gt;AN$4,AN$4&gt;=$C$1),'General Inputs'!K$9*$G30,0))+IF(AND(($E30+$C$1)&gt;AN$4,AN$4&gt;=$C$1),'General Inputs'!K$10*$J30,IF(AND(($D30+$C$1)&gt;AN$4,AN$4&gt;=$C$1),'General Inputs'!K$10*$I30,0))</f>
        <v>693.09222528796886</v>
      </c>
      <c r="AO30" s="214">
        <f>IF(AND(($E30+$C$1)&gt;AO$4,AO$4&gt;=$C$1),'General Inputs'!L$9*$H30,IF(AND(($D30+$C$1)&gt;AO$4,AO$4&gt;=$C$1),'General Inputs'!L$9*$G30,0))+IF(AND(($E30+$C$1)&gt;AO$4,AO$4&gt;=$C$1),'General Inputs'!L$10*$J30,IF(AND(($D30+$C$1)&gt;AO$4,AO$4&gt;=$C$1),'General Inputs'!L$10*$I30,0))</f>
        <v>703.4886086672883</v>
      </c>
      <c r="AP30" s="214">
        <f>IF(AND(($E30+$C$1)&gt;AP$4,AP$4&gt;=$C$1),'General Inputs'!M$9*$H30,IF(AND(($D30+$C$1)&gt;AP$4,AP$4&gt;=$C$1),'General Inputs'!M$9*$G30,0))+IF(AND(($E30+$C$1)&gt;AP$4,AP$4&gt;=$C$1),'General Inputs'!M$10*$J30,IF(AND(($D30+$C$1)&gt;AP$4,AP$4&gt;=$C$1),'General Inputs'!M$10*$I30,0))</f>
        <v>714.04093779729749</v>
      </c>
      <c r="AQ30" s="214">
        <f>IF(AND(($E30+$C$1)&gt;AQ$4,AQ$4&gt;=$C$1),'General Inputs'!N$9*$H30,IF(AND(($D30+$C$1)&gt;AQ$4,AQ$4&gt;=$C$1),'General Inputs'!N$9*$G30,0))+IF(AND(($E30+$C$1)&gt;AQ$4,AQ$4&gt;=$C$1),'General Inputs'!N$10*$J30,IF(AND(($D30+$C$1)&gt;AQ$4,AQ$4&gt;=$C$1),'General Inputs'!N$10*$I30,0))</f>
        <v>724.75155186425695</v>
      </c>
      <c r="AR30" s="214">
        <f>IF(AND(($E30+$C$1)&gt;AR$4,AR$4&gt;=$C$1),'General Inputs'!O$9*$H30,IF(AND(($D30+$C$1)&gt;AR$4,AR$4&gt;=$C$1),'General Inputs'!O$9*$G30,0))+IF(AND(($E30+$C$1)&gt;AR$4,AR$4&gt;=$C$1),'General Inputs'!O$10*$J30,IF(AND(($D30+$C$1)&gt;AR$4,AR$4&gt;=$C$1),'General Inputs'!O$10*$I30,0))</f>
        <v>735.62282514222068</v>
      </c>
      <c r="AS30" s="214">
        <f>IF(AND(($E30+$C$1)&gt;AS$4,AS$4&gt;=$C$1),'General Inputs'!P$9*$H30,IF(AND(($D30+$C$1)&gt;AS$4,AS$4&gt;=$C$1),'General Inputs'!P$9*$G30,0))+IF(AND(($E30+$C$1)&gt;AS$4,AS$4&gt;=$C$1),'General Inputs'!P$10*$J30,IF(AND(($D30+$C$1)&gt;AS$4,AS$4&gt;=$C$1),'General Inputs'!P$10*$I30,0))</f>
        <v>746.65716751935395</v>
      </c>
      <c r="AT30" s="214">
        <f>IF(AND(($E30+$C$1)&gt;AT$4,AT$4&gt;=$C$1),'General Inputs'!Q$9*$H30,IF(AND(($D30+$C$1)&gt;AT$4,AT$4&gt;=$C$1),'General Inputs'!Q$9*$G30,0))+IF(AND(($E30+$C$1)&gt;AT$4,AT$4&gt;=$C$1),'General Inputs'!Q$10*$J30,IF(AND(($D30+$C$1)&gt;AT$4,AT$4&gt;=$C$1),'General Inputs'!Q$10*$I30,0))</f>
        <v>757.85702503214418</v>
      </c>
      <c r="AU30" s="214">
        <f>IF(AND(($E30+$C$1)&gt;AU$4,AU$4&gt;=$C$1),'General Inputs'!R$9*$H30,IF(AND(($D30+$C$1)&gt;AU$4,AU$4&gt;=$C$1),'General Inputs'!R$9*$G30,0))+IF(AND(($E30+$C$1)&gt;AU$4,AU$4&gt;=$C$1),'General Inputs'!R$10*$J30,IF(AND(($D30+$C$1)&gt;AU$4,AU$4&gt;=$C$1),'General Inputs'!R$10*$I30,0))</f>
        <v>769.2248804076263</v>
      </c>
      <c r="AV30" s="214">
        <f>IF(AND(($E30+$C$1)&gt;AV$4,AV$4&gt;=$C$1),'General Inputs'!S$9*$H30,IF(AND(($D30+$C$1)&gt;AV$4,AV$4&gt;=$C$1),'General Inputs'!S$9*$G30,0))+IF(AND(($E30+$C$1)&gt;AV$4,AV$4&gt;=$C$1),'General Inputs'!S$10*$J30,IF(AND(($D30+$C$1)&gt;AV$4,AV$4&gt;=$C$1),'General Inputs'!S$10*$I30,0))</f>
        <v>780.76325361374063</v>
      </c>
      <c r="AW30" s="214">
        <f>IF(AND(($E30+$C$1)&gt;AW$4,AW$4&gt;=$C$1),'General Inputs'!T$9*$H30,IF(AND(($D30+$C$1)&gt;AW$4,AW$4&gt;=$C$1),'General Inputs'!T$9*$G30,0))+IF(AND(($E30+$C$1)&gt;AW$4,AW$4&gt;=$C$1),'General Inputs'!T$10*$J30,IF(AND(($D30+$C$1)&gt;AW$4,AW$4&gt;=$C$1),'General Inputs'!T$10*$I30,0))</f>
        <v>792.47470241794679</v>
      </c>
      <c r="AX30" s="214">
        <f>IF(AND(($E30+$C$1)&gt;AX$4,AX$4&gt;=$C$1),'General Inputs'!U$9*$H30,IF(AND(($D30+$C$1)&gt;AX$4,AX$4&gt;=$C$1),'General Inputs'!U$9*$G30,0))+IF(AND(($E30+$C$1)&gt;AX$4,AX$4&gt;=$C$1),'General Inputs'!U$10*$J30,IF(AND(($D30+$C$1)&gt;AX$4,AX$4&gt;=$C$1),'General Inputs'!U$10*$I30,0))</f>
        <v>0</v>
      </c>
      <c r="AY30" s="214">
        <f>IF(AND(($E30+$C$1)&gt;AY$4,AY$4&gt;=$C$1),'General Inputs'!V$9*$H30,IF(AND(($D30+$C$1)&gt;AY$4,AY$4&gt;=$C$1),'General Inputs'!V$9*$G30,0))+IF(AND(($E30+$C$1)&gt;AY$4,AY$4&gt;=$C$1),'General Inputs'!V$10*$J30,IF(AND(($D30+$C$1)&gt;AY$4,AY$4&gt;=$C$1),'General Inputs'!V$10*$I30,0))</f>
        <v>0</v>
      </c>
      <c r="AZ30" s="214">
        <f>IF(AND(($E30+$C$1)&gt;AZ$4,AZ$4&gt;=$C$1),'General Inputs'!W$9*$H30,IF(AND(($D30+$C$1)&gt;AZ$4,AZ$4&gt;=$C$1),'General Inputs'!W$9*$G30,0))+IF(AND(($E30+$C$1)&gt;AZ$4,AZ$4&gt;=$C$1),'General Inputs'!W$10*$J30,IF(AND(($D30+$C$1)&gt;AZ$4,AZ$4&gt;=$C$1),'General Inputs'!W$10*$I30,0))</f>
        <v>0</v>
      </c>
      <c r="BB30" s="214">
        <f>IF(AND(($E30+$C$1)&gt;BB$4,BB$4&gt;=$C$1),'General Inputs'!D$11*$H30,IF(AND(($D30+$C$1)&gt;BB$4,BB$4&gt;=$C$1),'General Inputs'!D$11*$G30,0))</f>
        <v>0</v>
      </c>
      <c r="BC30" s="214">
        <f>IF(AND(($E30+$C$1)&gt;BC$4,BC$4&gt;=$C$1),'General Inputs'!E$11*$H30,IF(AND(($D30+$C$1)&gt;BC$4,BC$4&gt;=$C$1),'General Inputs'!E$11*$G30,0))</f>
        <v>0</v>
      </c>
      <c r="BD30" s="214">
        <f>IF(AND(($E30+$C$1)&gt;BD$4,BD$4&gt;=$C$1),'General Inputs'!F$11*$H30,IF(AND(($D30+$C$1)&gt;BD$4,BD$4&gt;=$C$1),'General Inputs'!F$11*$G30,0))</f>
        <v>171.4585468662174</v>
      </c>
      <c r="BE30" s="214">
        <f>IF(AND(($E30+$C$1)&gt;BE$4,BE$4&gt;=$C$1),'General Inputs'!G$11*$H30,IF(AND(($D30+$C$1)&gt;BE$4,BE$4&gt;=$C$1),'General Inputs'!G$11*$G30,0))</f>
        <v>171.4585468662174</v>
      </c>
      <c r="BF30" s="214">
        <f>IF(AND(($E30+$C$1)&gt;BF$4,BF$4&gt;=$C$1),'General Inputs'!H$11*$H30,IF(AND(($D30+$C$1)&gt;BF$4,BF$4&gt;=$C$1),'General Inputs'!H$11*$G30,0))</f>
        <v>171.4585468662174</v>
      </c>
      <c r="BG30" s="214">
        <f>IF(AND(($E30+$C$1)&gt;BG$4,BG$4&gt;=$C$1),'General Inputs'!I$11*$H30,IF(AND(($D30+$C$1)&gt;BG$4,BG$4&gt;=$C$1),'General Inputs'!I$11*$G30,0))</f>
        <v>171.4585468662174</v>
      </c>
      <c r="BH30" s="214">
        <f>IF(AND(($E30+$C$1)&gt;BH$4,BH$4&gt;=$C$1),'General Inputs'!J$11*$H30,IF(AND(($D30+$C$1)&gt;BH$4,BH$4&gt;=$C$1),'General Inputs'!J$11*$G30,0))</f>
        <v>171.4585468662174</v>
      </c>
      <c r="BI30" s="214">
        <f>IF(AND(($E30+$C$1)&gt;BI$4,BI$4&gt;=$C$1),'General Inputs'!K$11*$H30,IF(AND(($D30+$C$1)&gt;BI$4,BI$4&gt;=$C$1),'General Inputs'!K$11*$G30,0))</f>
        <v>171.4585468662174</v>
      </c>
      <c r="BJ30" s="214">
        <f>IF(AND(($E30+$C$1)&gt;BJ$4,BJ$4&gt;=$C$1),'General Inputs'!L$11*$H30,IF(AND(($D30+$C$1)&gt;BJ$4,BJ$4&gt;=$C$1),'General Inputs'!L$11*$G30,0))</f>
        <v>171.4585468662174</v>
      </c>
      <c r="BK30" s="214">
        <f>IF(AND(($E30+$C$1)&gt;BK$4,BK$4&gt;=$C$1),'General Inputs'!M$11*$H30,IF(AND(($D30+$C$1)&gt;BK$4,BK$4&gt;=$C$1),'General Inputs'!M$11*$G30,0))</f>
        <v>171.4585468662174</v>
      </c>
      <c r="BL30" s="214">
        <f>IF(AND(($E30+$C$1)&gt;BL$4,BL$4&gt;=$C$1),'General Inputs'!N$11*$H30,IF(AND(($D30+$C$1)&gt;BL$4,BL$4&gt;=$C$1),'General Inputs'!N$11*$G30,0))</f>
        <v>171.4585468662174</v>
      </c>
      <c r="BM30" s="214">
        <f>IF(AND(($E30+$C$1)&gt;BM$4,BM$4&gt;=$C$1),'General Inputs'!O$11*$H30,IF(AND(($D30+$C$1)&gt;BM$4,BM$4&gt;=$C$1),'General Inputs'!O$11*$G30,0))</f>
        <v>171.4585468662174</v>
      </c>
      <c r="BN30" s="214">
        <f>IF(AND(($E30+$C$1)&gt;BN$4,BN$4&gt;=$C$1),'General Inputs'!P$11*$H30,IF(AND(($D30+$C$1)&gt;BN$4,BN$4&gt;=$C$1),'General Inputs'!P$11*$G30,0))</f>
        <v>171.4585468662174</v>
      </c>
      <c r="BO30" s="214">
        <f>IF(AND(($E30+$C$1)&gt;BO$4,BO$4&gt;=$C$1),'General Inputs'!Q$11*$H30,IF(AND(($D30+$C$1)&gt;BO$4,BO$4&gt;=$C$1),'General Inputs'!Q$11*$G30,0))</f>
        <v>171.4585468662174</v>
      </c>
      <c r="BP30" s="214">
        <f>IF(AND(($E30+$C$1)&gt;BP$4,BP$4&gt;=$C$1),'General Inputs'!R$11*$H30,IF(AND(($D30+$C$1)&gt;BP$4,BP$4&gt;=$C$1),'General Inputs'!R$11*$G30,0))</f>
        <v>171.4585468662174</v>
      </c>
      <c r="BQ30" s="214">
        <f>IF(AND(($E30+$C$1)&gt;BQ$4,BQ$4&gt;=$C$1),'General Inputs'!S$11*$H30,IF(AND(($D30+$C$1)&gt;BQ$4,BQ$4&gt;=$C$1),'General Inputs'!S$11*$G30,0))</f>
        <v>171.4585468662174</v>
      </c>
      <c r="BR30" s="214">
        <f>IF(AND(($E30+$C$1)&gt;BR$4,BR$4&gt;=$C$1),'General Inputs'!T$11*$H30,IF(AND(($D30+$C$1)&gt;BR$4,BR$4&gt;=$C$1),'General Inputs'!T$11*$G30,0))</f>
        <v>171.4585468662174</v>
      </c>
      <c r="BS30" s="214">
        <f>IF(AND(($E30+$C$1)&gt;BS$4,BS$4&gt;=$C$1),'General Inputs'!U$11*$H30,IF(AND(($D30+$C$1)&gt;BS$4,BS$4&gt;=$C$1),'General Inputs'!U$11*$G30,0))</f>
        <v>0</v>
      </c>
      <c r="BT30" s="214">
        <f>IF(AND(($E30+$C$1)&gt;BT$4,BT$4&gt;=$C$1),'General Inputs'!V$11*$H30,IF(AND(($D30+$C$1)&gt;BT$4,BT$4&gt;=$C$1),'General Inputs'!V$11*$G30,0))</f>
        <v>0</v>
      </c>
      <c r="BU30" s="214">
        <f>IF(AND(($E30+$C$1)&gt;BU$4,BU$4&gt;=$C$1),'General Inputs'!W$11*$H30,IF(AND(($D30+$C$1)&gt;BU$4,BU$4&gt;=$C$1),'General Inputs'!W$11*$G30,0))</f>
        <v>0</v>
      </c>
      <c r="BW30" s="214">
        <f>IF(AND(($E30+$C$1)&gt;BW$4,BW$4&gt;=$C$1),$H30,IF(AND(($D30+$C$1)&gt;BW$4,BW$4&gt;=$C$1),$G30,0))*IF($A30="Residential",'General Inputs'!D$14,'General Inputs'!D$19)</f>
        <v>0</v>
      </c>
      <c r="BX30" s="214">
        <f>IF(AND(($E30+$C$1)&gt;BX$4,BX$4&gt;=$C$1),$H30,IF(AND(($D30+$C$1)&gt;BX$4,BX$4&gt;=$C$1),$G30,0))*IF($A30="Residential",'General Inputs'!E$14,'General Inputs'!E$19)</f>
        <v>0</v>
      </c>
      <c r="BY30" s="214">
        <f>IF(AND(($E30+$C$1)&gt;BY$4,BY$4&gt;=$C$1),$H30,IF(AND(($D30+$C$1)&gt;BY$4,BY$4&gt;=$C$1),$G30,0))*IF($A30="Residential",'General Inputs'!F$14,'General Inputs'!F$19)</f>
        <v>2079.8744909094098</v>
      </c>
      <c r="BZ30" s="214">
        <f>IF(AND(($E30+$C$1)&gt;BZ$4,BZ$4&gt;=$C$1),$H30,IF(AND(($D30+$C$1)&gt;BZ$4,BZ$4&gt;=$C$1),$G30,0))*IF($A30="Residential",'General Inputs'!G$14,'General Inputs'!G$19)</f>
        <v>2111.0726082730503</v>
      </c>
      <c r="CA30" s="214">
        <f>IF(AND(($E30+$C$1)&gt;CA$4,CA$4&gt;=$C$1),$H30,IF(AND(($D30+$C$1)&gt;CA$4,CA$4&gt;=$C$1),$G30,0))*IF($A30="Residential",'General Inputs'!H$14,'General Inputs'!H$19)</f>
        <v>2142.7386973971461</v>
      </c>
      <c r="CB30" s="214">
        <f>IF(AND(($E30+$C$1)&gt;CB$4,CB$4&gt;=$C$1),$H30,IF(AND(($D30+$C$1)&gt;CB$4,CB$4&gt;=$C$1),$G30,0))*IF($A30="Residential",'General Inputs'!I$14,'General Inputs'!I$19)</f>
        <v>2174.8797778581029</v>
      </c>
      <c r="CC30" s="214">
        <f>IF(AND(($E30+$C$1)&gt;CC$4,CC$4&gt;=$C$1),$H30,IF(AND(($D30+$C$1)&gt;CC$4,CC$4&gt;=$C$1),$G30,0))*IF($A30="Residential",'General Inputs'!J$14,'General Inputs'!J$19)</f>
        <v>2207.502974525974</v>
      </c>
      <c r="CD30" s="214">
        <f>IF(AND(($E30+$C$1)&gt;CD$4,CD$4&gt;=$C$1),$H30,IF(AND(($D30+$C$1)&gt;CD$4,CD$4&gt;=$C$1),$G30,0))*IF($A30="Residential",'General Inputs'!K$14,'General Inputs'!K$19)</f>
        <v>2240.6155191438634</v>
      </c>
      <c r="CE30" s="214">
        <f>IF(AND(($E30+$C$1)&gt;CE$4,CE$4&gt;=$C$1),$H30,IF(AND(($D30+$C$1)&gt;CE$4,CE$4&gt;=$C$1),$G30,0))*IF($A30="Residential",'General Inputs'!L$14,'General Inputs'!L$19)</f>
        <v>2274.2247519310208</v>
      </c>
      <c r="CF30" s="214">
        <f>IF(AND(($E30+$C$1)&gt;CF$4,CF$4&gt;=$C$1),$H30,IF(AND(($D30+$C$1)&gt;CF$4,CF$4&gt;=$C$1),$G30,0))*IF($A30="Residential",'General Inputs'!M$14,'General Inputs'!M$19)</f>
        <v>2308.338123209986</v>
      </c>
      <c r="CG30" s="214">
        <f>IF(AND(($E30+$C$1)&gt;CG$4,CG$4&gt;=$C$1),$H30,IF(AND(($D30+$C$1)&gt;CG$4,CG$4&gt;=$C$1),$G30,0))*IF($A30="Residential",'General Inputs'!N$14,'General Inputs'!N$19)</f>
        <v>2342.9631950581356</v>
      </c>
      <c r="CH30" s="214">
        <f>IF(AND(($E30+$C$1)&gt;CH$4,CH$4&gt;=$C$1),$H30,IF(AND(($D30+$C$1)&gt;CH$4,CH$4&gt;=$C$1),$G30,0))*IF($A30="Residential",'General Inputs'!O$14,'General Inputs'!O$19)</f>
        <v>2378.1076429840077</v>
      </c>
      <c r="CI30" s="214">
        <f>IF(AND(($E30+$C$1)&gt;CI$4,CI$4&gt;=$C$1),$H30,IF(AND(($D30+$C$1)&gt;CI$4,CI$4&gt;=$C$1),$G30,0))*IF($A30="Residential",'General Inputs'!P$14,'General Inputs'!P$19)</f>
        <v>2413.7792576287675</v>
      </c>
      <c r="CJ30" s="214">
        <f>IF(AND(($E30+$C$1)&gt;CJ$4,CJ$4&gt;=$C$1),$H30,IF(AND(($D30+$C$1)&gt;CJ$4,CJ$4&gt;=$C$1),$G30,0))*IF($A30="Residential",'General Inputs'!Q$14,'General Inputs'!Q$19)</f>
        <v>2449.9859464931988</v>
      </c>
      <c r="CK30" s="214">
        <f>IF(AND(($E30+$C$1)&gt;CK$4,CK$4&gt;=$C$1),$H30,IF(AND(($D30+$C$1)&gt;CK$4,CK$4&gt;=$C$1),$G30,0))*IF($A30="Residential",'General Inputs'!R$14,'General Inputs'!R$19)</f>
        <v>2486.7357356905964</v>
      </c>
      <c r="CL30" s="214">
        <f>IF(AND(($E30+$C$1)&gt;CL$4,CL$4&gt;=$C$1),$H30,IF(AND(($D30+$C$1)&gt;CL$4,CL$4&gt;=$C$1),$G30,0))*IF($A30="Residential",'General Inputs'!S$14,'General Inputs'!S$19)</f>
        <v>2524.0367717259551</v>
      </c>
      <c r="CM30" s="214">
        <f>IF(AND(($E30+$C$1)&gt;CM$4,CM$4&gt;=$C$1),$H30,IF(AND(($D30+$C$1)&gt;CM$4,CM$4&gt;=$C$1),$G30,0))*IF($A30="Residential",'General Inputs'!T$14,'General Inputs'!T$19)</f>
        <v>2561.8973233018442</v>
      </c>
      <c r="CN30" s="214">
        <f>IF(AND(($E30+$C$1)&gt;CN$4,CN$4&gt;=$C$1),$H30,IF(AND(($D30+$C$1)&gt;CN$4,CN$4&gt;=$C$1),$G30,0))*IF($A30="Residential",'General Inputs'!U$14,'General Inputs'!U$19)</f>
        <v>0</v>
      </c>
      <c r="CO30" s="214">
        <f>IF(AND(($E30+$C$1)&gt;CO$4,CO$4&gt;=$C$1),$H30,IF(AND(($D30+$C$1)&gt;CO$4,CO$4&gt;=$C$1),$G30,0))*IF($A30="Residential",'General Inputs'!V$14,'General Inputs'!V$19)</f>
        <v>0</v>
      </c>
      <c r="CP30" s="214">
        <f>IF(AND(($E30+$C$1)&gt;CP$4,CP$4&gt;=$C$1),$H30,IF(AND(($D30+$C$1)&gt;CP$4,CP$4&gt;=$C$1),$G30,0))*IF($A30="Residential",'General Inputs'!W$14,'General Inputs'!W$19)</f>
        <v>0</v>
      </c>
      <c r="CR30" s="214">
        <f>IF(AND(($E30+$C$1)&gt;CR$4,CR$4&gt;=$C$1),$H30,IF(AND(($D30+$C$1)&gt;CR$4,CR$4&gt;=$C$1),$G30,0))*IF($A30="Residential",'General Inputs'!D$15,'General Inputs'!D$19)</f>
        <v>0</v>
      </c>
      <c r="CS30" s="214">
        <f>IF(AND(($E30+$C$1)&gt;CS$4,CS$4&gt;=$C$1),$H30,IF(AND(($D30+$C$1)&gt;CS$4,CS$4&gt;=$C$1),$G30,0))*IF($A30="Residential",'General Inputs'!E$15,'General Inputs'!E$19)</f>
        <v>0</v>
      </c>
      <c r="CT30" s="214">
        <f>IF(AND(($E30+$C$1)&gt;CT$4,CT$4&gt;=$C$1),$H30,IF(AND(($D30+$C$1)&gt;CT$4,CT$4&gt;=$C$1),$G30,0))*IF($A30="Residential",'General Inputs'!F$15,'General Inputs'!F$19)</f>
        <v>1691.9951193450229</v>
      </c>
      <c r="CU30" s="214">
        <f>IF(AND(($E30+$C$1)&gt;CU$4,CU$4&gt;=$C$1),$H30,IF(AND(($D30+$C$1)&gt;CU$4,CU$4&gt;=$C$1),$G30,0))*IF($A30="Residential",'General Inputs'!G$15,'General Inputs'!G$19)</f>
        <v>1717.3750461351981</v>
      </c>
      <c r="CV30" s="214">
        <f>IF(AND(($E30+$C$1)&gt;CV$4,CV$4&gt;=$C$1),$H30,IF(AND(($D30+$C$1)&gt;CV$4,CV$4&gt;=$C$1),$G30,0))*IF($A30="Residential",'General Inputs'!H$15,'General Inputs'!H$19)</f>
        <v>1743.1356718272259</v>
      </c>
      <c r="CW30" s="214">
        <f>IF(AND(($E30+$C$1)&gt;CW$4,CW$4&gt;=$C$1),$H30,IF(AND(($D30+$C$1)&gt;CW$4,CW$4&gt;=$C$1),$G30,0))*IF($A30="Residential",'General Inputs'!I$15,'General Inputs'!I$19)</f>
        <v>1769.2827069046341</v>
      </c>
      <c r="CX30" s="214">
        <f>IF(AND(($E30+$C$1)&gt;CX$4,CX$4&gt;=$C$1),$H30,IF(AND(($D30+$C$1)&gt;CX$4,CX$4&gt;=$C$1),$G30,0))*IF($A30="Residential",'General Inputs'!J$15,'General Inputs'!J$19)</f>
        <v>1795.8219475082035</v>
      </c>
      <c r="CY30" s="214">
        <f>IF(AND(($E30+$C$1)&gt;CY$4,CY$4&gt;=$C$1),$H30,IF(AND(($D30+$C$1)&gt;CY$4,CY$4&gt;=$C$1),$G30,0))*IF($A30="Residential",'General Inputs'!K$15,'General Inputs'!K$19)</f>
        <v>1822.7592767208262</v>
      </c>
      <c r="CZ30" s="214">
        <f>IF(AND(($E30+$C$1)&gt;CZ$4,CZ$4&gt;=$C$1),$H30,IF(AND(($D30+$C$1)&gt;CZ$4,CZ$4&gt;=$C$1),$G30,0))*IF($A30="Residential",'General Inputs'!L$15,'General Inputs'!L$19)</f>
        <v>1850.1006658716385</v>
      </c>
      <c r="DA30" s="214">
        <f>IF(AND(($E30+$C$1)&gt;DA$4,DA$4&gt;=$C$1),$H30,IF(AND(($D30+$C$1)&gt;DA$4,DA$4&gt;=$C$1),$G30,0))*IF($A30="Residential",'General Inputs'!M$15,'General Inputs'!M$19)</f>
        <v>1877.8521758597128</v>
      </c>
      <c r="DB30" s="214">
        <f>IF(AND(($E30+$C$1)&gt;DB$4,DB$4&gt;=$C$1),$H30,IF(AND(($D30+$C$1)&gt;DB$4,DB$4&gt;=$C$1),$G30,0))*IF($A30="Residential",'General Inputs'!N$15,'General Inputs'!N$19)</f>
        <v>1906.0199584976083</v>
      </c>
      <c r="DC30" s="214">
        <f>IF(AND(($E30+$C$1)&gt;DC$4,DC$4&gt;=$C$1),$H30,IF(AND(($D30+$C$1)&gt;DC$4,DC$4&gt;=$C$1),$G30,0))*IF($A30="Residential",'General Inputs'!O$15,'General Inputs'!O$19)</f>
        <v>1934.6102578750722</v>
      </c>
      <c r="DD30" s="214">
        <f>IF(AND(($E30+$C$1)&gt;DD$4,DD$4&gt;=$C$1),$H30,IF(AND(($D30+$C$1)&gt;DD$4,DD$4&gt;=$C$1),$G30,0))*IF($A30="Residential",'General Inputs'!P$15,'General Inputs'!P$19)</f>
        <v>1963.6294117431983</v>
      </c>
      <c r="DE30" s="214">
        <f>IF(AND(($E30+$C$1)&gt;DE$4,DE$4&gt;=$C$1),$H30,IF(AND(($D30+$C$1)&gt;DE$4,DE$4&gt;=$C$1),$G30,0))*IF($A30="Residential",'General Inputs'!Q$15,'General Inputs'!Q$19)</f>
        <v>1993.0838529193461</v>
      </c>
      <c r="DF30" s="214">
        <f>IF(AND(($E30+$C$1)&gt;DF$4,DF$4&gt;=$C$1),$H30,IF(AND(($D30+$C$1)&gt;DF$4,DF$4&gt;=$C$1),$G30,0))*IF($A30="Residential",'General Inputs'!R$15,'General Inputs'!R$19)</f>
        <v>2022.9801107131359</v>
      </c>
      <c r="DG30" s="214">
        <f>IF(AND(($E30+$C$1)&gt;DG$4,DG$4&gt;=$C$1),$H30,IF(AND(($D30+$C$1)&gt;DG$4,DG$4&gt;=$C$1),$G30,0))*IF($A30="Residential",'General Inputs'!S$15,'General Inputs'!S$19)</f>
        <v>2053.3248123738326</v>
      </c>
      <c r="DH30" s="214">
        <f>IF(AND(($E30+$C$1)&gt;DH$4,DH$4&gt;=$C$1),$H30,IF(AND(($D30+$C$1)&gt;DH$4,DH$4&gt;=$C$1),$G30,0))*IF($A30="Residential",'General Inputs'!T$15,'General Inputs'!T$19)</f>
        <v>2084.1246845594401</v>
      </c>
      <c r="DI30" s="214">
        <f>IF(AND(($E30+$C$1)&gt;DI$4,DI$4&gt;=$C$1),$H30,IF(AND(($D30+$C$1)&gt;DI$4,DI$4&gt;=$C$1),$G30,0))*IF($A30="Residential",'General Inputs'!U$15,'General Inputs'!U$19)</f>
        <v>0</v>
      </c>
      <c r="DJ30" s="214">
        <f>IF(AND(($E30+$C$1)&gt;DJ$4,DJ$4&gt;=$C$1),$H30,IF(AND(($D30+$C$1)&gt;DJ$4,DJ$4&gt;=$C$1),$G30,0))*IF($A30="Residential",'General Inputs'!V$15,'General Inputs'!V$19)</f>
        <v>0</v>
      </c>
      <c r="DK30" s="214">
        <f>IF(AND(($E30+$C$1)&gt;DK$4,DK$4&gt;=$C$1),$H30,IF(AND(($D30+$C$1)&gt;DK$4,DK$4&gt;=$C$1),$G30,0))*IF($A30="Residential",'General Inputs'!W$15,'General Inputs'!W$19)</f>
        <v>0</v>
      </c>
      <c r="DM30" s="214">
        <f t="shared" si="47"/>
        <v>0</v>
      </c>
      <c r="DN30" s="214">
        <f t="shared" si="47"/>
        <v>0</v>
      </c>
      <c r="DO30" s="214">
        <f t="shared" si="47"/>
        <v>0</v>
      </c>
      <c r="DP30" s="214">
        <f t="shared" si="47"/>
        <v>0</v>
      </c>
      <c r="DQ30" s="214">
        <f t="shared" si="47"/>
        <v>0</v>
      </c>
      <c r="DR30" s="214">
        <f t="shared" si="47"/>
        <v>0</v>
      </c>
      <c r="DS30" s="214">
        <f t="shared" si="47"/>
        <v>0</v>
      </c>
      <c r="DT30" s="214">
        <f t="shared" si="47"/>
        <v>0</v>
      </c>
      <c r="DU30" s="214">
        <f t="shared" si="47"/>
        <v>0</v>
      </c>
      <c r="DV30" s="214">
        <f t="shared" si="47"/>
        <v>0</v>
      </c>
      <c r="DW30" s="214">
        <f t="shared" si="47"/>
        <v>0</v>
      </c>
      <c r="DZ30" s="650"/>
      <c r="FI30" s="195"/>
      <c r="FJ30" s="195"/>
      <c r="FK30" s="195"/>
      <c r="FL30" s="195"/>
      <c r="FM30" s="195"/>
      <c r="FN30" s="195"/>
      <c r="FO30" s="195"/>
    </row>
    <row r="31" spans="1:171">
      <c r="A31" s="342" t="s">
        <v>12</v>
      </c>
      <c r="B31" s="427" t="str">
        <f>'Portfolio Inputs'!A30</f>
        <v>Water Heater Temperature Setback</v>
      </c>
      <c r="C31" s="217">
        <f>IF($C$1=2014,'Portfolio Inputs'!$C30,IF($C$1=2015,'Portfolio Inputs'!$D30,'Portfolio Inputs'!$E30))</f>
        <v>106</v>
      </c>
      <c r="D31" s="504">
        <f>VLOOKUP(B31,Sources!$B$4:$J$104,2,FALSE)</f>
        <v>2</v>
      </c>
      <c r="E31" s="504">
        <f>VLOOKUP(B31,Sources!$B$4:$J$104,3,FALSE)</f>
        <v>0</v>
      </c>
      <c r="G31" s="504">
        <f>IF($C$1=2014,'Portfolio Inputs'!$G30,IF($C$1=2015,'Portfolio Inputs'!$H30,'Portfolio Inputs'!$I30))*EnergyLineLoss</f>
        <v>9588.8448000000008</v>
      </c>
      <c r="H31" s="504"/>
      <c r="I31" s="504">
        <f>IF($C$1=2014,'Portfolio Inputs'!$K30,IF($C$1=2015,'Portfolio Inputs'!$L30,'Portfolio Inputs'!$M30))*PeakLineLoss</f>
        <v>1.0938677618069814</v>
      </c>
      <c r="J31" s="510"/>
      <c r="L31" s="606">
        <f>IF($C$1=2014,'Portfolio Inputs'!$O30,IF($C$1=2015,'Portfolio Inputs'!$P30,'Portfolio Inputs'!$Q30))</f>
        <v>0</v>
      </c>
      <c r="M31" s="518">
        <f>VLOOKUP($B31,Sources!$B$4:$K$104,10,FALSE)</f>
        <v>0</v>
      </c>
      <c r="N31" s="419">
        <f>IF($C$1=2014,'Portfolio Inputs'!$W30,IF($C$1=2015,'Portfolio Inputs'!$X30,'Portfolio Inputs'!$Y30))</f>
        <v>0</v>
      </c>
      <c r="O31" s="419"/>
      <c r="Q31" s="438" t="str">
        <f t="shared" si="67"/>
        <v>n/a</v>
      </c>
      <c r="R31" s="439" t="str">
        <f t="shared" si="68"/>
        <v>n/a</v>
      </c>
      <c r="S31" s="439" t="str">
        <f t="shared" si="69"/>
        <v>n/a</v>
      </c>
      <c r="T31" s="439" t="str">
        <f t="shared" si="70"/>
        <v>n/a</v>
      </c>
      <c r="U31" s="439" t="str">
        <f t="shared" si="71"/>
        <v>n/a</v>
      </c>
      <c r="V31" s="439">
        <f t="shared" si="72"/>
        <v>0.30932245599847841</v>
      </c>
      <c r="W31" s="439">
        <f t="shared" si="73"/>
        <v>0.38023270773128898</v>
      </c>
      <c r="Y31" s="215">
        <f t="shared" si="4"/>
        <v>669.13978205053115</v>
      </c>
      <c r="Z31" s="215">
        <f t="shared" si="5"/>
        <v>177.05949694125712</v>
      </c>
      <c r="AA31" s="215">
        <f t="shared" si="6"/>
        <v>2163.2434667265888</v>
      </c>
      <c r="AB31" s="215">
        <f t="shared" si="7"/>
        <v>1759.8164714525644</v>
      </c>
      <c r="AC31" s="216">
        <f t="shared" si="20"/>
        <v>0</v>
      </c>
      <c r="AD31" s="216">
        <f t="shared" si="21"/>
        <v>0</v>
      </c>
      <c r="AE31" s="215">
        <f t="shared" si="8"/>
        <v>0</v>
      </c>
      <c r="AG31" s="214">
        <f>IF(AND(($E31+$C$1)&gt;AG$4,AG$4&gt;=$C$1),'General Inputs'!D$9*$H31,IF(AND(($D31+$C$1)&gt;AG$4,AG$4&gt;=$C$1),'General Inputs'!D$9*$G31,0))+IF(AND(($E31+$C$1)&gt;AG$4,AG$4&gt;=$C$1),'General Inputs'!D$10*$J31,IF(AND(($D31+$C$1)&gt;AG$4,AG$4&gt;=$C$1),'General Inputs'!D$10*$I31,0))</f>
        <v>0</v>
      </c>
      <c r="AH31" s="214">
        <f>IF(AND(($E31+$C$1)&gt;AH$4,AH$4&gt;=$C$1),'General Inputs'!E$9*$H31,IF(AND(($D31+$C$1)&gt;AH$4,AH$4&gt;=$C$1),'General Inputs'!E$9*$G31,0))+IF(AND(($E31+$C$1)&gt;AH$4,AH$4&gt;=$C$1),'General Inputs'!E$10*$J31,IF(AND(($D31+$C$1)&gt;AH$4,AH$4&gt;=$C$1),'General Inputs'!E$10*$I31,0))</f>
        <v>0</v>
      </c>
      <c r="AI31" s="214">
        <f>IF(AND(($E31+$C$1)&gt;AI$4,AI$4&gt;=$C$1),'General Inputs'!F$9*$H31,IF(AND(($D31+$C$1)&gt;AI$4,AI$4&gt;=$C$1),'General Inputs'!F$9*$G31,0))+IF(AND(($E31+$C$1)&gt;AI$4,AI$4&gt;=$C$1),'General Inputs'!F$10*$J31,IF(AND(($D31+$C$1)&gt;AI$4,AI$4&gt;=$C$1),'General Inputs'!F$10*$I31,0))</f>
        <v>410.16687158457927</v>
      </c>
      <c r="AJ31" s="214">
        <f>IF(AND(($E31+$C$1)&gt;AJ$4,AJ$4&gt;=$C$1),'General Inputs'!G$9*$H31,IF(AND(($D31+$C$1)&gt;AJ$4,AJ$4&gt;=$C$1),'General Inputs'!G$9*$G31,0))+IF(AND(($E31+$C$1)&gt;AJ$4,AJ$4&gt;=$C$1),'General Inputs'!G$10*$J31,IF(AND(($D31+$C$1)&gt;AJ$4,AJ$4&gt;=$C$1),'General Inputs'!G$10*$I31,0))</f>
        <v>416.31937465834795</v>
      </c>
      <c r="AK31" s="214">
        <f>IF(AND(($E31+$C$1)&gt;AK$4,AK$4&gt;=$C$1),'General Inputs'!H$9*$H31,IF(AND(($D31+$C$1)&gt;AK$4,AK$4&gt;=$C$1),'General Inputs'!H$9*$G31,0))+IF(AND(($E31+$C$1)&gt;AK$4,AK$4&gt;=$C$1),'General Inputs'!H$10*$J31,IF(AND(($D31+$C$1)&gt;AK$4,AK$4&gt;=$C$1),'General Inputs'!H$10*$I31,0))</f>
        <v>0</v>
      </c>
      <c r="AL31" s="214">
        <f>IF(AND(($E31+$C$1)&gt;AL$4,AL$4&gt;=$C$1),'General Inputs'!I$9*$H31,IF(AND(($D31+$C$1)&gt;AL$4,AL$4&gt;=$C$1),'General Inputs'!I$9*$G31,0))+IF(AND(($E31+$C$1)&gt;AL$4,AL$4&gt;=$C$1),'General Inputs'!I$10*$J31,IF(AND(($D31+$C$1)&gt;AL$4,AL$4&gt;=$C$1),'General Inputs'!I$10*$I31,0))</f>
        <v>0</v>
      </c>
      <c r="AM31" s="214">
        <f>IF(AND(($E31+$C$1)&gt;AM$4,AM$4&gt;=$C$1),'General Inputs'!J$9*$H31,IF(AND(($D31+$C$1)&gt;AM$4,AM$4&gt;=$C$1),'General Inputs'!J$9*$G31,0))+IF(AND(($E31+$C$1)&gt;AM$4,AM$4&gt;=$C$1),'General Inputs'!J$10*$J31,IF(AND(($D31+$C$1)&gt;AM$4,AM$4&gt;=$C$1),'General Inputs'!J$10*$I31,0))</f>
        <v>0</v>
      </c>
      <c r="AN31" s="214">
        <f>IF(AND(($E31+$C$1)&gt;AN$4,AN$4&gt;=$C$1),'General Inputs'!K$9*$H31,IF(AND(($D31+$C$1)&gt;AN$4,AN$4&gt;=$C$1),'General Inputs'!K$9*$G31,0))+IF(AND(($E31+$C$1)&gt;AN$4,AN$4&gt;=$C$1),'General Inputs'!K$10*$J31,IF(AND(($D31+$C$1)&gt;AN$4,AN$4&gt;=$C$1),'General Inputs'!K$10*$I31,0))</f>
        <v>0</v>
      </c>
      <c r="AO31" s="214">
        <f>IF(AND(($E31+$C$1)&gt;AO$4,AO$4&gt;=$C$1),'General Inputs'!L$9*$H31,IF(AND(($D31+$C$1)&gt;AO$4,AO$4&gt;=$C$1),'General Inputs'!L$9*$G31,0))+IF(AND(($E31+$C$1)&gt;AO$4,AO$4&gt;=$C$1),'General Inputs'!L$10*$J31,IF(AND(($D31+$C$1)&gt;AO$4,AO$4&gt;=$C$1),'General Inputs'!L$10*$I31,0))</f>
        <v>0</v>
      </c>
      <c r="AP31" s="214">
        <f>IF(AND(($E31+$C$1)&gt;AP$4,AP$4&gt;=$C$1),'General Inputs'!M$9*$H31,IF(AND(($D31+$C$1)&gt;AP$4,AP$4&gt;=$C$1),'General Inputs'!M$9*$G31,0))+IF(AND(($E31+$C$1)&gt;AP$4,AP$4&gt;=$C$1),'General Inputs'!M$10*$J31,IF(AND(($D31+$C$1)&gt;AP$4,AP$4&gt;=$C$1),'General Inputs'!M$10*$I31,0))</f>
        <v>0</v>
      </c>
      <c r="AQ31" s="214">
        <f>IF(AND(($E31+$C$1)&gt;AQ$4,AQ$4&gt;=$C$1),'General Inputs'!N$9*$H31,IF(AND(($D31+$C$1)&gt;AQ$4,AQ$4&gt;=$C$1),'General Inputs'!N$9*$G31,0))+IF(AND(($E31+$C$1)&gt;AQ$4,AQ$4&gt;=$C$1),'General Inputs'!N$10*$J31,IF(AND(($D31+$C$1)&gt;AQ$4,AQ$4&gt;=$C$1),'General Inputs'!N$10*$I31,0))</f>
        <v>0</v>
      </c>
      <c r="AR31" s="214">
        <f>IF(AND(($E31+$C$1)&gt;AR$4,AR$4&gt;=$C$1),'General Inputs'!O$9*$H31,IF(AND(($D31+$C$1)&gt;AR$4,AR$4&gt;=$C$1),'General Inputs'!O$9*$G31,0))+IF(AND(($E31+$C$1)&gt;AR$4,AR$4&gt;=$C$1),'General Inputs'!O$10*$J31,IF(AND(($D31+$C$1)&gt;AR$4,AR$4&gt;=$C$1),'General Inputs'!O$10*$I31,0))</f>
        <v>0</v>
      </c>
      <c r="AS31" s="214">
        <f>IF(AND(($E31+$C$1)&gt;AS$4,AS$4&gt;=$C$1),'General Inputs'!P$9*$H31,IF(AND(($D31+$C$1)&gt;AS$4,AS$4&gt;=$C$1),'General Inputs'!P$9*$G31,0))+IF(AND(($E31+$C$1)&gt;AS$4,AS$4&gt;=$C$1),'General Inputs'!P$10*$J31,IF(AND(($D31+$C$1)&gt;AS$4,AS$4&gt;=$C$1),'General Inputs'!P$10*$I31,0))</f>
        <v>0</v>
      </c>
      <c r="AT31" s="214">
        <f>IF(AND(($E31+$C$1)&gt;AT$4,AT$4&gt;=$C$1),'General Inputs'!Q$9*$H31,IF(AND(($D31+$C$1)&gt;AT$4,AT$4&gt;=$C$1),'General Inputs'!Q$9*$G31,0))+IF(AND(($E31+$C$1)&gt;AT$4,AT$4&gt;=$C$1),'General Inputs'!Q$10*$J31,IF(AND(($D31+$C$1)&gt;AT$4,AT$4&gt;=$C$1),'General Inputs'!Q$10*$I31,0))</f>
        <v>0</v>
      </c>
      <c r="AU31" s="214">
        <f>IF(AND(($E31+$C$1)&gt;AU$4,AU$4&gt;=$C$1),'General Inputs'!R$9*$H31,IF(AND(($D31+$C$1)&gt;AU$4,AU$4&gt;=$C$1),'General Inputs'!R$9*$G31,0))+IF(AND(($E31+$C$1)&gt;AU$4,AU$4&gt;=$C$1),'General Inputs'!R$10*$J31,IF(AND(($D31+$C$1)&gt;AU$4,AU$4&gt;=$C$1),'General Inputs'!R$10*$I31,0))</f>
        <v>0</v>
      </c>
      <c r="AV31" s="214">
        <f>IF(AND(($E31+$C$1)&gt;AV$4,AV$4&gt;=$C$1),'General Inputs'!S$9*$H31,IF(AND(($D31+$C$1)&gt;AV$4,AV$4&gt;=$C$1),'General Inputs'!S$9*$G31,0))+IF(AND(($E31+$C$1)&gt;AV$4,AV$4&gt;=$C$1),'General Inputs'!S$10*$J31,IF(AND(($D31+$C$1)&gt;AV$4,AV$4&gt;=$C$1),'General Inputs'!S$10*$I31,0))</f>
        <v>0</v>
      </c>
      <c r="AW31" s="214">
        <f>IF(AND(($E31+$C$1)&gt;AW$4,AW$4&gt;=$C$1),'General Inputs'!T$9*$H31,IF(AND(($D31+$C$1)&gt;AW$4,AW$4&gt;=$C$1),'General Inputs'!T$9*$G31,0))+IF(AND(($E31+$C$1)&gt;AW$4,AW$4&gt;=$C$1),'General Inputs'!T$10*$J31,IF(AND(($D31+$C$1)&gt;AW$4,AW$4&gt;=$C$1),'General Inputs'!T$10*$I31,0))</f>
        <v>0</v>
      </c>
      <c r="AX31" s="214">
        <f>IF(AND(($E31+$C$1)&gt;AX$4,AX$4&gt;=$C$1),'General Inputs'!U$9*$H31,IF(AND(($D31+$C$1)&gt;AX$4,AX$4&gt;=$C$1),'General Inputs'!U$9*$G31,0))+IF(AND(($E31+$C$1)&gt;AX$4,AX$4&gt;=$C$1),'General Inputs'!U$10*$J31,IF(AND(($D31+$C$1)&gt;AX$4,AX$4&gt;=$C$1),'General Inputs'!U$10*$I31,0))</f>
        <v>0</v>
      </c>
      <c r="AY31" s="214">
        <f>IF(AND(($E31+$C$1)&gt;AY$4,AY$4&gt;=$C$1),'General Inputs'!V$9*$H31,IF(AND(($D31+$C$1)&gt;AY$4,AY$4&gt;=$C$1),'General Inputs'!V$9*$G31,0))+IF(AND(($E31+$C$1)&gt;AY$4,AY$4&gt;=$C$1),'General Inputs'!V$10*$J31,IF(AND(($D31+$C$1)&gt;AY$4,AY$4&gt;=$C$1),'General Inputs'!V$10*$I31,0))</f>
        <v>0</v>
      </c>
      <c r="AZ31" s="214">
        <f>IF(AND(($E31+$C$1)&gt;AZ$4,AZ$4&gt;=$C$1),'General Inputs'!W$9*$H31,IF(AND(($D31+$C$1)&gt;AZ$4,AZ$4&gt;=$C$1),'General Inputs'!W$9*$G31,0))+IF(AND(($E31+$C$1)&gt;AZ$4,AZ$4&gt;=$C$1),'General Inputs'!W$10*$J31,IF(AND(($D31+$C$1)&gt;AZ$4,AZ$4&gt;=$C$1),'General Inputs'!W$10*$I31,0))</f>
        <v>0</v>
      </c>
      <c r="BB31" s="214">
        <f>IF(AND(($E31+$C$1)&gt;BB$4,BB$4&gt;=$C$1),'General Inputs'!D$11*$H31,IF(AND(($D31+$C$1)&gt;BB$4,BB$4&gt;=$C$1),'General Inputs'!D$11*$G31,0))</f>
        <v>0</v>
      </c>
      <c r="BC31" s="214">
        <f>IF(AND(($E31+$C$1)&gt;BC$4,BC$4&gt;=$C$1),'General Inputs'!E$11*$H31,IF(AND(($D31+$C$1)&gt;BC$4,BC$4&gt;=$C$1),'General Inputs'!E$11*$G31,0))</f>
        <v>0</v>
      </c>
      <c r="BD31" s="214">
        <f>IF(AND(($E31+$C$1)&gt;BD$4,BD$4&gt;=$C$1),'General Inputs'!F$11*$H31,IF(AND(($D31+$C$1)&gt;BD$4,BD$4&gt;=$C$1),'General Inputs'!F$11*$G31,0))</f>
        <v>109.31283072000001</v>
      </c>
      <c r="BE31" s="214">
        <f>IF(AND(($E31+$C$1)&gt;BE$4,BE$4&gt;=$C$1),'General Inputs'!G$11*$H31,IF(AND(($D31+$C$1)&gt;BE$4,BE$4&gt;=$C$1),'General Inputs'!G$11*$G31,0))</f>
        <v>109.31283072000001</v>
      </c>
      <c r="BF31" s="214">
        <f>IF(AND(($E31+$C$1)&gt;BF$4,BF$4&gt;=$C$1),'General Inputs'!H$11*$H31,IF(AND(($D31+$C$1)&gt;BF$4,BF$4&gt;=$C$1),'General Inputs'!H$11*$G31,0))</f>
        <v>0</v>
      </c>
      <c r="BG31" s="214">
        <f>IF(AND(($E31+$C$1)&gt;BG$4,BG$4&gt;=$C$1),'General Inputs'!I$11*$H31,IF(AND(($D31+$C$1)&gt;BG$4,BG$4&gt;=$C$1),'General Inputs'!I$11*$G31,0))</f>
        <v>0</v>
      </c>
      <c r="BH31" s="214">
        <f>IF(AND(($E31+$C$1)&gt;BH$4,BH$4&gt;=$C$1),'General Inputs'!J$11*$H31,IF(AND(($D31+$C$1)&gt;BH$4,BH$4&gt;=$C$1),'General Inputs'!J$11*$G31,0))</f>
        <v>0</v>
      </c>
      <c r="BI31" s="214">
        <f>IF(AND(($E31+$C$1)&gt;BI$4,BI$4&gt;=$C$1),'General Inputs'!K$11*$H31,IF(AND(($D31+$C$1)&gt;BI$4,BI$4&gt;=$C$1),'General Inputs'!K$11*$G31,0))</f>
        <v>0</v>
      </c>
      <c r="BJ31" s="214">
        <f>IF(AND(($E31+$C$1)&gt;BJ$4,BJ$4&gt;=$C$1),'General Inputs'!L$11*$H31,IF(AND(($D31+$C$1)&gt;BJ$4,BJ$4&gt;=$C$1),'General Inputs'!L$11*$G31,0))</f>
        <v>0</v>
      </c>
      <c r="BK31" s="214">
        <f>IF(AND(($E31+$C$1)&gt;BK$4,BK$4&gt;=$C$1),'General Inputs'!M$11*$H31,IF(AND(($D31+$C$1)&gt;BK$4,BK$4&gt;=$C$1),'General Inputs'!M$11*$G31,0))</f>
        <v>0</v>
      </c>
      <c r="BL31" s="214">
        <f>IF(AND(($E31+$C$1)&gt;BL$4,BL$4&gt;=$C$1),'General Inputs'!N$11*$H31,IF(AND(($D31+$C$1)&gt;BL$4,BL$4&gt;=$C$1),'General Inputs'!N$11*$G31,0))</f>
        <v>0</v>
      </c>
      <c r="BM31" s="214">
        <f>IF(AND(($E31+$C$1)&gt;BM$4,BM$4&gt;=$C$1),'General Inputs'!O$11*$H31,IF(AND(($D31+$C$1)&gt;BM$4,BM$4&gt;=$C$1),'General Inputs'!O$11*$G31,0))</f>
        <v>0</v>
      </c>
      <c r="BN31" s="214">
        <f>IF(AND(($E31+$C$1)&gt;BN$4,BN$4&gt;=$C$1),'General Inputs'!P$11*$H31,IF(AND(($D31+$C$1)&gt;BN$4,BN$4&gt;=$C$1),'General Inputs'!P$11*$G31,0))</f>
        <v>0</v>
      </c>
      <c r="BO31" s="214">
        <f>IF(AND(($E31+$C$1)&gt;BO$4,BO$4&gt;=$C$1),'General Inputs'!Q$11*$H31,IF(AND(($D31+$C$1)&gt;BO$4,BO$4&gt;=$C$1),'General Inputs'!Q$11*$G31,0))</f>
        <v>0</v>
      </c>
      <c r="BP31" s="214">
        <f>IF(AND(($E31+$C$1)&gt;BP$4,BP$4&gt;=$C$1),'General Inputs'!R$11*$H31,IF(AND(($D31+$C$1)&gt;BP$4,BP$4&gt;=$C$1),'General Inputs'!R$11*$G31,0))</f>
        <v>0</v>
      </c>
      <c r="BQ31" s="214">
        <f>IF(AND(($E31+$C$1)&gt;BQ$4,BQ$4&gt;=$C$1),'General Inputs'!S$11*$H31,IF(AND(($D31+$C$1)&gt;BQ$4,BQ$4&gt;=$C$1),'General Inputs'!S$11*$G31,0))</f>
        <v>0</v>
      </c>
      <c r="BR31" s="214">
        <f>IF(AND(($E31+$C$1)&gt;BR$4,BR$4&gt;=$C$1),'General Inputs'!T$11*$H31,IF(AND(($D31+$C$1)&gt;BR$4,BR$4&gt;=$C$1),'General Inputs'!T$11*$G31,0))</f>
        <v>0</v>
      </c>
      <c r="BS31" s="214">
        <f>IF(AND(($E31+$C$1)&gt;BS$4,BS$4&gt;=$C$1),'General Inputs'!U$11*$H31,IF(AND(($D31+$C$1)&gt;BS$4,BS$4&gt;=$C$1),'General Inputs'!U$11*$G31,0))</f>
        <v>0</v>
      </c>
      <c r="BT31" s="214">
        <f>IF(AND(($E31+$C$1)&gt;BT$4,BT$4&gt;=$C$1),'General Inputs'!V$11*$H31,IF(AND(($D31+$C$1)&gt;BT$4,BT$4&gt;=$C$1),'General Inputs'!V$11*$G31,0))</f>
        <v>0</v>
      </c>
      <c r="BU31" s="214">
        <f>IF(AND(($E31+$C$1)&gt;BU$4,BU$4&gt;=$C$1),'General Inputs'!W$11*$H31,IF(AND(($D31+$C$1)&gt;BU$4,BU$4&gt;=$C$1),'General Inputs'!W$11*$G31,0))</f>
        <v>0</v>
      </c>
      <c r="BW31" s="214">
        <f>IF(AND(($E31+$C$1)&gt;BW$4,BW$4&gt;=$C$1),$H31,IF(AND(($D31+$C$1)&gt;BW$4,BW$4&gt;=$C$1),$G31,0))*IF($A31="Residential",'General Inputs'!D$14,'General Inputs'!D$19)</f>
        <v>0</v>
      </c>
      <c r="BX31" s="214">
        <f>IF(AND(($E31+$C$1)&gt;BX$4,BX$4&gt;=$C$1),$H31,IF(AND(($D31+$C$1)&gt;BX$4,BX$4&gt;=$C$1),$G31,0))*IF($A31="Residential",'General Inputs'!E$14,'General Inputs'!E$19)</f>
        <v>0</v>
      </c>
      <c r="BY31" s="214">
        <f>IF(AND(($E31+$C$1)&gt;BY$4,BY$4&gt;=$C$1),$H31,IF(AND(($D31+$C$1)&gt;BY$4,BY$4&gt;=$C$1),$G31,0))*IF($A31="Residential",'General Inputs'!F$14,'General Inputs'!F$19)</f>
        <v>1326.0171178344613</v>
      </c>
      <c r="BZ31" s="214">
        <f>IF(AND(($E31+$C$1)&gt;BZ$4,BZ$4&gt;=$C$1),$H31,IF(AND(($D31+$C$1)&gt;BZ$4,BZ$4&gt;=$C$1),$G31,0))*IF($A31="Residential",'General Inputs'!G$14,'General Inputs'!G$19)</f>
        <v>1345.9073746019778</v>
      </c>
      <c r="CA31" s="214">
        <f>IF(AND(($E31+$C$1)&gt;CA$4,CA$4&gt;=$C$1),$H31,IF(AND(($D31+$C$1)&gt;CA$4,CA$4&gt;=$C$1),$G31,0))*IF($A31="Residential",'General Inputs'!H$14,'General Inputs'!H$19)</f>
        <v>0</v>
      </c>
      <c r="CB31" s="214">
        <f>IF(AND(($E31+$C$1)&gt;CB$4,CB$4&gt;=$C$1),$H31,IF(AND(($D31+$C$1)&gt;CB$4,CB$4&gt;=$C$1),$G31,0))*IF($A31="Residential",'General Inputs'!I$14,'General Inputs'!I$19)</f>
        <v>0</v>
      </c>
      <c r="CC31" s="214">
        <f>IF(AND(($E31+$C$1)&gt;CC$4,CC$4&gt;=$C$1),$H31,IF(AND(($D31+$C$1)&gt;CC$4,CC$4&gt;=$C$1),$G31,0))*IF($A31="Residential",'General Inputs'!J$14,'General Inputs'!J$19)</f>
        <v>0</v>
      </c>
      <c r="CD31" s="214">
        <f>IF(AND(($E31+$C$1)&gt;CD$4,CD$4&gt;=$C$1),$H31,IF(AND(($D31+$C$1)&gt;CD$4,CD$4&gt;=$C$1),$G31,0))*IF($A31="Residential",'General Inputs'!K$14,'General Inputs'!K$19)</f>
        <v>0</v>
      </c>
      <c r="CE31" s="214">
        <f>IF(AND(($E31+$C$1)&gt;CE$4,CE$4&gt;=$C$1),$H31,IF(AND(($D31+$C$1)&gt;CE$4,CE$4&gt;=$C$1),$G31,0))*IF($A31="Residential",'General Inputs'!L$14,'General Inputs'!L$19)</f>
        <v>0</v>
      </c>
      <c r="CF31" s="214">
        <f>IF(AND(($E31+$C$1)&gt;CF$4,CF$4&gt;=$C$1),$H31,IF(AND(($D31+$C$1)&gt;CF$4,CF$4&gt;=$C$1),$G31,0))*IF($A31="Residential",'General Inputs'!M$14,'General Inputs'!M$19)</f>
        <v>0</v>
      </c>
      <c r="CG31" s="214">
        <f>IF(AND(($E31+$C$1)&gt;CG$4,CG$4&gt;=$C$1),$H31,IF(AND(($D31+$C$1)&gt;CG$4,CG$4&gt;=$C$1),$G31,0))*IF($A31="Residential",'General Inputs'!N$14,'General Inputs'!N$19)</f>
        <v>0</v>
      </c>
      <c r="CH31" s="214">
        <f>IF(AND(($E31+$C$1)&gt;CH$4,CH$4&gt;=$C$1),$H31,IF(AND(($D31+$C$1)&gt;CH$4,CH$4&gt;=$C$1),$G31,0))*IF($A31="Residential",'General Inputs'!O$14,'General Inputs'!O$19)</f>
        <v>0</v>
      </c>
      <c r="CI31" s="214">
        <f>IF(AND(($E31+$C$1)&gt;CI$4,CI$4&gt;=$C$1),$H31,IF(AND(($D31+$C$1)&gt;CI$4,CI$4&gt;=$C$1),$G31,0))*IF($A31="Residential",'General Inputs'!P$14,'General Inputs'!P$19)</f>
        <v>0</v>
      </c>
      <c r="CJ31" s="214">
        <f>IF(AND(($E31+$C$1)&gt;CJ$4,CJ$4&gt;=$C$1),$H31,IF(AND(($D31+$C$1)&gt;CJ$4,CJ$4&gt;=$C$1),$G31,0))*IF($A31="Residential",'General Inputs'!Q$14,'General Inputs'!Q$19)</f>
        <v>0</v>
      </c>
      <c r="CK31" s="214">
        <f>IF(AND(($E31+$C$1)&gt;CK$4,CK$4&gt;=$C$1),$H31,IF(AND(($D31+$C$1)&gt;CK$4,CK$4&gt;=$C$1),$G31,0))*IF($A31="Residential",'General Inputs'!R$14,'General Inputs'!R$19)</f>
        <v>0</v>
      </c>
      <c r="CL31" s="214">
        <f>IF(AND(($E31+$C$1)&gt;CL$4,CL$4&gt;=$C$1),$H31,IF(AND(($D31+$C$1)&gt;CL$4,CL$4&gt;=$C$1),$G31,0))*IF($A31="Residential",'General Inputs'!S$14,'General Inputs'!S$19)</f>
        <v>0</v>
      </c>
      <c r="CM31" s="214">
        <f>IF(AND(($E31+$C$1)&gt;CM$4,CM$4&gt;=$C$1),$H31,IF(AND(($D31+$C$1)&gt;CM$4,CM$4&gt;=$C$1),$G31,0))*IF($A31="Residential",'General Inputs'!T$14,'General Inputs'!T$19)</f>
        <v>0</v>
      </c>
      <c r="CN31" s="214">
        <f>IF(AND(($E31+$C$1)&gt;CN$4,CN$4&gt;=$C$1),$H31,IF(AND(($D31+$C$1)&gt;CN$4,CN$4&gt;=$C$1),$G31,0))*IF($A31="Residential",'General Inputs'!U$14,'General Inputs'!U$19)</f>
        <v>0</v>
      </c>
      <c r="CO31" s="214">
        <f>IF(AND(($E31+$C$1)&gt;CO$4,CO$4&gt;=$C$1),$H31,IF(AND(($D31+$C$1)&gt;CO$4,CO$4&gt;=$C$1),$G31,0))*IF($A31="Residential",'General Inputs'!V$14,'General Inputs'!V$19)</f>
        <v>0</v>
      </c>
      <c r="CP31" s="214">
        <f>IF(AND(($E31+$C$1)&gt;CP$4,CP$4&gt;=$C$1),$H31,IF(AND(($D31+$C$1)&gt;CP$4,CP$4&gt;=$C$1),$G31,0))*IF($A31="Residential",'General Inputs'!W$14,'General Inputs'!W$19)</f>
        <v>0</v>
      </c>
      <c r="CR31" s="214">
        <f>IF(AND(($E31+$C$1)&gt;CR$4,CR$4&gt;=$C$1),$H31,IF(AND(($D31+$C$1)&gt;CR$4,CR$4&gt;=$C$1),$G31,0))*IF($A31="Residential",'General Inputs'!D$15,'General Inputs'!D$19)</f>
        <v>0</v>
      </c>
      <c r="CS31" s="214">
        <f>IF(AND(($E31+$C$1)&gt;CS$4,CS$4&gt;=$C$1),$H31,IF(AND(($D31+$C$1)&gt;CS$4,CS$4&gt;=$C$1),$G31,0))*IF($A31="Residential",'General Inputs'!E$15,'General Inputs'!E$19)</f>
        <v>0</v>
      </c>
      <c r="CT31" s="214">
        <f>IF(AND(($E31+$C$1)&gt;CT$4,CT$4&gt;=$C$1),$H31,IF(AND(($D31+$C$1)&gt;CT$4,CT$4&gt;=$C$1),$G31,0))*IF($A31="Residential",'General Inputs'!F$15,'General Inputs'!F$19)</f>
        <v>1078.7259045438163</v>
      </c>
      <c r="CU31" s="214">
        <f>IF(AND(($E31+$C$1)&gt;CU$4,CU$4&gt;=$C$1),$H31,IF(AND(($D31+$C$1)&gt;CU$4,CU$4&gt;=$C$1),$G31,0))*IF($A31="Residential",'General Inputs'!G$15,'General Inputs'!G$19)</f>
        <v>1094.9067931119735</v>
      </c>
      <c r="CV31" s="214">
        <f>IF(AND(($E31+$C$1)&gt;CV$4,CV$4&gt;=$C$1),$H31,IF(AND(($D31+$C$1)&gt;CV$4,CV$4&gt;=$C$1),$G31,0))*IF($A31="Residential",'General Inputs'!H$15,'General Inputs'!H$19)</f>
        <v>0</v>
      </c>
      <c r="CW31" s="214">
        <f>IF(AND(($E31+$C$1)&gt;CW$4,CW$4&gt;=$C$1),$H31,IF(AND(($D31+$C$1)&gt;CW$4,CW$4&gt;=$C$1),$G31,0))*IF($A31="Residential",'General Inputs'!I$15,'General Inputs'!I$19)</f>
        <v>0</v>
      </c>
      <c r="CX31" s="214">
        <f>IF(AND(($E31+$C$1)&gt;CX$4,CX$4&gt;=$C$1),$H31,IF(AND(($D31+$C$1)&gt;CX$4,CX$4&gt;=$C$1),$G31,0))*IF($A31="Residential",'General Inputs'!J$15,'General Inputs'!J$19)</f>
        <v>0</v>
      </c>
      <c r="CY31" s="214">
        <f>IF(AND(($E31+$C$1)&gt;CY$4,CY$4&gt;=$C$1),$H31,IF(AND(($D31+$C$1)&gt;CY$4,CY$4&gt;=$C$1),$G31,0))*IF($A31="Residential",'General Inputs'!K$15,'General Inputs'!K$19)</f>
        <v>0</v>
      </c>
      <c r="CZ31" s="214">
        <f>IF(AND(($E31+$C$1)&gt;CZ$4,CZ$4&gt;=$C$1),$H31,IF(AND(($D31+$C$1)&gt;CZ$4,CZ$4&gt;=$C$1),$G31,0))*IF($A31="Residential",'General Inputs'!L$15,'General Inputs'!L$19)</f>
        <v>0</v>
      </c>
      <c r="DA31" s="214">
        <f>IF(AND(($E31+$C$1)&gt;DA$4,DA$4&gt;=$C$1),$H31,IF(AND(($D31+$C$1)&gt;DA$4,DA$4&gt;=$C$1),$G31,0))*IF($A31="Residential",'General Inputs'!M$15,'General Inputs'!M$19)</f>
        <v>0</v>
      </c>
      <c r="DB31" s="214">
        <f>IF(AND(($E31+$C$1)&gt;DB$4,DB$4&gt;=$C$1),$H31,IF(AND(($D31+$C$1)&gt;DB$4,DB$4&gt;=$C$1),$G31,0))*IF($A31="Residential",'General Inputs'!N$15,'General Inputs'!N$19)</f>
        <v>0</v>
      </c>
      <c r="DC31" s="214">
        <f>IF(AND(($E31+$C$1)&gt;DC$4,DC$4&gt;=$C$1),$H31,IF(AND(($D31+$C$1)&gt;DC$4,DC$4&gt;=$C$1),$G31,0))*IF($A31="Residential",'General Inputs'!O$15,'General Inputs'!O$19)</f>
        <v>0</v>
      </c>
      <c r="DD31" s="214">
        <f>IF(AND(($E31+$C$1)&gt;DD$4,DD$4&gt;=$C$1),$H31,IF(AND(($D31+$C$1)&gt;DD$4,DD$4&gt;=$C$1),$G31,0))*IF($A31="Residential",'General Inputs'!P$15,'General Inputs'!P$19)</f>
        <v>0</v>
      </c>
      <c r="DE31" s="214">
        <f>IF(AND(($E31+$C$1)&gt;DE$4,DE$4&gt;=$C$1),$H31,IF(AND(($D31+$C$1)&gt;DE$4,DE$4&gt;=$C$1),$G31,0))*IF($A31="Residential",'General Inputs'!Q$15,'General Inputs'!Q$19)</f>
        <v>0</v>
      </c>
      <c r="DF31" s="214">
        <f>IF(AND(($E31+$C$1)&gt;DF$4,DF$4&gt;=$C$1),$H31,IF(AND(($D31+$C$1)&gt;DF$4,DF$4&gt;=$C$1),$G31,0))*IF($A31="Residential",'General Inputs'!R$15,'General Inputs'!R$19)</f>
        <v>0</v>
      </c>
      <c r="DG31" s="214">
        <f>IF(AND(($E31+$C$1)&gt;DG$4,DG$4&gt;=$C$1),$H31,IF(AND(($D31+$C$1)&gt;DG$4,DG$4&gt;=$C$1),$G31,0))*IF($A31="Residential",'General Inputs'!S$15,'General Inputs'!S$19)</f>
        <v>0</v>
      </c>
      <c r="DH31" s="214">
        <f>IF(AND(($E31+$C$1)&gt;DH$4,DH$4&gt;=$C$1),$H31,IF(AND(($D31+$C$1)&gt;DH$4,DH$4&gt;=$C$1),$G31,0))*IF($A31="Residential",'General Inputs'!T$15,'General Inputs'!T$19)</f>
        <v>0</v>
      </c>
      <c r="DI31" s="214">
        <f>IF(AND(($E31+$C$1)&gt;DI$4,DI$4&gt;=$C$1),$H31,IF(AND(($D31+$C$1)&gt;DI$4,DI$4&gt;=$C$1),$G31,0))*IF($A31="Residential",'General Inputs'!U$15,'General Inputs'!U$19)</f>
        <v>0</v>
      </c>
      <c r="DJ31" s="214">
        <f>IF(AND(($E31+$C$1)&gt;DJ$4,DJ$4&gt;=$C$1),$H31,IF(AND(($D31+$C$1)&gt;DJ$4,DJ$4&gt;=$C$1),$G31,0))*IF($A31="Residential",'General Inputs'!V$15,'General Inputs'!V$19)</f>
        <v>0</v>
      </c>
      <c r="DK31" s="214">
        <f>IF(AND(($E31+$C$1)&gt;DK$4,DK$4&gt;=$C$1),$H31,IF(AND(($D31+$C$1)&gt;DK$4,DK$4&gt;=$C$1),$G31,0))*IF($A31="Residential",'General Inputs'!W$15,'General Inputs'!W$19)</f>
        <v>0</v>
      </c>
      <c r="DM31" s="214">
        <f t="shared" si="47"/>
        <v>0</v>
      </c>
      <c r="DN31" s="214">
        <f t="shared" si="47"/>
        <v>0</v>
      </c>
      <c r="DO31" s="214">
        <f t="shared" si="47"/>
        <v>0</v>
      </c>
      <c r="DP31" s="214">
        <f t="shared" si="47"/>
        <v>0</v>
      </c>
      <c r="DQ31" s="214">
        <f t="shared" si="47"/>
        <v>0</v>
      </c>
      <c r="DR31" s="214">
        <f t="shared" si="47"/>
        <v>0</v>
      </c>
      <c r="DS31" s="214">
        <f t="shared" si="47"/>
        <v>0</v>
      </c>
      <c r="DT31" s="214">
        <f t="shared" si="47"/>
        <v>0</v>
      </c>
      <c r="DU31" s="214">
        <f t="shared" si="47"/>
        <v>0</v>
      </c>
      <c r="DV31" s="214">
        <f t="shared" si="47"/>
        <v>0</v>
      </c>
      <c r="DW31" s="214">
        <f t="shared" si="47"/>
        <v>0</v>
      </c>
      <c r="DZ31" s="650"/>
      <c r="FI31" s="195"/>
      <c r="FJ31" s="195"/>
      <c r="FK31" s="195"/>
      <c r="FL31" s="195"/>
      <c r="FM31" s="195"/>
      <c r="FN31" s="195"/>
      <c r="FO31" s="195"/>
    </row>
    <row r="32" spans="1:171">
      <c r="A32" s="342" t="s">
        <v>12</v>
      </c>
      <c r="B32" s="427" t="str">
        <f>'Portfolio Inputs'!A31</f>
        <v>Water Heater Tank Wrap</v>
      </c>
      <c r="C32" s="217">
        <f>IF($C$1=2014,'Portfolio Inputs'!$C31,IF($C$1=2015,'Portfolio Inputs'!$D31,'Portfolio Inputs'!$E31))</f>
        <v>125</v>
      </c>
      <c r="D32" s="504">
        <f>VLOOKUP(B32,Sources!$B$4:$J$104,2,FALSE)</f>
        <v>5</v>
      </c>
      <c r="E32" s="504">
        <f>VLOOKUP(B32,Sources!$B$4:$J$104,3,FALSE)</f>
        <v>0</v>
      </c>
      <c r="G32" s="504">
        <f>IF($C$1=2014,'Portfolio Inputs'!$G31,IF($C$1=2015,'Portfolio Inputs'!$H31,'Portfolio Inputs'!$I31))*EnergyLineLoss</f>
        <v>10339.125</v>
      </c>
      <c r="H32" s="504"/>
      <c r="I32" s="504">
        <f>IF($C$1=2014,'Portfolio Inputs'!$K31,IF($C$1=2015,'Portfolio Inputs'!$L31,'Portfolio Inputs'!$M31))*PeakLineLoss</f>
        <v>1.177875</v>
      </c>
      <c r="J32" s="510"/>
      <c r="L32" s="606">
        <f>IF($C$1=2014,'Portfolio Inputs'!$O31,IF($C$1=2015,'Portfolio Inputs'!$P31,'Portfolio Inputs'!$Q31))</f>
        <v>0</v>
      </c>
      <c r="M32" s="518">
        <f>VLOOKUP($B32,Sources!$B$4:$K$104,10,FALSE)</f>
        <v>0</v>
      </c>
      <c r="N32" s="419">
        <f>IF($C$1=2014,'Portfolio Inputs'!$W31,IF($C$1=2015,'Portfolio Inputs'!$X31,'Portfolio Inputs'!$Y31))</f>
        <v>0</v>
      </c>
      <c r="O32" s="419"/>
      <c r="Q32" s="438" t="str">
        <f t="shared" si="67"/>
        <v>n/a</v>
      </c>
      <c r="R32" s="439" t="str">
        <f t="shared" si="68"/>
        <v>n/a</v>
      </c>
      <c r="S32" s="439" t="str">
        <f t="shared" si="69"/>
        <v>n/a</v>
      </c>
      <c r="T32" s="439" t="str">
        <f t="shared" si="70"/>
        <v>n/a</v>
      </c>
      <c r="U32" s="439" t="str">
        <f t="shared" si="71"/>
        <v>n/a</v>
      </c>
      <c r="V32" s="439">
        <f t="shared" si="72"/>
        <v>0.30930538080626285</v>
      </c>
      <c r="W32" s="439">
        <f t="shared" si="73"/>
        <v>0.38021171815731775</v>
      </c>
      <c r="Y32" s="215">
        <f t="shared" si="4"/>
        <v>1631.2365608118209</v>
      </c>
      <c r="Z32" s="215">
        <f t="shared" si="5"/>
        <v>422.97625520100053</v>
      </c>
      <c r="AA32" s="215">
        <f t="shared" si="6"/>
        <v>5273.8706211954504</v>
      </c>
      <c r="AB32" s="215">
        <f t="shared" si="7"/>
        <v>4290.337417051609</v>
      </c>
      <c r="AC32" s="216">
        <f t="shared" si="20"/>
        <v>0</v>
      </c>
      <c r="AD32" s="216">
        <f t="shared" si="21"/>
        <v>0</v>
      </c>
      <c r="AE32" s="215">
        <f t="shared" si="8"/>
        <v>0</v>
      </c>
      <c r="AG32" s="214">
        <f>IF(AND(($E32+$C$1)&gt;AG$4,AG$4&gt;=$C$1),'General Inputs'!D$9*$H32,IF(AND(($D32+$C$1)&gt;AG$4,AG$4&gt;=$C$1),'General Inputs'!D$9*$G32,0))+IF(AND(($E32+$C$1)&gt;AG$4,AG$4&gt;=$C$1),'General Inputs'!D$10*$J32,IF(AND(($D32+$C$1)&gt;AG$4,AG$4&gt;=$C$1),'General Inputs'!D$10*$I32,0))</f>
        <v>0</v>
      </c>
      <c r="AH32" s="214">
        <f>IF(AND(($E32+$C$1)&gt;AH$4,AH$4&gt;=$C$1),'General Inputs'!E$9*$H32,IF(AND(($D32+$C$1)&gt;AH$4,AH$4&gt;=$C$1),'General Inputs'!E$9*$G32,0))+IF(AND(($E32+$C$1)&gt;AH$4,AH$4&gt;=$C$1),'General Inputs'!E$10*$J32,IF(AND(($D32+$C$1)&gt;AH$4,AH$4&gt;=$C$1),'General Inputs'!E$10*$I32,0))</f>
        <v>0</v>
      </c>
      <c r="AI32" s="214">
        <f>IF(AND(($E32+$C$1)&gt;AI$4,AI$4&gt;=$C$1),'General Inputs'!F$9*$H32,IF(AND(($D32+$C$1)&gt;AI$4,AI$4&gt;=$C$1),'General Inputs'!F$9*$G32,0))+IF(AND(($E32+$C$1)&gt;AI$4,AI$4&gt;=$C$1),'General Inputs'!F$10*$J32,IF(AND(($D32+$C$1)&gt;AI$4,AI$4&gt;=$C$1),'General Inputs'!F$10*$I32,0))</f>
        <v>442.23600925660435</v>
      </c>
      <c r="AJ32" s="214">
        <f>IF(AND(($E32+$C$1)&gt;AJ$4,AJ$4&gt;=$C$1),'General Inputs'!G$9*$H32,IF(AND(($D32+$C$1)&gt;AJ$4,AJ$4&gt;=$C$1),'General Inputs'!G$9*$G32,0))+IF(AND(($E32+$C$1)&gt;AJ$4,AJ$4&gt;=$C$1),'General Inputs'!G$10*$J32,IF(AND(($D32+$C$1)&gt;AJ$4,AJ$4&gt;=$C$1),'General Inputs'!G$10*$I32,0))</f>
        <v>448.86954939545342</v>
      </c>
      <c r="AK32" s="214">
        <f>IF(AND(($E32+$C$1)&gt;AK$4,AK$4&gt;=$C$1),'General Inputs'!H$9*$H32,IF(AND(($D32+$C$1)&gt;AK$4,AK$4&gt;=$C$1),'General Inputs'!H$9*$G32,0))+IF(AND(($E32+$C$1)&gt;AK$4,AK$4&gt;=$C$1),'General Inputs'!H$10*$J32,IF(AND(($D32+$C$1)&gt;AK$4,AK$4&gt;=$C$1),'General Inputs'!H$10*$I32,0))</f>
        <v>455.60259263638511</v>
      </c>
      <c r="AL32" s="214">
        <f>IF(AND(($E32+$C$1)&gt;AL$4,AL$4&gt;=$C$1),'General Inputs'!I$9*$H32,IF(AND(($D32+$C$1)&gt;AL$4,AL$4&gt;=$C$1),'General Inputs'!I$9*$G32,0))+IF(AND(($E32+$C$1)&gt;AL$4,AL$4&gt;=$C$1),'General Inputs'!I$10*$J32,IF(AND(($D32+$C$1)&gt;AL$4,AL$4&gt;=$C$1),'General Inputs'!I$10*$I32,0))</f>
        <v>462.43663152593086</v>
      </c>
      <c r="AM32" s="214">
        <f>IF(AND(($E32+$C$1)&gt;AM$4,AM$4&gt;=$C$1),'General Inputs'!J$9*$H32,IF(AND(($D32+$C$1)&gt;AM$4,AM$4&gt;=$C$1),'General Inputs'!J$9*$G32,0))+IF(AND(($E32+$C$1)&gt;AM$4,AM$4&gt;=$C$1),'General Inputs'!J$10*$J32,IF(AND(($D32+$C$1)&gt;AM$4,AM$4&gt;=$C$1),'General Inputs'!J$10*$I32,0))</f>
        <v>469.37318099881975</v>
      </c>
      <c r="AN32" s="214">
        <f>IF(AND(($E32+$C$1)&gt;AN$4,AN$4&gt;=$C$1),'General Inputs'!K$9*$H32,IF(AND(($D32+$C$1)&gt;AN$4,AN$4&gt;=$C$1),'General Inputs'!K$9*$G32,0))+IF(AND(($E32+$C$1)&gt;AN$4,AN$4&gt;=$C$1),'General Inputs'!K$10*$J32,IF(AND(($D32+$C$1)&gt;AN$4,AN$4&gt;=$C$1),'General Inputs'!K$10*$I32,0))</f>
        <v>0</v>
      </c>
      <c r="AO32" s="214">
        <f>IF(AND(($E32+$C$1)&gt;AO$4,AO$4&gt;=$C$1),'General Inputs'!L$9*$H32,IF(AND(($D32+$C$1)&gt;AO$4,AO$4&gt;=$C$1),'General Inputs'!L$9*$G32,0))+IF(AND(($E32+$C$1)&gt;AO$4,AO$4&gt;=$C$1),'General Inputs'!L$10*$J32,IF(AND(($D32+$C$1)&gt;AO$4,AO$4&gt;=$C$1),'General Inputs'!L$10*$I32,0))</f>
        <v>0</v>
      </c>
      <c r="AP32" s="214">
        <f>IF(AND(($E32+$C$1)&gt;AP$4,AP$4&gt;=$C$1),'General Inputs'!M$9*$H32,IF(AND(($D32+$C$1)&gt;AP$4,AP$4&gt;=$C$1),'General Inputs'!M$9*$G32,0))+IF(AND(($E32+$C$1)&gt;AP$4,AP$4&gt;=$C$1),'General Inputs'!M$10*$J32,IF(AND(($D32+$C$1)&gt;AP$4,AP$4&gt;=$C$1),'General Inputs'!M$10*$I32,0))</f>
        <v>0</v>
      </c>
      <c r="AQ32" s="214">
        <f>IF(AND(($E32+$C$1)&gt;AQ$4,AQ$4&gt;=$C$1),'General Inputs'!N$9*$H32,IF(AND(($D32+$C$1)&gt;AQ$4,AQ$4&gt;=$C$1),'General Inputs'!N$9*$G32,0))+IF(AND(($E32+$C$1)&gt;AQ$4,AQ$4&gt;=$C$1),'General Inputs'!N$10*$J32,IF(AND(($D32+$C$1)&gt;AQ$4,AQ$4&gt;=$C$1),'General Inputs'!N$10*$I32,0))</f>
        <v>0</v>
      </c>
      <c r="AR32" s="214">
        <f>IF(AND(($E32+$C$1)&gt;AR$4,AR$4&gt;=$C$1),'General Inputs'!O$9*$H32,IF(AND(($D32+$C$1)&gt;AR$4,AR$4&gt;=$C$1),'General Inputs'!O$9*$G32,0))+IF(AND(($E32+$C$1)&gt;AR$4,AR$4&gt;=$C$1),'General Inputs'!O$10*$J32,IF(AND(($D32+$C$1)&gt;AR$4,AR$4&gt;=$C$1),'General Inputs'!O$10*$I32,0))</f>
        <v>0</v>
      </c>
      <c r="AS32" s="214">
        <f>IF(AND(($E32+$C$1)&gt;AS$4,AS$4&gt;=$C$1),'General Inputs'!P$9*$H32,IF(AND(($D32+$C$1)&gt;AS$4,AS$4&gt;=$C$1),'General Inputs'!P$9*$G32,0))+IF(AND(($E32+$C$1)&gt;AS$4,AS$4&gt;=$C$1),'General Inputs'!P$10*$J32,IF(AND(($D32+$C$1)&gt;AS$4,AS$4&gt;=$C$1),'General Inputs'!P$10*$I32,0))</f>
        <v>0</v>
      </c>
      <c r="AT32" s="214">
        <f>IF(AND(($E32+$C$1)&gt;AT$4,AT$4&gt;=$C$1),'General Inputs'!Q$9*$H32,IF(AND(($D32+$C$1)&gt;AT$4,AT$4&gt;=$C$1),'General Inputs'!Q$9*$G32,0))+IF(AND(($E32+$C$1)&gt;AT$4,AT$4&gt;=$C$1),'General Inputs'!Q$10*$J32,IF(AND(($D32+$C$1)&gt;AT$4,AT$4&gt;=$C$1),'General Inputs'!Q$10*$I32,0))</f>
        <v>0</v>
      </c>
      <c r="AU32" s="214">
        <f>IF(AND(($E32+$C$1)&gt;AU$4,AU$4&gt;=$C$1),'General Inputs'!R$9*$H32,IF(AND(($D32+$C$1)&gt;AU$4,AU$4&gt;=$C$1),'General Inputs'!R$9*$G32,0))+IF(AND(($E32+$C$1)&gt;AU$4,AU$4&gt;=$C$1),'General Inputs'!R$10*$J32,IF(AND(($D32+$C$1)&gt;AU$4,AU$4&gt;=$C$1),'General Inputs'!R$10*$I32,0))</f>
        <v>0</v>
      </c>
      <c r="AV32" s="214">
        <f>IF(AND(($E32+$C$1)&gt;AV$4,AV$4&gt;=$C$1),'General Inputs'!S$9*$H32,IF(AND(($D32+$C$1)&gt;AV$4,AV$4&gt;=$C$1),'General Inputs'!S$9*$G32,0))+IF(AND(($E32+$C$1)&gt;AV$4,AV$4&gt;=$C$1),'General Inputs'!S$10*$J32,IF(AND(($D32+$C$1)&gt;AV$4,AV$4&gt;=$C$1),'General Inputs'!S$10*$I32,0))</f>
        <v>0</v>
      </c>
      <c r="AW32" s="214">
        <f>IF(AND(($E32+$C$1)&gt;AW$4,AW$4&gt;=$C$1),'General Inputs'!T$9*$H32,IF(AND(($D32+$C$1)&gt;AW$4,AW$4&gt;=$C$1),'General Inputs'!T$9*$G32,0))+IF(AND(($E32+$C$1)&gt;AW$4,AW$4&gt;=$C$1),'General Inputs'!T$10*$J32,IF(AND(($D32+$C$1)&gt;AW$4,AW$4&gt;=$C$1),'General Inputs'!T$10*$I32,0))</f>
        <v>0</v>
      </c>
      <c r="AX32" s="214">
        <f>IF(AND(($E32+$C$1)&gt;AX$4,AX$4&gt;=$C$1),'General Inputs'!U$9*$H32,IF(AND(($D32+$C$1)&gt;AX$4,AX$4&gt;=$C$1),'General Inputs'!U$9*$G32,0))+IF(AND(($E32+$C$1)&gt;AX$4,AX$4&gt;=$C$1),'General Inputs'!U$10*$J32,IF(AND(($D32+$C$1)&gt;AX$4,AX$4&gt;=$C$1),'General Inputs'!U$10*$I32,0))</f>
        <v>0</v>
      </c>
      <c r="AY32" s="214">
        <f>IF(AND(($E32+$C$1)&gt;AY$4,AY$4&gt;=$C$1),'General Inputs'!V$9*$H32,IF(AND(($D32+$C$1)&gt;AY$4,AY$4&gt;=$C$1),'General Inputs'!V$9*$G32,0))+IF(AND(($E32+$C$1)&gt;AY$4,AY$4&gt;=$C$1),'General Inputs'!V$10*$J32,IF(AND(($D32+$C$1)&gt;AY$4,AY$4&gt;=$C$1),'General Inputs'!V$10*$I32,0))</f>
        <v>0</v>
      </c>
      <c r="AZ32" s="214">
        <f>IF(AND(($E32+$C$1)&gt;AZ$4,AZ$4&gt;=$C$1),'General Inputs'!W$9*$H32,IF(AND(($D32+$C$1)&gt;AZ$4,AZ$4&gt;=$C$1),'General Inputs'!W$9*$G32,0))+IF(AND(($E32+$C$1)&gt;AZ$4,AZ$4&gt;=$C$1),'General Inputs'!W$10*$J32,IF(AND(($D32+$C$1)&gt;AZ$4,AZ$4&gt;=$C$1),'General Inputs'!W$10*$I32,0))</f>
        <v>0</v>
      </c>
      <c r="BB32" s="214">
        <f>IF(AND(($E32+$C$1)&gt;BB$4,BB$4&gt;=$C$1),'General Inputs'!D$11*$H32,IF(AND(($D32+$C$1)&gt;BB$4,BB$4&gt;=$C$1),'General Inputs'!D$11*$G32,0))</f>
        <v>0</v>
      </c>
      <c r="BC32" s="214">
        <f>IF(AND(($E32+$C$1)&gt;BC$4,BC$4&gt;=$C$1),'General Inputs'!E$11*$H32,IF(AND(($D32+$C$1)&gt;BC$4,BC$4&gt;=$C$1),'General Inputs'!E$11*$G32,0))</f>
        <v>0</v>
      </c>
      <c r="BD32" s="214">
        <f>IF(AND(($E32+$C$1)&gt;BD$4,BD$4&gt;=$C$1),'General Inputs'!F$11*$H32,IF(AND(($D32+$C$1)&gt;BD$4,BD$4&gt;=$C$1),'General Inputs'!F$11*$G32,0))</f>
        <v>117.86602500000001</v>
      </c>
      <c r="BE32" s="214">
        <f>IF(AND(($E32+$C$1)&gt;BE$4,BE$4&gt;=$C$1),'General Inputs'!G$11*$H32,IF(AND(($D32+$C$1)&gt;BE$4,BE$4&gt;=$C$1),'General Inputs'!G$11*$G32,0))</f>
        <v>117.86602500000001</v>
      </c>
      <c r="BF32" s="214">
        <f>IF(AND(($E32+$C$1)&gt;BF$4,BF$4&gt;=$C$1),'General Inputs'!H$11*$H32,IF(AND(($D32+$C$1)&gt;BF$4,BF$4&gt;=$C$1),'General Inputs'!H$11*$G32,0))</f>
        <v>117.86602500000001</v>
      </c>
      <c r="BG32" s="214">
        <f>IF(AND(($E32+$C$1)&gt;BG$4,BG$4&gt;=$C$1),'General Inputs'!I$11*$H32,IF(AND(($D32+$C$1)&gt;BG$4,BG$4&gt;=$C$1),'General Inputs'!I$11*$G32,0))</f>
        <v>117.86602500000001</v>
      </c>
      <c r="BH32" s="214">
        <f>IF(AND(($E32+$C$1)&gt;BH$4,BH$4&gt;=$C$1),'General Inputs'!J$11*$H32,IF(AND(($D32+$C$1)&gt;BH$4,BH$4&gt;=$C$1),'General Inputs'!J$11*$G32,0))</f>
        <v>117.86602500000001</v>
      </c>
      <c r="BI32" s="214">
        <f>IF(AND(($E32+$C$1)&gt;BI$4,BI$4&gt;=$C$1),'General Inputs'!K$11*$H32,IF(AND(($D32+$C$1)&gt;BI$4,BI$4&gt;=$C$1),'General Inputs'!K$11*$G32,0))</f>
        <v>0</v>
      </c>
      <c r="BJ32" s="214">
        <f>IF(AND(($E32+$C$1)&gt;BJ$4,BJ$4&gt;=$C$1),'General Inputs'!L$11*$H32,IF(AND(($D32+$C$1)&gt;BJ$4,BJ$4&gt;=$C$1),'General Inputs'!L$11*$G32,0))</f>
        <v>0</v>
      </c>
      <c r="BK32" s="214">
        <f>IF(AND(($E32+$C$1)&gt;BK$4,BK$4&gt;=$C$1),'General Inputs'!M$11*$H32,IF(AND(($D32+$C$1)&gt;BK$4,BK$4&gt;=$C$1),'General Inputs'!M$11*$G32,0))</f>
        <v>0</v>
      </c>
      <c r="BL32" s="214">
        <f>IF(AND(($E32+$C$1)&gt;BL$4,BL$4&gt;=$C$1),'General Inputs'!N$11*$H32,IF(AND(($D32+$C$1)&gt;BL$4,BL$4&gt;=$C$1),'General Inputs'!N$11*$G32,0))</f>
        <v>0</v>
      </c>
      <c r="BM32" s="214">
        <f>IF(AND(($E32+$C$1)&gt;BM$4,BM$4&gt;=$C$1),'General Inputs'!O$11*$H32,IF(AND(($D32+$C$1)&gt;BM$4,BM$4&gt;=$C$1),'General Inputs'!O$11*$G32,0))</f>
        <v>0</v>
      </c>
      <c r="BN32" s="214">
        <f>IF(AND(($E32+$C$1)&gt;BN$4,BN$4&gt;=$C$1),'General Inputs'!P$11*$H32,IF(AND(($D32+$C$1)&gt;BN$4,BN$4&gt;=$C$1),'General Inputs'!P$11*$G32,0))</f>
        <v>0</v>
      </c>
      <c r="BO32" s="214">
        <f>IF(AND(($E32+$C$1)&gt;BO$4,BO$4&gt;=$C$1),'General Inputs'!Q$11*$H32,IF(AND(($D32+$C$1)&gt;BO$4,BO$4&gt;=$C$1),'General Inputs'!Q$11*$G32,0))</f>
        <v>0</v>
      </c>
      <c r="BP32" s="214">
        <f>IF(AND(($E32+$C$1)&gt;BP$4,BP$4&gt;=$C$1),'General Inputs'!R$11*$H32,IF(AND(($D32+$C$1)&gt;BP$4,BP$4&gt;=$C$1),'General Inputs'!R$11*$G32,0))</f>
        <v>0</v>
      </c>
      <c r="BQ32" s="214">
        <f>IF(AND(($E32+$C$1)&gt;BQ$4,BQ$4&gt;=$C$1),'General Inputs'!S$11*$H32,IF(AND(($D32+$C$1)&gt;BQ$4,BQ$4&gt;=$C$1),'General Inputs'!S$11*$G32,0))</f>
        <v>0</v>
      </c>
      <c r="BR32" s="214">
        <f>IF(AND(($E32+$C$1)&gt;BR$4,BR$4&gt;=$C$1),'General Inputs'!T$11*$H32,IF(AND(($D32+$C$1)&gt;BR$4,BR$4&gt;=$C$1),'General Inputs'!T$11*$G32,0))</f>
        <v>0</v>
      </c>
      <c r="BS32" s="214">
        <f>IF(AND(($E32+$C$1)&gt;BS$4,BS$4&gt;=$C$1),'General Inputs'!U$11*$H32,IF(AND(($D32+$C$1)&gt;BS$4,BS$4&gt;=$C$1),'General Inputs'!U$11*$G32,0))</f>
        <v>0</v>
      </c>
      <c r="BT32" s="214">
        <f>IF(AND(($E32+$C$1)&gt;BT$4,BT$4&gt;=$C$1),'General Inputs'!V$11*$H32,IF(AND(($D32+$C$1)&gt;BT$4,BT$4&gt;=$C$1),'General Inputs'!V$11*$G32,0))</f>
        <v>0</v>
      </c>
      <c r="BU32" s="214">
        <f>IF(AND(($E32+$C$1)&gt;BU$4,BU$4&gt;=$C$1),'General Inputs'!W$11*$H32,IF(AND(($D32+$C$1)&gt;BU$4,BU$4&gt;=$C$1),'General Inputs'!W$11*$G32,0))</f>
        <v>0</v>
      </c>
      <c r="BW32" s="214">
        <f>IF(AND(($E32+$C$1)&gt;BW$4,BW$4&gt;=$C$1),$H32,IF(AND(($D32+$C$1)&gt;BW$4,BW$4&gt;=$C$1),$G32,0))*IF($A32="Residential",'General Inputs'!D$14,'General Inputs'!D$19)</f>
        <v>0</v>
      </c>
      <c r="BX32" s="214">
        <f>IF(AND(($E32+$C$1)&gt;BX$4,BX$4&gt;=$C$1),$H32,IF(AND(($D32+$C$1)&gt;BX$4,BX$4&gt;=$C$1),$G32,0))*IF($A32="Residential",'General Inputs'!E$14,'General Inputs'!E$19)</f>
        <v>0</v>
      </c>
      <c r="BY32" s="214">
        <f>IF(AND(($E32+$C$1)&gt;BY$4,BY$4&gt;=$C$1),$H32,IF(AND(($D32+$C$1)&gt;BY$4,BY$4&gt;=$C$1),$G32,0))*IF($A32="Residential",'General Inputs'!F$14,'General Inputs'!F$19)</f>
        <v>1429.7714708481071</v>
      </c>
      <c r="BZ32" s="214">
        <f>IF(AND(($E32+$C$1)&gt;BZ$4,BZ$4&gt;=$C$1),$H32,IF(AND(($D32+$C$1)&gt;BZ$4,BZ$4&gt;=$C$1),$G32,0))*IF($A32="Residential",'General Inputs'!G$14,'General Inputs'!G$19)</f>
        <v>1451.2180429108284</v>
      </c>
      <c r="CA32" s="214">
        <f>IF(AND(($E32+$C$1)&gt;CA$4,CA$4&gt;=$C$1),$H32,IF(AND(($D32+$C$1)&gt;CA$4,CA$4&gt;=$C$1),$G32,0))*IF($A32="Residential",'General Inputs'!H$14,'General Inputs'!H$19)</f>
        <v>1472.9863135544906</v>
      </c>
      <c r="CB32" s="214">
        <f>IF(AND(($E32+$C$1)&gt;CB$4,CB$4&gt;=$C$1),$H32,IF(AND(($D32+$C$1)&gt;CB$4,CB$4&gt;=$C$1),$G32,0))*IF($A32="Residential",'General Inputs'!I$14,'General Inputs'!I$19)</f>
        <v>1495.081108257808</v>
      </c>
      <c r="CC32" s="214">
        <f>IF(AND(($E32+$C$1)&gt;CC$4,CC$4&gt;=$C$1),$H32,IF(AND(($D32+$C$1)&gt;CC$4,CC$4&gt;=$C$1),$G32,0))*IF($A32="Residential",'General Inputs'!J$14,'General Inputs'!J$19)</f>
        <v>1517.5073248816748</v>
      </c>
      <c r="CD32" s="214">
        <f>IF(AND(($E32+$C$1)&gt;CD$4,CD$4&gt;=$C$1),$H32,IF(AND(($D32+$C$1)&gt;CD$4,CD$4&gt;=$C$1),$G32,0))*IF($A32="Residential",'General Inputs'!K$14,'General Inputs'!K$19)</f>
        <v>0</v>
      </c>
      <c r="CE32" s="214">
        <f>IF(AND(($E32+$C$1)&gt;CE$4,CE$4&gt;=$C$1),$H32,IF(AND(($D32+$C$1)&gt;CE$4,CE$4&gt;=$C$1),$G32,0))*IF($A32="Residential",'General Inputs'!L$14,'General Inputs'!L$19)</f>
        <v>0</v>
      </c>
      <c r="CF32" s="214">
        <f>IF(AND(($E32+$C$1)&gt;CF$4,CF$4&gt;=$C$1),$H32,IF(AND(($D32+$C$1)&gt;CF$4,CF$4&gt;=$C$1),$G32,0))*IF($A32="Residential",'General Inputs'!M$14,'General Inputs'!M$19)</f>
        <v>0</v>
      </c>
      <c r="CG32" s="214">
        <f>IF(AND(($E32+$C$1)&gt;CG$4,CG$4&gt;=$C$1),$H32,IF(AND(($D32+$C$1)&gt;CG$4,CG$4&gt;=$C$1),$G32,0))*IF($A32="Residential",'General Inputs'!N$14,'General Inputs'!N$19)</f>
        <v>0</v>
      </c>
      <c r="CH32" s="214">
        <f>IF(AND(($E32+$C$1)&gt;CH$4,CH$4&gt;=$C$1),$H32,IF(AND(($D32+$C$1)&gt;CH$4,CH$4&gt;=$C$1),$G32,0))*IF($A32="Residential",'General Inputs'!O$14,'General Inputs'!O$19)</f>
        <v>0</v>
      </c>
      <c r="CI32" s="214">
        <f>IF(AND(($E32+$C$1)&gt;CI$4,CI$4&gt;=$C$1),$H32,IF(AND(($D32+$C$1)&gt;CI$4,CI$4&gt;=$C$1),$G32,0))*IF($A32="Residential",'General Inputs'!P$14,'General Inputs'!P$19)</f>
        <v>0</v>
      </c>
      <c r="CJ32" s="214">
        <f>IF(AND(($E32+$C$1)&gt;CJ$4,CJ$4&gt;=$C$1),$H32,IF(AND(($D32+$C$1)&gt;CJ$4,CJ$4&gt;=$C$1),$G32,0))*IF($A32="Residential",'General Inputs'!Q$14,'General Inputs'!Q$19)</f>
        <v>0</v>
      </c>
      <c r="CK32" s="214">
        <f>IF(AND(($E32+$C$1)&gt;CK$4,CK$4&gt;=$C$1),$H32,IF(AND(($D32+$C$1)&gt;CK$4,CK$4&gt;=$C$1),$G32,0))*IF($A32="Residential",'General Inputs'!R$14,'General Inputs'!R$19)</f>
        <v>0</v>
      </c>
      <c r="CL32" s="214">
        <f>IF(AND(($E32+$C$1)&gt;CL$4,CL$4&gt;=$C$1),$H32,IF(AND(($D32+$C$1)&gt;CL$4,CL$4&gt;=$C$1),$G32,0))*IF($A32="Residential",'General Inputs'!S$14,'General Inputs'!S$19)</f>
        <v>0</v>
      </c>
      <c r="CM32" s="214">
        <f>IF(AND(($E32+$C$1)&gt;CM$4,CM$4&gt;=$C$1),$H32,IF(AND(($D32+$C$1)&gt;CM$4,CM$4&gt;=$C$1),$G32,0))*IF($A32="Residential",'General Inputs'!T$14,'General Inputs'!T$19)</f>
        <v>0</v>
      </c>
      <c r="CN32" s="214">
        <f>IF(AND(($E32+$C$1)&gt;CN$4,CN$4&gt;=$C$1),$H32,IF(AND(($D32+$C$1)&gt;CN$4,CN$4&gt;=$C$1),$G32,0))*IF($A32="Residential",'General Inputs'!U$14,'General Inputs'!U$19)</f>
        <v>0</v>
      </c>
      <c r="CO32" s="214">
        <f>IF(AND(($E32+$C$1)&gt;CO$4,CO$4&gt;=$C$1),$H32,IF(AND(($D32+$C$1)&gt;CO$4,CO$4&gt;=$C$1),$G32,0))*IF($A32="Residential",'General Inputs'!V$14,'General Inputs'!V$19)</f>
        <v>0</v>
      </c>
      <c r="CP32" s="214">
        <f>IF(AND(($E32+$C$1)&gt;CP$4,CP$4&gt;=$C$1),$H32,IF(AND(($D32+$C$1)&gt;CP$4,CP$4&gt;=$C$1),$G32,0))*IF($A32="Residential",'General Inputs'!W$14,'General Inputs'!W$19)</f>
        <v>0</v>
      </c>
      <c r="CR32" s="214">
        <f>IF(AND(($E32+$C$1)&gt;CR$4,CR$4&gt;=$C$1),$H32,IF(AND(($D32+$C$1)&gt;CR$4,CR$4&gt;=$C$1),$G32,0))*IF($A32="Residential",'General Inputs'!D$15,'General Inputs'!D$19)</f>
        <v>0</v>
      </c>
      <c r="CS32" s="214">
        <f>IF(AND(($E32+$C$1)&gt;CS$4,CS$4&gt;=$C$1),$H32,IF(AND(($D32+$C$1)&gt;CS$4,CS$4&gt;=$C$1),$G32,0))*IF($A32="Residential",'General Inputs'!E$15,'General Inputs'!E$19)</f>
        <v>0</v>
      </c>
      <c r="CT32" s="214">
        <f>IF(AND(($E32+$C$1)&gt;CT$4,CT$4&gt;=$C$1),$H32,IF(AND(($D32+$C$1)&gt;CT$4,CT$4&gt;=$C$1),$G32,0))*IF($A32="Residential",'General Inputs'!F$15,'General Inputs'!F$19)</f>
        <v>1163.1309297879745</v>
      </c>
      <c r="CU32" s="214">
        <f>IF(AND(($E32+$C$1)&gt;CU$4,CU$4&gt;=$C$1),$H32,IF(AND(($D32+$C$1)&gt;CU$4,CU$4&gt;=$C$1),$G32,0))*IF($A32="Residential",'General Inputs'!G$15,'General Inputs'!G$19)</f>
        <v>1180.5778937347941</v>
      </c>
      <c r="CV32" s="214">
        <f>IF(AND(($E32+$C$1)&gt;CV$4,CV$4&gt;=$C$1),$H32,IF(AND(($D32+$C$1)&gt;CV$4,CV$4&gt;=$C$1),$G32,0))*IF($A32="Residential",'General Inputs'!H$15,'General Inputs'!H$19)</f>
        <v>1198.2865621408159</v>
      </c>
      <c r="CW32" s="214">
        <f>IF(AND(($E32+$C$1)&gt;CW$4,CW$4&gt;=$C$1),$H32,IF(AND(($D32+$C$1)&gt;CW$4,CW$4&gt;=$C$1),$G32,0))*IF($A32="Residential",'General Inputs'!I$15,'General Inputs'!I$19)</f>
        <v>1216.2608605729281</v>
      </c>
      <c r="CX32" s="214">
        <f>IF(AND(($E32+$C$1)&gt;CX$4,CX$4&gt;=$C$1),$H32,IF(AND(($D32+$C$1)&gt;CX$4,CX$4&gt;=$C$1),$G32,0))*IF($A32="Residential",'General Inputs'!J$15,'General Inputs'!J$19)</f>
        <v>1234.5047734815219</v>
      </c>
      <c r="CY32" s="214">
        <f>IF(AND(($E32+$C$1)&gt;CY$4,CY$4&gt;=$C$1),$H32,IF(AND(($D32+$C$1)&gt;CY$4,CY$4&gt;=$C$1),$G32,0))*IF($A32="Residential",'General Inputs'!K$15,'General Inputs'!K$19)</f>
        <v>0</v>
      </c>
      <c r="CZ32" s="214">
        <f>IF(AND(($E32+$C$1)&gt;CZ$4,CZ$4&gt;=$C$1),$H32,IF(AND(($D32+$C$1)&gt;CZ$4,CZ$4&gt;=$C$1),$G32,0))*IF($A32="Residential",'General Inputs'!L$15,'General Inputs'!L$19)</f>
        <v>0</v>
      </c>
      <c r="DA32" s="214">
        <f>IF(AND(($E32+$C$1)&gt;DA$4,DA$4&gt;=$C$1),$H32,IF(AND(($D32+$C$1)&gt;DA$4,DA$4&gt;=$C$1),$G32,0))*IF($A32="Residential",'General Inputs'!M$15,'General Inputs'!M$19)</f>
        <v>0</v>
      </c>
      <c r="DB32" s="214">
        <f>IF(AND(($E32+$C$1)&gt;DB$4,DB$4&gt;=$C$1),$H32,IF(AND(($D32+$C$1)&gt;DB$4,DB$4&gt;=$C$1),$G32,0))*IF($A32="Residential",'General Inputs'!N$15,'General Inputs'!N$19)</f>
        <v>0</v>
      </c>
      <c r="DC32" s="214">
        <f>IF(AND(($E32+$C$1)&gt;DC$4,DC$4&gt;=$C$1),$H32,IF(AND(($D32+$C$1)&gt;DC$4,DC$4&gt;=$C$1),$G32,0))*IF($A32="Residential",'General Inputs'!O$15,'General Inputs'!O$19)</f>
        <v>0</v>
      </c>
      <c r="DD32" s="214">
        <f>IF(AND(($E32+$C$1)&gt;DD$4,DD$4&gt;=$C$1),$H32,IF(AND(($D32+$C$1)&gt;DD$4,DD$4&gt;=$C$1),$G32,0))*IF($A32="Residential",'General Inputs'!P$15,'General Inputs'!P$19)</f>
        <v>0</v>
      </c>
      <c r="DE32" s="214">
        <f>IF(AND(($E32+$C$1)&gt;DE$4,DE$4&gt;=$C$1),$H32,IF(AND(($D32+$C$1)&gt;DE$4,DE$4&gt;=$C$1),$G32,0))*IF($A32="Residential",'General Inputs'!Q$15,'General Inputs'!Q$19)</f>
        <v>0</v>
      </c>
      <c r="DF32" s="214">
        <f>IF(AND(($E32+$C$1)&gt;DF$4,DF$4&gt;=$C$1),$H32,IF(AND(($D32+$C$1)&gt;DF$4,DF$4&gt;=$C$1),$G32,0))*IF($A32="Residential",'General Inputs'!R$15,'General Inputs'!R$19)</f>
        <v>0</v>
      </c>
      <c r="DG32" s="214">
        <f>IF(AND(($E32+$C$1)&gt;DG$4,DG$4&gt;=$C$1),$H32,IF(AND(($D32+$C$1)&gt;DG$4,DG$4&gt;=$C$1),$G32,0))*IF($A32="Residential",'General Inputs'!S$15,'General Inputs'!S$19)</f>
        <v>0</v>
      </c>
      <c r="DH32" s="214">
        <f>IF(AND(($E32+$C$1)&gt;DH$4,DH$4&gt;=$C$1),$H32,IF(AND(($D32+$C$1)&gt;DH$4,DH$4&gt;=$C$1),$G32,0))*IF($A32="Residential",'General Inputs'!T$15,'General Inputs'!T$19)</f>
        <v>0</v>
      </c>
      <c r="DI32" s="214">
        <f>IF(AND(($E32+$C$1)&gt;DI$4,DI$4&gt;=$C$1),$H32,IF(AND(($D32+$C$1)&gt;DI$4,DI$4&gt;=$C$1),$G32,0))*IF($A32="Residential",'General Inputs'!U$15,'General Inputs'!U$19)</f>
        <v>0</v>
      </c>
      <c r="DJ32" s="214">
        <f>IF(AND(($E32+$C$1)&gt;DJ$4,DJ$4&gt;=$C$1),$H32,IF(AND(($D32+$C$1)&gt;DJ$4,DJ$4&gt;=$C$1),$G32,0))*IF($A32="Residential",'General Inputs'!V$15,'General Inputs'!V$19)</f>
        <v>0</v>
      </c>
      <c r="DK32" s="214">
        <f>IF(AND(($E32+$C$1)&gt;DK$4,DK$4&gt;=$C$1),$H32,IF(AND(($D32+$C$1)&gt;DK$4,DK$4&gt;=$C$1),$G32,0))*IF($A32="Residential",'General Inputs'!W$15,'General Inputs'!W$19)</f>
        <v>0</v>
      </c>
      <c r="DM32" s="214">
        <f t="shared" si="47"/>
        <v>0</v>
      </c>
      <c r="DN32" s="214">
        <f t="shared" si="47"/>
        <v>0</v>
      </c>
      <c r="DO32" s="214">
        <f t="shared" si="47"/>
        <v>0</v>
      </c>
      <c r="DP32" s="214">
        <f t="shared" si="47"/>
        <v>0</v>
      </c>
      <c r="DQ32" s="214">
        <f t="shared" si="47"/>
        <v>0</v>
      </c>
      <c r="DR32" s="214">
        <f t="shared" si="47"/>
        <v>0</v>
      </c>
      <c r="DS32" s="214">
        <f t="shared" si="47"/>
        <v>0</v>
      </c>
      <c r="DT32" s="214">
        <f t="shared" si="47"/>
        <v>0</v>
      </c>
      <c r="DU32" s="214">
        <f t="shared" si="47"/>
        <v>0</v>
      </c>
      <c r="DV32" s="214">
        <f t="shared" si="47"/>
        <v>0</v>
      </c>
      <c r="DW32" s="214">
        <f t="shared" si="47"/>
        <v>0</v>
      </c>
      <c r="DZ32" s="650"/>
      <c r="FI32" s="195"/>
      <c r="FJ32" s="195"/>
      <c r="FK32" s="195"/>
      <c r="FL32" s="195"/>
      <c r="FM32" s="195"/>
      <c r="FN32" s="195"/>
      <c r="FO32" s="195"/>
    </row>
    <row r="33" spans="1:171">
      <c r="A33" s="441" t="s">
        <v>12</v>
      </c>
      <c r="B33" s="426" t="str">
        <f>'Portfolio Inputs'!A32</f>
        <v>Residential Audit</v>
      </c>
      <c r="C33" s="356">
        <f>IF($C$1=2014,'Portfolio Inputs'!$C32,IF($C$1=2015,'Portfolio Inputs'!$D32,'Portfolio Inputs'!$E32))</f>
        <v>400</v>
      </c>
      <c r="D33" s="527">
        <v>5</v>
      </c>
      <c r="E33" s="527">
        <v>0</v>
      </c>
      <c r="G33" s="527">
        <f>Sources!D120*C33*EnergyLineLoss</f>
        <v>39562.66985583074</v>
      </c>
      <c r="H33" s="527"/>
      <c r="I33" s="443">
        <f>Sources!E120*C33*PeakLineLoss</f>
        <v>4.5162865132226866</v>
      </c>
      <c r="J33" s="443"/>
      <c r="L33" s="607">
        <v>0</v>
      </c>
      <c r="M33" s="519">
        <v>0</v>
      </c>
      <c r="N33" s="453">
        <v>0</v>
      </c>
      <c r="O33" s="453">
        <f>IF($C$1=2014,'Portfolio Inputs'!$AA32,IF($C$1=2015,'Portfolio Inputs'!$AB32,'Portfolio Inputs'!$AC32))</f>
        <v>13860</v>
      </c>
      <c r="Q33" s="442">
        <f t="shared" si="67"/>
        <v>0.53354223151634272</v>
      </c>
      <c r="R33" s="443">
        <f t="shared" si="68"/>
        <v>0.53354223151634272</v>
      </c>
      <c r="S33" s="443">
        <f t="shared" si="69"/>
        <v>0.67187708988591455</v>
      </c>
      <c r="T33" s="443" t="str">
        <f t="shared" si="70"/>
        <v>n/a</v>
      </c>
      <c r="U33" s="443" t="str">
        <f>IF(AE33&gt;0,(AD33+AB33)/AE33,"n/a")</f>
        <v>n/a</v>
      </c>
      <c r="V33" s="522">
        <f t="shared" si="72"/>
        <v>0.19580786771885186</v>
      </c>
      <c r="W33" s="522">
        <f t="shared" si="73"/>
        <v>0.22201697212612895</v>
      </c>
      <c r="Y33" s="444">
        <f t="shared" si="4"/>
        <v>6242.4484541338998</v>
      </c>
      <c r="Z33" s="444">
        <f t="shared" si="5"/>
        <v>1618.5189695813517</v>
      </c>
      <c r="AA33" s="444">
        <f t="shared" si="6"/>
        <v>20180.470034816346</v>
      </c>
      <c r="AB33" s="444">
        <f t="shared" si="7"/>
        <v>16416.979464019481</v>
      </c>
      <c r="AC33" s="445">
        <f t="shared" si="20"/>
        <v>11700.008144421254</v>
      </c>
      <c r="AD33" s="445">
        <f t="shared" si="21"/>
        <v>0</v>
      </c>
      <c r="AE33" s="526">
        <f t="shared" si="8"/>
        <v>0</v>
      </c>
      <c r="AG33" s="520">
        <f>IF(AND(($E33+$C$1)&gt;AG$4,AG$4&gt;=$C$1),'General Inputs'!D$9*$H33,IF(AND(($D33+$C$1)&gt;AG$4,AG$4&gt;=$C$1),'General Inputs'!D$9*$G33,0))+IF(AND(($E33+$C$1)&gt;AG$4,AG$4&gt;=$C$1),'General Inputs'!D$10*$J33,IF(AND(($D33+$C$1)&gt;AG$4,AG$4&gt;=$C$1),'General Inputs'!D$10*$I33,0))</f>
        <v>0</v>
      </c>
      <c r="AH33" s="520">
        <f>IF(AND(($E33+$C$1)&gt;AH$4,AH$4&gt;=$C$1),'General Inputs'!E$9*$H33,IF(AND(($D33+$C$1)&gt;AH$4,AH$4&gt;=$C$1),'General Inputs'!E$9*$G33,0))+IF(AND(($E33+$C$1)&gt;AH$4,AH$4&gt;=$C$1),'General Inputs'!E$10*$J33,IF(AND(($D33+$C$1)&gt;AH$4,AH$4&gt;=$C$1),'General Inputs'!E$10*$I33,0))</f>
        <v>0</v>
      </c>
      <c r="AI33" s="520">
        <f>IF(AND(($E33+$C$1)&gt;AI$4,AI$4&gt;=$C$1),'General Inputs'!F$9*$H33,IF(AND(($D33+$C$1)&gt;AI$4,AI$4&gt;=$C$1),'General Inputs'!F$9*$G33,0))+IF(AND(($E33+$C$1)&gt;AI$4,AI$4&gt;=$C$1),'General Inputs'!F$10*$J33,IF(AND(($D33+$C$1)&gt;AI$4,AI$4&gt;=$C$1),'General Inputs'!F$10*$I33,0))</f>
        <v>1692.3575394683057</v>
      </c>
      <c r="AJ33" s="520">
        <f>IF(AND(($E33+$C$1)&gt;AJ$4,AJ$4&gt;=$C$1),'General Inputs'!G$9*$H33,IF(AND(($D33+$C$1)&gt;AJ$4,AJ$4&gt;=$C$1),'General Inputs'!G$9*$G33,0))+IF(AND(($E33+$C$1)&gt;AJ$4,AJ$4&gt;=$C$1),'General Inputs'!G$10*$J33,IF(AND(($D33+$C$1)&gt;AJ$4,AJ$4&gt;=$C$1),'General Inputs'!G$10*$I33,0))</f>
        <v>1717.7429025603305</v>
      </c>
      <c r="AK33" s="520">
        <f>IF(AND(($E33+$C$1)&gt;AK$4,AK$4&gt;=$C$1),'General Inputs'!H$9*$H33,IF(AND(($D33+$C$1)&gt;AK$4,AK$4&gt;=$C$1),'General Inputs'!H$9*$G33,0))+IF(AND(($E33+$C$1)&gt;AK$4,AK$4&gt;=$C$1),'General Inputs'!H$10*$J33,IF(AND(($D33+$C$1)&gt;AK$4,AK$4&gt;=$C$1),'General Inputs'!H$10*$I33,0))</f>
        <v>1743.5090460987351</v>
      </c>
      <c r="AL33" s="520">
        <f>IF(AND(($E33+$C$1)&gt;AL$4,AL$4&gt;=$C$1),'General Inputs'!I$9*$H33,IF(AND(($D33+$C$1)&gt;AL$4,AL$4&gt;=$C$1),'General Inputs'!I$9*$G33,0))+IF(AND(($E33+$C$1)&gt;AL$4,AL$4&gt;=$C$1),'General Inputs'!I$10*$J33,IF(AND(($D33+$C$1)&gt;AL$4,AL$4&gt;=$C$1),'General Inputs'!I$10*$I33,0))</f>
        <v>1769.6616817902157</v>
      </c>
      <c r="AM33" s="520">
        <f>IF(AND(($E33+$C$1)&gt;AM$4,AM$4&gt;=$C$1),'General Inputs'!J$9*$H33,IF(AND(($D33+$C$1)&gt;AM$4,AM$4&gt;=$C$1),'General Inputs'!J$9*$G33,0))+IF(AND(($E33+$C$1)&gt;AM$4,AM$4&gt;=$C$1),'General Inputs'!J$10*$J33,IF(AND(($D33+$C$1)&gt;AM$4,AM$4&gt;=$C$1),'General Inputs'!J$10*$I33,0))</f>
        <v>1796.2066070170688</v>
      </c>
      <c r="AN33" s="520">
        <f>IF(AND(($E33+$C$1)&gt;AN$4,AN$4&gt;=$C$1),'General Inputs'!K$9*$H33,IF(AND(($D33+$C$1)&gt;AN$4,AN$4&gt;=$C$1),'General Inputs'!K$9*$G33,0))+IF(AND(($E33+$C$1)&gt;AN$4,AN$4&gt;=$C$1),'General Inputs'!K$10*$J33,IF(AND(($D33+$C$1)&gt;AN$4,AN$4&gt;=$C$1),'General Inputs'!K$10*$I33,0))</f>
        <v>0</v>
      </c>
      <c r="AO33" s="520">
        <f>IF(AND(($E33+$C$1)&gt;AO$4,AO$4&gt;=$C$1),'General Inputs'!L$9*$H33,IF(AND(($D33+$C$1)&gt;AO$4,AO$4&gt;=$C$1),'General Inputs'!L$9*$G33,0))+IF(AND(($E33+$C$1)&gt;AO$4,AO$4&gt;=$C$1),'General Inputs'!L$10*$J33,IF(AND(($D33+$C$1)&gt;AO$4,AO$4&gt;=$C$1),'General Inputs'!L$10*$I33,0))</f>
        <v>0</v>
      </c>
      <c r="AP33" s="520">
        <f>IF(AND(($E33+$C$1)&gt;AP$4,AP$4&gt;=$C$1),'General Inputs'!M$9*$H33,IF(AND(($D33+$C$1)&gt;AP$4,AP$4&gt;=$C$1),'General Inputs'!M$9*$G33,0))+IF(AND(($E33+$C$1)&gt;AP$4,AP$4&gt;=$C$1),'General Inputs'!M$10*$J33,IF(AND(($D33+$C$1)&gt;AP$4,AP$4&gt;=$C$1),'General Inputs'!M$10*$I33,0))</f>
        <v>0</v>
      </c>
      <c r="AQ33" s="520">
        <f>IF(AND(($E33+$C$1)&gt;AQ$4,AQ$4&gt;=$C$1),'General Inputs'!N$9*$H33,IF(AND(($D33+$C$1)&gt;AQ$4,AQ$4&gt;=$C$1),'General Inputs'!N$9*$G33,0))+IF(AND(($E33+$C$1)&gt;AQ$4,AQ$4&gt;=$C$1),'General Inputs'!N$10*$J33,IF(AND(($D33+$C$1)&gt;AQ$4,AQ$4&gt;=$C$1),'General Inputs'!N$10*$I33,0))</f>
        <v>0</v>
      </c>
      <c r="AR33" s="520">
        <f>IF(AND(($E33+$C$1)&gt;AR$4,AR$4&gt;=$C$1),'General Inputs'!O$9*$H33,IF(AND(($D33+$C$1)&gt;AR$4,AR$4&gt;=$C$1),'General Inputs'!O$9*$G33,0))+IF(AND(($E33+$C$1)&gt;AR$4,AR$4&gt;=$C$1),'General Inputs'!O$10*$J33,IF(AND(($D33+$C$1)&gt;AR$4,AR$4&gt;=$C$1),'General Inputs'!O$10*$I33,0))</f>
        <v>0</v>
      </c>
      <c r="AS33" s="520">
        <f>IF(AND(($E33+$C$1)&gt;AS$4,AS$4&gt;=$C$1),'General Inputs'!P$9*$H33,IF(AND(($D33+$C$1)&gt;AS$4,AS$4&gt;=$C$1),'General Inputs'!P$9*$G33,0))+IF(AND(($E33+$C$1)&gt;AS$4,AS$4&gt;=$C$1),'General Inputs'!P$10*$J33,IF(AND(($D33+$C$1)&gt;AS$4,AS$4&gt;=$C$1),'General Inputs'!P$10*$I33,0))</f>
        <v>0</v>
      </c>
      <c r="AT33" s="520">
        <f>IF(AND(($E33+$C$1)&gt;AT$4,AT$4&gt;=$C$1),'General Inputs'!Q$9*$H33,IF(AND(($D33+$C$1)&gt;AT$4,AT$4&gt;=$C$1),'General Inputs'!Q$9*$G33,0))+IF(AND(($E33+$C$1)&gt;AT$4,AT$4&gt;=$C$1),'General Inputs'!Q$10*$J33,IF(AND(($D33+$C$1)&gt;AT$4,AT$4&gt;=$C$1),'General Inputs'!Q$10*$I33,0))</f>
        <v>0</v>
      </c>
      <c r="AU33" s="520">
        <f>IF(AND(($E33+$C$1)&gt;AU$4,AU$4&gt;=$C$1),'General Inputs'!R$9*$H33,IF(AND(($D33+$C$1)&gt;AU$4,AU$4&gt;=$C$1),'General Inputs'!R$9*$G33,0))+IF(AND(($E33+$C$1)&gt;AU$4,AU$4&gt;=$C$1),'General Inputs'!R$10*$J33,IF(AND(($D33+$C$1)&gt;AU$4,AU$4&gt;=$C$1),'General Inputs'!R$10*$I33,0))</f>
        <v>0</v>
      </c>
      <c r="AV33" s="520">
        <f>IF(AND(($E33+$C$1)&gt;AV$4,AV$4&gt;=$C$1),'General Inputs'!S$9*$H33,IF(AND(($D33+$C$1)&gt;AV$4,AV$4&gt;=$C$1),'General Inputs'!S$9*$G33,0))+IF(AND(($E33+$C$1)&gt;AV$4,AV$4&gt;=$C$1),'General Inputs'!S$10*$J33,IF(AND(($D33+$C$1)&gt;AV$4,AV$4&gt;=$C$1),'General Inputs'!S$10*$I33,0))</f>
        <v>0</v>
      </c>
      <c r="AW33" s="520">
        <f>IF(AND(($E33+$C$1)&gt;AW$4,AW$4&gt;=$C$1),'General Inputs'!T$9*$H33,IF(AND(($D33+$C$1)&gt;AW$4,AW$4&gt;=$C$1),'General Inputs'!T$9*$G33,0))+IF(AND(($E33+$C$1)&gt;AW$4,AW$4&gt;=$C$1),'General Inputs'!T$10*$J33,IF(AND(($D33+$C$1)&gt;AW$4,AW$4&gt;=$C$1),'General Inputs'!T$10*$I33,0))</f>
        <v>0</v>
      </c>
      <c r="AX33" s="520">
        <f>IF(AND(($E33+$C$1)&gt;AX$4,AX$4&gt;=$C$1),'General Inputs'!U$9*$H33,IF(AND(($D33+$C$1)&gt;AX$4,AX$4&gt;=$C$1),'General Inputs'!U$9*$G33,0))+IF(AND(($E33+$C$1)&gt;AX$4,AX$4&gt;=$C$1),'General Inputs'!U$10*$J33,IF(AND(($D33+$C$1)&gt;AX$4,AX$4&gt;=$C$1),'General Inputs'!U$10*$I33,0))</f>
        <v>0</v>
      </c>
      <c r="AY33" s="520">
        <f>IF(AND(($E33+$C$1)&gt;AY$4,AY$4&gt;=$C$1),'General Inputs'!V$9*$H33,IF(AND(($D33+$C$1)&gt;AY$4,AY$4&gt;=$C$1),'General Inputs'!V$9*$G33,0))+IF(AND(($E33+$C$1)&gt;AY$4,AY$4&gt;=$C$1),'General Inputs'!V$10*$J33,IF(AND(($D33+$C$1)&gt;AY$4,AY$4&gt;=$C$1),'General Inputs'!V$10*$I33,0))</f>
        <v>0</v>
      </c>
      <c r="AZ33" s="520">
        <f>IF(AND(($E33+$C$1)&gt;AZ$4,AZ$4&gt;=$C$1),'General Inputs'!W$9*$H33,IF(AND(($D33+$C$1)&gt;AZ$4,AZ$4&gt;=$C$1),'General Inputs'!W$9*$G33,0))+IF(AND(($E33+$C$1)&gt;AZ$4,AZ$4&gt;=$C$1),'General Inputs'!W$10*$J33,IF(AND(($D33+$C$1)&gt;AZ$4,AZ$4&gt;=$C$1),'General Inputs'!W$10*$I33,0))</f>
        <v>0</v>
      </c>
      <c r="BB33" s="520">
        <f>IF(AND(($E33+$C$1)&gt;BB$4,BB$4&gt;=$C$1),'General Inputs'!D$11*$H33,IF(AND(($D33+$C$1)&gt;BB$4,BB$4&gt;=$C$1),'General Inputs'!D$11*$G33,0))</f>
        <v>0</v>
      </c>
      <c r="BC33" s="520">
        <f>IF(AND(($E33+$C$1)&gt;BC$4,BC$4&gt;=$C$1),'General Inputs'!E$11*$H33,IF(AND(($D33+$C$1)&gt;BC$4,BC$4&gt;=$C$1),'General Inputs'!E$11*$G33,0))</f>
        <v>0</v>
      </c>
      <c r="BD33" s="520">
        <f>IF(AND(($E33+$C$1)&gt;BD$4,BD$4&gt;=$C$1),'General Inputs'!F$11*$H33,IF(AND(($D33+$C$1)&gt;BD$4,BD$4&gt;=$C$1),'General Inputs'!F$11*$G33,0))</f>
        <v>451.01443635647047</v>
      </c>
      <c r="BE33" s="520">
        <f>IF(AND(($E33+$C$1)&gt;BE$4,BE$4&gt;=$C$1),'General Inputs'!G$11*$H33,IF(AND(($D33+$C$1)&gt;BE$4,BE$4&gt;=$C$1),'General Inputs'!G$11*$G33,0))</f>
        <v>451.01443635647047</v>
      </c>
      <c r="BF33" s="520">
        <f>IF(AND(($E33+$C$1)&gt;BF$4,BF$4&gt;=$C$1),'General Inputs'!H$11*$H33,IF(AND(($D33+$C$1)&gt;BF$4,BF$4&gt;=$C$1),'General Inputs'!H$11*$G33,0))</f>
        <v>451.01443635647047</v>
      </c>
      <c r="BG33" s="520">
        <f>IF(AND(($E33+$C$1)&gt;BG$4,BG$4&gt;=$C$1),'General Inputs'!I$11*$H33,IF(AND(($D33+$C$1)&gt;BG$4,BG$4&gt;=$C$1),'General Inputs'!I$11*$G33,0))</f>
        <v>451.01443635647047</v>
      </c>
      <c r="BH33" s="520">
        <f>IF(AND(($E33+$C$1)&gt;BH$4,BH$4&gt;=$C$1),'General Inputs'!J$11*$H33,IF(AND(($D33+$C$1)&gt;BH$4,BH$4&gt;=$C$1),'General Inputs'!J$11*$G33,0))</f>
        <v>451.01443635647047</v>
      </c>
      <c r="BI33" s="520">
        <f>IF(AND(($E33+$C$1)&gt;BI$4,BI$4&gt;=$C$1),'General Inputs'!K$11*$H33,IF(AND(($D33+$C$1)&gt;BI$4,BI$4&gt;=$C$1),'General Inputs'!K$11*$G33,0))</f>
        <v>0</v>
      </c>
      <c r="BJ33" s="520">
        <f>IF(AND(($E33+$C$1)&gt;BJ$4,BJ$4&gt;=$C$1),'General Inputs'!L$11*$H33,IF(AND(($D33+$C$1)&gt;BJ$4,BJ$4&gt;=$C$1),'General Inputs'!L$11*$G33,0))</f>
        <v>0</v>
      </c>
      <c r="BK33" s="520">
        <f>IF(AND(($E33+$C$1)&gt;BK$4,BK$4&gt;=$C$1),'General Inputs'!M$11*$H33,IF(AND(($D33+$C$1)&gt;BK$4,BK$4&gt;=$C$1),'General Inputs'!M$11*$G33,0))</f>
        <v>0</v>
      </c>
      <c r="BL33" s="520">
        <f>IF(AND(($E33+$C$1)&gt;BL$4,BL$4&gt;=$C$1),'General Inputs'!N$11*$H33,IF(AND(($D33+$C$1)&gt;BL$4,BL$4&gt;=$C$1),'General Inputs'!N$11*$G33,0))</f>
        <v>0</v>
      </c>
      <c r="BM33" s="520">
        <f>IF(AND(($E33+$C$1)&gt;BM$4,BM$4&gt;=$C$1),'General Inputs'!O$11*$H33,IF(AND(($D33+$C$1)&gt;BM$4,BM$4&gt;=$C$1),'General Inputs'!O$11*$G33,0))</f>
        <v>0</v>
      </c>
      <c r="BN33" s="520">
        <f>IF(AND(($E33+$C$1)&gt;BN$4,BN$4&gt;=$C$1),'General Inputs'!P$11*$H33,IF(AND(($D33+$C$1)&gt;BN$4,BN$4&gt;=$C$1),'General Inputs'!P$11*$G33,0))</f>
        <v>0</v>
      </c>
      <c r="BO33" s="520">
        <f>IF(AND(($E33+$C$1)&gt;BO$4,BO$4&gt;=$C$1),'General Inputs'!Q$11*$H33,IF(AND(($D33+$C$1)&gt;BO$4,BO$4&gt;=$C$1),'General Inputs'!Q$11*$G33,0))</f>
        <v>0</v>
      </c>
      <c r="BP33" s="520">
        <f>IF(AND(($E33+$C$1)&gt;BP$4,BP$4&gt;=$C$1),'General Inputs'!R$11*$H33,IF(AND(($D33+$C$1)&gt;BP$4,BP$4&gt;=$C$1),'General Inputs'!R$11*$G33,0))</f>
        <v>0</v>
      </c>
      <c r="BQ33" s="520">
        <f>IF(AND(($E33+$C$1)&gt;BQ$4,BQ$4&gt;=$C$1),'General Inputs'!S$11*$H33,IF(AND(($D33+$C$1)&gt;BQ$4,BQ$4&gt;=$C$1),'General Inputs'!S$11*$G33,0))</f>
        <v>0</v>
      </c>
      <c r="BR33" s="520">
        <f>IF(AND(($E33+$C$1)&gt;BR$4,BR$4&gt;=$C$1),'General Inputs'!T$11*$H33,IF(AND(($D33+$C$1)&gt;BR$4,BR$4&gt;=$C$1),'General Inputs'!T$11*$G33,0))</f>
        <v>0</v>
      </c>
      <c r="BS33" s="520">
        <f>IF(AND(($E33+$C$1)&gt;BS$4,BS$4&gt;=$C$1),'General Inputs'!U$11*$H33,IF(AND(($D33+$C$1)&gt;BS$4,BS$4&gt;=$C$1),'General Inputs'!U$11*$G33,0))</f>
        <v>0</v>
      </c>
      <c r="BT33" s="520">
        <f>IF(AND(($E33+$C$1)&gt;BT$4,BT$4&gt;=$C$1),'General Inputs'!V$11*$H33,IF(AND(($D33+$C$1)&gt;BT$4,BT$4&gt;=$C$1),'General Inputs'!V$11*$G33,0))</f>
        <v>0</v>
      </c>
      <c r="BU33" s="520">
        <f>IF(AND(($E33+$C$1)&gt;BU$4,BU$4&gt;=$C$1),'General Inputs'!W$11*$H33,IF(AND(($D33+$C$1)&gt;BU$4,BU$4&gt;=$C$1),'General Inputs'!W$11*$G33,0))</f>
        <v>0</v>
      </c>
      <c r="BW33" s="520">
        <f>IF(AND(($E33+$C$1)&gt;BW$4,BW$4&gt;=$C$1),$H33,IF(AND(($D33+$C$1)&gt;BW$4,BW$4&gt;=$C$1),$G33,0))*IF($A33="Residential",'General Inputs'!D$14,'General Inputs'!D$19)</f>
        <v>0</v>
      </c>
      <c r="BX33" s="520">
        <f>IF(AND(($E33+$C$1)&gt;BX$4,BX$4&gt;=$C$1),$H33,IF(AND(($D33+$C$1)&gt;BX$4,BX$4&gt;=$C$1),$G33,0))*IF($A33="Residential",'General Inputs'!E$14,'General Inputs'!E$19)</f>
        <v>0</v>
      </c>
      <c r="BY33" s="520">
        <f>IF(AND(($E33+$C$1)&gt;BY$4,BY$4&gt;=$C$1),$H33,IF(AND(($D33+$C$1)&gt;BY$4,BY$4&gt;=$C$1),$G33,0))*IF($A33="Residential",'General Inputs'!F$14,'General Inputs'!F$19)</f>
        <v>5471.0216454921656</v>
      </c>
      <c r="BZ33" s="520">
        <f>IF(AND(($E33+$C$1)&gt;BZ$4,BZ$4&gt;=$C$1),$H33,IF(AND(($D33+$C$1)&gt;BZ$4,BZ$4&gt;=$C$1),$G33,0))*IF($A33="Residential",'General Inputs'!G$14,'General Inputs'!G$19)</f>
        <v>5553.0869701745469</v>
      </c>
      <c r="CA33" s="520">
        <f>IF(AND(($E33+$C$1)&gt;CA$4,CA$4&gt;=$C$1),$H33,IF(AND(($D33+$C$1)&gt;CA$4,CA$4&gt;=$C$1),$G33,0))*IF($A33="Residential",'General Inputs'!H$14,'General Inputs'!H$19)</f>
        <v>5636.3832747271645</v>
      </c>
      <c r="CB33" s="520">
        <f>IF(AND(($E33+$C$1)&gt;CB$4,CB$4&gt;=$C$1),$H33,IF(AND(($D33+$C$1)&gt;CB$4,CB$4&gt;=$C$1),$G33,0))*IF($A33="Residential",'General Inputs'!I$14,'General Inputs'!I$19)</f>
        <v>5720.9290238480717</v>
      </c>
      <c r="CC33" s="520">
        <f>IF(AND(($E33+$C$1)&gt;CC$4,CC$4&gt;=$C$1),$H33,IF(AND(($D33+$C$1)&gt;CC$4,CC$4&gt;=$C$1),$G33,0))*IF($A33="Residential",'General Inputs'!J$14,'General Inputs'!J$19)</f>
        <v>5806.7429592057915</v>
      </c>
      <c r="CD33" s="520">
        <f>IF(AND(($E33+$C$1)&gt;CD$4,CD$4&gt;=$C$1),$H33,IF(AND(($D33+$C$1)&gt;CD$4,CD$4&gt;=$C$1),$G33,0))*IF($A33="Residential",'General Inputs'!K$14,'General Inputs'!K$19)</f>
        <v>0</v>
      </c>
      <c r="CE33" s="520">
        <f>IF(AND(($E33+$C$1)&gt;CE$4,CE$4&gt;=$C$1),$H33,IF(AND(($D33+$C$1)&gt;CE$4,CE$4&gt;=$C$1),$G33,0))*IF($A33="Residential",'General Inputs'!L$14,'General Inputs'!L$19)</f>
        <v>0</v>
      </c>
      <c r="CF33" s="520">
        <f>IF(AND(($E33+$C$1)&gt;CF$4,CF$4&gt;=$C$1),$H33,IF(AND(($D33+$C$1)&gt;CF$4,CF$4&gt;=$C$1),$G33,0))*IF($A33="Residential",'General Inputs'!M$14,'General Inputs'!M$19)</f>
        <v>0</v>
      </c>
      <c r="CG33" s="520">
        <f>IF(AND(($E33+$C$1)&gt;CG$4,CG$4&gt;=$C$1),$H33,IF(AND(($D33+$C$1)&gt;CG$4,CG$4&gt;=$C$1),$G33,0))*IF($A33="Residential",'General Inputs'!N$14,'General Inputs'!N$19)</f>
        <v>0</v>
      </c>
      <c r="CH33" s="520">
        <f>IF(AND(($E33+$C$1)&gt;CH$4,CH$4&gt;=$C$1),$H33,IF(AND(($D33+$C$1)&gt;CH$4,CH$4&gt;=$C$1),$G33,0))*IF($A33="Residential",'General Inputs'!O$14,'General Inputs'!O$19)</f>
        <v>0</v>
      </c>
      <c r="CI33" s="520">
        <f>IF(AND(($E33+$C$1)&gt;CI$4,CI$4&gt;=$C$1),$H33,IF(AND(($D33+$C$1)&gt;CI$4,CI$4&gt;=$C$1),$G33,0))*IF($A33="Residential",'General Inputs'!P$14,'General Inputs'!P$19)</f>
        <v>0</v>
      </c>
      <c r="CJ33" s="520">
        <f>IF(AND(($E33+$C$1)&gt;CJ$4,CJ$4&gt;=$C$1),$H33,IF(AND(($D33+$C$1)&gt;CJ$4,CJ$4&gt;=$C$1),$G33,0))*IF($A33="Residential",'General Inputs'!Q$14,'General Inputs'!Q$19)</f>
        <v>0</v>
      </c>
      <c r="CK33" s="520">
        <f>IF(AND(($E33+$C$1)&gt;CK$4,CK$4&gt;=$C$1),$H33,IF(AND(($D33+$C$1)&gt;CK$4,CK$4&gt;=$C$1),$G33,0))*IF($A33="Residential",'General Inputs'!R$14,'General Inputs'!R$19)</f>
        <v>0</v>
      </c>
      <c r="CL33" s="520">
        <f>IF(AND(($E33+$C$1)&gt;CL$4,CL$4&gt;=$C$1),$H33,IF(AND(($D33+$C$1)&gt;CL$4,CL$4&gt;=$C$1),$G33,0))*IF($A33="Residential",'General Inputs'!S$14,'General Inputs'!S$19)</f>
        <v>0</v>
      </c>
      <c r="CM33" s="520">
        <f>IF(AND(($E33+$C$1)&gt;CM$4,CM$4&gt;=$C$1),$H33,IF(AND(($D33+$C$1)&gt;CM$4,CM$4&gt;=$C$1),$G33,0))*IF($A33="Residential",'General Inputs'!T$14,'General Inputs'!T$19)</f>
        <v>0</v>
      </c>
      <c r="CN33" s="520">
        <f>IF(AND(($E33+$C$1)&gt;CN$4,CN$4&gt;=$C$1),$H33,IF(AND(($D33+$C$1)&gt;CN$4,CN$4&gt;=$C$1),$G33,0))*IF($A33="Residential",'General Inputs'!U$14,'General Inputs'!U$19)</f>
        <v>0</v>
      </c>
      <c r="CO33" s="520">
        <f>IF(AND(($E33+$C$1)&gt;CO$4,CO$4&gt;=$C$1),$H33,IF(AND(($D33+$C$1)&gt;CO$4,CO$4&gt;=$C$1),$G33,0))*IF($A33="Residential",'General Inputs'!V$14,'General Inputs'!V$19)</f>
        <v>0</v>
      </c>
      <c r="CP33" s="520">
        <f>IF(AND(($E33+$C$1)&gt;CP$4,CP$4&gt;=$C$1),$H33,IF(AND(($D33+$C$1)&gt;CP$4,CP$4&gt;=$C$1),$G33,0))*IF($A33="Residential",'General Inputs'!W$14,'General Inputs'!W$19)</f>
        <v>0</v>
      </c>
      <c r="CR33" s="520">
        <f>IF(AND(($E33+$C$1)&gt;CR$4,CR$4&gt;=$C$1),$H33,IF(AND(($D33+$C$1)&gt;CR$4,CR$4&gt;=$C$1),$G33,0))*IF($A33="Residential",'General Inputs'!D$15,'General Inputs'!D$19)</f>
        <v>0</v>
      </c>
      <c r="CS33" s="520">
        <f>IF(AND(($E33+$C$1)&gt;CS$4,CS$4&gt;=$C$1),$H33,IF(AND(($D33+$C$1)&gt;CS$4,CS$4&gt;=$C$1),$G33,0))*IF($A33="Residential",'General Inputs'!E$15,'General Inputs'!E$19)</f>
        <v>0</v>
      </c>
      <c r="CT33" s="520">
        <f>IF(AND(($E33+$C$1)&gt;CT$4,CT$4&gt;=$C$1),$H33,IF(AND(($D33+$C$1)&gt;CT$4,CT$4&gt;=$C$1),$G33,0))*IF($A33="Residential",'General Inputs'!F$15,'General Inputs'!F$19)</f>
        <v>4450.7214076923419</v>
      </c>
      <c r="CU33" s="520">
        <f>IF(AND(($E33+$C$1)&gt;CU$4,CU$4&gt;=$C$1),$H33,IF(AND(($D33+$C$1)&gt;CU$4,CU$4&gt;=$C$1),$G33,0))*IF($A33="Residential",'General Inputs'!G$15,'General Inputs'!G$19)</f>
        <v>4517.4822288077266</v>
      </c>
      <c r="CV33" s="520">
        <f>IF(AND(($E33+$C$1)&gt;CV$4,CV$4&gt;=$C$1),$H33,IF(AND(($D33+$C$1)&gt;CV$4,CV$4&gt;=$C$1),$G33,0))*IF($A33="Residential",'General Inputs'!H$15,'General Inputs'!H$19)</f>
        <v>4585.2444622398416</v>
      </c>
      <c r="CW33" s="520">
        <f>IF(AND(($E33+$C$1)&gt;CW$4,CW$4&gt;=$C$1),$H33,IF(AND(($D33+$C$1)&gt;CW$4,CW$4&gt;=$C$1),$G33,0))*IF($A33="Residential",'General Inputs'!I$15,'General Inputs'!I$19)</f>
        <v>4654.023129173439</v>
      </c>
      <c r="CX33" s="520">
        <f>IF(AND(($E33+$C$1)&gt;CX$4,CX$4&gt;=$C$1),$H33,IF(AND(($D33+$C$1)&gt;CX$4,CX$4&gt;=$C$1),$G33,0))*IF($A33="Residential",'General Inputs'!J$15,'General Inputs'!J$19)</f>
        <v>4723.83347611104</v>
      </c>
      <c r="CY33" s="520">
        <f>IF(AND(($E33+$C$1)&gt;CY$4,CY$4&gt;=$C$1),$H33,IF(AND(($D33+$C$1)&gt;CY$4,CY$4&gt;=$C$1),$G33,0))*IF($A33="Residential",'General Inputs'!K$15,'General Inputs'!K$19)</f>
        <v>0</v>
      </c>
      <c r="CZ33" s="520">
        <f>IF(AND(($E33+$C$1)&gt;CZ$4,CZ$4&gt;=$C$1),$H33,IF(AND(($D33+$C$1)&gt;CZ$4,CZ$4&gt;=$C$1),$G33,0))*IF($A33="Residential",'General Inputs'!L$15,'General Inputs'!L$19)</f>
        <v>0</v>
      </c>
      <c r="DA33" s="520">
        <f>IF(AND(($E33+$C$1)&gt;DA$4,DA$4&gt;=$C$1),$H33,IF(AND(($D33+$C$1)&gt;DA$4,DA$4&gt;=$C$1),$G33,0))*IF($A33="Residential",'General Inputs'!M$15,'General Inputs'!M$19)</f>
        <v>0</v>
      </c>
      <c r="DB33" s="520">
        <f>IF(AND(($E33+$C$1)&gt;DB$4,DB$4&gt;=$C$1),$H33,IF(AND(($D33+$C$1)&gt;DB$4,DB$4&gt;=$C$1),$G33,0))*IF($A33="Residential",'General Inputs'!N$15,'General Inputs'!N$19)</f>
        <v>0</v>
      </c>
      <c r="DC33" s="520">
        <f>IF(AND(($E33+$C$1)&gt;DC$4,DC$4&gt;=$C$1),$H33,IF(AND(($D33+$C$1)&gt;DC$4,DC$4&gt;=$C$1),$G33,0))*IF($A33="Residential",'General Inputs'!O$15,'General Inputs'!O$19)</f>
        <v>0</v>
      </c>
      <c r="DD33" s="520">
        <f>IF(AND(($E33+$C$1)&gt;DD$4,DD$4&gt;=$C$1),$H33,IF(AND(($D33+$C$1)&gt;DD$4,DD$4&gt;=$C$1),$G33,0))*IF($A33="Residential",'General Inputs'!P$15,'General Inputs'!P$19)</f>
        <v>0</v>
      </c>
      <c r="DE33" s="520">
        <f>IF(AND(($E33+$C$1)&gt;DE$4,DE$4&gt;=$C$1),$H33,IF(AND(($D33+$C$1)&gt;DE$4,DE$4&gt;=$C$1),$G33,0))*IF($A33="Residential",'General Inputs'!Q$15,'General Inputs'!Q$19)</f>
        <v>0</v>
      </c>
      <c r="DF33" s="520">
        <f>IF(AND(($E33+$C$1)&gt;DF$4,DF$4&gt;=$C$1),$H33,IF(AND(($D33+$C$1)&gt;DF$4,DF$4&gt;=$C$1),$G33,0))*IF($A33="Residential",'General Inputs'!R$15,'General Inputs'!R$19)</f>
        <v>0</v>
      </c>
      <c r="DG33" s="520">
        <f>IF(AND(($E33+$C$1)&gt;DG$4,DG$4&gt;=$C$1),$H33,IF(AND(($D33+$C$1)&gt;DG$4,DG$4&gt;=$C$1),$G33,0))*IF($A33="Residential",'General Inputs'!S$15,'General Inputs'!S$19)</f>
        <v>0</v>
      </c>
      <c r="DH33" s="520">
        <f>IF(AND(($E33+$C$1)&gt;DH$4,DH$4&gt;=$C$1),$H33,IF(AND(($D33+$C$1)&gt;DH$4,DH$4&gt;=$C$1),$G33,0))*IF($A33="Residential",'General Inputs'!T$15,'General Inputs'!T$19)</f>
        <v>0</v>
      </c>
      <c r="DI33" s="520">
        <f>IF(AND(($E33+$C$1)&gt;DI$4,DI$4&gt;=$C$1),$H33,IF(AND(($D33+$C$1)&gt;DI$4,DI$4&gt;=$C$1),$G33,0))*IF($A33="Residential",'General Inputs'!U$15,'General Inputs'!U$19)</f>
        <v>0</v>
      </c>
      <c r="DJ33" s="520">
        <f>IF(AND(($E33+$C$1)&gt;DJ$4,DJ$4&gt;=$C$1),$H33,IF(AND(($D33+$C$1)&gt;DJ$4,DJ$4&gt;=$C$1),$G33,0))*IF($A33="Residential",'General Inputs'!V$15,'General Inputs'!V$19)</f>
        <v>0</v>
      </c>
      <c r="DK33" s="520">
        <f>IF(AND(($E33+$C$1)&gt;DK$4,DK$4&gt;=$C$1),$H33,IF(AND(($D33+$C$1)&gt;DK$4,DK$4&gt;=$C$1),$G33,0))*IF($A33="Residential",'General Inputs'!W$15,'General Inputs'!W$19)</f>
        <v>0</v>
      </c>
      <c r="DM33" s="524">
        <f>IF($C$1=DM$4,$L33*$C33,IF($E33+$C$1=DM$4,-$M33*$C33,0))</f>
        <v>0</v>
      </c>
      <c r="DN33" s="524">
        <f t="shared" ref="DN33:DW34" si="74">IF($C$1=DN$4,$L33*$C33,IF($E33+$C$1=DN$4,-$M33*$C33,0))</f>
        <v>0</v>
      </c>
      <c r="DO33" s="524">
        <f t="shared" si="74"/>
        <v>0</v>
      </c>
      <c r="DP33" s="524">
        <f t="shared" si="74"/>
        <v>0</v>
      </c>
      <c r="DQ33" s="524">
        <f t="shared" si="74"/>
        <v>0</v>
      </c>
      <c r="DR33" s="524">
        <f t="shared" si="74"/>
        <v>0</v>
      </c>
      <c r="DS33" s="524">
        <f t="shared" si="74"/>
        <v>0</v>
      </c>
      <c r="DT33" s="524">
        <f t="shared" si="74"/>
        <v>0</v>
      </c>
      <c r="DU33" s="524">
        <f t="shared" si="74"/>
        <v>0</v>
      </c>
      <c r="DV33" s="524">
        <f t="shared" si="74"/>
        <v>0</v>
      </c>
      <c r="DW33" s="524">
        <f t="shared" si="74"/>
        <v>0</v>
      </c>
      <c r="DZ33" s="650"/>
      <c r="FI33" s="195"/>
      <c r="FJ33" s="195"/>
      <c r="FK33" s="195"/>
      <c r="FL33" s="195"/>
      <c r="FM33" s="195"/>
      <c r="FN33" s="195"/>
      <c r="FO33" s="195"/>
    </row>
    <row r="34" spans="1:171">
      <c r="A34" s="441" t="s">
        <v>12</v>
      </c>
      <c r="B34" s="426" t="str">
        <f>'Portfolio Inputs'!A33</f>
        <v>School-Based Education</v>
      </c>
      <c r="C34" s="356">
        <f>IF($C$1=2014,'Portfolio Inputs'!$C33,IF($C$1=2015,'Portfolio Inputs'!$D33,'Portfolio Inputs'!$E33))</f>
        <v>300</v>
      </c>
      <c r="D34" s="527">
        <f>VLOOKUP(B34,Sources!$B$3:$J$103,2,FALSE)</f>
        <v>5</v>
      </c>
      <c r="E34" s="527">
        <f>VLOOKUP(B34,Sources!$B$3:$J$103,3,FALSE)</f>
        <v>0</v>
      </c>
      <c r="F34" s="633"/>
      <c r="G34" s="527">
        <f>VLOOKUP($B34,Sources!$B$3:$K$103,5,FALSE)*C34*EnergyLineLoss</f>
        <v>104792.08069251676</v>
      </c>
      <c r="H34" s="527"/>
      <c r="I34" s="443">
        <f>VLOOKUP($B34,Sources!$B$3:$K$103,7,FALSE)*C34*PeakLineLoss</f>
        <v>9.1734936330285972</v>
      </c>
      <c r="J34" s="443"/>
      <c r="L34" s="607">
        <f>IF($C$1=2014,'Portfolio Inputs'!$O33,IF($C$1=2015,'Portfolio Inputs'!$P33,'Portfolio Inputs'!$Q33))</f>
        <v>0</v>
      </c>
      <c r="M34" s="519">
        <f>VLOOKUP($B34,Sources!$B$3:$K$103,10,FALSE)</f>
        <v>0</v>
      </c>
      <c r="N34" s="453">
        <f>IF($C$1=2014,'Portfolio Inputs'!$W33,IF($C$1=2015,'Portfolio Inputs'!$X33,'Portfolio Inputs'!$Y33))</f>
        <v>0</v>
      </c>
      <c r="O34" s="453">
        <f>IF($C$1=2014,'Portfolio Inputs'!$AA33,IF($C$1=2015,'Portfolio Inputs'!$AB33,'Portfolio Inputs'!$AC33))</f>
        <v>18191.25</v>
      </c>
      <c r="Q34" s="442">
        <f t="shared" si="67"/>
        <v>1.0664088032551868</v>
      </c>
      <c r="R34" s="443">
        <f t="shared" si="68"/>
        <v>1.0664088032551868</v>
      </c>
      <c r="S34" s="443">
        <f t="shared" si="69"/>
        <v>1.345582944769864</v>
      </c>
      <c r="T34" s="443" t="str">
        <f t="shared" si="70"/>
        <v>n/a</v>
      </c>
      <c r="U34" s="443" t="str">
        <f>IF(AE34&gt;0,(AD34+AB34)/AE34,"n/a")</f>
        <v>n/a</v>
      </c>
      <c r="V34" s="522">
        <f t="shared" si="72"/>
        <v>0.2379910923187237</v>
      </c>
      <c r="W34" s="522">
        <f t="shared" si="73"/>
        <v>0.27831057129137265</v>
      </c>
      <c r="Y34" s="444">
        <f t="shared" si="4"/>
        <v>16376.051584420773</v>
      </c>
      <c r="Z34" s="444">
        <f t="shared" si="5"/>
        <v>4287.0708948815118</v>
      </c>
      <c r="AA34" s="444">
        <f t="shared" si="6"/>
        <v>53453.254090477392</v>
      </c>
      <c r="AB34" s="444">
        <f t="shared" si="7"/>
        <v>43484.664786023583</v>
      </c>
      <c r="AC34" s="445">
        <f t="shared" si="20"/>
        <v>15356.260689552895</v>
      </c>
      <c r="AD34" s="445">
        <f t="shared" si="21"/>
        <v>0</v>
      </c>
      <c r="AE34" s="526">
        <f t="shared" si="8"/>
        <v>0</v>
      </c>
      <c r="AG34" s="520">
        <f>IF(AND(($E34+$C$1)&gt;AG$4,AG$4&gt;=$C$1),'General Inputs'!D$9*$H34,IF(AND(($D34+$C$1)&gt;AG$4,AG$4&gt;=$C$1),'General Inputs'!D$9*$G34,0))+IF(AND(($E34+$C$1)&gt;AG$4,AG$4&gt;=$C$1),'General Inputs'!D$10*$J34,IF(AND(($D34+$C$1)&gt;AG$4,AG$4&gt;=$C$1),'General Inputs'!D$10*$I34,0))</f>
        <v>0</v>
      </c>
      <c r="AH34" s="520">
        <f>IF(AND(($E34+$C$1)&gt;AH$4,AH$4&gt;=$C$1),'General Inputs'!E$9*$H34,IF(AND(($D34+$C$1)&gt;AH$4,AH$4&gt;=$C$1),'General Inputs'!E$9*$G34,0))+IF(AND(($E34+$C$1)&gt;AH$4,AH$4&gt;=$C$1),'General Inputs'!E$10*$J34,IF(AND(($D34+$C$1)&gt;AH$4,AH$4&gt;=$C$1),'General Inputs'!E$10*$I34,0))</f>
        <v>0</v>
      </c>
      <c r="AI34" s="520">
        <f>IF(AND(($E34+$C$1)&gt;AI$4,AI$4&gt;=$C$1),'General Inputs'!F$9*$H34,IF(AND(($D34+$C$1)&gt;AI$4,AI$4&gt;=$C$1),'General Inputs'!F$9*$G34,0))+IF(AND(($E34+$C$1)&gt;AI$4,AI$4&gt;=$C$1),'General Inputs'!F$10*$J34,IF(AND(($D34+$C$1)&gt;AI$4,AI$4&gt;=$C$1),'General Inputs'!F$10*$I34,0))</f>
        <v>4439.6256643918978</v>
      </c>
      <c r="AJ34" s="520">
        <f>IF(AND(($E34+$C$1)&gt;AJ$4,AJ$4&gt;=$C$1),'General Inputs'!G$9*$H34,IF(AND(($D34+$C$1)&gt;AJ$4,AJ$4&gt;=$C$1),'General Inputs'!G$9*$G34,0))+IF(AND(($E34+$C$1)&gt;AJ$4,AJ$4&gt;=$C$1),'General Inputs'!G$10*$J34,IF(AND(($D34+$C$1)&gt;AJ$4,AJ$4&gt;=$C$1),'General Inputs'!G$10*$I34,0))</f>
        <v>4506.2200493577757</v>
      </c>
      <c r="AK34" s="520">
        <f>IF(AND(($E34+$C$1)&gt;AK$4,AK$4&gt;=$C$1),'General Inputs'!H$9*$H34,IF(AND(($D34+$C$1)&gt;AK$4,AK$4&gt;=$C$1),'General Inputs'!H$9*$G34,0))+IF(AND(($E34+$C$1)&gt;AK$4,AK$4&gt;=$C$1),'General Inputs'!H$10*$J34,IF(AND(($D34+$C$1)&gt;AK$4,AK$4&gt;=$C$1),'General Inputs'!H$10*$I34,0))</f>
        <v>4573.8133500981421</v>
      </c>
      <c r="AL34" s="520">
        <f>IF(AND(($E34+$C$1)&gt;AL$4,AL$4&gt;=$C$1),'General Inputs'!I$9*$H34,IF(AND(($D34+$C$1)&gt;AL$4,AL$4&gt;=$C$1),'General Inputs'!I$9*$G34,0))+IF(AND(($E34+$C$1)&gt;AL$4,AL$4&gt;=$C$1),'General Inputs'!I$10*$J34,IF(AND(($D34+$C$1)&gt;AL$4,AL$4&gt;=$C$1),'General Inputs'!I$10*$I34,0))</f>
        <v>4642.4205503496123</v>
      </c>
      <c r="AM34" s="520">
        <f>IF(AND(($E34+$C$1)&gt;AM$4,AM$4&gt;=$C$1),'General Inputs'!J$9*$H34,IF(AND(($D34+$C$1)&gt;AM$4,AM$4&gt;=$C$1),'General Inputs'!J$9*$G34,0))+IF(AND(($E34+$C$1)&gt;AM$4,AM$4&gt;=$C$1),'General Inputs'!J$10*$J34,IF(AND(($D34+$C$1)&gt;AM$4,AM$4&gt;=$C$1),'General Inputs'!J$10*$I34,0))</f>
        <v>4712.0568586048566</v>
      </c>
      <c r="AN34" s="520">
        <f>IF(AND(($E34+$C$1)&gt;AN$4,AN$4&gt;=$C$1),'General Inputs'!K$9*$H34,IF(AND(($D34+$C$1)&gt;AN$4,AN$4&gt;=$C$1),'General Inputs'!K$9*$G34,0))+IF(AND(($E34+$C$1)&gt;AN$4,AN$4&gt;=$C$1),'General Inputs'!K$10*$J34,IF(AND(($D34+$C$1)&gt;AN$4,AN$4&gt;=$C$1),'General Inputs'!K$10*$I34,0))</f>
        <v>0</v>
      </c>
      <c r="AO34" s="520">
        <f>IF(AND(($E34+$C$1)&gt;AO$4,AO$4&gt;=$C$1),'General Inputs'!L$9*$H34,IF(AND(($D34+$C$1)&gt;AO$4,AO$4&gt;=$C$1),'General Inputs'!L$9*$G34,0))+IF(AND(($E34+$C$1)&gt;AO$4,AO$4&gt;=$C$1),'General Inputs'!L$10*$J34,IF(AND(($D34+$C$1)&gt;AO$4,AO$4&gt;=$C$1),'General Inputs'!L$10*$I34,0))</f>
        <v>0</v>
      </c>
      <c r="AP34" s="520">
        <f>IF(AND(($E34+$C$1)&gt;AP$4,AP$4&gt;=$C$1),'General Inputs'!M$9*$H34,IF(AND(($D34+$C$1)&gt;AP$4,AP$4&gt;=$C$1),'General Inputs'!M$9*$G34,0))+IF(AND(($E34+$C$1)&gt;AP$4,AP$4&gt;=$C$1),'General Inputs'!M$10*$J34,IF(AND(($D34+$C$1)&gt;AP$4,AP$4&gt;=$C$1),'General Inputs'!M$10*$I34,0))</f>
        <v>0</v>
      </c>
      <c r="AQ34" s="520">
        <f>IF(AND(($E34+$C$1)&gt;AQ$4,AQ$4&gt;=$C$1),'General Inputs'!N$9*$H34,IF(AND(($D34+$C$1)&gt;AQ$4,AQ$4&gt;=$C$1),'General Inputs'!N$9*$G34,0))+IF(AND(($E34+$C$1)&gt;AQ$4,AQ$4&gt;=$C$1),'General Inputs'!N$10*$J34,IF(AND(($D34+$C$1)&gt;AQ$4,AQ$4&gt;=$C$1),'General Inputs'!N$10*$I34,0))</f>
        <v>0</v>
      </c>
      <c r="AR34" s="520">
        <f>IF(AND(($E34+$C$1)&gt;AR$4,AR$4&gt;=$C$1),'General Inputs'!O$9*$H34,IF(AND(($D34+$C$1)&gt;AR$4,AR$4&gt;=$C$1),'General Inputs'!O$9*$G34,0))+IF(AND(($E34+$C$1)&gt;AR$4,AR$4&gt;=$C$1),'General Inputs'!O$10*$J34,IF(AND(($D34+$C$1)&gt;AR$4,AR$4&gt;=$C$1),'General Inputs'!O$10*$I34,0))</f>
        <v>0</v>
      </c>
      <c r="AS34" s="520">
        <f>IF(AND(($E34+$C$1)&gt;AS$4,AS$4&gt;=$C$1),'General Inputs'!P$9*$H34,IF(AND(($D34+$C$1)&gt;AS$4,AS$4&gt;=$C$1),'General Inputs'!P$9*$G34,0))+IF(AND(($E34+$C$1)&gt;AS$4,AS$4&gt;=$C$1),'General Inputs'!P$10*$J34,IF(AND(($D34+$C$1)&gt;AS$4,AS$4&gt;=$C$1),'General Inputs'!P$10*$I34,0))</f>
        <v>0</v>
      </c>
      <c r="AT34" s="520">
        <f>IF(AND(($E34+$C$1)&gt;AT$4,AT$4&gt;=$C$1),'General Inputs'!Q$9*$H34,IF(AND(($D34+$C$1)&gt;AT$4,AT$4&gt;=$C$1),'General Inputs'!Q$9*$G34,0))+IF(AND(($E34+$C$1)&gt;AT$4,AT$4&gt;=$C$1),'General Inputs'!Q$10*$J34,IF(AND(($D34+$C$1)&gt;AT$4,AT$4&gt;=$C$1),'General Inputs'!Q$10*$I34,0))</f>
        <v>0</v>
      </c>
      <c r="AU34" s="520">
        <f>IF(AND(($E34+$C$1)&gt;AU$4,AU$4&gt;=$C$1),'General Inputs'!R$9*$H34,IF(AND(($D34+$C$1)&gt;AU$4,AU$4&gt;=$C$1),'General Inputs'!R$9*$G34,0))+IF(AND(($E34+$C$1)&gt;AU$4,AU$4&gt;=$C$1),'General Inputs'!R$10*$J34,IF(AND(($D34+$C$1)&gt;AU$4,AU$4&gt;=$C$1),'General Inputs'!R$10*$I34,0))</f>
        <v>0</v>
      </c>
      <c r="AV34" s="520">
        <f>IF(AND(($E34+$C$1)&gt;AV$4,AV$4&gt;=$C$1),'General Inputs'!S$9*$H34,IF(AND(($D34+$C$1)&gt;AV$4,AV$4&gt;=$C$1),'General Inputs'!S$9*$G34,0))+IF(AND(($E34+$C$1)&gt;AV$4,AV$4&gt;=$C$1),'General Inputs'!S$10*$J34,IF(AND(($D34+$C$1)&gt;AV$4,AV$4&gt;=$C$1),'General Inputs'!S$10*$I34,0))</f>
        <v>0</v>
      </c>
      <c r="AW34" s="520">
        <f>IF(AND(($E34+$C$1)&gt;AW$4,AW$4&gt;=$C$1),'General Inputs'!T$9*$H34,IF(AND(($D34+$C$1)&gt;AW$4,AW$4&gt;=$C$1),'General Inputs'!T$9*$G34,0))+IF(AND(($E34+$C$1)&gt;AW$4,AW$4&gt;=$C$1),'General Inputs'!T$10*$J34,IF(AND(($D34+$C$1)&gt;AW$4,AW$4&gt;=$C$1),'General Inputs'!T$10*$I34,0))</f>
        <v>0</v>
      </c>
      <c r="AX34" s="520">
        <f>IF(AND(($E34+$C$1)&gt;AX$4,AX$4&gt;=$C$1),'General Inputs'!U$9*$H34,IF(AND(($D34+$C$1)&gt;AX$4,AX$4&gt;=$C$1),'General Inputs'!U$9*$G34,0))+IF(AND(($E34+$C$1)&gt;AX$4,AX$4&gt;=$C$1),'General Inputs'!U$10*$J34,IF(AND(($D34+$C$1)&gt;AX$4,AX$4&gt;=$C$1),'General Inputs'!U$10*$I34,0))</f>
        <v>0</v>
      </c>
      <c r="AY34" s="520">
        <f>IF(AND(($E34+$C$1)&gt;AY$4,AY$4&gt;=$C$1),'General Inputs'!V$9*$H34,IF(AND(($D34+$C$1)&gt;AY$4,AY$4&gt;=$C$1),'General Inputs'!V$9*$G34,0))+IF(AND(($E34+$C$1)&gt;AY$4,AY$4&gt;=$C$1),'General Inputs'!V$10*$J34,IF(AND(($D34+$C$1)&gt;AY$4,AY$4&gt;=$C$1),'General Inputs'!V$10*$I34,0))</f>
        <v>0</v>
      </c>
      <c r="AZ34" s="520">
        <f>IF(AND(($E34+$C$1)&gt;AZ$4,AZ$4&gt;=$C$1),'General Inputs'!W$9*$H34,IF(AND(($D34+$C$1)&gt;AZ$4,AZ$4&gt;=$C$1),'General Inputs'!W$9*$G34,0))+IF(AND(($E34+$C$1)&gt;AZ$4,AZ$4&gt;=$C$1),'General Inputs'!W$10*$J34,IF(AND(($D34+$C$1)&gt;AZ$4,AZ$4&gt;=$C$1),'General Inputs'!W$10*$I34,0))</f>
        <v>0</v>
      </c>
      <c r="BB34" s="520">
        <f>IF(AND(($E34+$C$1)&gt;BB$4,BB$4&gt;=$C$1),'General Inputs'!D$11*$H34,IF(AND(($D34+$C$1)&gt;BB$4,BB$4&gt;=$C$1),'General Inputs'!D$11*$G34,0))</f>
        <v>0</v>
      </c>
      <c r="BC34" s="520">
        <f>IF(AND(($E34+$C$1)&gt;BC$4,BC$4&gt;=$C$1),'General Inputs'!E$11*$H34,IF(AND(($D34+$C$1)&gt;BC$4,BC$4&gt;=$C$1),'General Inputs'!E$11*$G34,0))</f>
        <v>0</v>
      </c>
      <c r="BD34" s="520">
        <f>IF(AND(($E34+$C$1)&gt;BD$4,BD$4&gt;=$C$1),'General Inputs'!F$11*$H34,IF(AND(($D34+$C$1)&gt;BD$4,BD$4&gt;=$C$1),'General Inputs'!F$11*$G34,0))</f>
        <v>1194.6297198946911</v>
      </c>
      <c r="BE34" s="520">
        <f>IF(AND(($E34+$C$1)&gt;BE$4,BE$4&gt;=$C$1),'General Inputs'!G$11*$H34,IF(AND(($D34+$C$1)&gt;BE$4,BE$4&gt;=$C$1),'General Inputs'!G$11*$G34,0))</f>
        <v>1194.6297198946911</v>
      </c>
      <c r="BF34" s="520">
        <f>IF(AND(($E34+$C$1)&gt;BF$4,BF$4&gt;=$C$1),'General Inputs'!H$11*$H34,IF(AND(($D34+$C$1)&gt;BF$4,BF$4&gt;=$C$1),'General Inputs'!H$11*$G34,0))</f>
        <v>1194.6297198946911</v>
      </c>
      <c r="BG34" s="520">
        <f>IF(AND(($E34+$C$1)&gt;BG$4,BG$4&gt;=$C$1),'General Inputs'!I$11*$H34,IF(AND(($D34+$C$1)&gt;BG$4,BG$4&gt;=$C$1),'General Inputs'!I$11*$G34,0))</f>
        <v>1194.6297198946911</v>
      </c>
      <c r="BH34" s="520">
        <f>IF(AND(($E34+$C$1)&gt;BH$4,BH$4&gt;=$C$1),'General Inputs'!J$11*$H34,IF(AND(($D34+$C$1)&gt;BH$4,BH$4&gt;=$C$1),'General Inputs'!J$11*$G34,0))</f>
        <v>1194.6297198946911</v>
      </c>
      <c r="BI34" s="520">
        <f>IF(AND(($E34+$C$1)&gt;BI$4,BI$4&gt;=$C$1),'General Inputs'!K$11*$H34,IF(AND(($D34+$C$1)&gt;BI$4,BI$4&gt;=$C$1),'General Inputs'!K$11*$G34,0))</f>
        <v>0</v>
      </c>
      <c r="BJ34" s="520">
        <f>IF(AND(($E34+$C$1)&gt;BJ$4,BJ$4&gt;=$C$1),'General Inputs'!L$11*$H34,IF(AND(($D34+$C$1)&gt;BJ$4,BJ$4&gt;=$C$1),'General Inputs'!L$11*$G34,0))</f>
        <v>0</v>
      </c>
      <c r="BK34" s="520">
        <f>IF(AND(($E34+$C$1)&gt;BK$4,BK$4&gt;=$C$1),'General Inputs'!M$11*$H34,IF(AND(($D34+$C$1)&gt;BK$4,BK$4&gt;=$C$1),'General Inputs'!M$11*$G34,0))</f>
        <v>0</v>
      </c>
      <c r="BL34" s="520">
        <f>IF(AND(($E34+$C$1)&gt;BL$4,BL$4&gt;=$C$1),'General Inputs'!N$11*$H34,IF(AND(($D34+$C$1)&gt;BL$4,BL$4&gt;=$C$1),'General Inputs'!N$11*$G34,0))</f>
        <v>0</v>
      </c>
      <c r="BM34" s="520">
        <f>IF(AND(($E34+$C$1)&gt;BM$4,BM$4&gt;=$C$1),'General Inputs'!O$11*$H34,IF(AND(($D34+$C$1)&gt;BM$4,BM$4&gt;=$C$1),'General Inputs'!O$11*$G34,0))</f>
        <v>0</v>
      </c>
      <c r="BN34" s="520">
        <f>IF(AND(($E34+$C$1)&gt;BN$4,BN$4&gt;=$C$1),'General Inputs'!P$11*$H34,IF(AND(($D34+$C$1)&gt;BN$4,BN$4&gt;=$C$1),'General Inputs'!P$11*$G34,0))</f>
        <v>0</v>
      </c>
      <c r="BO34" s="520">
        <f>IF(AND(($E34+$C$1)&gt;BO$4,BO$4&gt;=$C$1),'General Inputs'!Q$11*$H34,IF(AND(($D34+$C$1)&gt;BO$4,BO$4&gt;=$C$1),'General Inputs'!Q$11*$G34,0))</f>
        <v>0</v>
      </c>
      <c r="BP34" s="520">
        <f>IF(AND(($E34+$C$1)&gt;BP$4,BP$4&gt;=$C$1),'General Inputs'!R$11*$H34,IF(AND(($D34+$C$1)&gt;BP$4,BP$4&gt;=$C$1),'General Inputs'!R$11*$G34,0))</f>
        <v>0</v>
      </c>
      <c r="BQ34" s="520">
        <f>IF(AND(($E34+$C$1)&gt;BQ$4,BQ$4&gt;=$C$1),'General Inputs'!S$11*$H34,IF(AND(($D34+$C$1)&gt;BQ$4,BQ$4&gt;=$C$1),'General Inputs'!S$11*$G34,0))</f>
        <v>0</v>
      </c>
      <c r="BR34" s="520">
        <f>IF(AND(($E34+$C$1)&gt;BR$4,BR$4&gt;=$C$1),'General Inputs'!T$11*$H34,IF(AND(($D34+$C$1)&gt;BR$4,BR$4&gt;=$C$1),'General Inputs'!T$11*$G34,0))</f>
        <v>0</v>
      </c>
      <c r="BS34" s="520">
        <f>IF(AND(($E34+$C$1)&gt;BS$4,BS$4&gt;=$C$1),'General Inputs'!U$11*$H34,IF(AND(($D34+$C$1)&gt;BS$4,BS$4&gt;=$C$1),'General Inputs'!U$11*$G34,0))</f>
        <v>0</v>
      </c>
      <c r="BT34" s="520">
        <f>IF(AND(($E34+$C$1)&gt;BT$4,BT$4&gt;=$C$1),'General Inputs'!V$11*$H34,IF(AND(($D34+$C$1)&gt;BT$4,BT$4&gt;=$C$1),'General Inputs'!V$11*$G34,0))</f>
        <v>0</v>
      </c>
      <c r="BU34" s="520">
        <f>IF(AND(($E34+$C$1)&gt;BU$4,BU$4&gt;=$C$1),'General Inputs'!W$11*$H34,IF(AND(($D34+$C$1)&gt;BU$4,BU$4&gt;=$C$1),'General Inputs'!W$11*$G34,0))</f>
        <v>0</v>
      </c>
      <c r="BW34" s="520">
        <f>IF(AND(($E34+$C$1)&gt;BW$4,BW$4&gt;=$C$1),$H34,IF(AND(($D34+$C$1)&gt;BW$4,BW$4&gt;=$C$1),$G34,0))*IF($A34="Residential",'General Inputs'!D$14,'General Inputs'!D$19)</f>
        <v>0</v>
      </c>
      <c r="BX34" s="520">
        <f>IF(AND(($E34+$C$1)&gt;BX$4,BX$4&gt;=$C$1),$H34,IF(AND(($D34+$C$1)&gt;BX$4,BX$4&gt;=$C$1),$G34,0))*IF($A34="Residential",'General Inputs'!E$14,'General Inputs'!E$19)</f>
        <v>0</v>
      </c>
      <c r="BY34" s="520">
        <f>IF(AND(($E34+$C$1)&gt;BY$4,BY$4&gt;=$C$1),$H34,IF(AND(($D34+$C$1)&gt;BY$4,BY$4&gt;=$C$1),$G34,0))*IF($A34="Residential",'General Inputs'!F$14,'General Inputs'!F$19)</f>
        <v>14491.432045262361</v>
      </c>
      <c r="BZ34" s="520">
        <f>IF(AND(($E34+$C$1)&gt;BZ$4,BZ$4&gt;=$C$1),$H34,IF(AND(($D34+$C$1)&gt;BZ$4,BZ$4&gt;=$C$1),$G34,0))*IF($A34="Residential",'General Inputs'!G$14,'General Inputs'!G$19)</f>
        <v>14708.803525941294</v>
      </c>
      <c r="CA34" s="520">
        <f>IF(AND(($E34+$C$1)&gt;CA$4,CA$4&gt;=$C$1),$H34,IF(AND(($D34+$C$1)&gt;CA$4,CA$4&gt;=$C$1),$G34,0))*IF($A34="Residential",'General Inputs'!H$14,'General Inputs'!H$19)</f>
        <v>14929.435578830411</v>
      </c>
      <c r="CB34" s="520">
        <f>IF(AND(($E34+$C$1)&gt;CB$4,CB$4&gt;=$C$1),$H34,IF(AND(($D34+$C$1)&gt;CB$4,CB$4&gt;=$C$1),$G34,0))*IF($A34="Residential",'General Inputs'!I$14,'General Inputs'!I$19)</f>
        <v>15153.377112512866</v>
      </c>
      <c r="CC34" s="520">
        <f>IF(AND(($E34+$C$1)&gt;CC$4,CC$4&gt;=$C$1),$H34,IF(AND(($D34+$C$1)&gt;CC$4,CC$4&gt;=$C$1),$G34,0))*IF($A34="Residential",'General Inputs'!J$14,'General Inputs'!J$19)</f>
        <v>15380.677769200556</v>
      </c>
      <c r="CD34" s="520">
        <f>IF(AND(($E34+$C$1)&gt;CD$4,CD$4&gt;=$C$1),$H34,IF(AND(($D34+$C$1)&gt;CD$4,CD$4&gt;=$C$1),$G34,0))*IF($A34="Residential",'General Inputs'!K$14,'General Inputs'!K$19)</f>
        <v>0</v>
      </c>
      <c r="CE34" s="520">
        <f>IF(AND(($E34+$C$1)&gt;CE$4,CE$4&gt;=$C$1),$H34,IF(AND(($D34+$C$1)&gt;CE$4,CE$4&gt;=$C$1),$G34,0))*IF($A34="Residential",'General Inputs'!L$14,'General Inputs'!L$19)</f>
        <v>0</v>
      </c>
      <c r="CF34" s="520">
        <f>IF(AND(($E34+$C$1)&gt;CF$4,CF$4&gt;=$C$1),$H34,IF(AND(($D34+$C$1)&gt;CF$4,CF$4&gt;=$C$1),$G34,0))*IF($A34="Residential",'General Inputs'!M$14,'General Inputs'!M$19)</f>
        <v>0</v>
      </c>
      <c r="CG34" s="520">
        <f>IF(AND(($E34+$C$1)&gt;CG$4,CG$4&gt;=$C$1),$H34,IF(AND(($D34+$C$1)&gt;CG$4,CG$4&gt;=$C$1),$G34,0))*IF($A34="Residential",'General Inputs'!N$14,'General Inputs'!N$19)</f>
        <v>0</v>
      </c>
      <c r="CH34" s="520">
        <f>IF(AND(($E34+$C$1)&gt;CH$4,CH$4&gt;=$C$1),$H34,IF(AND(($D34+$C$1)&gt;CH$4,CH$4&gt;=$C$1),$G34,0))*IF($A34="Residential",'General Inputs'!O$14,'General Inputs'!O$19)</f>
        <v>0</v>
      </c>
      <c r="CI34" s="520">
        <f>IF(AND(($E34+$C$1)&gt;CI$4,CI$4&gt;=$C$1),$H34,IF(AND(($D34+$C$1)&gt;CI$4,CI$4&gt;=$C$1),$G34,0))*IF($A34="Residential",'General Inputs'!P$14,'General Inputs'!P$19)</f>
        <v>0</v>
      </c>
      <c r="CJ34" s="520">
        <f>IF(AND(($E34+$C$1)&gt;CJ$4,CJ$4&gt;=$C$1),$H34,IF(AND(($D34+$C$1)&gt;CJ$4,CJ$4&gt;=$C$1),$G34,0))*IF($A34="Residential",'General Inputs'!Q$14,'General Inputs'!Q$19)</f>
        <v>0</v>
      </c>
      <c r="CK34" s="520">
        <f>IF(AND(($E34+$C$1)&gt;CK$4,CK$4&gt;=$C$1),$H34,IF(AND(($D34+$C$1)&gt;CK$4,CK$4&gt;=$C$1),$G34,0))*IF($A34="Residential",'General Inputs'!R$14,'General Inputs'!R$19)</f>
        <v>0</v>
      </c>
      <c r="CL34" s="520">
        <f>IF(AND(($E34+$C$1)&gt;CL$4,CL$4&gt;=$C$1),$H34,IF(AND(($D34+$C$1)&gt;CL$4,CL$4&gt;=$C$1),$G34,0))*IF($A34="Residential",'General Inputs'!S$14,'General Inputs'!S$19)</f>
        <v>0</v>
      </c>
      <c r="CM34" s="520">
        <f>IF(AND(($E34+$C$1)&gt;CM$4,CM$4&gt;=$C$1),$H34,IF(AND(($D34+$C$1)&gt;CM$4,CM$4&gt;=$C$1),$G34,0))*IF($A34="Residential",'General Inputs'!T$14,'General Inputs'!T$19)</f>
        <v>0</v>
      </c>
      <c r="CN34" s="520">
        <f>IF(AND(($E34+$C$1)&gt;CN$4,CN$4&gt;=$C$1),$H34,IF(AND(($D34+$C$1)&gt;CN$4,CN$4&gt;=$C$1),$G34,0))*IF($A34="Residential",'General Inputs'!U$14,'General Inputs'!U$19)</f>
        <v>0</v>
      </c>
      <c r="CO34" s="520">
        <f>IF(AND(($E34+$C$1)&gt;CO$4,CO$4&gt;=$C$1),$H34,IF(AND(($D34+$C$1)&gt;CO$4,CO$4&gt;=$C$1),$G34,0))*IF($A34="Residential",'General Inputs'!V$14,'General Inputs'!V$19)</f>
        <v>0</v>
      </c>
      <c r="CP34" s="520">
        <f>IF(AND(($E34+$C$1)&gt;CP$4,CP$4&gt;=$C$1),$H34,IF(AND(($D34+$C$1)&gt;CP$4,CP$4&gt;=$C$1),$G34,0))*IF($A34="Residential",'General Inputs'!W$14,'General Inputs'!W$19)</f>
        <v>0</v>
      </c>
      <c r="CR34" s="520">
        <f>IF(AND(($E34+$C$1)&gt;CR$4,CR$4&gt;=$C$1),$H34,IF(AND(($D34+$C$1)&gt;CR$4,CR$4&gt;=$C$1),$G34,0))*IF($A34="Residential",'General Inputs'!D$15,'General Inputs'!D$19)</f>
        <v>0</v>
      </c>
      <c r="CS34" s="520">
        <f>IF(AND(($E34+$C$1)&gt;CS$4,CS$4&gt;=$C$1),$H34,IF(AND(($D34+$C$1)&gt;CS$4,CS$4&gt;=$C$1),$G34,0))*IF($A34="Residential",'General Inputs'!E$15,'General Inputs'!E$19)</f>
        <v>0</v>
      </c>
      <c r="CT34" s="520">
        <f>IF(AND(($E34+$C$1)&gt;CT$4,CT$4&gt;=$C$1),$H34,IF(AND(($D34+$C$1)&gt;CT$4,CT$4&gt;=$C$1),$G34,0))*IF($A34="Residential",'General Inputs'!F$15,'General Inputs'!F$19)</f>
        <v>11788.89995529636</v>
      </c>
      <c r="CU34" s="520">
        <f>IF(AND(($E34+$C$1)&gt;CU$4,CU$4&gt;=$C$1),$H34,IF(AND(($D34+$C$1)&gt;CU$4,CU$4&gt;=$C$1),$G34,0))*IF($A34="Residential",'General Inputs'!G$15,'General Inputs'!G$19)</f>
        <v>11965.733454625804</v>
      </c>
      <c r="CV34" s="520">
        <f>IF(AND(($E34+$C$1)&gt;CV$4,CV$4&gt;=$C$1),$H34,IF(AND(($D34+$C$1)&gt;CV$4,CV$4&gt;=$C$1),$G34,0))*IF($A34="Residential",'General Inputs'!H$15,'General Inputs'!H$19)</f>
        <v>12145.219456445189</v>
      </c>
      <c r="CW34" s="520">
        <f>IF(AND(($E34+$C$1)&gt;CW$4,CW$4&gt;=$C$1),$H34,IF(AND(($D34+$C$1)&gt;CW$4,CW$4&gt;=$C$1),$G34,0))*IF($A34="Residential",'General Inputs'!I$15,'General Inputs'!I$19)</f>
        <v>12327.397748291867</v>
      </c>
      <c r="CX34" s="520">
        <f>IF(AND(($E34+$C$1)&gt;CX$4,CX$4&gt;=$C$1),$H34,IF(AND(($D34+$C$1)&gt;CX$4,CX$4&gt;=$C$1),$G34,0))*IF($A34="Residential",'General Inputs'!J$15,'General Inputs'!J$19)</f>
        <v>12512.308714516243</v>
      </c>
      <c r="CY34" s="520">
        <f>IF(AND(($E34+$C$1)&gt;CY$4,CY$4&gt;=$C$1),$H34,IF(AND(($D34+$C$1)&gt;CY$4,CY$4&gt;=$C$1),$G34,0))*IF($A34="Residential",'General Inputs'!K$15,'General Inputs'!K$19)</f>
        <v>0</v>
      </c>
      <c r="CZ34" s="520">
        <f>IF(AND(($E34+$C$1)&gt;CZ$4,CZ$4&gt;=$C$1),$H34,IF(AND(($D34+$C$1)&gt;CZ$4,CZ$4&gt;=$C$1),$G34,0))*IF($A34="Residential",'General Inputs'!L$15,'General Inputs'!L$19)</f>
        <v>0</v>
      </c>
      <c r="DA34" s="520">
        <f>IF(AND(($E34+$C$1)&gt;DA$4,DA$4&gt;=$C$1),$H34,IF(AND(($D34+$C$1)&gt;DA$4,DA$4&gt;=$C$1),$G34,0))*IF($A34="Residential",'General Inputs'!M$15,'General Inputs'!M$19)</f>
        <v>0</v>
      </c>
      <c r="DB34" s="520">
        <f>IF(AND(($E34+$C$1)&gt;DB$4,DB$4&gt;=$C$1),$H34,IF(AND(($D34+$C$1)&gt;DB$4,DB$4&gt;=$C$1),$G34,0))*IF($A34="Residential",'General Inputs'!N$15,'General Inputs'!N$19)</f>
        <v>0</v>
      </c>
      <c r="DC34" s="520">
        <f>IF(AND(($E34+$C$1)&gt;DC$4,DC$4&gt;=$C$1),$H34,IF(AND(($D34+$C$1)&gt;DC$4,DC$4&gt;=$C$1),$G34,0))*IF($A34="Residential",'General Inputs'!O$15,'General Inputs'!O$19)</f>
        <v>0</v>
      </c>
      <c r="DD34" s="520">
        <f>IF(AND(($E34+$C$1)&gt;DD$4,DD$4&gt;=$C$1),$H34,IF(AND(($D34+$C$1)&gt;DD$4,DD$4&gt;=$C$1),$G34,0))*IF($A34="Residential",'General Inputs'!P$15,'General Inputs'!P$19)</f>
        <v>0</v>
      </c>
      <c r="DE34" s="520">
        <f>IF(AND(($E34+$C$1)&gt;DE$4,DE$4&gt;=$C$1),$H34,IF(AND(($D34+$C$1)&gt;DE$4,DE$4&gt;=$C$1),$G34,0))*IF($A34="Residential",'General Inputs'!Q$15,'General Inputs'!Q$19)</f>
        <v>0</v>
      </c>
      <c r="DF34" s="520">
        <f>IF(AND(($E34+$C$1)&gt;DF$4,DF$4&gt;=$C$1),$H34,IF(AND(($D34+$C$1)&gt;DF$4,DF$4&gt;=$C$1),$G34,0))*IF($A34="Residential",'General Inputs'!R$15,'General Inputs'!R$19)</f>
        <v>0</v>
      </c>
      <c r="DG34" s="520">
        <f>IF(AND(($E34+$C$1)&gt;DG$4,DG$4&gt;=$C$1),$H34,IF(AND(($D34+$C$1)&gt;DG$4,DG$4&gt;=$C$1),$G34,0))*IF($A34="Residential",'General Inputs'!S$15,'General Inputs'!S$19)</f>
        <v>0</v>
      </c>
      <c r="DH34" s="520">
        <f>IF(AND(($E34+$C$1)&gt;DH$4,DH$4&gt;=$C$1),$H34,IF(AND(($D34+$C$1)&gt;DH$4,DH$4&gt;=$C$1),$G34,0))*IF($A34="Residential",'General Inputs'!T$15,'General Inputs'!T$19)</f>
        <v>0</v>
      </c>
      <c r="DI34" s="520">
        <f>IF(AND(($E34+$C$1)&gt;DI$4,DI$4&gt;=$C$1),$H34,IF(AND(($D34+$C$1)&gt;DI$4,DI$4&gt;=$C$1),$G34,0))*IF($A34="Residential",'General Inputs'!U$15,'General Inputs'!U$19)</f>
        <v>0</v>
      </c>
      <c r="DJ34" s="520">
        <f>IF(AND(($E34+$C$1)&gt;DJ$4,DJ$4&gt;=$C$1),$H34,IF(AND(($D34+$C$1)&gt;DJ$4,DJ$4&gt;=$C$1),$G34,0))*IF($A34="Residential",'General Inputs'!V$15,'General Inputs'!V$19)</f>
        <v>0</v>
      </c>
      <c r="DK34" s="520">
        <f>IF(AND(($E34+$C$1)&gt;DK$4,DK$4&gt;=$C$1),$H34,IF(AND(($D34+$C$1)&gt;DK$4,DK$4&gt;=$C$1),$G34,0))*IF($A34="Residential",'General Inputs'!W$15,'General Inputs'!W$19)</f>
        <v>0</v>
      </c>
      <c r="DM34" s="524">
        <f>IF($C$1=DM$4,$L34*$C34,IF($E34+$C$1=DM$4,-$M34*$C34,0))</f>
        <v>0</v>
      </c>
      <c r="DN34" s="524">
        <f t="shared" si="74"/>
        <v>0</v>
      </c>
      <c r="DO34" s="524">
        <f t="shared" si="74"/>
        <v>0</v>
      </c>
      <c r="DP34" s="524">
        <f t="shared" si="74"/>
        <v>0</v>
      </c>
      <c r="DQ34" s="524">
        <f t="shared" si="74"/>
        <v>0</v>
      </c>
      <c r="DR34" s="524">
        <f t="shared" si="74"/>
        <v>0</v>
      </c>
      <c r="DS34" s="524">
        <f t="shared" si="74"/>
        <v>0</v>
      </c>
      <c r="DT34" s="524">
        <f t="shared" si="74"/>
        <v>0</v>
      </c>
      <c r="DU34" s="524">
        <f t="shared" si="74"/>
        <v>0</v>
      </c>
      <c r="DV34" s="524">
        <f t="shared" si="74"/>
        <v>0</v>
      </c>
      <c r="DW34" s="524">
        <f t="shared" si="74"/>
        <v>0</v>
      </c>
      <c r="DZ34" s="650"/>
      <c r="FI34" s="195"/>
      <c r="FJ34" s="195"/>
      <c r="FK34" s="195"/>
      <c r="FL34" s="195"/>
      <c r="FM34" s="195"/>
      <c r="FN34" s="195"/>
      <c r="FO34" s="195"/>
    </row>
    <row r="35" spans="1:171">
      <c r="A35" s="441" t="s">
        <v>12</v>
      </c>
      <c r="B35" s="426" t="str">
        <f>'Portfolio Inputs'!A34</f>
        <v>Weatherization</v>
      </c>
      <c r="C35" s="356">
        <f>IF($C$1=2014,'Portfolio Inputs'!$C34,IF($C$1=2015,'Portfolio Inputs'!$D34,'Portfolio Inputs'!$E34))</f>
        <v>35</v>
      </c>
      <c r="D35" s="503"/>
      <c r="E35" s="503"/>
      <c r="G35" s="513">
        <f>SUM(G36:G40)</f>
        <v>41198.383415366545</v>
      </c>
      <c r="H35" s="513"/>
      <c r="I35" s="509">
        <f>SUM(I36:I40)</f>
        <v>6.6734245125450729</v>
      </c>
      <c r="J35" s="509"/>
      <c r="L35" s="453"/>
      <c r="M35" s="453"/>
      <c r="N35" s="453">
        <f>IF($C$1=2014,'Portfolio Inputs'!$W34,IF($C$1=2015,'Portfolio Inputs'!$X34,'Portfolio Inputs'!$Y34))</f>
        <v>0</v>
      </c>
      <c r="O35" s="453">
        <f>IF($C$1=2014,'Portfolio Inputs'!$AA34,IF($C$1=2015,'Portfolio Inputs'!$AB34,'Portfolio Inputs'!$AC34))</f>
        <v>29629.6875</v>
      </c>
      <c r="Q35" s="442">
        <f t="shared" si="67"/>
        <v>0.49143970850869323</v>
      </c>
      <c r="R35" s="443">
        <f t="shared" si="68"/>
        <v>0.49143970850869323</v>
      </c>
      <c r="S35" s="443">
        <f t="shared" si="69"/>
        <v>0.61028472427729863</v>
      </c>
      <c r="T35" s="443" t="str">
        <f t="shared" si="70"/>
        <v>n/a</v>
      </c>
      <c r="U35" s="443" t="str">
        <f>IF(AE35&gt;0,(AD35+AB35)/AE35,"n/a")</f>
        <v>n/a</v>
      </c>
      <c r="V35" s="522">
        <f t="shared" si="72"/>
        <v>0.19227963360618705</v>
      </c>
      <c r="W35" s="521">
        <f t="shared" si="73"/>
        <v>0.21690370833635861</v>
      </c>
      <c r="Y35" s="444">
        <f t="shared" si="4"/>
        <v>12291.934845207095</v>
      </c>
      <c r="Z35" s="444">
        <f t="shared" si="5"/>
        <v>2972.5623819416428</v>
      </c>
      <c r="AA35" s="444">
        <f t="shared" si="6"/>
        <v>38915.297261893727</v>
      </c>
      <c r="AB35" s="444">
        <f t="shared" si="7"/>
        <v>31657.916534278429</v>
      </c>
      <c r="AC35" s="445">
        <f t="shared" si="20"/>
        <v>25012.091274650549</v>
      </c>
      <c r="AD35" s="445">
        <f t="shared" si="21"/>
        <v>0</v>
      </c>
      <c r="AE35" s="526">
        <f t="shared" si="8"/>
        <v>0</v>
      </c>
      <c r="AG35" s="446">
        <f t="shared" ref="AG35:CR35" si="75">SUM(AG36:AG40)</f>
        <v>0</v>
      </c>
      <c r="AH35" s="446">
        <f t="shared" si="75"/>
        <v>0</v>
      </c>
      <c r="AI35" s="446">
        <f t="shared" si="75"/>
        <v>1792.724679731238</v>
      </c>
      <c r="AJ35" s="446">
        <f t="shared" si="75"/>
        <v>1819.6155499272068</v>
      </c>
      <c r="AK35" s="446">
        <f t="shared" si="75"/>
        <v>1707.3838795465124</v>
      </c>
      <c r="AL35" s="446">
        <f t="shared" si="75"/>
        <v>1732.9946377397096</v>
      </c>
      <c r="AM35" s="446">
        <f t="shared" si="75"/>
        <v>1758.9895573058054</v>
      </c>
      <c r="AN35" s="446">
        <f t="shared" si="75"/>
        <v>1446.6570607863623</v>
      </c>
      <c r="AO35" s="446">
        <f t="shared" si="75"/>
        <v>1468.3569166981576</v>
      </c>
      <c r="AP35" s="446">
        <f t="shared" si="75"/>
        <v>1490.3822704486295</v>
      </c>
      <c r="AQ35" s="446">
        <f t="shared" si="75"/>
        <v>1512.738004505359</v>
      </c>
      <c r="AR35" s="446">
        <f t="shared" si="75"/>
        <v>1535.429074572939</v>
      </c>
      <c r="AS35" s="446">
        <f t="shared" si="75"/>
        <v>1558.460510691533</v>
      </c>
      <c r="AT35" s="446">
        <f t="shared" si="75"/>
        <v>1581.8374183519061</v>
      </c>
      <c r="AU35" s="446">
        <f t="shared" si="75"/>
        <v>1605.5649796271846</v>
      </c>
      <c r="AV35" s="446">
        <f t="shared" si="75"/>
        <v>1629.6484543215922</v>
      </c>
      <c r="AW35" s="446">
        <f t="shared" si="75"/>
        <v>1654.093181136416</v>
      </c>
      <c r="AX35" s="446">
        <f t="shared" si="75"/>
        <v>0</v>
      </c>
      <c r="AY35" s="446">
        <f t="shared" si="75"/>
        <v>0</v>
      </c>
      <c r="AZ35" s="446">
        <f t="shared" si="75"/>
        <v>0</v>
      </c>
      <c r="BB35" s="446">
        <f t="shared" si="75"/>
        <v>0</v>
      </c>
      <c r="BC35" s="446">
        <f t="shared" si="75"/>
        <v>0</v>
      </c>
      <c r="BD35" s="446">
        <f t="shared" si="75"/>
        <v>469.66157093517864</v>
      </c>
      <c r="BE35" s="446">
        <f t="shared" si="75"/>
        <v>469.66157093517864</v>
      </c>
      <c r="BF35" s="446">
        <f t="shared" si="75"/>
        <v>433.56771173517865</v>
      </c>
      <c r="BG35" s="446">
        <f t="shared" si="75"/>
        <v>433.56771173517865</v>
      </c>
      <c r="BH35" s="446">
        <f t="shared" si="75"/>
        <v>433.56771173517865</v>
      </c>
      <c r="BI35" s="446">
        <f t="shared" si="75"/>
        <v>349.34187750913469</v>
      </c>
      <c r="BJ35" s="446">
        <f t="shared" si="75"/>
        <v>349.34187750913469</v>
      </c>
      <c r="BK35" s="446">
        <f t="shared" si="75"/>
        <v>349.34187750913469</v>
      </c>
      <c r="BL35" s="446">
        <f t="shared" si="75"/>
        <v>349.34187750913469</v>
      </c>
      <c r="BM35" s="446">
        <f t="shared" si="75"/>
        <v>349.34187750913469</v>
      </c>
      <c r="BN35" s="446">
        <f t="shared" si="75"/>
        <v>349.34187750913469</v>
      </c>
      <c r="BO35" s="446">
        <f t="shared" si="75"/>
        <v>349.34187750913469</v>
      </c>
      <c r="BP35" s="446">
        <f t="shared" si="75"/>
        <v>349.34187750913469</v>
      </c>
      <c r="BQ35" s="446">
        <f t="shared" si="75"/>
        <v>349.34187750913469</v>
      </c>
      <c r="BR35" s="446">
        <f t="shared" si="75"/>
        <v>349.34187750913469</v>
      </c>
      <c r="BS35" s="446">
        <f t="shared" si="75"/>
        <v>0</v>
      </c>
      <c r="BT35" s="446">
        <f t="shared" si="75"/>
        <v>0</v>
      </c>
      <c r="BU35" s="446">
        <f t="shared" si="75"/>
        <v>0</v>
      </c>
      <c r="BW35" s="446">
        <f t="shared" si="75"/>
        <v>0</v>
      </c>
      <c r="BX35" s="446">
        <f t="shared" si="75"/>
        <v>0</v>
      </c>
      <c r="BY35" s="446">
        <f t="shared" si="75"/>
        <v>5697.2203404401153</v>
      </c>
      <c r="BZ35" s="446">
        <f t="shared" si="75"/>
        <v>5782.6786455467145</v>
      </c>
      <c r="CA35" s="446">
        <f t="shared" si="75"/>
        <v>5418.3493961475069</v>
      </c>
      <c r="CB35" s="446">
        <f t="shared" si="75"/>
        <v>5499.6246370897188</v>
      </c>
      <c r="CC35" s="446">
        <f t="shared" si="75"/>
        <v>5582.119006646064</v>
      </c>
      <c r="CD35" s="446">
        <f t="shared" si="75"/>
        <v>4565.1899338944286</v>
      </c>
      <c r="CE35" s="446">
        <f t="shared" si="75"/>
        <v>4633.667782902844</v>
      </c>
      <c r="CF35" s="446">
        <f t="shared" si="75"/>
        <v>4703.172799646386</v>
      </c>
      <c r="CG35" s="446">
        <f t="shared" si="75"/>
        <v>4773.7203916410817</v>
      </c>
      <c r="CH35" s="446">
        <f t="shared" si="75"/>
        <v>4845.3261975156975</v>
      </c>
      <c r="CI35" s="446">
        <f t="shared" si="75"/>
        <v>4918.0060904784323</v>
      </c>
      <c r="CJ35" s="446">
        <f t="shared" si="75"/>
        <v>4991.7761818356084</v>
      </c>
      <c r="CK35" s="446">
        <f t="shared" si="75"/>
        <v>5066.6528245631416</v>
      </c>
      <c r="CL35" s="446">
        <f t="shared" si="75"/>
        <v>5142.6526169315885</v>
      </c>
      <c r="CM35" s="446">
        <f t="shared" si="75"/>
        <v>5219.792406185562</v>
      </c>
      <c r="CN35" s="446">
        <f t="shared" si="75"/>
        <v>0</v>
      </c>
      <c r="CO35" s="446">
        <f t="shared" si="75"/>
        <v>0</v>
      </c>
      <c r="CP35" s="446">
        <f t="shared" si="75"/>
        <v>0</v>
      </c>
      <c r="CR35" s="446">
        <f t="shared" si="75"/>
        <v>0</v>
      </c>
      <c r="CS35" s="446">
        <f t="shared" ref="CS35:DW35" si="76">SUM(CS36:CS40)</f>
        <v>0</v>
      </c>
      <c r="CT35" s="446">
        <f t="shared" si="76"/>
        <v>4634.7359189173903</v>
      </c>
      <c r="CU35" s="446">
        <f t="shared" si="76"/>
        <v>4704.2569577011509</v>
      </c>
      <c r="CV35" s="446">
        <f t="shared" si="76"/>
        <v>4407.8720967336221</v>
      </c>
      <c r="CW35" s="446">
        <f t="shared" si="76"/>
        <v>4473.9901781846256</v>
      </c>
      <c r="CX35" s="446">
        <f t="shared" si="76"/>
        <v>4541.1000308573948</v>
      </c>
      <c r="CY35" s="446">
        <f t="shared" si="76"/>
        <v>3713.8198101824009</v>
      </c>
      <c r="CZ35" s="446">
        <f t="shared" si="76"/>
        <v>3769.5271073351364</v>
      </c>
      <c r="DA35" s="446">
        <f t="shared" si="76"/>
        <v>3826.0700139451633</v>
      </c>
      <c r="DB35" s="446">
        <f t="shared" si="76"/>
        <v>3883.46106415434</v>
      </c>
      <c r="DC35" s="446">
        <f t="shared" si="76"/>
        <v>3941.7129801166548</v>
      </c>
      <c r="DD35" s="446">
        <f t="shared" si="76"/>
        <v>4000.8386748184048</v>
      </c>
      <c r="DE35" s="446">
        <f t="shared" si="76"/>
        <v>4060.8512549406805</v>
      </c>
      <c r="DF35" s="446">
        <f t="shared" si="76"/>
        <v>4121.7640237647902</v>
      </c>
      <c r="DG35" s="446">
        <f t="shared" si="76"/>
        <v>4183.5904841212614</v>
      </c>
      <c r="DH35" s="446">
        <f t="shared" si="76"/>
        <v>4246.3443413830801</v>
      </c>
      <c r="DI35" s="446">
        <f t="shared" si="76"/>
        <v>0</v>
      </c>
      <c r="DJ35" s="446">
        <f t="shared" si="76"/>
        <v>0</v>
      </c>
      <c r="DK35" s="446">
        <f t="shared" si="76"/>
        <v>0</v>
      </c>
      <c r="DM35" s="446">
        <f t="shared" si="76"/>
        <v>0</v>
      </c>
      <c r="DN35" s="446">
        <f t="shared" si="76"/>
        <v>0</v>
      </c>
      <c r="DO35" s="446">
        <f t="shared" si="76"/>
        <v>0</v>
      </c>
      <c r="DP35" s="446">
        <f t="shared" si="76"/>
        <v>0</v>
      </c>
      <c r="DQ35" s="446">
        <f t="shared" si="76"/>
        <v>0</v>
      </c>
      <c r="DR35" s="446">
        <f t="shared" si="76"/>
        <v>0</v>
      </c>
      <c r="DS35" s="446">
        <f t="shared" si="76"/>
        <v>0</v>
      </c>
      <c r="DT35" s="446">
        <f t="shared" si="76"/>
        <v>0</v>
      </c>
      <c r="DU35" s="446">
        <f t="shared" si="76"/>
        <v>0</v>
      </c>
      <c r="DV35" s="446">
        <f t="shared" si="76"/>
        <v>0</v>
      </c>
      <c r="DW35" s="446">
        <f t="shared" si="76"/>
        <v>0</v>
      </c>
      <c r="DZ35" s="650"/>
      <c r="FO35" s="195"/>
    </row>
    <row r="36" spans="1:171">
      <c r="A36" s="342" t="s">
        <v>12</v>
      </c>
      <c r="B36" s="427" t="str">
        <f>'Portfolio Inputs'!A35</f>
        <v>Air Sealing</v>
      </c>
      <c r="C36" s="217">
        <f>IF($C$1=2014,'Portfolio Inputs'!$C35,IF($C$1=2015,'Portfolio Inputs'!$D35,'Portfolio Inputs'!$E35))</f>
        <v>35</v>
      </c>
      <c r="D36" s="504">
        <f>Sources!C17</f>
        <v>15</v>
      </c>
      <c r="E36" s="504"/>
      <c r="G36" s="504">
        <f>IF($C$1=2014,'Portfolio Inputs'!$G35,IF($C$1=2015,'Portfolio Inputs'!$H35,'Portfolio Inputs'!$I35))*EnergyLineLoss</f>
        <v>25677.912839830078</v>
      </c>
      <c r="H36" s="504"/>
      <c r="I36" s="595">
        <f>IF($C$1=2014,'Portfolio Inputs'!$K35,IF($C$1=2015,'Portfolio Inputs'!$L35,'Portfolio Inputs'!$M35))*PeakLineLoss</f>
        <v>5.0073133561643832</v>
      </c>
      <c r="J36" s="510"/>
      <c r="L36" s="606">
        <f>IF($C$1=2014,'Portfolio Inputs'!$O35,IF($C$1=2015,'Portfolio Inputs'!$P35,'Portfolio Inputs'!$Q35))</f>
        <v>0</v>
      </c>
      <c r="M36" s="518" t="e">
        <f>VLOOKUP($B36,Sources!$B$4:$K$104,10,FALSE)</f>
        <v>#N/A</v>
      </c>
      <c r="N36" s="419">
        <f>IF($C$1=2014,'Portfolio Inputs'!$W35,IF($C$1=2015,'Portfolio Inputs'!$X35,'Portfolio Inputs'!$Y35))</f>
        <v>0</v>
      </c>
      <c r="O36" s="419"/>
      <c r="Q36" s="438" t="str">
        <f t="shared" si="67"/>
        <v>n/a</v>
      </c>
      <c r="R36" s="439" t="str">
        <f t="shared" si="68"/>
        <v>n/a</v>
      </c>
      <c r="S36" s="439" t="str">
        <f t="shared" si="69"/>
        <v>n/a</v>
      </c>
      <c r="T36" s="439" t="str">
        <f t="shared" si="70"/>
        <v>n/a</v>
      </c>
      <c r="U36" s="439" t="str">
        <f t="shared" ref="U36:U40" si="77">IF(AE36&gt;0,(AD36+AB36)/AE36,"n/a")</f>
        <v>n/a</v>
      </c>
      <c r="V36" s="439">
        <f t="shared" si="72"/>
        <v>0.31835031563944971</v>
      </c>
      <c r="W36" s="439">
        <f t="shared" si="73"/>
        <v>0.39133014811990857</v>
      </c>
      <c r="Y36" s="215">
        <f t="shared" si="4"/>
        <v>9185.1461090333778</v>
      </c>
      <c r="Z36" s="215">
        <f t="shared" si="5"/>
        <v>2188.5743617439384</v>
      </c>
      <c r="AA36" s="215">
        <f t="shared" si="6"/>
        <v>28852.322921633575</v>
      </c>
      <c r="AB36" s="215">
        <f t="shared" si="7"/>
        <v>23471.603588842154</v>
      </c>
      <c r="AC36" s="216">
        <f t="shared" si="20"/>
        <v>0</v>
      </c>
      <c r="AD36" s="216">
        <f t="shared" si="21"/>
        <v>0</v>
      </c>
      <c r="AE36" s="215">
        <f t="shared" si="8"/>
        <v>0</v>
      </c>
      <c r="AG36" s="214">
        <f>IF(AND(($E36+$C$1)&gt;AG$4,AG$4&gt;=$C$1),'General Inputs'!D$9*$H36,IF(AND(($D36+$C$1)&gt;AG$4,AG$4&gt;=$C$1),'General Inputs'!D$9*$G36,0))+IF(AND(($E36+$C$1)&gt;AG$4,AG$4&gt;=$C$1),'General Inputs'!D$10*$J36,IF(AND(($D36+$C$1)&gt;AG$4,AG$4&gt;=$C$1),'General Inputs'!D$10*$I36,0))</f>
        <v>0</v>
      </c>
      <c r="AH36" s="214">
        <f>IF(AND(($E36+$C$1)&gt;AH$4,AH$4&gt;=$C$1),'General Inputs'!E$9*$H36,IF(AND(($D36+$C$1)&gt;AH$4,AH$4&gt;=$C$1),'General Inputs'!E$9*$G36,0))+IF(AND(($E36+$C$1)&gt;AH$4,AH$4&gt;=$C$1),'General Inputs'!E$10*$J36,IF(AND(($D36+$C$1)&gt;AH$4,AH$4&gt;=$C$1),'General Inputs'!E$10*$I36,0))</f>
        <v>0</v>
      </c>
      <c r="AI36" s="214">
        <f>IF(AND(($E36+$C$1)&gt;AI$4,AI$4&gt;=$C$1),'General Inputs'!F$9*$H36,IF(AND(($D36+$C$1)&gt;AI$4,AI$4&gt;=$C$1),'General Inputs'!F$9*$G36,0))+IF(AND(($E36+$C$1)&gt;AI$4,AI$4&gt;=$C$1),'General Inputs'!F$10*$J36,IF(AND(($D36+$C$1)&gt;AI$4,AI$4&gt;=$C$1),'General Inputs'!F$10*$I36,0))</f>
        <v>1130.4408586150896</v>
      </c>
      <c r="AJ36" s="214">
        <f>IF(AND(($E36+$C$1)&gt;AJ$4,AJ$4&gt;=$C$1),'General Inputs'!G$9*$H36,IF(AND(($D36+$C$1)&gt;AJ$4,AJ$4&gt;=$C$1),'General Inputs'!G$9*$G36,0))+IF(AND(($E36+$C$1)&gt;AJ$4,AJ$4&gt;=$C$1),'General Inputs'!G$10*$J36,IF(AND(($D36+$C$1)&gt;AJ$4,AJ$4&gt;=$C$1),'General Inputs'!G$10*$I36,0))</f>
        <v>1147.3974714943161</v>
      </c>
      <c r="AK36" s="214">
        <f>IF(AND(($E36+$C$1)&gt;AK$4,AK$4&gt;=$C$1),'General Inputs'!H$9*$H36,IF(AND(($D36+$C$1)&gt;AK$4,AK$4&gt;=$C$1),'General Inputs'!H$9*$G36,0))+IF(AND(($E36+$C$1)&gt;AK$4,AK$4&gt;=$C$1),'General Inputs'!H$10*$J36,IF(AND(($D36+$C$1)&gt;AK$4,AK$4&gt;=$C$1),'General Inputs'!H$10*$I36,0))</f>
        <v>1164.6084335667306</v>
      </c>
      <c r="AL36" s="214">
        <f>IF(AND(($E36+$C$1)&gt;AL$4,AL$4&gt;=$C$1),'General Inputs'!I$9*$H36,IF(AND(($D36+$C$1)&gt;AL$4,AL$4&gt;=$C$1),'General Inputs'!I$9*$G36,0))+IF(AND(($E36+$C$1)&gt;AL$4,AL$4&gt;=$C$1),'General Inputs'!I$10*$J36,IF(AND(($D36+$C$1)&gt;AL$4,AL$4&gt;=$C$1),'General Inputs'!I$10*$I36,0))</f>
        <v>1182.0775600702311</v>
      </c>
      <c r="AM36" s="214">
        <f>IF(AND(($E36+$C$1)&gt;AM$4,AM$4&gt;=$C$1),'General Inputs'!J$9*$H36,IF(AND(($D36+$C$1)&gt;AM$4,AM$4&gt;=$C$1),'General Inputs'!J$9*$G36,0))+IF(AND(($E36+$C$1)&gt;AM$4,AM$4&gt;=$C$1),'General Inputs'!J$10*$J36,IF(AND(($D36+$C$1)&gt;AM$4,AM$4&gt;=$C$1),'General Inputs'!J$10*$I36,0))</f>
        <v>1199.8087234712846</v>
      </c>
      <c r="AN36" s="214">
        <f>IF(AND(($E36+$C$1)&gt;AN$4,AN$4&gt;=$C$1),'General Inputs'!K$9*$H36,IF(AND(($D36+$C$1)&gt;AN$4,AN$4&gt;=$C$1),'General Inputs'!K$9*$G36,0))+IF(AND(($E36+$C$1)&gt;AN$4,AN$4&gt;=$C$1),'General Inputs'!K$10*$J36,IF(AND(($D36+$C$1)&gt;AN$4,AN$4&gt;=$C$1),'General Inputs'!K$10*$I36,0))</f>
        <v>1217.8058543233537</v>
      </c>
      <c r="AO36" s="214">
        <f>IF(AND(($E36+$C$1)&gt;AO$4,AO$4&gt;=$C$1),'General Inputs'!L$9*$H36,IF(AND(($D36+$C$1)&gt;AO$4,AO$4&gt;=$C$1),'General Inputs'!L$9*$G36,0))+IF(AND(($E36+$C$1)&gt;AO$4,AO$4&gt;=$C$1),'General Inputs'!L$10*$J36,IF(AND(($D36+$C$1)&gt;AO$4,AO$4&gt;=$C$1),'General Inputs'!L$10*$I36,0))</f>
        <v>1236.0729421382039</v>
      </c>
      <c r="AP36" s="214">
        <f>IF(AND(($E36+$C$1)&gt;AP$4,AP$4&gt;=$C$1),'General Inputs'!M$9*$H36,IF(AND(($D36+$C$1)&gt;AP$4,AP$4&gt;=$C$1),'General Inputs'!M$9*$G36,0))+IF(AND(($E36+$C$1)&gt;AP$4,AP$4&gt;=$C$1),'General Inputs'!M$10*$J36,IF(AND(($D36+$C$1)&gt;AP$4,AP$4&gt;=$C$1),'General Inputs'!M$10*$I36,0))</f>
        <v>1254.6140362702765</v>
      </c>
      <c r="AQ36" s="214">
        <f>IF(AND(($E36+$C$1)&gt;AQ$4,AQ$4&gt;=$C$1),'General Inputs'!N$9*$H36,IF(AND(($D36+$C$1)&gt;AQ$4,AQ$4&gt;=$C$1),'General Inputs'!N$9*$G36,0))+IF(AND(($E36+$C$1)&gt;AQ$4,AQ$4&gt;=$C$1),'General Inputs'!N$10*$J36,IF(AND(($D36+$C$1)&gt;AQ$4,AQ$4&gt;=$C$1),'General Inputs'!N$10*$I36,0))</f>
        <v>1273.4332468143307</v>
      </c>
      <c r="AR36" s="214">
        <f>IF(AND(($E36+$C$1)&gt;AR$4,AR$4&gt;=$C$1),'General Inputs'!O$9*$H36,IF(AND(($D36+$C$1)&gt;AR$4,AR$4&gt;=$C$1),'General Inputs'!O$9*$G36,0))+IF(AND(($E36+$C$1)&gt;AR$4,AR$4&gt;=$C$1),'General Inputs'!O$10*$J36,IF(AND(($D36+$C$1)&gt;AR$4,AR$4&gt;=$C$1),'General Inputs'!O$10*$I36,0))</f>
        <v>1292.5347455165454</v>
      </c>
      <c r="AS36" s="214">
        <f>IF(AND(($E36+$C$1)&gt;AS$4,AS$4&gt;=$C$1),'General Inputs'!P$9*$H36,IF(AND(($D36+$C$1)&gt;AS$4,AS$4&gt;=$C$1),'General Inputs'!P$9*$G36,0))+IF(AND(($E36+$C$1)&gt;AS$4,AS$4&gt;=$C$1),'General Inputs'!P$10*$J36,IF(AND(($D36+$C$1)&gt;AS$4,AS$4&gt;=$C$1),'General Inputs'!P$10*$I36,0))</f>
        <v>1311.9227666992936</v>
      </c>
      <c r="AT36" s="214">
        <f>IF(AND(($E36+$C$1)&gt;AT$4,AT$4&gt;=$C$1),'General Inputs'!Q$9*$H36,IF(AND(($D36+$C$1)&gt;AT$4,AT$4&gt;=$C$1),'General Inputs'!Q$9*$G36,0))+IF(AND(($E36+$C$1)&gt;AT$4,AT$4&gt;=$C$1),'General Inputs'!Q$10*$J36,IF(AND(($D36+$C$1)&gt;AT$4,AT$4&gt;=$C$1),'General Inputs'!Q$10*$I36,0))</f>
        <v>1331.601608199783</v>
      </c>
      <c r="AU36" s="214">
        <f>IF(AND(($E36+$C$1)&gt;AU$4,AU$4&gt;=$C$1),'General Inputs'!R$9*$H36,IF(AND(($D36+$C$1)&gt;AU$4,AU$4&gt;=$C$1),'General Inputs'!R$9*$G36,0))+IF(AND(($E36+$C$1)&gt;AU$4,AU$4&gt;=$C$1),'General Inputs'!R$10*$J36,IF(AND(($D36+$C$1)&gt;AU$4,AU$4&gt;=$C$1),'General Inputs'!R$10*$I36,0))</f>
        <v>1351.5756323227797</v>
      </c>
      <c r="AV36" s="214">
        <f>IF(AND(($E36+$C$1)&gt;AV$4,AV$4&gt;=$C$1),'General Inputs'!S$9*$H36,IF(AND(($D36+$C$1)&gt;AV$4,AV$4&gt;=$C$1),'General Inputs'!S$9*$G36,0))+IF(AND(($E36+$C$1)&gt;AV$4,AV$4&gt;=$C$1),'General Inputs'!S$10*$J36,IF(AND(($D36+$C$1)&gt;AV$4,AV$4&gt;=$C$1),'General Inputs'!S$10*$I36,0))</f>
        <v>1371.8492668076212</v>
      </c>
      <c r="AW36" s="214">
        <f>IF(AND(($E36+$C$1)&gt;AW$4,AW$4&gt;=$C$1),'General Inputs'!T$9*$H36,IF(AND(($D36+$C$1)&gt;AW$4,AW$4&gt;=$C$1),'General Inputs'!T$9*$G36,0))+IF(AND(($E36+$C$1)&gt;AW$4,AW$4&gt;=$C$1),'General Inputs'!T$10*$J36,IF(AND(($D36+$C$1)&gt;AW$4,AW$4&gt;=$C$1),'General Inputs'!T$10*$I36,0))</f>
        <v>1392.4270058097354</v>
      </c>
      <c r="AX36" s="214">
        <f>IF(AND(($E36+$C$1)&gt;AX$4,AX$4&gt;=$C$1),'General Inputs'!U$9*$H36,IF(AND(($D36+$C$1)&gt;AX$4,AX$4&gt;=$C$1),'General Inputs'!U$9*$G36,0))+IF(AND(($E36+$C$1)&gt;AX$4,AX$4&gt;=$C$1),'General Inputs'!U$10*$J36,IF(AND(($D36+$C$1)&gt;AX$4,AX$4&gt;=$C$1),'General Inputs'!U$10*$I36,0))</f>
        <v>0</v>
      </c>
      <c r="AY36" s="214">
        <f>IF(AND(($E36+$C$1)&gt;AY$4,AY$4&gt;=$C$1),'General Inputs'!V$9*$H36,IF(AND(($D36+$C$1)&gt;AY$4,AY$4&gt;=$C$1),'General Inputs'!V$9*$G36,0))+IF(AND(($E36+$C$1)&gt;AY$4,AY$4&gt;=$C$1),'General Inputs'!V$10*$J36,IF(AND(($D36+$C$1)&gt;AY$4,AY$4&gt;=$C$1),'General Inputs'!V$10*$I36,0))</f>
        <v>0</v>
      </c>
      <c r="AZ36" s="214">
        <f>IF(AND(($E36+$C$1)&gt;AZ$4,AZ$4&gt;=$C$1),'General Inputs'!W$9*$H36,IF(AND(($D36+$C$1)&gt;AZ$4,AZ$4&gt;=$C$1),'General Inputs'!W$9*$G36,0))+IF(AND(($E36+$C$1)&gt;AZ$4,AZ$4&gt;=$C$1),'General Inputs'!W$10*$J36,IF(AND(($D36+$C$1)&gt;AZ$4,AZ$4&gt;=$C$1),'General Inputs'!W$10*$I36,0))</f>
        <v>0</v>
      </c>
      <c r="BB36" s="214">
        <f>IF(AND(($E36+$C$1)&gt;BB$4,BB$4&gt;=$C$1),'General Inputs'!D$11*$H36,IF(AND(($D36+$C$1)&gt;BB$4,BB$4&gt;=$C$1),'General Inputs'!D$11*$G36,0))</f>
        <v>0</v>
      </c>
      <c r="BC36" s="214">
        <f>IF(AND(($E36+$C$1)&gt;BC$4,BC$4&gt;=$C$1),'General Inputs'!E$11*$H36,IF(AND(($D36+$C$1)&gt;BC$4,BC$4&gt;=$C$1),'General Inputs'!E$11*$G36,0))</f>
        <v>0</v>
      </c>
      <c r="BD36" s="214">
        <f>IF(AND(($E36+$C$1)&gt;BD$4,BD$4&gt;=$C$1),'General Inputs'!F$11*$H36,IF(AND(($D36+$C$1)&gt;BD$4,BD$4&gt;=$C$1),'General Inputs'!F$11*$G36,0))</f>
        <v>292.72820637406289</v>
      </c>
      <c r="BE36" s="214">
        <f>IF(AND(($E36+$C$1)&gt;BE$4,BE$4&gt;=$C$1),'General Inputs'!G$11*$H36,IF(AND(($D36+$C$1)&gt;BE$4,BE$4&gt;=$C$1),'General Inputs'!G$11*$G36,0))</f>
        <v>292.72820637406289</v>
      </c>
      <c r="BF36" s="214">
        <f>IF(AND(($E36+$C$1)&gt;BF$4,BF$4&gt;=$C$1),'General Inputs'!H$11*$H36,IF(AND(($D36+$C$1)&gt;BF$4,BF$4&gt;=$C$1),'General Inputs'!H$11*$G36,0))</f>
        <v>292.72820637406289</v>
      </c>
      <c r="BG36" s="214">
        <f>IF(AND(($E36+$C$1)&gt;BG$4,BG$4&gt;=$C$1),'General Inputs'!I$11*$H36,IF(AND(($D36+$C$1)&gt;BG$4,BG$4&gt;=$C$1),'General Inputs'!I$11*$G36,0))</f>
        <v>292.72820637406289</v>
      </c>
      <c r="BH36" s="214">
        <f>IF(AND(($E36+$C$1)&gt;BH$4,BH$4&gt;=$C$1),'General Inputs'!J$11*$H36,IF(AND(($D36+$C$1)&gt;BH$4,BH$4&gt;=$C$1),'General Inputs'!J$11*$G36,0))</f>
        <v>292.72820637406289</v>
      </c>
      <c r="BI36" s="214">
        <f>IF(AND(($E36+$C$1)&gt;BI$4,BI$4&gt;=$C$1),'General Inputs'!K$11*$H36,IF(AND(($D36+$C$1)&gt;BI$4,BI$4&gt;=$C$1),'General Inputs'!K$11*$G36,0))</f>
        <v>292.72820637406289</v>
      </c>
      <c r="BJ36" s="214">
        <f>IF(AND(($E36+$C$1)&gt;BJ$4,BJ$4&gt;=$C$1),'General Inputs'!L$11*$H36,IF(AND(($D36+$C$1)&gt;BJ$4,BJ$4&gt;=$C$1),'General Inputs'!L$11*$G36,0))</f>
        <v>292.72820637406289</v>
      </c>
      <c r="BK36" s="214">
        <f>IF(AND(($E36+$C$1)&gt;BK$4,BK$4&gt;=$C$1),'General Inputs'!M$11*$H36,IF(AND(($D36+$C$1)&gt;BK$4,BK$4&gt;=$C$1),'General Inputs'!M$11*$G36,0))</f>
        <v>292.72820637406289</v>
      </c>
      <c r="BL36" s="214">
        <f>IF(AND(($E36+$C$1)&gt;BL$4,BL$4&gt;=$C$1),'General Inputs'!N$11*$H36,IF(AND(($D36+$C$1)&gt;BL$4,BL$4&gt;=$C$1),'General Inputs'!N$11*$G36,0))</f>
        <v>292.72820637406289</v>
      </c>
      <c r="BM36" s="214">
        <f>IF(AND(($E36+$C$1)&gt;BM$4,BM$4&gt;=$C$1),'General Inputs'!O$11*$H36,IF(AND(($D36+$C$1)&gt;BM$4,BM$4&gt;=$C$1),'General Inputs'!O$11*$G36,0))</f>
        <v>292.72820637406289</v>
      </c>
      <c r="BN36" s="214">
        <f>IF(AND(($E36+$C$1)&gt;BN$4,BN$4&gt;=$C$1),'General Inputs'!P$11*$H36,IF(AND(($D36+$C$1)&gt;BN$4,BN$4&gt;=$C$1),'General Inputs'!P$11*$G36,0))</f>
        <v>292.72820637406289</v>
      </c>
      <c r="BO36" s="214">
        <f>IF(AND(($E36+$C$1)&gt;BO$4,BO$4&gt;=$C$1),'General Inputs'!Q$11*$H36,IF(AND(($D36+$C$1)&gt;BO$4,BO$4&gt;=$C$1),'General Inputs'!Q$11*$G36,0))</f>
        <v>292.72820637406289</v>
      </c>
      <c r="BP36" s="214">
        <f>IF(AND(($E36+$C$1)&gt;BP$4,BP$4&gt;=$C$1),'General Inputs'!R$11*$H36,IF(AND(($D36+$C$1)&gt;BP$4,BP$4&gt;=$C$1),'General Inputs'!R$11*$G36,0))</f>
        <v>292.72820637406289</v>
      </c>
      <c r="BQ36" s="214">
        <f>IF(AND(($E36+$C$1)&gt;BQ$4,BQ$4&gt;=$C$1),'General Inputs'!S$11*$H36,IF(AND(($D36+$C$1)&gt;BQ$4,BQ$4&gt;=$C$1),'General Inputs'!S$11*$G36,0))</f>
        <v>292.72820637406289</v>
      </c>
      <c r="BR36" s="214">
        <f>IF(AND(($E36+$C$1)&gt;BR$4,BR$4&gt;=$C$1),'General Inputs'!T$11*$H36,IF(AND(($D36+$C$1)&gt;BR$4,BR$4&gt;=$C$1),'General Inputs'!T$11*$G36,0))</f>
        <v>292.72820637406289</v>
      </c>
      <c r="BS36" s="214">
        <f>IF(AND(($E36+$C$1)&gt;BS$4,BS$4&gt;=$C$1),'General Inputs'!U$11*$H36,IF(AND(($D36+$C$1)&gt;BS$4,BS$4&gt;=$C$1),'General Inputs'!U$11*$G36,0))</f>
        <v>0</v>
      </c>
      <c r="BT36" s="214">
        <f>IF(AND(($E36+$C$1)&gt;BT$4,BT$4&gt;=$C$1),'General Inputs'!V$11*$H36,IF(AND(($D36+$C$1)&gt;BT$4,BT$4&gt;=$C$1),'General Inputs'!V$11*$G36,0))</f>
        <v>0</v>
      </c>
      <c r="BU36" s="214">
        <f>IF(AND(($E36+$C$1)&gt;BU$4,BU$4&gt;=$C$1),'General Inputs'!W$11*$H36,IF(AND(($D36+$C$1)&gt;BU$4,BU$4&gt;=$C$1),'General Inputs'!W$11*$G36,0))</f>
        <v>0</v>
      </c>
      <c r="BW36" s="214">
        <f>IF(AND(($E36+$C$1)&gt;BW$4,BW$4&gt;=$C$1),$H36,IF(AND(($D36+$C$1)&gt;BW$4,BW$4&gt;=$C$1),$G36,0))*IF($A36="Residential",'General Inputs'!D$14,'General Inputs'!D$19)</f>
        <v>0</v>
      </c>
      <c r="BX36" s="214">
        <f>IF(AND(($E36+$C$1)&gt;BX$4,BX$4&gt;=$C$1),$H36,IF(AND(($D36+$C$1)&gt;BX$4,BX$4&gt;=$C$1),$G36,0))*IF($A36="Residential",'General Inputs'!E$14,'General Inputs'!E$19)</f>
        <v>0</v>
      </c>
      <c r="BY36" s="214">
        <f>IF(AND(($E36+$C$1)&gt;BY$4,BY$4&gt;=$C$1),$H36,IF(AND(($D36+$C$1)&gt;BY$4,BY$4&gt;=$C$1),$G36,0))*IF($A36="Residential",'General Inputs'!F$14,'General Inputs'!F$19)</f>
        <v>3550.9336824260608</v>
      </c>
      <c r="BZ36" s="214">
        <f>IF(AND(($E36+$C$1)&gt;BZ$4,BZ$4&gt;=$C$1),$H36,IF(AND(($D36+$C$1)&gt;BZ$4,BZ$4&gt;=$C$1),$G36,0))*IF($A36="Residential",'General Inputs'!G$14,'General Inputs'!G$19)</f>
        <v>3604.1976876624508</v>
      </c>
      <c r="CA36" s="214">
        <f>IF(AND(($E36+$C$1)&gt;CA$4,CA$4&gt;=$C$1),$H36,IF(AND(($D36+$C$1)&gt;CA$4,CA$4&gt;=$C$1),$G36,0))*IF($A36="Residential",'General Inputs'!H$14,'General Inputs'!H$19)</f>
        <v>3658.2606529773875</v>
      </c>
      <c r="CB36" s="214">
        <f>IF(AND(($E36+$C$1)&gt;CB$4,CB$4&gt;=$C$1),$H36,IF(AND(($D36+$C$1)&gt;CB$4,CB$4&gt;=$C$1),$G36,0))*IF($A36="Residential",'General Inputs'!I$14,'General Inputs'!I$19)</f>
        <v>3713.134562772048</v>
      </c>
      <c r="CC36" s="214">
        <f>IF(AND(($E36+$C$1)&gt;CC$4,CC$4&gt;=$C$1),$H36,IF(AND(($D36+$C$1)&gt;CC$4,CC$4&gt;=$C$1),$G36,0))*IF($A36="Residential",'General Inputs'!J$14,'General Inputs'!J$19)</f>
        <v>3768.8315812136279</v>
      </c>
      <c r="CD36" s="214">
        <f>IF(AND(($E36+$C$1)&gt;CD$4,CD$4&gt;=$C$1),$H36,IF(AND(($D36+$C$1)&gt;CD$4,CD$4&gt;=$C$1),$G36,0))*IF($A36="Residential",'General Inputs'!K$14,'General Inputs'!K$19)</f>
        <v>3825.364054931832</v>
      </c>
      <c r="CE36" s="214">
        <f>IF(AND(($E36+$C$1)&gt;CE$4,CE$4&gt;=$C$1),$H36,IF(AND(($D36+$C$1)&gt;CE$4,CE$4&gt;=$C$1),$G36,0))*IF($A36="Residential",'General Inputs'!L$14,'General Inputs'!L$19)</f>
        <v>3882.7445157558086</v>
      </c>
      <c r="CF36" s="214">
        <f>IF(AND(($E36+$C$1)&gt;CF$4,CF$4&gt;=$C$1),$H36,IF(AND(($D36+$C$1)&gt;CF$4,CF$4&gt;=$C$1),$G36,0))*IF($A36="Residential",'General Inputs'!M$14,'General Inputs'!M$19)</f>
        <v>3940.9856834921457</v>
      </c>
      <c r="CG36" s="214">
        <f>IF(AND(($E36+$C$1)&gt;CG$4,CG$4&gt;=$C$1),$H36,IF(AND(($D36+$C$1)&gt;CG$4,CG$4&gt;=$C$1),$G36,0))*IF($A36="Residential",'General Inputs'!N$14,'General Inputs'!N$19)</f>
        <v>4000.1004687445275</v>
      </c>
      <c r="CH36" s="214">
        <f>IF(AND(($E36+$C$1)&gt;CH$4,CH$4&gt;=$C$1),$H36,IF(AND(($D36+$C$1)&gt;CH$4,CH$4&gt;=$C$1),$G36,0))*IF($A36="Residential",'General Inputs'!O$14,'General Inputs'!O$19)</f>
        <v>4060.1019757756949</v>
      </c>
      <c r="CI36" s="214">
        <f>IF(AND(($E36+$C$1)&gt;CI$4,CI$4&gt;=$C$1),$H36,IF(AND(($D36+$C$1)&gt;CI$4,CI$4&gt;=$C$1),$G36,0))*IF($A36="Residential",'General Inputs'!P$14,'General Inputs'!P$19)</f>
        <v>4121.00350541233</v>
      </c>
      <c r="CJ36" s="214">
        <f>IF(AND(($E36+$C$1)&gt;CJ$4,CJ$4&gt;=$C$1),$H36,IF(AND(($D36+$C$1)&gt;CJ$4,CJ$4&gt;=$C$1),$G36,0))*IF($A36="Residential",'General Inputs'!Q$14,'General Inputs'!Q$19)</f>
        <v>4182.8185579935143</v>
      </c>
      <c r="CK36" s="214">
        <f>IF(AND(($E36+$C$1)&gt;CK$4,CK$4&gt;=$C$1),$H36,IF(AND(($D36+$C$1)&gt;CK$4,CK$4&gt;=$C$1),$G36,0))*IF($A36="Residential",'General Inputs'!R$14,'General Inputs'!R$19)</f>
        <v>4245.5608363634165</v>
      </c>
      <c r="CL36" s="214">
        <f>IF(AND(($E36+$C$1)&gt;CL$4,CL$4&gt;=$C$1),$H36,IF(AND(($D36+$C$1)&gt;CL$4,CL$4&gt;=$C$1),$G36,0))*IF($A36="Residential",'General Inputs'!S$14,'General Inputs'!S$19)</f>
        <v>4309.2442489088671</v>
      </c>
      <c r="CM36" s="214">
        <f>IF(AND(($E36+$C$1)&gt;CM$4,CM$4&gt;=$C$1),$H36,IF(AND(($D36+$C$1)&gt;CM$4,CM$4&gt;=$C$1),$G36,0))*IF($A36="Residential",'General Inputs'!T$14,'General Inputs'!T$19)</f>
        <v>4373.8829126424998</v>
      </c>
      <c r="CN36" s="214">
        <f>IF(AND(($E36+$C$1)&gt;CN$4,CN$4&gt;=$C$1),$H36,IF(AND(($D36+$C$1)&gt;CN$4,CN$4&gt;=$C$1),$G36,0))*IF($A36="Residential",'General Inputs'!U$14,'General Inputs'!U$19)</f>
        <v>0</v>
      </c>
      <c r="CO36" s="214">
        <f>IF(AND(($E36+$C$1)&gt;CO$4,CO$4&gt;=$C$1),$H36,IF(AND(($D36+$C$1)&gt;CO$4,CO$4&gt;=$C$1),$G36,0))*IF($A36="Residential",'General Inputs'!V$14,'General Inputs'!V$19)</f>
        <v>0</v>
      </c>
      <c r="CP36" s="214">
        <f>IF(AND(($E36+$C$1)&gt;CP$4,CP$4&gt;=$C$1),$H36,IF(AND(($D36+$C$1)&gt;CP$4,CP$4&gt;=$C$1),$G36,0))*IF($A36="Residential",'General Inputs'!W$14,'General Inputs'!W$19)</f>
        <v>0</v>
      </c>
      <c r="CR36" s="214">
        <f>IF(AND(($E36+$C$1)&gt;CR$4,CR$4&gt;=$C$1),$H36,IF(AND(($D36+$C$1)&gt;CR$4,CR$4&gt;=$C$1),$G36,0))*IF($A36="Residential",'General Inputs'!D$15,'General Inputs'!D$19)</f>
        <v>0</v>
      </c>
      <c r="CS36" s="214">
        <f>IF(AND(($E36+$C$1)&gt;CS$4,CS$4&gt;=$C$1),$H36,IF(AND(($D36+$C$1)&gt;CS$4,CS$4&gt;=$C$1),$G36,0))*IF($A36="Residential",'General Inputs'!E$15,'General Inputs'!E$19)</f>
        <v>0</v>
      </c>
      <c r="CT36" s="214">
        <f>IF(AND(($E36+$C$1)&gt;CT$4,CT$4&gt;=$C$1),$H36,IF(AND(($D36+$C$1)&gt;CT$4,CT$4&gt;=$C$1),$G36,0))*IF($A36="Residential",'General Inputs'!F$15,'General Inputs'!F$19)</f>
        <v>2888.713951751829</v>
      </c>
      <c r="CU36" s="214">
        <f>IF(AND(($E36+$C$1)&gt;CU$4,CU$4&gt;=$C$1),$H36,IF(AND(($D36+$C$1)&gt;CU$4,CU$4&gt;=$C$1),$G36,0))*IF($A36="Residential",'General Inputs'!G$15,'General Inputs'!G$19)</f>
        <v>2932.044661028106</v>
      </c>
      <c r="CV36" s="214">
        <f>IF(AND(($E36+$C$1)&gt;CV$4,CV$4&gt;=$C$1),$H36,IF(AND(($D36+$C$1)&gt;CV$4,CV$4&gt;=$C$1),$G36,0))*IF($A36="Residential",'General Inputs'!H$15,'General Inputs'!H$19)</f>
        <v>2976.0253309435275</v>
      </c>
      <c r="CW36" s="214">
        <f>IF(AND(($E36+$C$1)&gt;CW$4,CW$4&gt;=$C$1),$H36,IF(AND(($D36+$C$1)&gt;CW$4,CW$4&gt;=$C$1),$G36,0))*IF($A36="Residential",'General Inputs'!I$15,'General Inputs'!I$19)</f>
        <v>3020.66571090768</v>
      </c>
      <c r="CX36" s="214">
        <f>IF(AND(($E36+$C$1)&gt;CX$4,CX$4&gt;=$C$1),$H36,IF(AND(($D36+$C$1)&gt;CX$4,CX$4&gt;=$C$1),$G36,0))*IF($A36="Residential",'General Inputs'!J$15,'General Inputs'!J$19)</f>
        <v>3065.975696571295</v>
      </c>
      <c r="CY36" s="214">
        <f>IF(AND(($E36+$C$1)&gt;CY$4,CY$4&gt;=$C$1),$H36,IF(AND(($D36+$C$1)&gt;CY$4,CY$4&gt;=$C$1),$G36,0))*IF($A36="Residential",'General Inputs'!K$15,'General Inputs'!K$19)</f>
        <v>3111.965332019864</v>
      </c>
      <c r="CZ36" s="214">
        <f>IF(AND(($E36+$C$1)&gt;CZ$4,CZ$4&gt;=$C$1),$H36,IF(AND(($D36+$C$1)&gt;CZ$4,CZ$4&gt;=$C$1),$G36,0))*IF($A36="Residential",'General Inputs'!L$15,'General Inputs'!L$19)</f>
        <v>3158.6448120001614</v>
      </c>
      <c r="DA36" s="214">
        <f>IF(AND(($E36+$C$1)&gt;DA$4,DA$4&gt;=$C$1),$H36,IF(AND(($D36+$C$1)&gt;DA$4,DA$4&gt;=$C$1),$G36,0))*IF($A36="Residential",'General Inputs'!M$15,'General Inputs'!M$19)</f>
        <v>3206.0244841801637</v>
      </c>
      <c r="DB36" s="214">
        <f>IF(AND(($E36+$C$1)&gt;DB$4,DB$4&gt;=$C$1),$H36,IF(AND(($D36+$C$1)&gt;DB$4,DB$4&gt;=$C$1),$G36,0))*IF($A36="Residential",'General Inputs'!N$15,'General Inputs'!N$19)</f>
        <v>3254.1148514428655</v>
      </c>
      <c r="DC36" s="214">
        <f>IF(AND(($E36+$C$1)&gt;DC$4,DC$4&gt;=$C$1),$H36,IF(AND(($D36+$C$1)&gt;DC$4,DC$4&gt;=$C$1),$G36,0))*IF($A36="Residential",'General Inputs'!O$15,'General Inputs'!O$19)</f>
        <v>3302.9265742145085</v>
      </c>
      <c r="DD36" s="214">
        <f>IF(AND(($E36+$C$1)&gt;DD$4,DD$4&gt;=$C$1),$H36,IF(AND(($D36+$C$1)&gt;DD$4,DD$4&gt;=$C$1),$G36,0))*IF($A36="Residential",'General Inputs'!P$15,'General Inputs'!P$19)</f>
        <v>3352.4704728277261</v>
      </c>
      <c r="DE36" s="214">
        <f>IF(AND(($E36+$C$1)&gt;DE$4,DE$4&gt;=$C$1),$H36,IF(AND(($D36+$C$1)&gt;DE$4,DE$4&gt;=$C$1),$G36,0))*IF($A36="Residential",'General Inputs'!Q$15,'General Inputs'!Q$19)</f>
        <v>3402.7575299201417</v>
      </c>
      <c r="DF36" s="214">
        <f>IF(AND(($E36+$C$1)&gt;DF$4,DF$4&gt;=$C$1),$H36,IF(AND(($D36+$C$1)&gt;DF$4,DF$4&gt;=$C$1),$G36,0))*IF($A36="Residential",'General Inputs'!R$15,'General Inputs'!R$19)</f>
        <v>3453.7988928689433</v>
      </c>
      <c r="DG36" s="214">
        <f>IF(AND(($E36+$C$1)&gt;DG$4,DG$4&gt;=$C$1),$H36,IF(AND(($D36+$C$1)&gt;DG$4,DG$4&gt;=$C$1),$G36,0))*IF($A36="Residential",'General Inputs'!S$15,'General Inputs'!S$19)</f>
        <v>3505.6058762619768</v>
      </c>
      <c r="DH36" s="214">
        <f>IF(AND(($E36+$C$1)&gt;DH$4,DH$4&gt;=$C$1),$H36,IF(AND(($D36+$C$1)&gt;DH$4,DH$4&gt;=$C$1),$G36,0))*IF($A36="Residential",'General Inputs'!T$15,'General Inputs'!T$19)</f>
        <v>3558.1899644059063</v>
      </c>
      <c r="DI36" s="214">
        <f>IF(AND(($E36+$C$1)&gt;DI$4,DI$4&gt;=$C$1),$H36,IF(AND(($D36+$C$1)&gt;DI$4,DI$4&gt;=$C$1),$G36,0))*IF($A36="Residential",'General Inputs'!U$15,'General Inputs'!U$19)</f>
        <v>0</v>
      </c>
      <c r="DJ36" s="214">
        <f>IF(AND(($E36+$C$1)&gt;DJ$4,DJ$4&gt;=$C$1),$H36,IF(AND(($D36+$C$1)&gt;DJ$4,DJ$4&gt;=$C$1),$G36,0))*IF($A36="Residential",'General Inputs'!V$15,'General Inputs'!V$19)</f>
        <v>0</v>
      </c>
      <c r="DK36" s="214">
        <f>IF(AND(($E36+$C$1)&gt;DK$4,DK$4&gt;=$C$1),$H36,IF(AND(($D36+$C$1)&gt;DK$4,DK$4&gt;=$C$1),$G36,0))*IF($A36="Residential",'General Inputs'!W$15,'General Inputs'!W$19)</f>
        <v>0</v>
      </c>
      <c r="DM36" s="214">
        <f t="shared" ref="DM36:DW43" si="78">IF($C$1=DM$4,$L36*$C36,IF($E36+$C$1=DM$4,-$M36*$C36,0))</f>
        <v>0</v>
      </c>
      <c r="DN36" s="214">
        <f t="shared" si="78"/>
        <v>0</v>
      </c>
      <c r="DO36" s="214">
        <f t="shared" si="78"/>
        <v>0</v>
      </c>
      <c r="DP36" s="214">
        <f t="shared" si="78"/>
        <v>0</v>
      </c>
      <c r="DQ36" s="214">
        <f t="shared" si="78"/>
        <v>0</v>
      </c>
      <c r="DR36" s="214">
        <f t="shared" si="78"/>
        <v>0</v>
      </c>
      <c r="DS36" s="214">
        <f t="shared" si="78"/>
        <v>0</v>
      </c>
      <c r="DT36" s="214">
        <f t="shared" si="78"/>
        <v>0</v>
      </c>
      <c r="DU36" s="214">
        <f t="shared" si="78"/>
        <v>0</v>
      </c>
      <c r="DV36" s="214">
        <f t="shared" si="78"/>
        <v>0</v>
      </c>
      <c r="DW36" s="214">
        <f t="shared" si="78"/>
        <v>0</v>
      </c>
      <c r="DZ36" s="650"/>
      <c r="FI36" s="195"/>
      <c r="FJ36" s="195"/>
      <c r="FK36" s="195"/>
      <c r="FL36" s="195"/>
      <c r="FM36" s="195"/>
      <c r="FN36" s="195"/>
      <c r="FO36" s="195"/>
    </row>
    <row r="37" spans="1:171">
      <c r="A37" s="342" t="s">
        <v>12</v>
      </c>
      <c r="B37" s="427" t="str">
        <f>'Portfolio Inputs'!A36</f>
        <v>CFL</v>
      </c>
      <c r="C37" s="217">
        <f>IF($C$1=2014,'Portfolio Inputs'!$C36,IF($C$1=2015,'Portfolio Inputs'!$D36,'Portfolio Inputs'!$E36))</f>
        <v>140</v>
      </c>
      <c r="D37" s="504">
        <f>VLOOKUP(B37,Sources!$B$4:$J$104,2,FALSE)</f>
        <v>5</v>
      </c>
      <c r="E37" s="504">
        <f>VLOOKUP(B37,Sources!$B$4:$J$104,3,FALSE)</f>
        <v>0</v>
      </c>
      <c r="G37" s="504">
        <f>IF($C$1=2014,'Portfolio Inputs'!$G36,IF($C$1=2015,'Portfolio Inputs'!$H36,'Portfolio Inputs'!$I36))*EnergyLineLoss</f>
        <v>4493.2760724600003</v>
      </c>
      <c r="H37" s="504"/>
      <c r="I37" s="595">
        <f>IF($C$1=2014,'Portfolio Inputs'!$K36,IF($C$1=2015,'Portfolio Inputs'!$L36,'Portfolio Inputs'!$M36))*PeakLineLoss</f>
        <v>0.40821569900999993</v>
      </c>
      <c r="J37" s="510"/>
      <c r="L37" s="606">
        <f>IF($C$1=2014,'Portfolio Inputs'!$O36,IF($C$1=2015,'Portfolio Inputs'!$P36,'Portfolio Inputs'!$Q36))</f>
        <v>0</v>
      </c>
      <c r="M37" s="518">
        <f>VLOOKUP($B37,Sources!$B$4:$K$104,10,FALSE)</f>
        <v>0</v>
      </c>
      <c r="N37" s="419">
        <f>IF($C$1=2014,'Portfolio Inputs'!$W36,IF($C$1=2015,'Portfolio Inputs'!$X36,'Portfolio Inputs'!$Y36))</f>
        <v>0</v>
      </c>
      <c r="O37" s="419"/>
      <c r="Q37" s="438" t="str">
        <f t="shared" si="67"/>
        <v>n/a</v>
      </c>
      <c r="R37" s="439" t="str">
        <f t="shared" si="68"/>
        <v>n/a</v>
      </c>
      <c r="S37" s="439" t="str">
        <f t="shared" si="69"/>
        <v>n/a</v>
      </c>
      <c r="T37" s="439" t="str">
        <f t="shared" si="70"/>
        <v>n/a</v>
      </c>
      <c r="U37" s="439" t="str">
        <f t="shared" si="77"/>
        <v>n/a</v>
      </c>
      <c r="V37" s="439">
        <f t="shared" si="72"/>
        <v>0.30673139843962094</v>
      </c>
      <c r="W37" s="439">
        <f t="shared" si="73"/>
        <v>0.37704766632098535</v>
      </c>
      <c r="Y37" s="215">
        <f t="shared" si="4"/>
        <v>703.01893618679173</v>
      </c>
      <c r="Z37" s="215">
        <f t="shared" si="5"/>
        <v>183.82107641733612</v>
      </c>
      <c r="AA37" s="215">
        <f t="shared" si="6"/>
        <v>2291.9692596295408</v>
      </c>
      <c r="AB37" s="215">
        <f t="shared" si="7"/>
        <v>1864.5359698057459</v>
      </c>
      <c r="AC37" s="216">
        <f t="shared" si="20"/>
        <v>0</v>
      </c>
      <c r="AD37" s="216">
        <f t="shared" si="21"/>
        <v>0</v>
      </c>
      <c r="AE37" s="215">
        <f t="shared" si="8"/>
        <v>0</v>
      </c>
      <c r="AG37" s="214">
        <f>IF(AND(($E37+$C$1)&gt;AG$4,AG$4&gt;=$C$1),'General Inputs'!D$9*$H37,IF(AND(($D37+$C$1)&gt;AG$4,AG$4&gt;=$C$1),'General Inputs'!D$9*$G37,0))+IF(AND(($E37+$C$1)&gt;AG$4,AG$4&gt;=$C$1),'General Inputs'!D$10*$J37,IF(AND(($D37+$C$1)&gt;AG$4,AG$4&gt;=$C$1),'General Inputs'!D$10*$I37,0))</f>
        <v>0</v>
      </c>
      <c r="AH37" s="214">
        <f>IF(AND(($E37+$C$1)&gt;AH$4,AH$4&gt;=$C$1),'General Inputs'!E$9*$H37,IF(AND(($D37+$C$1)&gt;AH$4,AH$4&gt;=$C$1),'General Inputs'!E$9*$G37,0))+IF(AND(($E37+$C$1)&gt;AH$4,AH$4&gt;=$C$1),'General Inputs'!E$10*$J37,IF(AND(($D37+$C$1)&gt;AH$4,AH$4&gt;=$C$1),'General Inputs'!E$10*$I37,0))</f>
        <v>0</v>
      </c>
      <c r="AI37" s="214">
        <f>IF(AND(($E37+$C$1)&gt;AI$4,AI$4&gt;=$C$1),'General Inputs'!F$9*$H37,IF(AND(($D37+$C$1)&gt;AI$4,AI$4&gt;=$C$1),'General Inputs'!F$9*$G37,0))+IF(AND(($E37+$C$1)&gt;AI$4,AI$4&gt;=$C$1),'General Inputs'!F$10*$J37,IF(AND(($D37+$C$1)&gt;AI$4,AI$4&gt;=$C$1),'General Inputs'!F$10*$I37,0))</f>
        <v>190.59178554479175</v>
      </c>
      <c r="AJ37" s="214">
        <f>IF(AND(($E37+$C$1)&gt;AJ$4,AJ$4&gt;=$C$1),'General Inputs'!G$9*$H37,IF(AND(($D37+$C$1)&gt;AJ$4,AJ$4&gt;=$C$1),'General Inputs'!G$9*$G37,0))+IF(AND(($E37+$C$1)&gt;AJ$4,AJ$4&gt;=$C$1),'General Inputs'!G$10*$J37,IF(AND(($D37+$C$1)&gt;AJ$4,AJ$4&gt;=$C$1),'General Inputs'!G$10*$I37,0))</f>
        <v>193.45066232796358</v>
      </c>
      <c r="AK37" s="214">
        <f>IF(AND(($E37+$C$1)&gt;AK$4,AK$4&gt;=$C$1),'General Inputs'!H$9*$H37,IF(AND(($D37+$C$1)&gt;AK$4,AK$4&gt;=$C$1),'General Inputs'!H$9*$G37,0))+IF(AND(($E37+$C$1)&gt;AK$4,AK$4&gt;=$C$1),'General Inputs'!H$10*$J37,IF(AND(($D37+$C$1)&gt;AK$4,AK$4&gt;=$C$1),'General Inputs'!H$10*$I37,0))</f>
        <v>196.35242226288304</v>
      </c>
      <c r="AL37" s="214">
        <f>IF(AND(($E37+$C$1)&gt;AL$4,AL$4&gt;=$C$1),'General Inputs'!I$9*$H37,IF(AND(($D37+$C$1)&gt;AL$4,AL$4&gt;=$C$1),'General Inputs'!I$9*$G37,0))+IF(AND(($E37+$C$1)&gt;AL$4,AL$4&gt;=$C$1),'General Inputs'!I$10*$J37,IF(AND(($D37+$C$1)&gt;AL$4,AL$4&gt;=$C$1),'General Inputs'!I$10*$I37,0))</f>
        <v>199.29770859682623</v>
      </c>
      <c r="AM37" s="214">
        <f>IF(AND(($E37+$C$1)&gt;AM$4,AM$4&gt;=$C$1),'General Inputs'!J$9*$H37,IF(AND(($D37+$C$1)&gt;AM$4,AM$4&gt;=$C$1),'General Inputs'!J$9*$G37,0))+IF(AND(($E37+$C$1)&gt;AM$4,AM$4&gt;=$C$1),'General Inputs'!J$10*$J37,IF(AND(($D37+$C$1)&gt;AM$4,AM$4&gt;=$C$1),'General Inputs'!J$10*$I37,0))</f>
        <v>202.28717422577861</v>
      </c>
      <c r="AN37" s="214">
        <f>IF(AND(($E37+$C$1)&gt;AN$4,AN$4&gt;=$C$1),'General Inputs'!K$9*$H37,IF(AND(($D37+$C$1)&gt;AN$4,AN$4&gt;=$C$1),'General Inputs'!K$9*$G37,0))+IF(AND(($E37+$C$1)&gt;AN$4,AN$4&gt;=$C$1),'General Inputs'!K$10*$J37,IF(AND(($D37+$C$1)&gt;AN$4,AN$4&gt;=$C$1),'General Inputs'!K$10*$I37,0))</f>
        <v>0</v>
      </c>
      <c r="AO37" s="214">
        <f>IF(AND(($E37+$C$1)&gt;AO$4,AO$4&gt;=$C$1),'General Inputs'!L$9*$H37,IF(AND(($D37+$C$1)&gt;AO$4,AO$4&gt;=$C$1),'General Inputs'!L$9*$G37,0))+IF(AND(($E37+$C$1)&gt;AO$4,AO$4&gt;=$C$1),'General Inputs'!L$10*$J37,IF(AND(($D37+$C$1)&gt;AO$4,AO$4&gt;=$C$1),'General Inputs'!L$10*$I37,0))</f>
        <v>0</v>
      </c>
      <c r="AP37" s="214">
        <f>IF(AND(($E37+$C$1)&gt;AP$4,AP$4&gt;=$C$1),'General Inputs'!M$9*$H37,IF(AND(($D37+$C$1)&gt;AP$4,AP$4&gt;=$C$1),'General Inputs'!M$9*$G37,0))+IF(AND(($E37+$C$1)&gt;AP$4,AP$4&gt;=$C$1),'General Inputs'!M$10*$J37,IF(AND(($D37+$C$1)&gt;AP$4,AP$4&gt;=$C$1),'General Inputs'!M$10*$I37,0))</f>
        <v>0</v>
      </c>
      <c r="AQ37" s="214">
        <f>IF(AND(($E37+$C$1)&gt;AQ$4,AQ$4&gt;=$C$1),'General Inputs'!N$9*$H37,IF(AND(($D37+$C$1)&gt;AQ$4,AQ$4&gt;=$C$1),'General Inputs'!N$9*$G37,0))+IF(AND(($E37+$C$1)&gt;AQ$4,AQ$4&gt;=$C$1),'General Inputs'!N$10*$J37,IF(AND(($D37+$C$1)&gt;AQ$4,AQ$4&gt;=$C$1),'General Inputs'!N$10*$I37,0))</f>
        <v>0</v>
      </c>
      <c r="AR37" s="214">
        <f>IF(AND(($E37+$C$1)&gt;AR$4,AR$4&gt;=$C$1),'General Inputs'!O$9*$H37,IF(AND(($D37+$C$1)&gt;AR$4,AR$4&gt;=$C$1),'General Inputs'!O$9*$G37,0))+IF(AND(($E37+$C$1)&gt;AR$4,AR$4&gt;=$C$1),'General Inputs'!O$10*$J37,IF(AND(($D37+$C$1)&gt;AR$4,AR$4&gt;=$C$1),'General Inputs'!O$10*$I37,0))</f>
        <v>0</v>
      </c>
      <c r="AS37" s="214">
        <f>IF(AND(($E37+$C$1)&gt;AS$4,AS$4&gt;=$C$1),'General Inputs'!P$9*$H37,IF(AND(($D37+$C$1)&gt;AS$4,AS$4&gt;=$C$1),'General Inputs'!P$9*$G37,0))+IF(AND(($E37+$C$1)&gt;AS$4,AS$4&gt;=$C$1),'General Inputs'!P$10*$J37,IF(AND(($D37+$C$1)&gt;AS$4,AS$4&gt;=$C$1),'General Inputs'!P$10*$I37,0))</f>
        <v>0</v>
      </c>
      <c r="AT37" s="214">
        <f>IF(AND(($E37+$C$1)&gt;AT$4,AT$4&gt;=$C$1),'General Inputs'!Q$9*$H37,IF(AND(($D37+$C$1)&gt;AT$4,AT$4&gt;=$C$1),'General Inputs'!Q$9*$G37,0))+IF(AND(($E37+$C$1)&gt;AT$4,AT$4&gt;=$C$1),'General Inputs'!Q$10*$J37,IF(AND(($D37+$C$1)&gt;AT$4,AT$4&gt;=$C$1),'General Inputs'!Q$10*$I37,0))</f>
        <v>0</v>
      </c>
      <c r="AU37" s="214">
        <f>IF(AND(($E37+$C$1)&gt;AU$4,AU$4&gt;=$C$1),'General Inputs'!R$9*$H37,IF(AND(($D37+$C$1)&gt;AU$4,AU$4&gt;=$C$1),'General Inputs'!R$9*$G37,0))+IF(AND(($E37+$C$1)&gt;AU$4,AU$4&gt;=$C$1),'General Inputs'!R$10*$J37,IF(AND(($D37+$C$1)&gt;AU$4,AU$4&gt;=$C$1),'General Inputs'!R$10*$I37,0))</f>
        <v>0</v>
      </c>
      <c r="AV37" s="214">
        <f>IF(AND(($E37+$C$1)&gt;AV$4,AV$4&gt;=$C$1),'General Inputs'!S$9*$H37,IF(AND(($D37+$C$1)&gt;AV$4,AV$4&gt;=$C$1),'General Inputs'!S$9*$G37,0))+IF(AND(($E37+$C$1)&gt;AV$4,AV$4&gt;=$C$1),'General Inputs'!S$10*$J37,IF(AND(($D37+$C$1)&gt;AV$4,AV$4&gt;=$C$1),'General Inputs'!S$10*$I37,0))</f>
        <v>0</v>
      </c>
      <c r="AW37" s="214">
        <f>IF(AND(($E37+$C$1)&gt;AW$4,AW$4&gt;=$C$1),'General Inputs'!T$9*$H37,IF(AND(($D37+$C$1)&gt;AW$4,AW$4&gt;=$C$1),'General Inputs'!T$9*$G37,0))+IF(AND(($E37+$C$1)&gt;AW$4,AW$4&gt;=$C$1),'General Inputs'!T$10*$J37,IF(AND(($D37+$C$1)&gt;AW$4,AW$4&gt;=$C$1),'General Inputs'!T$10*$I37,0))</f>
        <v>0</v>
      </c>
      <c r="AX37" s="214">
        <f>IF(AND(($E37+$C$1)&gt;AX$4,AX$4&gt;=$C$1),'General Inputs'!U$9*$H37,IF(AND(($D37+$C$1)&gt;AX$4,AX$4&gt;=$C$1),'General Inputs'!U$9*$G37,0))+IF(AND(($E37+$C$1)&gt;AX$4,AX$4&gt;=$C$1),'General Inputs'!U$10*$J37,IF(AND(($D37+$C$1)&gt;AX$4,AX$4&gt;=$C$1),'General Inputs'!U$10*$I37,0))</f>
        <v>0</v>
      </c>
      <c r="AY37" s="214">
        <f>IF(AND(($E37+$C$1)&gt;AY$4,AY$4&gt;=$C$1),'General Inputs'!V$9*$H37,IF(AND(($D37+$C$1)&gt;AY$4,AY$4&gt;=$C$1),'General Inputs'!V$9*$G37,0))+IF(AND(($E37+$C$1)&gt;AY$4,AY$4&gt;=$C$1),'General Inputs'!V$10*$J37,IF(AND(($D37+$C$1)&gt;AY$4,AY$4&gt;=$C$1),'General Inputs'!V$10*$I37,0))</f>
        <v>0</v>
      </c>
      <c r="AZ37" s="214">
        <f>IF(AND(($E37+$C$1)&gt;AZ$4,AZ$4&gt;=$C$1),'General Inputs'!W$9*$H37,IF(AND(($D37+$C$1)&gt;AZ$4,AZ$4&gt;=$C$1),'General Inputs'!W$9*$G37,0))+IF(AND(($E37+$C$1)&gt;AZ$4,AZ$4&gt;=$C$1),'General Inputs'!W$10*$J37,IF(AND(($D37+$C$1)&gt;AZ$4,AZ$4&gt;=$C$1),'General Inputs'!W$10*$I37,0))</f>
        <v>0</v>
      </c>
      <c r="BB37" s="214">
        <f>IF(AND(($E37+$C$1)&gt;BB$4,BB$4&gt;=$C$1),'General Inputs'!D$11*$H37,IF(AND(($D37+$C$1)&gt;BB$4,BB$4&gt;=$C$1),'General Inputs'!D$11*$G37,0))</f>
        <v>0</v>
      </c>
      <c r="BC37" s="214">
        <f>IF(AND(($E37+$C$1)&gt;BC$4,BC$4&gt;=$C$1),'General Inputs'!E$11*$H37,IF(AND(($D37+$C$1)&gt;BC$4,BC$4&gt;=$C$1),'General Inputs'!E$11*$G37,0))</f>
        <v>0</v>
      </c>
      <c r="BD37" s="214">
        <f>IF(AND(($E37+$C$1)&gt;BD$4,BD$4&gt;=$C$1),'General Inputs'!F$11*$H37,IF(AND(($D37+$C$1)&gt;BD$4,BD$4&gt;=$C$1),'General Inputs'!F$11*$G37,0))</f>
        <v>51.223347226044005</v>
      </c>
      <c r="BE37" s="214">
        <f>IF(AND(($E37+$C$1)&gt;BE$4,BE$4&gt;=$C$1),'General Inputs'!G$11*$H37,IF(AND(($D37+$C$1)&gt;BE$4,BE$4&gt;=$C$1),'General Inputs'!G$11*$G37,0))</f>
        <v>51.223347226044005</v>
      </c>
      <c r="BF37" s="214">
        <f>IF(AND(($E37+$C$1)&gt;BF$4,BF$4&gt;=$C$1),'General Inputs'!H$11*$H37,IF(AND(($D37+$C$1)&gt;BF$4,BF$4&gt;=$C$1),'General Inputs'!H$11*$G37,0))</f>
        <v>51.223347226044005</v>
      </c>
      <c r="BG37" s="214">
        <f>IF(AND(($E37+$C$1)&gt;BG$4,BG$4&gt;=$C$1),'General Inputs'!I$11*$H37,IF(AND(($D37+$C$1)&gt;BG$4,BG$4&gt;=$C$1),'General Inputs'!I$11*$G37,0))</f>
        <v>51.223347226044005</v>
      </c>
      <c r="BH37" s="214">
        <f>IF(AND(($E37+$C$1)&gt;BH$4,BH$4&gt;=$C$1),'General Inputs'!J$11*$H37,IF(AND(($D37+$C$1)&gt;BH$4,BH$4&gt;=$C$1),'General Inputs'!J$11*$G37,0))</f>
        <v>51.223347226044005</v>
      </c>
      <c r="BI37" s="214">
        <f>IF(AND(($E37+$C$1)&gt;BI$4,BI$4&gt;=$C$1),'General Inputs'!K$11*$H37,IF(AND(($D37+$C$1)&gt;BI$4,BI$4&gt;=$C$1),'General Inputs'!K$11*$G37,0))</f>
        <v>0</v>
      </c>
      <c r="BJ37" s="214">
        <f>IF(AND(($E37+$C$1)&gt;BJ$4,BJ$4&gt;=$C$1),'General Inputs'!L$11*$H37,IF(AND(($D37+$C$1)&gt;BJ$4,BJ$4&gt;=$C$1),'General Inputs'!L$11*$G37,0))</f>
        <v>0</v>
      </c>
      <c r="BK37" s="214">
        <f>IF(AND(($E37+$C$1)&gt;BK$4,BK$4&gt;=$C$1),'General Inputs'!M$11*$H37,IF(AND(($D37+$C$1)&gt;BK$4,BK$4&gt;=$C$1),'General Inputs'!M$11*$G37,0))</f>
        <v>0</v>
      </c>
      <c r="BL37" s="214">
        <f>IF(AND(($E37+$C$1)&gt;BL$4,BL$4&gt;=$C$1),'General Inputs'!N$11*$H37,IF(AND(($D37+$C$1)&gt;BL$4,BL$4&gt;=$C$1),'General Inputs'!N$11*$G37,0))</f>
        <v>0</v>
      </c>
      <c r="BM37" s="214">
        <f>IF(AND(($E37+$C$1)&gt;BM$4,BM$4&gt;=$C$1),'General Inputs'!O$11*$H37,IF(AND(($D37+$C$1)&gt;BM$4,BM$4&gt;=$C$1),'General Inputs'!O$11*$G37,0))</f>
        <v>0</v>
      </c>
      <c r="BN37" s="214">
        <f>IF(AND(($E37+$C$1)&gt;BN$4,BN$4&gt;=$C$1),'General Inputs'!P$11*$H37,IF(AND(($D37+$C$1)&gt;BN$4,BN$4&gt;=$C$1),'General Inputs'!P$11*$G37,0))</f>
        <v>0</v>
      </c>
      <c r="BO37" s="214">
        <f>IF(AND(($E37+$C$1)&gt;BO$4,BO$4&gt;=$C$1),'General Inputs'!Q$11*$H37,IF(AND(($D37+$C$1)&gt;BO$4,BO$4&gt;=$C$1),'General Inputs'!Q$11*$G37,0))</f>
        <v>0</v>
      </c>
      <c r="BP37" s="214">
        <f>IF(AND(($E37+$C$1)&gt;BP$4,BP$4&gt;=$C$1),'General Inputs'!R$11*$H37,IF(AND(($D37+$C$1)&gt;BP$4,BP$4&gt;=$C$1),'General Inputs'!R$11*$G37,0))</f>
        <v>0</v>
      </c>
      <c r="BQ37" s="214">
        <f>IF(AND(($E37+$C$1)&gt;BQ$4,BQ$4&gt;=$C$1),'General Inputs'!S$11*$H37,IF(AND(($D37+$C$1)&gt;BQ$4,BQ$4&gt;=$C$1),'General Inputs'!S$11*$G37,0))</f>
        <v>0</v>
      </c>
      <c r="BR37" s="214">
        <f>IF(AND(($E37+$C$1)&gt;BR$4,BR$4&gt;=$C$1),'General Inputs'!T$11*$H37,IF(AND(($D37+$C$1)&gt;BR$4,BR$4&gt;=$C$1),'General Inputs'!T$11*$G37,0))</f>
        <v>0</v>
      </c>
      <c r="BS37" s="214">
        <f>IF(AND(($E37+$C$1)&gt;BS$4,BS$4&gt;=$C$1),'General Inputs'!U$11*$H37,IF(AND(($D37+$C$1)&gt;BS$4,BS$4&gt;=$C$1),'General Inputs'!U$11*$G37,0))</f>
        <v>0</v>
      </c>
      <c r="BT37" s="214">
        <f>IF(AND(($E37+$C$1)&gt;BT$4,BT$4&gt;=$C$1),'General Inputs'!V$11*$H37,IF(AND(($D37+$C$1)&gt;BT$4,BT$4&gt;=$C$1),'General Inputs'!V$11*$G37,0))</f>
        <v>0</v>
      </c>
      <c r="BU37" s="214">
        <f>IF(AND(($E37+$C$1)&gt;BU$4,BU$4&gt;=$C$1),'General Inputs'!W$11*$H37,IF(AND(($D37+$C$1)&gt;BU$4,BU$4&gt;=$C$1),'General Inputs'!W$11*$G37,0))</f>
        <v>0</v>
      </c>
      <c r="BW37" s="214">
        <f>IF(AND(($E37+$C$1)&gt;BW$4,BW$4&gt;=$C$1),$H37,IF(AND(($D37+$C$1)&gt;BW$4,BW$4&gt;=$C$1),$G37,0))*IF($A37="Residential",'General Inputs'!D$14,'General Inputs'!D$19)</f>
        <v>0</v>
      </c>
      <c r="BX37" s="214">
        <f>IF(AND(($E37+$C$1)&gt;BX$4,BX$4&gt;=$C$1),$H37,IF(AND(($D37+$C$1)&gt;BX$4,BX$4&gt;=$C$1),$G37,0))*IF($A37="Residential",'General Inputs'!E$14,'General Inputs'!E$19)</f>
        <v>0</v>
      </c>
      <c r="BY37" s="214">
        <f>IF(AND(($E37+$C$1)&gt;BY$4,BY$4&gt;=$C$1),$H37,IF(AND(($D37+$C$1)&gt;BY$4,BY$4&gt;=$C$1),$G37,0))*IF($A37="Residential",'General Inputs'!F$14,'General Inputs'!F$19)</f>
        <v>621.36379423285246</v>
      </c>
      <c r="BZ37" s="214">
        <f>IF(AND(($E37+$C$1)&gt;BZ$4,BZ$4&gt;=$C$1),$H37,IF(AND(($D37+$C$1)&gt;BZ$4,BZ$4&gt;=$C$1),$G37,0))*IF($A37="Residential",'General Inputs'!G$14,'General Inputs'!G$19)</f>
        <v>630.6842511463451</v>
      </c>
      <c r="CA37" s="214">
        <f>IF(AND(($E37+$C$1)&gt;CA$4,CA$4&gt;=$C$1),$H37,IF(AND(($D37+$C$1)&gt;CA$4,CA$4&gt;=$C$1),$G37,0))*IF($A37="Residential",'General Inputs'!H$14,'General Inputs'!H$19)</f>
        <v>640.14451491354021</v>
      </c>
      <c r="CB37" s="214">
        <f>IF(AND(($E37+$C$1)&gt;CB$4,CB$4&gt;=$C$1),$H37,IF(AND(($D37+$C$1)&gt;CB$4,CB$4&gt;=$C$1),$G37,0))*IF($A37="Residential",'General Inputs'!I$14,'General Inputs'!I$19)</f>
        <v>649.74668263724323</v>
      </c>
      <c r="CC37" s="214">
        <f>IF(AND(($E37+$C$1)&gt;CC$4,CC$4&gt;=$C$1),$H37,IF(AND(($D37+$C$1)&gt;CC$4,CC$4&gt;=$C$1),$G37,0))*IF($A37="Residential",'General Inputs'!J$14,'General Inputs'!J$19)</f>
        <v>659.49288287680179</v>
      </c>
      <c r="CD37" s="214">
        <f>IF(AND(($E37+$C$1)&gt;CD$4,CD$4&gt;=$C$1),$H37,IF(AND(($D37+$C$1)&gt;CD$4,CD$4&gt;=$C$1),$G37,0))*IF($A37="Residential",'General Inputs'!K$14,'General Inputs'!K$19)</f>
        <v>0</v>
      </c>
      <c r="CE37" s="214">
        <f>IF(AND(($E37+$C$1)&gt;CE$4,CE$4&gt;=$C$1),$H37,IF(AND(($D37+$C$1)&gt;CE$4,CE$4&gt;=$C$1),$G37,0))*IF($A37="Residential",'General Inputs'!L$14,'General Inputs'!L$19)</f>
        <v>0</v>
      </c>
      <c r="CF37" s="214">
        <f>IF(AND(($E37+$C$1)&gt;CF$4,CF$4&gt;=$C$1),$H37,IF(AND(($D37+$C$1)&gt;CF$4,CF$4&gt;=$C$1),$G37,0))*IF($A37="Residential",'General Inputs'!M$14,'General Inputs'!M$19)</f>
        <v>0</v>
      </c>
      <c r="CG37" s="214">
        <f>IF(AND(($E37+$C$1)&gt;CG$4,CG$4&gt;=$C$1),$H37,IF(AND(($D37+$C$1)&gt;CG$4,CG$4&gt;=$C$1),$G37,0))*IF($A37="Residential",'General Inputs'!N$14,'General Inputs'!N$19)</f>
        <v>0</v>
      </c>
      <c r="CH37" s="214">
        <f>IF(AND(($E37+$C$1)&gt;CH$4,CH$4&gt;=$C$1),$H37,IF(AND(($D37+$C$1)&gt;CH$4,CH$4&gt;=$C$1),$G37,0))*IF($A37="Residential",'General Inputs'!O$14,'General Inputs'!O$19)</f>
        <v>0</v>
      </c>
      <c r="CI37" s="214">
        <f>IF(AND(($E37+$C$1)&gt;CI$4,CI$4&gt;=$C$1),$H37,IF(AND(($D37+$C$1)&gt;CI$4,CI$4&gt;=$C$1),$G37,0))*IF($A37="Residential",'General Inputs'!P$14,'General Inputs'!P$19)</f>
        <v>0</v>
      </c>
      <c r="CJ37" s="214">
        <f>IF(AND(($E37+$C$1)&gt;CJ$4,CJ$4&gt;=$C$1),$H37,IF(AND(($D37+$C$1)&gt;CJ$4,CJ$4&gt;=$C$1),$G37,0))*IF($A37="Residential",'General Inputs'!Q$14,'General Inputs'!Q$19)</f>
        <v>0</v>
      </c>
      <c r="CK37" s="214">
        <f>IF(AND(($E37+$C$1)&gt;CK$4,CK$4&gt;=$C$1),$H37,IF(AND(($D37+$C$1)&gt;CK$4,CK$4&gt;=$C$1),$G37,0))*IF($A37="Residential",'General Inputs'!R$14,'General Inputs'!R$19)</f>
        <v>0</v>
      </c>
      <c r="CL37" s="214">
        <f>IF(AND(($E37+$C$1)&gt;CL$4,CL$4&gt;=$C$1),$H37,IF(AND(($D37+$C$1)&gt;CL$4,CL$4&gt;=$C$1),$G37,0))*IF($A37="Residential",'General Inputs'!S$14,'General Inputs'!S$19)</f>
        <v>0</v>
      </c>
      <c r="CM37" s="214">
        <f>IF(AND(($E37+$C$1)&gt;CM$4,CM$4&gt;=$C$1),$H37,IF(AND(($D37+$C$1)&gt;CM$4,CM$4&gt;=$C$1),$G37,0))*IF($A37="Residential",'General Inputs'!T$14,'General Inputs'!T$19)</f>
        <v>0</v>
      </c>
      <c r="CN37" s="214">
        <f>IF(AND(($E37+$C$1)&gt;CN$4,CN$4&gt;=$C$1),$H37,IF(AND(($D37+$C$1)&gt;CN$4,CN$4&gt;=$C$1),$G37,0))*IF($A37="Residential",'General Inputs'!U$14,'General Inputs'!U$19)</f>
        <v>0</v>
      </c>
      <c r="CO37" s="214">
        <f>IF(AND(($E37+$C$1)&gt;CO$4,CO$4&gt;=$C$1),$H37,IF(AND(($D37+$C$1)&gt;CO$4,CO$4&gt;=$C$1),$G37,0))*IF($A37="Residential",'General Inputs'!V$14,'General Inputs'!V$19)</f>
        <v>0</v>
      </c>
      <c r="CP37" s="214">
        <f>IF(AND(($E37+$C$1)&gt;CP$4,CP$4&gt;=$C$1),$H37,IF(AND(($D37+$C$1)&gt;CP$4,CP$4&gt;=$C$1),$G37,0))*IF($A37="Residential",'General Inputs'!W$14,'General Inputs'!W$19)</f>
        <v>0</v>
      </c>
      <c r="CR37" s="214">
        <f>IF(AND(($E37+$C$1)&gt;CR$4,CR$4&gt;=$C$1),$H37,IF(AND(($D37+$C$1)&gt;CR$4,CR$4&gt;=$C$1),$G37,0))*IF($A37="Residential",'General Inputs'!D$15,'General Inputs'!D$19)</f>
        <v>0</v>
      </c>
      <c r="CS37" s="214">
        <f>IF(AND(($E37+$C$1)&gt;CS$4,CS$4&gt;=$C$1),$H37,IF(AND(($D37+$C$1)&gt;CS$4,CS$4&gt;=$C$1),$G37,0))*IF($A37="Residential",'General Inputs'!E$15,'General Inputs'!E$19)</f>
        <v>0</v>
      </c>
      <c r="CT37" s="214">
        <f>IF(AND(($E37+$C$1)&gt;CT$4,CT$4&gt;=$C$1),$H37,IF(AND(($D37+$C$1)&gt;CT$4,CT$4&gt;=$C$1),$G37,0))*IF($A37="Residential",'General Inputs'!F$15,'General Inputs'!F$19)</f>
        <v>505.48459138993474</v>
      </c>
      <c r="CU37" s="214">
        <f>IF(AND(($E37+$C$1)&gt;CU$4,CU$4&gt;=$C$1),$H37,IF(AND(($D37+$C$1)&gt;CU$4,CU$4&gt;=$C$1),$G37,0))*IF($A37="Residential",'General Inputs'!G$15,'General Inputs'!G$19)</f>
        <v>513.06686026078364</v>
      </c>
      <c r="CV37" s="214">
        <f>IF(AND(($E37+$C$1)&gt;CV$4,CV$4&gt;=$C$1),$H37,IF(AND(($D37+$C$1)&gt;CV$4,CV$4&gt;=$C$1),$G37,0))*IF($A37="Residential",'General Inputs'!H$15,'General Inputs'!H$19)</f>
        <v>520.76286316469543</v>
      </c>
      <c r="CW37" s="214">
        <f>IF(AND(($E37+$C$1)&gt;CW$4,CW$4&gt;=$C$1),$H37,IF(AND(($D37+$C$1)&gt;CW$4,CW$4&gt;=$C$1),$G37,0))*IF($A37="Residential",'General Inputs'!I$15,'General Inputs'!I$19)</f>
        <v>528.5743061121658</v>
      </c>
      <c r="CX37" s="214">
        <f>IF(AND(($E37+$C$1)&gt;CX$4,CX$4&gt;=$C$1),$H37,IF(AND(($D37+$C$1)&gt;CX$4,CX$4&gt;=$C$1),$G37,0))*IF($A37="Residential",'General Inputs'!J$15,'General Inputs'!J$19)</f>
        <v>536.50292070384819</v>
      </c>
      <c r="CY37" s="214">
        <f>IF(AND(($E37+$C$1)&gt;CY$4,CY$4&gt;=$C$1),$H37,IF(AND(($D37+$C$1)&gt;CY$4,CY$4&gt;=$C$1),$G37,0))*IF($A37="Residential",'General Inputs'!K$15,'General Inputs'!K$19)</f>
        <v>0</v>
      </c>
      <c r="CZ37" s="214">
        <f>IF(AND(($E37+$C$1)&gt;CZ$4,CZ$4&gt;=$C$1),$H37,IF(AND(($D37+$C$1)&gt;CZ$4,CZ$4&gt;=$C$1),$G37,0))*IF($A37="Residential",'General Inputs'!L$15,'General Inputs'!L$19)</f>
        <v>0</v>
      </c>
      <c r="DA37" s="214">
        <f>IF(AND(($E37+$C$1)&gt;DA$4,DA$4&gt;=$C$1),$H37,IF(AND(($D37+$C$1)&gt;DA$4,DA$4&gt;=$C$1),$G37,0))*IF($A37="Residential",'General Inputs'!M$15,'General Inputs'!M$19)</f>
        <v>0</v>
      </c>
      <c r="DB37" s="214">
        <f>IF(AND(($E37+$C$1)&gt;DB$4,DB$4&gt;=$C$1),$H37,IF(AND(($D37+$C$1)&gt;DB$4,DB$4&gt;=$C$1),$G37,0))*IF($A37="Residential",'General Inputs'!N$15,'General Inputs'!N$19)</f>
        <v>0</v>
      </c>
      <c r="DC37" s="214">
        <f>IF(AND(($E37+$C$1)&gt;DC$4,DC$4&gt;=$C$1),$H37,IF(AND(($D37+$C$1)&gt;DC$4,DC$4&gt;=$C$1),$G37,0))*IF($A37="Residential",'General Inputs'!O$15,'General Inputs'!O$19)</f>
        <v>0</v>
      </c>
      <c r="DD37" s="214">
        <f>IF(AND(($E37+$C$1)&gt;DD$4,DD$4&gt;=$C$1),$H37,IF(AND(($D37+$C$1)&gt;DD$4,DD$4&gt;=$C$1),$G37,0))*IF($A37="Residential",'General Inputs'!P$15,'General Inputs'!P$19)</f>
        <v>0</v>
      </c>
      <c r="DE37" s="214">
        <f>IF(AND(($E37+$C$1)&gt;DE$4,DE$4&gt;=$C$1),$H37,IF(AND(($D37+$C$1)&gt;DE$4,DE$4&gt;=$C$1),$G37,0))*IF($A37="Residential",'General Inputs'!Q$15,'General Inputs'!Q$19)</f>
        <v>0</v>
      </c>
      <c r="DF37" s="214">
        <f>IF(AND(($E37+$C$1)&gt;DF$4,DF$4&gt;=$C$1),$H37,IF(AND(($D37+$C$1)&gt;DF$4,DF$4&gt;=$C$1),$G37,0))*IF($A37="Residential",'General Inputs'!R$15,'General Inputs'!R$19)</f>
        <v>0</v>
      </c>
      <c r="DG37" s="214">
        <f>IF(AND(($E37+$C$1)&gt;DG$4,DG$4&gt;=$C$1),$H37,IF(AND(($D37+$C$1)&gt;DG$4,DG$4&gt;=$C$1),$G37,0))*IF($A37="Residential",'General Inputs'!S$15,'General Inputs'!S$19)</f>
        <v>0</v>
      </c>
      <c r="DH37" s="214">
        <f>IF(AND(($E37+$C$1)&gt;DH$4,DH$4&gt;=$C$1),$H37,IF(AND(($D37+$C$1)&gt;DH$4,DH$4&gt;=$C$1),$G37,0))*IF($A37="Residential",'General Inputs'!T$15,'General Inputs'!T$19)</f>
        <v>0</v>
      </c>
      <c r="DI37" s="214">
        <f>IF(AND(($E37+$C$1)&gt;DI$4,DI$4&gt;=$C$1),$H37,IF(AND(($D37+$C$1)&gt;DI$4,DI$4&gt;=$C$1),$G37,0))*IF($A37="Residential",'General Inputs'!U$15,'General Inputs'!U$19)</f>
        <v>0</v>
      </c>
      <c r="DJ37" s="214">
        <f>IF(AND(($E37+$C$1)&gt;DJ$4,DJ$4&gt;=$C$1),$H37,IF(AND(($D37+$C$1)&gt;DJ$4,DJ$4&gt;=$C$1),$G37,0))*IF($A37="Residential",'General Inputs'!V$15,'General Inputs'!V$19)</f>
        <v>0</v>
      </c>
      <c r="DK37" s="214">
        <f>IF(AND(($E37+$C$1)&gt;DK$4,DK$4&gt;=$C$1),$H37,IF(AND(($D37+$C$1)&gt;DK$4,DK$4&gt;=$C$1),$G37,0))*IF($A37="Residential",'General Inputs'!W$15,'General Inputs'!W$19)</f>
        <v>0</v>
      </c>
      <c r="DM37" s="214">
        <f t="shared" si="78"/>
        <v>0</v>
      </c>
      <c r="DN37" s="214">
        <f t="shared" si="78"/>
        <v>0</v>
      </c>
      <c r="DO37" s="214">
        <f t="shared" si="78"/>
        <v>0</v>
      </c>
      <c r="DP37" s="214">
        <f t="shared" si="78"/>
        <v>0</v>
      </c>
      <c r="DQ37" s="214">
        <f t="shared" si="78"/>
        <v>0</v>
      </c>
      <c r="DR37" s="214">
        <f t="shared" si="78"/>
        <v>0</v>
      </c>
      <c r="DS37" s="214">
        <f t="shared" si="78"/>
        <v>0</v>
      </c>
      <c r="DT37" s="214">
        <f t="shared" si="78"/>
        <v>0</v>
      </c>
      <c r="DU37" s="214">
        <f t="shared" si="78"/>
        <v>0</v>
      </c>
      <c r="DV37" s="214">
        <f t="shared" si="78"/>
        <v>0</v>
      </c>
      <c r="DW37" s="214">
        <f t="shared" si="78"/>
        <v>0</v>
      </c>
      <c r="DZ37" s="650"/>
      <c r="FI37" s="195"/>
      <c r="FJ37" s="195"/>
      <c r="FK37" s="195"/>
      <c r="FL37" s="195"/>
      <c r="FM37" s="195"/>
      <c r="FN37" s="195"/>
      <c r="FO37" s="195"/>
    </row>
    <row r="38" spans="1:171">
      <c r="A38" s="342" t="s">
        <v>12</v>
      </c>
      <c r="B38" s="427" t="str">
        <f>'Portfolio Inputs'!A37</f>
        <v>Water Heater Tank Wrap</v>
      </c>
      <c r="C38" s="217">
        <f>IF($C$1=2014,'Portfolio Inputs'!$C37,IF($C$1=2015,'Portfolio Inputs'!$D37,'Portfolio Inputs'!$E37))</f>
        <v>35</v>
      </c>
      <c r="D38" s="504">
        <f>VLOOKUP(B38,Sources!$B$4:$J$104,2,FALSE)</f>
        <v>5</v>
      </c>
      <c r="E38" s="504">
        <f>VLOOKUP(B38,Sources!$B$4:$J$104,3,FALSE)</f>
        <v>0</v>
      </c>
      <c r="G38" s="504">
        <f>IF($C$1=2014,'Portfolio Inputs'!$G37,IF($C$1=2015,'Portfolio Inputs'!$H37,'Portfolio Inputs'!$I37))*EnergyLineLoss</f>
        <v>2894.9549999999999</v>
      </c>
      <c r="H38" s="504"/>
      <c r="I38" s="595">
        <f>IF($C$1=2014,'Portfolio Inputs'!$K37,IF($C$1=2015,'Portfolio Inputs'!$L37,'Portfolio Inputs'!$M37))*PeakLineLoss</f>
        <v>0.32980499999999996</v>
      </c>
      <c r="J38" s="510"/>
      <c r="L38" s="606">
        <f>IF($C$1=2014,'Portfolio Inputs'!$O37,IF($C$1=2015,'Portfolio Inputs'!$P37,'Portfolio Inputs'!$Q37))</f>
        <v>0</v>
      </c>
      <c r="M38" s="518">
        <f>VLOOKUP($B38,Sources!$B$4:$K$104,10,FALSE)</f>
        <v>0</v>
      </c>
      <c r="N38" s="419">
        <f>IF($C$1=2014,'Portfolio Inputs'!$W37,IF($C$1=2015,'Portfolio Inputs'!$X37,'Portfolio Inputs'!$Y37))</f>
        <v>0</v>
      </c>
      <c r="O38" s="419"/>
      <c r="Q38" s="438" t="str">
        <f t="shared" si="67"/>
        <v>n/a</v>
      </c>
      <c r="R38" s="439" t="str">
        <f t="shared" si="68"/>
        <v>n/a</v>
      </c>
      <c r="S38" s="439" t="str">
        <f t="shared" si="69"/>
        <v>n/a</v>
      </c>
      <c r="T38" s="439" t="str">
        <f t="shared" si="70"/>
        <v>n/a</v>
      </c>
      <c r="U38" s="439" t="str">
        <f t="shared" si="77"/>
        <v>n/a</v>
      </c>
      <c r="V38" s="439">
        <f t="shared" si="72"/>
        <v>0.30930538080626296</v>
      </c>
      <c r="W38" s="439">
        <f t="shared" si="73"/>
        <v>0.38021171815731775</v>
      </c>
      <c r="Y38" s="215">
        <f t="shared" si="4"/>
        <v>456.74623702730986</v>
      </c>
      <c r="Z38" s="215">
        <f t="shared" si="5"/>
        <v>118.43335145628014</v>
      </c>
      <c r="AA38" s="215">
        <f t="shared" si="6"/>
        <v>1476.6837739347257</v>
      </c>
      <c r="AB38" s="215">
        <f t="shared" si="7"/>
        <v>1201.2944767744505</v>
      </c>
      <c r="AC38" s="216">
        <f t="shared" si="20"/>
        <v>0</v>
      </c>
      <c r="AD38" s="216">
        <f t="shared" si="21"/>
        <v>0</v>
      </c>
      <c r="AE38" s="215">
        <f t="shared" si="8"/>
        <v>0</v>
      </c>
      <c r="AG38" s="214">
        <f>IF(AND(($E38+$C$1)&gt;AG$4,AG$4&gt;=$C$1),'General Inputs'!D$9*$H38,IF(AND(($D38+$C$1)&gt;AG$4,AG$4&gt;=$C$1),'General Inputs'!D$9*$G38,0))+IF(AND(($E38+$C$1)&gt;AG$4,AG$4&gt;=$C$1),'General Inputs'!D$10*$J38,IF(AND(($D38+$C$1)&gt;AG$4,AG$4&gt;=$C$1),'General Inputs'!D$10*$I38,0))</f>
        <v>0</v>
      </c>
      <c r="AH38" s="214">
        <f>IF(AND(($E38+$C$1)&gt;AH$4,AH$4&gt;=$C$1),'General Inputs'!E$9*$H38,IF(AND(($D38+$C$1)&gt;AH$4,AH$4&gt;=$C$1),'General Inputs'!E$9*$G38,0))+IF(AND(($E38+$C$1)&gt;AH$4,AH$4&gt;=$C$1),'General Inputs'!E$10*$J38,IF(AND(($D38+$C$1)&gt;AH$4,AH$4&gt;=$C$1),'General Inputs'!E$10*$I38,0))</f>
        <v>0</v>
      </c>
      <c r="AI38" s="214">
        <f>IF(AND(($E38+$C$1)&gt;AI$4,AI$4&gt;=$C$1),'General Inputs'!F$9*$H38,IF(AND(($D38+$C$1)&gt;AI$4,AI$4&gt;=$C$1),'General Inputs'!F$9*$G38,0))+IF(AND(($E38+$C$1)&gt;AI$4,AI$4&gt;=$C$1),'General Inputs'!F$10*$J38,IF(AND(($D38+$C$1)&gt;AI$4,AI$4&gt;=$C$1),'General Inputs'!F$10*$I38,0))</f>
        <v>123.82608259184921</v>
      </c>
      <c r="AJ38" s="214">
        <f>IF(AND(($E38+$C$1)&gt;AJ$4,AJ$4&gt;=$C$1),'General Inputs'!G$9*$H38,IF(AND(($D38+$C$1)&gt;AJ$4,AJ$4&gt;=$C$1),'General Inputs'!G$9*$G38,0))+IF(AND(($E38+$C$1)&gt;AJ$4,AJ$4&gt;=$C$1),'General Inputs'!G$10*$J38,IF(AND(($D38+$C$1)&gt;AJ$4,AJ$4&gt;=$C$1),'General Inputs'!G$10*$I38,0))</f>
        <v>125.68347383072695</v>
      </c>
      <c r="AK38" s="214">
        <f>IF(AND(($E38+$C$1)&gt;AK$4,AK$4&gt;=$C$1),'General Inputs'!H$9*$H38,IF(AND(($D38+$C$1)&gt;AK$4,AK$4&gt;=$C$1),'General Inputs'!H$9*$G38,0))+IF(AND(($E38+$C$1)&gt;AK$4,AK$4&gt;=$C$1),'General Inputs'!H$10*$J38,IF(AND(($D38+$C$1)&gt;AK$4,AK$4&gt;=$C$1),'General Inputs'!H$10*$I38,0))</f>
        <v>127.56872593818782</v>
      </c>
      <c r="AL38" s="214">
        <f>IF(AND(($E38+$C$1)&gt;AL$4,AL$4&gt;=$C$1),'General Inputs'!I$9*$H38,IF(AND(($D38+$C$1)&gt;AL$4,AL$4&gt;=$C$1),'General Inputs'!I$9*$G38,0))+IF(AND(($E38+$C$1)&gt;AL$4,AL$4&gt;=$C$1),'General Inputs'!I$10*$J38,IF(AND(($D38+$C$1)&gt;AL$4,AL$4&gt;=$C$1),'General Inputs'!I$10*$I38,0))</f>
        <v>129.48225682726064</v>
      </c>
      <c r="AM38" s="214">
        <f>IF(AND(($E38+$C$1)&gt;AM$4,AM$4&gt;=$C$1),'General Inputs'!J$9*$H38,IF(AND(($D38+$C$1)&gt;AM$4,AM$4&gt;=$C$1),'General Inputs'!J$9*$G38,0))+IF(AND(($E38+$C$1)&gt;AM$4,AM$4&gt;=$C$1),'General Inputs'!J$10*$J38,IF(AND(($D38+$C$1)&gt;AM$4,AM$4&gt;=$C$1),'General Inputs'!J$10*$I38,0))</f>
        <v>131.42449067966953</v>
      </c>
      <c r="AN38" s="214">
        <f>IF(AND(($E38+$C$1)&gt;AN$4,AN$4&gt;=$C$1),'General Inputs'!K$9*$H38,IF(AND(($D38+$C$1)&gt;AN$4,AN$4&gt;=$C$1),'General Inputs'!K$9*$G38,0))+IF(AND(($E38+$C$1)&gt;AN$4,AN$4&gt;=$C$1),'General Inputs'!K$10*$J38,IF(AND(($D38+$C$1)&gt;AN$4,AN$4&gt;=$C$1),'General Inputs'!K$10*$I38,0))</f>
        <v>0</v>
      </c>
      <c r="AO38" s="214">
        <f>IF(AND(($E38+$C$1)&gt;AO$4,AO$4&gt;=$C$1),'General Inputs'!L$9*$H38,IF(AND(($D38+$C$1)&gt;AO$4,AO$4&gt;=$C$1),'General Inputs'!L$9*$G38,0))+IF(AND(($E38+$C$1)&gt;AO$4,AO$4&gt;=$C$1),'General Inputs'!L$10*$J38,IF(AND(($D38+$C$1)&gt;AO$4,AO$4&gt;=$C$1),'General Inputs'!L$10*$I38,0))</f>
        <v>0</v>
      </c>
      <c r="AP38" s="214">
        <f>IF(AND(($E38+$C$1)&gt;AP$4,AP$4&gt;=$C$1),'General Inputs'!M$9*$H38,IF(AND(($D38+$C$1)&gt;AP$4,AP$4&gt;=$C$1),'General Inputs'!M$9*$G38,0))+IF(AND(($E38+$C$1)&gt;AP$4,AP$4&gt;=$C$1),'General Inputs'!M$10*$J38,IF(AND(($D38+$C$1)&gt;AP$4,AP$4&gt;=$C$1),'General Inputs'!M$10*$I38,0))</f>
        <v>0</v>
      </c>
      <c r="AQ38" s="214">
        <f>IF(AND(($E38+$C$1)&gt;AQ$4,AQ$4&gt;=$C$1),'General Inputs'!N$9*$H38,IF(AND(($D38+$C$1)&gt;AQ$4,AQ$4&gt;=$C$1),'General Inputs'!N$9*$G38,0))+IF(AND(($E38+$C$1)&gt;AQ$4,AQ$4&gt;=$C$1),'General Inputs'!N$10*$J38,IF(AND(($D38+$C$1)&gt;AQ$4,AQ$4&gt;=$C$1),'General Inputs'!N$10*$I38,0))</f>
        <v>0</v>
      </c>
      <c r="AR38" s="214">
        <f>IF(AND(($E38+$C$1)&gt;AR$4,AR$4&gt;=$C$1),'General Inputs'!O$9*$H38,IF(AND(($D38+$C$1)&gt;AR$4,AR$4&gt;=$C$1),'General Inputs'!O$9*$G38,0))+IF(AND(($E38+$C$1)&gt;AR$4,AR$4&gt;=$C$1),'General Inputs'!O$10*$J38,IF(AND(($D38+$C$1)&gt;AR$4,AR$4&gt;=$C$1),'General Inputs'!O$10*$I38,0))</f>
        <v>0</v>
      </c>
      <c r="AS38" s="214">
        <f>IF(AND(($E38+$C$1)&gt;AS$4,AS$4&gt;=$C$1),'General Inputs'!P$9*$H38,IF(AND(($D38+$C$1)&gt;AS$4,AS$4&gt;=$C$1),'General Inputs'!P$9*$G38,0))+IF(AND(($E38+$C$1)&gt;AS$4,AS$4&gt;=$C$1),'General Inputs'!P$10*$J38,IF(AND(($D38+$C$1)&gt;AS$4,AS$4&gt;=$C$1),'General Inputs'!P$10*$I38,0))</f>
        <v>0</v>
      </c>
      <c r="AT38" s="214">
        <f>IF(AND(($E38+$C$1)&gt;AT$4,AT$4&gt;=$C$1),'General Inputs'!Q$9*$H38,IF(AND(($D38+$C$1)&gt;AT$4,AT$4&gt;=$C$1),'General Inputs'!Q$9*$G38,0))+IF(AND(($E38+$C$1)&gt;AT$4,AT$4&gt;=$C$1),'General Inputs'!Q$10*$J38,IF(AND(($D38+$C$1)&gt;AT$4,AT$4&gt;=$C$1),'General Inputs'!Q$10*$I38,0))</f>
        <v>0</v>
      </c>
      <c r="AU38" s="214">
        <f>IF(AND(($E38+$C$1)&gt;AU$4,AU$4&gt;=$C$1),'General Inputs'!R$9*$H38,IF(AND(($D38+$C$1)&gt;AU$4,AU$4&gt;=$C$1),'General Inputs'!R$9*$G38,0))+IF(AND(($E38+$C$1)&gt;AU$4,AU$4&gt;=$C$1),'General Inputs'!R$10*$J38,IF(AND(($D38+$C$1)&gt;AU$4,AU$4&gt;=$C$1),'General Inputs'!R$10*$I38,0))</f>
        <v>0</v>
      </c>
      <c r="AV38" s="214">
        <f>IF(AND(($E38+$C$1)&gt;AV$4,AV$4&gt;=$C$1),'General Inputs'!S$9*$H38,IF(AND(($D38+$C$1)&gt;AV$4,AV$4&gt;=$C$1),'General Inputs'!S$9*$G38,0))+IF(AND(($E38+$C$1)&gt;AV$4,AV$4&gt;=$C$1),'General Inputs'!S$10*$J38,IF(AND(($D38+$C$1)&gt;AV$4,AV$4&gt;=$C$1),'General Inputs'!S$10*$I38,0))</f>
        <v>0</v>
      </c>
      <c r="AW38" s="214">
        <f>IF(AND(($E38+$C$1)&gt;AW$4,AW$4&gt;=$C$1),'General Inputs'!T$9*$H38,IF(AND(($D38+$C$1)&gt;AW$4,AW$4&gt;=$C$1),'General Inputs'!T$9*$G38,0))+IF(AND(($E38+$C$1)&gt;AW$4,AW$4&gt;=$C$1),'General Inputs'!T$10*$J38,IF(AND(($D38+$C$1)&gt;AW$4,AW$4&gt;=$C$1),'General Inputs'!T$10*$I38,0))</f>
        <v>0</v>
      </c>
      <c r="AX38" s="214">
        <f>IF(AND(($E38+$C$1)&gt;AX$4,AX$4&gt;=$C$1),'General Inputs'!U$9*$H38,IF(AND(($D38+$C$1)&gt;AX$4,AX$4&gt;=$C$1),'General Inputs'!U$9*$G38,0))+IF(AND(($E38+$C$1)&gt;AX$4,AX$4&gt;=$C$1),'General Inputs'!U$10*$J38,IF(AND(($D38+$C$1)&gt;AX$4,AX$4&gt;=$C$1),'General Inputs'!U$10*$I38,0))</f>
        <v>0</v>
      </c>
      <c r="AY38" s="214">
        <f>IF(AND(($E38+$C$1)&gt;AY$4,AY$4&gt;=$C$1),'General Inputs'!V$9*$H38,IF(AND(($D38+$C$1)&gt;AY$4,AY$4&gt;=$C$1),'General Inputs'!V$9*$G38,0))+IF(AND(($E38+$C$1)&gt;AY$4,AY$4&gt;=$C$1),'General Inputs'!V$10*$J38,IF(AND(($D38+$C$1)&gt;AY$4,AY$4&gt;=$C$1),'General Inputs'!V$10*$I38,0))</f>
        <v>0</v>
      </c>
      <c r="AZ38" s="214">
        <f>IF(AND(($E38+$C$1)&gt;AZ$4,AZ$4&gt;=$C$1),'General Inputs'!W$9*$H38,IF(AND(($D38+$C$1)&gt;AZ$4,AZ$4&gt;=$C$1),'General Inputs'!W$9*$G38,0))+IF(AND(($E38+$C$1)&gt;AZ$4,AZ$4&gt;=$C$1),'General Inputs'!W$10*$J38,IF(AND(($D38+$C$1)&gt;AZ$4,AZ$4&gt;=$C$1),'General Inputs'!W$10*$I38,0))</f>
        <v>0</v>
      </c>
      <c r="BB38" s="214">
        <f>IF(AND(($E38+$C$1)&gt;BB$4,BB$4&gt;=$C$1),'General Inputs'!D$11*$H38,IF(AND(($D38+$C$1)&gt;BB$4,BB$4&gt;=$C$1),'General Inputs'!D$11*$G38,0))</f>
        <v>0</v>
      </c>
      <c r="BC38" s="214">
        <f>IF(AND(($E38+$C$1)&gt;BC$4,BC$4&gt;=$C$1),'General Inputs'!E$11*$H38,IF(AND(($D38+$C$1)&gt;BC$4,BC$4&gt;=$C$1),'General Inputs'!E$11*$G38,0))</f>
        <v>0</v>
      </c>
      <c r="BD38" s="214">
        <f>IF(AND(($E38+$C$1)&gt;BD$4,BD$4&gt;=$C$1),'General Inputs'!F$11*$H38,IF(AND(($D38+$C$1)&gt;BD$4,BD$4&gt;=$C$1),'General Inputs'!F$11*$G38,0))</f>
        <v>33.002487000000002</v>
      </c>
      <c r="BE38" s="214">
        <f>IF(AND(($E38+$C$1)&gt;BE$4,BE$4&gt;=$C$1),'General Inputs'!G$11*$H38,IF(AND(($D38+$C$1)&gt;BE$4,BE$4&gt;=$C$1),'General Inputs'!G$11*$G38,0))</f>
        <v>33.002487000000002</v>
      </c>
      <c r="BF38" s="214">
        <f>IF(AND(($E38+$C$1)&gt;BF$4,BF$4&gt;=$C$1),'General Inputs'!H$11*$H38,IF(AND(($D38+$C$1)&gt;BF$4,BF$4&gt;=$C$1),'General Inputs'!H$11*$G38,0))</f>
        <v>33.002487000000002</v>
      </c>
      <c r="BG38" s="214">
        <f>IF(AND(($E38+$C$1)&gt;BG$4,BG$4&gt;=$C$1),'General Inputs'!I$11*$H38,IF(AND(($D38+$C$1)&gt;BG$4,BG$4&gt;=$C$1),'General Inputs'!I$11*$G38,0))</f>
        <v>33.002487000000002</v>
      </c>
      <c r="BH38" s="214">
        <f>IF(AND(($E38+$C$1)&gt;BH$4,BH$4&gt;=$C$1),'General Inputs'!J$11*$H38,IF(AND(($D38+$C$1)&gt;BH$4,BH$4&gt;=$C$1),'General Inputs'!J$11*$G38,0))</f>
        <v>33.002487000000002</v>
      </c>
      <c r="BI38" s="214">
        <f>IF(AND(($E38+$C$1)&gt;BI$4,BI$4&gt;=$C$1),'General Inputs'!K$11*$H38,IF(AND(($D38+$C$1)&gt;BI$4,BI$4&gt;=$C$1),'General Inputs'!K$11*$G38,0))</f>
        <v>0</v>
      </c>
      <c r="BJ38" s="214">
        <f>IF(AND(($E38+$C$1)&gt;BJ$4,BJ$4&gt;=$C$1),'General Inputs'!L$11*$H38,IF(AND(($D38+$C$1)&gt;BJ$4,BJ$4&gt;=$C$1),'General Inputs'!L$11*$G38,0))</f>
        <v>0</v>
      </c>
      <c r="BK38" s="214">
        <f>IF(AND(($E38+$C$1)&gt;BK$4,BK$4&gt;=$C$1),'General Inputs'!M$11*$H38,IF(AND(($D38+$C$1)&gt;BK$4,BK$4&gt;=$C$1),'General Inputs'!M$11*$G38,0))</f>
        <v>0</v>
      </c>
      <c r="BL38" s="214">
        <f>IF(AND(($E38+$C$1)&gt;BL$4,BL$4&gt;=$C$1),'General Inputs'!N$11*$H38,IF(AND(($D38+$C$1)&gt;BL$4,BL$4&gt;=$C$1),'General Inputs'!N$11*$G38,0))</f>
        <v>0</v>
      </c>
      <c r="BM38" s="214">
        <f>IF(AND(($E38+$C$1)&gt;BM$4,BM$4&gt;=$C$1),'General Inputs'!O$11*$H38,IF(AND(($D38+$C$1)&gt;BM$4,BM$4&gt;=$C$1),'General Inputs'!O$11*$G38,0))</f>
        <v>0</v>
      </c>
      <c r="BN38" s="214">
        <f>IF(AND(($E38+$C$1)&gt;BN$4,BN$4&gt;=$C$1),'General Inputs'!P$11*$H38,IF(AND(($D38+$C$1)&gt;BN$4,BN$4&gt;=$C$1),'General Inputs'!P$11*$G38,0))</f>
        <v>0</v>
      </c>
      <c r="BO38" s="214">
        <f>IF(AND(($E38+$C$1)&gt;BO$4,BO$4&gt;=$C$1),'General Inputs'!Q$11*$H38,IF(AND(($D38+$C$1)&gt;BO$4,BO$4&gt;=$C$1),'General Inputs'!Q$11*$G38,0))</f>
        <v>0</v>
      </c>
      <c r="BP38" s="214">
        <f>IF(AND(($E38+$C$1)&gt;BP$4,BP$4&gt;=$C$1),'General Inputs'!R$11*$H38,IF(AND(($D38+$C$1)&gt;BP$4,BP$4&gt;=$C$1),'General Inputs'!R$11*$G38,0))</f>
        <v>0</v>
      </c>
      <c r="BQ38" s="214">
        <f>IF(AND(($E38+$C$1)&gt;BQ$4,BQ$4&gt;=$C$1),'General Inputs'!S$11*$H38,IF(AND(($D38+$C$1)&gt;BQ$4,BQ$4&gt;=$C$1),'General Inputs'!S$11*$G38,0))</f>
        <v>0</v>
      </c>
      <c r="BR38" s="214">
        <f>IF(AND(($E38+$C$1)&gt;BR$4,BR$4&gt;=$C$1),'General Inputs'!T$11*$H38,IF(AND(($D38+$C$1)&gt;BR$4,BR$4&gt;=$C$1),'General Inputs'!T$11*$G38,0))</f>
        <v>0</v>
      </c>
      <c r="BS38" s="214">
        <f>IF(AND(($E38+$C$1)&gt;BS$4,BS$4&gt;=$C$1),'General Inputs'!U$11*$H38,IF(AND(($D38+$C$1)&gt;BS$4,BS$4&gt;=$C$1),'General Inputs'!U$11*$G38,0))</f>
        <v>0</v>
      </c>
      <c r="BT38" s="214">
        <f>IF(AND(($E38+$C$1)&gt;BT$4,BT$4&gt;=$C$1),'General Inputs'!V$11*$H38,IF(AND(($D38+$C$1)&gt;BT$4,BT$4&gt;=$C$1),'General Inputs'!V$11*$G38,0))</f>
        <v>0</v>
      </c>
      <c r="BU38" s="214">
        <f>IF(AND(($E38+$C$1)&gt;BU$4,BU$4&gt;=$C$1),'General Inputs'!W$11*$H38,IF(AND(($D38+$C$1)&gt;BU$4,BU$4&gt;=$C$1),'General Inputs'!W$11*$G38,0))</f>
        <v>0</v>
      </c>
      <c r="BW38" s="214">
        <f>IF(AND(($E38+$C$1)&gt;BW$4,BW$4&gt;=$C$1),$H38,IF(AND(($D38+$C$1)&gt;BW$4,BW$4&gt;=$C$1),$G38,0))*IF($A38="Residential",'General Inputs'!D$14,'General Inputs'!D$19)</f>
        <v>0</v>
      </c>
      <c r="BX38" s="214">
        <f>IF(AND(($E38+$C$1)&gt;BX$4,BX$4&gt;=$C$1),$H38,IF(AND(($D38+$C$1)&gt;BX$4,BX$4&gt;=$C$1),$G38,0))*IF($A38="Residential",'General Inputs'!E$14,'General Inputs'!E$19)</f>
        <v>0</v>
      </c>
      <c r="BY38" s="214">
        <f>IF(AND(($E38+$C$1)&gt;BY$4,BY$4&gt;=$C$1),$H38,IF(AND(($D38+$C$1)&gt;BY$4,BY$4&gt;=$C$1),$G38,0))*IF($A38="Residential",'General Inputs'!F$14,'General Inputs'!F$19)</f>
        <v>400.33601183746998</v>
      </c>
      <c r="BZ38" s="214">
        <f>IF(AND(($E38+$C$1)&gt;BZ$4,BZ$4&gt;=$C$1),$H38,IF(AND(($D38+$C$1)&gt;BZ$4,BZ$4&gt;=$C$1),$G38,0))*IF($A38="Residential",'General Inputs'!G$14,'General Inputs'!G$19)</f>
        <v>406.34105201503195</v>
      </c>
      <c r="CA38" s="214">
        <f>IF(AND(($E38+$C$1)&gt;CA$4,CA$4&gt;=$C$1),$H38,IF(AND(($D38+$C$1)&gt;CA$4,CA$4&gt;=$C$1),$G38,0))*IF($A38="Residential",'General Inputs'!H$14,'General Inputs'!H$19)</f>
        <v>412.4361677952574</v>
      </c>
      <c r="CB38" s="214">
        <f>IF(AND(($E38+$C$1)&gt;CB$4,CB$4&gt;=$C$1),$H38,IF(AND(($D38+$C$1)&gt;CB$4,CB$4&gt;=$C$1),$G38,0))*IF($A38="Residential",'General Inputs'!I$14,'General Inputs'!I$19)</f>
        <v>418.6227103121862</v>
      </c>
      <c r="CC38" s="214">
        <f>IF(AND(($E38+$C$1)&gt;CC$4,CC$4&gt;=$C$1),$H38,IF(AND(($D38+$C$1)&gt;CC$4,CC$4&gt;=$C$1),$G38,0))*IF($A38="Residential",'General Inputs'!J$14,'General Inputs'!J$19)</f>
        <v>424.90205096686896</v>
      </c>
      <c r="CD38" s="214">
        <f>IF(AND(($E38+$C$1)&gt;CD$4,CD$4&gt;=$C$1),$H38,IF(AND(($D38+$C$1)&gt;CD$4,CD$4&gt;=$C$1),$G38,0))*IF($A38="Residential",'General Inputs'!K$14,'General Inputs'!K$19)</f>
        <v>0</v>
      </c>
      <c r="CE38" s="214">
        <f>IF(AND(($E38+$C$1)&gt;CE$4,CE$4&gt;=$C$1),$H38,IF(AND(($D38+$C$1)&gt;CE$4,CE$4&gt;=$C$1),$G38,0))*IF($A38="Residential",'General Inputs'!L$14,'General Inputs'!L$19)</f>
        <v>0</v>
      </c>
      <c r="CF38" s="214">
        <f>IF(AND(($E38+$C$1)&gt;CF$4,CF$4&gt;=$C$1),$H38,IF(AND(($D38+$C$1)&gt;CF$4,CF$4&gt;=$C$1),$G38,0))*IF($A38="Residential",'General Inputs'!M$14,'General Inputs'!M$19)</f>
        <v>0</v>
      </c>
      <c r="CG38" s="214">
        <f>IF(AND(($E38+$C$1)&gt;CG$4,CG$4&gt;=$C$1),$H38,IF(AND(($D38+$C$1)&gt;CG$4,CG$4&gt;=$C$1),$G38,0))*IF($A38="Residential",'General Inputs'!N$14,'General Inputs'!N$19)</f>
        <v>0</v>
      </c>
      <c r="CH38" s="214">
        <f>IF(AND(($E38+$C$1)&gt;CH$4,CH$4&gt;=$C$1),$H38,IF(AND(($D38+$C$1)&gt;CH$4,CH$4&gt;=$C$1),$G38,0))*IF($A38="Residential",'General Inputs'!O$14,'General Inputs'!O$19)</f>
        <v>0</v>
      </c>
      <c r="CI38" s="214">
        <f>IF(AND(($E38+$C$1)&gt;CI$4,CI$4&gt;=$C$1),$H38,IF(AND(($D38+$C$1)&gt;CI$4,CI$4&gt;=$C$1),$G38,0))*IF($A38="Residential",'General Inputs'!P$14,'General Inputs'!P$19)</f>
        <v>0</v>
      </c>
      <c r="CJ38" s="214">
        <f>IF(AND(($E38+$C$1)&gt;CJ$4,CJ$4&gt;=$C$1),$H38,IF(AND(($D38+$C$1)&gt;CJ$4,CJ$4&gt;=$C$1),$G38,0))*IF($A38="Residential",'General Inputs'!Q$14,'General Inputs'!Q$19)</f>
        <v>0</v>
      </c>
      <c r="CK38" s="214">
        <f>IF(AND(($E38+$C$1)&gt;CK$4,CK$4&gt;=$C$1),$H38,IF(AND(($D38+$C$1)&gt;CK$4,CK$4&gt;=$C$1),$G38,0))*IF($A38="Residential",'General Inputs'!R$14,'General Inputs'!R$19)</f>
        <v>0</v>
      </c>
      <c r="CL38" s="214">
        <f>IF(AND(($E38+$C$1)&gt;CL$4,CL$4&gt;=$C$1),$H38,IF(AND(($D38+$C$1)&gt;CL$4,CL$4&gt;=$C$1),$G38,0))*IF($A38="Residential",'General Inputs'!S$14,'General Inputs'!S$19)</f>
        <v>0</v>
      </c>
      <c r="CM38" s="214">
        <f>IF(AND(($E38+$C$1)&gt;CM$4,CM$4&gt;=$C$1),$H38,IF(AND(($D38+$C$1)&gt;CM$4,CM$4&gt;=$C$1),$G38,0))*IF($A38="Residential",'General Inputs'!T$14,'General Inputs'!T$19)</f>
        <v>0</v>
      </c>
      <c r="CN38" s="214">
        <f>IF(AND(($E38+$C$1)&gt;CN$4,CN$4&gt;=$C$1),$H38,IF(AND(($D38+$C$1)&gt;CN$4,CN$4&gt;=$C$1),$G38,0))*IF($A38="Residential",'General Inputs'!U$14,'General Inputs'!U$19)</f>
        <v>0</v>
      </c>
      <c r="CO38" s="214">
        <f>IF(AND(($E38+$C$1)&gt;CO$4,CO$4&gt;=$C$1),$H38,IF(AND(($D38+$C$1)&gt;CO$4,CO$4&gt;=$C$1),$G38,0))*IF($A38="Residential",'General Inputs'!V$14,'General Inputs'!V$19)</f>
        <v>0</v>
      </c>
      <c r="CP38" s="214">
        <f>IF(AND(($E38+$C$1)&gt;CP$4,CP$4&gt;=$C$1),$H38,IF(AND(($D38+$C$1)&gt;CP$4,CP$4&gt;=$C$1),$G38,0))*IF($A38="Residential",'General Inputs'!W$14,'General Inputs'!W$19)</f>
        <v>0</v>
      </c>
      <c r="CR38" s="214">
        <f>IF(AND(($E38+$C$1)&gt;CR$4,CR$4&gt;=$C$1),$H38,IF(AND(($D38+$C$1)&gt;CR$4,CR$4&gt;=$C$1),$G38,0))*IF($A38="Residential",'General Inputs'!D$15,'General Inputs'!D$19)</f>
        <v>0</v>
      </c>
      <c r="CS38" s="214">
        <f>IF(AND(($E38+$C$1)&gt;CS$4,CS$4&gt;=$C$1),$H38,IF(AND(($D38+$C$1)&gt;CS$4,CS$4&gt;=$C$1),$G38,0))*IF($A38="Residential",'General Inputs'!E$15,'General Inputs'!E$19)</f>
        <v>0</v>
      </c>
      <c r="CT38" s="214">
        <f>IF(AND(($E38+$C$1)&gt;CT$4,CT$4&gt;=$C$1),$H38,IF(AND(($D38+$C$1)&gt;CT$4,CT$4&gt;=$C$1),$G38,0))*IF($A38="Residential",'General Inputs'!F$15,'General Inputs'!F$19)</f>
        <v>325.67666034063285</v>
      </c>
      <c r="CU38" s="214">
        <f>IF(AND(($E38+$C$1)&gt;CU$4,CU$4&gt;=$C$1),$H38,IF(AND(($D38+$C$1)&gt;CU$4,CU$4&gt;=$C$1),$G38,0))*IF($A38="Residential",'General Inputs'!G$15,'General Inputs'!G$19)</f>
        <v>330.56181024574232</v>
      </c>
      <c r="CV38" s="214">
        <f>IF(AND(($E38+$C$1)&gt;CV$4,CV$4&gt;=$C$1),$H38,IF(AND(($D38+$C$1)&gt;CV$4,CV$4&gt;=$C$1),$G38,0))*IF($A38="Residential",'General Inputs'!H$15,'General Inputs'!H$19)</f>
        <v>335.52023739942842</v>
      </c>
      <c r="CW38" s="214">
        <f>IF(AND(($E38+$C$1)&gt;CW$4,CW$4&gt;=$C$1),$H38,IF(AND(($D38+$C$1)&gt;CW$4,CW$4&gt;=$C$1),$G38,0))*IF($A38="Residential",'General Inputs'!I$15,'General Inputs'!I$19)</f>
        <v>340.55304096041982</v>
      </c>
      <c r="CX38" s="214">
        <f>IF(AND(($E38+$C$1)&gt;CX$4,CX$4&gt;=$C$1),$H38,IF(AND(($D38+$C$1)&gt;CX$4,CX$4&gt;=$C$1),$G38,0))*IF($A38="Residential",'General Inputs'!J$15,'General Inputs'!J$19)</f>
        <v>345.66133657482607</v>
      </c>
      <c r="CY38" s="214">
        <f>IF(AND(($E38+$C$1)&gt;CY$4,CY$4&gt;=$C$1),$H38,IF(AND(($D38+$C$1)&gt;CY$4,CY$4&gt;=$C$1),$G38,0))*IF($A38="Residential",'General Inputs'!K$15,'General Inputs'!K$19)</f>
        <v>0</v>
      </c>
      <c r="CZ38" s="214">
        <f>IF(AND(($E38+$C$1)&gt;CZ$4,CZ$4&gt;=$C$1),$H38,IF(AND(($D38+$C$1)&gt;CZ$4,CZ$4&gt;=$C$1),$G38,0))*IF($A38="Residential",'General Inputs'!L$15,'General Inputs'!L$19)</f>
        <v>0</v>
      </c>
      <c r="DA38" s="214">
        <f>IF(AND(($E38+$C$1)&gt;DA$4,DA$4&gt;=$C$1),$H38,IF(AND(($D38+$C$1)&gt;DA$4,DA$4&gt;=$C$1),$G38,0))*IF($A38="Residential",'General Inputs'!M$15,'General Inputs'!M$19)</f>
        <v>0</v>
      </c>
      <c r="DB38" s="214">
        <f>IF(AND(($E38+$C$1)&gt;DB$4,DB$4&gt;=$C$1),$H38,IF(AND(($D38+$C$1)&gt;DB$4,DB$4&gt;=$C$1),$G38,0))*IF($A38="Residential",'General Inputs'!N$15,'General Inputs'!N$19)</f>
        <v>0</v>
      </c>
      <c r="DC38" s="214">
        <f>IF(AND(($E38+$C$1)&gt;DC$4,DC$4&gt;=$C$1),$H38,IF(AND(($D38+$C$1)&gt;DC$4,DC$4&gt;=$C$1),$G38,0))*IF($A38="Residential",'General Inputs'!O$15,'General Inputs'!O$19)</f>
        <v>0</v>
      </c>
      <c r="DD38" s="214">
        <f>IF(AND(($E38+$C$1)&gt;DD$4,DD$4&gt;=$C$1),$H38,IF(AND(($D38+$C$1)&gt;DD$4,DD$4&gt;=$C$1),$G38,0))*IF($A38="Residential",'General Inputs'!P$15,'General Inputs'!P$19)</f>
        <v>0</v>
      </c>
      <c r="DE38" s="214">
        <f>IF(AND(($E38+$C$1)&gt;DE$4,DE$4&gt;=$C$1),$H38,IF(AND(($D38+$C$1)&gt;DE$4,DE$4&gt;=$C$1),$G38,0))*IF($A38="Residential",'General Inputs'!Q$15,'General Inputs'!Q$19)</f>
        <v>0</v>
      </c>
      <c r="DF38" s="214">
        <f>IF(AND(($E38+$C$1)&gt;DF$4,DF$4&gt;=$C$1),$H38,IF(AND(($D38+$C$1)&gt;DF$4,DF$4&gt;=$C$1),$G38,0))*IF($A38="Residential",'General Inputs'!R$15,'General Inputs'!R$19)</f>
        <v>0</v>
      </c>
      <c r="DG38" s="214">
        <f>IF(AND(($E38+$C$1)&gt;DG$4,DG$4&gt;=$C$1),$H38,IF(AND(($D38+$C$1)&gt;DG$4,DG$4&gt;=$C$1),$G38,0))*IF($A38="Residential",'General Inputs'!S$15,'General Inputs'!S$19)</f>
        <v>0</v>
      </c>
      <c r="DH38" s="214">
        <f>IF(AND(($E38+$C$1)&gt;DH$4,DH$4&gt;=$C$1),$H38,IF(AND(($D38+$C$1)&gt;DH$4,DH$4&gt;=$C$1),$G38,0))*IF($A38="Residential",'General Inputs'!T$15,'General Inputs'!T$19)</f>
        <v>0</v>
      </c>
      <c r="DI38" s="214">
        <f>IF(AND(($E38+$C$1)&gt;DI$4,DI$4&gt;=$C$1),$H38,IF(AND(($D38+$C$1)&gt;DI$4,DI$4&gt;=$C$1),$G38,0))*IF($A38="Residential",'General Inputs'!U$15,'General Inputs'!U$19)</f>
        <v>0</v>
      </c>
      <c r="DJ38" s="214">
        <f>IF(AND(($E38+$C$1)&gt;DJ$4,DJ$4&gt;=$C$1),$H38,IF(AND(($D38+$C$1)&gt;DJ$4,DJ$4&gt;=$C$1),$G38,0))*IF($A38="Residential",'General Inputs'!V$15,'General Inputs'!V$19)</f>
        <v>0</v>
      </c>
      <c r="DK38" s="214">
        <f>IF(AND(($E38+$C$1)&gt;DK$4,DK$4&gt;=$C$1),$H38,IF(AND(($D38+$C$1)&gt;DK$4,DK$4&gt;=$C$1),$G38,0))*IF($A38="Residential",'General Inputs'!W$15,'General Inputs'!W$19)</f>
        <v>0</v>
      </c>
      <c r="DM38" s="214">
        <f t="shared" si="78"/>
        <v>0</v>
      </c>
      <c r="DN38" s="214">
        <f t="shared" si="78"/>
        <v>0</v>
      </c>
      <c r="DO38" s="214">
        <f t="shared" si="78"/>
        <v>0</v>
      </c>
      <c r="DP38" s="214">
        <f t="shared" si="78"/>
        <v>0</v>
      </c>
      <c r="DQ38" s="214">
        <f t="shared" si="78"/>
        <v>0</v>
      </c>
      <c r="DR38" s="214">
        <f t="shared" si="78"/>
        <v>0</v>
      </c>
      <c r="DS38" s="214">
        <f t="shared" si="78"/>
        <v>0</v>
      </c>
      <c r="DT38" s="214">
        <f t="shared" si="78"/>
        <v>0</v>
      </c>
      <c r="DU38" s="214">
        <f t="shared" si="78"/>
        <v>0</v>
      </c>
      <c r="DV38" s="214">
        <f t="shared" si="78"/>
        <v>0</v>
      </c>
      <c r="DW38" s="214">
        <f t="shared" si="78"/>
        <v>0</v>
      </c>
      <c r="DZ38" s="650"/>
      <c r="FI38" s="195"/>
      <c r="FJ38" s="195"/>
      <c r="FK38" s="195"/>
      <c r="FL38" s="195"/>
      <c r="FM38" s="195"/>
      <c r="FN38" s="195"/>
      <c r="FO38" s="195"/>
    </row>
    <row r="39" spans="1:171">
      <c r="A39" s="342" t="s">
        <v>12</v>
      </c>
      <c r="B39" s="427" t="str">
        <f>'Portfolio Inputs'!A38</f>
        <v>Hot Water Pipe Insulation</v>
      </c>
      <c r="C39" s="217">
        <f>IF($C$1=2014,'Portfolio Inputs'!$C38,IF($C$1=2015,'Portfolio Inputs'!$D38,'Portfolio Inputs'!$E38))</f>
        <v>35</v>
      </c>
      <c r="D39" s="504">
        <f>VLOOKUP(B39,Sources!$B$4:$J$104,2,FALSE)</f>
        <v>15</v>
      </c>
      <c r="E39" s="504">
        <f>VLOOKUP(B39,Sources!$B$4:$J$104,3,FALSE)</f>
        <v>0</v>
      </c>
      <c r="G39" s="504">
        <f>IF($C$1=2014,'Portfolio Inputs'!$G38,IF($C$1=2015,'Portfolio Inputs'!$H38,'Portfolio Inputs'!$I38))*EnergyLineLoss</f>
        <v>4966.1115030764722</v>
      </c>
      <c r="H39" s="504"/>
      <c r="I39" s="595">
        <f>IF($C$1=2014,'Portfolio Inputs'!$K38,IF($C$1=2015,'Portfolio Inputs'!$L38,'Portfolio Inputs'!$M38))*PeakLineLoss</f>
        <v>0.56690770583064742</v>
      </c>
      <c r="J39" s="510"/>
      <c r="L39" s="606">
        <f>IF($C$1=2014,'Portfolio Inputs'!$O38,IF($C$1=2015,'Portfolio Inputs'!$P38,'Portfolio Inputs'!$Q38))</f>
        <v>0</v>
      </c>
      <c r="M39" s="518">
        <f>VLOOKUP($B39,Sources!$B$4:$K$104,10,FALSE)</f>
        <v>0</v>
      </c>
      <c r="N39" s="419">
        <f>IF($C$1=2014,'Portfolio Inputs'!$W38,IF($C$1=2015,'Portfolio Inputs'!$X38,'Portfolio Inputs'!$Y38))</f>
        <v>0</v>
      </c>
      <c r="O39" s="419"/>
      <c r="Q39" s="438" t="str">
        <f t="shared" si="67"/>
        <v>n/a</v>
      </c>
      <c r="R39" s="439" t="str">
        <f t="shared" si="68"/>
        <v>n/a</v>
      </c>
      <c r="S39" s="439" t="str">
        <f t="shared" si="69"/>
        <v>n/a</v>
      </c>
      <c r="T39" s="439" t="str">
        <f t="shared" si="70"/>
        <v>n/a</v>
      </c>
      <c r="U39" s="439" t="str">
        <f t="shared" si="77"/>
        <v>n/a</v>
      </c>
      <c r="V39" s="439">
        <f t="shared" si="72"/>
        <v>0.30933117233464419</v>
      </c>
      <c r="W39" s="439">
        <f t="shared" si="73"/>
        <v>0.38024342223338076</v>
      </c>
      <c r="Y39" s="215">
        <f t="shared" si="4"/>
        <v>1726.0811820938764</v>
      </c>
      <c r="Z39" s="215">
        <f t="shared" si="5"/>
        <v>423.27055088121972</v>
      </c>
      <c r="AA39" s="215">
        <f t="shared" si="6"/>
        <v>5580.0428035314444</v>
      </c>
      <c r="AB39" s="215">
        <f t="shared" si="7"/>
        <v>4539.4110224330589</v>
      </c>
      <c r="AC39" s="216">
        <f t="shared" si="20"/>
        <v>0</v>
      </c>
      <c r="AD39" s="216">
        <f t="shared" si="21"/>
        <v>0</v>
      </c>
      <c r="AE39" s="215">
        <f t="shared" si="8"/>
        <v>0</v>
      </c>
      <c r="AG39" s="214">
        <f>IF(AND(($E39+$C$1)&gt;AG$4,AG$4&gt;=$C$1),'General Inputs'!D$9*$H39,IF(AND(($D39+$C$1)&gt;AG$4,AG$4&gt;=$C$1),'General Inputs'!D$9*$G39,0))+IF(AND(($E39+$C$1)&gt;AG$4,AG$4&gt;=$C$1),'General Inputs'!D$10*$J39,IF(AND(($D39+$C$1)&gt;AG$4,AG$4&gt;=$C$1),'General Inputs'!D$10*$I39,0))</f>
        <v>0</v>
      </c>
      <c r="AH39" s="214">
        <f>IF(AND(($E39+$C$1)&gt;AH$4,AH$4&gt;=$C$1),'General Inputs'!E$9*$H39,IF(AND(($D39+$C$1)&gt;AH$4,AH$4&gt;=$C$1),'General Inputs'!E$9*$G39,0))+IF(AND(($E39+$C$1)&gt;AH$4,AH$4&gt;=$C$1),'General Inputs'!E$10*$J39,IF(AND(($D39+$C$1)&gt;AH$4,AH$4&gt;=$C$1),'General Inputs'!E$10*$I39,0))</f>
        <v>0</v>
      </c>
      <c r="AI39" s="214">
        <f>IF(AND(($E39+$C$1)&gt;AI$4,AI$4&gt;=$C$1),'General Inputs'!F$9*$H39,IF(AND(($D39+$C$1)&gt;AI$4,AI$4&gt;=$C$1),'General Inputs'!F$9*$G39,0))+IF(AND(($E39+$C$1)&gt;AI$4,AI$4&gt;=$C$1),'General Inputs'!F$10*$J39,IF(AND(($D39+$C$1)&gt;AI$4,AI$4&gt;=$C$1),'General Inputs'!F$10*$I39,0))</f>
        <v>212.43349538082563</v>
      </c>
      <c r="AJ39" s="214">
        <f>IF(AND(($E39+$C$1)&gt;AJ$4,AJ$4&gt;=$C$1),'General Inputs'!G$9*$H39,IF(AND(($D39+$C$1)&gt;AJ$4,AJ$4&gt;=$C$1),'General Inputs'!G$9*$G39,0))+IF(AND(($E39+$C$1)&gt;AJ$4,AJ$4&gt;=$C$1),'General Inputs'!G$10*$J39,IF(AND(($D39+$C$1)&gt;AJ$4,AJ$4&gt;=$C$1),'General Inputs'!G$10*$I39,0))</f>
        <v>215.61999781153798</v>
      </c>
      <c r="AK39" s="214">
        <f>IF(AND(($E39+$C$1)&gt;AK$4,AK$4&gt;=$C$1),'General Inputs'!H$9*$H39,IF(AND(($D39+$C$1)&gt;AK$4,AK$4&gt;=$C$1),'General Inputs'!H$9*$G39,0))+IF(AND(($E39+$C$1)&gt;AK$4,AK$4&gt;=$C$1),'General Inputs'!H$10*$J39,IF(AND(($D39+$C$1)&gt;AK$4,AK$4&gt;=$C$1),'General Inputs'!H$10*$I39,0))</f>
        <v>218.85429777871101</v>
      </c>
      <c r="AL39" s="214">
        <f>IF(AND(($E39+$C$1)&gt;AL$4,AL$4&gt;=$C$1),'General Inputs'!I$9*$H39,IF(AND(($D39+$C$1)&gt;AL$4,AL$4&gt;=$C$1),'General Inputs'!I$9*$G39,0))+IF(AND(($E39+$C$1)&gt;AL$4,AL$4&gt;=$C$1),'General Inputs'!I$10*$J39,IF(AND(($D39+$C$1)&gt;AL$4,AL$4&gt;=$C$1),'General Inputs'!I$10*$I39,0))</f>
        <v>222.13711224539168</v>
      </c>
      <c r="AM39" s="214">
        <f>IF(AND(($E39+$C$1)&gt;AM$4,AM$4&gt;=$C$1),'General Inputs'!J$9*$H39,IF(AND(($D39+$C$1)&gt;AM$4,AM$4&gt;=$C$1),'General Inputs'!J$9*$G39,0))+IF(AND(($E39+$C$1)&gt;AM$4,AM$4&gt;=$C$1),'General Inputs'!J$10*$J39,IF(AND(($D39+$C$1)&gt;AM$4,AM$4&gt;=$C$1),'General Inputs'!J$10*$I39,0))</f>
        <v>225.46916892907254</v>
      </c>
      <c r="AN39" s="214">
        <f>IF(AND(($E39+$C$1)&gt;AN$4,AN$4&gt;=$C$1),'General Inputs'!K$9*$H39,IF(AND(($D39+$C$1)&gt;AN$4,AN$4&gt;=$C$1),'General Inputs'!K$9*$G39,0))+IF(AND(($E39+$C$1)&gt;AN$4,AN$4&gt;=$C$1),'General Inputs'!K$10*$J39,IF(AND(($D39+$C$1)&gt;AN$4,AN$4&gt;=$C$1),'General Inputs'!K$10*$I39,0))</f>
        <v>228.85120646300857</v>
      </c>
      <c r="AO39" s="214">
        <f>IF(AND(($E39+$C$1)&gt;AO$4,AO$4&gt;=$C$1),'General Inputs'!L$9*$H39,IF(AND(($D39+$C$1)&gt;AO$4,AO$4&gt;=$C$1),'General Inputs'!L$9*$G39,0))+IF(AND(($E39+$C$1)&gt;AO$4,AO$4&gt;=$C$1),'General Inputs'!L$10*$J39,IF(AND(($D39+$C$1)&gt;AO$4,AO$4&gt;=$C$1),'General Inputs'!L$10*$I39,0))</f>
        <v>232.28397455995369</v>
      </c>
      <c r="AP39" s="214">
        <f>IF(AND(($E39+$C$1)&gt;AP$4,AP$4&gt;=$C$1),'General Inputs'!M$9*$H39,IF(AND(($D39+$C$1)&gt;AP$4,AP$4&gt;=$C$1),'General Inputs'!M$9*$G39,0))+IF(AND(($E39+$C$1)&gt;AP$4,AP$4&gt;=$C$1),'General Inputs'!M$10*$J39,IF(AND(($D39+$C$1)&gt;AP$4,AP$4&gt;=$C$1),'General Inputs'!M$10*$I39,0))</f>
        <v>235.76823417835294</v>
      </c>
      <c r="AQ39" s="214">
        <f>IF(AND(($E39+$C$1)&gt;AQ$4,AQ$4&gt;=$C$1),'General Inputs'!N$9*$H39,IF(AND(($D39+$C$1)&gt;AQ$4,AQ$4&gt;=$C$1),'General Inputs'!N$9*$G39,0))+IF(AND(($E39+$C$1)&gt;AQ$4,AQ$4&gt;=$C$1),'General Inputs'!N$10*$J39,IF(AND(($D39+$C$1)&gt;AQ$4,AQ$4&gt;=$C$1),'General Inputs'!N$10*$I39,0))</f>
        <v>239.30475769102824</v>
      </c>
      <c r="AR39" s="214">
        <f>IF(AND(($E39+$C$1)&gt;AR$4,AR$4&gt;=$C$1),'General Inputs'!O$9*$H39,IF(AND(($D39+$C$1)&gt;AR$4,AR$4&gt;=$C$1),'General Inputs'!O$9*$G39,0))+IF(AND(($E39+$C$1)&gt;AR$4,AR$4&gt;=$C$1),'General Inputs'!O$10*$J39,IF(AND(($D39+$C$1)&gt;AR$4,AR$4&gt;=$C$1),'General Inputs'!O$10*$I39,0))</f>
        <v>242.89432905639364</v>
      </c>
      <c r="AS39" s="214">
        <f>IF(AND(($E39+$C$1)&gt;AS$4,AS$4&gt;=$C$1),'General Inputs'!P$9*$H39,IF(AND(($D39+$C$1)&gt;AS$4,AS$4&gt;=$C$1),'General Inputs'!P$9*$G39,0))+IF(AND(($E39+$C$1)&gt;AS$4,AS$4&gt;=$C$1),'General Inputs'!P$10*$J39,IF(AND(($D39+$C$1)&gt;AS$4,AS$4&gt;=$C$1),'General Inputs'!P$10*$I39,0))</f>
        <v>246.53774399223948</v>
      </c>
      <c r="AT39" s="214">
        <f>IF(AND(($E39+$C$1)&gt;AT$4,AT$4&gt;=$C$1),'General Inputs'!Q$9*$H39,IF(AND(($D39+$C$1)&gt;AT$4,AT$4&gt;=$C$1),'General Inputs'!Q$9*$G39,0))+IF(AND(($E39+$C$1)&gt;AT$4,AT$4&gt;=$C$1),'General Inputs'!Q$10*$J39,IF(AND(($D39+$C$1)&gt;AT$4,AT$4&gt;=$C$1),'General Inputs'!Q$10*$I39,0))</f>
        <v>250.23581015212309</v>
      </c>
      <c r="AU39" s="214">
        <f>IF(AND(($E39+$C$1)&gt;AU$4,AU$4&gt;=$C$1),'General Inputs'!R$9*$H39,IF(AND(($D39+$C$1)&gt;AU$4,AU$4&gt;=$C$1),'General Inputs'!R$9*$G39,0))+IF(AND(($E39+$C$1)&gt;AU$4,AU$4&gt;=$C$1),'General Inputs'!R$10*$J39,IF(AND(($D39+$C$1)&gt;AU$4,AU$4&gt;=$C$1),'General Inputs'!R$10*$I39,0))</f>
        <v>253.9893473044049</v>
      </c>
      <c r="AV39" s="214">
        <f>IF(AND(($E39+$C$1)&gt;AV$4,AV$4&gt;=$C$1),'General Inputs'!S$9*$H39,IF(AND(($D39+$C$1)&gt;AV$4,AV$4&gt;=$C$1),'General Inputs'!S$9*$G39,0))+IF(AND(($E39+$C$1)&gt;AV$4,AV$4&gt;=$C$1),'General Inputs'!S$10*$J39,IF(AND(($D39+$C$1)&gt;AV$4,AV$4&gt;=$C$1),'General Inputs'!S$10*$I39,0))</f>
        <v>257.79918751397094</v>
      </c>
      <c r="AW39" s="214">
        <f>IF(AND(($E39+$C$1)&gt;AW$4,AW$4&gt;=$C$1),'General Inputs'!T$9*$H39,IF(AND(($D39+$C$1)&gt;AW$4,AW$4&gt;=$C$1),'General Inputs'!T$9*$G39,0))+IF(AND(($E39+$C$1)&gt;AW$4,AW$4&gt;=$C$1),'General Inputs'!T$10*$J39,IF(AND(($D39+$C$1)&gt;AW$4,AW$4&gt;=$C$1),'General Inputs'!T$10*$I39,0))</f>
        <v>261.6661753266805</v>
      </c>
      <c r="AX39" s="214">
        <f>IF(AND(($E39+$C$1)&gt;AX$4,AX$4&gt;=$C$1),'General Inputs'!U$9*$H39,IF(AND(($D39+$C$1)&gt;AX$4,AX$4&gt;=$C$1),'General Inputs'!U$9*$G39,0))+IF(AND(($E39+$C$1)&gt;AX$4,AX$4&gt;=$C$1),'General Inputs'!U$10*$J39,IF(AND(($D39+$C$1)&gt;AX$4,AX$4&gt;=$C$1),'General Inputs'!U$10*$I39,0))</f>
        <v>0</v>
      </c>
      <c r="AY39" s="214">
        <f>IF(AND(($E39+$C$1)&gt;AY$4,AY$4&gt;=$C$1),'General Inputs'!V$9*$H39,IF(AND(($D39+$C$1)&gt;AY$4,AY$4&gt;=$C$1),'General Inputs'!V$9*$G39,0))+IF(AND(($E39+$C$1)&gt;AY$4,AY$4&gt;=$C$1),'General Inputs'!V$10*$J39,IF(AND(($D39+$C$1)&gt;AY$4,AY$4&gt;=$C$1),'General Inputs'!V$10*$I39,0))</f>
        <v>0</v>
      </c>
      <c r="AZ39" s="214">
        <f>IF(AND(($E39+$C$1)&gt;AZ$4,AZ$4&gt;=$C$1),'General Inputs'!W$9*$H39,IF(AND(($D39+$C$1)&gt;AZ$4,AZ$4&gt;=$C$1),'General Inputs'!W$9*$G39,0))+IF(AND(($E39+$C$1)&gt;AZ$4,AZ$4&gt;=$C$1),'General Inputs'!W$10*$J39,IF(AND(($D39+$C$1)&gt;AZ$4,AZ$4&gt;=$C$1),'General Inputs'!W$10*$I39,0))</f>
        <v>0</v>
      </c>
      <c r="BB39" s="214">
        <f>IF(AND(($E39+$C$1)&gt;BB$4,BB$4&gt;=$C$1),'General Inputs'!D$11*$H39,IF(AND(($D39+$C$1)&gt;BB$4,BB$4&gt;=$C$1),'General Inputs'!D$11*$G39,0))</f>
        <v>0</v>
      </c>
      <c r="BC39" s="214">
        <f>IF(AND(($E39+$C$1)&gt;BC$4,BC$4&gt;=$C$1),'General Inputs'!E$11*$H39,IF(AND(($D39+$C$1)&gt;BC$4,BC$4&gt;=$C$1),'General Inputs'!E$11*$G39,0))</f>
        <v>0</v>
      </c>
      <c r="BD39" s="214">
        <f>IF(AND(($E39+$C$1)&gt;BD$4,BD$4&gt;=$C$1),'General Inputs'!F$11*$H39,IF(AND(($D39+$C$1)&gt;BD$4,BD$4&gt;=$C$1),'General Inputs'!F$11*$G39,0))</f>
        <v>56.613671135071783</v>
      </c>
      <c r="BE39" s="214">
        <f>IF(AND(($E39+$C$1)&gt;BE$4,BE$4&gt;=$C$1),'General Inputs'!G$11*$H39,IF(AND(($D39+$C$1)&gt;BE$4,BE$4&gt;=$C$1),'General Inputs'!G$11*$G39,0))</f>
        <v>56.613671135071783</v>
      </c>
      <c r="BF39" s="214">
        <f>IF(AND(($E39+$C$1)&gt;BF$4,BF$4&gt;=$C$1),'General Inputs'!H$11*$H39,IF(AND(($D39+$C$1)&gt;BF$4,BF$4&gt;=$C$1),'General Inputs'!H$11*$G39,0))</f>
        <v>56.613671135071783</v>
      </c>
      <c r="BG39" s="214">
        <f>IF(AND(($E39+$C$1)&gt;BG$4,BG$4&gt;=$C$1),'General Inputs'!I$11*$H39,IF(AND(($D39+$C$1)&gt;BG$4,BG$4&gt;=$C$1),'General Inputs'!I$11*$G39,0))</f>
        <v>56.613671135071783</v>
      </c>
      <c r="BH39" s="214">
        <f>IF(AND(($E39+$C$1)&gt;BH$4,BH$4&gt;=$C$1),'General Inputs'!J$11*$H39,IF(AND(($D39+$C$1)&gt;BH$4,BH$4&gt;=$C$1),'General Inputs'!J$11*$G39,0))</f>
        <v>56.613671135071783</v>
      </c>
      <c r="BI39" s="214">
        <f>IF(AND(($E39+$C$1)&gt;BI$4,BI$4&gt;=$C$1),'General Inputs'!K$11*$H39,IF(AND(($D39+$C$1)&gt;BI$4,BI$4&gt;=$C$1),'General Inputs'!K$11*$G39,0))</f>
        <v>56.613671135071783</v>
      </c>
      <c r="BJ39" s="214">
        <f>IF(AND(($E39+$C$1)&gt;BJ$4,BJ$4&gt;=$C$1),'General Inputs'!L$11*$H39,IF(AND(($D39+$C$1)&gt;BJ$4,BJ$4&gt;=$C$1),'General Inputs'!L$11*$G39,0))</f>
        <v>56.613671135071783</v>
      </c>
      <c r="BK39" s="214">
        <f>IF(AND(($E39+$C$1)&gt;BK$4,BK$4&gt;=$C$1),'General Inputs'!M$11*$H39,IF(AND(($D39+$C$1)&gt;BK$4,BK$4&gt;=$C$1),'General Inputs'!M$11*$G39,0))</f>
        <v>56.613671135071783</v>
      </c>
      <c r="BL39" s="214">
        <f>IF(AND(($E39+$C$1)&gt;BL$4,BL$4&gt;=$C$1),'General Inputs'!N$11*$H39,IF(AND(($D39+$C$1)&gt;BL$4,BL$4&gt;=$C$1),'General Inputs'!N$11*$G39,0))</f>
        <v>56.613671135071783</v>
      </c>
      <c r="BM39" s="214">
        <f>IF(AND(($E39+$C$1)&gt;BM$4,BM$4&gt;=$C$1),'General Inputs'!O$11*$H39,IF(AND(($D39+$C$1)&gt;BM$4,BM$4&gt;=$C$1),'General Inputs'!O$11*$G39,0))</f>
        <v>56.613671135071783</v>
      </c>
      <c r="BN39" s="214">
        <f>IF(AND(($E39+$C$1)&gt;BN$4,BN$4&gt;=$C$1),'General Inputs'!P$11*$H39,IF(AND(($D39+$C$1)&gt;BN$4,BN$4&gt;=$C$1),'General Inputs'!P$11*$G39,0))</f>
        <v>56.613671135071783</v>
      </c>
      <c r="BO39" s="214">
        <f>IF(AND(($E39+$C$1)&gt;BO$4,BO$4&gt;=$C$1),'General Inputs'!Q$11*$H39,IF(AND(($D39+$C$1)&gt;BO$4,BO$4&gt;=$C$1),'General Inputs'!Q$11*$G39,0))</f>
        <v>56.613671135071783</v>
      </c>
      <c r="BP39" s="214">
        <f>IF(AND(($E39+$C$1)&gt;BP$4,BP$4&gt;=$C$1),'General Inputs'!R$11*$H39,IF(AND(($D39+$C$1)&gt;BP$4,BP$4&gt;=$C$1),'General Inputs'!R$11*$G39,0))</f>
        <v>56.613671135071783</v>
      </c>
      <c r="BQ39" s="214">
        <f>IF(AND(($E39+$C$1)&gt;BQ$4,BQ$4&gt;=$C$1),'General Inputs'!S$11*$H39,IF(AND(($D39+$C$1)&gt;BQ$4,BQ$4&gt;=$C$1),'General Inputs'!S$11*$G39,0))</f>
        <v>56.613671135071783</v>
      </c>
      <c r="BR39" s="214">
        <f>IF(AND(($E39+$C$1)&gt;BR$4,BR$4&gt;=$C$1),'General Inputs'!T$11*$H39,IF(AND(($D39+$C$1)&gt;BR$4,BR$4&gt;=$C$1),'General Inputs'!T$11*$G39,0))</f>
        <v>56.613671135071783</v>
      </c>
      <c r="BS39" s="214">
        <f>IF(AND(($E39+$C$1)&gt;BS$4,BS$4&gt;=$C$1),'General Inputs'!U$11*$H39,IF(AND(($D39+$C$1)&gt;BS$4,BS$4&gt;=$C$1),'General Inputs'!U$11*$G39,0))</f>
        <v>0</v>
      </c>
      <c r="BT39" s="214">
        <f>IF(AND(($E39+$C$1)&gt;BT$4,BT$4&gt;=$C$1),'General Inputs'!V$11*$H39,IF(AND(($D39+$C$1)&gt;BT$4,BT$4&gt;=$C$1),'General Inputs'!V$11*$G39,0))</f>
        <v>0</v>
      </c>
      <c r="BU39" s="214">
        <f>IF(AND(($E39+$C$1)&gt;BU$4,BU$4&gt;=$C$1),'General Inputs'!W$11*$H39,IF(AND(($D39+$C$1)&gt;BU$4,BU$4&gt;=$C$1),'General Inputs'!W$11*$G39,0))</f>
        <v>0</v>
      </c>
      <c r="BW39" s="214">
        <f>IF(AND(($E39+$C$1)&gt;BW$4,BW$4&gt;=$C$1),$H39,IF(AND(($D39+$C$1)&gt;BW$4,BW$4&gt;=$C$1),$G39,0))*IF($A39="Residential",'General Inputs'!D$14,'General Inputs'!D$19)</f>
        <v>0</v>
      </c>
      <c r="BX39" s="214">
        <f>IF(AND(($E39+$C$1)&gt;BX$4,BX$4&gt;=$C$1),$H39,IF(AND(($D39+$C$1)&gt;BX$4,BX$4&gt;=$C$1),$G39,0))*IF($A39="Residential",'General Inputs'!E$14,'General Inputs'!E$19)</f>
        <v>0</v>
      </c>
      <c r="BY39" s="214">
        <f>IF(AND(($E39+$C$1)&gt;BY$4,BY$4&gt;=$C$1),$H39,IF(AND(($D39+$C$1)&gt;BY$4,BY$4&gt;=$C$1),$G39,0))*IF($A39="Residential",'General Inputs'!F$14,'General Inputs'!F$19)</f>
        <v>686.75101114933341</v>
      </c>
      <c r="BZ39" s="214">
        <f>IF(AND(($E39+$C$1)&gt;BZ$4,BZ$4&gt;=$C$1),$H39,IF(AND(($D39+$C$1)&gt;BZ$4,BZ$4&gt;=$C$1),$G39,0))*IF($A39="Residential",'General Inputs'!G$14,'General Inputs'!G$19)</f>
        <v>697.05227631657328</v>
      </c>
      <c r="CA39" s="214">
        <f>IF(AND(($E39+$C$1)&gt;CA$4,CA$4&gt;=$C$1),$H39,IF(AND(($D39+$C$1)&gt;CA$4,CA$4&gt;=$C$1),$G39,0))*IF($A39="Residential",'General Inputs'!H$14,'General Inputs'!H$19)</f>
        <v>707.50806046132175</v>
      </c>
      <c r="CB39" s="214">
        <f>IF(AND(($E39+$C$1)&gt;CB$4,CB$4&gt;=$C$1),$H39,IF(AND(($D39+$C$1)&gt;CB$4,CB$4&gt;=$C$1),$G39,0))*IF($A39="Residential",'General Inputs'!I$14,'General Inputs'!I$19)</f>
        <v>718.12068136824155</v>
      </c>
      <c r="CC39" s="214">
        <f>IF(AND(($E39+$C$1)&gt;CC$4,CC$4&gt;=$C$1),$H39,IF(AND(($D39+$C$1)&gt;CC$4,CC$4&gt;=$C$1),$G39,0))*IF($A39="Residential",'General Inputs'!J$14,'General Inputs'!J$19)</f>
        <v>728.8924915887651</v>
      </c>
      <c r="CD39" s="214">
        <f>IF(AND(($E39+$C$1)&gt;CD$4,CD$4&gt;=$C$1),$H39,IF(AND(($D39+$C$1)&gt;CD$4,CD$4&gt;=$C$1),$G39,0))*IF($A39="Residential",'General Inputs'!K$14,'General Inputs'!K$19)</f>
        <v>739.82587896259645</v>
      </c>
      <c r="CE39" s="214">
        <f>IF(AND(($E39+$C$1)&gt;CE$4,CE$4&gt;=$C$1),$H39,IF(AND(($D39+$C$1)&gt;CE$4,CE$4&gt;=$C$1),$G39,0))*IF($A39="Residential",'General Inputs'!L$14,'General Inputs'!L$19)</f>
        <v>750.92326714703529</v>
      </c>
      <c r="CF39" s="214">
        <f>IF(AND(($E39+$C$1)&gt;CF$4,CF$4&gt;=$C$1),$H39,IF(AND(($D39+$C$1)&gt;CF$4,CF$4&gt;=$C$1),$G39,0))*IF($A39="Residential",'General Inputs'!M$14,'General Inputs'!M$19)</f>
        <v>762.1871161542407</v>
      </c>
      <c r="CG39" s="214">
        <f>IF(AND(($E39+$C$1)&gt;CG$4,CG$4&gt;=$C$1),$H39,IF(AND(($D39+$C$1)&gt;CG$4,CG$4&gt;=$C$1),$G39,0))*IF($A39="Residential",'General Inputs'!N$14,'General Inputs'!N$19)</f>
        <v>773.61992289655427</v>
      </c>
      <c r="CH39" s="214">
        <f>IF(AND(($E39+$C$1)&gt;CH$4,CH$4&gt;=$C$1),$H39,IF(AND(($D39+$C$1)&gt;CH$4,CH$4&gt;=$C$1),$G39,0))*IF($A39="Residential",'General Inputs'!O$14,'General Inputs'!O$19)</f>
        <v>785.22422174000246</v>
      </c>
      <c r="CI39" s="214">
        <f>IF(AND(($E39+$C$1)&gt;CI$4,CI$4&gt;=$C$1),$H39,IF(AND(($D39+$C$1)&gt;CI$4,CI$4&gt;=$C$1),$G39,0))*IF($A39="Residential",'General Inputs'!P$14,'General Inputs'!P$19)</f>
        <v>797.00258506610248</v>
      </c>
      <c r="CJ39" s="214">
        <f>IF(AND(($E39+$C$1)&gt;CJ$4,CJ$4&gt;=$C$1),$H39,IF(AND(($D39+$C$1)&gt;CJ$4,CJ$4&gt;=$C$1),$G39,0))*IF($A39="Residential",'General Inputs'!Q$14,'General Inputs'!Q$19)</f>
        <v>808.95762384209388</v>
      </c>
      <c r="CK39" s="214">
        <f>IF(AND(($E39+$C$1)&gt;CK$4,CK$4&gt;=$C$1),$H39,IF(AND(($D39+$C$1)&gt;CK$4,CK$4&gt;=$C$1),$G39,0))*IF($A39="Residential",'General Inputs'!R$14,'General Inputs'!R$19)</f>
        <v>821.09198819972517</v>
      </c>
      <c r="CL39" s="214">
        <f>IF(AND(($E39+$C$1)&gt;CL$4,CL$4&gt;=$C$1),$H39,IF(AND(($D39+$C$1)&gt;CL$4,CL$4&gt;=$C$1),$G39,0))*IF($A39="Residential",'General Inputs'!S$14,'General Inputs'!S$19)</f>
        <v>833.40836802272099</v>
      </c>
      <c r="CM39" s="214">
        <f>IF(AND(($E39+$C$1)&gt;CM$4,CM$4&gt;=$C$1),$H39,IF(AND(($D39+$C$1)&gt;CM$4,CM$4&gt;=$C$1),$G39,0))*IF($A39="Residential",'General Inputs'!T$14,'General Inputs'!T$19)</f>
        <v>845.90949354306179</v>
      </c>
      <c r="CN39" s="214">
        <f>IF(AND(($E39+$C$1)&gt;CN$4,CN$4&gt;=$C$1),$H39,IF(AND(($D39+$C$1)&gt;CN$4,CN$4&gt;=$C$1),$G39,0))*IF($A39="Residential",'General Inputs'!U$14,'General Inputs'!U$19)</f>
        <v>0</v>
      </c>
      <c r="CO39" s="214">
        <f>IF(AND(($E39+$C$1)&gt;CO$4,CO$4&gt;=$C$1),$H39,IF(AND(($D39+$C$1)&gt;CO$4,CO$4&gt;=$C$1),$G39,0))*IF($A39="Residential",'General Inputs'!V$14,'General Inputs'!V$19)</f>
        <v>0</v>
      </c>
      <c r="CP39" s="214">
        <f>IF(AND(($E39+$C$1)&gt;CP$4,CP$4&gt;=$C$1),$H39,IF(AND(($D39+$C$1)&gt;CP$4,CP$4&gt;=$C$1),$G39,0))*IF($A39="Residential",'General Inputs'!W$14,'General Inputs'!W$19)</f>
        <v>0</v>
      </c>
      <c r="CR39" s="214">
        <f>IF(AND(($E39+$C$1)&gt;CR$4,CR$4&gt;=$C$1),$H39,IF(AND(($D39+$C$1)&gt;CR$4,CR$4&gt;=$C$1),$G39,0))*IF($A39="Residential",'General Inputs'!D$15,'General Inputs'!D$19)</f>
        <v>0</v>
      </c>
      <c r="CS39" s="214">
        <f>IF(AND(($E39+$C$1)&gt;CS$4,CS$4&gt;=$C$1),$H39,IF(AND(($D39+$C$1)&gt;CS$4,CS$4&gt;=$C$1),$G39,0))*IF($A39="Residential",'General Inputs'!E$15,'General Inputs'!E$19)</f>
        <v>0</v>
      </c>
      <c r="CT39" s="214">
        <f>IF(AND(($E39+$C$1)&gt;CT$4,CT$4&gt;=$C$1),$H39,IF(AND(($D39+$C$1)&gt;CT$4,CT$4&gt;=$C$1),$G39,0))*IF($A39="Residential",'General Inputs'!F$15,'General Inputs'!F$19)</f>
        <v>558.67763374599815</v>
      </c>
      <c r="CU39" s="214">
        <f>IF(AND(($E39+$C$1)&gt;CU$4,CU$4&gt;=$C$1),$H39,IF(AND(($D39+$C$1)&gt;CU$4,CU$4&gt;=$C$1),$G39,0))*IF($A39="Residential",'General Inputs'!G$15,'General Inputs'!G$19)</f>
        <v>567.05779825218804</v>
      </c>
      <c r="CV39" s="214">
        <f>IF(AND(($E39+$C$1)&gt;CV$4,CV$4&gt;=$C$1),$H39,IF(AND(($D39+$C$1)&gt;CV$4,CV$4&gt;=$C$1),$G39,0))*IF($A39="Residential",'General Inputs'!H$15,'General Inputs'!H$19)</f>
        <v>575.56366522597079</v>
      </c>
      <c r="CW39" s="214">
        <f>IF(AND(($E39+$C$1)&gt;CW$4,CW$4&gt;=$C$1),$H39,IF(AND(($D39+$C$1)&gt;CW$4,CW$4&gt;=$C$1),$G39,0))*IF($A39="Residential",'General Inputs'!I$15,'General Inputs'!I$19)</f>
        <v>584.19712020436032</v>
      </c>
      <c r="CX39" s="214">
        <f>IF(AND(($E39+$C$1)&gt;CX$4,CX$4&gt;=$C$1),$H39,IF(AND(($D39+$C$1)&gt;CX$4,CX$4&gt;=$C$1),$G39,0))*IF($A39="Residential",'General Inputs'!J$15,'General Inputs'!J$19)</f>
        <v>592.96007700742564</v>
      </c>
      <c r="CY39" s="214">
        <f>IF(AND(($E39+$C$1)&gt;CY$4,CY$4&gt;=$C$1),$H39,IF(AND(($D39+$C$1)&gt;CY$4,CY$4&gt;=$C$1),$G39,0))*IF($A39="Residential",'General Inputs'!K$15,'General Inputs'!K$19)</f>
        <v>601.85447816253702</v>
      </c>
      <c r="CZ39" s="214">
        <f>IF(AND(($E39+$C$1)&gt;CZ$4,CZ$4&gt;=$C$1),$H39,IF(AND(($D39+$C$1)&gt;CZ$4,CZ$4&gt;=$C$1),$G39,0))*IF($A39="Residential",'General Inputs'!L$15,'General Inputs'!L$19)</f>
        <v>610.88229533497497</v>
      </c>
      <c r="DA39" s="214">
        <f>IF(AND(($E39+$C$1)&gt;DA$4,DA$4&gt;=$C$1),$H39,IF(AND(($D39+$C$1)&gt;DA$4,DA$4&gt;=$C$1),$G39,0))*IF($A39="Residential",'General Inputs'!M$15,'General Inputs'!M$19)</f>
        <v>620.04552976499951</v>
      </c>
      <c r="DB39" s="214">
        <f>IF(AND(($E39+$C$1)&gt;DB$4,DB$4&gt;=$C$1),$H39,IF(AND(($D39+$C$1)&gt;DB$4,DB$4&gt;=$C$1),$G39,0))*IF($A39="Residential",'General Inputs'!N$15,'General Inputs'!N$19)</f>
        <v>629.34621271147444</v>
      </c>
      <c r="DC39" s="214">
        <f>IF(AND(($E39+$C$1)&gt;DC$4,DC$4&gt;=$C$1),$H39,IF(AND(($D39+$C$1)&gt;DC$4,DC$4&gt;=$C$1),$G39,0))*IF($A39="Residential",'General Inputs'!O$15,'General Inputs'!O$19)</f>
        <v>638.7864059021465</v>
      </c>
      <c r="DD39" s="214">
        <f>IF(AND(($E39+$C$1)&gt;DD$4,DD$4&gt;=$C$1),$H39,IF(AND(($D39+$C$1)&gt;DD$4,DD$4&gt;=$C$1),$G39,0))*IF($A39="Residential",'General Inputs'!P$15,'General Inputs'!P$19)</f>
        <v>648.3682019906787</v>
      </c>
      <c r="DE39" s="214">
        <f>IF(AND(($E39+$C$1)&gt;DE$4,DE$4&gt;=$C$1),$H39,IF(AND(($D39+$C$1)&gt;DE$4,DE$4&gt;=$C$1),$G39,0))*IF($A39="Residential",'General Inputs'!Q$15,'General Inputs'!Q$19)</f>
        <v>658.09372502053884</v>
      </c>
      <c r="DF39" s="214">
        <f>IF(AND(($E39+$C$1)&gt;DF$4,DF$4&gt;=$C$1),$H39,IF(AND(($D39+$C$1)&gt;DF$4,DF$4&gt;=$C$1),$G39,0))*IF($A39="Residential",'General Inputs'!R$15,'General Inputs'!R$19)</f>
        <v>667.96513089584676</v>
      </c>
      <c r="DG39" s="214">
        <f>IF(AND(($E39+$C$1)&gt;DG$4,DG$4&gt;=$C$1),$H39,IF(AND(($D39+$C$1)&gt;DG$4,DG$4&gt;=$C$1),$G39,0))*IF($A39="Residential",'General Inputs'!S$15,'General Inputs'!S$19)</f>
        <v>677.98460785928444</v>
      </c>
      <c r="DH39" s="214">
        <f>IF(AND(($E39+$C$1)&gt;DH$4,DH$4&gt;=$C$1),$H39,IF(AND(($D39+$C$1)&gt;DH$4,DH$4&gt;=$C$1),$G39,0))*IF($A39="Residential",'General Inputs'!T$15,'General Inputs'!T$19)</f>
        <v>688.15437697717357</v>
      </c>
      <c r="DI39" s="214">
        <f>IF(AND(($E39+$C$1)&gt;DI$4,DI$4&gt;=$C$1),$H39,IF(AND(($D39+$C$1)&gt;DI$4,DI$4&gt;=$C$1),$G39,0))*IF($A39="Residential",'General Inputs'!U$15,'General Inputs'!U$19)</f>
        <v>0</v>
      </c>
      <c r="DJ39" s="214">
        <f>IF(AND(($E39+$C$1)&gt;DJ$4,DJ$4&gt;=$C$1),$H39,IF(AND(($D39+$C$1)&gt;DJ$4,DJ$4&gt;=$C$1),$G39,0))*IF($A39="Residential",'General Inputs'!V$15,'General Inputs'!V$19)</f>
        <v>0</v>
      </c>
      <c r="DK39" s="214">
        <f>IF(AND(($E39+$C$1)&gt;DK$4,DK$4&gt;=$C$1),$H39,IF(AND(($D39+$C$1)&gt;DK$4,DK$4&gt;=$C$1),$G39,0))*IF($A39="Residential",'General Inputs'!W$15,'General Inputs'!W$19)</f>
        <v>0</v>
      </c>
      <c r="DM39" s="214">
        <f t="shared" si="78"/>
        <v>0</v>
      </c>
      <c r="DN39" s="214">
        <f t="shared" si="78"/>
        <v>0</v>
      </c>
      <c r="DO39" s="214">
        <f t="shared" si="78"/>
        <v>0</v>
      </c>
      <c r="DP39" s="214">
        <f t="shared" si="78"/>
        <v>0</v>
      </c>
      <c r="DQ39" s="214">
        <f t="shared" si="78"/>
        <v>0</v>
      </c>
      <c r="DR39" s="214">
        <f t="shared" si="78"/>
        <v>0</v>
      </c>
      <c r="DS39" s="214">
        <f t="shared" si="78"/>
        <v>0</v>
      </c>
      <c r="DT39" s="214">
        <f t="shared" si="78"/>
        <v>0</v>
      </c>
      <c r="DU39" s="214">
        <f t="shared" si="78"/>
        <v>0</v>
      </c>
      <c r="DV39" s="214">
        <f t="shared" si="78"/>
        <v>0</v>
      </c>
      <c r="DW39" s="214">
        <f t="shared" si="78"/>
        <v>0</v>
      </c>
      <c r="DZ39" s="650"/>
      <c r="FI39" s="195"/>
      <c r="FJ39" s="195"/>
      <c r="FK39" s="195"/>
      <c r="FL39" s="195"/>
      <c r="FM39" s="195"/>
      <c r="FN39" s="195"/>
      <c r="FO39" s="195"/>
    </row>
    <row r="40" spans="1:171">
      <c r="A40" s="342" t="s">
        <v>12</v>
      </c>
      <c r="B40" s="427" t="str">
        <f>'Portfolio Inputs'!A39</f>
        <v>Water Heater Temperature Setback</v>
      </c>
      <c r="C40" s="217">
        <f>IF($C$1=2014,'Portfolio Inputs'!$C39,IF($C$1=2015,'Portfolio Inputs'!$D39,'Portfolio Inputs'!$E39))</f>
        <v>35</v>
      </c>
      <c r="D40" s="504">
        <f>VLOOKUP(B40,Sources!$B$4:$J$104,2,FALSE)</f>
        <v>2</v>
      </c>
      <c r="E40" s="504">
        <f>VLOOKUP(B40,Sources!$B$4:$J$104,3,FALSE)</f>
        <v>0</v>
      </c>
      <c r="G40" s="504">
        <f>IF($C$1=2014,'Portfolio Inputs'!$G39,IF($C$1=2015,'Portfolio Inputs'!$H39,'Portfolio Inputs'!$I39))*EnergyLineLoss</f>
        <v>3166.1279999999997</v>
      </c>
      <c r="H40" s="504"/>
      <c r="I40" s="595">
        <f>IF($C$1=2014,'Portfolio Inputs'!$K39,IF($C$1=2015,'Portfolio Inputs'!$L39,'Portfolio Inputs'!$M39))*PeakLineLoss</f>
        <v>0.36118275154004104</v>
      </c>
      <c r="J40" s="510"/>
      <c r="L40" s="606">
        <f>IF($C$1=2014,'Portfolio Inputs'!$O39,IF($C$1=2015,'Portfolio Inputs'!$P39,'Portfolio Inputs'!$Q39))</f>
        <v>0</v>
      </c>
      <c r="M40" s="518">
        <f>VLOOKUP($B40,Sources!$B$4:$K$104,10,FALSE)</f>
        <v>0</v>
      </c>
      <c r="N40" s="419">
        <f>IF($C$1=2014,'Portfolio Inputs'!$W39,IF($C$1=2015,'Portfolio Inputs'!$X39,'Portfolio Inputs'!$Y39))</f>
        <v>0</v>
      </c>
      <c r="O40" s="419"/>
      <c r="Q40" s="438" t="str">
        <f t="shared" si="67"/>
        <v>n/a</v>
      </c>
      <c r="R40" s="439" t="str">
        <f t="shared" si="68"/>
        <v>n/a</v>
      </c>
      <c r="S40" s="439" t="str">
        <f t="shared" si="69"/>
        <v>n/a</v>
      </c>
      <c r="T40" s="439" t="str">
        <f t="shared" si="70"/>
        <v>n/a</v>
      </c>
      <c r="U40" s="439" t="str">
        <f t="shared" si="77"/>
        <v>n/a</v>
      </c>
      <c r="V40" s="439">
        <f t="shared" si="72"/>
        <v>0.30932245599847835</v>
      </c>
      <c r="W40" s="439">
        <f t="shared" si="73"/>
        <v>0.38023270773128903</v>
      </c>
      <c r="Y40" s="215">
        <f t="shared" si="4"/>
        <v>220.9423808657414</v>
      </c>
      <c r="Z40" s="215">
        <f t="shared" si="5"/>
        <v>58.463041442867912</v>
      </c>
      <c r="AA40" s="215">
        <f t="shared" si="6"/>
        <v>714.27850316443971</v>
      </c>
      <c r="AB40" s="215">
        <f t="shared" si="7"/>
        <v>581.07147642301641</v>
      </c>
      <c r="AC40" s="216">
        <f t="shared" si="20"/>
        <v>0</v>
      </c>
      <c r="AD40" s="216">
        <f t="shared" si="21"/>
        <v>0</v>
      </c>
      <c r="AE40" s="215">
        <f t="shared" si="8"/>
        <v>0</v>
      </c>
      <c r="AG40" s="214">
        <f>IF(AND(($E40+$C$1)&gt;AG$4,AG$4&gt;=$C$1),'General Inputs'!D$9*$H40,IF(AND(($D40+$C$1)&gt;AG$4,AG$4&gt;=$C$1),'General Inputs'!D$9*$G40,0))+IF(AND(($E40+$C$1)&gt;AG$4,AG$4&gt;=$C$1),'General Inputs'!D$10*$J40,IF(AND(($D40+$C$1)&gt;AG$4,AG$4&gt;=$C$1),'General Inputs'!D$10*$I40,0))</f>
        <v>0</v>
      </c>
      <c r="AH40" s="214">
        <f>IF(AND(($E40+$C$1)&gt;AH$4,AH$4&gt;=$C$1),'General Inputs'!E$9*$H40,IF(AND(($D40+$C$1)&gt;AH$4,AH$4&gt;=$C$1),'General Inputs'!E$9*$G40,0))+IF(AND(($E40+$C$1)&gt;AH$4,AH$4&gt;=$C$1),'General Inputs'!E$10*$J40,IF(AND(($D40+$C$1)&gt;AH$4,AH$4&gt;=$C$1),'General Inputs'!E$10*$I40,0))</f>
        <v>0</v>
      </c>
      <c r="AI40" s="214">
        <f>IF(AND(($E40+$C$1)&gt;AI$4,AI$4&gt;=$C$1),'General Inputs'!F$9*$H40,IF(AND(($D40+$C$1)&gt;AI$4,AI$4&gt;=$C$1),'General Inputs'!F$9*$G40,0))+IF(AND(($E40+$C$1)&gt;AI$4,AI$4&gt;=$C$1),'General Inputs'!F$10*$J40,IF(AND(($D40+$C$1)&gt;AI$4,AI$4&gt;=$C$1),'General Inputs'!F$10*$I40,0))</f>
        <v>135.43245759868182</v>
      </c>
      <c r="AJ40" s="214">
        <f>IF(AND(($E40+$C$1)&gt;AJ$4,AJ$4&gt;=$C$1),'General Inputs'!G$9*$H40,IF(AND(($D40+$C$1)&gt;AJ$4,AJ$4&gt;=$C$1),'General Inputs'!G$9*$G40,0))+IF(AND(($E40+$C$1)&gt;AJ$4,AJ$4&gt;=$C$1),'General Inputs'!G$10*$J40,IF(AND(($D40+$C$1)&gt;AJ$4,AJ$4&gt;=$C$1),'General Inputs'!G$10*$I40,0))</f>
        <v>137.46394446266203</v>
      </c>
      <c r="AK40" s="214">
        <f>IF(AND(($E40+$C$1)&gt;AK$4,AK$4&gt;=$C$1),'General Inputs'!H$9*$H40,IF(AND(($D40+$C$1)&gt;AK$4,AK$4&gt;=$C$1),'General Inputs'!H$9*$G40,0))+IF(AND(($E40+$C$1)&gt;AK$4,AK$4&gt;=$C$1),'General Inputs'!H$10*$J40,IF(AND(($D40+$C$1)&gt;AK$4,AK$4&gt;=$C$1),'General Inputs'!H$10*$I40,0))</f>
        <v>0</v>
      </c>
      <c r="AL40" s="214">
        <f>IF(AND(($E40+$C$1)&gt;AL$4,AL$4&gt;=$C$1),'General Inputs'!I$9*$H40,IF(AND(($D40+$C$1)&gt;AL$4,AL$4&gt;=$C$1),'General Inputs'!I$9*$G40,0))+IF(AND(($E40+$C$1)&gt;AL$4,AL$4&gt;=$C$1),'General Inputs'!I$10*$J40,IF(AND(($D40+$C$1)&gt;AL$4,AL$4&gt;=$C$1),'General Inputs'!I$10*$I40,0))</f>
        <v>0</v>
      </c>
      <c r="AM40" s="214">
        <f>IF(AND(($E40+$C$1)&gt;AM$4,AM$4&gt;=$C$1),'General Inputs'!J$9*$H40,IF(AND(($D40+$C$1)&gt;AM$4,AM$4&gt;=$C$1),'General Inputs'!J$9*$G40,0))+IF(AND(($E40+$C$1)&gt;AM$4,AM$4&gt;=$C$1),'General Inputs'!J$10*$J40,IF(AND(($D40+$C$1)&gt;AM$4,AM$4&gt;=$C$1),'General Inputs'!J$10*$I40,0))</f>
        <v>0</v>
      </c>
      <c r="AN40" s="214">
        <f>IF(AND(($E40+$C$1)&gt;AN$4,AN$4&gt;=$C$1),'General Inputs'!K$9*$H40,IF(AND(($D40+$C$1)&gt;AN$4,AN$4&gt;=$C$1),'General Inputs'!K$9*$G40,0))+IF(AND(($E40+$C$1)&gt;AN$4,AN$4&gt;=$C$1),'General Inputs'!K$10*$J40,IF(AND(($D40+$C$1)&gt;AN$4,AN$4&gt;=$C$1),'General Inputs'!K$10*$I40,0))</f>
        <v>0</v>
      </c>
      <c r="AO40" s="214">
        <f>IF(AND(($E40+$C$1)&gt;AO$4,AO$4&gt;=$C$1),'General Inputs'!L$9*$H40,IF(AND(($D40+$C$1)&gt;AO$4,AO$4&gt;=$C$1),'General Inputs'!L$9*$G40,0))+IF(AND(($E40+$C$1)&gt;AO$4,AO$4&gt;=$C$1),'General Inputs'!L$10*$J40,IF(AND(($D40+$C$1)&gt;AO$4,AO$4&gt;=$C$1),'General Inputs'!L$10*$I40,0))</f>
        <v>0</v>
      </c>
      <c r="AP40" s="214">
        <f>IF(AND(($E40+$C$1)&gt;AP$4,AP$4&gt;=$C$1),'General Inputs'!M$9*$H40,IF(AND(($D40+$C$1)&gt;AP$4,AP$4&gt;=$C$1),'General Inputs'!M$9*$G40,0))+IF(AND(($E40+$C$1)&gt;AP$4,AP$4&gt;=$C$1),'General Inputs'!M$10*$J40,IF(AND(($D40+$C$1)&gt;AP$4,AP$4&gt;=$C$1),'General Inputs'!M$10*$I40,0))</f>
        <v>0</v>
      </c>
      <c r="AQ40" s="214">
        <f>IF(AND(($E40+$C$1)&gt;AQ$4,AQ$4&gt;=$C$1),'General Inputs'!N$9*$H40,IF(AND(($D40+$C$1)&gt;AQ$4,AQ$4&gt;=$C$1),'General Inputs'!N$9*$G40,0))+IF(AND(($E40+$C$1)&gt;AQ$4,AQ$4&gt;=$C$1),'General Inputs'!N$10*$J40,IF(AND(($D40+$C$1)&gt;AQ$4,AQ$4&gt;=$C$1),'General Inputs'!N$10*$I40,0))</f>
        <v>0</v>
      </c>
      <c r="AR40" s="214">
        <f>IF(AND(($E40+$C$1)&gt;AR$4,AR$4&gt;=$C$1),'General Inputs'!O$9*$H40,IF(AND(($D40+$C$1)&gt;AR$4,AR$4&gt;=$C$1),'General Inputs'!O$9*$G40,0))+IF(AND(($E40+$C$1)&gt;AR$4,AR$4&gt;=$C$1),'General Inputs'!O$10*$J40,IF(AND(($D40+$C$1)&gt;AR$4,AR$4&gt;=$C$1),'General Inputs'!O$10*$I40,0))</f>
        <v>0</v>
      </c>
      <c r="AS40" s="214">
        <f>IF(AND(($E40+$C$1)&gt;AS$4,AS$4&gt;=$C$1),'General Inputs'!P$9*$H40,IF(AND(($D40+$C$1)&gt;AS$4,AS$4&gt;=$C$1),'General Inputs'!P$9*$G40,0))+IF(AND(($E40+$C$1)&gt;AS$4,AS$4&gt;=$C$1),'General Inputs'!P$10*$J40,IF(AND(($D40+$C$1)&gt;AS$4,AS$4&gt;=$C$1),'General Inputs'!P$10*$I40,0))</f>
        <v>0</v>
      </c>
      <c r="AT40" s="214">
        <f>IF(AND(($E40+$C$1)&gt;AT$4,AT$4&gt;=$C$1),'General Inputs'!Q$9*$H40,IF(AND(($D40+$C$1)&gt;AT$4,AT$4&gt;=$C$1),'General Inputs'!Q$9*$G40,0))+IF(AND(($E40+$C$1)&gt;AT$4,AT$4&gt;=$C$1),'General Inputs'!Q$10*$J40,IF(AND(($D40+$C$1)&gt;AT$4,AT$4&gt;=$C$1),'General Inputs'!Q$10*$I40,0))</f>
        <v>0</v>
      </c>
      <c r="AU40" s="214">
        <f>IF(AND(($E40+$C$1)&gt;AU$4,AU$4&gt;=$C$1),'General Inputs'!R$9*$H40,IF(AND(($D40+$C$1)&gt;AU$4,AU$4&gt;=$C$1),'General Inputs'!R$9*$G40,0))+IF(AND(($E40+$C$1)&gt;AU$4,AU$4&gt;=$C$1),'General Inputs'!R$10*$J40,IF(AND(($D40+$C$1)&gt;AU$4,AU$4&gt;=$C$1),'General Inputs'!R$10*$I40,0))</f>
        <v>0</v>
      </c>
      <c r="AV40" s="214">
        <f>IF(AND(($E40+$C$1)&gt;AV$4,AV$4&gt;=$C$1),'General Inputs'!S$9*$H40,IF(AND(($D40+$C$1)&gt;AV$4,AV$4&gt;=$C$1),'General Inputs'!S$9*$G40,0))+IF(AND(($E40+$C$1)&gt;AV$4,AV$4&gt;=$C$1),'General Inputs'!S$10*$J40,IF(AND(($D40+$C$1)&gt;AV$4,AV$4&gt;=$C$1),'General Inputs'!S$10*$I40,0))</f>
        <v>0</v>
      </c>
      <c r="AW40" s="214">
        <f>IF(AND(($E40+$C$1)&gt;AW$4,AW$4&gt;=$C$1),'General Inputs'!T$9*$H40,IF(AND(($D40+$C$1)&gt;AW$4,AW$4&gt;=$C$1),'General Inputs'!T$9*$G40,0))+IF(AND(($E40+$C$1)&gt;AW$4,AW$4&gt;=$C$1),'General Inputs'!T$10*$J40,IF(AND(($D40+$C$1)&gt;AW$4,AW$4&gt;=$C$1),'General Inputs'!T$10*$I40,0))</f>
        <v>0</v>
      </c>
      <c r="AX40" s="214">
        <f>IF(AND(($E40+$C$1)&gt;AX$4,AX$4&gt;=$C$1),'General Inputs'!U$9*$H40,IF(AND(($D40+$C$1)&gt;AX$4,AX$4&gt;=$C$1),'General Inputs'!U$9*$G40,0))+IF(AND(($E40+$C$1)&gt;AX$4,AX$4&gt;=$C$1),'General Inputs'!U$10*$J40,IF(AND(($D40+$C$1)&gt;AX$4,AX$4&gt;=$C$1),'General Inputs'!U$10*$I40,0))</f>
        <v>0</v>
      </c>
      <c r="AY40" s="214">
        <f>IF(AND(($E40+$C$1)&gt;AY$4,AY$4&gt;=$C$1),'General Inputs'!V$9*$H40,IF(AND(($D40+$C$1)&gt;AY$4,AY$4&gt;=$C$1),'General Inputs'!V$9*$G40,0))+IF(AND(($E40+$C$1)&gt;AY$4,AY$4&gt;=$C$1),'General Inputs'!V$10*$J40,IF(AND(($D40+$C$1)&gt;AY$4,AY$4&gt;=$C$1),'General Inputs'!V$10*$I40,0))</f>
        <v>0</v>
      </c>
      <c r="AZ40" s="214">
        <f>IF(AND(($E40+$C$1)&gt;AZ$4,AZ$4&gt;=$C$1),'General Inputs'!W$9*$H40,IF(AND(($D40+$C$1)&gt;AZ$4,AZ$4&gt;=$C$1),'General Inputs'!W$9*$G40,0))+IF(AND(($E40+$C$1)&gt;AZ$4,AZ$4&gt;=$C$1),'General Inputs'!W$10*$J40,IF(AND(($D40+$C$1)&gt;AZ$4,AZ$4&gt;=$C$1),'General Inputs'!W$10*$I40,0))</f>
        <v>0</v>
      </c>
      <c r="BB40" s="214">
        <f>IF(AND(($E40+$C$1)&gt;BB$4,BB$4&gt;=$C$1),'General Inputs'!D$11*$H40,IF(AND(($D40+$C$1)&gt;BB$4,BB$4&gt;=$C$1),'General Inputs'!D$11*$G40,0))</f>
        <v>0</v>
      </c>
      <c r="BC40" s="214">
        <f>IF(AND(($E40+$C$1)&gt;BC$4,BC$4&gt;=$C$1),'General Inputs'!E$11*$H40,IF(AND(($D40+$C$1)&gt;BC$4,BC$4&gt;=$C$1),'General Inputs'!E$11*$G40,0))</f>
        <v>0</v>
      </c>
      <c r="BD40" s="214">
        <f>IF(AND(($E40+$C$1)&gt;BD$4,BD$4&gt;=$C$1),'General Inputs'!F$11*$H40,IF(AND(($D40+$C$1)&gt;BD$4,BD$4&gt;=$C$1),'General Inputs'!F$11*$G40,0))</f>
        <v>36.093859199999997</v>
      </c>
      <c r="BE40" s="214">
        <f>IF(AND(($E40+$C$1)&gt;BE$4,BE$4&gt;=$C$1),'General Inputs'!G$11*$H40,IF(AND(($D40+$C$1)&gt;BE$4,BE$4&gt;=$C$1),'General Inputs'!G$11*$G40,0))</f>
        <v>36.093859199999997</v>
      </c>
      <c r="BF40" s="214">
        <f>IF(AND(($E40+$C$1)&gt;BF$4,BF$4&gt;=$C$1),'General Inputs'!H$11*$H40,IF(AND(($D40+$C$1)&gt;BF$4,BF$4&gt;=$C$1),'General Inputs'!H$11*$G40,0))</f>
        <v>0</v>
      </c>
      <c r="BG40" s="214">
        <f>IF(AND(($E40+$C$1)&gt;BG$4,BG$4&gt;=$C$1),'General Inputs'!I$11*$H40,IF(AND(($D40+$C$1)&gt;BG$4,BG$4&gt;=$C$1),'General Inputs'!I$11*$G40,0))</f>
        <v>0</v>
      </c>
      <c r="BH40" s="214">
        <f>IF(AND(($E40+$C$1)&gt;BH$4,BH$4&gt;=$C$1),'General Inputs'!J$11*$H40,IF(AND(($D40+$C$1)&gt;BH$4,BH$4&gt;=$C$1),'General Inputs'!J$11*$G40,0))</f>
        <v>0</v>
      </c>
      <c r="BI40" s="214">
        <f>IF(AND(($E40+$C$1)&gt;BI$4,BI$4&gt;=$C$1),'General Inputs'!K$11*$H40,IF(AND(($D40+$C$1)&gt;BI$4,BI$4&gt;=$C$1),'General Inputs'!K$11*$G40,0))</f>
        <v>0</v>
      </c>
      <c r="BJ40" s="214">
        <f>IF(AND(($E40+$C$1)&gt;BJ$4,BJ$4&gt;=$C$1),'General Inputs'!L$11*$H40,IF(AND(($D40+$C$1)&gt;BJ$4,BJ$4&gt;=$C$1),'General Inputs'!L$11*$G40,0))</f>
        <v>0</v>
      </c>
      <c r="BK40" s="214">
        <f>IF(AND(($E40+$C$1)&gt;BK$4,BK$4&gt;=$C$1),'General Inputs'!M$11*$H40,IF(AND(($D40+$C$1)&gt;BK$4,BK$4&gt;=$C$1),'General Inputs'!M$11*$G40,0))</f>
        <v>0</v>
      </c>
      <c r="BL40" s="214">
        <f>IF(AND(($E40+$C$1)&gt;BL$4,BL$4&gt;=$C$1),'General Inputs'!N$11*$H40,IF(AND(($D40+$C$1)&gt;BL$4,BL$4&gt;=$C$1),'General Inputs'!N$11*$G40,0))</f>
        <v>0</v>
      </c>
      <c r="BM40" s="214">
        <f>IF(AND(($E40+$C$1)&gt;BM$4,BM$4&gt;=$C$1),'General Inputs'!O$11*$H40,IF(AND(($D40+$C$1)&gt;BM$4,BM$4&gt;=$C$1),'General Inputs'!O$11*$G40,0))</f>
        <v>0</v>
      </c>
      <c r="BN40" s="214">
        <f>IF(AND(($E40+$C$1)&gt;BN$4,BN$4&gt;=$C$1),'General Inputs'!P$11*$H40,IF(AND(($D40+$C$1)&gt;BN$4,BN$4&gt;=$C$1),'General Inputs'!P$11*$G40,0))</f>
        <v>0</v>
      </c>
      <c r="BO40" s="214">
        <f>IF(AND(($E40+$C$1)&gt;BO$4,BO$4&gt;=$C$1),'General Inputs'!Q$11*$H40,IF(AND(($D40+$C$1)&gt;BO$4,BO$4&gt;=$C$1),'General Inputs'!Q$11*$G40,0))</f>
        <v>0</v>
      </c>
      <c r="BP40" s="214">
        <f>IF(AND(($E40+$C$1)&gt;BP$4,BP$4&gt;=$C$1),'General Inputs'!R$11*$H40,IF(AND(($D40+$C$1)&gt;BP$4,BP$4&gt;=$C$1),'General Inputs'!R$11*$G40,0))</f>
        <v>0</v>
      </c>
      <c r="BQ40" s="214">
        <f>IF(AND(($E40+$C$1)&gt;BQ$4,BQ$4&gt;=$C$1),'General Inputs'!S$11*$H40,IF(AND(($D40+$C$1)&gt;BQ$4,BQ$4&gt;=$C$1),'General Inputs'!S$11*$G40,0))</f>
        <v>0</v>
      </c>
      <c r="BR40" s="214">
        <f>IF(AND(($E40+$C$1)&gt;BR$4,BR$4&gt;=$C$1),'General Inputs'!T$11*$H40,IF(AND(($D40+$C$1)&gt;BR$4,BR$4&gt;=$C$1),'General Inputs'!T$11*$G40,0))</f>
        <v>0</v>
      </c>
      <c r="BS40" s="214">
        <f>IF(AND(($E40+$C$1)&gt;BS$4,BS$4&gt;=$C$1),'General Inputs'!U$11*$H40,IF(AND(($D40+$C$1)&gt;BS$4,BS$4&gt;=$C$1),'General Inputs'!U$11*$G40,0))</f>
        <v>0</v>
      </c>
      <c r="BT40" s="214">
        <f>IF(AND(($E40+$C$1)&gt;BT$4,BT$4&gt;=$C$1),'General Inputs'!V$11*$H40,IF(AND(($D40+$C$1)&gt;BT$4,BT$4&gt;=$C$1),'General Inputs'!V$11*$G40,0))</f>
        <v>0</v>
      </c>
      <c r="BU40" s="214">
        <f>IF(AND(($E40+$C$1)&gt;BU$4,BU$4&gt;=$C$1),'General Inputs'!W$11*$H40,IF(AND(($D40+$C$1)&gt;BU$4,BU$4&gt;=$C$1),'General Inputs'!W$11*$G40,0))</f>
        <v>0</v>
      </c>
      <c r="BW40" s="214">
        <f>IF(AND(($E40+$C$1)&gt;BW$4,BW$4&gt;=$C$1),$H40,IF(AND(($D40+$C$1)&gt;BW$4,BW$4&gt;=$C$1),$G40,0))*IF($A40="Residential",'General Inputs'!D$14,'General Inputs'!D$19)</f>
        <v>0</v>
      </c>
      <c r="BX40" s="214">
        <f>IF(AND(($E40+$C$1)&gt;BX$4,BX$4&gt;=$C$1),$H40,IF(AND(($D40+$C$1)&gt;BX$4,BX$4&gt;=$C$1),$G40,0))*IF($A40="Residential",'General Inputs'!E$14,'General Inputs'!E$19)</f>
        <v>0</v>
      </c>
      <c r="BY40" s="214">
        <f>IF(AND(($E40+$C$1)&gt;BY$4,BY$4&gt;=$C$1),$H40,IF(AND(($D40+$C$1)&gt;BY$4,BY$4&gt;=$C$1),$G40,0))*IF($A40="Residential",'General Inputs'!F$14,'General Inputs'!F$19)</f>
        <v>437.83584079439754</v>
      </c>
      <c r="BZ40" s="214">
        <f>IF(AND(($E40+$C$1)&gt;BZ$4,BZ$4&gt;=$C$1),$H40,IF(AND(($D40+$C$1)&gt;BZ$4,BZ$4&gt;=$C$1),$G40,0))*IF($A40="Residential",'General Inputs'!G$14,'General Inputs'!G$19)</f>
        <v>444.40337840631338</v>
      </c>
      <c r="CA40" s="214">
        <f>IF(AND(($E40+$C$1)&gt;CA$4,CA$4&gt;=$C$1),$H40,IF(AND(($D40+$C$1)&gt;CA$4,CA$4&gt;=$C$1),$G40,0))*IF($A40="Residential",'General Inputs'!H$14,'General Inputs'!H$19)</f>
        <v>0</v>
      </c>
      <c r="CB40" s="214">
        <f>IF(AND(($E40+$C$1)&gt;CB$4,CB$4&gt;=$C$1),$H40,IF(AND(($D40+$C$1)&gt;CB$4,CB$4&gt;=$C$1),$G40,0))*IF($A40="Residential",'General Inputs'!I$14,'General Inputs'!I$19)</f>
        <v>0</v>
      </c>
      <c r="CC40" s="214">
        <f>IF(AND(($E40+$C$1)&gt;CC$4,CC$4&gt;=$C$1),$H40,IF(AND(($D40+$C$1)&gt;CC$4,CC$4&gt;=$C$1),$G40,0))*IF($A40="Residential",'General Inputs'!J$14,'General Inputs'!J$19)</f>
        <v>0</v>
      </c>
      <c r="CD40" s="214">
        <f>IF(AND(($E40+$C$1)&gt;CD$4,CD$4&gt;=$C$1),$H40,IF(AND(($D40+$C$1)&gt;CD$4,CD$4&gt;=$C$1),$G40,0))*IF($A40="Residential",'General Inputs'!K$14,'General Inputs'!K$19)</f>
        <v>0</v>
      </c>
      <c r="CE40" s="214">
        <f>IF(AND(($E40+$C$1)&gt;CE$4,CE$4&gt;=$C$1),$H40,IF(AND(($D40+$C$1)&gt;CE$4,CE$4&gt;=$C$1),$G40,0))*IF($A40="Residential",'General Inputs'!L$14,'General Inputs'!L$19)</f>
        <v>0</v>
      </c>
      <c r="CF40" s="214">
        <f>IF(AND(($E40+$C$1)&gt;CF$4,CF$4&gt;=$C$1),$H40,IF(AND(($D40+$C$1)&gt;CF$4,CF$4&gt;=$C$1),$G40,0))*IF($A40="Residential",'General Inputs'!M$14,'General Inputs'!M$19)</f>
        <v>0</v>
      </c>
      <c r="CG40" s="214">
        <f>IF(AND(($E40+$C$1)&gt;CG$4,CG$4&gt;=$C$1),$H40,IF(AND(($D40+$C$1)&gt;CG$4,CG$4&gt;=$C$1),$G40,0))*IF($A40="Residential",'General Inputs'!N$14,'General Inputs'!N$19)</f>
        <v>0</v>
      </c>
      <c r="CH40" s="214">
        <f>IF(AND(($E40+$C$1)&gt;CH$4,CH$4&gt;=$C$1),$H40,IF(AND(($D40+$C$1)&gt;CH$4,CH$4&gt;=$C$1),$G40,0))*IF($A40="Residential",'General Inputs'!O$14,'General Inputs'!O$19)</f>
        <v>0</v>
      </c>
      <c r="CI40" s="214">
        <f>IF(AND(($E40+$C$1)&gt;CI$4,CI$4&gt;=$C$1),$H40,IF(AND(($D40+$C$1)&gt;CI$4,CI$4&gt;=$C$1),$G40,0))*IF($A40="Residential",'General Inputs'!P$14,'General Inputs'!P$19)</f>
        <v>0</v>
      </c>
      <c r="CJ40" s="214">
        <f>IF(AND(($E40+$C$1)&gt;CJ$4,CJ$4&gt;=$C$1),$H40,IF(AND(($D40+$C$1)&gt;CJ$4,CJ$4&gt;=$C$1),$G40,0))*IF($A40="Residential",'General Inputs'!Q$14,'General Inputs'!Q$19)</f>
        <v>0</v>
      </c>
      <c r="CK40" s="214">
        <f>IF(AND(($E40+$C$1)&gt;CK$4,CK$4&gt;=$C$1),$H40,IF(AND(($D40+$C$1)&gt;CK$4,CK$4&gt;=$C$1),$G40,0))*IF($A40="Residential",'General Inputs'!R$14,'General Inputs'!R$19)</f>
        <v>0</v>
      </c>
      <c r="CL40" s="214">
        <f>IF(AND(($E40+$C$1)&gt;CL$4,CL$4&gt;=$C$1),$H40,IF(AND(($D40+$C$1)&gt;CL$4,CL$4&gt;=$C$1),$G40,0))*IF($A40="Residential",'General Inputs'!S$14,'General Inputs'!S$19)</f>
        <v>0</v>
      </c>
      <c r="CM40" s="214">
        <f>IF(AND(($E40+$C$1)&gt;CM$4,CM$4&gt;=$C$1),$H40,IF(AND(($D40+$C$1)&gt;CM$4,CM$4&gt;=$C$1),$G40,0))*IF($A40="Residential",'General Inputs'!T$14,'General Inputs'!T$19)</f>
        <v>0</v>
      </c>
      <c r="CN40" s="214">
        <f>IF(AND(($E40+$C$1)&gt;CN$4,CN$4&gt;=$C$1),$H40,IF(AND(($D40+$C$1)&gt;CN$4,CN$4&gt;=$C$1),$G40,0))*IF($A40="Residential",'General Inputs'!U$14,'General Inputs'!U$19)</f>
        <v>0</v>
      </c>
      <c r="CO40" s="214">
        <f>IF(AND(($E40+$C$1)&gt;CO$4,CO$4&gt;=$C$1),$H40,IF(AND(($D40+$C$1)&gt;CO$4,CO$4&gt;=$C$1),$G40,0))*IF($A40="Residential",'General Inputs'!V$14,'General Inputs'!V$19)</f>
        <v>0</v>
      </c>
      <c r="CP40" s="214">
        <f>IF(AND(($E40+$C$1)&gt;CP$4,CP$4&gt;=$C$1),$H40,IF(AND(($D40+$C$1)&gt;CP$4,CP$4&gt;=$C$1),$G40,0))*IF($A40="Residential",'General Inputs'!W$14,'General Inputs'!W$19)</f>
        <v>0</v>
      </c>
      <c r="CR40" s="214">
        <f>IF(AND(($E40+$C$1)&gt;CR$4,CR$4&gt;=$C$1),$H40,IF(AND(($D40+$C$1)&gt;CR$4,CR$4&gt;=$C$1),$G40,0))*IF($A40="Residential",'General Inputs'!D$15,'General Inputs'!D$19)</f>
        <v>0</v>
      </c>
      <c r="CS40" s="214">
        <f>IF(AND(($E40+$C$1)&gt;CS$4,CS$4&gt;=$C$1),$H40,IF(AND(($D40+$C$1)&gt;CS$4,CS$4&gt;=$C$1),$G40,0))*IF($A40="Residential",'General Inputs'!E$15,'General Inputs'!E$19)</f>
        <v>0</v>
      </c>
      <c r="CT40" s="214">
        <f>IF(AND(($E40+$C$1)&gt;CT$4,CT$4&gt;=$C$1),$H40,IF(AND(($D40+$C$1)&gt;CT$4,CT$4&gt;=$C$1),$G40,0))*IF($A40="Residential",'General Inputs'!F$15,'General Inputs'!F$19)</f>
        <v>356.18308168899591</v>
      </c>
      <c r="CU40" s="214">
        <f>IF(AND(($E40+$C$1)&gt;CU$4,CU$4&gt;=$C$1),$H40,IF(AND(($D40+$C$1)&gt;CU$4,CU$4&gt;=$C$1),$G40,0))*IF($A40="Residential",'General Inputs'!G$15,'General Inputs'!G$19)</f>
        <v>361.52582791433082</v>
      </c>
      <c r="CV40" s="214">
        <f>IF(AND(($E40+$C$1)&gt;CV$4,CV$4&gt;=$C$1),$H40,IF(AND(($D40+$C$1)&gt;CV$4,CV$4&gt;=$C$1),$G40,0))*IF($A40="Residential",'General Inputs'!H$15,'General Inputs'!H$19)</f>
        <v>0</v>
      </c>
      <c r="CW40" s="214">
        <f>IF(AND(($E40+$C$1)&gt;CW$4,CW$4&gt;=$C$1),$H40,IF(AND(($D40+$C$1)&gt;CW$4,CW$4&gt;=$C$1),$G40,0))*IF($A40="Residential",'General Inputs'!I$15,'General Inputs'!I$19)</f>
        <v>0</v>
      </c>
      <c r="CX40" s="214">
        <f>IF(AND(($E40+$C$1)&gt;CX$4,CX$4&gt;=$C$1),$H40,IF(AND(($D40+$C$1)&gt;CX$4,CX$4&gt;=$C$1),$G40,0))*IF($A40="Residential",'General Inputs'!J$15,'General Inputs'!J$19)</f>
        <v>0</v>
      </c>
      <c r="CY40" s="214">
        <f>IF(AND(($E40+$C$1)&gt;CY$4,CY$4&gt;=$C$1),$H40,IF(AND(($D40+$C$1)&gt;CY$4,CY$4&gt;=$C$1),$G40,0))*IF($A40="Residential",'General Inputs'!K$15,'General Inputs'!K$19)</f>
        <v>0</v>
      </c>
      <c r="CZ40" s="214">
        <f>IF(AND(($E40+$C$1)&gt;CZ$4,CZ$4&gt;=$C$1),$H40,IF(AND(($D40+$C$1)&gt;CZ$4,CZ$4&gt;=$C$1),$G40,0))*IF($A40="Residential",'General Inputs'!L$15,'General Inputs'!L$19)</f>
        <v>0</v>
      </c>
      <c r="DA40" s="214">
        <f>IF(AND(($E40+$C$1)&gt;DA$4,DA$4&gt;=$C$1),$H40,IF(AND(($D40+$C$1)&gt;DA$4,DA$4&gt;=$C$1),$G40,0))*IF($A40="Residential",'General Inputs'!M$15,'General Inputs'!M$19)</f>
        <v>0</v>
      </c>
      <c r="DB40" s="214">
        <f>IF(AND(($E40+$C$1)&gt;DB$4,DB$4&gt;=$C$1),$H40,IF(AND(($D40+$C$1)&gt;DB$4,DB$4&gt;=$C$1),$G40,0))*IF($A40="Residential",'General Inputs'!N$15,'General Inputs'!N$19)</f>
        <v>0</v>
      </c>
      <c r="DC40" s="214">
        <f>IF(AND(($E40+$C$1)&gt;DC$4,DC$4&gt;=$C$1),$H40,IF(AND(($D40+$C$1)&gt;DC$4,DC$4&gt;=$C$1),$G40,0))*IF($A40="Residential",'General Inputs'!O$15,'General Inputs'!O$19)</f>
        <v>0</v>
      </c>
      <c r="DD40" s="214">
        <f>IF(AND(($E40+$C$1)&gt;DD$4,DD$4&gt;=$C$1),$H40,IF(AND(($D40+$C$1)&gt;DD$4,DD$4&gt;=$C$1),$G40,0))*IF($A40="Residential",'General Inputs'!P$15,'General Inputs'!P$19)</f>
        <v>0</v>
      </c>
      <c r="DE40" s="214">
        <f>IF(AND(($E40+$C$1)&gt;DE$4,DE$4&gt;=$C$1),$H40,IF(AND(($D40+$C$1)&gt;DE$4,DE$4&gt;=$C$1),$G40,0))*IF($A40="Residential",'General Inputs'!Q$15,'General Inputs'!Q$19)</f>
        <v>0</v>
      </c>
      <c r="DF40" s="214">
        <f>IF(AND(($E40+$C$1)&gt;DF$4,DF$4&gt;=$C$1),$H40,IF(AND(($D40+$C$1)&gt;DF$4,DF$4&gt;=$C$1),$G40,0))*IF($A40="Residential",'General Inputs'!R$15,'General Inputs'!R$19)</f>
        <v>0</v>
      </c>
      <c r="DG40" s="214">
        <f>IF(AND(($E40+$C$1)&gt;DG$4,DG$4&gt;=$C$1),$H40,IF(AND(($D40+$C$1)&gt;DG$4,DG$4&gt;=$C$1),$G40,0))*IF($A40="Residential",'General Inputs'!S$15,'General Inputs'!S$19)</f>
        <v>0</v>
      </c>
      <c r="DH40" s="214">
        <f>IF(AND(($E40+$C$1)&gt;DH$4,DH$4&gt;=$C$1),$H40,IF(AND(($D40+$C$1)&gt;DH$4,DH$4&gt;=$C$1),$G40,0))*IF($A40="Residential",'General Inputs'!T$15,'General Inputs'!T$19)</f>
        <v>0</v>
      </c>
      <c r="DI40" s="214">
        <f>IF(AND(($E40+$C$1)&gt;DI$4,DI$4&gt;=$C$1),$H40,IF(AND(($D40+$C$1)&gt;DI$4,DI$4&gt;=$C$1),$G40,0))*IF($A40="Residential",'General Inputs'!U$15,'General Inputs'!U$19)</f>
        <v>0</v>
      </c>
      <c r="DJ40" s="214">
        <f>IF(AND(($E40+$C$1)&gt;DJ$4,DJ$4&gt;=$C$1),$H40,IF(AND(($D40+$C$1)&gt;DJ$4,DJ$4&gt;=$C$1),$G40,0))*IF($A40="Residential",'General Inputs'!V$15,'General Inputs'!V$19)</f>
        <v>0</v>
      </c>
      <c r="DK40" s="214">
        <f>IF(AND(($E40+$C$1)&gt;DK$4,DK$4&gt;=$C$1),$H40,IF(AND(($D40+$C$1)&gt;DK$4,DK$4&gt;=$C$1),$G40,0))*IF($A40="Residential",'General Inputs'!W$15,'General Inputs'!W$19)</f>
        <v>0</v>
      </c>
      <c r="DM40" s="214">
        <f t="shared" si="78"/>
        <v>0</v>
      </c>
      <c r="DN40" s="214">
        <f t="shared" si="78"/>
        <v>0</v>
      </c>
      <c r="DO40" s="214">
        <f t="shared" si="78"/>
        <v>0</v>
      </c>
      <c r="DP40" s="214">
        <f t="shared" si="78"/>
        <v>0</v>
      </c>
      <c r="DQ40" s="214">
        <f t="shared" si="78"/>
        <v>0</v>
      </c>
      <c r="DR40" s="214">
        <f t="shared" si="78"/>
        <v>0</v>
      </c>
      <c r="DS40" s="214">
        <f t="shared" si="78"/>
        <v>0</v>
      </c>
      <c r="DT40" s="214">
        <f t="shared" si="78"/>
        <v>0</v>
      </c>
      <c r="DU40" s="214">
        <f t="shared" si="78"/>
        <v>0</v>
      </c>
      <c r="DV40" s="214">
        <f t="shared" si="78"/>
        <v>0</v>
      </c>
      <c r="DW40" s="214">
        <f t="shared" si="78"/>
        <v>0</v>
      </c>
      <c r="DZ40" s="650"/>
      <c r="FI40" s="195"/>
      <c r="FJ40" s="195"/>
      <c r="FK40" s="195"/>
      <c r="FL40" s="195"/>
      <c r="FM40" s="195"/>
      <c r="FN40" s="195"/>
      <c r="FO40" s="195"/>
    </row>
    <row r="41" spans="1:171">
      <c r="A41" s="343"/>
      <c r="B41" s="340" t="str">
        <f>'Portfolio Inputs'!A40</f>
        <v>C&amp;I Programs</v>
      </c>
      <c r="C41" s="350"/>
      <c r="D41" s="350"/>
      <c r="E41" s="350"/>
      <c r="G41" s="351"/>
      <c r="H41" s="351"/>
      <c r="I41" s="508"/>
      <c r="J41" s="517"/>
      <c r="L41" s="440"/>
      <c r="M41" s="440"/>
      <c r="N41" s="352"/>
      <c r="O41" s="352"/>
      <c r="Q41" s="353">
        <f t="shared" si="67"/>
        <v>1.5772654049524453</v>
      </c>
      <c r="R41" s="354">
        <f t="shared" si="68"/>
        <v>2.2840778396148065</v>
      </c>
      <c r="S41" s="354">
        <f t="shared" si="69"/>
        <v>1.9596377351211949</v>
      </c>
      <c r="T41" s="354">
        <f t="shared" si="70"/>
        <v>8.6631816710400571</v>
      </c>
      <c r="U41" s="354">
        <f>IF(AE41&gt;0,(AD41+AB41)/AE41,"n/a")</f>
        <v>7.8891314585953829</v>
      </c>
      <c r="V41" s="354">
        <f>IF((AA41+AC41+AD41)&gt;0,Y41/(AA41+AC41+AD41),"n/a")</f>
        <v>0.30884595270958998</v>
      </c>
      <c r="W41" s="354">
        <f>IF((AB41+AC41+AD41)&gt;0,Y41/(AB41+AC41+AD41),"n/a")</f>
        <v>0.33615165715262019</v>
      </c>
      <c r="X41" s="194"/>
      <c r="Y41" s="645">
        <f t="shared" si="4"/>
        <v>1117523.1952343001</v>
      </c>
      <c r="Z41" s="645">
        <f t="shared" si="5"/>
        <v>270918.2277362186</v>
      </c>
      <c r="AA41" s="645">
        <f t="shared" si="6"/>
        <v>3129117.1245021503</v>
      </c>
      <c r="AB41" s="645">
        <f t="shared" si="7"/>
        <v>2835194.6737580975</v>
      </c>
      <c r="AC41" s="352">
        <f>AC42+AC43+AC44</f>
        <v>328799.30160574761</v>
      </c>
      <c r="AD41" s="352">
        <f>AD42+AD43+AD44</f>
        <v>160467.38442924424</v>
      </c>
      <c r="AE41" s="645">
        <f t="shared" si="8"/>
        <v>379720.13445453515</v>
      </c>
      <c r="AG41" s="355">
        <f>AG42+AG43+AG44</f>
        <v>0</v>
      </c>
      <c r="AH41" s="355">
        <f t="shared" ref="AH41:AZ41" si="79">AH42+AH43+AH44</f>
        <v>0</v>
      </c>
      <c r="AI41" s="355">
        <f t="shared" si="79"/>
        <v>137656.38863127324</v>
      </c>
      <c r="AJ41" s="355">
        <f t="shared" si="79"/>
        <v>139721.23446074236</v>
      </c>
      <c r="AK41" s="355">
        <f t="shared" si="79"/>
        <v>141817.05297765345</v>
      </c>
      <c r="AL41" s="355">
        <f t="shared" si="79"/>
        <v>143944.30877231824</v>
      </c>
      <c r="AM41" s="355">
        <f t="shared" si="79"/>
        <v>146103.47340390299</v>
      </c>
      <c r="AN41" s="355">
        <f t="shared" si="79"/>
        <v>148295.02550496149</v>
      </c>
      <c r="AO41" s="355">
        <f t="shared" si="79"/>
        <v>150496.29202745558</v>
      </c>
      <c r="AP41" s="355">
        <f t="shared" si="79"/>
        <v>152753.73640786734</v>
      </c>
      <c r="AQ41" s="355">
        <f t="shared" si="79"/>
        <v>154946.78989874508</v>
      </c>
      <c r="AR41" s="355">
        <f t="shared" si="79"/>
        <v>157270.99174722622</v>
      </c>
      <c r="AS41" s="355">
        <f t="shared" si="79"/>
        <v>158341.36391249992</v>
      </c>
      <c r="AT41" s="355">
        <f t="shared" si="79"/>
        <v>160389.21128861437</v>
      </c>
      <c r="AU41" s="355">
        <f t="shared" si="79"/>
        <v>162795.04945794359</v>
      </c>
      <c r="AV41" s="355">
        <f t="shared" si="79"/>
        <v>165236.97519981273</v>
      </c>
      <c r="AW41" s="355">
        <f t="shared" si="79"/>
        <v>167715.52982780989</v>
      </c>
      <c r="AX41" s="355">
        <f t="shared" si="79"/>
        <v>2742.5308759508066</v>
      </c>
      <c r="AY41" s="355">
        <f t="shared" si="79"/>
        <v>2687.6802584317902</v>
      </c>
      <c r="AZ41" s="355">
        <f t="shared" si="79"/>
        <v>2727.9954623082667</v>
      </c>
      <c r="BB41" s="355">
        <f>BB42+BB43+BB44</f>
        <v>0</v>
      </c>
      <c r="BC41" s="355">
        <f t="shared" ref="BC41:BU41" si="80">BC42+BC43+BC44</f>
        <v>0</v>
      </c>
      <c r="BD41" s="355">
        <f t="shared" si="80"/>
        <v>36268.307450290056</v>
      </c>
      <c r="BE41" s="355">
        <f t="shared" si="80"/>
        <v>36268.307450290056</v>
      </c>
      <c r="BF41" s="355">
        <f t="shared" si="80"/>
        <v>36268.307450290056</v>
      </c>
      <c r="BG41" s="355">
        <f t="shared" si="80"/>
        <v>36268.307450290056</v>
      </c>
      <c r="BH41" s="355">
        <f t="shared" si="80"/>
        <v>36268.307450290056</v>
      </c>
      <c r="BI41" s="355">
        <f t="shared" si="80"/>
        <v>36268.307450290056</v>
      </c>
      <c r="BJ41" s="355">
        <f t="shared" si="80"/>
        <v>36262.744233589052</v>
      </c>
      <c r="BK41" s="355">
        <f t="shared" si="80"/>
        <v>36262.744233589052</v>
      </c>
      <c r="BL41" s="355">
        <f t="shared" si="80"/>
        <v>36238.789799137056</v>
      </c>
      <c r="BM41" s="355">
        <f t="shared" si="80"/>
        <v>36238.789799137056</v>
      </c>
      <c r="BN41" s="355">
        <f t="shared" si="80"/>
        <v>35947.118294956053</v>
      </c>
      <c r="BO41" s="355">
        <f t="shared" si="80"/>
        <v>35874.140813017584</v>
      </c>
      <c r="BP41" s="355">
        <f t="shared" si="80"/>
        <v>35874.140813017584</v>
      </c>
      <c r="BQ41" s="355">
        <f t="shared" si="80"/>
        <v>35874.140813017584</v>
      </c>
      <c r="BR41" s="355">
        <f t="shared" si="80"/>
        <v>35874.140813017584</v>
      </c>
      <c r="BS41" s="355">
        <f t="shared" si="80"/>
        <v>576.19030117500006</v>
      </c>
      <c r="BT41" s="355">
        <f t="shared" si="80"/>
        <v>556.32167010000001</v>
      </c>
      <c r="BU41" s="355">
        <f t="shared" si="80"/>
        <v>556.32167010000001</v>
      </c>
      <c r="BW41" s="355">
        <f>BW42+BW43+BW44</f>
        <v>0</v>
      </c>
      <c r="BX41" s="355">
        <f t="shared" ref="BX41:CP41" si="81">BX42+BX43+BX44</f>
        <v>0</v>
      </c>
      <c r="BY41" s="355">
        <f t="shared" si="81"/>
        <v>385409.31353334698</v>
      </c>
      <c r="BZ41" s="355">
        <f t="shared" si="81"/>
        <v>391190.45323634712</v>
      </c>
      <c r="CA41" s="355">
        <f t="shared" si="81"/>
        <v>397058.31003489229</v>
      </c>
      <c r="CB41" s="355">
        <f t="shared" si="81"/>
        <v>403014.18468541559</v>
      </c>
      <c r="CC41" s="355">
        <f t="shared" si="81"/>
        <v>409059.39745569677</v>
      </c>
      <c r="CD41" s="355">
        <f t="shared" si="81"/>
        <v>415195.28841753223</v>
      </c>
      <c r="CE41" s="355">
        <f t="shared" si="81"/>
        <v>421365.78917953785</v>
      </c>
      <c r="CF41" s="355">
        <f t="shared" si="81"/>
        <v>427686.27601723082</v>
      </c>
      <c r="CG41" s="355">
        <f t="shared" si="81"/>
        <v>433846.81675794255</v>
      </c>
      <c r="CH41" s="355">
        <f t="shared" si="81"/>
        <v>440354.51900931168</v>
      </c>
      <c r="CI41" s="355">
        <f t="shared" si="81"/>
        <v>443764.17984497244</v>
      </c>
      <c r="CJ41" s="355">
        <f t="shared" si="81"/>
        <v>449609.08173235628</v>
      </c>
      <c r="CK41" s="355">
        <f t="shared" si="81"/>
        <v>456353.21795834147</v>
      </c>
      <c r="CL41" s="355">
        <f t="shared" si="81"/>
        <v>463198.51622771664</v>
      </c>
      <c r="CM41" s="355">
        <f t="shared" si="81"/>
        <v>470146.49397113232</v>
      </c>
      <c r="CN41" s="355">
        <f t="shared" si="81"/>
        <v>6800.8360554285055</v>
      </c>
      <c r="CO41" s="355">
        <f t="shared" si="81"/>
        <v>6664.8193343199355</v>
      </c>
      <c r="CP41" s="355">
        <f t="shared" si="81"/>
        <v>6764.7916243347354</v>
      </c>
      <c r="CR41" s="355">
        <f>CR42+CR43+CR44</f>
        <v>0</v>
      </c>
      <c r="CS41" s="355">
        <f t="shared" ref="CS41:DK41" si="82">CS42+CS43+CS44</f>
        <v>0</v>
      </c>
      <c r="CT41" s="355">
        <f t="shared" si="82"/>
        <v>349235.47986307071</v>
      </c>
      <c r="CU41" s="355">
        <f t="shared" si="82"/>
        <v>354474.01206101669</v>
      </c>
      <c r="CV41" s="355">
        <f t="shared" si="82"/>
        <v>359791.12224193197</v>
      </c>
      <c r="CW41" s="355">
        <f t="shared" si="82"/>
        <v>365187.98907556082</v>
      </c>
      <c r="CX41" s="355">
        <f t="shared" si="82"/>
        <v>370665.80891169421</v>
      </c>
      <c r="CY41" s="355">
        <f t="shared" si="82"/>
        <v>376225.79604536959</v>
      </c>
      <c r="CZ41" s="355">
        <f t="shared" si="82"/>
        <v>381811.75442179281</v>
      </c>
      <c r="DA41" s="355">
        <f t="shared" si="82"/>
        <v>387538.93073811964</v>
      </c>
      <c r="DB41" s="355">
        <f t="shared" si="82"/>
        <v>393097.26129964471</v>
      </c>
      <c r="DC41" s="355">
        <f t="shared" si="82"/>
        <v>398993.7202191393</v>
      </c>
      <c r="DD41" s="355">
        <f t="shared" si="82"/>
        <v>401782.96907294751</v>
      </c>
      <c r="DE41" s="355">
        <f t="shared" si="82"/>
        <v>406998.15279875102</v>
      </c>
      <c r="DF41" s="355">
        <f t="shared" si="82"/>
        <v>413103.12509073218</v>
      </c>
      <c r="DG41" s="355">
        <f t="shared" si="82"/>
        <v>419299.67196709313</v>
      </c>
      <c r="DH41" s="355">
        <f t="shared" si="82"/>
        <v>425589.16704659944</v>
      </c>
      <c r="DI41" s="355">
        <f t="shared" si="82"/>
        <v>6800.8360554285055</v>
      </c>
      <c r="DJ41" s="355">
        <f t="shared" si="82"/>
        <v>6664.8193343199355</v>
      </c>
      <c r="DK41" s="355">
        <f t="shared" si="82"/>
        <v>6764.7916243347354</v>
      </c>
      <c r="DM41" s="355">
        <f>DM42+DM43+DM44</f>
        <v>0</v>
      </c>
      <c r="DN41" s="355">
        <f t="shared" ref="DN41:DW41" si="83">DN42+DN43+DN44</f>
        <v>0</v>
      </c>
      <c r="DO41" s="355">
        <f t="shared" si="83"/>
        <v>449822</v>
      </c>
      <c r="DP41" s="355">
        <f t="shared" si="83"/>
        <v>0</v>
      </c>
      <c r="DQ41" s="355">
        <f t="shared" si="83"/>
        <v>0</v>
      </c>
      <c r="DR41" s="355">
        <f t="shared" si="83"/>
        <v>0</v>
      </c>
      <c r="DS41" s="355">
        <f t="shared" si="83"/>
        <v>0</v>
      </c>
      <c r="DT41" s="355">
        <f t="shared" si="83"/>
        <v>0</v>
      </c>
      <c r="DU41" s="355">
        <f t="shared" si="83"/>
        <v>0</v>
      </c>
      <c r="DV41" s="355">
        <f t="shared" si="83"/>
        <v>0</v>
      </c>
      <c r="DW41" s="355">
        <f t="shared" si="83"/>
        <v>0</v>
      </c>
      <c r="DZ41" s="650"/>
      <c r="FO41" s="195"/>
    </row>
    <row r="42" spans="1:171">
      <c r="A42" s="441" t="s">
        <v>12</v>
      </c>
      <c r="B42" s="426" t="str">
        <f>'Portfolio Inputs'!A41</f>
        <v>SBDI</v>
      </c>
      <c r="C42" s="356">
        <f>IF($C$1=2014,'Portfolio Inputs'!$C41,IF($C$1=2015,'Portfolio Inputs'!$D41,'Portfolio Inputs'!$E41))</f>
        <v>150</v>
      </c>
      <c r="D42" s="527">
        <v>15</v>
      </c>
      <c r="E42" s="527"/>
      <c r="G42" s="615">
        <f>Sources!D113*C42*EnergyLineLoss</f>
        <v>1402659.1251247497</v>
      </c>
      <c r="H42" s="527"/>
      <c r="I42" s="443">
        <f>Sources!E113*C42*PeakLineLoss</f>
        <v>217.61947350000003</v>
      </c>
      <c r="J42" s="443"/>
      <c r="L42" s="607">
        <f>IF($C$1=2014,'Portfolio Inputs'!$O41,IF($C$1=2015,'Portfolio Inputs'!$P41,'Portfolio Inputs'!$Q41))</f>
        <v>1420</v>
      </c>
      <c r="M42" s="519"/>
      <c r="N42" s="453">
        <f>IF($C$1=2014,'Portfolio Inputs'!$W41,IF($C$1=2015,'Portfolio Inputs'!$X41,'Portfolio Inputs'!$Y41))</f>
        <v>127800</v>
      </c>
      <c r="O42" s="453">
        <f>IF($C$1=2014,'Portfolio Inputs'!$AA41,IF($C$1=2015,'Portfolio Inputs'!$AB41,'Portfolio Inputs'!$AC41))</f>
        <v>351258.3</v>
      </c>
      <c r="Q42" s="442">
        <f t="shared" si="67"/>
        <v>1.0386501470892209</v>
      </c>
      <c r="R42" s="443">
        <f t="shared" si="68"/>
        <v>1.2233729512489684</v>
      </c>
      <c r="S42" s="443">
        <f t="shared" si="69"/>
        <v>1.289638078082284</v>
      </c>
      <c r="T42" s="443">
        <f t="shared" si="70"/>
        <v>9.3653783761045162</v>
      </c>
      <c r="U42" s="443">
        <f>IF(AE42&gt;0,(AD42+AB42)/AE42,"n/a")</f>
        <v>7.7307078847322694</v>
      </c>
      <c r="V42" s="522">
        <f t="shared" ref="V42" si="84">IF((AA42+AC42+AD42)&gt;0,Y42/(AA42+AC42+AD42),"n/a")</f>
        <v>0.24980648294914282</v>
      </c>
      <c r="W42" s="522">
        <f t="shared" ref="W42" si="85">IF((AB42+AC42+AD42)&gt;0,Y42/(AB42+AC42+AD42),"n/a")</f>
        <v>0.293341626871987</v>
      </c>
      <c r="Y42" s="444">
        <f t="shared" si="4"/>
        <v>494732.19904650981</v>
      </c>
      <c r="Z42" s="444">
        <f t="shared" si="5"/>
        <v>119551.14181836769</v>
      </c>
      <c r="AA42" s="444">
        <f t="shared" si="6"/>
        <v>1576061.6635593788</v>
      </c>
      <c r="AB42" s="444">
        <f t="shared" si="7"/>
        <v>1282139.2128153255</v>
      </c>
      <c r="AC42" s="445">
        <f t="shared" ref="AC42" si="86">O42/((1+DiscountRate)^(IF($C$1=2015,1,IF($C$1=2016,2,0))))</f>
        <v>296516.95315985312</v>
      </c>
      <c r="AD42" s="445">
        <f t="shared" ref="AD42" si="87">N42/((1+DiscountRate)^(IF($C$1=2015,1,IF($C$1=2016,2,0))))</f>
        <v>107883.19198102715</v>
      </c>
      <c r="AE42" s="526">
        <f t="shared" si="8"/>
        <v>179805.31996837855</v>
      </c>
      <c r="AG42" s="520">
        <f>IF(AND(($E42+$C$1)&gt;AG$4,AG$4&gt;=$C$1),'General Inputs'!D$9*$H42,IF(AND(($D42+$C$1)&gt;AG$4,AG$4&gt;=$C$1),'General Inputs'!D$9*$G42,0))+IF(AND(($E42+$C$1)&gt;AG$4,AG$4&gt;=$C$1),'General Inputs'!D$10*$J42,IF(AND(($D42+$C$1)&gt;AG$4,AG$4&gt;=$C$1),'General Inputs'!D$10*$I42,0))</f>
        <v>0</v>
      </c>
      <c r="AH42" s="520">
        <f>IF(AND(($E42+$C$1)&gt;AH$4,AH$4&gt;=$C$1),'General Inputs'!E$9*$H42,IF(AND(($D42+$C$1)&gt;AH$4,AH$4&gt;=$C$1),'General Inputs'!E$9*$G42,0))+IF(AND(($E42+$C$1)&gt;AH$4,AH$4&gt;=$C$1),'General Inputs'!E$10*$J42,IF(AND(($D42+$C$1)&gt;AH$4,AH$4&gt;=$C$1),'General Inputs'!E$10*$I42,0))</f>
        <v>0</v>
      </c>
      <c r="AI42" s="520">
        <f>IF(AND(($E42+$C$1)&gt;AI$4,AI$4&gt;=$C$1),'General Inputs'!F$9*$H42,IF(AND(($D42+$C$1)&gt;AI$4,AI$4&gt;=$C$1),'General Inputs'!F$9*$G42,0))+IF(AND(($E42+$C$1)&gt;AI$4,AI$4&gt;=$C$1),'General Inputs'!F$10*$J42,IF(AND(($D42+$C$1)&gt;AI$4,AI$4&gt;=$C$1),'General Inputs'!F$10*$I42,0))</f>
        <v>60888.034358500117</v>
      </c>
      <c r="AJ42" s="520">
        <f>IF(AND(($E42+$C$1)&gt;AJ$4,AJ$4&gt;=$C$1),'General Inputs'!G$9*$H42,IF(AND(($D42+$C$1)&gt;AJ$4,AJ$4&gt;=$C$1),'General Inputs'!G$9*$G42,0))+IF(AND(($E42+$C$1)&gt;AJ$4,AJ$4&gt;=$C$1),'General Inputs'!G$10*$J42,IF(AND(($D42+$C$1)&gt;AJ$4,AJ$4&gt;=$C$1),'General Inputs'!G$10*$I42,0))</f>
        <v>61801.354873877608</v>
      </c>
      <c r="AK42" s="520">
        <f>IF(AND(($E42+$C$1)&gt;AK$4,AK$4&gt;=$C$1),'General Inputs'!H$9*$H42,IF(AND(($D42+$C$1)&gt;AK$4,AK$4&gt;=$C$1),'General Inputs'!H$9*$G42,0))+IF(AND(($E42+$C$1)&gt;AK$4,AK$4&gt;=$C$1),'General Inputs'!H$10*$J42,IF(AND(($D42+$C$1)&gt;AK$4,AK$4&gt;=$C$1),'General Inputs'!H$10*$I42,0))</f>
        <v>62728.375196985769</v>
      </c>
      <c r="AL42" s="520">
        <f>IF(AND(($E42+$C$1)&gt;AL$4,AL$4&gt;=$C$1),'General Inputs'!I$9*$H42,IF(AND(($D42+$C$1)&gt;AL$4,AL$4&gt;=$C$1),'General Inputs'!I$9*$G42,0))+IF(AND(($E42+$C$1)&gt;AL$4,AL$4&gt;=$C$1),'General Inputs'!I$10*$J42,IF(AND(($D42+$C$1)&gt;AL$4,AL$4&gt;=$C$1),'General Inputs'!I$10*$I42,0))</f>
        <v>63669.300824940547</v>
      </c>
      <c r="AM42" s="520">
        <f>IF(AND(($E42+$C$1)&gt;AM$4,AM$4&gt;=$C$1),'General Inputs'!J$9*$H42,IF(AND(($D42+$C$1)&gt;AM$4,AM$4&gt;=$C$1),'General Inputs'!J$9*$G42,0))+IF(AND(($E42+$C$1)&gt;AM$4,AM$4&gt;=$C$1),'General Inputs'!J$10*$J42,IF(AND(($D42+$C$1)&gt;AM$4,AM$4&gt;=$C$1),'General Inputs'!J$10*$I42,0))</f>
        <v>64624.340337314643</v>
      </c>
      <c r="AN42" s="520">
        <f>IF(AND(($E42+$C$1)&gt;AN$4,AN$4&gt;=$C$1),'General Inputs'!K$9*$H42,IF(AND(($D42+$C$1)&gt;AN$4,AN$4&gt;=$C$1),'General Inputs'!K$9*$G42,0))+IF(AND(($E42+$C$1)&gt;AN$4,AN$4&gt;=$C$1),'General Inputs'!K$10*$J42,IF(AND(($D42+$C$1)&gt;AN$4,AN$4&gt;=$C$1),'General Inputs'!K$10*$I42,0))</f>
        <v>65593.705442374354</v>
      </c>
      <c r="AO42" s="520">
        <f>IF(AND(($E42+$C$1)&gt;AO$4,AO$4&gt;=$C$1),'General Inputs'!L$9*$H42,IF(AND(($D42+$C$1)&gt;AO$4,AO$4&gt;=$C$1),'General Inputs'!L$9*$G42,0))+IF(AND(($E42+$C$1)&gt;AO$4,AO$4&gt;=$C$1),'General Inputs'!L$10*$J42,IF(AND(($D42+$C$1)&gt;AO$4,AO$4&gt;=$C$1),'General Inputs'!L$10*$I42,0))</f>
        <v>66577.611024009966</v>
      </c>
      <c r="AP42" s="520">
        <f>IF(AND(($E42+$C$1)&gt;AP$4,AP$4&gt;=$C$1),'General Inputs'!M$9*$H42,IF(AND(($D42+$C$1)&gt;AP$4,AP$4&gt;=$C$1),'General Inputs'!M$9*$G42,0))+IF(AND(($E42+$C$1)&gt;AP$4,AP$4&gt;=$C$1),'General Inputs'!M$10*$J42,IF(AND(($D42+$C$1)&gt;AP$4,AP$4&gt;=$C$1),'General Inputs'!M$10*$I42,0))</f>
        <v>67576.275189370106</v>
      </c>
      <c r="AQ42" s="520">
        <f>IF(AND(($E42+$C$1)&gt;AQ$4,AQ$4&gt;=$C$1),'General Inputs'!N$9*$H42,IF(AND(($D42+$C$1)&gt;AQ$4,AQ$4&gt;=$C$1),'General Inputs'!N$9*$G42,0))+IF(AND(($E42+$C$1)&gt;AQ$4,AQ$4&gt;=$C$1),'General Inputs'!N$10*$J42,IF(AND(($D42+$C$1)&gt;AQ$4,AQ$4&gt;=$C$1),'General Inputs'!N$10*$I42,0))</f>
        <v>68589.919317210646</v>
      </c>
      <c r="AR42" s="520">
        <f>IF(AND(($E42+$C$1)&gt;AR$4,AR$4&gt;=$C$1),'General Inputs'!O$9*$H42,IF(AND(($D42+$C$1)&gt;AR$4,AR$4&gt;=$C$1),'General Inputs'!O$9*$G42,0))+IF(AND(($E42+$C$1)&gt;AR$4,AR$4&gt;=$C$1),'General Inputs'!O$10*$J42,IF(AND(($D42+$C$1)&gt;AR$4,AR$4&gt;=$C$1),'General Inputs'!O$10*$I42,0))</f>
        <v>69618.768106968797</v>
      </c>
      <c r="AS42" s="520">
        <f>IF(AND(($E42+$C$1)&gt;AS$4,AS$4&gt;=$C$1),'General Inputs'!P$9*$H42,IF(AND(($D42+$C$1)&gt;AS$4,AS$4&gt;=$C$1),'General Inputs'!P$9*$G42,0))+IF(AND(($E42+$C$1)&gt;AS$4,AS$4&gt;=$C$1),'General Inputs'!P$10*$J42,IF(AND(($D42+$C$1)&gt;AS$4,AS$4&gt;=$C$1),'General Inputs'!P$10*$I42,0))</f>
        <v>70663.049628573324</v>
      </c>
      <c r="AT42" s="520">
        <f>IF(AND(($E42+$C$1)&gt;AT$4,AT$4&gt;=$C$1),'General Inputs'!Q$9*$H42,IF(AND(($D42+$C$1)&gt;AT$4,AT$4&gt;=$C$1),'General Inputs'!Q$9*$G42,0))+IF(AND(($E42+$C$1)&gt;AT$4,AT$4&gt;=$C$1),'General Inputs'!Q$10*$J42,IF(AND(($D42+$C$1)&gt;AT$4,AT$4&gt;=$C$1),'General Inputs'!Q$10*$I42,0))</f>
        <v>71722.995373001933</v>
      </c>
      <c r="AU42" s="520">
        <f>IF(AND(($E42+$C$1)&gt;AU$4,AU$4&gt;=$C$1),'General Inputs'!R$9*$H42,IF(AND(($D42+$C$1)&gt;AU$4,AU$4&gt;=$C$1),'General Inputs'!R$9*$G42,0))+IF(AND(($E42+$C$1)&gt;AU$4,AU$4&gt;=$C$1),'General Inputs'!R$10*$J42,IF(AND(($D42+$C$1)&gt;AU$4,AU$4&gt;=$C$1),'General Inputs'!R$10*$I42,0))</f>
        <v>72798.840303596953</v>
      </c>
      <c r="AV42" s="520">
        <f>IF(AND(($E42+$C$1)&gt;AV$4,AV$4&gt;=$C$1),'General Inputs'!S$9*$H42,IF(AND(($D42+$C$1)&gt;AV$4,AV$4&gt;=$C$1),'General Inputs'!S$9*$G42,0))+IF(AND(($E42+$C$1)&gt;AV$4,AV$4&gt;=$C$1),'General Inputs'!S$10*$J42,IF(AND(($D42+$C$1)&gt;AV$4,AV$4&gt;=$C$1),'General Inputs'!S$10*$I42,0))</f>
        <v>73890.822908150905</v>
      </c>
      <c r="AW42" s="520">
        <f>IF(AND(($E42+$C$1)&gt;AW$4,AW$4&gt;=$C$1),'General Inputs'!T$9*$H42,IF(AND(($D42+$C$1)&gt;AW$4,AW$4&gt;=$C$1),'General Inputs'!T$9*$G42,0))+IF(AND(($E42+$C$1)&gt;AW$4,AW$4&gt;=$C$1),'General Inputs'!T$10*$J42,IF(AND(($D42+$C$1)&gt;AW$4,AW$4&gt;=$C$1),'General Inputs'!T$10*$I42,0))</f>
        <v>74999.185251773146</v>
      </c>
      <c r="AX42" s="520">
        <f>IF(AND(($E42+$C$1)&gt;AX$4,AX$4&gt;=$C$1),'General Inputs'!U$9*$H42,IF(AND(($D42+$C$1)&gt;AX$4,AX$4&gt;=$C$1),'General Inputs'!U$9*$G42,0))+IF(AND(($E42+$C$1)&gt;AX$4,AX$4&gt;=$C$1),'General Inputs'!U$10*$J42,IF(AND(($D42+$C$1)&gt;AX$4,AX$4&gt;=$C$1),'General Inputs'!U$10*$I42,0))</f>
        <v>0</v>
      </c>
      <c r="AY42" s="520">
        <f>IF(AND(($E42+$C$1)&gt;AY$4,AY$4&gt;=$C$1),'General Inputs'!V$9*$H42,IF(AND(($D42+$C$1)&gt;AY$4,AY$4&gt;=$C$1),'General Inputs'!V$9*$G42,0))+IF(AND(($E42+$C$1)&gt;AY$4,AY$4&gt;=$C$1),'General Inputs'!V$10*$J42,IF(AND(($D42+$C$1)&gt;AY$4,AY$4&gt;=$C$1),'General Inputs'!V$10*$I42,0))</f>
        <v>0</v>
      </c>
      <c r="AZ42" s="520">
        <f>IF(AND(($E42+$C$1)&gt;AZ$4,AZ$4&gt;=$C$1),'General Inputs'!W$9*$H42,IF(AND(($D42+$C$1)&gt;AZ$4,AZ$4&gt;=$C$1),'General Inputs'!W$9*$G42,0))+IF(AND(($E42+$C$1)&gt;AZ$4,AZ$4&gt;=$C$1),'General Inputs'!W$10*$J42,IF(AND(($D42+$C$1)&gt;AZ$4,AZ$4&gt;=$C$1),'General Inputs'!W$10*$I42,0))</f>
        <v>0</v>
      </c>
      <c r="BB42" s="520">
        <f>IF(AND(($E42+$C$1)&gt;BB$4,BB$4&gt;=$C$1),'General Inputs'!D$11*$H42,IF(AND(($D42+$C$1)&gt;BB$4,BB$4&gt;=$C$1),'General Inputs'!D$11*$G42,0))</f>
        <v>0</v>
      </c>
      <c r="BC42" s="520">
        <f>IF(AND(($E42+$C$1)&gt;BC$4,BC$4&gt;=$C$1),'General Inputs'!E$11*$H42,IF(AND(($D42+$C$1)&gt;BC$4,BC$4&gt;=$C$1),'General Inputs'!E$11*$G42,0))</f>
        <v>0</v>
      </c>
      <c r="BD42" s="520">
        <f>IF(AND(($E42+$C$1)&gt;BD$4,BD$4&gt;=$C$1),'General Inputs'!F$11*$H42,IF(AND(($D42+$C$1)&gt;BD$4,BD$4&gt;=$C$1),'General Inputs'!F$11*$G42,0))</f>
        <v>15990.314026422147</v>
      </c>
      <c r="BE42" s="520">
        <f>IF(AND(($E42+$C$1)&gt;BE$4,BE$4&gt;=$C$1),'General Inputs'!G$11*$H42,IF(AND(($D42+$C$1)&gt;BE$4,BE$4&gt;=$C$1),'General Inputs'!G$11*$G42,0))</f>
        <v>15990.314026422147</v>
      </c>
      <c r="BF42" s="520">
        <f>IF(AND(($E42+$C$1)&gt;BF$4,BF$4&gt;=$C$1),'General Inputs'!H$11*$H42,IF(AND(($D42+$C$1)&gt;BF$4,BF$4&gt;=$C$1),'General Inputs'!H$11*$G42,0))</f>
        <v>15990.314026422147</v>
      </c>
      <c r="BG42" s="520">
        <f>IF(AND(($E42+$C$1)&gt;BG$4,BG$4&gt;=$C$1),'General Inputs'!I$11*$H42,IF(AND(($D42+$C$1)&gt;BG$4,BG$4&gt;=$C$1),'General Inputs'!I$11*$G42,0))</f>
        <v>15990.314026422147</v>
      </c>
      <c r="BH42" s="520">
        <f>IF(AND(($E42+$C$1)&gt;BH$4,BH$4&gt;=$C$1),'General Inputs'!J$11*$H42,IF(AND(($D42+$C$1)&gt;BH$4,BH$4&gt;=$C$1),'General Inputs'!J$11*$G42,0))</f>
        <v>15990.314026422147</v>
      </c>
      <c r="BI42" s="520">
        <f>IF(AND(($E42+$C$1)&gt;BI$4,BI$4&gt;=$C$1),'General Inputs'!K$11*$H42,IF(AND(($D42+$C$1)&gt;BI$4,BI$4&gt;=$C$1),'General Inputs'!K$11*$G42,0))</f>
        <v>15990.314026422147</v>
      </c>
      <c r="BJ42" s="520">
        <f>IF(AND(($E42+$C$1)&gt;BJ$4,BJ$4&gt;=$C$1),'General Inputs'!L$11*$H42,IF(AND(($D42+$C$1)&gt;BJ$4,BJ$4&gt;=$C$1),'General Inputs'!L$11*$G42,0))</f>
        <v>15990.314026422147</v>
      </c>
      <c r="BK42" s="520">
        <f>IF(AND(($E42+$C$1)&gt;BK$4,BK$4&gt;=$C$1),'General Inputs'!M$11*$H42,IF(AND(($D42+$C$1)&gt;BK$4,BK$4&gt;=$C$1),'General Inputs'!M$11*$G42,0))</f>
        <v>15990.314026422147</v>
      </c>
      <c r="BL42" s="520">
        <f>IF(AND(($E42+$C$1)&gt;BL$4,BL$4&gt;=$C$1),'General Inputs'!N$11*$H42,IF(AND(($D42+$C$1)&gt;BL$4,BL$4&gt;=$C$1),'General Inputs'!N$11*$G42,0))</f>
        <v>15990.314026422147</v>
      </c>
      <c r="BM42" s="520">
        <f>IF(AND(($E42+$C$1)&gt;BM$4,BM$4&gt;=$C$1),'General Inputs'!O$11*$H42,IF(AND(($D42+$C$1)&gt;BM$4,BM$4&gt;=$C$1),'General Inputs'!O$11*$G42,0))</f>
        <v>15990.314026422147</v>
      </c>
      <c r="BN42" s="520">
        <f>IF(AND(($E42+$C$1)&gt;BN$4,BN$4&gt;=$C$1),'General Inputs'!P$11*$H42,IF(AND(($D42+$C$1)&gt;BN$4,BN$4&gt;=$C$1),'General Inputs'!P$11*$G42,0))</f>
        <v>15990.314026422147</v>
      </c>
      <c r="BO42" s="520">
        <f>IF(AND(($E42+$C$1)&gt;BO$4,BO$4&gt;=$C$1),'General Inputs'!Q$11*$H42,IF(AND(($D42+$C$1)&gt;BO$4,BO$4&gt;=$C$1),'General Inputs'!Q$11*$G42,0))</f>
        <v>15990.314026422147</v>
      </c>
      <c r="BP42" s="520">
        <f>IF(AND(($E42+$C$1)&gt;BP$4,BP$4&gt;=$C$1),'General Inputs'!R$11*$H42,IF(AND(($D42+$C$1)&gt;BP$4,BP$4&gt;=$C$1),'General Inputs'!R$11*$G42,0))</f>
        <v>15990.314026422147</v>
      </c>
      <c r="BQ42" s="520">
        <f>IF(AND(($E42+$C$1)&gt;BQ$4,BQ$4&gt;=$C$1),'General Inputs'!S$11*$H42,IF(AND(($D42+$C$1)&gt;BQ$4,BQ$4&gt;=$C$1),'General Inputs'!S$11*$G42,0))</f>
        <v>15990.314026422147</v>
      </c>
      <c r="BR42" s="520">
        <f>IF(AND(($E42+$C$1)&gt;BR$4,BR$4&gt;=$C$1),'General Inputs'!T$11*$H42,IF(AND(($D42+$C$1)&gt;BR$4,BR$4&gt;=$C$1),'General Inputs'!T$11*$G42,0))</f>
        <v>15990.314026422147</v>
      </c>
      <c r="BS42" s="520">
        <f>IF(AND(($E42+$C$1)&gt;BS$4,BS$4&gt;=$C$1),'General Inputs'!U$11*$H42,IF(AND(($D42+$C$1)&gt;BS$4,BS$4&gt;=$C$1),'General Inputs'!U$11*$G42,0))</f>
        <v>0</v>
      </c>
      <c r="BT42" s="520">
        <f>IF(AND(($E42+$C$1)&gt;BT$4,BT$4&gt;=$C$1),'General Inputs'!V$11*$H42,IF(AND(($D42+$C$1)&gt;BT$4,BT$4&gt;=$C$1),'General Inputs'!V$11*$G42,0))</f>
        <v>0</v>
      </c>
      <c r="BU42" s="520">
        <f>IF(AND(($E42+$C$1)&gt;BU$4,BU$4&gt;=$C$1),'General Inputs'!W$11*$H42,IF(AND(($D42+$C$1)&gt;BU$4,BU$4&gt;=$C$1),'General Inputs'!W$11*$G42,0))</f>
        <v>0</v>
      </c>
      <c r="BW42" s="520">
        <f>IF(AND(($E42+$C$1)&gt;BW$4,BW$4&gt;=$C$1),$H42,IF(AND(($D42+$C$1)&gt;BW$4,BW$4&gt;=$C$1),$G42,0))*IF($A42="Residential",'General Inputs'!D$14,'General Inputs'!D$19)</f>
        <v>0</v>
      </c>
      <c r="BX42" s="520">
        <f>IF(AND(($E42+$C$1)&gt;BX$4,BX$4&gt;=$C$1),$H42,IF(AND(($D42+$C$1)&gt;BX$4,BX$4&gt;=$C$1),$G42,0))*IF($A42="Residential",'General Inputs'!E$14,'General Inputs'!E$19)</f>
        <v>0</v>
      </c>
      <c r="BY42" s="520">
        <f>IF(AND(($E42+$C$1)&gt;BY$4,BY$4&gt;=$C$1),$H42,IF(AND(($D42+$C$1)&gt;BY$4,BY$4&gt;=$C$1),$G42,0))*IF($A42="Residential",'General Inputs'!F$14,'General Inputs'!F$19)</f>
        <v>193970.18610647734</v>
      </c>
      <c r="BZ42" s="520">
        <f>IF(AND(($E42+$C$1)&gt;BZ$4,BZ$4&gt;=$C$1),$H42,IF(AND(($D42+$C$1)&gt;BZ$4,BZ$4&gt;=$C$1),$G42,0))*IF($A42="Residential",'General Inputs'!G$14,'General Inputs'!G$19)</f>
        <v>196879.73889807446</v>
      </c>
      <c r="CA42" s="520">
        <f>IF(AND(($E42+$C$1)&gt;CA$4,CA$4&gt;=$C$1),$H42,IF(AND(($D42+$C$1)&gt;CA$4,CA$4&gt;=$C$1),$G42,0))*IF($A42="Residential",'General Inputs'!H$14,'General Inputs'!H$19)</f>
        <v>199832.93498154555</v>
      </c>
      <c r="CB42" s="520">
        <f>IF(AND(($E42+$C$1)&gt;CB$4,CB$4&gt;=$C$1),$H42,IF(AND(($D42+$C$1)&gt;CB$4,CB$4&gt;=$C$1),$G42,0))*IF($A42="Residential",'General Inputs'!I$14,'General Inputs'!I$19)</f>
        <v>202830.42900626874</v>
      </c>
      <c r="CC42" s="520">
        <f>IF(AND(($E42+$C$1)&gt;CC$4,CC$4&gt;=$C$1),$H42,IF(AND(($D42+$C$1)&gt;CC$4,CC$4&gt;=$C$1),$G42,0))*IF($A42="Residential",'General Inputs'!J$14,'General Inputs'!J$19)</f>
        <v>205872.88544136271</v>
      </c>
      <c r="CD42" s="520">
        <f>IF(AND(($E42+$C$1)&gt;CD$4,CD$4&gt;=$C$1),$H42,IF(AND(($D42+$C$1)&gt;CD$4,CD$4&gt;=$C$1),$G42,0))*IF($A42="Residential",'General Inputs'!K$14,'General Inputs'!K$19)</f>
        <v>208960.97872298313</v>
      </c>
      <c r="CE42" s="520">
        <f>IF(AND(($E42+$C$1)&gt;CE$4,CE$4&gt;=$C$1),$H42,IF(AND(($D42+$C$1)&gt;CE$4,CE$4&gt;=$C$1),$G42,0))*IF($A42="Residential",'General Inputs'!L$14,'General Inputs'!L$19)</f>
        <v>212095.39340382785</v>
      </c>
      <c r="CF42" s="520">
        <f>IF(AND(($E42+$C$1)&gt;CF$4,CF$4&gt;=$C$1),$H42,IF(AND(($D42+$C$1)&gt;CF$4,CF$4&gt;=$C$1),$G42,0))*IF($A42="Residential",'General Inputs'!M$14,'General Inputs'!M$19)</f>
        <v>215276.82430488523</v>
      </c>
      <c r="CG42" s="520">
        <f>IF(AND(($E42+$C$1)&gt;CG$4,CG$4&gt;=$C$1),$H42,IF(AND(($D42+$C$1)&gt;CG$4,CG$4&gt;=$C$1),$G42,0))*IF($A42="Residential",'General Inputs'!N$14,'General Inputs'!N$19)</f>
        <v>218505.9766694585</v>
      </c>
      <c r="CH42" s="520">
        <f>IF(AND(($E42+$C$1)&gt;CH$4,CH$4&gt;=$C$1),$H42,IF(AND(($D42+$C$1)&gt;CH$4,CH$4&gt;=$C$1),$G42,0))*IF($A42="Residential",'General Inputs'!O$14,'General Inputs'!O$19)</f>
        <v>221783.56631950036</v>
      </c>
      <c r="CI42" s="520">
        <f>IF(AND(($E42+$C$1)&gt;CI$4,CI$4&gt;=$C$1),$H42,IF(AND(($D42+$C$1)&gt;CI$4,CI$4&gt;=$C$1),$G42,0))*IF($A42="Residential",'General Inputs'!P$14,'General Inputs'!P$19)</f>
        <v>225110.31981429283</v>
      </c>
      <c r="CJ42" s="520">
        <f>IF(AND(($E42+$C$1)&gt;CJ$4,CJ$4&gt;=$C$1),$H42,IF(AND(($D42+$C$1)&gt;CJ$4,CJ$4&gt;=$C$1),$G42,0))*IF($A42="Residential",'General Inputs'!Q$14,'General Inputs'!Q$19)</f>
        <v>228486.9746115072</v>
      </c>
      <c r="CK42" s="520">
        <f>IF(AND(($E42+$C$1)&gt;CK$4,CK$4&gt;=$C$1),$H42,IF(AND(($D42+$C$1)&gt;CK$4,CK$4&gt;=$C$1),$G42,0))*IF($A42="Residential",'General Inputs'!R$14,'General Inputs'!R$19)</f>
        <v>231914.27923067976</v>
      </c>
      <c r="CL42" s="520">
        <f>IF(AND(($E42+$C$1)&gt;CL$4,CL$4&gt;=$C$1),$H42,IF(AND(($D42+$C$1)&gt;CL$4,CL$4&gt;=$C$1),$G42,0))*IF($A42="Residential",'General Inputs'!S$14,'General Inputs'!S$19)</f>
        <v>235392.99341913997</v>
      </c>
      <c r="CM42" s="520">
        <f>IF(AND(($E42+$C$1)&gt;CM$4,CM$4&gt;=$C$1),$H42,IF(AND(($D42+$C$1)&gt;CM$4,CM$4&gt;=$C$1),$G42,0))*IF($A42="Residential",'General Inputs'!T$14,'General Inputs'!T$19)</f>
        <v>238923.88832042704</v>
      </c>
      <c r="CN42" s="520">
        <f>IF(AND(($E42+$C$1)&gt;CN$4,CN$4&gt;=$C$1),$H42,IF(AND(($D42+$C$1)&gt;CN$4,CN$4&gt;=$C$1),$G42,0))*IF($A42="Residential",'General Inputs'!U$14,'General Inputs'!U$19)</f>
        <v>0</v>
      </c>
      <c r="CO42" s="520">
        <f>IF(AND(($E42+$C$1)&gt;CO$4,CO$4&gt;=$C$1),$H42,IF(AND(($D42+$C$1)&gt;CO$4,CO$4&gt;=$C$1),$G42,0))*IF($A42="Residential",'General Inputs'!V$14,'General Inputs'!V$19)</f>
        <v>0</v>
      </c>
      <c r="CP42" s="520">
        <f>IF(AND(($E42+$C$1)&gt;CP$4,CP$4&gt;=$C$1),$H42,IF(AND(($D42+$C$1)&gt;CP$4,CP$4&gt;=$C$1),$G42,0))*IF($A42="Residential",'General Inputs'!W$14,'General Inputs'!W$19)</f>
        <v>0</v>
      </c>
      <c r="CR42" s="520">
        <f>IF(AND(($E42+$C$1)&gt;CR$4,CR$4&gt;=$C$1),$H42,IF(AND(($D42+$C$1)&gt;CR$4,CR$4&gt;=$C$1),$G42,0))*IF($A42="Residential",'General Inputs'!D$15,'General Inputs'!D$19)</f>
        <v>0</v>
      </c>
      <c r="CS42" s="520">
        <f>IF(AND(($E42+$C$1)&gt;CS$4,CS$4&gt;=$C$1),$H42,IF(AND(($D42+$C$1)&gt;CS$4,CS$4&gt;=$C$1),$G42,0))*IF($A42="Residential",'General Inputs'!E$15,'General Inputs'!E$19)</f>
        <v>0</v>
      </c>
      <c r="CT42" s="520">
        <f>IF(AND(($E42+$C$1)&gt;CT$4,CT$4&gt;=$C$1),$H42,IF(AND(($D42+$C$1)&gt;CT$4,CT$4&gt;=$C$1),$G42,0))*IF($A42="Residential",'General Inputs'!F$15,'General Inputs'!F$19)</f>
        <v>157796.35243620104</v>
      </c>
      <c r="CU42" s="520">
        <f>IF(AND(($E42+$C$1)&gt;CU$4,CU$4&gt;=$C$1),$H42,IF(AND(($D42+$C$1)&gt;CU$4,CU$4&gt;=$C$1),$G42,0))*IF($A42="Residential",'General Inputs'!G$15,'General Inputs'!G$19)</f>
        <v>160163.29772274403</v>
      </c>
      <c r="CV42" s="520">
        <f>IF(AND(($E42+$C$1)&gt;CV$4,CV$4&gt;=$C$1),$H42,IF(AND(($D42+$C$1)&gt;CV$4,CV$4&gt;=$C$1),$G42,0))*IF($A42="Residential",'General Inputs'!H$15,'General Inputs'!H$19)</f>
        <v>162565.7471885852</v>
      </c>
      <c r="CW42" s="520">
        <f>IF(AND(($E42+$C$1)&gt;CW$4,CW$4&gt;=$C$1),$H42,IF(AND(($D42+$C$1)&gt;CW$4,CW$4&gt;=$C$1),$G42,0))*IF($A42="Residential",'General Inputs'!I$15,'General Inputs'!I$19)</f>
        <v>165004.23339641394</v>
      </c>
      <c r="CX42" s="520">
        <f>IF(AND(($E42+$C$1)&gt;CX$4,CX$4&gt;=$C$1),$H42,IF(AND(($D42+$C$1)&gt;CX$4,CX$4&gt;=$C$1),$G42,0))*IF($A42="Residential",'General Inputs'!J$15,'General Inputs'!J$19)</f>
        <v>167479.29689736015</v>
      </c>
      <c r="CY42" s="520">
        <f>IF(AND(($E42+$C$1)&gt;CY$4,CY$4&gt;=$C$1),$H42,IF(AND(($D42+$C$1)&gt;CY$4,CY$4&gt;=$C$1),$G42,0))*IF($A42="Residential",'General Inputs'!K$15,'General Inputs'!K$19)</f>
        <v>169991.48635082052</v>
      </c>
      <c r="CZ42" s="520">
        <f>IF(AND(($E42+$C$1)&gt;CZ$4,CZ$4&gt;=$C$1),$H42,IF(AND(($D42+$C$1)&gt;CZ$4,CZ$4&gt;=$C$1),$G42,0))*IF($A42="Residential",'General Inputs'!L$15,'General Inputs'!L$19)</f>
        <v>172541.35864608281</v>
      </c>
      <c r="DA42" s="520">
        <f>IF(AND(($E42+$C$1)&gt;DA$4,DA$4&gt;=$C$1),$H42,IF(AND(($D42+$C$1)&gt;DA$4,DA$4&gt;=$C$1),$G42,0))*IF($A42="Residential",'General Inputs'!M$15,'General Inputs'!M$19)</f>
        <v>175129.47902577405</v>
      </c>
      <c r="DB42" s="520">
        <f>IF(AND(($E42+$C$1)&gt;DB$4,DB$4&gt;=$C$1),$H42,IF(AND(($D42+$C$1)&gt;DB$4,DB$4&gt;=$C$1),$G42,0))*IF($A42="Residential",'General Inputs'!N$15,'General Inputs'!N$19)</f>
        <v>177756.42121116063</v>
      </c>
      <c r="DC42" s="520">
        <f>IF(AND(($E42+$C$1)&gt;DC$4,DC$4&gt;=$C$1),$H42,IF(AND(($D42+$C$1)&gt;DC$4,DC$4&gt;=$C$1),$G42,0))*IF($A42="Residential",'General Inputs'!O$15,'General Inputs'!O$19)</f>
        <v>180422.767529328</v>
      </c>
      <c r="DD42" s="520">
        <f>IF(AND(($E42+$C$1)&gt;DD$4,DD$4&gt;=$C$1),$H42,IF(AND(($D42+$C$1)&gt;DD$4,DD$4&gt;=$C$1),$G42,0))*IF($A42="Residential",'General Inputs'!P$15,'General Inputs'!P$19)</f>
        <v>183129.10904226793</v>
      </c>
      <c r="DE42" s="520">
        <f>IF(AND(($E42+$C$1)&gt;DE$4,DE$4&gt;=$C$1),$H42,IF(AND(($D42+$C$1)&gt;DE$4,DE$4&gt;=$C$1),$G42,0))*IF($A42="Residential",'General Inputs'!Q$15,'General Inputs'!Q$19)</f>
        <v>185876.04567790194</v>
      </c>
      <c r="DF42" s="520">
        <f>IF(AND(($E42+$C$1)&gt;DF$4,DF$4&gt;=$C$1),$H42,IF(AND(($D42+$C$1)&gt;DF$4,DF$4&gt;=$C$1),$G42,0))*IF($A42="Residential",'General Inputs'!R$15,'General Inputs'!R$19)</f>
        <v>188664.18636307045</v>
      </c>
      <c r="DG42" s="520">
        <f>IF(AND(($E42+$C$1)&gt;DG$4,DG$4&gt;=$C$1),$H42,IF(AND(($D42+$C$1)&gt;DG$4,DG$4&gt;=$C$1),$G42,0))*IF($A42="Residential",'General Inputs'!S$15,'General Inputs'!S$19)</f>
        <v>191494.14915851646</v>
      </c>
      <c r="DH42" s="520">
        <f>IF(AND(($E42+$C$1)&gt;DH$4,DH$4&gt;=$C$1),$H42,IF(AND(($D42+$C$1)&gt;DH$4,DH$4&gt;=$C$1),$G42,0))*IF($A42="Residential",'General Inputs'!T$15,'General Inputs'!T$19)</f>
        <v>194366.56139589418</v>
      </c>
      <c r="DI42" s="520">
        <f>IF(AND(($E42+$C$1)&gt;DI$4,DI$4&gt;=$C$1),$H42,IF(AND(($D42+$C$1)&gt;DI$4,DI$4&gt;=$C$1),$G42,0))*IF($A42="Residential",'General Inputs'!U$15,'General Inputs'!U$19)</f>
        <v>0</v>
      </c>
      <c r="DJ42" s="520">
        <f>IF(AND(($E42+$C$1)&gt;DJ$4,DJ$4&gt;=$C$1),$H42,IF(AND(($D42+$C$1)&gt;DJ$4,DJ$4&gt;=$C$1),$G42,0))*IF($A42="Residential",'General Inputs'!V$15,'General Inputs'!V$19)</f>
        <v>0</v>
      </c>
      <c r="DK42" s="520">
        <f>IF(AND(($E42+$C$1)&gt;DK$4,DK$4&gt;=$C$1),$H42,IF(AND(($D42+$C$1)&gt;DK$4,DK$4&gt;=$C$1),$G42,0))*IF($A42="Residential",'General Inputs'!W$15,'General Inputs'!W$19)</f>
        <v>0</v>
      </c>
      <c r="DM42" s="524">
        <f>IF($C$1=DM$4,$L42*$C42,IF($E42+$C$1=DM$4,-$M42*$C42,0))</f>
        <v>0</v>
      </c>
      <c r="DN42" s="524">
        <f t="shared" si="78"/>
        <v>0</v>
      </c>
      <c r="DO42" s="524">
        <f t="shared" si="78"/>
        <v>213000</v>
      </c>
      <c r="DP42" s="524">
        <f t="shared" si="78"/>
        <v>0</v>
      </c>
      <c r="DQ42" s="524">
        <f t="shared" si="78"/>
        <v>0</v>
      </c>
      <c r="DR42" s="524">
        <f t="shared" si="78"/>
        <v>0</v>
      </c>
      <c r="DS42" s="524">
        <f t="shared" si="78"/>
        <v>0</v>
      </c>
      <c r="DT42" s="524">
        <f t="shared" si="78"/>
        <v>0</v>
      </c>
      <c r="DU42" s="524">
        <f t="shared" si="78"/>
        <v>0</v>
      </c>
      <c r="DV42" s="524">
        <f t="shared" si="78"/>
        <v>0</v>
      </c>
      <c r="DW42" s="524">
        <f t="shared" si="78"/>
        <v>0</v>
      </c>
      <c r="DZ42" s="650"/>
      <c r="FI42" s="195"/>
      <c r="FJ42" s="195"/>
      <c r="FK42" s="195"/>
      <c r="FL42" s="195"/>
      <c r="FM42" s="195"/>
      <c r="FN42" s="195"/>
      <c r="FO42" s="195"/>
    </row>
    <row r="43" spans="1:171">
      <c r="A43" s="441" t="s">
        <v>112</v>
      </c>
      <c r="B43" s="426" t="str">
        <f>'Portfolio Inputs'!A42</f>
        <v>C&amp;I Custom</v>
      </c>
      <c r="C43" s="356">
        <f>IF($C$1=2014,'Portfolio Inputs'!$C42,IF($C$1=2015,'Portfolio Inputs'!$D42,'Portfolio Inputs'!$E42))</f>
        <v>30</v>
      </c>
      <c r="D43" s="503">
        <v>15</v>
      </c>
      <c r="E43" s="503"/>
      <c r="G43" s="514">
        <f>IF($C$1=2014,'Portfolio Inputs'!$G42,IF($C$1=2015,'Portfolio Inputs'!$H42,'Portfolio Inputs'!$I42))*EnergyLineLoss</f>
        <v>947039.97384537582</v>
      </c>
      <c r="H43" s="514"/>
      <c r="I43" s="511">
        <f>IF($C$1=2014,'Portfolio Inputs'!$K42,IF($C$1=2015,'Portfolio Inputs'!$L42,'Portfolio Inputs'!$M42))*PeakLineLoss</f>
        <v>141.88319746410642</v>
      </c>
      <c r="J43" s="511"/>
      <c r="L43" s="607">
        <f>IF($C$1=2014,'Portfolio Inputs'!$O42,IF($C$1=2015,'Portfolio Inputs'!$P42,'Portfolio Inputs'!$Q42))</f>
        <v>3630</v>
      </c>
      <c r="M43" s="453"/>
      <c r="N43" s="453">
        <f>IF($C$1=2014,'Portfolio Inputs'!$W42,IF($C$1=2015,'Portfolio Inputs'!$X42,'Portfolio Inputs'!$Y42))</f>
        <v>21780</v>
      </c>
      <c r="O43" s="453">
        <f>IF($C$1=2014,'Portfolio Inputs'!$AA42,IF($C$1=2015,'Portfolio Inputs'!$AB42,'Portfolio Inputs'!$AC42))</f>
        <v>10693.980000000001</v>
      </c>
      <c r="Q43" s="442">
        <f t="shared" si="67"/>
        <v>3.302407380586899</v>
      </c>
      <c r="R43" s="443">
        <f t="shared" si="68"/>
        <v>12.16198452501855</v>
      </c>
      <c r="S43" s="443">
        <f t="shared" si="69"/>
        <v>4.1019426838909734</v>
      </c>
      <c r="T43" s="443">
        <f t="shared" si="70"/>
        <v>9.2087865999320826</v>
      </c>
      <c r="U43" s="443">
        <f>IF(AE43&gt;0,(AD43+AB43)/AE43,"n/a")</f>
        <v>9.2087865999320826</v>
      </c>
      <c r="V43" s="522">
        <f t="shared" si="72"/>
        <v>0.38967540636482684</v>
      </c>
      <c r="W43" s="522">
        <f t="shared" si="73"/>
        <v>0.38967540636482684</v>
      </c>
      <c r="Y43" s="444">
        <f t="shared" si="4"/>
        <v>333397.93006238411</v>
      </c>
      <c r="Z43" s="444">
        <f t="shared" si="5"/>
        <v>80717.908002617682</v>
      </c>
      <c r="AA43" s="444">
        <f t="shared" si="6"/>
        <v>828165.458925816</v>
      </c>
      <c r="AB43" s="444">
        <f t="shared" si="7"/>
        <v>828165.458925816</v>
      </c>
      <c r="AC43" s="445">
        <f t="shared" si="20"/>
        <v>9027.3919982884581</v>
      </c>
      <c r="AD43" s="445">
        <f t="shared" si="21"/>
        <v>18385.72708409054</v>
      </c>
      <c r="AE43" s="526">
        <f t="shared" si="8"/>
        <v>91928.635420452702</v>
      </c>
      <c r="AG43" s="520">
        <f>IF(AND(($E43+$C$1)&gt;AG$4,AG$4&gt;=$C$1),'General Inputs'!D$9*$H43,IF(AND(($D43+$C$1)&gt;AG$4,AG$4&gt;=$C$1),'General Inputs'!D$9*$G43,0))+IF(AND(($E43+$C$1)&gt;AG$4,AG$4&gt;=$C$1),'General Inputs'!D$10*$J43,IF(AND(($D43+$C$1)&gt;AG$4,AG$4&gt;=$C$1),'General Inputs'!D$10*$I43,0))</f>
        <v>0</v>
      </c>
      <c r="AH43" s="520">
        <f>IF(AND(($E43+$C$1)&gt;AH$4,AH$4&gt;=$C$1),'General Inputs'!E$9*$H43,IF(AND(($D43+$C$1)&gt;AH$4,AH$4&gt;=$C$1),'General Inputs'!E$9*$G43,0))+IF(AND(($E43+$C$1)&gt;AH$4,AH$4&gt;=$C$1),'General Inputs'!E$10*$J43,IF(AND(($D43+$C$1)&gt;AH$4,AH$4&gt;=$C$1),'General Inputs'!E$10*$I43,0))</f>
        <v>0</v>
      </c>
      <c r="AI43" s="520">
        <f>IF(AND(($E43+$C$1)&gt;AI$4,AI$4&gt;=$C$1),'General Inputs'!F$9*$H43,IF(AND(($D43+$C$1)&gt;AI$4,AI$4&gt;=$C$1),'General Inputs'!F$9*$G43,0))+IF(AND(($E43+$C$1)&gt;AI$4,AI$4&gt;=$C$1),'General Inputs'!F$10*$J43,IF(AND(($D43+$C$1)&gt;AI$4,AI$4&gt;=$C$1),'General Inputs'!F$10*$I43,0))</f>
        <v>41032.188039943736</v>
      </c>
      <c r="AJ43" s="520">
        <f>IF(AND(($E43+$C$1)&gt;AJ$4,AJ$4&gt;=$C$1),'General Inputs'!G$9*$H43,IF(AND(($D43+$C$1)&gt;AJ$4,AJ$4&gt;=$C$1),'General Inputs'!G$9*$G43,0))+IF(AND(($E43+$C$1)&gt;AJ$4,AJ$4&gt;=$C$1),'General Inputs'!G$10*$J43,IF(AND(($D43+$C$1)&gt;AJ$4,AJ$4&gt;=$C$1),'General Inputs'!G$10*$I43,0))</f>
        <v>41647.670860542894</v>
      </c>
      <c r="AK43" s="520">
        <f>IF(AND(($E43+$C$1)&gt;AK$4,AK$4&gt;=$C$1),'General Inputs'!H$9*$H43,IF(AND(($D43+$C$1)&gt;AK$4,AK$4&gt;=$C$1),'General Inputs'!H$9*$G43,0))+IF(AND(($E43+$C$1)&gt;AK$4,AK$4&gt;=$C$1),'General Inputs'!H$10*$J43,IF(AND(($D43+$C$1)&gt;AK$4,AK$4&gt;=$C$1),'General Inputs'!H$10*$I43,0))</f>
        <v>42272.385923451031</v>
      </c>
      <c r="AL43" s="520">
        <f>IF(AND(($E43+$C$1)&gt;AL$4,AL$4&gt;=$C$1),'General Inputs'!I$9*$H43,IF(AND(($D43+$C$1)&gt;AL$4,AL$4&gt;=$C$1),'General Inputs'!I$9*$G43,0))+IF(AND(($E43+$C$1)&gt;AL$4,AL$4&gt;=$C$1),'General Inputs'!I$10*$J43,IF(AND(($D43+$C$1)&gt;AL$4,AL$4&gt;=$C$1),'General Inputs'!I$10*$I43,0))</f>
        <v>42906.471712302788</v>
      </c>
      <c r="AM43" s="520">
        <f>IF(AND(($E43+$C$1)&gt;AM$4,AM$4&gt;=$C$1),'General Inputs'!J$9*$H43,IF(AND(($D43+$C$1)&gt;AM$4,AM$4&gt;=$C$1),'General Inputs'!J$9*$G43,0))+IF(AND(($E43+$C$1)&gt;AM$4,AM$4&gt;=$C$1),'General Inputs'!J$10*$J43,IF(AND(($D43+$C$1)&gt;AM$4,AM$4&gt;=$C$1),'General Inputs'!J$10*$I43,0))</f>
        <v>43550.068787987322</v>
      </c>
      <c r="AN43" s="520">
        <f>IF(AND(($E43+$C$1)&gt;AN$4,AN$4&gt;=$C$1),'General Inputs'!K$9*$H43,IF(AND(($D43+$C$1)&gt;AN$4,AN$4&gt;=$C$1),'General Inputs'!K$9*$G43,0))+IF(AND(($E43+$C$1)&gt;AN$4,AN$4&gt;=$C$1),'General Inputs'!K$10*$J43,IF(AND(($D43+$C$1)&gt;AN$4,AN$4&gt;=$C$1),'General Inputs'!K$10*$I43,0))</f>
        <v>44203.319819807126</v>
      </c>
      <c r="AO43" s="520">
        <f>IF(AND(($E43+$C$1)&gt;AO$4,AO$4&gt;=$C$1),'General Inputs'!L$9*$H43,IF(AND(($D43+$C$1)&gt;AO$4,AO$4&gt;=$C$1),'General Inputs'!L$9*$G43,0))+IF(AND(($E43+$C$1)&gt;AO$4,AO$4&gt;=$C$1),'General Inputs'!L$10*$J43,IF(AND(($D43+$C$1)&gt;AO$4,AO$4&gt;=$C$1),'General Inputs'!L$10*$I43,0))</f>
        <v>44866.369617104232</v>
      </c>
      <c r="AP43" s="520">
        <f>IF(AND(($E43+$C$1)&gt;AP$4,AP$4&gt;=$C$1),'General Inputs'!M$9*$H43,IF(AND(($D43+$C$1)&gt;AP$4,AP$4&gt;=$C$1),'General Inputs'!M$9*$G43,0))+IF(AND(($E43+$C$1)&gt;AP$4,AP$4&gt;=$C$1),'General Inputs'!M$10*$J43,IF(AND(($D43+$C$1)&gt;AP$4,AP$4&gt;=$C$1),'General Inputs'!M$10*$I43,0))</f>
        <v>45539.36516136078</v>
      </c>
      <c r="AQ43" s="520">
        <f>IF(AND(($E43+$C$1)&gt;AQ$4,AQ$4&gt;=$C$1),'General Inputs'!N$9*$H43,IF(AND(($D43+$C$1)&gt;AQ$4,AQ$4&gt;=$C$1),'General Inputs'!N$9*$G43,0))+IF(AND(($E43+$C$1)&gt;AQ$4,AQ$4&gt;=$C$1),'General Inputs'!N$10*$J43,IF(AND(($D43+$C$1)&gt;AQ$4,AQ$4&gt;=$C$1),'General Inputs'!N$10*$I43,0))</f>
        <v>46222.455638781197</v>
      </c>
      <c r="AR43" s="520">
        <f>IF(AND(($E43+$C$1)&gt;AR$4,AR$4&gt;=$C$1),'General Inputs'!O$9*$H43,IF(AND(($D43+$C$1)&gt;AR$4,AR$4&gt;=$C$1),'General Inputs'!O$9*$G43,0))+IF(AND(($E43+$C$1)&gt;AR$4,AR$4&gt;=$C$1),'General Inputs'!O$10*$J43,IF(AND(($D43+$C$1)&gt;AR$4,AR$4&gt;=$C$1),'General Inputs'!O$10*$I43,0))</f>
        <v>46915.792473362904</v>
      </c>
      <c r="AS43" s="520">
        <f>IF(AND(($E43+$C$1)&gt;AS$4,AS$4&gt;=$C$1),'General Inputs'!P$9*$H43,IF(AND(($D43+$C$1)&gt;AS$4,AS$4&gt;=$C$1),'General Inputs'!P$9*$G43,0))+IF(AND(($E43+$C$1)&gt;AS$4,AS$4&gt;=$C$1),'General Inputs'!P$10*$J43,IF(AND(($D43+$C$1)&gt;AS$4,AS$4&gt;=$C$1),'General Inputs'!P$10*$I43,0))</f>
        <v>47619.529360463348</v>
      </c>
      <c r="AT43" s="520">
        <f>IF(AND(($E43+$C$1)&gt;AT$4,AT$4&gt;=$C$1),'General Inputs'!Q$9*$H43,IF(AND(($D43+$C$1)&gt;AT$4,AT$4&gt;=$C$1),'General Inputs'!Q$9*$G43,0))+IF(AND(($E43+$C$1)&gt;AT$4,AT$4&gt;=$C$1),'General Inputs'!Q$10*$J43,IF(AND(($D43+$C$1)&gt;AT$4,AT$4&gt;=$C$1),'General Inputs'!Q$10*$I43,0))</f>
        <v>48333.822300870292</v>
      </c>
      <c r="AU43" s="520">
        <f>IF(AND(($E43+$C$1)&gt;AU$4,AU$4&gt;=$C$1),'General Inputs'!R$9*$H43,IF(AND(($D43+$C$1)&gt;AU$4,AU$4&gt;=$C$1),'General Inputs'!R$9*$G43,0))+IF(AND(($E43+$C$1)&gt;AU$4,AU$4&gt;=$C$1),'General Inputs'!R$10*$J43,IF(AND(($D43+$C$1)&gt;AU$4,AU$4&gt;=$C$1),'General Inputs'!R$10*$I43,0))</f>
        <v>49058.829635383343</v>
      </c>
      <c r="AV43" s="520">
        <f>IF(AND(($E43+$C$1)&gt;AV$4,AV$4&gt;=$C$1),'General Inputs'!S$9*$H43,IF(AND(($D43+$C$1)&gt;AV$4,AV$4&gt;=$C$1),'General Inputs'!S$9*$G43,0))+IF(AND(($E43+$C$1)&gt;AV$4,AV$4&gt;=$C$1),'General Inputs'!S$10*$J43,IF(AND(($D43+$C$1)&gt;AV$4,AV$4&gt;=$C$1),'General Inputs'!S$10*$I43,0))</f>
        <v>49794.712079914098</v>
      </c>
      <c r="AW43" s="520">
        <f>IF(AND(($E43+$C$1)&gt;AW$4,AW$4&gt;=$C$1),'General Inputs'!T$9*$H43,IF(AND(($D43+$C$1)&gt;AW$4,AW$4&gt;=$C$1),'General Inputs'!T$9*$G43,0))+IF(AND(($E43+$C$1)&gt;AW$4,AW$4&gt;=$C$1),'General Inputs'!T$10*$J43,IF(AND(($D43+$C$1)&gt;AW$4,AW$4&gt;=$C$1),'General Inputs'!T$10*$I43,0))</f>
        <v>50541.6327611128</v>
      </c>
      <c r="AX43" s="520">
        <f>IF(AND(($E43+$C$1)&gt;AX$4,AX$4&gt;=$C$1),'General Inputs'!U$9*$H43,IF(AND(($D43+$C$1)&gt;AX$4,AX$4&gt;=$C$1),'General Inputs'!U$9*$G43,0))+IF(AND(($E43+$C$1)&gt;AX$4,AX$4&gt;=$C$1),'General Inputs'!U$10*$J43,IF(AND(($D43+$C$1)&gt;AX$4,AX$4&gt;=$C$1),'General Inputs'!U$10*$I43,0))</f>
        <v>0</v>
      </c>
      <c r="AY43" s="520">
        <f>IF(AND(($E43+$C$1)&gt;AY$4,AY$4&gt;=$C$1),'General Inputs'!V$9*$H43,IF(AND(($D43+$C$1)&gt;AY$4,AY$4&gt;=$C$1),'General Inputs'!V$9*$G43,0))+IF(AND(($E43+$C$1)&gt;AY$4,AY$4&gt;=$C$1),'General Inputs'!V$10*$J43,IF(AND(($D43+$C$1)&gt;AY$4,AY$4&gt;=$C$1),'General Inputs'!V$10*$I43,0))</f>
        <v>0</v>
      </c>
      <c r="AZ43" s="520">
        <f>IF(AND(($E43+$C$1)&gt;AZ$4,AZ$4&gt;=$C$1),'General Inputs'!W$9*$H43,IF(AND(($D43+$C$1)&gt;AZ$4,AZ$4&gt;=$C$1),'General Inputs'!W$9*$G43,0))+IF(AND(($E43+$C$1)&gt;AZ$4,AZ$4&gt;=$C$1),'General Inputs'!W$10*$J43,IF(AND(($D43+$C$1)&gt;AZ$4,AZ$4&gt;=$C$1),'General Inputs'!W$10*$I43,0))</f>
        <v>0</v>
      </c>
      <c r="BB43" s="520">
        <f>IF(AND(($E43+$C$1)&gt;BB$4,BB$4&gt;=$C$1),'General Inputs'!D$11*$H43,IF(AND(($D43+$C$1)&gt;BB$4,BB$4&gt;=$C$1),'General Inputs'!D$11*$G43,0))</f>
        <v>0</v>
      </c>
      <c r="BC43" s="520">
        <f>IF(AND(($E43+$C$1)&gt;BC$4,BC$4&gt;=$C$1),'General Inputs'!E$11*$H43,IF(AND(($D43+$C$1)&gt;BC$4,BC$4&gt;=$C$1),'General Inputs'!E$11*$G43,0))</f>
        <v>0</v>
      </c>
      <c r="BD43" s="520">
        <f>IF(AND(($E43+$C$1)&gt;BD$4,BD$4&gt;=$C$1),'General Inputs'!F$11*$H43,IF(AND(($D43+$C$1)&gt;BD$4,BD$4&gt;=$C$1),'General Inputs'!F$11*$G43,0))</f>
        <v>10796.255701837285</v>
      </c>
      <c r="BE43" s="520">
        <f>IF(AND(($E43+$C$1)&gt;BE$4,BE$4&gt;=$C$1),'General Inputs'!G$11*$H43,IF(AND(($D43+$C$1)&gt;BE$4,BE$4&gt;=$C$1),'General Inputs'!G$11*$G43,0))</f>
        <v>10796.255701837285</v>
      </c>
      <c r="BF43" s="520">
        <f>IF(AND(($E43+$C$1)&gt;BF$4,BF$4&gt;=$C$1),'General Inputs'!H$11*$H43,IF(AND(($D43+$C$1)&gt;BF$4,BF$4&gt;=$C$1),'General Inputs'!H$11*$G43,0))</f>
        <v>10796.255701837285</v>
      </c>
      <c r="BG43" s="520">
        <f>IF(AND(($E43+$C$1)&gt;BG$4,BG$4&gt;=$C$1),'General Inputs'!I$11*$H43,IF(AND(($D43+$C$1)&gt;BG$4,BG$4&gt;=$C$1),'General Inputs'!I$11*$G43,0))</f>
        <v>10796.255701837285</v>
      </c>
      <c r="BH43" s="520">
        <f>IF(AND(($E43+$C$1)&gt;BH$4,BH$4&gt;=$C$1),'General Inputs'!J$11*$H43,IF(AND(($D43+$C$1)&gt;BH$4,BH$4&gt;=$C$1),'General Inputs'!J$11*$G43,0))</f>
        <v>10796.255701837285</v>
      </c>
      <c r="BI43" s="520">
        <f>IF(AND(($E43+$C$1)&gt;BI$4,BI$4&gt;=$C$1),'General Inputs'!K$11*$H43,IF(AND(($D43+$C$1)&gt;BI$4,BI$4&gt;=$C$1),'General Inputs'!K$11*$G43,0))</f>
        <v>10796.255701837285</v>
      </c>
      <c r="BJ43" s="520">
        <f>IF(AND(($E43+$C$1)&gt;BJ$4,BJ$4&gt;=$C$1),'General Inputs'!L$11*$H43,IF(AND(($D43+$C$1)&gt;BJ$4,BJ$4&gt;=$C$1),'General Inputs'!L$11*$G43,0))</f>
        <v>10796.255701837285</v>
      </c>
      <c r="BK43" s="520">
        <f>IF(AND(($E43+$C$1)&gt;BK$4,BK$4&gt;=$C$1),'General Inputs'!M$11*$H43,IF(AND(($D43+$C$1)&gt;BK$4,BK$4&gt;=$C$1),'General Inputs'!M$11*$G43,0))</f>
        <v>10796.255701837285</v>
      </c>
      <c r="BL43" s="520">
        <f>IF(AND(($E43+$C$1)&gt;BL$4,BL$4&gt;=$C$1),'General Inputs'!N$11*$H43,IF(AND(($D43+$C$1)&gt;BL$4,BL$4&gt;=$C$1),'General Inputs'!N$11*$G43,0))</f>
        <v>10796.255701837285</v>
      </c>
      <c r="BM43" s="520">
        <f>IF(AND(($E43+$C$1)&gt;BM$4,BM$4&gt;=$C$1),'General Inputs'!O$11*$H43,IF(AND(($D43+$C$1)&gt;BM$4,BM$4&gt;=$C$1),'General Inputs'!O$11*$G43,0))</f>
        <v>10796.255701837285</v>
      </c>
      <c r="BN43" s="520">
        <f>IF(AND(($E43+$C$1)&gt;BN$4,BN$4&gt;=$C$1),'General Inputs'!P$11*$H43,IF(AND(($D43+$C$1)&gt;BN$4,BN$4&gt;=$C$1),'General Inputs'!P$11*$G43,0))</f>
        <v>10796.255701837285</v>
      </c>
      <c r="BO43" s="520">
        <f>IF(AND(($E43+$C$1)&gt;BO$4,BO$4&gt;=$C$1),'General Inputs'!Q$11*$H43,IF(AND(($D43+$C$1)&gt;BO$4,BO$4&gt;=$C$1),'General Inputs'!Q$11*$G43,0))</f>
        <v>10796.255701837285</v>
      </c>
      <c r="BP43" s="520">
        <f>IF(AND(($E43+$C$1)&gt;BP$4,BP$4&gt;=$C$1),'General Inputs'!R$11*$H43,IF(AND(($D43+$C$1)&gt;BP$4,BP$4&gt;=$C$1),'General Inputs'!R$11*$G43,0))</f>
        <v>10796.255701837285</v>
      </c>
      <c r="BQ43" s="520">
        <f>IF(AND(($E43+$C$1)&gt;BQ$4,BQ$4&gt;=$C$1),'General Inputs'!S$11*$H43,IF(AND(($D43+$C$1)&gt;BQ$4,BQ$4&gt;=$C$1),'General Inputs'!S$11*$G43,0))</f>
        <v>10796.255701837285</v>
      </c>
      <c r="BR43" s="520">
        <f>IF(AND(($E43+$C$1)&gt;BR$4,BR$4&gt;=$C$1),'General Inputs'!T$11*$H43,IF(AND(($D43+$C$1)&gt;BR$4,BR$4&gt;=$C$1),'General Inputs'!T$11*$G43,0))</f>
        <v>10796.255701837285</v>
      </c>
      <c r="BS43" s="520">
        <f>IF(AND(($E43+$C$1)&gt;BS$4,BS$4&gt;=$C$1),'General Inputs'!U$11*$H43,IF(AND(($D43+$C$1)&gt;BS$4,BS$4&gt;=$C$1),'General Inputs'!U$11*$G43,0))</f>
        <v>0</v>
      </c>
      <c r="BT43" s="520">
        <f>IF(AND(($E43+$C$1)&gt;BT$4,BT$4&gt;=$C$1),'General Inputs'!V$11*$H43,IF(AND(($D43+$C$1)&gt;BT$4,BT$4&gt;=$C$1),'General Inputs'!V$11*$G43,0))</f>
        <v>0</v>
      </c>
      <c r="BU43" s="520">
        <f>IF(AND(($E43+$C$1)&gt;BU$4,BU$4&gt;=$C$1),'General Inputs'!W$11*$H43,IF(AND(($D43+$C$1)&gt;BU$4,BU$4&gt;=$C$1),'General Inputs'!W$11*$G43,0))</f>
        <v>0</v>
      </c>
      <c r="BW43" s="520">
        <f>IF(AND(($E43+$C$1)&gt;BW$4,BW$4&gt;=$C$1),$H43,IF(AND(($D43+$C$1)&gt;BW$4,BW$4&gt;=$C$1),$G43,0))*IF($A43="Residential",'General Inputs'!D$14,'General Inputs'!D$19)</f>
        <v>0</v>
      </c>
      <c r="BX43" s="520">
        <f>IF(AND(($E43+$C$1)&gt;BX$4,BX$4&gt;=$C$1),$H43,IF(AND(($D43+$C$1)&gt;BX$4,BX$4&gt;=$C$1),$G43,0))*IF($A43="Residential",'General Inputs'!E$14,'General Inputs'!E$19)</f>
        <v>0</v>
      </c>
      <c r="BY43" s="520">
        <f>IF(AND(($E43+$C$1)&gt;BY$4,BY$4&gt;=$C$1),$H43,IF(AND(($D43+$C$1)&gt;BY$4,BY$4&gt;=$C$1),$G43,0))*IF($A43="Residential",'General Inputs'!F$14,'General Inputs'!F$19)</f>
        <v>101924.57053489177</v>
      </c>
      <c r="BZ43" s="520">
        <f>IF(AND(($E43+$C$1)&gt;BZ$4,BZ$4&gt;=$C$1),$H43,IF(AND(($D43+$C$1)&gt;BZ$4,BZ$4&gt;=$C$1),$G43,0))*IF($A43="Residential",'General Inputs'!G$14,'General Inputs'!G$19)</f>
        <v>103453.43909291514</v>
      </c>
      <c r="CA43" s="520">
        <f>IF(AND(($E43+$C$1)&gt;CA$4,CA$4&gt;=$C$1),$H43,IF(AND(($D43+$C$1)&gt;CA$4,CA$4&gt;=$C$1),$G43,0))*IF($A43="Residential",'General Inputs'!H$14,'General Inputs'!H$19)</f>
        <v>105005.24067930884</v>
      </c>
      <c r="CB43" s="520">
        <f>IF(AND(($E43+$C$1)&gt;CB$4,CB$4&gt;=$C$1),$H43,IF(AND(($D43+$C$1)&gt;CB$4,CB$4&gt;=$C$1),$G43,0))*IF($A43="Residential",'General Inputs'!I$14,'General Inputs'!I$19)</f>
        <v>106580.31928949845</v>
      </c>
      <c r="CC43" s="520">
        <f>IF(AND(($E43+$C$1)&gt;CC$4,CC$4&gt;=$C$1),$H43,IF(AND(($D43+$C$1)&gt;CC$4,CC$4&gt;=$C$1),$G43,0))*IF($A43="Residential",'General Inputs'!J$14,'General Inputs'!J$19)</f>
        <v>108179.02407884094</v>
      </c>
      <c r="CD43" s="520">
        <f>IF(AND(($E43+$C$1)&gt;CD$4,CD$4&gt;=$C$1),$H43,IF(AND(($D43+$C$1)&gt;CD$4,CD$4&gt;=$C$1),$G43,0))*IF($A43="Residential",'General Inputs'!K$14,'General Inputs'!K$19)</f>
        <v>109801.70944002354</v>
      </c>
      <c r="CE43" s="520">
        <f>IF(AND(($E43+$C$1)&gt;CE$4,CE$4&gt;=$C$1),$H43,IF(AND(($D43+$C$1)&gt;CE$4,CE$4&gt;=$C$1),$G43,0))*IF($A43="Residential",'General Inputs'!L$14,'General Inputs'!L$19)</f>
        <v>111448.73508162388</v>
      </c>
      <c r="CF43" s="520">
        <f>IF(AND(($E43+$C$1)&gt;CF$4,CF$4&gt;=$C$1),$H43,IF(AND(($D43+$C$1)&gt;CF$4,CF$4&gt;=$C$1),$G43,0))*IF($A43="Residential",'General Inputs'!M$14,'General Inputs'!M$19)</f>
        <v>113120.46610784823</v>
      </c>
      <c r="CG43" s="520">
        <f>IF(AND(($E43+$C$1)&gt;CG$4,CG$4&gt;=$C$1),$H43,IF(AND(($D43+$C$1)&gt;CG$4,CG$4&gt;=$C$1),$G43,0))*IF($A43="Residential",'General Inputs'!N$14,'General Inputs'!N$19)</f>
        <v>114817.27309946595</v>
      </c>
      <c r="CH43" s="520">
        <f>IF(AND(($E43+$C$1)&gt;CH$4,CH$4&gt;=$C$1),$H43,IF(AND(($D43+$C$1)&gt;CH$4,CH$4&gt;=$C$1),$G43,0))*IF($A43="Residential",'General Inputs'!O$14,'General Inputs'!O$19)</f>
        <v>116539.53219595792</v>
      </c>
      <c r="CI43" s="520">
        <f>IF(AND(($E43+$C$1)&gt;CI$4,CI$4&gt;=$C$1),$H43,IF(AND(($D43+$C$1)&gt;CI$4,CI$4&gt;=$C$1),$G43,0))*IF($A43="Residential",'General Inputs'!P$14,'General Inputs'!P$19)</f>
        <v>118287.62517889727</v>
      </c>
      <c r="CJ43" s="520">
        <f>IF(AND(($E43+$C$1)&gt;CJ$4,CJ$4&gt;=$C$1),$H43,IF(AND(($D43+$C$1)&gt;CJ$4,CJ$4&gt;=$C$1),$G43,0))*IF($A43="Residential",'General Inputs'!Q$14,'General Inputs'!Q$19)</f>
        <v>120061.93955658074</v>
      </c>
      <c r="CK43" s="520">
        <f>IF(AND(($E43+$C$1)&gt;CK$4,CK$4&gt;=$C$1),$H43,IF(AND(($D43+$C$1)&gt;CK$4,CK$4&gt;=$C$1),$G43,0))*IF($A43="Residential",'General Inputs'!R$14,'General Inputs'!R$19)</f>
        <v>121862.86864992941</v>
      </c>
      <c r="CL43" s="520">
        <f>IF(AND(($E43+$C$1)&gt;CL$4,CL$4&gt;=$C$1),$H43,IF(AND(($D43+$C$1)&gt;CL$4,CL$4&gt;=$C$1),$G43,0))*IF($A43="Residential",'General Inputs'!S$14,'General Inputs'!S$19)</f>
        <v>123690.81167967836</v>
      </c>
      <c r="CM43" s="520">
        <f>IF(AND(($E43+$C$1)&gt;CM$4,CM$4&gt;=$C$1),$H43,IF(AND(($D43+$C$1)&gt;CM$4,CM$4&gt;=$C$1),$G43,0))*IF($A43="Residential",'General Inputs'!T$14,'General Inputs'!T$19)</f>
        <v>125546.17385487352</v>
      </c>
      <c r="CN43" s="520">
        <f>IF(AND(($E43+$C$1)&gt;CN$4,CN$4&gt;=$C$1),$H43,IF(AND(($D43+$C$1)&gt;CN$4,CN$4&gt;=$C$1),$G43,0))*IF($A43="Residential",'General Inputs'!U$14,'General Inputs'!U$19)</f>
        <v>0</v>
      </c>
      <c r="CO43" s="520">
        <f>IF(AND(($E43+$C$1)&gt;CO$4,CO$4&gt;=$C$1),$H43,IF(AND(($D43+$C$1)&gt;CO$4,CO$4&gt;=$C$1),$G43,0))*IF($A43="Residential",'General Inputs'!V$14,'General Inputs'!V$19)</f>
        <v>0</v>
      </c>
      <c r="CP43" s="520">
        <f>IF(AND(($E43+$C$1)&gt;CP$4,CP$4&gt;=$C$1),$H43,IF(AND(($D43+$C$1)&gt;CP$4,CP$4&gt;=$C$1),$G43,0))*IF($A43="Residential",'General Inputs'!W$14,'General Inputs'!W$19)</f>
        <v>0</v>
      </c>
      <c r="CR43" s="520">
        <f>IF(AND(($E43+$C$1)&gt;CR$4,CR$4&gt;=$C$1),$H43,IF(AND(($D43+$C$1)&gt;CR$4,CR$4&gt;=$C$1),$G43,0))*IF($A43="Residential",'General Inputs'!D$15,'General Inputs'!D$19)</f>
        <v>0</v>
      </c>
      <c r="CS43" s="520">
        <f>IF(AND(($E43+$C$1)&gt;CS$4,CS$4&gt;=$C$1),$H43,IF(AND(($D43+$C$1)&gt;CS$4,CS$4&gt;=$C$1),$G43,0))*IF($A43="Residential",'General Inputs'!E$15,'General Inputs'!E$19)</f>
        <v>0</v>
      </c>
      <c r="CT43" s="520">
        <f>IF(AND(($E43+$C$1)&gt;CT$4,CT$4&gt;=$C$1),$H43,IF(AND(($D43+$C$1)&gt;CT$4,CT$4&gt;=$C$1),$G43,0))*IF($A43="Residential",'General Inputs'!F$15,'General Inputs'!F$19)</f>
        <v>101924.57053489177</v>
      </c>
      <c r="CU43" s="520">
        <f>IF(AND(($E43+$C$1)&gt;CU$4,CU$4&gt;=$C$1),$H43,IF(AND(($D43+$C$1)&gt;CU$4,CU$4&gt;=$C$1),$G43,0))*IF($A43="Residential",'General Inputs'!G$15,'General Inputs'!G$19)</f>
        <v>103453.43909291514</v>
      </c>
      <c r="CV43" s="520">
        <f>IF(AND(($E43+$C$1)&gt;CV$4,CV$4&gt;=$C$1),$H43,IF(AND(($D43+$C$1)&gt;CV$4,CV$4&gt;=$C$1),$G43,0))*IF($A43="Residential",'General Inputs'!H$15,'General Inputs'!H$19)</f>
        <v>105005.24067930884</v>
      </c>
      <c r="CW43" s="520">
        <f>IF(AND(($E43+$C$1)&gt;CW$4,CW$4&gt;=$C$1),$H43,IF(AND(($D43+$C$1)&gt;CW$4,CW$4&gt;=$C$1),$G43,0))*IF($A43="Residential",'General Inputs'!I$15,'General Inputs'!I$19)</f>
        <v>106580.31928949845</v>
      </c>
      <c r="CX43" s="520">
        <f>IF(AND(($E43+$C$1)&gt;CX$4,CX$4&gt;=$C$1),$H43,IF(AND(($D43+$C$1)&gt;CX$4,CX$4&gt;=$C$1),$G43,0))*IF($A43="Residential",'General Inputs'!J$15,'General Inputs'!J$19)</f>
        <v>108179.02407884094</v>
      </c>
      <c r="CY43" s="520">
        <f>IF(AND(($E43+$C$1)&gt;CY$4,CY$4&gt;=$C$1),$H43,IF(AND(($D43+$C$1)&gt;CY$4,CY$4&gt;=$C$1),$G43,0))*IF($A43="Residential",'General Inputs'!K$15,'General Inputs'!K$19)</f>
        <v>109801.70944002354</v>
      </c>
      <c r="CZ43" s="520">
        <f>IF(AND(($E43+$C$1)&gt;CZ$4,CZ$4&gt;=$C$1),$H43,IF(AND(($D43+$C$1)&gt;CZ$4,CZ$4&gt;=$C$1),$G43,0))*IF($A43="Residential",'General Inputs'!L$15,'General Inputs'!L$19)</f>
        <v>111448.73508162388</v>
      </c>
      <c r="DA43" s="520">
        <f>IF(AND(($E43+$C$1)&gt;DA$4,DA$4&gt;=$C$1),$H43,IF(AND(($D43+$C$1)&gt;DA$4,DA$4&gt;=$C$1),$G43,0))*IF($A43="Residential",'General Inputs'!M$15,'General Inputs'!M$19)</f>
        <v>113120.46610784823</v>
      </c>
      <c r="DB43" s="520">
        <f>IF(AND(($E43+$C$1)&gt;DB$4,DB$4&gt;=$C$1),$H43,IF(AND(($D43+$C$1)&gt;DB$4,DB$4&gt;=$C$1),$G43,0))*IF($A43="Residential",'General Inputs'!N$15,'General Inputs'!N$19)</f>
        <v>114817.27309946595</v>
      </c>
      <c r="DC43" s="520">
        <f>IF(AND(($E43+$C$1)&gt;DC$4,DC$4&gt;=$C$1),$H43,IF(AND(($D43+$C$1)&gt;DC$4,DC$4&gt;=$C$1),$G43,0))*IF($A43="Residential",'General Inputs'!O$15,'General Inputs'!O$19)</f>
        <v>116539.53219595792</v>
      </c>
      <c r="DD43" s="520">
        <f>IF(AND(($E43+$C$1)&gt;DD$4,DD$4&gt;=$C$1),$H43,IF(AND(($D43+$C$1)&gt;DD$4,DD$4&gt;=$C$1),$G43,0))*IF($A43="Residential",'General Inputs'!P$15,'General Inputs'!P$19)</f>
        <v>118287.62517889727</v>
      </c>
      <c r="DE43" s="520">
        <f>IF(AND(($E43+$C$1)&gt;DE$4,DE$4&gt;=$C$1),$H43,IF(AND(($D43+$C$1)&gt;DE$4,DE$4&gt;=$C$1),$G43,0))*IF($A43="Residential",'General Inputs'!Q$15,'General Inputs'!Q$19)</f>
        <v>120061.93955658074</v>
      </c>
      <c r="DF43" s="520">
        <f>IF(AND(($E43+$C$1)&gt;DF$4,DF$4&gt;=$C$1),$H43,IF(AND(($D43+$C$1)&gt;DF$4,DF$4&gt;=$C$1),$G43,0))*IF($A43="Residential",'General Inputs'!R$15,'General Inputs'!R$19)</f>
        <v>121862.86864992941</v>
      </c>
      <c r="DG43" s="520">
        <f>IF(AND(($E43+$C$1)&gt;DG$4,DG$4&gt;=$C$1),$H43,IF(AND(($D43+$C$1)&gt;DG$4,DG$4&gt;=$C$1),$G43,0))*IF($A43="Residential",'General Inputs'!S$15,'General Inputs'!S$19)</f>
        <v>123690.81167967836</v>
      </c>
      <c r="DH43" s="520">
        <f>IF(AND(($E43+$C$1)&gt;DH$4,DH$4&gt;=$C$1),$H43,IF(AND(($D43+$C$1)&gt;DH$4,DH$4&gt;=$C$1),$G43,0))*IF($A43="Residential",'General Inputs'!T$15,'General Inputs'!T$19)</f>
        <v>125546.17385487352</v>
      </c>
      <c r="DI43" s="520">
        <f>IF(AND(($E43+$C$1)&gt;DI$4,DI$4&gt;=$C$1),$H43,IF(AND(($D43+$C$1)&gt;DI$4,DI$4&gt;=$C$1),$G43,0))*IF($A43="Residential",'General Inputs'!U$15,'General Inputs'!U$19)</f>
        <v>0</v>
      </c>
      <c r="DJ43" s="520">
        <f>IF(AND(($E43+$C$1)&gt;DJ$4,DJ$4&gt;=$C$1),$H43,IF(AND(($D43+$C$1)&gt;DJ$4,DJ$4&gt;=$C$1),$G43,0))*IF($A43="Residential",'General Inputs'!V$15,'General Inputs'!V$19)</f>
        <v>0</v>
      </c>
      <c r="DK43" s="520">
        <f>IF(AND(($E43+$C$1)&gt;DK$4,DK$4&gt;=$C$1),$H43,IF(AND(($D43+$C$1)&gt;DK$4,DK$4&gt;=$C$1),$G43,0))*IF($A43="Residential",'General Inputs'!W$15,'General Inputs'!W$19)</f>
        <v>0</v>
      </c>
      <c r="DM43" s="524">
        <f>IF($C$1=DM$4,$L43*$C43,IF($E43+$C$1=DM$4,-$M43*$C43,0))</f>
        <v>0</v>
      </c>
      <c r="DN43" s="524">
        <f t="shared" si="78"/>
        <v>0</v>
      </c>
      <c r="DO43" s="524">
        <f t="shared" si="78"/>
        <v>108900</v>
      </c>
      <c r="DP43" s="524">
        <f t="shared" si="78"/>
        <v>0</v>
      </c>
      <c r="DQ43" s="524">
        <f t="shared" si="78"/>
        <v>0</v>
      </c>
      <c r="DR43" s="524">
        <f t="shared" si="78"/>
        <v>0</v>
      </c>
      <c r="DS43" s="524">
        <f t="shared" si="78"/>
        <v>0</v>
      </c>
      <c r="DT43" s="524">
        <f t="shared" si="78"/>
        <v>0</v>
      </c>
      <c r="DU43" s="524">
        <f t="shared" si="78"/>
        <v>0</v>
      </c>
      <c r="DV43" s="524">
        <f t="shared" si="78"/>
        <v>0</v>
      </c>
      <c r="DW43" s="524">
        <f t="shared" si="78"/>
        <v>0</v>
      </c>
      <c r="DZ43" s="650"/>
    </row>
    <row r="44" spans="1:171">
      <c r="A44" s="441" t="s">
        <v>112</v>
      </c>
      <c r="B44" s="426" t="str">
        <f>'Portfolio Inputs'!A43</f>
        <v>C&amp;I Prescriptive</v>
      </c>
      <c r="C44" s="356">
        <f>IF($C$1=2014,'Portfolio Inputs'!$C43,IF($C$1=2015,'Portfolio Inputs'!$D43,'Portfolio Inputs'!$E43))</f>
        <v>184</v>
      </c>
      <c r="D44" s="503"/>
      <c r="E44" s="503"/>
      <c r="G44" s="514">
        <f>IF($C$1=2014,'Portfolio Inputs'!$G43,IF($C$1=2015,'Portfolio Inputs'!$H43,'Portfolio Inputs'!$I43))*EnergyLineLoss</f>
        <v>831731.37912549311</v>
      </c>
      <c r="H44" s="514"/>
      <c r="I44" s="511">
        <f>IF($C$1=2014,'Portfolio Inputs'!$K43,IF($C$1=2015,'Portfolio Inputs'!$L43,'Portfolio Inputs'!$M43))*PeakLineLoss</f>
        <v>105.15637611701489</v>
      </c>
      <c r="J44" s="511"/>
      <c r="L44" s="453"/>
      <c r="M44" s="453"/>
      <c r="N44" s="453">
        <f>IF($C$1=2014,'Portfolio Inputs'!$W43,IF($C$1=2015,'Portfolio Inputs'!$X43,'Portfolio Inputs'!$Y43))</f>
        <v>40512</v>
      </c>
      <c r="O44" s="453">
        <f>IF($C$1=2014,'Portfolio Inputs'!$AA43,IF($C$1=2015,'Portfolio Inputs'!$AB43,'Portfolio Inputs'!$AC43))</f>
        <v>27548.16</v>
      </c>
      <c r="Q44" s="442">
        <f t="shared" si="67"/>
        <v>2.2050484780822202</v>
      </c>
      <c r="R44" s="443">
        <f t="shared" si="68"/>
        <v>5.0370031409740914</v>
      </c>
      <c r="S44" s="443">
        <f t="shared" si="69"/>
        <v>2.7433642861473539</v>
      </c>
      <c r="T44" s="443">
        <f t="shared" si="70"/>
        <v>7.0294964962063968</v>
      </c>
      <c r="U44" s="443">
        <f>IF(AE44&gt;0,(AD44+AB44)/AE44,"n/a")</f>
        <v>7.0294964962063968</v>
      </c>
      <c r="V44" s="522">
        <f t="shared" si="72"/>
        <v>0.36990541149966344</v>
      </c>
      <c r="W44" s="522">
        <f t="shared" si="73"/>
        <v>0.36990541149966344</v>
      </c>
      <c r="X44" s="194"/>
      <c r="Y44" s="444">
        <f t="shared" si="4"/>
        <v>289393.06612540642</v>
      </c>
      <c r="Z44" s="444">
        <f t="shared" si="5"/>
        <v>70649.177915233158</v>
      </c>
      <c r="AA44" s="444">
        <f t="shared" si="6"/>
        <v>724890.0020169554</v>
      </c>
      <c r="AB44" s="444">
        <f t="shared" si="7"/>
        <v>724890.0020169554</v>
      </c>
      <c r="AC44" s="445">
        <f t="shared" si="20"/>
        <v>23254.956447606048</v>
      </c>
      <c r="AD44" s="445">
        <f t="shared" si="21"/>
        <v>34198.465364126539</v>
      </c>
      <c r="AE44" s="526">
        <f t="shared" si="8"/>
        <v>107986.17906570387</v>
      </c>
      <c r="AG44" s="446">
        <f>AG45+AG86+AG91+AG94</f>
        <v>0</v>
      </c>
      <c r="AH44" s="446">
        <f t="shared" ref="AH44:AZ44" si="88">AH45+AH86+AH91+AH94</f>
        <v>0</v>
      </c>
      <c r="AI44" s="446">
        <f t="shared" si="88"/>
        <v>35736.166232829397</v>
      </c>
      <c r="AJ44" s="446">
        <f t="shared" si="88"/>
        <v>36272.208726321849</v>
      </c>
      <c r="AK44" s="446">
        <f t="shared" si="88"/>
        <v>36816.29185721666</v>
      </c>
      <c r="AL44" s="446">
        <f t="shared" si="88"/>
        <v>37368.536235074906</v>
      </c>
      <c r="AM44" s="446">
        <f t="shared" si="88"/>
        <v>37929.064278601021</v>
      </c>
      <c r="AN44" s="446">
        <f t="shared" si="88"/>
        <v>38498.000242780035</v>
      </c>
      <c r="AO44" s="446">
        <f t="shared" si="88"/>
        <v>39052.31138634136</v>
      </c>
      <c r="AP44" s="446">
        <f t="shared" si="88"/>
        <v>39638.09605713647</v>
      </c>
      <c r="AQ44" s="446">
        <f t="shared" si="88"/>
        <v>40134.414942753232</v>
      </c>
      <c r="AR44" s="446">
        <f t="shared" si="88"/>
        <v>40736.43116689453</v>
      </c>
      <c r="AS44" s="446">
        <f t="shared" si="88"/>
        <v>40058.784923463252</v>
      </c>
      <c r="AT44" s="446">
        <f t="shared" si="88"/>
        <v>40332.393614742163</v>
      </c>
      <c r="AU44" s="446">
        <f t="shared" si="88"/>
        <v>40937.379518963287</v>
      </c>
      <c r="AV44" s="446">
        <f t="shared" si="88"/>
        <v>41551.440211747744</v>
      </c>
      <c r="AW44" s="446">
        <f t="shared" si="88"/>
        <v>42174.711814923954</v>
      </c>
      <c r="AX44" s="446">
        <f t="shared" si="88"/>
        <v>2742.5308759508066</v>
      </c>
      <c r="AY44" s="446">
        <f t="shared" si="88"/>
        <v>2687.6802584317902</v>
      </c>
      <c r="AZ44" s="446">
        <f t="shared" si="88"/>
        <v>2727.9954623082667</v>
      </c>
      <c r="BB44" s="446">
        <f t="shared" ref="BB44:BU44" si="89">BB45+BB86+BB91+BB94</f>
        <v>0</v>
      </c>
      <c r="BC44" s="446">
        <f t="shared" si="89"/>
        <v>0</v>
      </c>
      <c r="BD44" s="446">
        <f t="shared" si="89"/>
        <v>9481.7377220306207</v>
      </c>
      <c r="BE44" s="446">
        <f t="shared" si="89"/>
        <v>9481.7377220306207</v>
      </c>
      <c r="BF44" s="446">
        <f t="shared" si="89"/>
        <v>9481.7377220306207</v>
      </c>
      <c r="BG44" s="446">
        <f t="shared" si="89"/>
        <v>9481.7377220306207</v>
      </c>
      <c r="BH44" s="446">
        <f t="shared" si="89"/>
        <v>9481.7377220306207</v>
      </c>
      <c r="BI44" s="446">
        <f t="shared" si="89"/>
        <v>9481.7377220306207</v>
      </c>
      <c r="BJ44" s="446">
        <f t="shared" si="89"/>
        <v>9476.1745053296218</v>
      </c>
      <c r="BK44" s="446">
        <f t="shared" si="89"/>
        <v>9476.1745053296218</v>
      </c>
      <c r="BL44" s="446">
        <f t="shared" si="89"/>
        <v>9452.2200708776218</v>
      </c>
      <c r="BM44" s="446">
        <f t="shared" si="89"/>
        <v>9452.2200708776218</v>
      </c>
      <c r="BN44" s="446">
        <f t="shared" si="89"/>
        <v>9160.5485666966215</v>
      </c>
      <c r="BO44" s="446">
        <f t="shared" si="89"/>
        <v>9087.5710847581468</v>
      </c>
      <c r="BP44" s="446">
        <f t="shared" si="89"/>
        <v>9087.5710847581468</v>
      </c>
      <c r="BQ44" s="446">
        <f t="shared" si="89"/>
        <v>9087.5710847581468</v>
      </c>
      <c r="BR44" s="446">
        <f t="shared" si="89"/>
        <v>9087.5710847581468</v>
      </c>
      <c r="BS44" s="446">
        <f t="shared" si="89"/>
        <v>576.19030117500006</v>
      </c>
      <c r="BT44" s="446">
        <f t="shared" si="89"/>
        <v>556.32167010000001</v>
      </c>
      <c r="BU44" s="446">
        <f t="shared" si="89"/>
        <v>556.32167010000001</v>
      </c>
      <c r="BW44" s="446">
        <f t="shared" ref="BW44:CP44" si="90">BW45+BW86+BW91+BW94</f>
        <v>0</v>
      </c>
      <c r="BX44" s="446">
        <f t="shared" si="90"/>
        <v>0</v>
      </c>
      <c r="BY44" s="446">
        <f t="shared" si="90"/>
        <v>89514.556891977889</v>
      </c>
      <c r="BZ44" s="446">
        <f t="shared" si="90"/>
        <v>90857.275245357523</v>
      </c>
      <c r="CA44" s="446">
        <f t="shared" si="90"/>
        <v>92220.13437403788</v>
      </c>
      <c r="CB44" s="446">
        <f t="shared" si="90"/>
        <v>93603.436389648428</v>
      </c>
      <c r="CC44" s="446">
        <f t="shared" si="90"/>
        <v>95007.487935493133</v>
      </c>
      <c r="CD44" s="446">
        <f t="shared" si="90"/>
        <v>96432.600254525518</v>
      </c>
      <c r="CE44" s="446">
        <f t="shared" si="90"/>
        <v>97821.660694086095</v>
      </c>
      <c r="CF44" s="446">
        <f t="shared" si="90"/>
        <v>99288.985604497386</v>
      </c>
      <c r="CG44" s="446">
        <f t="shared" si="90"/>
        <v>100523.56698901812</v>
      </c>
      <c r="CH44" s="446">
        <f t="shared" si="90"/>
        <v>102031.42049385338</v>
      </c>
      <c r="CI44" s="446">
        <f t="shared" si="90"/>
        <v>100366.2348517823</v>
      </c>
      <c r="CJ44" s="446">
        <f t="shared" si="90"/>
        <v>101060.16756426833</v>
      </c>
      <c r="CK44" s="446">
        <f t="shared" si="90"/>
        <v>102576.07007773234</v>
      </c>
      <c r="CL44" s="446">
        <f t="shared" si="90"/>
        <v>104114.7111288983</v>
      </c>
      <c r="CM44" s="446">
        <f t="shared" si="90"/>
        <v>105676.43179583178</v>
      </c>
      <c r="CN44" s="446">
        <f t="shared" si="90"/>
        <v>6800.8360554285055</v>
      </c>
      <c r="CO44" s="446">
        <f t="shared" si="90"/>
        <v>6664.8193343199355</v>
      </c>
      <c r="CP44" s="446">
        <f t="shared" si="90"/>
        <v>6764.7916243347354</v>
      </c>
      <c r="CR44" s="446">
        <f t="shared" ref="CR44:DK44" si="91">CR45+CR86+CR91+CR94</f>
        <v>0</v>
      </c>
      <c r="CS44" s="446">
        <f t="shared" si="91"/>
        <v>0</v>
      </c>
      <c r="CT44" s="446">
        <f t="shared" si="91"/>
        <v>89514.556891977889</v>
      </c>
      <c r="CU44" s="446">
        <f t="shared" si="91"/>
        <v>90857.275245357523</v>
      </c>
      <c r="CV44" s="446">
        <f t="shared" si="91"/>
        <v>92220.13437403788</v>
      </c>
      <c r="CW44" s="446">
        <f t="shared" si="91"/>
        <v>93603.436389648428</v>
      </c>
      <c r="CX44" s="446">
        <f t="shared" si="91"/>
        <v>95007.487935493133</v>
      </c>
      <c r="CY44" s="446">
        <f t="shared" si="91"/>
        <v>96432.600254525518</v>
      </c>
      <c r="CZ44" s="446">
        <f t="shared" si="91"/>
        <v>97821.660694086095</v>
      </c>
      <c r="DA44" s="446">
        <f t="shared" si="91"/>
        <v>99288.985604497386</v>
      </c>
      <c r="DB44" s="446">
        <f t="shared" si="91"/>
        <v>100523.56698901812</v>
      </c>
      <c r="DC44" s="446">
        <f t="shared" si="91"/>
        <v>102031.42049385338</v>
      </c>
      <c r="DD44" s="446">
        <f t="shared" si="91"/>
        <v>100366.2348517823</v>
      </c>
      <c r="DE44" s="446">
        <f t="shared" si="91"/>
        <v>101060.16756426833</v>
      </c>
      <c r="DF44" s="446">
        <f t="shared" si="91"/>
        <v>102576.07007773234</v>
      </c>
      <c r="DG44" s="446">
        <f t="shared" si="91"/>
        <v>104114.7111288983</v>
      </c>
      <c r="DH44" s="446">
        <f t="shared" si="91"/>
        <v>105676.43179583178</v>
      </c>
      <c r="DI44" s="446">
        <f t="shared" si="91"/>
        <v>6800.8360554285055</v>
      </c>
      <c r="DJ44" s="446">
        <f t="shared" si="91"/>
        <v>6664.8193343199355</v>
      </c>
      <c r="DK44" s="446">
        <f t="shared" si="91"/>
        <v>6764.7916243347354</v>
      </c>
      <c r="DM44" s="446">
        <f t="shared" ref="DM44:DW44" si="92">DM45+DM86+DM91+DM94</f>
        <v>0</v>
      </c>
      <c r="DN44" s="446">
        <f t="shared" si="92"/>
        <v>0</v>
      </c>
      <c r="DO44" s="446">
        <f t="shared" si="92"/>
        <v>127922</v>
      </c>
      <c r="DP44" s="446">
        <f t="shared" si="92"/>
        <v>0</v>
      </c>
      <c r="DQ44" s="446">
        <f t="shared" si="92"/>
        <v>0</v>
      </c>
      <c r="DR44" s="446">
        <f t="shared" si="92"/>
        <v>0</v>
      </c>
      <c r="DS44" s="446">
        <f t="shared" si="92"/>
        <v>0</v>
      </c>
      <c r="DT44" s="446">
        <f t="shared" si="92"/>
        <v>0</v>
      </c>
      <c r="DU44" s="446">
        <f t="shared" si="92"/>
        <v>0</v>
      </c>
      <c r="DV44" s="446">
        <f t="shared" si="92"/>
        <v>0</v>
      </c>
      <c r="DW44" s="446">
        <f t="shared" si="92"/>
        <v>0</v>
      </c>
      <c r="DZ44" s="650"/>
    </row>
    <row r="45" spans="1:171">
      <c r="A45" s="428" t="s">
        <v>112</v>
      </c>
      <c r="B45" s="428" t="str">
        <f>'Portfolio Inputs'!A44</f>
        <v>Lighting</v>
      </c>
      <c r="C45" s="454">
        <f>IF($C$1=2014,'Portfolio Inputs'!$C44,IF($C$1=2015,'Portfolio Inputs'!$D44,'Portfolio Inputs'!$E44))</f>
        <v>60</v>
      </c>
      <c r="D45" s="505"/>
      <c r="E45" s="505"/>
      <c r="G45" s="515">
        <f>SUM(G46:G82)</f>
        <v>90225.9650196</v>
      </c>
      <c r="H45" s="515"/>
      <c r="I45" s="512">
        <f>SUM(I46:I82)</f>
        <v>13.766486619600002</v>
      </c>
      <c r="J45" s="512"/>
      <c r="L45" s="455"/>
      <c r="M45" s="455"/>
      <c r="N45" s="455">
        <f>IF($C$1=2014,'Portfolio Inputs'!$W44,IF($C$1=2015,'Portfolio Inputs'!$X44,'Portfolio Inputs'!$Y44))</f>
        <v>3612</v>
      </c>
      <c r="O45" s="455">
        <f>IF($C$1=2014,'Portfolio Inputs'!$AA44,IF($C$1=2015,'Portfolio Inputs'!$AB44,'Portfolio Inputs'!$AC44))</f>
        <v>0</v>
      </c>
      <c r="Q45" s="433">
        <f t="shared" si="67"/>
        <v>3.345373659508688</v>
      </c>
      <c r="R45" s="434">
        <f t="shared" si="68"/>
        <v>10.108363266854324</v>
      </c>
      <c r="S45" s="434">
        <f t="shared" si="69"/>
        <v>4.1539319737144664</v>
      </c>
      <c r="T45" s="434">
        <f t="shared" si="70"/>
        <v>8.6299780053905248</v>
      </c>
      <c r="U45" s="434">
        <f>IF(AE45&gt;0,(AD45+AB45)/AE45,"n/a")</f>
        <v>8.6299780053905248</v>
      </c>
      <c r="V45" s="523">
        <f t="shared" si="72"/>
        <v>0.38764567620208007</v>
      </c>
      <c r="W45" s="523">
        <f t="shared" si="73"/>
        <v>0.38764567620208007</v>
      </c>
      <c r="X45" s="194"/>
      <c r="Y45" s="430">
        <f t="shared" si="4"/>
        <v>30821.339997608859</v>
      </c>
      <c r="Z45" s="430">
        <f t="shared" si="5"/>
        <v>7449.3474411135603</v>
      </c>
      <c r="AA45" s="430">
        <f t="shared" si="6"/>
        <v>76459.958377374816</v>
      </c>
      <c r="AB45" s="430">
        <f t="shared" si="7"/>
        <v>76459.958377374816</v>
      </c>
      <c r="AC45" s="431">
        <f t="shared" si="20"/>
        <v>0</v>
      </c>
      <c r="AD45" s="431">
        <f t="shared" si="21"/>
        <v>3049.0930315764481</v>
      </c>
      <c r="AE45" s="525">
        <f t="shared" si="8"/>
        <v>9213.1232964079045</v>
      </c>
      <c r="AG45" s="432">
        <f>SUM(AG46:AG85)</f>
        <v>0</v>
      </c>
      <c r="AH45" s="432">
        <f t="shared" ref="AH45:AZ45" si="93">SUM(AH46:AH85)</f>
        <v>0</v>
      </c>
      <c r="AI45" s="432">
        <f t="shared" si="93"/>
        <v>3913.0421771300644</v>
      </c>
      <c r="AJ45" s="432">
        <f t="shared" si="93"/>
        <v>3971.7378097870142</v>
      </c>
      <c r="AK45" s="432">
        <f t="shared" si="93"/>
        <v>4031.3138769338188</v>
      </c>
      <c r="AL45" s="432">
        <f t="shared" si="93"/>
        <v>4091.7835850878255</v>
      </c>
      <c r="AM45" s="432">
        <f t="shared" si="93"/>
        <v>4153.1603388641433</v>
      </c>
      <c r="AN45" s="432">
        <f t="shared" si="93"/>
        <v>4215.4577439471041</v>
      </c>
      <c r="AO45" s="432">
        <f t="shared" si="93"/>
        <v>4255.5307500259378</v>
      </c>
      <c r="AP45" s="432">
        <f t="shared" si="93"/>
        <v>4319.3637112763254</v>
      </c>
      <c r="AQ45" s="432">
        <f t="shared" si="93"/>
        <v>4285.9016117051906</v>
      </c>
      <c r="AR45" s="432">
        <f t="shared" si="93"/>
        <v>4350.1901358807681</v>
      </c>
      <c r="AS45" s="432">
        <f t="shared" si="93"/>
        <v>3126.7502769842827</v>
      </c>
      <c r="AT45" s="432">
        <f t="shared" si="93"/>
        <v>2846.3784485660167</v>
      </c>
      <c r="AU45" s="432">
        <f t="shared" si="93"/>
        <v>2889.0741252945063</v>
      </c>
      <c r="AV45" s="432">
        <f t="shared" si="93"/>
        <v>2932.4102371739236</v>
      </c>
      <c r="AW45" s="432">
        <f t="shared" si="93"/>
        <v>2976.3963907315333</v>
      </c>
      <c r="AX45" s="432">
        <f t="shared" si="93"/>
        <v>2742.5308759508066</v>
      </c>
      <c r="AY45" s="432">
        <f t="shared" si="93"/>
        <v>2687.6802584317902</v>
      </c>
      <c r="AZ45" s="432">
        <f t="shared" si="93"/>
        <v>2727.9954623082667</v>
      </c>
      <c r="BB45" s="432">
        <f t="shared" ref="BB45:BU45" si="94">SUM(BB46:BB85)</f>
        <v>0</v>
      </c>
      <c r="BC45" s="432">
        <f t="shared" si="94"/>
        <v>0</v>
      </c>
      <c r="BD45" s="432">
        <f t="shared" si="94"/>
        <v>1028.5760012234398</v>
      </c>
      <c r="BE45" s="432">
        <f t="shared" si="94"/>
        <v>1028.5760012234398</v>
      </c>
      <c r="BF45" s="432">
        <f t="shared" si="94"/>
        <v>1028.5760012234398</v>
      </c>
      <c r="BG45" s="432">
        <f t="shared" si="94"/>
        <v>1028.5760012234398</v>
      </c>
      <c r="BH45" s="432">
        <f t="shared" si="94"/>
        <v>1028.5760012234398</v>
      </c>
      <c r="BI45" s="432">
        <f t="shared" si="94"/>
        <v>1028.5760012234398</v>
      </c>
      <c r="BJ45" s="432">
        <f t="shared" si="94"/>
        <v>1023.01278452244</v>
      </c>
      <c r="BK45" s="432">
        <f t="shared" si="94"/>
        <v>1023.01278452244</v>
      </c>
      <c r="BL45" s="432">
        <f t="shared" si="94"/>
        <v>999.05835007044004</v>
      </c>
      <c r="BM45" s="432">
        <f t="shared" si="94"/>
        <v>999.05835007044004</v>
      </c>
      <c r="BN45" s="432">
        <f t="shared" si="94"/>
        <v>707.38684588944</v>
      </c>
      <c r="BO45" s="432">
        <f t="shared" si="94"/>
        <v>634.40936395096503</v>
      </c>
      <c r="BP45" s="432">
        <f t="shared" si="94"/>
        <v>634.40936395096503</v>
      </c>
      <c r="BQ45" s="432">
        <f t="shared" si="94"/>
        <v>634.40936395096503</v>
      </c>
      <c r="BR45" s="432">
        <f t="shared" si="94"/>
        <v>634.40936395096503</v>
      </c>
      <c r="BS45" s="432">
        <f t="shared" si="94"/>
        <v>576.19030117500006</v>
      </c>
      <c r="BT45" s="432">
        <f t="shared" si="94"/>
        <v>556.32167010000001</v>
      </c>
      <c r="BU45" s="432">
        <f t="shared" si="94"/>
        <v>556.32167010000001</v>
      </c>
      <c r="BW45" s="432">
        <f t="shared" ref="BW45:CP45" si="95">SUM(BW46:BW85)</f>
        <v>0</v>
      </c>
      <c r="BX45" s="432">
        <f t="shared" si="95"/>
        <v>0</v>
      </c>
      <c r="BY45" s="432">
        <f t="shared" si="95"/>
        <v>9710.5116887287586</v>
      </c>
      <c r="BZ45" s="432">
        <f t="shared" si="95"/>
        <v>9856.1693640596823</v>
      </c>
      <c r="CA45" s="432">
        <f t="shared" si="95"/>
        <v>10004.011904520579</v>
      </c>
      <c r="CB45" s="432">
        <f t="shared" si="95"/>
        <v>10154.072083088384</v>
      </c>
      <c r="CC45" s="432">
        <f t="shared" si="95"/>
        <v>10306.383164334711</v>
      </c>
      <c r="CD45" s="432">
        <f t="shared" si="95"/>
        <v>10460.97891179973</v>
      </c>
      <c r="CE45" s="432">
        <f t="shared" si="95"/>
        <v>10560.465031219406</v>
      </c>
      <c r="CF45" s="432">
        <f t="shared" si="95"/>
        <v>10718.872006687699</v>
      </c>
      <c r="CG45" s="432">
        <f t="shared" si="95"/>
        <v>10624.901687241307</v>
      </c>
      <c r="CH45" s="432">
        <f t="shared" si="95"/>
        <v>10784.275212549925</v>
      </c>
      <c r="CI45" s="432">
        <f t="shared" si="95"/>
        <v>7750.3823912592952</v>
      </c>
      <c r="CJ45" s="432">
        <f t="shared" si="95"/>
        <v>7055.0773168374853</v>
      </c>
      <c r="CK45" s="432">
        <f t="shared" si="95"/>
        <v>7160.903476590046</v>
      </c>
      <c r="CL45" s="432">
        <f t="shared" si="95"/>
        <v>7268.3170287388975</v>
      </c>
      <c r="CM45" s="432">
        <f t="shared" si="95"/>
        <v>7377.3417841699775</v>
      </c>
      <c r="CN45" s="432">
        <f t="shared" si="95"/>
        <v>6800.8360554285055</v>
      </c>
      <c r="CO45" s="432">
        <f t="shared" si="95"/>
        <v>6664.8193343199355</v>
      </c>
      <c r="CP45" s="432">
        <f t="shared" si="95"/>
        <v>6764.7916243347354</v>
      </c>
      <c r="CR45" s="432">
        <f t="shared" ref="CR45:DK45" si="96">SUM(CR46:CR85)</f>
        <v>0</v>
      </c>
      <c r="CS45" s="432">
        <f t="shared" si="96"/>
        <v>0</v>
      </c>
      <c r="CT45" s="432">
        <f t="shared" si="96"/>
        <v>9710.5116887287586</v>
      </c>
      <c r="CU45" s="432">
        <f t="shared" si="96"/>
        <v>9856.1693640596823</v>
      </c>
      <c r="CV45" s="432">
        <f t="shared" si="96"/>
        <v>10004.011904520579</v>
      </c>
      <c r="CW45" s="432">
        <f t="shared" si="96"/>
        <v>10154.072083088384</v>
      </c>
      <c r="CX45" s="432">
        <f t="shared" si="96"/>
        <v>10306.383164334711</v>
      </c>
      <c r="CY45" s="432">
        <f t="shared" si="96"/>
        <v>10460.97891179973</v>
      </c>
      <c r="CZ45" s="432">
        <f t="shared" si="96"/>
        <v>10560.465031219406</v>
      </c>
      <c r="DA45" s="432">
        <f t="shared" si="96"/>
        <v>10718.872006687699</v>
      </c>
      <c r="DB45" s="432">
        <f t="shared" si="96"/>
        <v>10624.901687241307</v>
      </c>
      <c r="DC45" s="432">
        <f t="shared" si="96"/>
        <v>10784.275212549925</v>
      </c>
      <c r="DD45" s="432">
        <f t="shared" si="96"/>
        <v>7750.3823912592952</v>
      </c>
      <c r="DE45" s="432">
        <f t="shared" si="96"/>
        <v>7055.0773168374853</v>
      </c>
      <c r="DF45" s="432">
        <f t="shared" si="96"/>
        <v>7160.903476590046</v>
      </c>
      <c r="DG45" s="432">
        <f t="shared" si="96"/>
        <v>7268.3170287388975</v>
      </c>
      <c r="DH45" s="432">
        <f t="shared" si="96"/>
        <v>7377.3417841699775</v>
      </c>
      <c r="DI45" s="432">
        <f t="shared" si="96"/>
        <v>6800.8360554285055</v>
      </c>
      <c r="DJ45" s="432">
        <f t="shared" si="96"/>
        <v>6664.8193343199355</v>
      </c>
      <c r="DK45" s="432">
        <f t="shared" si="96"/>
        <v>6764.7916243347354</v>
      </c>
      <c r="DM45" s="432">
        <f t="shared" ref="DM45:DW45" si="97">SUM(DM46:DM85)</f>
        <v>0</v>
      </c>
      <c r="DN45" s="432">
        <f t="shared" si="97"/>
        <v>0</v>
      </c>
      <c r="DO45" s="432">
        <f t="shared" si="97"/>
        <v>10914</v>
      </c>
      <c r="DP45" s="432">
        <f t="shared" si="97"/>
        <v>0</v>
      </c>
      <c r="DQ45" s="432">
        <f t="shared" si="97"/>
        <v>0</v>
      </c>
      <c r="DR45" s="432">
        <f t="shared" si="97"/>
        <v>0</v>
      </c>
      <c r="DS45" s="432">
        <f t="shared" si="97"/>
        <v>0</v>
      </c>
      <c r="DT45" s="432">
        <f t="shared" si="97"/>
        <v>0</v>
      </c>
      <c r="DU45" s="432">
        <f t="shared" si="97"/>
        <v>0</v>
      </c>
      <c r="DV45" s="432">
        <f t="shared" si="97"/>
        <v>0</v>
      </c>
      <c r="DW45" s="432">
        <f t="shared" si="97"/>
        <v>0</v>
      </c>
      <c r="DZ45" s="650"/>
    </row>
    <row r="46" spans="1:171">
      <c r="A46" s="342" t="s">
        <v>112</v>
      </c>
      <c r="B46" s="427" t="str">
        <f>'Portfolio Inputs'!A45</f>
        <v>Delamping (T8 to T8)</v>
      </c>
      <c r="C46" s="217">
        <f>IF($C$1=2014,'Portfolio Inputs'!$C45,IF($C$1=2015,'Portfolio Inputs'!$D45,'Portfolio Inputs'!$E45))</f>
        <v>9</v>
      </c>
      <c r="D46" s="504">
        <f>VLOOKUP(B46,Sources!$B$4:$J$104,2,FALSE)</f>
        <v>11</v>
      </c>
      <c r="E46" s="504">
        <f>VLOOKUP(B46,Sources!$B$4:$J$104,3,FALSE)</f>
        <v>0</v>
      </c>
      <c r="G46" s="504">
        <f>IF($C$1=2014,'Portfolio Inputs'!$G45,IF($C$1=2015,'Portfolio Inputs'!$H45,'Portfolio Inputs'!$I45))*EnergyLineLoss</f>
        <v>1014.3459022499999</v>
      </c>
      <c r="H46" s="504"/>
      <c r="I46" s="595">
        <f>IF($C$1=2014,'Portfolio Inputs'!$K45,IF($C$1=2015,'Portfolio Inputs'!$L45,'Portfolio Inputs'!$M45))*PeakLineLoss</f>
        <v>0.15684771959999999</v>
      </c>
      <c r="J46" s="510"/>
      <c r="L46" s="606">
        <f>IF($C$1=2014,'Portfolio Inputs'!$O45,IF($C$1=2015,'Portfolio Inputs'!$P45,'Portfolio Inputs'!$Q45))</f>
        <v>12</v>
      </c>
      <c r="M46" s="518">
        <f>VLOOKUP($B46,Sources!$B$4:$K$104,10,FALSE)</f>
        <v>0</v>
      </c>
      <c r="N46" s="419">
        <f>IF($C$1=2014,'Portfolio Inputs'!$W45,IF($C$1=2015,'Portfolio Inputs'!$X45,'Portfolio Inputs'!$Y45))</f>
        <v>72</v>
      </c>
      <c r="O46" s="419">
        <f>IF($C$1=2014,'Portfolio Inputs'!$AA45,IF($C$1=2015,'Portfolio Inputs'!$AB45,'Portfolio Inputs'!$AC45))</f>
        <v>0</v>
      </c>
      <c r="Q46" s="438">
        <f t="shared" si="67"/>
        <v>3.2402310226004172</v>
      </c>
      <c r="R46" s="439">
        <f t="shared" si="68"/>
        <v>4.8603465339006258</v>
      </c>
      <c r="S46" s="439">
        <f t="shared" si="69"/>
        <v>4.0393043150980059</v>
      </c>
      <c r="T46" s="439">
        <f t="shared" si="70"/>
        <v>8.7016828481268522</v>
      </c>
      <c r="U46" s="439">
        <f t="shared" ref="U46:U85" si="98">IF(AE46&gt;0,(AD46+AB46)/AE46,"n/a")</f>
        <v>8.7016828481268522</v>
      </c>
      <c r="V46" s="439">
        <f t="shared" si="72"/>
        <v>0.3723683199161778</v>
      </c>
      <c r="W46" s="439">
        <f t="shared" si="73"/>
        <v>0.3723683199161778</v>
      </c>
      <c r="Y46" s="215">
        <f t="shared" si="4"/>
        <v>295.40828068232173</v>
      </c>
      <c r="Z46" s="215">
        <f t="shared" si="5"/>
        <v>72.850628806841229</v>
      </c>
      <c r="AA46" s="215">
        <f t="shared" si="6"/>
        <v>732.5435436127849</v>
      </c>
      <c r="AB46" s="215">
        <f t="shared" si="7"/>
        <v>732.5435436127849</v>
      </c>
      <c r="AC46" s="216">
        <f t="shared" si="20"/>
        <v>0</v>
      </c>
      <c r="AD46" s="216">
        <f t="shared" si="21"/>
        <v>60.779263087902621</v>
      </c>
      <c r="AE46" s="215">
        <f t="shared" si="8"/>
        <v>91.168894631853931</v>
      </c>
      <c r="AG46" s="214">
        <f>IF(AND(($E46+$C$1)&gt;AG$4,AG$4&gt;=$C$1),'General Inputs'!D$9*$H46,IF(AND(($D46+$C$1)&gt;AG$4,AG$4&gt;=$C$1),'General Inputs'!D$9*$G46,0))+IF(AND(($E46+$C$1)&gt;AG$4,AG$4&gt;=$C$1),'General Inputs'!D$10*$J46,IF(AND(($D46+$C$1)&gt;AG$4,AG$4&gt;=$C$1),'General Inputs'!D$10*$I46,0))</f>
        <v>0</v>
      </c>
      <c r="AH46" s="214">
        <f>IF(AND(($E46+$C$1)&gt;AH$4,AH$4&gt;=$C$1),'General Inputs'!E$9*$H46,IF(AND(($D46+$C$1)&gt;AH$4,AH$4&gt;=$C$1),'General Inputs'!E$9*$G46,0))+IF(AND(($E46+$C$1)&gt;AH$4,AH$4&gt;=$C$1),'General Inputs'!E$10*$J46,IF(AND(($D46+$C$1)&gt;AH$4,AH$4&gt;=$C$1),'General Inputs'!E$10*$I46,0))</f>
        <v>0</v>
      </c>
      <c r="AI46" s="214">
        <f>IF(AND(($E46+$C$1)&gt;AI$4,AI$4&gt;=$C$1),'General Inputs'!F$9*$H46,IF(AND(($D46+$C$1)&gt;AI$4,AI$4&gt;=$C$1),'General Inputs'!F$9*$G46,0))+IF(AND(($E46+$C$1)&gt;AI$4,AI$4&gt;=$C$1),'General Inputs'!F$10*$J46,IF(AND(($D46+$C$1)&gt;AI$4,AI$4&gt;=$C$1),'General Inputs'!F$10*$I46,0))</f>
        <v>44.023632929775516</v>
      </c>
      <c r="AJ46" s="214">
        <f>IF(AND(($E46+$C$1)&gt;AJ$4,AJ$4&gt;=$C$1),'General Inputs'!G$9*$H46,IF(AND(($D46+$C$1)&gt;AJ$4,AJ$4&gt;=$C$1),'General Inputs'!G$9*$G46,0))+IF(AND(($E46+$C$1)&gt;AJ$4,AJ$4&gt;=$C$1),'General Inputs'!G$10*$J46,IF(AND(($D46+$C$1)&gt;AJ$4,AJ$4&gt;=$C$1),'General Inputs'!G$10*$I46,0))</f>
        <v>44.683987423722151</v>
      </c>
      <c r="AK46" s="214">
        <f>IF(AND(($E46+$C$1)&gt;AK$4,AK$4&gt;=$C$1),'General Inputs'!H$9*$H46,IF(AND(($D46+$C$1)&gt;AK$4,AK$4&gt;=$C$1),'General Inputs'!H$9*$G46,0))+IF(AND(($E46+$C$1)&gt;AK$4,AK$4&gt;=$C$1),'General Inputs'!H$10*$J46,IF(AND(($D46+$C$1)&gt;AK$4,AK$4&gt;=$C$1),'General Inputs'!H$10*$I46,0))</f>
        <v>45.35424723507797</v>
      </c>
      <c r="AL46" s="214">
        <f>IF(AND(($E46+$C$1)&gt;AL$4,AL$4&gt;=$C$1),'General Inputs'!I$9*$H46,IF(AND(($D46+$C$1)&gt;AL$4,AL$4&gt;=$C$1),'General Inputs'!I$9*$G46,0))+IF(AND(($E46+$C$1)&gt;AL$4,AL$4&gt;=$C$1),'General Inputs'!I$10*$J46,IF(AND(($D46+$C$1)&gt;AL$4,AL$4&gt;=$C$1),'General Inputs'!I$10*$I46,0))</f>
        <v>46.034560943604134</v>
      </c>
      <c r="AM46" s="214">
        <f>IF(AND(($E46+$C$1)&gt;AM$4,AM$4&gt;=$C$1),'General Inputs'!J$9*$H46,IF(AND(($D46+$C$1)&gt;AM$4,AM$4&gt;=$C$1),'General Inputs'!J$9*$G46,0))+IF(AND(($E46+$C$1)&gt;AM$4,AM$4&gt;=$C$1),'General Inputs'!J$10*$J46,IF(AND(($D46+$C$1)&gt;AM$4,AM$4&gt;=$C$1),'General Inputs'!J$10*$I46,0))</f>
        <v>46.72507935775819</v>
      </c>
      <c r="AN46" s="214">
        <f>IF(AND(($E46+$C$1)&gt;AN$4,AN$4&gt;=$C$1),'General Inputs'!K$9*$H46,IF(AND(($D46+$C$1)&gt;AN$4,AN$4&gt;=$C$1),'General Inputs'!K$9*$G46,0))+IF(AND(($E46+$C$1)&gt;AN$4,AN$4&gt;=$C$1),'General Inputs'!K$10*$J46,IF(AND(($D46+$C$1)&gt;AN$4,AN$4&gt;=$C$1),'General Inputs'!K$10*$I46,0))</f>
        <v>47.425955548124556</v>
      </c>
      <c r="AO46" s="214">
        <f>IF(AND(($E46+$C$1)&gt;AO$4,AO$4&gt;=$C$1),'General Inputs'!L$9*$H46,IF(AND(($D46+$C$1)&gt;AO$4,AO$4&gt;=$C$1),'General Inputs'!L$9*$G46,0))+IF(AND(($E46+$C$1)&gt;AO$4,AO$4&gt;=$C$1),'General Inputs'!L$10*$J46,IF(AND(($D46+$C$1)&gt;AO$4,AO$4&gt;=$C$1),'General Inputs'!L$10*$I46,0))</f>
        <v>48.137344881346422</v>
      </c>
      <c r="AP46" s="214">
        <f>IF(AND(($E46+$C$1)&gt;AP$4,AP$4&gt;=$C$1),'General Inputs'!M$9*$H46,IF(AND(($D46+$C$1)&gt;AP$4,AP$4&gt;=$C$1),'General Inputs'!M$9*$G46,0))+IF(AND(($E46+$C$1)&gt;AP$4,AP$4&gt;=$C$1),'General Inputs'!M$10*$J46,IF(AND(($D46+$C$1)&gt;AP$4,AP$4&gt;=$C$1),'General Inputs'!M$10*$I46,0))</f>
        <v>48.859405054566608</v>
      </c>
      <c r="AQ46" s="214">
        <f>IF(AND(($E46+$C$1)&gt;AQ$4,AQ$4&gt;=$C$1),'General Inputs'!N$9*$H46,IF(AND(($D46+$C$1)&gt;AQ$4,AQ$4&gt;=$C$1),'General Inputs'!N$9*$G46,0))+IF(AND(($E46+$C$1)&gt;AQ$4,AQ$4&gt;=$C$1),'General Inputs'!N$10*$J46,IF(AND(($D46+$C$1)&gt;AQ$4,AQ$4&gt;=$C$1),'General Inputs'!N$10*$I46,0))</f>
        <v>49.592296130385101</v>
      </c>
      <c r="AR46" s="214">
        <f>IF(AND(($E46+$C$1)&gt;AR$4,AR$4&gt;=$C$1),'General Inputs'!O$9*$H46,IF(AND(($D46+$C$1)&gt;AR$4,AR$4&gt;=$C$1),'General Inputs'!O$9*$G46,0))+IF(AND(($E46+$C$1)&gt;AR$4,AR$4&gt;=$C$1),'General Inputs'!O$10*$J46,IF(AND(($D46+$C$1)&gt;AR$4,AR$4&gt;=$C$1),'General Inputs'!O$10*$I46,0))</f>
        <v>50.336180572340872</v>
      </c>
      <c r="AS46" s="214">
        <f>IF(AND(($E46+$C$1)&gt;AS$4,AS$4&gt;=$C$1),'General Inputs'!P$9*$H46,IF(AND(($D46+$C$1)&gt;AS$4,AS$4&gt;=$C$1),'General Inputs'!P$9*$G46,0))+IF(AND(($E46+$C$1)&gt;AS$4,AS$4&gt;=$C$1),'General Inputs'!P$10*$J46,IF(AND(($D46+$C$1)&gt;AS$4,AS$4&gt;=$C$1),'General Inputs'!P$10*$I46,0))</f>
        <v>51.091223280925981</v>
      </c>
      <c r="AT46" s="214">
        <f>IF(AND(($E46+$C$1)&gt;AT$4,AT$4&gt;=$C$1),'General Inputs'!Q$9*$H46,IF(AND(($D46+$C$1)&gt;AT$4,AT$4&gt;=$C$1),'General Inputs'!Q$9*$G46,0))+IF(AND(($E46+$C$1)&gt;AT$4,AT$4&gt;=$C$1),'General Inputs'!Q$10*$J46,IF(AND(($D46+$C$1)&gt;AT$4,AT$4&gt;=$C$1),'General Inputs'!Q$10*$I46,0))</f>
        <v>0</v>
      </c>
      <c r="AU46" s="214">
        <f>IF(AND(($E46+$C$1)&gt;AU$4,AU$4&gt;=$C$1),'General Inputs'!R$9*$H46,IF(AND(($D46+$C$1)&gt;AU$4,AU$4&gt;=$C$1),'General Inputs'!R$9*$G46,0))+IF(AND(($E46+$C$1)&gt;AU$4,AU$4&gt;=$C$1),'General Inputs'!R$10*$J46,IF(AND(($D46+$C$1)&gt;AU$4,AU$4&gt;=$C$1),'General Inputs'!R$10*$I46,0))</f>
        <v>0</v>
      </c>
      <c r="AV46" s="214">
        <f>IF(AND(($E46+$C$1)&gt;AV$4,AV$4&gt;=$C$1),'General Inputs'!S$9*$H46,IF(AND(($D46+$C$1)&gt;AV$4,AV$4&gt;=$C$1),'General Inputs'!S$9*$G46,0))+IF(AND(($E46+$C$1)&gt;AV$4,AV$4&gt;=$C$1),'General Inputs'!S$10*$J46,IF(AND(($D46+$C$1)&gt;AV$4,AV$4&gt;=$C$1),'General Inputs'!S$10*$I46,0))</f>
        <v>0</v>
      </c>
      <c r="AW46" s="214">
        <f>IF(AND(($E46+$C$1)&gt;AW$4,AW$4&gt;=$C$1),'General Inputs'!T$9*$H46,IF(AND(($D46+$C$1)&gt;AW$4,AW$4&gt;=$C$1),'General Inputs'!T$9*$G46,0))+IF(AND(($E46+$C$1)&gt;AW$4,AW$4&gt;=$C$1),'General Inputs'!T$10*$J46,IF(AND(($D46+$C$1)&gt;AW$4,AW$4&gt;=$C$1),'General Inputs'!T$10*$I46,0))</f>
        <v>0</v>
      </c>
      <c r="AX46" s="214">
        <f>IF(AND(($E46+$C$1)&gt;AX$4,AX$4&gt;=$C$1),'General Inputs'!U$9*$H46,IF(AND(($D46+$C$1)&gt;AX$4,AX$4&gt;=$C$1),'General Inputs'!U$9*$G46,0))+IF(AND(($E46+$C$1)&gt;AX$4,AX$4&gt;=$C$1),'General Inputs'!U$10*$J46,IF(AND(($D46+$C$1)&gt;AX$4,AX$4&gt;=$C$1),'General Inputs'!U$10*$I46,0))</f>
        <v>0</v>
      </c>
      <c r="AY46" s="214">
        <f>IF(AND(($E46+$C$1)&gt;AY$4,AY$4&gt;=$C$1),'General Inputs'!V$9*$H46,IF(AND(($D46+$C$1)&gt;AY$4,AY$4&gt;=$C$1),'General Inputs'!V$9*$G46,0))+IF(AND(($E46+$C$1)&gt;AY$4,AY$4&gt;=$C$1),'General Inputs'!V$10*$J46,IF(AND(($D46+$C$1)&gt;AY$4,AY$4&gt;=$C$1),'General Inputs'!V$10*$I46,0))</f>
        <v>0</v>
      </c>
      <c r="AZ46" s="214">
        <f>IF(AND(($E46+$C$1)&gt;AZ$4,AZ$4&gt;=$C$1),'General Inputs'!W$9*$H46,IF(AND(($D46+$C$1)&gt;AZ$4,AZ$4&gt;=$C$1),'General Inputs'!W$9*$G46,0))+IF(AND(($E46+$C$1)&gt;AZ$4,AZ$4&gt;=$C$1),'General Inputs'!W$10*$J46,IF(AND(($D46+$C$1)&gt;AZ$4,AZ$4&gt;=$C$1),'General Inputs'!W$10*$I46,0))</f>
        <v>0</v>
      </c>
      <c r="BB46" s="214">
        <f>IF(AND(($E46+$C$1)&gt;BB$4,BB$4&gt;=$C$1),'General Inputs'!D$11*$H46,IF(AND(($D46+$C$1)&gt;BB$4,BB$4&gt;=$C$1),'General Inputs'!D$11*$G46,0))</f>
        <v>0</v>
      </c>
      <c r="BC46" s="214">
        <f>IF(AND(($E46+$C$1)&gt;BC$4,BC$4&gt;=$C$1),'General Inputs'!E$11*$H46,IF(AND(($D46+$C$1)&gt;BC$4,BC$4&gt;=$C$1),'General Inputs'!E$11*$G46,0))</f>
        <v>0</v>
      </c>
      <c r="BD46" s="214">
        <f>IF(AND(($E46+$C$1)&gt;BD$4,BD$4&gt;=$C$1),'General Inputs'!F$11*$H46,IF(AND(($D46+$C$1)&gt;BD$4,BD$4&gt;=$C$1),'General Inputs'!F$11*$G46,0))</f>
        <v>11.563543285649999</v>
      </c>
      <c r="BE46" s="214">
        <f>IF(AND(($E46+$C$1)&gt;BE$4,BE$4&gt;=$C$1),'General Inputs'!G$11*$H46,IF(AND(($D46+$C$1)&gt;BE$4,BE$4&gt;=$C$1),'General Inputs'!G$11*$G46,0))</f>
        <v>11.563543285649999</v>
      </c>
      <c r="BF46" s="214">
        <f>IF(AND(($E46+$C$1)&gt;BF$4,BF$4&gt;=$C$1),'General Inputs'!H$11*$H46,IF(AND(($D46+$C$1)&gt;BF$4,BF$4&gt;=$C$1),'General Inputs'!H$11*$G46,0))</f>
        <v>11.563543285649999</v>
      </c>
      <c r="BG46" s="214">
        <f>IF(AND(($E46+$C$1)&gt;BG$4,BG$4&gt;=$C$1),'General Inputs'!I$11*$H46,IF(AND(($D46+$C$1)&gt;BG$4,BG$4&gt;=$C$1),'General Inputs'!I$11*$G46,0))</f>
        <v>11.563543285649999</v>
      </c>
      <c r="BH46" s="214">
        <f>IF(AND(($E46+$C$1)&gt;BH$4,BH$4&gt;=$C$1),'General Inputs'!J$11*$H46,IF(AND(($D46+$C$1)&gt;BH$4,BH$4&gt;=$C$1),'General Inputs'!J$11*$G46,0))</f>
        <v>11.563543285649999</v>
      </c>
      <c r="BI46" s="214">
        <f>IF(AND(($E46+$C$1)&gt;BI$4,BI$4&gt;=$C$1),'General Inputs'!K$11*$H46,IF(AND(($D46+$C$1)&gt;BI$4,BI$4&gt;=$C$1),'General Inputs'!K$11*$G46,0))</f>
        <v>11.563543285649999</v>
      </c>
      <c r="BJ46" s="214">
        <f>IF(AND(($E46+$C$1)&gt;BJ$4,BJ$4&gt;=$C$1),'General Inputs'!L$11*$H46,IF(AND(($D46+$C$1)&gt;BJ$4,BJ$4&gt;=$C$1),'General Inputs'!L$11*$G46,0))</f>
        <v>11.563543285649999</v>
      </c>
      <c r="BK46" s="214">
        <f>IF(AND(($E46+$C$1)&gt;BK$4,BK$4&gt;=$C$1),'General Inputs'!M$11*$H46,IF(AND(($D46+$C$1)&gt;BK$4,BK$4&gt;=$C$1),'General Inputs'!M$11*$G46,0))</f>
        <v>11.563543285649999</v>
      </c>
      <c r="BL46" s="214">
        <f>IF(AND(($E46+$C$1)&gt;BL$4,BL$4&gt;=$C$1),'General Inputs'!N$11*$H46,IF(AND(($D46+$C$1)&gt;BL$4,BL$4&gt;=$C$1),'General Inputs'!N$11*$G46,0))</f>
        <v>11.563543285649999</v>
      </c>
      <c r="BM46" s="214">
        <f>IF(AND(($E46+$C$1)&gt;BM$4,BM$4&gt;=$C$1),'General Inputs'!O$11*$H46,IF(AND(($D46+$C$1)&gt;BM$4,BM$4&gt;=$C$1),'General Inputs'!O$11*$G46,0))</f>
        <v>11.563543285649999</v>
      </c>
      <c r="BN46" s="214">
        <f>IF(AND(($E46+$C$1)&gt;BN$4,BN$4&gt;=$C$1),'General Inputs'!P$11*$H46,IF(AND(($D46+$C$1)&gt;BN$4,BN$4&gt;=$C$1),'General Inputs'!P$11*$G46,0))</f>
        <v>11.563543285649999</v>
      </c>
      <c r="BO46" s="214">
        <f>IF(AND(($E46+$C$1)&gt;BO$4,BO$4&gt;=$C$1),'General Inputs'!Q$11*$H46,IF(AND(($D46+$C$1)&gt;BO$4,BO$4&gt;=$C$1),'General Inputs'!Q$11*$G46,0))</f>
        <v>0</v>
      </c>
      <c r="BP46" s="214">
        <f>IF(AND(($E46+$C$1)&gt;BP$4,BP$4&gt;=$C$1),'General Inputs'!R$11*$H46,IF(AND(($D46+$C$1)&gt;BP$4,BP$4&gt;=$C$1),'General Inputs'!R$11*$G46,0))</f>
        <v>0</v>
      </c>
      <c r="BQ46" s="214">
        <f>IF(AND(($E46+$C$1)&gt;BQ$4,BQ$4&gt;=$C$1),'General Inputs'!S$11*$H46,IF(AND(($D46+$C$1)&gt;BQ$4,BQ$4&gt;=$C$1),'General Inputs'!S$11*$G46,0))</f>
        <v>0</v>
      </c>
      <c r="BR46" s="214">
        <f>IF(AND(($E46+$C$1)&gt;BR$4,BR$4&gt;=$C$1),'General Inputs'!T$11*$H46,IF(AND(($D46+$C$1)&gt;BR$4,BR$4&gt;=$C$1),'General Inputs'!T$11*$G46,0))</f>
        <v>0</v>
      </c>
      <c r="BS46" s="214">
        <f>IF(AND(($E46+$C$1)&gt;BS$4,BS$4&gt;=$C$1),'General Inputs'!U$11*$H46,IF(AND(($D46+$C$1)&gt;BS$4,BS$4&gt;=$C$1),'General Inputs'!U$11*$G46,0))</f>
        <v>0</v>
      </c>
      <c r="BT46" s="214">
        <f>IF(AND(($E46+$C$1)&gt;BT$4,BT$4&gt;=$C$1),'General Inputs'!V$11*$H46,IF(AND(($D46+$C$1)&gt;BT$4,BT$4&gt;=$C$1),'General Inputs'!V$11*$G46,0))</f>
        <v>0</v>
      </c>
      <c r="BU46" s="214">
        <f>IF(AND(($E46+$C$1)&gt;BU$4,BU$4&gt;=$C$1),'General Inputs'!W$11*$H46,IF(AND(($D46+$C$1)&gt;BU$4,BU$4&gt;=$C$1),'General Inputs'!W$11*$G46,0))</f>
        <v>0</v>
      </c>
      <c r="BW46" s="214">
        <f>IF(AND(($E46+$C$1)&gt;BW$4,BW$4&gt;=$C$1),$H46,IF(AND(($D46+$C$1)&gt;BW$4,BW$4&gt;=$C$1),$G46,0))*IF($A46="Residential",'General Inputs'!D$14,'General Inputs'!D$19)</f>
        <v>0</v>
      </c>
      <c r="BX46" s="214">
        <f>IF(AND(($E46+$C$1)&gt;BX$4,BX$4&gt;=$C$1),$H46,IF(AND(($D46+$C$1)&gt;BX$4,BX$4&gt;=$C$1),$G46,0))*IF($A46="Residential",'General Inputs'!E$14,'General Inputs'!E$19)</f>
        <v>0</v>
      </c>
      <c r="BY46" s="214">
        <f>IF(AND(($E46+$C$1)&gt;BY$4,BY$4&gt;=$C$1),$H46,IF(AND(($D46+$C$1)&gt;BY$4,BY$4&gt;=$C$1),$G46,0))*IF($A46="Residential",'General Inputs'!F$14,'General Inputs'!F$19)</f>
        <v>109.16832796493827</v>
      </c>
      <c r="BZ46" s="214">
        <f>IF(AND(($E46+$C$1)&gt;BZ$4,BZ$4&gt;=$C$1),$H46,IF(AND(($D46+$C$1)&gt;BZ$4,BZ$4&gt;=$C$1),$G46,0))*IF($A46="Residential",'General Inputs'!G$14,'General Inputs'!G$19)</f>
        <v>110.80585288441233</v>
      </c>
      <c r="CA46" s="214">
        <f>IF(AND(($E46+$C$1)&gt;CA$4,CA$4&gt;=$C$1),$H46,IF(AND(($D46+$C$1)&gt;CA$4,CA$4&gt;=$C$1),$G46,0))*IF($A46="Residential",'General Inputs'!H$14,'General Inputs'!H$19)</f>
        <v>112.4679406776785</v>
      </c>
      <c r="CB46" s="214">
        <f>IF(AND(($E46+$C$1)&gt;CB$4,CB$4&gt;=$C$1),$H46,IF(AND(($D46+$C$1)&gt;CB$4,CB$4&gt;=$C$1),$G46,0))*IF($A46="Residential",'General Inputs'!I$14,'General Inputs'!I$19)</f>
        <v>114.15495978784365</v>
      </c>
      <c r="CC46" s="214">
        <f>IF(AND(($E46+$C$1)&gt;CC$4,CC$4&gt;=$C$1),$H46,IF(AND(($D46+$C$1)&gt;CC$4,CC$4&gt;=$C$1),$G46,0))*IF($A46="Residential",'General Inputs'!J$14,'General Inputs'!J$19)</f>
        <v>115.8672841846613</v>
      </c>
      <c r="CD46" s="214">
        <f>IF(AND(($E46+$C$1)&gt;CD$4,CD$4&gt;=$C$1),$H46,IF(AND(($D46+$C$1)&gt;CD$4,CD$4&gt;=$C$1),$G46,0))*IF($A46="Residential",'General Inputs'!K$14,'General Inputs'!K$19)</f>
        <v>117.60529344743121</v>
      </c>
      <c r="CE46" s="214">
        <f>IF(AND(($E46+$C$1)&gt;CE$4,CE$4&gt;=$C$1),$H46,IF(AND(($D46+$C$1)&gt;CE$4,CE$4&gt;=$C$1),$G46,0))*IF($A46="Residential",'General Inputs'!L$14,'General Inputs'!L$19)</f>
        <v>119.36937284914266</v>
      </c>
      <c r="CF46" s="214">
        <f>IF(AND(($E46+$C$1)&gt;CF$4,CF$4&gt;=$C$1),$H46,IF(AND(($D46+$C$1)&gt;CF$4,CF$4&gt;=$C$1),$G46,0))*IF($A46="Residential",'General Inputs'!M$14,'General Inputs'!M$19)</f>
        <v>121.15991344187979</v>
      </c>
      <c r="CG46" s="214">
        <f>IF(AND(($E46+$C$1)&gt;CG$4,CG$4&gt;=$C$1),$H46,IF(AND(($D46+$C$1)&gt;CG$4,CG$4&gt;=$C$1),$G46,0))*IF($A46="Residential",'General Inputs'!N$14,'General Inputs'!N$19)</f>
        <v>122.97731214350799</v>
      </c>
      <c r="CH46" s="214">
        <f>IF(AND(($E46+$C$1)&gt;CH$4,CH$4&gt;=$C$1),$H46,IF(AND(($D46+$C$1)&gt;CH$4,CH$4&gt;=$C$1),$G46,0))*IF($A46="Residential",'General Inputs'!O$14,'General Inputs'!O$19)</f>
        <v>124.82197182566058</v>
      </c>
      <c r="CI46" s="214">
        <f>IF(AND(($E46+$C$1)&gt;CI$4,CI$4&gt;=$C$1),$H46,IF(AND(($D46+$C$1)&gt;CI$4,CI$4&gt;=$C$1),$G46,0))*IF($A46="Residential",'General Inputs'!P$14,'General Inputs'!P$19)</f>
        <v>126.69430140304549</v>
      </c>
      <c r="CJ46" s="214">
        <f>IF(AND(($E46+$C$1)&gt;CJ$4,CJ$4&gt;=$C$1),$H46,IF(AND(($D46+$C$1)&gt;CJ$4,CJ$4&gt;=$C$1),$G46,0))*IF($A46="Residential",'General Inputs'!Q$14,'General Inputs'!Q$19)</f>
        <v>0</v>
      </c>
      <c r="CK46" s="214">
        <f>IF(AND(($E46+$C$1)&gt;CK$4,CK$4&gt;=$C$1),$H46,IF(AND(($D46+$C$1)&gt;CK$4,CK$4&gt;=$C$1),$G46,0))*IF($A46="Residential",'General Inputs'!R$14,'General Inputs'!R$19)</f>
        <v>0</v>
      </c>
      <c r="CL46" s="214">
        <f>IF(AND(($E46+$C$1)&gt;CL$4,CL$4&gt;=$C$1),$H46,IF(AND(($D46+$C$1)&gt;CL$4,CL$4&gt;=$C$1),$G46,0))*IF($A46="Residential",'General Inputs'!S$14,'General Inputs'!S$19)</f>
        <v>0</v>
      </c>
      <c r="CM46" s="214">
        <f>IF(AND(($E46+$C$1)&gt;CM$4,CM$4&gt;=$C$1),$H46,IF(AND(($D46+$C$1)&gt;CM$4,CM$4&gt;=$C$1),$G46,0))*IF($A46="Residential",'General Inputs'!T$14,'General Inputs'!T$19)</f>
        <v>0</v>
      </c>
      <c r="CN46" s="214">
        <f>IF(AND(($E46+$C$1)&gt;CN$4,CN$4&gt;=$C$1),$H46,IF(AND(($D46+$C$1)&gt;CN$4,CN$4&gt;=$C$1),$G46,0))*IF($A46="Residential",'General Inputs'!U$14,'General Inputs'!U$19)</f>
        <v>0</v>
      </c>
      <c r="CO46" s="214">
        <f>IF(AND(($E46+$C$1)&gt;CO$4,CO$4&gt;=$C$1),$H46,IF(AND(($D46+$C$1)&gt;CO$4,CO$4&gt;=$C$1),$G46,0))*IF($A46="Residential",'General Inputs'!V$14,'General Inputs'!V$19)</f>
        <v>0</v>
      </c>
      <c r="CP46" s="214">
        <f>IF(AND(($E46+$C$1)&gt;CP$4,CP$4&gt;=$C$1),$H46,IF(AND(($D46+$C$1)&gt;CP$4,CP$4&gt;=$C$1),$G46,0))*IF($A46="Residential",'General Inputs'!W$14,'General Inputs'!W$19)</f>
        <v>0</v>
      </c>
      <c r="CR46" s="214">
        <f>IF(AND(($E46+$C$1)&gt;CR$4,CR$4&gt;=$C$1),$H46,IF(AND(($D46+$C$1)&gt;CR$4,CR$4&gt;=$C$1),$G46,0))*IF($A46="Residential",'General Inputs'!D$15,'General Inputs'!D$19)</f>
        <v>0</v>
      </c>
      <c r="CS46" s="214">
        <f>IF(AND(($E46+$C$1)&gt;CS$4,CS$4&gt;=$C$1),$H46,IF(AND(($D46+$C$1)&gt;CS$4,CS$4&gt;=$C$1),$G46,0))*IF($A46="Residential",'General Inputs'!E$15,'General Inputs'!E$19)</f>
        <v>0</v>
      </c>
      <c r="CT46" s="214">
        <f>IF(AND(($E46+$C$1)&gt;CT$4,CT$4&gt;=$C$1),$H46,IF(AND(($D46+$C$1)&gt;CT$4,CT$4&gt;=$C$1),$G46,0))*IF($A46="Residential",'General Inputs'!F$15,'General Inputs'!F$19)</f>
        <v>109.16832796493827</v>
      </c>
      <c r="CU46" s="214">
        <f>IF(AND(($E46+$C$1)&gt;CU$4,CU$4&gt;=$C$1),$H46,IF(AND(($D46+$C$1)&gt;CU$4,CU$4&gt;=$C$1),$G46,0))*IF($A46="Residential",'General Inputs'!G$15,'General Inputs'!G$19)</f>
        <v>110.80585288441233</v>
      </c>
      <c r="CV46" s="214">
        <f>IF(AND(($E46+$C$1)&gt;CV$4,CV$4&gt;=$C$1),$H46,IF(AND(($D46+$C$1)&gt;CV$4,CV$4&gt;=$C$1),$G46,0))*IF($A46="Residential",'General Inputs'!H$15,'General Inputs'!H$19)</f>
        <v>112.4679406776785</v>
      </c>
      <c r="CW46" s="214">
        <f>IF(AND(($E46+$C$1)&gt;CW$4,CW$4&gt;=$C$1),$H46,IF(AND(($D46+$C$1)&gt;CW$4,CW$4&gt;=$C$1),$G46,0))*IF($A46="Residential",'General Inputs'!I$15,'General Inputs'!I$19)</f>
        <v>114.15495978784365</v>
      </c>
      <c r="CX46" s="214">
        <f>IF(AND(($E46+$C$1)&gt;CX$4,CX$4&gt;=$C$1),$H46,IF(AND(($D46+$C$1)&gt;CX$4,CX$4&gt;=$C$1),$G46,0))*IF($A46="Residential",'General Inputs'!J$15,'General Inputs'!J$19)</f>
        <v>115.8672841846613</v>
      </c>
      <c r="CY46" s="214">
        <f>IF(AND(($E46+$C$1)&gt;CY$4,CY$4&gt;=$C$1),$H46,IF(AND(($D46+$C$1)&gt;CY$4,CY$4&gt;=$C$1),$G46,0))*IF($A46="Residential",'General Inputs'!K$15,'General Inputs'!K$19)</f>
        <v>117.60529344743121</v>
      </c>
      <c r="CZ46" s="214">
        <f>IF(AND(($E46+$C$1)&gt;CZ$4,CZ$4&gt;=$C$1),$H46,IF(AND(($D46+$C$1)&gt;CZ$4,CZ$4&gt;=$C$1),$G46,0))*IF($A46="Residential",'General Inputs'!L$15,'General Inputs'!L$19)</f>
        <v>119.36937284914266</v>
      </c>
      <c r="DA46" s="214">
        <f>IF(AND(($E46+$C$1)&gt;DA$4,DA$4&gt;=$C$1),$H46,IF(AND(($D46+$C$1)&gt;DA$4,DA$4&gt;=$C$1),$G46,0))*IF($A46="Residential",'General Inputs'!M$15,'General Inputs'!M$19)</f>
        <v>121.15991344187979</v>
      </c>
      <c r="DB46" s="214">
        <f>IF(AND(($E46+$C$1)&gt;DB$4,DB$4&gt;=$C$1),$H46,IF(AND(($D46+$C$1)&gt;DB$4,DB$4&gt;=$C$1),$G46,0))*IF($A46="Residential",'General Inputs'!N$15,'General Inputs'!N$19)</f>
        <v>122.97731214350799</v>
      </c>
      <c r="DC46" s="214">
        <f>IF(AND(($E46+$C$1)&gt;DC$4,DC$4&gt;=$C$1),$H46,IF(AND(($D46+$C$1)&gt;DC$4,DC$4&gt;=$C$1),$G46,0))*IF($A46="Residential",'General Inputs'!O$15,'General Inputs'!O$19)</f>
        <v>124.82197182566058</v>
      </c>
      <c r="DD46" s="214">
        <f>IF(AND(($E46+$C$1)&gt;DD$4,DD$4&gt;=$C$1),$H46,IF(AND(($D46+$C$1)&gt;DD$4,DD$4&gt;=$C$1),$G46,0))*IF($A46="Residential",'General Inputs'!P$15,'General Inputs'!P$19)</f>
        <v>126.69430140304549</v>
      </c>
      <c r="DE46" s="214">
        <f>IF(AND(($E46+$C$1)&gt;DE$4,DE$4&gt;=$C$1),$H46,IF(AND(($D46+$C$1)&gt;DE$4,DE$4&gt;=$C$1),$G46,0))*IF($A46="Residential",'General Inputs'!Q$15,'General Inputs'!Q$19)</f>
        <v>0</v>
      </c>
      <c r="DF46" s="214">
        <f>IF(AND(($E46+$C$1)&gt;DF$4,DF$4&gt;=$C$1),$H46,IF(AND(($D46+$C$1)&gt;DF$4,DF$4&gt;=$C$1),$G46,0))*IF($A46="Residential",'General Inputs'!R$15,'General Inputs'!R$19)</f>
        <v>0</v>
      </c>
      <c r="DG46" s="214">
        <f>IF(AND(($E46+$C$1)&gt;DG$4,DG$4&gt;=$C$1),$H46,IF(AND(($D46+$C$1)&gt;DG$4,DG$4&gt;=$C$1),$G46,0))*IF($A46="Residential",'General Inputs'!S$15,'General Inputs'!S$19)</f>
        <v>0</v>
      </c>
      <c r="DH46" s="214">
        <f>IF(AND(($E46+$C$1)&gt;DH$4,DH$4&gt;=$C$1),$H46,IF(AND(($D46+$C$1)&gt;DH$4,DH$4&gt;=$C$1),$G46,0))*IF($A46="Residential",'General Inputs'!T$15,'General Inputs'!T$19)</f>
        <v>0</v>
      </c>
      <c r="DI46" s="214">
        <f>IF(AND(($E46+$C$1)&gt;DI$4,DI$4&gt;=$C$1),$H46,IF(AND(($D46+$C$1)&gt;DI$4,DI$4&gt;=$C$1),$G46,0))*IF($A46="Residential",'General Inputs'!U$15,'General Inputs'!U$19)</f>
        <v>0</v>
      </c>
      <c r="DJ46" s="214">
        <f>IF(AND(($E46+$C$1)&gt;DJ$4,DJ$4&gt;=$C$1),$H46,IF(AND(($D46+$C$1)&gt;DJ$4,DJ$4&gt;=$C$1),$G46,0))*IF($A46="Residential",'General Inputs'!V$15,'General Inputs'!V$19)</f>
        <v>0</v>
      </c>
      <c r="DK46" s="214">
        <f>IF(AND(($E46+$C$1)&gt;DK$4,DK$4&gt;=$C$1),$H46,IF(AND(($D46+$C$1)&gt;DK$4,DK$4&gt;=$C$1),$G46,0))*IF($A46="Residential",'General Inputs'!W$15,'General Inputs'!W$19)</f>
        <v>0</v>
      </c>
      <c r="DM46" s="214">
        <f t="shared" ref="DM46:DW65" si="99">IF($C$1=DM$4,$L46*$C46,IF($E46+$C$1=DM$4,-$M46*$C46,0))</f>
        <v>0</v>
      </c>
      <c r="DN46" s="214">
        <f t="shared" si="99"/>
        <v>0</v>
      </c>
      <c r="DO46" s="214">
        <f t="shared" si="99"/>
        <v>108</v>
      </c>
      <c r="DP46" s="214">
        <f t="shared" si="99"/>
        <v>0</v>
      </c>
      <c r="DQ46" s="214">
        <f t="shared" si="99"/>
        <v>0</v>
      </c>
      <c r="DR46" s="214">
        <f t="shared" si="99"/>
        <v>0</v>
      </c>
      <c r="DS46" s="214">
        <f t="shared" si="99"/>
        <v>0</v>
      </c>
      <c r="DT46" s="214">
        <f t="shared" si="99"/>
        <v>0</v>
      </c>
      <c r="DU46" s="214">
        <f t="shared" si="99"/>
        <v>0</v>
      </c>
      <c r="DV46" s="214">
        <f t="shared" si="99"/>
        <v>0</v>
      </c>
      <c r="DW46" s="214">
        <f t="shared" si="99"/>
        <v>0</v>
      </c>
      <c r="DZ46" s="650"/>
      <c r="FI46" s="195"/>
      <c r="FJ46" s="195"/>
      <c r="FK46" s="195"/>
      <c r="FL46" s="195"/>
      <c r="FM46" s="195"/>
      <c r="FN46" s="195"/>
      <c r="FO46" s="195"/>
    </row>
    <row r="47" spans="1:171">
      <c r="A47" s="342" t="s">
        <v>112</v>
      </c>
      <c r="B47" s="427" t="str">
        <f>'Portfolio Inputs'!A46</f>
        <v>Delamp T12 to T8 (2 Lamp Fixtures)</v>
      </c>
      <c r="C47" s="217">
        <f>IF($C$1=2014,'Portfolio Inputs'!$C46,IF($C$1=2015,'Portfolio Inputs'!$D46,'Portfolio Inputs'!$E46))</f>
        <v>6</v>
      </c>
      <c r="D47" s="504">
        <f>VLOOKUP(B47,Sources!$B$4:$J$104,2,FALSE)</f>
        <v>11</v>
      </c>
      <c r="E47" s="504">
        <f>VLOOKUP(B47,Sources!$B$4:$J$104,3,FALSE)</f>
        <v>0</v>
      </c>
      <c r="G47" s="504">
        <f>IF($C$1=2014,'Portfolio Inputs'!$G46,IF($C$1=2015,'Portfolio Inputs'!$H46,'Portfolio Inputs'!$I46))*EnergyLineLoss</f>
        <v>2603.8363882499998</v>
      </c>
      <c r="H47" s="504"/>
      <c r="I47" s="595">
        <f>IF($C$1=2014,'Portfolio Inputs'!$K46,IF($C$1=2015,'Portfolio Inputs'!$L46,'Portfolio Inputs'!$M46))*PeakLineLoss</f>
        <v>0.40262971319999985</v>
      </c>
      <c r="J47" s="510"/>
      <c r="L47" s="606">
        <f>IF($C$1=2014,'Portfolio Inputs'!$O46,IF($C$1=2015,'Portfolio Inputs'!$P46,'Portfolio Inputs'!$Q46))</f>
        <v>55</v>
      </c>
      <c r="M47" s="518">
        <f>VLOOKUP($B47,Sources!$B$4:$K$104,10,FALSE)</f>
        <v>0</v>
      </c>
      <c r="N47" s="419">
        <f>IF($C$1=2014,'Portfolio Inputs'!$W46,IF($C$1=2015,'Portfolio Inputs'!$X46,'Portfolio Inputs'!$Y46))</f>
        <v>96</v>
      </c>
      <c r="O47" s="419">
        <f>IF($C$1=2014,'Portfolio Inputs'!$AA46,IF($C$1=2015,'Portfolio Inputs'!$AB46,'Portfolio Inputs'!$AC46))</f>
        <v>0</v>
      </c>
      <c r="Q47" s="438">
        <f t="shared" si="67"/>
        <v>2.722158471095609</v>
      </c>
      <c r="R47" s="439">
        <f t="shared" si="68"/>
        <v>9.3574197443911551</v>
      </c>
      <c r="S47" s="439">
        <f t="shared" si="69"/>
        <v>3.3934699044553454</v>
      </c>
      <c r="T47" s="439">
        <f t="shared" si="70"/>
        <v>7.0412263402632735</v>
      </c>
      <c r="U47" s="439">
        <f t="shared" si="98"/>
        <v>7.0412263402632735</v>
      </c>
      <c r="V47" s="439">
        <f t="shared" si="72"/>
        <v>0.38660289267079956</v>
      </c>
      <c r="W47" s="439">
        <f t="shared" si="73"/>
        <v>0.38660289267079956</v>
      </c>
      <c r="Y47" s="215">
        <f t="shared" si="4"/>
        <v>758.31610195771259</v>
      </c>
      <c r="Z47" s="215">
        <f t="shared" si="5"/>
        <v>187.00831518457187</v>
      </c>
      <c r="AA47" s="215">
        <f t="shared" si="6"/>
        <v>1880.4468284493141</v>
      </c>
      <c r="AB47" s="215">
        <f t="shared" si="7"/>
        <v>1880.4468284493141</v>
      </c>
      <c r="AC47" s="216">
        <f t="shared" si="20"/>
        <v>0</v>
      </c>
      <c r="AD47" s="216">
        <f t="shared" si="21"/>
        <v>81.039017450536818</v>
      </c>
      <c r="AE47" s="215">
        <f t="shared" si="8"/>
        <v>278.57162248622029</v>
      </c>
      <c r="AG47" s="214">
        <f>IF(AND(($E47+$C$1)&gt;AG$4,AG$4&gt;=$C$1),'General Inputs'!D$9*$H47,IF(AND(($D47+$C$1)&gt;AG$4,AG$4&gt;=$C$1),'General Inputs'!D$9*$G47,0))+IF(AND(($E47+$C$1)&gt;AG$4,AG$4&gt;=$C$1),'General Inputs'!D$10*$J47,IF(AND(($D47+$C$1)&gt;AG$4,AG$4&gt;=$C$1),'General Inputs'!D$10*$I47,0))</f>
        <v>0</v>
      </c>
      <c r="AH47" s="214">
        <f>IF(AND(($E47+$C$1)&gt;AH$4,AH$4&gt;=$C$1),'General Inputs'!E$9*$H47,IF(AND(($D47+$C$1)&gt;AH$4,AH$4&gt;=$C$1),'General Inputs'!E$9*$G47,0))+IF(AND(($E47+$C$1)&gt;AH$4,AH$4&gt;=$C$1),'General Inputs'!E$10*$J47,IF(AND(($D47+$C$1)&gt;AH$4,AH$4&gt;=$C$1),'General Inputs'!E$10*$I47,0))</f>
        <v>0</v>
      </c>
      <c r="AI47" s="214">
        <f>IF(AND(($E47+$C$1)&gt;AI$4,AI$4&gt;=$C$1),'General Inputs'!F$9*$H47,IF(AND(($D47+$C$1)&gt;AI$4,AI$4&gt;=$C$1),'General Inputs'!F$9*$G47,0))+IF(AND(($E47+$C$1)&gt;AI$4,AI$4&gt;=$C$1),'General Inputs'!F$10*$J47,IF(AND(($D47+$C$1)&gt;AI$4,AI$4&gt;=$C$1),'General Inputs'!F$10*$I47,0))</f>
        <v>113.00911958261962</v>
      </c>
      <c r="AJ47" s="214">
        <f>IF(AND(($E47+$C$1)&gt;AJ$4,AJ$4&gt;=$C$1),'General Inputs'!G$9*$H47,IF(AND(($D47+$C$1)&gt;AJ$4,AJ$4&gt;=$C$1),'General Inputs'!G$9*$G47,0))+IF(AND(($E47+$C$1)&gt;AJ$4,AJ$4&gt;=$C$1),'General Inputs'!G$10*$J47,IF(AND(($D47+$C$1)&gt;AJ$4,AJ$4&gt;=$C$1),'General Inputs'!G$10*$I47,0))</f>
        <v>114.70425637635891</v>
      </c>
      <c r="AK47" s="214">
        <f>IF(AND(($E47+$C$1)&gt;AK$4,AK$4&gt;=$C$1),'General Inputs'!H$9*$H47,IF(AND(($D47+$C$1)&gt;AK$4,AK$4&gt;=$C$1),'General Inputs'!H$9*$G47,0))+IF(AND(($E47+$C$1)&gt;AK$4,AK$4&gt;=$C$1),'General Inputs'!H$10*$J47,IF(AND(($D47+$C$1)&gt;AK$4,AK$4&gt;=$C$1),'General Inputs'!H$10*$I47,0))</f>
        <v>116.42482022200429</v>
      </c>
      <c r="AL47" s="214">
        <f>IF(AND(($E47+$C$1)&gt;AL$4,AL$4&gt;=$C$1),'General Inputs'!I$9*$H47,IF(AND(($D47+$C$1)&gt;AL$4,AL$4&gt;=$C$1),'General Inputs'!I$9*$G47,0))+IF(AND(($E47+$C$1)&gt;AL$4,AL$4&gt;=$C$1),'General Inputs'!I$10*$J47,IF(AND(($D47+$C$1)&gt;AL$4,AL$4&gt;=$C$1),'General Inputs'!I$10*$I47,0))</f>
        <v>118.17119252533433</v>
      </c>
      <c r="AM47" s="214">
        <f>IF(AND(($E47+$C$1)&gt;AM$4,AM$4&gt;=$C$1),'General Inputs'!J$9*$H47,IF(AND(($D47+$C$1)&gt;AM$4,AM$4&gt;=$C$1),'General Inputs'!J$9*$G47,0))+IF(AND(($E47+$C$1)&gt;AM$4,AM$4&gt;=$C$1),'General Inputs'!J$10*$J47,IF(AND(($D47+$C$1)&gt;AM$4,AM$4&gt;=$C$1),'General Inputs'!J$10*$I47,0))</f>
        <v>119.94376041321433</v>
      </c>
      <c r="AN47" s="214">
        <f>IF(AND(($E47+$C$1)&gt;AN$4,AN$4&gt;=$C$1),'General Inputs'!K$9*$H47,IF(AND(($D47+$C$1)&gt;AN$4,AN$4&gt;=$C$1),'General Inputs'!K$9*$G47,0))+IF(AND(($E47+$C$1)&gt;AN$4,AN$4&gt;=$C$1),'General Inputs'!K$10*$J47,IF(AND(($D47+$C$1)&gt;AN$4,AN$4&gt;=$C$1),'General Inputs'!K$10*$I47,0))</f>
        <v>121.74291681941251</v>
      </c>
      <c r="AO47" s="214">
        <f>IF(AND(($E47+$C$1)&gt;AO$4,AO$4&gt;=$C$1),'General Inputs'!L$9*$H47,IF(AND(($D47+$C$1)&gt;AO$4,AO$4&gt;=$C$1),'General Inputs'!L$9*$G47,0))+IF(AND(($E47+$C$1)&gt;AO$4,AO$4&gt;=$C$1),'General Inputs'!L$10*$J47,IF(AND(($D47+$C$1)&gt;AO$4,AO$4&gt;=$C$1),'General Inputs'!L$10*$I47,0))</f>
        <v>123.5690605717037</v>
      </c>
      <c r="AP47" s="214">
        <f>IF(AND(($E47+$C$1)&gt;AP$4,AP$4&gt;=$C$1),'General Inputs'!M$9*$H47,IF(AND(($D47+$C$1)&gt;AP$4,AP$4&gt;=$C$1),'General Inputs'!M$9*$G47,0))+IF(AND(($E47+$C$1)&gt;AP$4,AP$4&gt;=$C$1),'General Inputs'!M$10*$J47,IF(AND(($D47+$C$1)&gt;AP$4,AP$4&gt;=$C$1),'General Inputs'!M$10*$I47,0))</f>
        <v>125.42259648027924</v>
      </c>
      <c r="AQ47" s="214">
        <f>IF(AND(($E47+$C$1)&gt;AQ$4,AQ$4&gt;=$C$1),'General Inputs'!N$9*$H47,IF(AND(($D47+$C$1)&gt;AQ$4,AQ$4&gt;=$C$1),'General Inputs'!N$9*$G47,0))+IF(AND(($E47+$C$1)&gt;AQ$4,AQ$4&gt;=$C$1),'General Inputs'!N$10*$J47,IF(AND(($D47+$C$1)&gt;AQ$4,AQ$4&gt;=$C$1),'General Inputs'!N$10*$I47,0))</f>
        <v>127.30393542748342</v>
      </c>
      <c r="AR47" s="214">
        <f>IF(AND(($E47+$C$1)&gt;AR$4,AR$4&gt;=$C$1),'General Inputs'!O$9*$H47,IF(AND(($D47+$C$1)&gt;AR$4,AR$4&gt;=$C$1),'General Inputs'!O$9*$G47,0))+IF(AND(($E47+$C$1)&gt;AR$4,AR$4&gt;=$C$1),'General Inputs'!O$10*$J47,IF(AND(($D47+$C$1)&gt;AR$4,AR$4&gt;=$C$1),'General Inputs'!O$10*$I47,0))</f>
        <v>129.21349445889564</v>
      </c>
      <c r="AS47" s="214">
        <f>IF(AND(($E47+$C$1)&gt;AS$4,AS$4&gt;=$C$1),'General Inputs'!P$9*$H47,IF(AND(($D47+$C$1)&gt;AS$4,AS$4&gt;=$C$1),'General Inputs'!P$9*$G47,0))+IF(AND(($E47+$C$1)&gt;AS$4,AS$4&gt;=$C$1),'General Inputs'!P$10*$J47,IF(AND(($D47+$C$1)&gt;AS$4,AS$4&gt;=$C$1),'General Inputs'!P$10*$I47,0))</f>
        <v>131.15169687577907</v>
      </c>
      <c r="AT47" s="214">
        <f>IF(AND(($E47+$C$1)&gt;AT$4,AT$4&gt;=$C$1),'General Inputs'!Q$9*$H47,IF(AND(($D47+$C$1)&gt;AT$4,AT$4&gt;=$C$1),'General Inputs'!Q$9*$G47,0))+IF(AND(($E47+$C$1)&gt;AT$4,AT$4&gt;=$C$1),'General Inputs'!Q$10*$J47,IF(AND(($D47+$C$1)&gt;AT$4,AT$4&gt;=$C$1),'General Inputs'!Q$10*$I47,0))</f>
        <v>0</v>
      </c>
      <c r="AU47" s="214">
        <f>IF(AND(($E47+$C$1)&gt;AU$4,AU$4&gt;=$C$1),'General Inputs'!R$9*$H47,IF(AND(($D47+$C$1)&gt;AU$4,AU$4&gt;=$C$1),'General Inputs'!R$9*$G47,0))+IF(AND(($E47+$C$1)&gt;AU$4,AU$4&gt;=$C$1),'General Inputs'!R$10*$J47,IF(AND(($D47+$C$1)&gt;AU$4,AU$4&gt;=$C$1),'General Inputs'!R$10*$I47,0))</f>
        <v>0</v>
      </c>
      <c r="AV47" s="214">
        <f>IF(AND(($E47+$C$1)&gt;AV$4,AV$4&gt;=$C$1),'General Inputs'!S$9*$H47,IF(AND(($D47+$C$1)&gt;AV$4,AV$4&gt;=$C$1),'General Inputs'!S$9*$G47,0))+IF(AND(($E47+$C$1)&gt;AV$4,AV$4&gt;=$C$1),'General Inputs'!S$10*$J47,IF(AND(($D47+$C$1)&gt;AV$4,AV$4&gt;=$C$1),'General Inputs'!S$10*$I47,0))</f>
        <v>0</v>
      </c>
      <c r="AW47" s="214">
        <f>IF(AND(($E47+$C$1)&gt;AW$4,AW$4&gt;=$C$1),'General Inputs'!T$9*$H47,IF(AND(($D47+$C$1)&gt;AW$4,AW$4&gt;=$C$1),'General Inputs'!T$9*$G47,0))+IF(AND(($E47+$C$1)&gt;AW$4,AW$4&gt;=$C$1),'General Inputs'!T$10*$J47,IF(AND(($D47+$C$1)&gt;AW$4,AW$4&gt;=$C$1),'General Inputs'!T$10*$I47,0))</f>
        <v>0</v>
      </c>
      <c r="AX47" s="214">
        <f>IF(AND(($E47+$C$1)&gt;AX$4,AX$4&gt;=$C$1),'General Inputs'!U$9*$H47,IF(AND(($D47+$C$1)&gt;AX$4,AX$4&gt;=$C$1),'General Inputs'!U$9*$G47,0))+IF(AND(($E47+$C$1)&gt;AX$4,AX$4&gt;=$C$1),'General Inputs'!U$10*$J47,IF(AND(($D47+$C$1)&gt;AX$4,AX$4&gt;=$C$1),'General Inputs'!U$10*$I47,0))</f>
        <v>0</v>
      </c>
      <c r="AY47" s="214">
        <f>IF(AND(($E47+$C$1)&gt;AY$4,AY$4&gt;=$C$1),'General Inputs'!V$9*$H47,IF(AND(($D47+$C$1)&gt;AY$4,AY$4&gt;=$C$1),'General Inputs'!V$9*$G47,0))+IF(AND(($E47+$C$1)&gt;AY$4,AY$4&gt;=$C$1),'General Inputs'!V$10*$J47,IF(AND(($D47+$C$1)&gt;AY$4,AY$4&gt;=$C$1),'General Inputs'!V$10*$I47,0))</f>
        <v>0</v>
      </c>
      <c r="AZ47" s="214">
        <f>IF(AND(($E47+$C$1)&gt;AZ$4,AZ$4&gt;=$C$1),'General Inputs'!W$9*$H47,IF(AND(($D47+$C$1)&gt;AZ$4,AZ$4&gt;=$C$1),'General Inputs'!W$9*$G47,0))+IF(AND(($E47+$C$1)&gt;AZ$4,AZ$4&gt;=$C$1),'General Inputs'!W$10*$J47,IF(AND(($D47+$C$1)&gt;AZ$4,AZ$4&gt;=$C$1),'General Inputs'!W$10*$I47,0))</f>
        <v>0</v>
      </c>
      <c r="BB47" s="214">
        <f>IF(AND(($E47+$C$1)&gt;BB$4,BB$4&gt;=$C$1),'General Inputs'!D$11*$H47,IF(AND(($D47+$C$1)&gt;BB$4,BB$4&gt;=$C$1),'General Inputs'!D$11*$G47,0))</f>
        <v>0</v>
      </c>
      <c r="BC47" s="214">
        <f>IF(AND(($E47+$C$1)&gt;BC$4,BC$4&gt;=$C$1),'General Inputs'!E$11*$H47,IF(AND(($D47+$C$1)&gt;BC$4,BC$4&gt;=$C$1),'General Inputs'!E$11*$G47,0))</f>
        <v>0</v>
      </c>
      <c r="BD47" s="214">
        <f>IF(AND(($E47+$C$1)&gt;BD$4,BD$4&gt;=$C$1),'General Inputs'!F$11*$H47,IF(AND(($D47+$C$1)&gt;BD$4,BD$4&gt;=$C$1),'General Inputs'!F$11*$G47,0))</f>
        <v>29.683734826049999</v>
      </c>
      <c r="BE47" s="214">
        <f>IF(AND(($E47+$C$1)&gt;BE$4,BE$4&gt;=$C$1),'General Inputs'!G$11*$H47,IF(AND(($D47+$C$1)&gt;BE$4,BE$4&gt;=$C$1),'General Inputs'!G$11*$G47,0))</f>
        <v>29.683734826049999</v>
      </c>
      <c r="BF47" s="214">
        <f>IF(AND(($E47+$C$1)&gt;BF$4,BF$4&gt;=$C$1),'General Inputs'!H$11*$H47,IF(AND(($D47+$C$1)&gt;BF$4,BF$4&gt;=$C$1),'General Inputs'!H$11*$G47,0))</f>
        <v>29.683734826049999</v>
      </c>
      <c r="BG47" s="214">
        <f>IF(AND(($E47+$C$1)&gt;BG$4,BG$4&gt;=$C$1),'General Inputs'!I$11*$H47,IF(AND(($D47+$C$1)&gt;BG$4,BG$4&gt;=$C$1),'General Inputs'!I$11*$G47,0))</f>
        <v>29.683734826049999</v>
      </c>
      <c r="BH47" s="214">
        <f>IF(AND(($E47+$C$1)&gt;BH$4,BH$4&gt;=$C$1),'General Inputs'!J$11*$H47,IF(AND(($D47+$C$1)&gt;BH$4,BH$4&gt;=$C$1),'General Inputs'!J$11*$G47,0))</f>
        <v>29.683734826049999</v>
      </c>
      <c r="BI47" s="214">
        <f>IF(AND(($E47+$C$1)&gt;BI$4,BI$4&gt;=$C$1),'General Inputs'!K$11*$H47,IF(AND(($D47+$C$1)&gt;BI$4,BI$4&gt;=$C$1),'General Inputs'!K$11*$G47,0))</f>
        <v>29.683734826049999</v>
      </c>
      <c r="BJ47" s="214">
        <f>IF(AND(($E47+$C$1)&gt;BJ$4,BJ$4&gt;=$C$1),'General Inputs'!L$11*$H47,IF(AND(($D47+$C$1)&gt;BJ$4,BJ$4&gt;=$C$1),'General Inputs'!L$11*$G47,0))</f>
        <v>29.683734826049999</v>
      </c>
      <c r="BK47" s="214">
        <f>IF(AND(($E47+$C$1)&gt;BK$4,BK$4&gt;=$C$1),'General Inputs'!M$11*$H47,IF(AND(($D47+$C$1)&gt;BK$4,BK$4&gt;=$C$1),'General Inputs'!M$11*$G47,0))</f>
        <v>29.683734826049999</v>
      </c>
      <c r="BL47" s="214">
        <f>IF(AND(($E47+$C$1)&gt;BL$4,BL$4&gt;=$C$1),'General Inputs'!N$11*$H47,IF(AND(($D47+$C$1)&gt;BL$4,BL$4&gt;=$C$1),'General Inputs'!N$11*$G47,0))</f>
        <v>29.683734826049999</v>
      </c>
      <c r="BM47" s="214">
        <f>IF(AND(($E47+$C$1)&gt;BM$4,BM$4&gt;=$C$1),'General Inputs'!O$11*$H47,IF(AND(($D47+$C$1)&gt;BM$4,BM$4&gt;=$C$1),'General Inputs'!O$11*$G47,0))</f>
        <v>29.683734826049999</v>
      </c>
      <c r="BN47" s="214">
        <f>IF(AND(($E47+$C$1)&gt;BN$4,BN$4&gt;=$C$1),'General Inputs'!P$11*$H47,IF(AND(($D47+$C$1)&gt;BN$4,BN$4&gt;=$C$1),'General Inputs'!P$11*$G47,0))</f>
        <v>29.683734826049999</v>
      </c>
      <c r="BO47" s="214">
        <f>IF(AND(($E47+$C$1)&gt;BO$4,BO$4&gt;=$C$1),'General Inputs'!Q$11*$H47,IF(AND(($D47+$C$1)&gt;BO$4,BO$4&gt;=$C$1),'General Inputs'!Q$11*$G47,0))</f>
        <v>0</v>
      </c>
      <c r="BP47" s="214">
        <f>IF(AND(($E47+$C$1)&gt;BP$4,BP$4&gt;=$C$1),'General Inputs'!R$11*$H47,IF(AND(($D47+$C$1)&gt;BP$4,BP$4&gt;=$C$1),'General Inputs'!R$11*$G47,0))</f>
        <v>0</v>
      </c>
      <c r="BQ47" s="214">
        <f>IF(AND(($E47+$C$1)&gt;BQ$4,BQ$4&gt;=$C$1),'General Inputs'!S$11*$H47,IF(AND(($D47+$C$1)&gt;BQ$4,BQ$4&gt;=$C$1),'General Inputs'!S$11*$G47,0))</f>
        <v>0</v>
      </c>
      <c r="BR47" s="214">
        <f>IF(AND(($E47+$C$1)&gt;BR$4,BR$4&gt;=$C$1),'General Inputs'!T$11*$H47,IF(AND(($D47+$C$1)&gt;BR$4,BR$4&gt;=$C$1),'General Inputs'!T$11*$G47,0))</f>
        <v>0</v>
      </c>
      <c r="BS47" s="214">
        <f>IF(AND(($E47+$C$1)&gt;BS$4,BS$4&gt;=$C$1),'General Inputs'!U$11*$H47,IF(AND(($D47+$C$1)&gt;BS$4,BS$4&gt;=$C$1),'General Inputs'!U$11*$G47,0))</f>
        <v>0</v>
      </c>
      <c r="BT47" s="214">
        <f>IF(AND(($E47+$C$1)&gt;BT$4,BT$4&gt;=$C$1),'General Inputs'!V$11*$H47,IF(AND(($D47+$C$1)&gt;BT$4,BT$4&gt;=$C$1),'General Inputs'!V$11*$G47,0))</f>
        <v>0</v>
      </c>
      <c r="BU47" s="214">
        <f>IF(AND(($E47+$C$1)&gt;BU$4,BU$4&gt;=$C$1),'General Inputs'!W$11*$H47,IF(AND(($D47+$C$1)&gt;BU$4,BU$4&gt;=$C$1),'General Inputs'!W$11*$G47,0))</f>
        <v>0</v>
      </c>
      <c r="BW47" s="214">
        <f>IF(AND(($E47+$C$1)&gt;BW$4,BW$4&gt;=$C$1),$H47,IF(AND(($D47+$C$1)&gt;BW$4,BW$4&gt;=$C$1),$G47,0))*IF($A47="Residential",'General Inputs'!D$14,'General Inputs'!D$19)</f>
        <v>0</v>
      </c>
      <c r="BX47" s="214">
        <f>IF(AND(($E47+$C$1)&gt;BX$4,BX$4&gt;=$C$1),$H47,IF(AND(($D47+$C$1)&gt;BX$4,BX$4&gt;=$C$1),$G47,0))*IF($A47="Residential",'General Inputs'!E$14,'General Inputs'!E$19)</f>
        <v>0</v>
      </c>
      <c r="BY47" s="214">
        <f>IF(AND(($E47+$C$1)&gt;BY$4,BY$4&gt;=$C$1),$H47,IF(AND(($D47+$C$1)&gt;BY$4,BY$4&gt;=$C$1),$G47,0))*IF($A47="Residential",'General Inputs'!F$14,'General Inputs'!F$19)</f>
        <v>280.23622333267662</v>
      </c>
      <c r="BZ47" s="214">
        <f>IF(AND(($E47+$C$1)&gt;BZ$4,BZ$4&gt;=$C$1),$H47,IF(AND(($D47+$C$1)&gt;BZ$4,BZ$4&gt;=$C$1),$G47,0))*IF($A47="Residential",'General Inputs'!G$14,'General Inputs'!G$19)</f>
        <v>284.43976668266674</v>
      </c>
      <c r="CA47" s="214">
        <f>IF(AND(($E47+$C$1)&gt;CA$4,CA$4&gt;=$C$1),$H47,IF(AND(($D47+$C$1)&gt;CA$4,CA$4&gt;=$C$1),$G47,0))*IF($A47="Residential",'General Inputs'!H$14,'General Inputs'!H$19)</f>
        <v>288.70636318290667</v>
      </c>
      <c r="CB47" s="214">
        <f>IF(AND(($E47+$C$1)&gt;CB$4,CB$4&gt;=$C$1),$H47,IF(AND(($D47+$C$1)&gt;CB$4,CB$4&gt;=$C$1),$G47,0))*IF($A47="Residential",'General Inputs'!I$14,'General Inputs'!I$19)</f>
        <v>293.03695863065019</v>
      </c>
      <c r="CC47" s="214">
        <f>IF(AND(($E47+$C$1)&gt;CC$4,CC$4&gt;=$C$1),$H47,IF(AND(($D47+$C$1)&gt;CC$4,CC$4&gt;=$C$1),$G47,0))*IF($A47="Residential",'General Inputs'!J$14,'General Inputs'!J$19)</f>
        <v>297.43251301010997</v>
      </c>
      <c r="CD47" s="214">
        <f>IF(AND(($E47+$C$1)&gt;CD$4,CD$4&gt;=$C$1),$H47,IF(AND(($D47+$C$1)&gt;CD$4,CD$4&gt;=$C$1),$G47,0))*IF($A47="Residential",'General Inputs'!K$14,'General Inputs'!K$19)</f>
        <v>301.89400070526159</v>
      </c>
      <c r="CE47" s="214">
        <f>IF(AND(($E47+$C$1)&gt;CE$4,CE$4&gt;=$C$1),$H47,IF(AND(($D47+$C$1)&gt;CE$4,CE$4&gt;=$C$1),$G47,0))*IF($A47="Residential",'General Inputs'!L$14,'General Inputs'!L$19)</f>
        <v>306.42241071584044</v>
      </c>
      <c r="CF47" s="214">
        <f>IF(AND(($E47+$C$1)&gt;CF$4,CF$4&gt;=$C$1),$H47,IF(AND(($D47+$C$1)&gt;CF$4,CF$4&gt;=$C$1),$G47,0))*IF($A47="Residential",'General Inputs'!M$14,'General Inputs'!M$19)</f>
        <v>311.01874687657806</v>
      </c>
      <c r="CG47" s="214">
        <f>IF(AND(($E47+$C$1)&gt;CG$4,CG$4&gt;=$C$1),$H47,IF(AND(($D47+$C$1)&gt;CG$4,CG$4&gt;=$C$1),$G47,0))*IF($A47="Residential",'General Inputs'!N$14,'General Inputs'!N$19)</f>
        <v>315.68402807972672</v>
      </c>
      <c r="CH47" s="214">
        <f>IF(AND(($E47+$C$1)&gt;CH$4,CH$4&gt;=$C$1),$H47,IF(AND(($D47+$C$1)&gt;CH$4,CH$4&gt;=$C$1),$G47,0))*IF($A47="Residential",'General Inputs'!O$14,'General Inputs'!O$19)</f>
        <v>320.41928850092256</v>
      </c>
      <c r="CI47" s="214">
        <f>IF(AND(($E47+$C$1)&gt;CI$4,CI$4&gt;=$C$1),$H47,IF(AND(($D47+$C$1)&gt;CI$4,CI$4&gt;=$C$1),$G47,0))*IF($A47="Residential",'General Inputs'!P$14,'General Inputs'!P$19)</f>
        <v>325.22557782843637</v>
      </c>
      <c r="CJ47" s="214">
        <f>IF(AND(($E47+$C$1)&gt;CJ$4,CJ$4&gt;=$C$1),$H47,IF(AND(($D47+$C$1)&gt;CJ$4,CJ$4&gt;=$C$1),$G47,0))*IF($A47="Residential",'General Inputs'!Q$14,'General Inputs'!Q$19)</f>
        <v>0</v>
      </c>
      <c r="CK47" s="214">
        <f>IF(AND(($E47+$C$1)&gt;CK$4,CK$4&gt;=$C$1),$H47,IF(AND(($D47+$C$1)&gt;CK$4,CK$4&gt;=$C$1),$G47,0))*IF($A47="Residential",'General Inputs'!R$14,'General Inputs'!R$19)</f>
        <v>0</v>
      </c>
      <c r="CL47" s="214">
        <f>IF(AND(($E47+$C$1)&gt;CL$4,CL$4&gt;=$C$1),$H47,IF(AND(($D47+$C$1)&gt;CL$4,CL$4&gt;=$C$1),$G47,0))*IF($A47="Residential",'General Inputs'!S$14,'General Inputs'!S$19)</f>
        <v>0</v>
      </c>
      <c r="CM47" s="214">
        <f>IF(AND(($E47+$C$1)&gt;CM$4,CM$4&gt;=$C$1),$H47,IF(AND(($D47+$C$1)&gt;CM$4,CM$4&gt;=$C$1),$G47,0))*IF($A47="Residential",'General Inputs'!T$14,'General Inputs'!T$19)</f>
        <v>0</v>
      </c>
      <c r="CN47" s="214">
        <f>IF(AND(($E47+$C$1)&gt;CN$4,CN$4&gt;=$C$1),$H47,IF(AND(($D47+$C$1)&gt;CN$4,CN$4&gt;=$C$1),$G47,0))*IF($A47="Residential",'General Inputs'!U$14,'General Inputs'!U$19)</f>
        <v>0</v>
      </c>
      <c r="CO47" s="214">
        <f>IF(AND(($E47+$C$1)&gt;CO$4,CO$4&gt;=$C$1),$H47,IF(AND(($D47+$C$1)&gt;CO$4,CO$4&gt;=$C$1),$G47,0))*IF($A47="Residential",'General Inputs'!V$14,'General Inputs'!V$19)</f>
        <v>0</v>
      </c>
      <c r="CP47" s="214">
        <f>IF(AND(($E47+$C$1)&gt;CP$4,CP$4&gt;=$C$1),$H47,IF(AND(($D47+$C$1)&gt;CP$4,CP$4&gt;=$C$1),$G47,0))*IF($A47="Residential",'General Inputs'!W$14,'General Inputs'!W$19)</f>
        <v>0</v>
      </c>
      <c r="CR47" s="214">
        <f>IF(AND(($E47+$C$1)&gt;CR$4,CR$4&gt;=$C$1),$H47,IF(AND(($D47+$C$1)&gt;CR$4,CR$4&gt;=$C$1),$G47,0))*IF($A47="Residential",'General Inputs'!D$15,'General Inputs'!D$19)</f>
        <v>0</v>
      </c>
      <c r="CS47" s="214">
        <f>IF(AND(($E47+$C$1)&gt;CS$4,CS$4&gt;=$C$1),$H47,IF(AND(($D47+$C$1)&gt;CS$4,CS$4&gt;=$C$1),$G47,0))*IF($A47="Residential",'General Inputs'!E$15,'General Inputs'!E$19)</f>
        <v>0</v>
      </c>
      <c r="CT47" s="214">
        <f>IF(AND(($E47+$C$1)&gt;CT$4,CT$4&gt;=$C$1),$H47,IF(AND(($D47+$C$1)&gt;CT$4,CT$4&gt;=$C$1),$G47,0))*IF($A47="Residential",'General Inputs'!F$15,'General Inputs'!F$19)</f>
        <v>280.23622333267662</v>
      </c>
      <c r="CU47" s="214">
        <f>IF(AND(($E47+$C$1)&gt;CU$4,CU$4&gt;=$C$1),$H47,IF(AND(($D47+$C$1)&gt;CU$4,CU$4&gt;=$C$1),$G47,0))*IF($A47="Residential",'General Inputs'!G$15,'General Inputs'!G$19)</f>
        <v>284.43976668266674</v>
      </c>
      <c r="CV47" s="214">
        <f>IF(AND(($E47+$C$1)&gt;CV$4,CV$4&gt;=$C$1),$H47,IF(AND(($D47+$C$1)&gt;CV$4,CV$4&gt;=$C$1),$G47,0))*IF($A47="Residential",'General Inputs'!H$15,'General Inputs'!H$19)</f>
        <v>288.70636318290667</v>
      </c>
      <c r="CW47" s="214">
        <f>IF(AND(($E47+$C$1)&gt;CW$4,CW$4&gt;=$C$1),$H47,IF(AND(($D47+$C$1)&gt;CW$4,CW$4&gt;=$C$1),$G47,0))*IF($A47="Residential",'General Inputs'!I$15,'General Inputs'!I$19)</f>
        <v>293.03695863065019</v>
      </c>
      <c r="CX47" s="214">
        <f>IF(AND(($E47+$C$1)&gt;CX$4,CX$4&gt;=$C$1),$H47,IF(AND(($D47+$C$1)&gt;CX$4,CX$4&gt;=$C$1),$G47,0))*IF($A47="Residential",'General Inputs'!J$15,'General Inputs'!J$19)</f>
        <v>297.43251301010997</v>
      </c>
      <c r="CY47" s="214">
        <f>IF(AND(($E47+$C$1)&gt;CY$4,CY$4&gt;=$C$1),$H47,IF(AND(($D47+$C$1)&gt;CY$4,CY$4&gt;=$C$1),$G47,0))*IF($A47="Residential",'General Inputs'!K$15,'General Inputs'!K$19)</f>
        <v>301.89400070526159</v>
      </c>
      <c r="CZ47" s="214">
        <f>IF(AND(($E47+$C$1)&gt;CZ$4,CZ$4&gt;=$C$1),$H47,IF(AND(($D47+$C$1)&gt;CZ$4,CZ$4&gt;=$C$1),$G47,0))*IF($A47="Residential",'General Inputs'!L$15,'General Inputs'!L$19)</f>
        <v>306.42241071584044</v>
      </c>
      <c r="DA47" s="214">
        <f>IF(AND(($E47+$C$1)&gt;DA$4,DA$4&gt;=$C$1),$H47,IF(AND(($D47+$C$1)&gt;DA$4,DA$4&gt;=$C$1),$G47,0))*IF($A47="Residential",'General Inputs'!M$15,'General Inputs'!M$19)</f>
        <v>311.01874687657806</v>
      </c>
      <c r="DB47" s="214">
        <f>IF(AND(($E47+$C$1)&gt;DB$4,DB$4&gt;=$C$1),$H47,IF(AND(($D47+$C$1)&gt;DB$4,DB$4&gt;=$C$1),$G47,0))*IF($A47="Residential",'General Inputs'!N$15,'General Inputs'!N$19)</f>
        <v>315.68402807972672</v>
      </c>
      <c r="DC47" s="214">
        <f>IF(AND(($E47+$C$1)&gt;DC$4,DC$4&gt;=$C$1),$H47,IF(AND(($D47+$C$1)&gt;DC$4,DC$4&gt;=$C$1),$G47,0))*IF($A47="Residential",'General Inputs'!O$15,'General Inputs'!O$19)</f>
        <v>320.41928850092256</v>
      </c>
      <c r="DD47" s="214">
        <f>IF(AND(($E47+$C$1)&gt;DD$4,DD$4&gt;=$C$1),$H47,IF(AND(($D47+$C$1)&gt;DD$4,DD$4&gt;=$C$1),$G47,0))*IF($A47="Residential",'General Inputs'!P$15,'General Inputs'!P$19)</f>
        <v>325.22557782843637</v>
      </c>
      <c r="DE47" s="214">
        <f>IF(AND(($E47+$C$1)&gt;DE$4,DE$4&gt;=$C$1),$H47,IF(AND(($D47+$C$1)&gt;DE$4,DE$4&gt;=$C$1),$G47,0))*IF($A47="Residential",'General Inputs'!Q$15,'General Inputs'!Q$19)</f>
        <v>0</v>
      </c>
      <c r="DF47" s="214">
        <f>IF(AND(($E47+$C$1)&gt;DF$4,DF$4&gt;=$C$1),$H47,IF(AND(($D47+$C$1)&gt;DF$4,DF$4&gt;=$C$1),$G47,0))*IF($A47="Residential",'General Inputs'!R$15,'General Inputs'!R$19)</f>
        <v>0</v>
      </c>
      <c r="DG47" s="214">
        <f>IF(AND(($E47+$C$1)&gt;DG$4,DG$4&gt;=$C$1),$H47,IF(AND(($D47+$C$1)&gt;DG$4,DG$4&gt;=$C$1),$G47,0))*IF($A47="Residential",'General Inputs'!S$15,'General Inputs'!S$19)</f>
        <v>0</v>
      </c>
      <c r="DH47" s="214">
        <f>IF(AND(($E47+$C$1)&gt;DH$4,DH$4&gt;=$C$1),$H47,IF(AND(($D47+$C$1)&gt;DH$4,DH$4&gt;=$C$1),$G47,0))*IF($A47="Residential",'General Inputs'!T$15,'General Inputs'!T$19)</f>
        <v>0</v>
      </c>
      <c r="DI47" s="214">
        <f>IF(AND(($E47+$C$1)&gt;DI$4,DI$4&gt;=$C$1),$H47,IF(AND(($D47+$C$1)&gt;DI$4,DI$4&gt;=$C$1),$G47,0))*IF($A47="Residential",'General Inputs'!U$15,'General Inputs'!U$19)</f>
        <v>0</v>
      </c>
      <c r="DJ47" s="214">
        <f>IF(AND(($E47+$C$1)&gt;DJ$4,DJ$4&gt;=$C$1),$H47,IF(AND(($D47+$C$1)&gt;DJ$4,DJ$4&gt;=$C$1),$G47,0))*IF($A47="Residential",'General Inputs'!V$15,'General Inputs'!V$19)</f>
        <v>0</v>
      </c>
      <c r="DK47" s="214">
        <f>IF(AND(($E47+$C$1)&gt;DK$4,DK$4&gt;=$C$1),$H47,IF(AND(($D47+$C$1)&gt;DK$4,DK$4&gt;=$C$1),$G47,0))*IF($A47="Residential",'General Inputs'!W$15,'General Inputs'!W$19)</f>
        <v>0</v>
      </c>
      <c r="DM47" s="214">
        <f t="shared" si="99"/>
        <v>0</v>
      </c>
      <c r="DN47" s="214">
        <f t="shared" si="99"/>
        <v>0</v>
      </c>
      <c r="DO47" s="214">
        <f t="shared" si="99"/>
        <v>330</v>
      </c>
      <c r="DP47" s="214">
        <f t="shared" si="99"/>
        <v>0</v>
      </c>
      <c r="DQ47" s="214">
        <f t="shared" si="99"/>
        <v>0</v>
      </c>
      <c r="DR47" s="214">
        <f t="shared" si="99"/>
        <v>0</v>
      </c>
      <c r="DS47" s="214">
        <f t="shared" si="99"/>
        <v>0</v>
      </c>
      <c r="DT47" s="214">
        <f t="shared" si="99"/>
        <v>0</v>
      </c>
      <c r="DU47" s="214">
        <f t="shared" si="99"/>
        <v>0</v>
      </c>
      <c r="DV47" s="214">
        <f t="shared" si="99"/>
        <v>0</v>
      </c>
      <c r="DW47" s="214">
        <f t="shared" si="99"/>
        <v>0</v>
      </c>
      <c r="DZ47" s="650"/>
      <c r="FI47" s="195"/>
      <c r="FJ47" s="195"/>
      <c r="FK47" s="195"/>
      <c r="FL47" s="195"/>
      <c r="FM47" s="195"/>
      <c r="FN47" s="195"/>
      <c r="FO47" s="195"/>
    </row>
    <row r="48" spans="1:171">
      <c r="A48" s="342" t="s">
        <v>112</v>
      </c>
      <c r="B48" s="427" t="str">
        <f>'Portfolio Inputs'!A47</f>
        <v>Delamp T12 to T8 (3-4 Lamp Fixtures)</v>
      </c>
      <c r="C48" s="217">
        <f>IF($C$1=2014,'Portfolio Inputs'!$C47,IF($C$1=2015,'Portfolio Inputs'!$D47,'Portfolio Inputs'!$E47))</f>
        <v>3</v>
      </c>
      <c r="D48" s="504">
        <f>VLOOKUP(B48,Sources!$B$4:$J$104,2,FALSE)</f>
        <v>11</v>
      </c>
      <c r="E48" s="504">
        <f>VLOOKUP(B48,Sources!$B$4:$J$104,3,FALSE)</f>
        <v>0</v>
      </c>
      <c r="G48" s="504">
        <f>IF($C$1=2014,'Portfolio Inputs'!$G47,IF($C$1=2015,'Portfolio Inputs'!$H47,'Portfolio Inputs'!$I47))*EnergyLineLoss</f>
        <v>2783.3512128749999</v>
      </c>
      <c r="H48" s="504"/>
      <c r="I48" s="595">
        <f>IF($C$1=2014,'Portfolio Inputs'!$K47,IF($C$1=2015,'Portfolio Inputs'!$L47,'Portfolio Inputs'!$M47))*PeakLineLoss</f>
        <v>0.43038798659999994</v>
      </c>
      <c r="J48" s="510"/>
      <c r="L48" s="606">
        <f>IF($C$1=2014,'Portfolio Inputs'!$O47,IF($C$1=2015,'Portfolio Inputs'!$P47,'Portfolio Inputs'!$Q47))</f>
        <v>122</v>
      </c>
      <c r="M48" s="518">
        <f>VLOOKUP($B48,Sources!$B$4:$K$104,10,FALSE)</f>
        <v>0</v>
      </c>
      <c r="N48" s="419">
        <f>IF($C$1=2014,'Portfolio Inputs'!$W47,IF($C$1=2015,'Portfolio Inputs'!$X47,'Portfolio Inputs'!$Y47))</f>
        <v>108</v>
      </c>
      <c r="O48" s="419">
        <f>IF($C$1=2014,'Portfolio Inputs'!$AA47,IF($C$1=2015,'Portfolio Inputs'!$AB47,'Portfolio Inputs'!$AC47))</f>
        <v>0</v>
      </c>
      <c r="Q48" s="438">
        <f t="shared" si="67"/>
        <v>2.6236178518300837</v>
      </c>
      <c r="R48" s="439">
        <f t="shared" si="68"/>
        <v>8.8911493867575064</v>
      </c>
      <c r="S48" s="439">
        <f t="shared" si="69"/>
        <v>3.2706281855052479</v>
      </c>
      <c r="T48" s="439">
        <f t="shared" si="70"/>
        <v>6.8010414949088647</v>
      </c>
      <c r="U48" s="439">
        <f t="shared" si="98"/>
        <v>6.8010414949088647</v>
      </c>
      <c r="V48" s="439">
        <f t="shared" si="72"/>
        <v>0.38576707020447915</v>
      </c>
      <c r="W48" s="439">
        <f t="shared" si="73"/>
        <v>0.38576707020447915</v>
      </c>
      <c r="Y48" s="215">
        <f t="shared" si="4"/>
        <v>810.59626159736774</v>
      </c>
      <c r="Z48" s="215">
        <f t="shared" si="5"/>
        <v>199.90112406275856</v>
      </c>
      <c r="AA48" s="215">
        <f t="shared" si="6"/>
        <v>2010.089414346422</v>
      </c>
      <c r="AB48" s="215">
        <f t="shared" si="7"/>
        <v>2010.089414346422</v>
      </c>
      <c r="AC48" s="216">
        <f t="shared" si="20"/>
        <v>0</v>
      </c>
      <c r="AD48" s="216">
        <f t="shared" si="21"/>
        <v>91.168894631853931</v>
      </c>
      <c r="AE48" s="215">
        <f t="shared" si="8"/>
        <v>308.96125403017163</v>
      </c>
      <c r="AG48" s="214">
        <f>IF(AND(($E48+$C$1)&gt;AG$4,AG$4&gt;=$C$1),'General Inputs'!D$9*$H48,IF(AND(($D48+$C$1)&gt;AG$4,AG$4&gt;=$C$1),'General Inputs'!D$9*$G48,0))+IF(AND(($E48+$C$1)&gt;AG$4,AG$4&gt;=$C$1),'General Inputs'!D$10*$J48,IF(AND(($D48+$C$1)&gt;AG$4,AG$4&gt;=$C$1),'General Inputs'!D$10*$I48,0))</f>
        <v>0</v>
      </c>
      <c r="AH48" s="214">
        <f>IF(AND(($E48+$C$1)&gt;AH$4,AH$4&gt;=$C$1),'General Inputs'!E$9*$H48,IF(AND(($D48+$C$1)&gt;AH$4,AH$4&gt;=$C$1),'General Inputs'!E$9*$G48,0))+IF(AND(($E48+$C$1)&gt;AH$4,AH$4&gt;=$C$1),'General Inputs'!E$10*$J48,IF(AND(($D48+$C$1)&gt;AH$4,AH$4&gt;=$C$1),'General Inputs'!E$10*$I48,0))</f>
        <v>0</v>
      </c>
      <c r="AI48" s="214">
        <f>IF(AND(($E48+$C$1)&gt;AI$4,AI$4&gt;=$C$1),'General Inputs'!F$9*$H48,IF(AND(($D48+$C$1)&gt;AI$4,AI$4&gt;=$C$1),'General Inputs'!F$9*$G48,0))+IF(AND(($E48+$C$1)&gt;AI$4,AI$4&gt;=$C$1),'General Inputs'!F$10*$J48,IF(AND(($D48+$C$1)&gt;AI$4,AI$4&gt;=$C$1),'General Inputs'!F$10*$I48,0))</f>
        <v>120.80024362345618</v>
      </c>
      <c r="AJ48" s="214">
        <f>IF(AND(($E48+$C$1)&gt;AJ$4,AJ$4&gt;=$C$1),'General Inputs'!G$9*$H48,IF(AND(($D48+$C$1)&gt;AJ$4,AJ$4&gt;=$C$1),'General Inputs'!G$9*$G48,0))+IF(AND(($E48+$C$1)&gt;AJ$4,AJ$4&gt;=$C$1),'General Inputs'!G$10*$J48,IF(AND(($D48+$C$1)&gt;AJ$4,AJ$4&gt;=$C$1),'General Inputs'!G$10*$I48,0))</f>
        <v>122.61224727780802</v>
      </c>
      <c r="AK48" s="214">
        <f>IF(AND(($E48+$C$1)&gt;AK$4,AK$4&gt;=$C$1),'General Inputs'!H$9*$H48,IF(AND(($D48+$C$1)&gt;AK$4,AK$4&gt;=$C$1),'General Inputs'!H$9*$G48,0))+IF(AND(($E48+$C$1)&gt;AK$4,AK$4&gt;=$C$1),'General Inputs'!H$10*$J48,IF(AND(($D48+$C$1)&gt;AK$4,AK$4&gt;=$C$1),'General Inputs'!H$10*$I48,0))</f>
        <v>124.45143098697513</v>
      </c>
      <c r="AL48" s="214">
        <f>IF(AND(($E48+$C$1)&gt;AL$4,AL$4&gt;=$C$1),'General Inputs'!I$9*$H48,IF(AND(($D48+$C$1)&gt;AL$4,AL$4&gt;=$C$1),'General Inputs'!I$9*$G48,0))+IF(AND(($E48+$C$1)&gt;AL$4,AL$4&gt;=$C$1),'General Inputs'!I$10*$J48,IF(AND(($D48+$C$1)&gt;AL$4,AL$4&gt;=$C$1),'General Inputs'!I$10*$I48,0))</f>
        <v>126.31820245177974</v>
      </c>
      <c r="AM48" s="214">
        <f>IF(AND(($E48+$C$1)&gt;AM$4,AM$4&gt;=$C$1),'General Inputs'!J$9*$H48,IF(AND(($D48+$C$1)&gt;AM$4,AM$4&gt;=$C$1),'General Inputs'!J$9*$G48,0))+IF(AND(($E48+$C$1)&gt;AM$4,AM$4&gt;=$C$1),'General Inputs'!J$10*$J48,IF(AND(($D48+$C$1)&gt;AM$4,AM$4&gt;=$C$1),'General Inputs'!J$10*$I48,0))</f>
        <v>128.21297548855642</v>
      </c>
      <c r="AN48" s="214">
        <f>IF(AND(($E48+$C$1)&gt;AN$4,AN$4&gt;=$C$1),'General Inputs'!K$9*$H48,IF(AND(($D48+$C$1)&gt;AN$4,AN$4&gt;=$C$1),'General Inputs'!K$9*$G48,0))+IF(AND(($E48+$C$1)&gt;AN$4,AN$4&gt;=$C$1),'General Inputs'!K$10*$J48,IF(AND(($D48+$C$1)&gt;AN$4,AN$4&gt;=$C$1),'General Inputs'!K$10*$I48,0))</f>
        <v>130.13617012088474</v>
      </c>
      <c r="AO48" s="214">
        <f>IF(AND(($E48+$C$1)&gt;AO$4,AO$4&gt;=$C$1),'General Inputs'!L$9*$H48,IF(AND(($D48+$C$1)&gt;AO$4,AO$4&gt;=$C$1),'General Inputs'!L$9*$G48,0))+IF(AND(($E48+$C$1)&gt;AO$4,AO$4&gt;=$C$1),'General Inputs'!L$10*$J48,IF(AND(($D48+$C$1)&gt;AO$4,AO$4&gt;=$C$1),'General Inputs'!L$10*$I48,0))</f>
        <v>132.08821267269801</v>
      </c>
      <c r="AP48" s="214">
        <f>IF(AND(($E48+$C$1)&gt;AP$4,AP$4&gt;=$C$1),'General Inputs'!M$9*$H48,IF(AND(($D48+$C$1)&gt;AP$4,AP$4&gt;=$C$1),'General Inputs'!M$9*$G48,0))+IF(AND(($E48+$C$1)&gt;AP$4,AP$4&gt;=$C$1),'General Inputs'!M$10*$J48,IF(AND(($D48+$C$1)&gt;AP$4,AP$4&gt;=$C$1),'General Inputs'!M$10*$I48,0))</f>
        <v>134.06953586278846</v>
      </c>
      <c r="AQ48" s="214">
        <f>IF(AND(($E48+$C$1)&gt;AQ$4,AQ$4&gt;=$C$1),'General Inputs'!N$9*$H48,IF(AND(($D48+$C$1)&gt;AQ$4,AQ$4&gt;=$C$1),'General Inputs'!N$9*$G48,0))+IF(AND(($E48+$C$1)&gt;AQ$4,AQ$4&gt;=$C$1),'General Inputs'!N$10*$J48,IF(AND(($D48+$C$1)&gt;AQ$4,AQ$4&gt;=$C$1),'General Inputs'!N$10*$I48,0))</f>
        <v>136.08057890073027</v>
      </c>
      <c r="AR48" s="214">
        <f>IF(AND(($E48+$C$1)&gt;AR$4,AR$4&gt;=$C$1),'General Inputs'!O$9*$H48,IF(AND(($D48+$C$1)&gt;AR$4,AR$4&gt;=$C$1),'General Inputs'!O$9*$G48,0))+IF(AND(($E48+$C$1)&gt;AR$4,AR$4&gt;=$C$1),'General Inputs'!O$10*$J48,IF(AND(($D48+$C$1)&gt;AR$4,AR$4&gt;=$C$1),'General Inputs'!O$10*$I48,0))</f>
        <v>138.12178758424119</v>
      </c>
      <c r="AS48" s="214">
        <f>IF(AND(($E48+$C$1)&gt;AS$4,AS$4&gt;=$C$1),'General Inputs'!P$9*$H48,IF(AND(($D48+$C$1)&gt;AS$4,AS$4&gt;=$C$1),'General Inputs'!P$9*$G48,0))+IF(AND(($E48+$C$1)&gt;AS$4,AS$4&gt;=$C$1),'General Inputs'!P$10*$J48,IF(AND(($D48+$C$1)&gt;AS$4,AS$4&gt;=$C$1),'General Inputs'!P$10*$I48,0))</f>
        <v>140.19361439800483</v>
      </c>
      <c r="AT48" s="214">
        <f>IF(AND(($E48+$C$1)&gt;AT$4,AT$4&gt;=$C$1),'General Inputs'!Q$9*$H48,IF(AND(($D48+$C$1)&gt;AT$4,AT$4&gt;=$C$1),'General Inputs'!Q$9*$G48,0))+IF(AND(($E48+$C$1)&gt;AT$4,AT$4&gt;=$C$1),'General Inputs'!Q$10*$J48,IF(AND(($D48+$C$1)&gt;AT$4,AT$4&gt;=$C$1),'General Inputs'!Q$10*$I48,0))</f>
        <v>0</v>
      </c>
      <c r="AU48" s="214">
        <f>IF(AND(($E48+$C$1)&gt;AU$4,AU$4&gt;=$C$1),'General Inputs'!R$9*$H48,IF(AND(($D48+$C$1)&gt;AU$4,AU$4&gt;=$C$1),'General Inputs'!R$9*$G48,0))+IF(AND(($E48+$C$1)&gt;AU$4,AU$4&gt;=$C$1),'General Inputs'!R$10*$J48,IF(AND(($D48+$C$1)&gt;AU$4,AU$4&gt;=$C$1),'General Inputs'!R$10*$I48,0))</f>
        <v>0</v>
      </c>
      <c r="AV48" s="214">
        <f>IF(AND(($E48+$C$1)&gt;AV$4,AV$4&gt;=$C$1),'General Inputs'!S$9*$H48,IF(AND(($D48+$C$1)&gt;AV$4,AV$4&gt;=$C$1),'General Inputs'!S$9*$G48,0))+IF(AND(($E48+$C$1)&gt;AV$4,AV$4&gt;=$C$1),'General Inputs'!S$10*$J48,IF(AND(($D48+$C$1)&gt;AV$4,AV$4&gt;=$C$1),'General Inputs'!S$10*$I48,0))</f>
        <v>0</v>
      </c>
      <c r="AW48" s="214">
        <f>IF(AND(($E48+$C$1)&gt;AW$4,AW$4&gt;=$C$1),'General Inputs'!T$9*$H48,IF(AND(($D48+$C$1)&gt;AW$4,AW$4&gt;=$C$1),'General Inputs'!T$9*$G48,0))+IF(AND(($E48+$C$1)&gt;AW$4,AW$4&gt;=$C$1),'General Inputs'!T$10*$J48,IF(AND(($D48+$C$1)&gt;AW$4,AW$4&gt;=$C$1),'General Inputs'!T$10*$I48,0))</f>
        <v>0</v>
      </c>
      <c r="AX48" s="214">
        <f>IF(AND(($E48+$C$1)&gt;AX$4,AX$4&gt;=$C$1),'General Inputs'!U$9*$H48,IF(AND(($D48+$C$1)&gt;AX$4,AX$4&gt;=$C$1),'General Inputs'!U$9*$G48,0))+IF(AND(($E48+$C$1)&gt;AX$4,AX$4&gt;=$C$1),'General Inputs'!U$10*$J48,IF(AND(($D48+$C$1)&gt;AX$4,AX$4&gt;=$C$1),'General Inputs'!U$10*$I48,0))</f>
        <v>0</v>
      </c>
      <c r="AY48" s="214">
        <f>IF(AND(($E48+$C$1)&gt;AY$4,AY$4&gt;=$C$1),'General Inputs'!V$9*$H48,IF(AND(($D48+$C$1)&gt;AY$4,AY$4&gt;=$C$1),'General Inputs'!V$9*$G48,0))+IF(AND(($E48+$C$1)&gt;AY$4,AY$4&gt;=$C$1),'General Inputs'!V$10*$J48,IF(AND(($D48+$C$1)&gt;AY$4,AY$4&gt;=$C$1),'General Inputs'!V$10*$I48,0))</f>
        <v>0</v>
      </c>
      <c r="AZ48" s="214">
        <f>IF(AND(($E48+$C$1)&gt;AZ$4,AZ$4&gt;=$C$1),'General Inputs'!W$9*$H48,IF(AND(($D48+$C$1)&gt;AZ$4,AZ$4&gt;=$C$1),'General Inputs'!W$9*$G48,0))+IF(AND(($E48+$C$1)&gt;AZ$4,AZ$4&gt;=$C$1),'General Inputs'!W$10*$J48,IF(AND(($D48+$C$1)&gt;AZ$4,AZ$4&gt;=$C$1),'General Inputs'!W$10*$I48,0))</f>
        <v>0</v>
      </c>
      <c r="BB48" s="214">
        <f>IF(AND(($E48+$C$1)&gt;BB$4,BB$4&gt;=$C$1),'General Inputs'!D$11*$H48,IF(AND(($D48+$C$1)&gt;BB$4,BB$4&gt;=$C$1),'General Inputs'!D$11*$G48,0))</f>
        <v>0</v>
      </c>
      <c r="BC48" s="214">
        <f>IF(AND(($E48+$C$1)&gt;BC$4,BC$4&gt;=$C$1),'General Inputs'!E$11*$H48,IF(AND(($D48+$C$1)&gt;BC$4,BC$4&gt;=$C$1),'General Inputs'!E$11*$G48,0))</f>
        <v>0</v>
      </c>
      <c r="BD48" s="214">
        <f>IF(AND(($E48+$C$1)&gt;BD$4,BD$4&gt;=$C$1),'General Inputs'!F$11*$H48,IF(AND(($D48+$C$1)&gt;BD$4,BD$4&gt;=$C$1),'General Inputs'!F$11*$G48,0))</f>
        <v>31.730203826775</v>
      </c>
      <c r="BE48" s="214">
        <f>IF(AND(($E48+$C$1)&gt;BE$4,BE$4&gt;=$C$1),'General Inputs'!G$11*$H48,IF(AND(($D48+$C$1)&gt;BE$4,BE$4&gt;=$C$1),'General Inputs'!G$11*$G48,0))</f>
        <v>31.730203826775</v>
      </c>
      <c r="BF48" s="214">
        <f>IF(AND(($E48+$C$1)&gt;BF$4,BF$4&gt;=$C$1),'General Inputs'!H$11*$H48,IF(AND(($D48+$C$1)&gt;BF$4,BF$4&gt;=$C$1),'General Inputs'!H$11*$G48,0))</f>
        <v>31.730203826775</v>
      </c>
      <c r="BG48" s="214">
        <f>IF(AND(($E48+$C$1)&gt;BG$4,BG$4&gt;=$C$1),'General Inputs'!I$11*$H48,IF(AND(($D48+$C$1)&gt;BG$4,BG$4&gt;=$C$1),'General Inputs'!I$11*$G48,0))</f>
        <v>31.730203826775</v>
      </c>
      <c r="BH48" s="214">
        <f>IF(AND(($E48+$C$1)&gt;BH$4,BH$4&gt;=$C$1),'General Inputs'!J$11*$H48,IF(AND(($D48+$C$1)&gt;BH$4,BH$4&gt;=$C$1),'General Inputs'!J$11*$G48,0))</f>
        <v>31.730203826775</v>
      </c>
      <c r="BI48" s="214">
        <f>IF(AND(($E48+$C$1)&gt;BI$4,BI$4&gt;=$C$1),'General Inputs'!K$11*$H48,IF(AND(($D48+$C$1)&gt;BI$4,BI$4&gt;=$C$1),'General Inputs'!K$11*$G48,0))</f>
        <v>31.730203826775</v>
      </c>
      <c r="BJ48" s="214">
        <f>IF(AND(($E48+$C$1)&gt;BJ$4,BJ$4&gt;=$C$1),'General Inputs'!L$11*$H48,IF(AND(($D48+$C$1)&gt;BJ$4,BJ$4&gt;=$C$1),'General Inputs'!L$11*$G48,0))</f>
        <v>31.730203826775</v>
      </c>
      <c r="BK48" s="214">
        <f>IF(AND(($E48+$C$1)&gt;BK$4,BK$4&gt;=$C$1),'General Inputs'!M$11*$H48,IF(AND(($D48+$C$1)&gt;BK$4,BK$4&gt;=$C$1),'General Inputs'!M$11*$G48,0))</f>
        <v>31.730203826775</v>
      </c>
      <c r="BL48" s="214">
        <f>IF(AND(($E48+$C$1)&gt;BL$4,BL$4&gt;=$C$1),'General Inputs'!N$11*$H48,IF(AND(($D48+$C$1)&gt;BL$4,BL$4&gt;=$C$1),'General Inputs'!N$11*$G48,0))</f>
        <v>31.730203826775</v>
      </c>
      <c r="BM48" s="214">
        <f>IF(AND(($E48+$C$1)&gt;BM$4,BM$4&gt;=$C$1),'General Inputs'!O$11*$H48,IF(AND(($D48+$C$1)&gt;BM$4,BM$4&gt;=$C$1),'General Inputs'!O$11*$G48,0))</f>
        <v>31.730203826775</v>
      </c>
      <c r="BN48" s="214">
        <f>IF(AND(($E48+$C$1)&gt;BN$4,BN$4&gt;=$C$1),'General Inputs'!P$11*$H48,IF(AND(($D48+$C$1)&gt;BN$4,BN$4&gt;=$C$1),'General Inputs'!P$11*$G48,0))</f>
        <v>31.730203826775</v>
      </c>
      <c r="BO48" s="214">
        <f>IF(AND(($E48+$C$1)&gt;BO$4,BO$4&gt;=$C$1),'General Inputs'!Q$11*$H48,IF(AND(($D48+$C$1)&gt;BO$4,BO$4&gt;=$C$1),'General Inputs'!Q$11*$G48,0))</f>
        <v>0</v>
      </c>
      <c r="BP48" s="214">
        <f>IF(AND(($E48+$C$1)&gt;BP$4,BP$4&gt;=$C$1),'General Inputs'!R$11*$H48,IF(AND(($D48+$C$1)&gt;BP$4,BP$4&gt;=$C$1),'General Inputs'!R$11*$G48,0))</f>
        <v>0</v>
      </c>
      <c r="BQ48" s="214">
        <f>IF(AND(($E48+$C$1)&gt;BQ$4,BQ$4&gt;=$C$1),'General Inputs'!S$11*$H48,IF(AND(($D48+$C$1)&gt;BQ$4,BQ$4&gt;=$C$1),'General Inputs'!S$11*$G48,0))</f>
        <v>0</v>
      </c>
      <c r="BR48" s="214">
        <f>IF(AND(($E48+$C$1)&gt;BR$4,BR$4&gt;=$C$1),'General Inputs'!T$11*$H48,IF(AND(($D48+$C$1)&gt;BR$4,BR$4&gt;=$C$1),'General Inputs'!T$11*$G48,0))</f>
        <v>0</v>
      </c>
      <c r="BS48" s="214">
        <f>IF(AND(($E48+$C$1)&gt;BS$4,BS$4&gt;=$C$1),'General Inputs'!U$11*$H48,IF(AND(($D48+$C$1)&gt;BS$4,BS$4&gt;=$C$1),'General Inputs'!U$11*$G48,0))</f>
        <v>0</v>
      </c>
      <c r="BT48" s="214">
        <f>IF(AND(($E48+$C$1)&gt;BT$4,BT$4&gt;=$C$1),'General Inputs'!V$11*$H48,IF(AND(($D48+$C$1)&gt;BT$4,BT$4&gt;=$C$1),'General Inputs'!V$11*$G48,0))</f>
        <v>0</v>
      </c>
      <c r="BU48" s="214">
        <f>IF(AND(($E48+$C$1)&gt;BU$4,BU$4&gt;=$C$1),'General Inputs'!W$11*$H48,IF(AND(($D48+$C$1)&gt;BU$4,BU$4&gt;=$C$1),'General Inputs'!W$11*$G48,0))</f>
        <v>0</v>
      </c>
      <c r="BW48" s="214">
        <f>IF(AND(($E48+$C$1)&gt;BW$4,BW$4&gt;=$C$1),$H48,IF(AND(($D48+$C$1)&gt;BW$4,BW$4&gt;=$C$1),$G48,0))*IF($A48="Residential",'General Inputs'!D$14,'General Inputs'!D$19)</f>
        <v>0</v>
      </c>
      <c r="BX48" s="214">
        <f>IF(AND(($E48+$C$1)&gt;BX$4,BX$4&gt;=$C$1),$H48,IF(AND(($D48+$C$1)&gt;BX$4,BX$4&gt;=$C$1),$G48,0))*IF($A48="Residential",'General Inputs'!E$14,'General Inputs'!E$19)</f>
        <v>0</v>
      </c>
      <c r="BY48" s="214">
        <f>IF(AND(($E48+$C$1)&gt;BY$4,BY$4&gt;=$C$1),$H48,IF(AND(($D48+$C$1)&gt;BY$4,BY$4&gt;=$C$1),$G48,0))*IF($A48="Residential",'General Inputs'!F$14,'General Inputs'!F$19)</f>
        <v>299.55639134021726</v>
      </c>
      <c r="BZ48" s="214">
        <f>IF(AND(($E48+$C$1)&gt;BZ$4,BZ$4&gt;=$C$1),$H48,IF(AND(($D48+$C$1)&gt;BZ$4,BZ$4&gt;=$C$1),$G48,0))*IF($A48="Residential",'General Inputs'!G$14,'General Inputs'!G$19)</f>
        <v>304.04973721032047</v>
      </c>
      <c r="CA48" s="214">
        <f>IF(AND(($E48+$C$1)&gt;CA$4,CA$4&gt;=$C$1),$H48,IF(AND(($D48+$C$1)&gt;CA$4,CA$4&gt;=$C$1),$G48,0))*IF($A48="Residential",'General Inputs'!H$14,'General Inputs'!H$19)</f>
        <v>308.61048326847521</v>
      </c>
      <c r="CB48" s="214">
        <f>IF(AND(($E48+$C$1)&gt;CB$4,CB$4&gt;=$C$1),$H48,IF(AND(($D48+$C$1)&gt;CB$4,CB$4&gt;=$C$1),$G48,0))*IF($A48="Residential",'General Inputs'!I$14,'General Inputs'!I$19)</f>
        <v>313.23964051750227</v>
      </c>
      <c r="CC48" s="214">
        <f>IF(AND(($E48+$C$1)&gt;CC$4,CC$4&gt;=$C$1),$H48,IF(AND(($D48+$C$1)&gt;CC$4,CC$4&gt;=$C$1),$G48,0))*IF($A48="Residential",'General Inputs'!J$14,'General Inputs'!J$19)</f>
        <v>317.93823512526484</v>
      </c>
      <c r="CD48" s="214">
        <f>IF(AND(($E48+$C$1)&gt;CD$4,CD$4&gt;=$C$1),$H48,IF(AND(($D48+$C$1)&gt;CD$4,CD$4&gt;=$C$1),$G48,0))*IF($A48="Residential",'General Inputs'!K$14,'General Inputs'!K$19)</f>
        <v>322.70730865214375</v>
      </c>
      <c r="CE48" s="214">
        <f>IF(AND(($E48+$C$1)&gt;CE$4,CE$4&gt;=$C$1),$H48,IF(AND(($D48+$C$1)&gt;CE$4,CE$4&gt;=$C$1),$G48,0))*IF($A48="Residential",'General Inputs'!L$14,'General Inputs'!L$19)</f>
        <v>327.54791828192589</v>
      </c>
      <c r="CF48" s="214">
        <f>IF(AND(($E48+$C$1)&gt;CF$4,CF$4&gt;=$C$1),$H48,IF(AND(($D48+$C$1)&gt;CF$4,CF$4&gt;=$C$1),$G48,0))*IF($A48="Residential",'General Inputs'!M$14,'General Inputs'!M$19)</f>
        <v>332.46113705615471</v>
      </c>
      <c r="CG48" s="214">
        <f>IF(AND(($E48+$C$1)&gt;CG$4,CG$4&gt;=$C$1),$H48,IF(AND(($D48+$C$1)&gt;CG$4,CG$4&gt;=$C$1),$G48,0))*IF($A48="Residential",'General Inputs'!N$14,'General Inputs'!N$19)</f>
        <v>337.44805411199701</v>
      </c>
      <c r="CH48" s="214">
        <f>IF(AND(($E48+$C$1)&gt;CH$4,CH$4&gt;=$C$1),$H48,IF(AND(($D48+$C$1)&gt;CH$4,CH$4&gt;=$C$1),$G48,0))*IF($A48="Residential",'General Inputs'!O$14,'General Inputs'!O$19)</f>
        <v>342.5097749236769</v>
      </c>
      <c r="CI48" s="214">
        <f>IF(AND(($E48+$C$1)&gt;CI$4,CI$4&gt;=$C$1),$H48,IF(AND(($D48+$C$1)&gt;CI$4,CI$4&gt;=$C$1),$G48,0))*IF($A48="Residential",'General Inputs'!P$14,'General Inputs'!P$19)</f>
        <v>347.64742154753208</v>
      </c>
      <c r="CJ48" s="214">
        <f>IF(AND(($E48+$C$1)&gt;CJ$4,CJ$4&gt;=$C$1),$H48,IF(AND(($D48+$C$1)&gt;CJ$4,CJ$4&gt;=$C$1),$G48,0))*IF($A48="Residential",'General Inputs'!Q$14,'General Inputs'!Q$19)</f>
        <v>0</v>
      </c>
      <c r="CK48" s="214">
        <f>IF(AND(($E48+$C$1)&gt;CK$4,CK$4&gt;=$C$1),$H48,IF(AND(($D48+$C$1)&gt;CK$4,CK$4&gt;=$C$1),$G48,0))*IF($A48="Residential",'General Inputs'!R$14,'General Inputs'!R$19)</f>
        <v>0</v>
      </c>
      <c r="CL48" s="214">
        <f>IF(AND(($E48+$C$1)&gt;CL$4,CL$4&gt;=$C$1),$H48,IF(AND(($D48+$C$1)&gt;CL$4,CL$4&gt;=$C$1),$G48,0))*IF($A48="Residential",'General Inputs'!S$14,'General Inputs'!S$19)</f>
        <v>0</v>
      </c>
      <c r="CM48" s="214">
        <f>IF(AND(($E48+$C$1)&gt;CM$4,CM$4&gt;=$C$1),$H48,IF(AND(($D48+$C$1)&gt;CM$4,CM$4&gt;=$C$1),$G48,0))*IF($A48="Residential",'General Inputs'!T$14,'General Inputs'!T$19)</f>
        <v>0</v>
      </c>
      <c r="CN48" s="214">
        <f>IF(AND(($E48+$C$1)&gt;CN$4,CN$4&gt;=$C$1),$H48,IF(AND(($D48+$C$1)&gt;CN$4,CN$4&gt;=$C$1),$G48,0))*IF($A48="Residential",'General Inputs'!U$14,'General Inputs'!U$19)</f>
        <v>0</v>
      </c>
      <c r="CO48" s="214">
        <f>IF(AND(($E48+$C$1)&gt;CO$4,CO$4&gt;=$C$1),$H48,IF(AND(($D48+$C$1)&gt;CO$4,CO$4&gt;=$C$1),$G48,0))*IF($A48="Residential",'General Inputs'!V$14,'General Inputs'!V$19)</f>
        <v>0</v>
      </c>
      <c r="CP48" s="214">
        <f>IF(AND(($E48+$C$1)&gt;CP$4,CP$4&gt;=$C$1),$H48,IF(AND(($D48+$C$1)&gt;CP$4,CP$4&gt;=$C$1),$G48,0))*IF($A48="Residential",'General Inputs'!W$14,'General Inputs'!W$19)</f>
        <v>0</v>
      </c>
      <c r="CR48" s="214">
        <f>IF(AND(($E48+$C$1)&gt;CR$4,CR$4&gt;=$C$1),$H48,IF(AND(($D48+$C$1)&gt;CR$4,CR$4&gt;=$C$1),$G48,0))*IF($A48="Residential",'General Inputs'!D$15,'General Inputs'!D$19)</f>
        <v>0</v>
      </c>
      <c r="CS48" s="214">
        <f>IF(AND(($E48+$C$1)&gt;CS$4,CS$4&gt;=$C$1),$H48,IF(AND(($D48+$C$1)&gt;CS$4,CS$4&gt;=$C$1),$G48,0))*IF($A48="Residential",'General Inputs'!E$15,'General Inputs'!E$19)</f>
        <v>0</v>
      </c>
      <c r="CT48" s="214">
        <f>IF(AND(($E48+$C$1)&gt;CT$4,CT$4&gt;=$C$1),$H48,IF(AND(($D48+$C$1)&gt;CT$4,CT$4&gt;=$C$1),$G48,0))*IF($A48="Residential",'General Inputs'!F$15,'General Inputs'!F$19)</f>
        <v>299.55639134021726</v>
      </c>
      <c r="CU48" s="214">
        <f>IF(AND(($E48+$C$1)&gt;CU$4,CU$4&gt;=$C$1),$H48,IF(AND(($D48+$C$1)&gt;CU$4,CU$4&gt;=$C$1),$G48,0))*IF($A48="Residential",'General Inputs'!G$15,'General Inputs'!G$19)</f>
        <v>304.04973721032047</v>
      </c>
      <c r="CV48" s="214">
        <f>IF(AND(($E48+$C$1)&gt;CV$4,CV$4&gt;=$C$1),$H48,IF(AND(($D48+$C$1)&gt;CV$4,CV$4&gt;=$C$1),$G48,0))*IF($A48="Residential",'General Inputs'!H$15,'General Inputs'!H$19)</f>
        <v>308.61048326847521</v>
      </c>
      <c r="CW48" s="214">
        <f>IF(AND(($E48+$C$1)&gt;CW$4,CW$4&gt;=$C$1),$H48,IF(AND(($D48+$C$1)&gt;CW$4,CW$4&gt;=$C$1),$G48,0))*IF($A48="Residential",'General Inputs'!I$15,'General Inputs'!I$19)</f>
        <v>313.23964051750227</v>
      </c>
      <c r="CX48" s="214">
        <f>IF(AND(($E48+$C$1)&gt;CX$4,CX$4&gt;=$C$1),$H48,IF(AND(($D48+$C$1)&gt;CX$4,CX$4&gt;=$C$1),$G48,0))*IF($A48="Residential",'General Inputs'!J$15,'General Inputs'!J$19)</f>
        <v>317.93823512526484</v>
      </c>
      <c r="CY48" s="214">
        <f>IF(AND(($E48+$C$1)&gt;CY$4,CY$4&gt;=$C$1),$H48,IF(AND(($D48+$C$1)&gt;CY$4,CY$4&gt;=$C$1),$G48,0))*IF($A48="Residential",'General Inputs'!K$15,'General Inputs'!K$19)</f>
        <v>322.70730865214375</v>
      </c>
      <c r="CZ48" s="214">
        <f>IF(AND(($E48+$C$1)&gt;CZ$4,CZ$4&gt;=$C$1),$H48,IF(AND(($D48+$C$1)&gt;CZ$4,CZ$4&gt;=$C$1),$G48,0))*IF($A48="Residential",'General Inputs'!L$15,'General Inputs'!L$19)</f>
        <v>327.54791828192589</v>
      </c>
      <c r="DA48" s="214">
        <f>IF(AND(($E48+$C$1)&gt;DA$4,DA$4&gt;=$C$1),$H48,IF(AND(($D48+$C$1)&gt;DA$4,DA$4&gt;=$C$1),$G48,0))*IF($A48="Residential",'General Inputs'!M$15,'General Inputs'!M$19)</f>
        <v>332.46113705615471</v>
      </c>
      <c r="DB48" s="214">
        <f>IF(AND(($E48+$C$1)&gt;DB$4,DB$4&gt;=$C$1),$H48,IF(AND(($D48+$C$1)&gt;DB$4,DB$4&gt;=$C$1),$G48,0))*IF($A48="Residential",'General Inputs'!N$15,'General Inputs'!N$19)</f>
        <v>337.44805411199701</v>
      </c>
      <c r="DC48" s="214">
        <f>IF(AND(($E48+$C$1)&gt;DC$4,DC$4&gt;=$C$1),$H48,IF(AND(($D48+$C$1)&gt;DC$4,DC$4&gt;=$C$1),$G48,0))*IF($A48="Residential",'General Inputs'!O$15,'General Inputs'!O$19)</f>
        <v>342.5097749236769</v>
      </c>
      <c r="DD48" s="214">
        <f>IF(AND(($E48+$C$1)&gt;DD$4,DD$4&gt;=$C$1),$H48,IF(AND(($D48+$C$1)&gt;DD$4,DD$4&gt;=$C$1),$G48,0))*IF($A48="Residential",'General Inputs'!P$15,'General Inputs'!P$19)</f>
        <v>347.64742154753208</v>
      </c>
      <c r="DE48" s="214">
        <f>IF(AND(($E48+$C$1)&gt;DE$4,DE$4&gt;=$C$1),$H48,IF(AND(($D48+$C$1)&gt;DE$4,DE$4&gt;=$C$1),$G48,0))*IF($A48="Residential",'General Inputs'!Q$15,'General Inputs'!Q$19)</f>
        <v>0</v>
      </c>
      <c r="DF48" s="214">
        <f>IF(AND(($E48+$C$1)&gt;DF$4,DF$4&gt;=$C$1),$H48,IF(AND(($D48+$C$1)&gt;DF$4,DF$4&gt;=$C$1),$G48,0))*IF($A48="Residential",'General Inputs'!R$15,'General Inputs'!R$19)</f>
        <v>0</v>
      </c>
      <c r="DG48" s="214">
        <f>IF(AND(($E48+$C$1)&gt;DG$4,DG$4&gt;=$C$1),$H48,IF(AND(($D48+$C$1)&gt;DG$4,DG$4&gt;=$C$1),$G48,0))*IF($A48="Residential",'General Inputs'!S$15,'General Inputs'!S$19)</f>
        <v>0</v>
      </c>
      <c r="DH48" s="214">
        <f>IF(AND(($E48+$C$1)&gt;DH$4,DH$4&gt;=$C$1),$H48,IF(AND(($D48+$C$1)&gt;DH$4,DH$4&gt;=$C$1),$G48,0))*IF($A48="Residential",'General Inputs'!T$15,'General Inputs'!T$19)</f>
        <v>0</v>
      </c>
      <c r="DI48" s="214">
        <f>IF(AND(($E48+$C$1)&gt;DI$4,DI$4&gt;=$C$1),$H48,IF(AND(($D48+$C$1)&gt;DI$4,DI$4&gt;=$C$1),$G48,0))*IF($A48="Residential",'General Inputs'!U$15,'General Inputs'!U$19)</f>
        <v>0</v>
      </c>
      <c r="DJ48" s="214">
        <f>IF(AND(($E48+$C$1)&gt;DJ$4,DJ$4&gt;=$C$1),$H48,IF(AND(($D48+$C$1)&gt;DJ$4,DJ$4&gt;=$C$1),$G48,0))*IF($A48="Residential",'General Inputs'!V$15,'General Inputs'!V$19)</f>
        <v>0</v>
      </c>
      <c r="DK48" s="214">
        <f>IF(AND(($E48+$C$1)&gt;DK$4,DK$4&gt;=$C$1),$H48,IF(AND(($D48+$C$1)&gt;DK$4,DK$4&gt;=$C$1),$G48,0))*IF($A48="Residential",'General Inputs'!W$15,'General Inputs'!W$19)</f>
        <v>0</v>
      </c>
      <c r="DM48" s="214">
        <f t="shared" si="99"/>
        <v>0</v>
      </c>
      <c r="DN48" s="214">
        <f t="shared" si="99"/>
        <v>0</v>
      </c>
      <c r="DO48" s="214">
        <f t="shared" si="99"/>
        <v>366</v>
      </c>
      <c r="DP48" s="214">
        <f t="shared" si="99"/>
        <v>0</v>
      </c>
      <c r="DQ48" s="214">
        <f t="shared" si="99"/>
        <v>0</v>
      </c>
      <c r="DR48" s="214">
        <f t="shared" si="99"/>
        <v>0</v>
      </c>
      <c r="DS48" s="214">
        <f t="shared" si="99"/>
        <v>0</v>
      </c>
      <c r="DT48" s="214">
        <f t="shared" si="99"/>
        <v>0</v>
      </c>
      <c r="DU48" s="214">
        <f t="shared" si="99"/>
        <v>0</v>
      </c>
      <c r="DV48" s="214">
        <f t="shared" si="99"/>
        <v>0</v>
      </c>
      <c r="DW48" s="214">
        <f t="shared" si="99"/>
        <v>0</v>
      </c>
      <c r="DZ48" s="650"/>
      <c r="FI48" s="195"/>
      <c r="FJ48" s="195"/>
      <c r="FK48" s="195"/>
      <c r="FL48" s="195"/>
      <c r="FM48" s="195"/>
      <c r="FN48" s="195"/>
      <c r="FO48" s="195"/>
    </row>
    <row r="49" spans="1:171">
      <c r="A49" s="342" t="s">
        <v>112</v>
      </c>
      <c r="B49" s="427" t="str">
        <f>'Portfolio Inputs'!A48</f>
        <v>T8 (≤4 ft, 1-2 Lamp)</v>
      </c>
      <c r="C49" s="217">
        <f>IF($C$1=2014,'Portfolio Inputs'!$C48,IF($C$1=2015,'Portfolio Inputs'!$D48,'Portfolio Inputs'!$E48))</f>
        <v>9</v>
      </c>
      <c r="D49" s="504">
        <f>VLOOKUP(B49,Sources!$B$4:$J$104,2,FALSE)</f>
        <v>18</v>
      </c>
      <c r="E49" s="504">
        <f>VLOOKUP(B49,Sources!$B$4:$J$104,3,FALSE)</f>
        <v>0</v>
      </c>
      <c r="G49" s="504">
        <f>IF($C$1=2014,'Portfolio Inputs'!$G48,IF($C$1=2015,'Portfolio Inputs'!$H48,'Portfolio Inputs'!$I48))*EnergyLineLoss</f>
        <v>2143.7207212499998</v>
      </c>
      <c r="H49" s="504"/>
      <c r="I49" s="595">
        <f>IF($C$1=2014,'Portfolio Inputs'!$K48,IF($C$1=2015,'Portfolio Inputs'!$L48,'Portfolio Inputs'!$M48))*PeakLineLoss</f>
        <v>0.33148229399999996</v>
      </c>
      <c r="J49" s="510"/>
      <c r="L49" s="606">
        <f>IF($C$1=2014,'Portfolio Inputs'!$O48,IF($C$1=2015,'Portfolio Inputs'!$P48,'Portfolio Inputs'!$Q48))</f>
        <v>43</v>
      </c>
      <c r="M49" s="518">
        <f>VLOOKUP($B49,Sources!$B$4:$K$104,10,FALSE)</f>
        <v>0</v>
      </c>
      <c r="N49" s="419">
        <f>IF($C$1=2014,'Portfolio Inputs'!$W48,IF($C$1=2015,'Portfolio Inputs'!$X48,'Portfolio Inputs'!$Y48))</f>
        <v>45</v>
      </c>
      <c r="O49" s="419">
        <f>IF($C$1=2014,'Portfolio Inputs'!$AA48,IF($C$1=2015,'Portfolio Inputs'!$AB48,'Portfolio Inputs'!$AC48))</f>
        <v>0</v>
      </c>
      <c r="Q49" s="438">
        <f t="shared" si="67"/>
        <v>2.5504349684149932</v>
      </c>
      <c r="R49" s="439">
        <f t="shared" si="68"/>
        <v>21.933740728368942</v>
      </c>
      <c r="S49" s="439">
        <f t="shared" si="69"/>
        <v>3.1586906398645551</v>
      </c>
      <c r="T49" s="439">
        <f t="shared" si="70"/>
        <v>6.4407621384253275</v>
      </c>
      <c r="U49" s="439">
        <f t="shared" si="98"/>
        <v>6.4407621384253275</v>
      </c>
      <c r="V49" s="439">
        <f t="shared" si="72"/>
        <v>0.39598341214919286</v>
      </c>
      <c r="W49" s="439">
        <f t="shared" si="73"/>
        <v>0.39598341214919286</v>
      </c>
      <c r="Y49" s="215">
        <f t="shared" si="4"/>
        <v>833.19787389461294</v>
      </c>
      <c r="Z49" s="215">
        <f t="shared" si="5"/>
        <v>198.71015670361197</v>
      </c>
      <c r="AA49" s="215">
        <f t="shared" si="6"/>
        <v>2066.1361342465702</v>
      </c>
      <c r="AB49" s="215">
        <f t="shared" si="7"/>
        <v>2066.1361342465702</v>
      </c>
      <c r="AC49" s="216">
        <f t="shared" si="20"/>
        <v>0</v>
      </c>
      <c r="AD49" s="216">
        <f t="shared" si="21"/>
        <v>37.987039429939138</v>
      </c>
      <c r="AE49" s="215">
        <f t="shared" si="8"/>
        <v>326.68853909747656</v>
      </c>
      <c r="AG49" s="214">
        <f>IF(AND(($E49+$C$1)&gt;AG$4,AG$4&gt;=$C$1),'General Inputs'!D$9*$H49,IF(AND(($D49+$C$1)&gt;AG$4,AG$4&gt;=$C$1),'General Inputs'!D$9*$G49,0))+IF(AND(($E49+$C$1)&gt;AG$4,AG$4&gt;=$C$1),'General Inputs'!D$10*$J49,IF(AND(($D49+$C$1)&gt;AG$4,AG$4&gt;=$C$1),'General Inputs'!D$10*$I49,0))</f>
        <v>0</v>
      </c>
      <c r="AH49" s="214">
        <f>IF(AND(($E49+$C$1)&gt;AH$4,AH$4&gt;=$C$1),'General Inputs'!E$9*$H49,IF(AND(($D49+$C$1)&gt;AH$4,AH$4&gt;=$C$1),'General Inputs'!E$9*$G49,0))+IF(AND(($E49+$C$1)&gt;AH$4,AH$4&gt;=$C$1),'General Inputs'!E$10*$J49,IF(AND(($D49+$C$1)&gt;AH$4,AH$4&gt;=$C$1),'General Inputs'!E$10*$I49,0))</f>
        <v>0</v>
      </c>
      <c r="AI49" s="214">
        <f>IF(AND(($E49+$C$1)&gt;AI$4,AI$4&gt;=$C$1),'General Inputs'!F$9*$H49,IF(AND(($D49+$C$1)&gt;AI$4,AI$4&gt;=$C$1),'General Inputs'!F$9*$G49,0))+IF(AND(($E49+$C$1)&gt;AI$4,AI$4&gt;=$C$1),'General Inputs'!F$10*$J49,IF(AND(($D49+$C$1)&gt;AI$4,AI$4&gt;=$C$1),'General Inputs'!F$10*$I49,0))</f>
        <v>93.039636604164755</v>
      </c>
      <c r="AJ49" s="214">
        <f>IF(AND(($E49+$C$1)&gt;AJ$4,AJ$4&gt;=$C$1),'General Inputs'!G$9*$H49,IF(AND(($D49+$C$1)&gt;AJ$4,AJ$4&gt;=$C$1),'General Inputs'!G$9*$G49,0))+IF(AND(($E49+$C$1)&gt;AJ$4,AJ$4&gt;=$C$1),'General Inputs'!G$10*$J49,IF(AND(($D49+$C$1)&gt;AJ$4,AJ$4&gt;=$C$1),'General Inputs'!G$10*$I49,0))</f>
        <v>94.435231153227221</v>
      </c>
      <c r="AK49" s="214">
        <f>IF(AND(($E49+$C$1)&gt;AK$4,AK$4&gt;=$C$1),'General Inputs'!H$9*$H49,IF(AND(($D49+$C$1)&gt;AK$4,AK$4&gt;=$C$1),'General Inputs'!H$9*$G49,0))+IF(AND(($E49+$C$1)&gt;AK$4,AK$4&gt;=$C$1),'General Inputs'!H$10*$J49,IF(AND(($D49+$C$1)&gt;AK$4,AK$4&gt;=$C$1),'General Inputs'!H$10*$I49,0))</f>
        <v>95.851759620525613</v>
      </c>
      <c r="AL49" s="214">
        <f>IF(AND(($E49+$C$1)&gt;AL$4,AL$4&gt;=$C$1),'General Inputs'!I$9*$H49,IF(AND(($D49+$C$1)&gt;AL$4,AL$4&gt;=$C$1),'General Inputs'!I$9*$G49,0))+IF(AND(($E49+$C$1)&gt;AL$4,AL$4&gt;=$C$1),'General Inputs'!I$10*$J49,IF(AND(($D49+$C$1)&gt;AL$4,AL$4&gt;=$C$1),'General Inputs'!I$10*$I49,0))</f>
        <v>97.289536014833487</v>
      </c>
      <c r="AM49" s="214">
        <f>IF(AND(($E49+$C$1)&gt;AM$4,AM$4&gt;=$C$1),'General Inputs'!J$9*$H49,IF(AND(($D49+$C$1)&gt;AM$4,AM$4&gt;=$C$1),'General Inputs'!J$9*$G49,0))+IF(AND(($E49+$C$1)&gt;AM$4,AM$4&gt;=$C$1),'General Inputs'!J$10*$J49,IF(AND(($D49+$C$1)&gt;AM$4,AM$4&gt;=$C$1),'General Inputs'!J$10*$I49,0))</f>
        <v>98.748879055055966</v>
      </c>
      <c r="AN49" s="214">
        <f>IF(AND(($E49+$C$1)&gt;AN$4,AN$4&gt;=$C$1),'General Inputs'!K$9*$H49,IF(AND(($D49+$C$1)&gt;AN$4,AN$4&gt;=$C$1),'General Inputs'!K$9*$G49,0))+IF(AND(($E49+$C$1)&gt;AN$4,AN$4&gt;=$C$1),'General Inputs'!K$10*$J49,IF(AND(($D49+$C$1)&gt;AN$4,AN$4&gt;=$C$1),'General Inputs'!K$10*$I49,0))</f>
        <v>100.23011224088179</v>
      </c>
      <c r="AO49" s="214">
        <f>IF(AND(($E49+$C$1)&gt;AO$4,AO$4&gt;=$C$1),'General Inputs'!L$9*$H49,IF(AND(($D49+$C$1)&gt;AO$4,AO$4&gt;=$C$1),'General Inputs'!L$9*$G49,0))+IF(AND(($E49+$C$1)&gt;AO$4,AO$4&gt;=$C$1),'General Inputs'!L$10*$J49,IF(AND(($D49+$C$1)&gt;AO$4,AO$4&gt;=$C$1),'General Inputs'!L$10*$I49,0))</f>
        <v>101.73356392449502</v>
      </c>
      <c r="AP49" s="214">
        <f>IF(AND(($E49+$C$1)&gt;AP$4,AP$4&gt;=$C$1),'General Inputs'!M$9*$H49,IF(AND(($D49+$C$1)&gt;AP$4,AP$4&gt;=$C$1),'General Inputs'!M$9*$G49,0))+IF(AND(($E49+$C$1)&gt;AP$4,AP$4&gt;=$C$1),'General Inputs'!M$10*$J49,IF(AND(($D49+$C$1)&gt;AP$4,AP$4&gt;=$C$1),'General Inputs'!M$10*$I49,0))</f>
        <v>103.25956738336242</v>
      </c>
      <c r="AQ49" s="214">
        <f>IF(AND(($E49+$C$1)&gt;AQ$4,AQ$4&gt;=$C$1),'General Inputs'!N$9*$H49,IF(AND(($D49+$C$1)&gt;AQ$4,AQ$4&gt;=$C$1),'General Inputs'!N$9*$G49,0))+IF(AND(($E49+$C$1)&gt;AQ$4,AQ$4&gt;=$C$1),'General Inputs'!N$10*$J49,IF(AND(($D49+$C$1)&gt;AQ$4,AQ$4&gt;=$C$1),'General Inputs'!N$10*$I49,0))</f>
        <v>104.80846089411286</v>
      </c>
      <c r="AR49" s="214">
        <f>IF(AND(($E49+$C$1)&gt;AR$4,AR$4&gt;=$C$1),'General Inputs'!O$9*$H49,IF(AND(($D49+$C$1)&gt;AR$4,AR$4&gt;=$C$1),'General Inputs'!O$9*$G49,0))+IF(AND(($E49+$C$1)&gt;AR$4,AR$4&gt;=$C$1),'General Inputs'!O$10*$J49,IF(AND(($D49+$C$1)&gt;AR$4,AR$4&gt;=$C$1),'General Inputs'!O$10*$I49,0))</f>
        <v>106.38058780752453</v>
      </c>
      <c r="AS49" s="214">
        <f>IF(AND(($E49+$C$1)&gt;AS$4,AS$4&gt;=$C$1),'General Inputs'!P$9*$H49,IF(AND(($D49+$C$1)&gt;AS$4,AS$4&gt;=$C$1),'General Inputs'!P$9*$G49,0))+IF(AND(($E49+$C$1)&gt;AS$4,AS$4&gt;=$C$1),'General Inputs'!P$10*$J49,IF(AND(($D49+$C$1)&gt;AS$4,AS$4&gt;=$C$1),'General Inputs'!P$10*$I49,0))</f>
        <v>107.97629662463738</v>
      </c>
      <c r="AT49" s="214">
        <f>IF(AND(($E49+$C$1)&gt;AT$4,AT$4&gt;=$C$1),'General Inputs'!Q$9*$H49,IF(AND(($D49+$C$1)&gt;AT$4,AT$4&gt;=$C$1),'General Inputs'!Q$9*$G49,0))+IF(AND(($E49+$C$1)&gt;AT$4,AT$4&gt;=$C$1),'General Inputs'!Q$10*$J49,IF(AND(($D49+$C$1)&gt;AT$4,AT$4&gt;=$C$1),'General Inputs'!Q$10*$I49,0))</f>
        <v>109.59594107400694</v>
      </c>
      <c r="AU49" s="214">
        <f>IF(AND(($E49+$C$1)&gt;AU$4,AU$4&gt;=$C$1),'General Inputs'!R$9*$H49,IF(AND(($D49+$C$1)&gt;AU$4,AU$4&gt;=$C$1),'General Inputs'!R$9*$G49,0))+IF(AND(($E49+$C$1)&gt;AU$4,AU$4&gt;=$C$1),'General Inputs'!R$10*$J49,IF(AND(($D49+$C$1)&gt;AU$4,AU$4&gt;=$C$1),'General Inputs'!R$10*$I49,0))</f>
        <v>111.23988019011703</v>
      </c>
      <c r="AV49" s="214">
        <f>IF(AND(($E49+$C$1)&gt;AV$4,AV$4&gt;=$C$1),'General Inputs'!S$9*$H49,IF(AND(($D49+$C$1)&gt;AV$4,AV$4&gt;=$C$1),'General Inputs'!S$9*$G49,0))+IF(AND(($E49+$C$1)&gt;AV$4,AV$4&gt;=$C$1),'General Inputs'!S$10*$J49,IF(AND(($D49+$C$1)&gt;AV$4,AV$4&gt;=$C$1),'General Inputs'!S$10*$I49,0))</f>
        <v>112.90847839296879</v>
      </c>
      <c r="AW49" s="214">
        <f>IF(AND(($E49+$C$1)&gt;AW$4,AW$4&gt;=$C$1),'General Inputs'!T$9*$H49,IF(AND(($D49+$C$1)&gt;AW$4,AW$4&gt;=$C$1),'General Inputs'!T$9*$G49,0))+IF(AND(($E49+$C$1)&gt;AW$4,AW$4&gt;=$C$1),'General Inputs'!T$10*$J49,IF(AND(($D49+$C$1)&gt;AW$4,AW$4&gt;=$C$1),'General Inputs'!T$10*$I49,0))</f>
        <v>114.60210556886332</v>
      </c>
      <c r="AX49" s="214">
        <f>IF(AND(($E49+$C$1)&gt;AX$4,AX$4&gt;=$C$1),'General Inputs'!U$9*$H49,IF(AND(($D49+$C$1)&gt;AX$4,AX$4&gt;=$C$1),'General Inputs'!U$9*$G49,0))+IF(AND(($E49+$C$1)&gt;AX$4,AX$4&gt;=$C$1),'General Inputs'!U$10*$J49,IF(AND(($D49+$C$1)&gt;AX$4,AX$4&gt;=$C$1),'General Inputs'!U$10*$I49,0))</f>
        <v>116.32113715239626</v>
      </c>
      <c r="AY49" s="214">
        <f>IF(AND(($E49+$C$1)&gt;AY$4,AY$4&gt;=$C$1),'General Inputs'!V$9*$H49,IF(AND(($D49+$C$1)&gt;AY$4,AY$4&gt;=$C$1),'General Inputs'!V$9*$G49,0))+IF(AND(($E49+$C$1)&gt;AY$4,AY$4&gt;=$C$1),'General Inputs'!V$10*$J49,IF(AND(($D49+$C$1)&gt;AY$4,AY$4&gt;=$C$1),'General Inputs'!V$10*$I49,0))</f>
        <v>118.06595420968219</v>
      </c>
      <c r="AZ49" s="214">
        <f>IF(AND(($E49+$C$1)&gt;AZ$4,AZ$4&gt;=$C$1),'General Inputs'!W$9*$H49,IF(AND(($D49+$C$1)&gt;AZ$4,AZ$4&gt;=$C$1),'General Inputs'!W$9*$G49,0))+IF(AND(($E49+$C$1)&gt;AZ$4,AZ$4&gt;=$C$1),'General Inputs'!W$10*$J49,IF(AND(($D49+$C$1)&gt;AZ$4,AZ$4&gt;=$C$1),'General Inputs'!W$10*$I49,0))</f>
        <v>119.83694352282741</v>
      </c>
      <c r="BB49" s="214">
        <f>IF(AND(($E49+$C$1)&gt;BB$4,BB$4&gt;=$C$1),'General Inputs'!D$11*$H49,IF(AND(($D49+$C$1)&gt;BB$4,BB$4&gt;=$C$1),'General Inputs'!D$11*$G49,0))</f>
        <v>0</v>
      </c>
      <c r="BC49" s="214">
        <f>IF(AND(($E49+$C$1)&gt;BC$4,BC$4&gt;=$C$1),'General Inputs'!E$11*$H49,IF(AND(($D49+$C$1)&gt;BC$4,BC$4&gt;=$C$1),'General Inputs'!E$11*$G49,0))</f>
        <v>0</v>
      </c>
      <c r="BD49" s="214">
        <f>IF(AND(($E49+$C$1)&gt;BD$4,BD$4&gt;=$C$1),'General Inputs'!F$11*$H49,IF(AND(($D49+$C$1)&gt;BD$4,BD$4&gt;=$C$1),'General Inputs'!F$11*$G49,0))</f>
        <v>24.438416222249998</v>
      </c>
      <c r="BE49" s="214">
        <f>IF(AND(($E49+$C$1)&gt;BE$4,BE$4&gt;=$C$1),'General Inputs'!G$11*$H49,IF(AND(($D49+$C$1)&gt;BE$4,BE$4&gt;=$C$1),'General Inputs'!G$11*$G49,0))</f>
        <v>24.438416222249998</v>
      </c>
      <c r="BF49" s="214">
        <f>IF(AND(($E49+$C$1)&gt;BF$4,BF$4&gt;=$C$1),'General Inputs'!H$11*$H49,IF(AND(($D49+$C$1)&gt;BF$4,BF$4&gt;=$C$1),'General Inputs'!H$11*$G49,0))</f>
        <v>24.438416222249998</v>
      </c>
      <c r="BG49" s="214">
        <f>IF(AND(($E49+$C$1)&gt;BG$4,BG$4&gt;=$C$1),'General Inputs'!I$11*$H49,IF(AND(($D49+$C$1)&gt;BG$4,BG$4&gt;=$C$1),'General Inputs'!I$11*$G49,0))</f>
        <v>24.438416222249998</v>
      </c>
      <c r="BH49" s="214">
        <f>IF(AND(($E49+$C$1)&gt;BH$4,BH$4&gt;=$C$1),'General Inputs'!J$11*$H49,IF(AND(($D49+$C$1)&gt;BH$4,BH$4&gt;=$C$1),'General Inputs'!J$11*$G49,0))</f>
        <v>24.438416222249998</v>
      </c>
      <c r="BI49" s="214">
        <f>IF(AND(($E49+$C$1)&gt;BI$4,BI$4&gt;=$C$1),'General Inputs'!K$11*$H49,IF(AND(($D49+$C$1)&gt;BI$4,BI$4&gt;=$C$1),'General Inputs'!K$11*$G49,0))</f>
        <v>24.438416222249998</v>
      </c>
      <c r="BJ49" s="214">
        <f>IF(AND(($E49+$C$1)&gt;BJ$4,BJ$4&gt;=$C$1),'General Inputs'!L$11*$H49,IF(AND(($D49+$C$1)&gt;BJ$4,BJ$4&gt;=$C$1),'General Inputs'!L$11*$G49,0))</f>
        <v>24.438416222249998</v>
      </c>
      <c r="BK49" s="214">
        <f>IF(AND(($E49+$C$1)&gt;BK$4,BK$4&gt;=$C$1),'General Inputs'!M$11*$H49,IF(AND(($D49+$C$1)&gt;BK$4,BK$4&gt;=$C$1),'General Inputs'!M$11*$G49,0))</f>
        <v>24.438416222249998</v>
      </c>
      <c r="BL49" s="214">
        <f>IF(AND(($E49+$C$1)&gt;BL$4,BL$4&gt;=$C$1),'General Inputs'!N$11*$H49,IF(AND(($D49+$C$1)&gt;BL$4,BL$4&gt;=$C$1),'General Inputs'!N$11*$G49,0))</f>
        <v>24.438416222249998</v>
      </c>
      <c r="BM49" s="214">
        <f>IF(AND(($E49+$C$1)&gt;BM$4,BM$4&gt;=$C$1),'General Inputs'!O$11*$H49,IF(AND(($D49+$C$1)&gt;BM$4,BM$4&gt;=$C$1),'General Inputs'!O$11*$G49,0))</f>
        <v>24.438416222249998</v>
      </c>
      <c r="BN49" s="214">
        <f>IF(AND(($E49+$C$1)&gt;BN$4,BN$4&gt;=$C$1),'General Inputs'!P$11*$H49,IF(AND(($D49+$C$1)&gt;BN$4,BN$4&gt;=$C$1),'General Inputs'!P$11*$G49,0))</f>
        <v>24.438416222249998</v>
      </c>
      <c r="BO49" s="214">
        <f>IF(AND(($E49+$C$1)&gt;BO$4,BO$4&gt;=$C$1),'General Inputs'!Q$11*$H49,IF(AND(($D49+$C$1)&gt;BO$4,BO$4&gt;=$C$1),'General Inputs'!Q$11*$G49,0))</f>
        <v>24.438416222249998</v>
      </c>
      <c r="BP49" s="214">
        <f>IF(AND(($E49+$C$1)&gt;BP$4,BP$4&gt;=$C$1),'General Inputs'!R$11*$H49,IF(AND(($D49+$C$1)&gt;BP$4,BP$4&gt;=$C$1),'General Inputs'!R$11*$G49,0))</f>
        <v>24.438416222249998</v>
      </c>
      <c r="BQ49" s="214">
        <f>IF(AND(($E49+$C$1)&gt;BQ$4,BQ$4&gt;=$C$1),'General Inputs'!S$11*$H49,IF(AND(($D49+$C$1)&gt;BQ$4,BQ$4&gt;=$C$1),'General Inputs'!S$11*$G49,0))</f>
        <v>24.438416222249998</v>
      </c>
      <c r="BR49" s="214">
        <f>IF(AND(($E49+$C$1)&gt;BR$4,BR$4&gt;=$C$1),'General Inputs'!T$11*$H49,IF(AND(($D49+$C$1)&gt;BR$4,BR$4&gt;=$C$1),'General Inputs'!T$11*$G49,0))</f>
        <v>24.438416222249998</v>
      </c>
      <c r="BS49" s="214">
        <f>IF(AND(($E49+$C$1)&gt;BS$4,BS$4&gt;=$C$1),'General Inputs'!U$11*$H49,IF(AND(($D49+$C$1)&gt;BS$4,BS$4&gt;=$C$1),'General Inputs'!U$11*$G49,0))</f>
        <v>24.438416222249998</v>
      </c>
      <c r="BT49" s="214">
        <f>IF(AND(($E49+$C$1)&gt;BT$4,BT$4&gt;=$C$1),'General Inputs'!V$11*$H49,IF(AND(($D49+$C$1)&gt;BT$4,BT$4&gt;=$C$1),'General Inputs'!V$11*$G49,0))</f>
        <v>24.438416222249998</v>
      </c>
      <c r="BU49" s="214">
        <f>IF(AND(($E49+$C$1)&gt;BU$4,BU$4&gt;=$C$1),'General Inputs'!W$11*$H49,IF(AND(($D49+$C$1)&gt;BU$4,BU$4&gt;=$C$1),'General Inputs'!W$11*$G49,0))</f>
        <v>24.438416222249998</v>
      </c>
      <c r="BW49" s="214">
        <f>IF(AND(($E49+$C$1)&gt;BW$4,BW$4&gt;=$C$1),$H49,IF(AND(($D49+$C$1)&gt;BW$4,BW$4&gt;=$C$1),$G49,0))*IF($A49="Residential",'General Inputs'!D$14,'General Inputs'!D$19)</f>
        <v>0</v>
      </c>
      <c r="BX49" s="214">
        <f>IF(AND(($E49+$C$1)&gt;BX$4,BX$4&gt;=$C$1),$H49,IF(AND(($D49+$C$1)&gt;BX$4,BX$4&gt;=$C$1),$G49,0))*IF($A49="Residential",'General Inputs'!E$14,'General Inputs'!E$19)</f>
        <v>0</v>
      </c>
      <c r="BY49" s="214">
        <f>IF(AND(($E49+$C$1)&gt;BY$4,BY$4&gt;=$C$1),$H49,IF(AND(($D49+$C$1)&gt;BY$4,BY$4&gt;=$C$1),$G49,0))*IF($A49="Residential",'General Inputs'!F$14,'General Inputs'!F$19)</f>
        <v>230.71656941043656</v>
      </c>
      <c r="BZ49" s="214">
        <f>IF(AND(($E49+$C$1)&gt;BZ$4,BZ$4&gt;=$C$1),$H49,IF(AND(($D49+$C$1)&gt;BZ$4,BZ$4&gt;=$C$1),$G49,0))*IF($A49="Residential",'General Inputs'!G$14,'General Inputs'!G$19)</f>
        <v>234.1773179515931</v>
      </c>
      <c r="CA49" s="214">
        <f>IF(AND(($E49+$C$1)&gt;CA$4,CA$4&gt;=$C$1),$H49,IF(AND(($D49+$C$1)&gt;CA$4,CA$4&gt;=$C$1),$G49,0))*IF($A49="Residential",'General Inputs'!H$14,'General Inputs'!H$19)</f>
        <v>237.68997772086692</v>
      </c>
      <c r="CB49" s="214">
        <f>IF(AND(($E49+$C$1)&gt;CB$4,CB$4&gt;=$C$1),$H49,IF(AND(($D49+$C$1)&gt;CB$4,CB$4&gt;=$C$1),$G49,0))*IF($A49="Residential",'General Inputs'!I$14,'General Inputs'!I$19)</f>
        <v>241.25532738667988</v>
      </c>
      <c r="CC49" s="214">
        <f>IF(AND(($E49+$C$1)&gt;CC$4,CC$4&gt;=$C$1),$H49,IF(AND(($D49+$C$1)&gt;CC$4,CC$4&gt;=$C$1),$G49,0))*IF($A49="Residential",'General Inputs'!J$14,'General Inputs'!J$19)</f>
        <v>244.87415729748008</v>
      </c>
      <c r="CD49" s="214">
        <f>IF(AND(($E49+$C$1)&gt;CD$4,CD$4&gt;=$C$1),$H49,IF(AND(($D49+$C$1)&gt;CD$4,CD$4&gt;=$C$1),$G49,0))*IF($A49="Residential",'General Inputs'!K$14,'General Inputs'!K$19)</f>
        <v>248.54726965694226</v>
      </c>
      <c r="CE49" s="214">
        <f>IF(AND(($E49+$C$1)&gt;CE$4,CE$4&gt;=$C$1),$H49,IF(AND(($D49+$C$1)&gt;CE$4,CE$4&gt;=$C$1),$G49,0))*IF($A49="Residential",'General Inputs'!L$14,'General Inputs'!L$19)</f>
        <v>252.27547870179637</v>
      </c>
      <c r="CF49" s="214">
        <f>IF(AND(($E49+$C$1)&gt;CF$4,CF$4&gt;=$C$1),$H49,IF(AND(($D49+$C$1)&gt;CF$4,CF$4&gt;=$C$1),$G49,0))*IF($A49="Residential",'General Inputs'!M$14,'General Inputs'!M$19)</f>
        <v>256.05961088232328</v>
      </c>
      <c r="CG49" s="214">
        <f>IF(AND(($E49+$C$1)&gt;CG$4,CG$4&gt;=$C$1),$H49,IF(AND(($D49+$C$1)&gt;CG$4,CG$4&gt;=$C$1),$G49,0))*IF($A49="Residential",'General Inputs'!N$14,'General Inputs'!N$19)</f>
        <v>259.90050504555813</v>
      </c>
      <c r="CH49" s="214">
        <f>IF(AND(($E49+$C$1)&gt;CH$4,CH$4&gt;=$C$1),$H49,IF(AND(($D49+$C$1)&gt;CH$4,CH$4&gt;=$C$1),$G49,0))*IF($A49="Residential",'General Inputs'!O$14,'General Inputs'!O$19)</f>
        <v>263.79901262124145</v>
      </c>
      <c r="CI49" s="214">
        <f>IF(AND(($E49+$C$1)&gt;CI$4,CI$4&gt;=$C$1),$H49,IF(AND(($D49+$C$1)&gt;CI$4,CI$4&gt;=$C$1),$G49,0))*IF($A49="Residential",'General Inputs'!P$14,'General Inputs'!P$19)</f>
        <v>267.75599781056007</v>
      </c>
      <c r="CJ49" s="214">
        <f>IF(AND(($E49+$C$1)&gt;CJ$4,CJ$4&gt;=$C$1),$H49,IF(AND(($D49+$C$1)&gt;CJ$4,CJ$4&gt;=$C$1),$G49,0))*IF($A49="Residential",'General Inputs'!Q$14,'General Inputs'!Q$19)</f>
        <v>271.77233777771846</v>
      </c>
      <c r="CK49" s="214">
        <f>IF(AND(($E49+$C$1)&gt;CK$4,CK$4&gt;=$C$1),$H49,IF(AND(($D49+$C$1)&gt;CK$4,CK$4&gt;=$C$1),$G49,0))*IF($A49="Residential",'General Inputs'!R$14,'General Inputs'!R$19)</f>
        <v>275.84892284438416</v>
      </c>
      <c r="CL49" s="214">
        <f>IF(AND(($E49+$C$1)&gt;CL$4,CL$4&gt;=$C$1),$H49,IF(AND(($D49+$C$1)&gt;CL$4,CL$4&gt;=$C$1),$G49,0))*IF($A49="Residential",'General Inputs'!S$14,'General Inputs'!S$19)</f>
        <v>279.9866566870499</v>
      </c>
      <c r="CM49" s="214">
        <f>IF(AND(($E49+$C$1)&gt;CM$4,CM$4&gt;=$C$1),$H49,IF(AND(($D49+$C$1)&gt;CM$4,CM$4&gt;=$C$1),$G49,0))*IF($A49="Residential",'General Inputs'!T$14,'General Inputs'!T$19)</f>
        <v>284.18645653735564</v>
      </c>
      <c r="CN49" s="214">
        <f>IF(AND(($E49+$C$1)&gt;CN$4,CN$4&gt;=$C$1),$H49,IF(AND(($D49+$C$1)&gt;CN$4,CN$4&gt;=$C$1),$G49,0))*IF($A49="Residential",'General Inputs'!U$14,'General Inputs'!U$19)</f>
        <v>288.44925338541594</v>
      </c>
      <c r="CO49" s="214">
        <f>IF(AND(($E49+$C$1)&gt;CO$4,CO$4&gt;=$C$1),$H49,IF(AND(($D49+$C$1)&gt;CO$4,CO$4&gt;=$C$1),$G49,0))*IF($A49="Residential",'General Inputs'!V$14,'General Inputs'!V$19)</f>
        <v>292.77599218619713</v>
      </c>
      <c r="CP49" s="214">
        <f>IF(AND(($E49+$C$1)&gt;CP$4,CP$4&gt;=$C$1),$H49,IF(AND(($D49+$C$1)&gt;CP$4,CP$4&gt;=$C$1),$G49,0))*IF($A49="Residential",'General Inputs'!W$14,'General Inputs'!W$19)</f>
        <v>297.16763206899014</v>
      </c>
      <c r="CR49" s="214">
        <f>IF(AND(($E49+$C$1)&gt;CR$4,CR$4&gt;=$C$1),$H49,IF(AND(($D49+$C$1)&gt;CR$4,CR$4&gt;=$C$1),$G49,0))*IF($A49="Residential",'General Inputs'!D$15,'General Inputs'!D$19)</f>
        <v>0</v>
      </c>
      <c r="CS49" s="214">
        <f>IF(AND(($E49+$C$1)&gt;CS$4,CS$4&gt;=$C$1),$H49,IF(AND(($D49+$C$1)&gt;CS$4,CS$4&gt;=$C$1),$G49,0))*IF($A49="Residential",'General Inputs'!E$15,'General Inputs'!E$19)</f>
        <v>0</v>
      </c>
      <c r="CT49" s="214">
        <f>IF(AND(($E49+$C$1)&gt;CT$4,CT$4&gt;=$C$1),$H49,IF(AND(($D49+$C$1)&gt;CT$4,CT$4&gt;=$C$1),$G49,0))*IF($A49="Residential",'General Inputs'!F$15,'General Inputs'!F$19)</f>
        <v>230.71656941043656</v>
      </c>
      <c r="CU49" s="214">
        <f>IF(AND(($E49+$C$1)&gt;CU$4,CU$4&gt;=$C$1),$H49,IF(AND(($D49+$C$1)&gt;CU$4,CU$4&gt;=$C$1),$G49,0))*IF($A49="Residential",'General Inputs'!G$15,'General Inputs'!G$19)</f>
        <v>234.1773179515931</v>
      </c>
      <c r="CV49" s="214">
        <f>IF(AND(($E49+$C$1)&gt;CV$4,CV$4&gt;=$C$1),$H49,IF(AND(($D49+$C$1)&gt;CV$4,CV$4&gt;=$C$1),$G49,0))*IF($A49="Residential",'General Inputs'!H$15,'General Inputs'!H$19)</f>
        <v>237.68997772086692</v>
      </c>
      <c r="CW49" s="214">
        <f>IF(AND(($E49+$C$1)&gt;CW$4,CW$4&gt;=$C$1),$H49,IF(AND(($D49+$C$1)&gt;CW$4,CW$4&gt;=$C$1),$G49,0))*IF($A49="Residential",'General Inputs'!I$15,'General Inputs'!I$19)</f>
        <v>241.25532738667988</v>
      </c>
      <c r="CX49" s="214">
        <f>IF(AND(($E49+$C$1)&gt;CX$4,CX$4&gt;=$C$1),$H49,IF(AND(($D49+$C$1)&gt;CX$4,CX$4&gt;=$C$1),$G49,0))*IF($A49="Residential",'General Inputs'!J$15,'General Inputs'!J$19)</f>
        <v>244.87415729748008</v>
      </c>
      <c r="CY49" s="214">
        <f>IF(AND(($E49+$C$1)&gt;CY$4,CY$4&gt;=$C$1),$H49,IF(AND(($D49+$C$1)&gt;CY$4,CY$4&gt;=$C$1),$G49,0))*IF($A49="Residential",'General Inputs'!K$15,'General Inputs'!K$19)</f>
        <v>248.54726965694226</v>
      </c>
      <c r="CZ49" s="214">
        <f>IF(AND(($E49+$C$1)&gt;CZ$4,CZ$4&gt;=$C$1),$H49,IF(AND(($D49+$C$1)&gt;CZ$4,CZ$4&gt;=$C$1),$G49,0))*IF($A49="Residential",'General Inputs'!L$15,'General Inputs'!L$19)</f>
        <v>252.27547870179637</v>
      </c>
      <c r="DA49" s="214">
        <f>IF(AND(($E49+$C$1)&gt;DA$4,DA$4&gt;=$C$1),$H49,IF(AND(($D49+$C$1)&gt;DA$4,DA$4&gt;=$C$1),$G49,0))*IF($A49="Residential",'General Inputs'!M$15,'General Inputs'!M$19)</f>
        <v>256.05961088232328</v>
      </c>
      <c r="DB49" s="214">
        <f>IF(AND(($E49+$C$1)&gt;DB$4,DB$4&gt;=$C$1),$H49,IF(AND(($D49+$C$1)&gt;DB$4,DB$4&gt;=$C$1),$G49,0))*IF($A49="Residential",'General Inputs'!N$15,'General Inputs'!N$19)</f>
        <v>259.90050504555813</v>
      </c>
      <c r="DC49" s="214">
        <f>IF(AND(($E49+$C$1)&gt;DC$4,DC$4&gt;=$C$1),$H49,IF(AND(($D49+$C$1)&gt;DC$4,DC$4&gt;=$C$1),$G49,0))*IF($A49="Residential",'General Inputs'!O$15,'General Inputs'!O$19)</f>
        <v>263.79901262124145</v>
      </c>
      <c r="DD49" s="214">
        <f>IF(AND(($E49+$C$1)&gt;DD$4,DD$4&gt;=$C$1),$H49,IF(AND(($D49+$C$1)&gt;DD$4,DD$4&gt;=$C$1),$G49,0))*IF($A49="Residential",'General Inputs'!P$15,'General Inputs'!P$19)</f>
        <v>267.75599781056007</v>
      </c>
      <c r="DE49" s="214">
        <f>IF(AND(($E49+$C$1)&gt;DE$4,DE$4&gt;=$C$1),$H49,IF(AND(($D49+$C$1)&gt;DE$4,DE$4&gt;=$C$1),$G49,0))*IF($A49="Residential",'General Inputs'!Q$15,'General Inputs'!Q$19)</f>
        <v>271.77233777771846</v>
      </c>
      <c r="DF49" s="214">
        <f>IF(AND(($E49+$C$1)&gt;DF$4,DF$4&gt;=$C$1),$H49,IF(AND(($D49+$C$1)&gt;DF$4,DF$4&gt;=$C$1),$G49,0))*IF($A49="Residential",'General Inputs'!R$15,'General Inputs'!R$19)</f>
        <v>275.84892284438416</v>
      </c>
      <c r="DG49" s="214">
        <f>IF(AND(($E49+$C$1)&gt;DG$4,DG$4&gt;=$C$1),$H49,IF(AND(($D49+$C$1)&gt;DG$4,DG$4&gt;=$C$1),$G49,0))*IF($A49="Residential",'General Inputs'!S$15,'General Inputs'!S$19)</f>
        <v>279.9866566870499</v>
      </c>
      <c r="DH49" s="214">
        <f>IF(AND(($E49+$C$1)&gt;DH$4,DH$4&gt;=$C$1),$H49,IF(AND(($D49+$C$1)&gt;DH$4,DH$4&gt;=$C$1),$G49,0))*IF($A49="Residential",'General Inputs'!T$15,'General Inputs'!T$19)</f>
        <v>284.18645653735564</v>
      </c>
      <c r="DI49" s="214">
        <f>IF(AND(($E49+$C$1)&gt;DI$4,DI$4&gt;=$C$1),$H49,IF(AND(($D49+$C$1)&gt;DI$4,DI$4&gt;=$C$1),$G49,0))*IF($A49="Residential",'General Inputs'!U$15,'General Inputs'!U$19)</f>
        <v>288.44925338541594</v>
      </c>
      <c r="DJ49" s="214">
        <f>IF(AND(($E49+$C$1)&gt;DJ$4,DJ$4&gt;=$C$1),$H49,IF(AND(($D49+$C$1)&gt;DJ$4,DJ$4&gt;=$C$1),$G49,0))*IF($A49="Residential",'General Inputs'!V$15,'General Inputs'!V$19)</f>
        <v>292.77599218619713</v>
      </c>
      <c r="DK49" s="214">
        <f>IF(AND(($E49+$C$1)&gt;DK$4,DK$4&gt;=$C$1),$H49,IF(AND(($D49+$C$1)&gt;DK$4,DK$4&gt;=$C$1),$G49,0))*IF($A49="Residential",'General Inputs'!W$15,'General Inputs'!W$19)</f>
        <v>297.16763206899014</v>
      </c>
      <c r="DM49" s="214">
        <f t="shared" si="99"/>
        <v>0</v>
      </c>
      <c r="DN49" s="214">
        <f t="shared" si="99"/>
        <v>0</v>
      </c>
      <c r="DO49" s="214">
        <f t="shared" si="99"/>
        <v>387</v>
      </c>
      <c r="DP49" s="214">
        <f t="shared" si="99"/>
        <v>0</v>
      </c>
      <c r="DQ49" s="214">
        <f t="shared" si="99"/>
        <v>0</v>
      </c>
      <c r="DR49" s="214">
        <f t="shared" si="99"/>
        <v>0</v>
      </c>
      <c r="DS49" s="214">
        <f t="shared" si="99"/>
        <v>0</v>
      </c>
      <c r="DT49" s="214">
        <f t="shared" si="99"/>
        <v>0</v>
      </c>
      <c r="DU49" s="214">
        <f t="shared" si="99"/>
        <v>0</v>
      </c>
      <c r="DV49" s="214">
        <f t="shared" si="99"/>
        <v>0</v>
      </c>
      <c r="DW49" s="214">
        <f t="shared" si="99"/>
        <v>0</v>
      </c>
      <c r="DZ49" s="650"/>
      <c r="FI49" s="195"/>
      <c r="FJ49" s="195"/>
      <c r="FK49" s="195"/>
      <c r="FL49" s="195"/>
      <c r="FM49" s="195"/>
      <c r="FN49" s="195"/>
      <c r="FO49" s="195"/>
    </row>
    <row r="50" spans="1:171">
      <c r="A50" s="342" t="s">
        <v>112</v>
      </c>
      <c r="B50" s="427" t="str">
        <f>'Portfolio Inputs'!A49</f>
        <v>T8 (≤4 ft, 3-4 Lamp)</v>
      </c>
      <c r="C50" s="217">
        <f>IF($C$1=2014,'Portfolio Inputs'!$C49,IF($C$1=2015,'Portfolio Inputs'!$D49,'Portfolio Inputs'!$E49))</f>
        <v>9</v>
      </c>
      <c r="D50" s="504">
        <f>VLOOKUP(B50,Sources!$B$4:$J$104,2,FALSE)</f>
        <v>18</v>
      </c>
      <c r="E50" s="504">
        <f>VLOOKUP(B50,Sources!$B$4:$J$104,3,FALSE)</f>
        <v>0</v>
      </c>
      <c r="G50" s="504">
        <f>IF($C$1=2014,'Portfolio Inputs'!$G49,IF($C$1=2015,'Portfolio Inputs'!$H49,'Portfolio Inputs'!$I49))*EnergyLineLoss</f>
        <v>3294.0098887499994</v>
      </c>
      <c r="H50" s="504"/>
      <c r="I50" s="595">
        <f>IF($C$1=2014,'Portfolio Inputs'!$K49,IF($C$1=2015,'Portfolio Inputs'!$L49,'Portfolio Inputs'!$M49))*PeakLineLoss</f>
        <v>0.50935084199999991</v>
      </c>
      <c r="J50" s="510"/>
      <c r="L50" s="606">
        <f>IF($C$1=2014,'Portfolio Inputs'!$O49,IF($C$1=2015,'Portfolio Inputs'!$P49,'Portfolio Inputs'!$Q49))</f>
        <v>55</v>
      </c>
      <c r="M50" s="518">
        <f>VLOOKUP($B50,Sources!$B$4:$K$104,10,FALSE)</f>
        <v>0</v>
      </c>
      <c r="N50" s="419">
        <f>IF($C$1=2014,'Portfolio Inputs'!$W49,IF($C$1=2015,'Portfolio Inputs'!$X49,'Portfolio Inputs'!$Y49))</f>
        <v>81</v>
      </c>
      <c r="O50" s="419">
        <f>IF($C$1=2014,'Portfolio Inputs'!$AA49,IF($C$1=2015,'Portfolio Inputs'!$AB49,'Portfolio Inputs'!$AC49))</f>
        <v>0</v>
      </c>
      <c r="Q50" s="438">
        <f t="shared" si="67"/>
        <v>3.0639150019672798</v>
      </c>
      <c r="R50" s="439">
        <f t="shared" si="68"/>
        <v>18.723925012022264</v>
      </c>
      <c r="S50" s="439">
        <f t="shared" si="69"/>
        <v>3.7946310170257553</v>
      </c>
      <c r="T50" s="439">
        <f t="shared" si="70"/>
        <v>7.7614299924586314</v>
      </c>
      <c r="U50" s="439">
        <f t="shared" si="98"/>
        <v>7.7614299924586314</v>
      </c>
      <c r="V50" s="439">
        <f t="shared" si="72"/>
        <v>0.39476166182576189</v>
      </c>
      <c r="W50" s="439">
        <f t="shared" si="73"/>
        <v>0.39476166182576189</v>
      </c>
      <c r="Y50" s="215">
        <f t="shared" si="4"/>
        <v>1280.279659886844</v>
      </c>
      <c r="Z50" s="215">
        <f t="shared" si="5"/>
        <v>305.33511883725743</v>
      </c>
      <c r="AA50" s="215">
        <f t="shared" si="6"/>
        <v>3174.7945477447302</v>
      </c>
      <c r="AB50" s="215">
        <f t="shared" si="7"/>
        <v>3174.7945477447302</v>
      </c>
      <c r="AC50" s="216">
        <f t="shared" si="20"/>
        <v>0</v>
      </c>
      <c r="AD50" s="216">
        <f t="shared" si="21"/>
        <v>68.376670973890441</v>
      </c>
      <c r="AE50" s="215">
        <f t="shared" si="8"/>
        <v>417.85743372933047</v>
      </c>
      <c r="AG50" s="214">
        <f>IF(AND(($E50+$C$1)&gt;AG$4,AG$4&gt;=$C$1),'General Inputs'!D$9*$H50,IF(AND(($D50+$C$1)&gt;AG$4,AG$4&gt;=$C$1),'General Inputs'!D$9*$G50,0))+IF(AND(($E50+$C$1)&gt;AG$4,AG$4&gt;=$C$1),'General Inputs'!D$10*$J50,IF(AND(($D50+$C$1)&gt;AG$4,AG$4&gt;=$C$1),'General Inputs'!D$10*$I50,0))</f>
        <v>0</v>
      </c>
      <c r="AH50" s="214">
        <f>IF(AND(($E50+$C$1)&gt;AH$4,AH$4&gt;=$C$1),'General Inputs'!E$9*$H50,IF(AND(($D50+$C$1)&gt;AH$4,AH$4&gt;=$C$1),'General Inputs'!E$9*$G50,0))+IF(AND(($E50+$C$1)&gt;AH$4,AH$4&gt;=$C$1),'General Inputs'!E$10*$J50,IF(AND(($D50+$C$1)&gt;AH$4,AH$4&gt;=$C$1),'General Inputs'!E$10*$I50,0))</f>
        <v>0</v>
      </c>
      <c r="AI50" s="214">
        <f>IF(AND(($E50+$C$1)&gt;AI$4,AI$4&gt;=$C$1),'General Inputs'!F$9*$H50,IF(AND(($D50+$C$1)&gt;AI$4,AI$4&gt;=$C$1),'General Inputs'!F$9*$G50,0))+IF(AND(($E50+$C$1)&gt;AI$4,AI$4&gt;=$C$1),'General Inputs'!F$10*$J50,IF(AND(($D50+$C$1)&gt;AI$4,AI$4&gt;=$C$1),'General Inputs'!F$10*$I50,0))</f>
        <v>142.96334405030191</v>
      </c>
      <c r="AJ50" s="214">
        <f>IF(AND(($E50+$C$1)&gt;AJ$4,AJ$4&gt;=$C$1),'General Inputs'!G$9*$H50,IF(AND(($D50+$C$1)&gt;AJ$4,AJ$4&gt;=$C$1),'General Inputs'!G$9*$G50,0))+IF(AND(($E50+$C$1)&gt;AJ$4,AJ$4&gt;=$C$1),'General Inputs'!G$10*$J50,IF(AND(($D50+$C$1)&gt;AJ$4,AJ$4&gt;=$C$1),'General Inputs'!G$10*$I50,0))</f>
        <v>145.10779421105644</v>
      </c>
      <c r="AK50" s="214">
        <f>IF(AND(($E50+$C$1)&gt;AK$4,AK$4&gt;=$C$1),'General Inputs'!H$9*$H50,IF(AND(($D50+$C$1)&gt;AK$4,AK$4&gt;=$C$1),'General Inputs'!H$9*$G50,0))+IF(AND(($E50+$C$1)&gt;AK$4,AK$4&gt;=$C$1),'General Inputs'!H$10*$J50,IF(AND(($D50+$C$1)&gt;AK$4,AK$4&gt;=$C$1),'General Inputs'!H$10*$I50,0))</f>
        <v>147.28441112422229</v>
      </c>
      <c r="AL50" s="214">
        <f>IF(AND(($E50+$C$1)&gt;AL$4,AL$4&gt;=$C$1),'General Inputs'!I$9*$H50,IF(AND(($D50+$C$1)&gt;AL$4,AL$4&gt;=$C$1),'General Inputs'!I$9*$G50,0))+IF(AND(($E50+$C$1)&gt;AL$4,AL$4&gt;=$C$1),'General Inputs'!I$10*$J50,IF(AND(($D50+$C$1)&gt;AL$4,AL$4&gt;=$C$1),'General Inputs'!I$10*$I50,0))</f>
        <v>149.49367729108559</v>
      </c>
      <c r="AM50" s="214">
        <f>IF(AND(($E50+$C$1)&gt;AM$4,AM$4&gt;=$C$1),'General Inputs'!J$9*$H50,IF(AND(($D50+$C$1)&gt;AM$4,AM$4&gt;=$C$1),'General Inputs'!J$9*$G50,0))+IF(AND(($E50+$C$1)&gt;AM$4,AM$4&gt;=$C$1),'General Inputs'!J$10*$J50,IF(AND(($D50+$C$1)&gt;AM$4,AM$4&gt;=$C$1),'General Inputs'!J$10*$I50,0))</f>
        <v>151.73608245045185</v>
      </c>
      <c r="AN50" s="214">
        <f>IF(AND(($E50+$C$1)&gt;AN$4,AN$4&gt;=$C$1),'General Inputs'!K$9*$H50,IF(AND(($D50+$C$1)&gt;AN$4,AN$4&gt;=$C$1),'General Inputs'!K$9*$G50,0))+IF(AND(($E50+$C$1)&gt;AN$4,AN$4&gt;=$C$1),'General Inputs'!K$10*$J50,IF(AND(($D50+$C$1)&gt;AN$4,AN$4&gt;=$C$1),'General Inputs'!K$10*$I50,0))</f>
        <v>154.0121236872086</v>
      </c>
      <c r="AO50" s="214">
        <f>IF(AND(($E50+$C$1)&gt;AO$4,AO$4&gt;=$C$1),'General Inputs'!L$9*$H50,IF(AND(($D50+$C$1)&gt;AO$4,AO$4&gt;=$C$1),'General Inputs'!L$9*$G50,0))+IF(AND(($E50+$C$1)&gt;AO$4,AO$4&gt;=$C$1),'General Inputs'!L$10*$J50,IF(AND(($D50+$C$1)&gt;AO$4,AO$4&gt;=$C$1),'General Inputs'!L$10*$I50,0))</f>
        <v>156.32230554251669</v>
      </c>
      <c r="AP50" s="214">
        <f>IF(AND(($E50+$C$1)&gt;AP$4,AP$4&gt;=$C$1),'General Inputs'!M$9*$H50,IF(AND(($D50+$C$1)&gt;AP$4,AP$4&gt;=$C$1),'General Inputs'!M$9*$G50,0))+IF(AND(($E50+$C$1)&gt;AP$4,AP$4&gt;=$C$1),'General Inputs'!M$10*$J50,IF(AND(($D50+$C$1)&gt;AP$4,AP$4&gt;=$C$1),'General Inputs'!M$10*$I50,0))</f>
        <v>158.66714012565444</v>
      </c>
      <c r="AQ50" s="214">
        <f>IF(AND(($E50+$C$1)&gt;AQ$4,AQ$4&gt;=$C$1),'General Inputs'!N$9*$H50,IF(AND(($D50+$C$1)&gt;AQ$4,AQ$4&gt;=$C$1),'General Inputs'!N$9*$G50,0))+IF(AND(($E50+$C$1)&gt;AQ$4,AQ$4&gt;=$C$1),'General Inputs'!N$10*$J50,IF(AND(($D50+$C$1)&gt;AQ$4,AQ$4&gt;=$C$1),'General Inputs'!N$10*$I50,0))</f>
        <v>161.04714722753926</v>
      </c>
      <c r="AR50" s="214">
        <f>IF(AND(($E50+$C$1)&gt;AR$4,AR$4&gt;=$C$1),'General Inputs'!O$9*$H50,IF(AND(($D50+$C$1)&gt;AR$4,AR$4&gt;=$C$1),'General Inputs'!O$9*$G50,0))+IF(AND(($E50+$C$1)&gt;AR$4,AR$4&gt;=$C$1),'General Inputs'!O$10*$J50,IF(AND(($D50+$C$1)&gt;AR$4,AR$4&gt;=$C$1),'General Inputs'!O$10*$I50,0))</f>
        <v>163.46285443595232</v>
      </c>
      <c r="AS50" s="214">
        <f>IF(AND(($E50+$C$1)&gt;AS$4,AS$4&gt;=$C$1),'General Inputs'!P$9*$H50,IF(AND(($D50+$C$1)&gt;AS$4,AS$4&gt;=$C$1),'General Inputs'!P$9*$G50,0))+IF(AND(($E50+$C$1)&gt;AS$4,AS$4&gt;=$C$1),'General Inputs'!P$10*$J50,IF(AND(($D50+$C$1)&gt;AS$4,AS$4&gt;=$C$1),'General Inputs'!P$10*$I50,0))</f>
        <v>165.91479725249158</v>
      </c>
      <c r="AT50" s="214">
        <f>IF(AND(($E50+$C$1)&gt;AT$4,AT$4&gt;=$C$1),'General Inputs'!Q$9*$H50,IF(AND(($D50+$C$1)&gt;AT$4,AT$4&gt;=$C$1),'General Inputs'!Q$9*$G50,0))+IF(AND(($E50+$C$1)&gt;AT$4,AT$4&gt;=$C$1),'General Inputs'!Q$10*$J50,IF(AND(($D50+$C$1)&gt;AT$4,AT$4&gt;=$C$1),'General Inputs'!Q$10*$I50,0))</f>
        <v>168.40351921127893</v>
      </c>
      <c r="AU50" s="214">
        <f>IF(AND(($E50+$C$1)&gt;AU$4,AU$4&gt;=$C$1),'General Inputs'!R$9*$H50,IF(AND(($D50+$C$1)&gt;AU$4,AU$4&gt;=$C$1),'General Inputs'!R$9*$G50,0))+IF(AND(($E50+$C$1)&gt;AU$4,AU$4&gt;=$C$1),'General Inputs'!R$10*$J50,IF(AND(($D50+$C$1)&gt;AU$4,AU$4&gt;=$C$1),'General Inputs'!R$10*$I50,0))</f>
        <v>170.92957199944811</v>
      </c>
      <c r="AV50" s="214">
        <f>IF(AND(($E50+$C$1)&gt;AV$4,AV$4&gt;=$C$1),'General Inputs'!S$9*$H50,IF(AND(($D50+$C$1)&gt;AV$4,AV$4&gt;=$C$1),'General Inputs'!S$9*$G50,0))+IF(AND(($E50+$C$1)&gt;AV$4,AV$4&gt;=$C$1),'General Inputs'!S$10*$J50,IF(AND(($D50+$C$1)&gt;AV$4,AV$4&gt;=$C$1),'General Inputs'!S$10*$I50,0))</f>
        <v>173.49351557943982</v>
      </c>
      <c r="AW50" s="214">
        <f>IF(AND(($E50+$C$1)&gt;AW$4,AW$4&gt;=$C$1),'General Inputs'!T$9*$H50,IF(AND(($D50+$C$1)&gt;AW$4,AW$4&gt;=$C$1),'General Inputs'!T$9*$G50,0))+IF(AND(($E50+$C$1)&gt;AW$4,AW$4&gt;=$C$1),'General Inputs'!T$10*$J50,IF(AND(($D50+$C$1)&gt;AW$4,AW$4&gt;=$C$1),'General Inputs'!T$10*$I50,0))</f>
        <v>176.09591831313142</v>
      </c>
      <c r="AX50" s="214">
        <f>IF(AND(($E50+$C$1)&gt;AX$4,AX$4&gt;=$C$1),'General Inputs'!U$9*$H50,IF(AND(($D50+$C$1)&gt;AX$4,AX$4&gt;=$C$1),'General Inputs'!U$9*$G50,0))+IF(AND(($E50+$C$1)&gt;AX$4,AX$4&gt;=$C$1),'General Inputs'!U$10*$J50,IF(AND(($D50+$C$1)&gt;AX$4,AX$4&gt;=$C$1),'General Inputs'!U$10*$I50,0))</f>
        <v>178.73735708782837</v>
      </c>
      <c r="AY50" s="214">
        <f>IF(AND(($E50+$C$1)&gt;AY$4,AY$4&gt;=$C$1),'General Inputs'!V$9*$H50,IF(AND(($D50+$C$1)&gt;AY$4,AY$4&gt;=$C$1),'General Inputs'!V$9*$G50,0))+IF(AND(($E50+$C$1)&gt;AY$4,AY$4&gt;=$C$1),'General Inputs'!V$10*$J50,IF(AND(($D50+$C$1)&gt;AY$4,AY$4&gt;=$C$1),'General Inputs'!V$10*$I50,0))</f>
        <v>181.4184174441458</v>
      </c>
      <c r="AZ50" s="214">
        <f>IF(AND(($E50+$C$1)&gt;AZ$4,AZ$4&gt;=$C$1),'General Inputs'!W$9*$H50,IF(AND(($D50+$C$1)&gt;AZ$4,AZ$4&gt;=$C$1),'General Inputs'!W$9*$G50,0))+IF(AND(($E50+$C$1)&gt;AZ$4,AZ$4&gt;=$C$1),'General Inputs'!W$10*$J50,IF(AND(($D50+$C$1)&gt;AZ$4,AZ$4&gt;=$C$1),'General Inputs'!W$10*$I50,0))</f>
        <v>184.13969370580796</v>
      </c>
      <c r="BB50" s="214">
        <f>IF(AND(($E50+$C$1)&gt;BB$4,BB$4&gt;=$C$1),'General Inputs'!D$11*$H50,IF(AND(($D50+$C$1)&gt;BB$4,BB$4&gt;=$C$1),'General Inputs'!D$11*$G50,0))</f>
        <v>0</v>
      </c>
      <c r="BC50" s="214">
        <f>IF(AND(($E50+$C$1)&gt;BC$4,BC$4&gt;=$C$1),'General Inputs'!E$11*$H50,IF(AND(($D50+$C$1)&gt;BC$4,BC$4&gt;=$C$1),'General Inputs'!E$11*$G50,0))</f>
        <v>0</v>
      </c>
      <c r="BD50" s="214">
        <f>IF(AND(($E50+$C$1)&gt;BD$4,BD$4&gt;=$C$1),'General Inputs'!F$11*$H50,IF(AND(($D50+$C$1)&gt;BD$4,BD$4&gt;=$C$1),'General Inputs'!F$11*$G50,0))</f>
        <v>37.551712731749994</v>
      </c>
      <c r="BE50" s="214">
        <f>IF(AND(($E50+$C$1)&gt;BE$4,BE$4&gt;=$C$1),'General Inputs'!G$11*$H50,IF(AND(($D50+$C$1)&gt;BE$4,BE$4&gt;=$C$1),'General Inputs'!G$11*$G50,0))</f>
        <v>37.551712731749994</v>
      </c>
      <c r="BF50" s="214">
        <f>IF(AND(($E50+$C$1)&gt;BF$4,BF$4&gt;=$C$1),'General Inputs'!H$11*$H50,IF(AND(($D50+$C$1)&gt;BF$4,BF$4&gt;=$C$1),'General Inputs'!H$11*$G50,0))</f>
        <v>37.551712731749994</v>
      </c>
      <c r="BG50" s="214">
        <f>IF(AND(($E50+$C$1)&gt;BG$4,BG$4&gt;=$C$1),'General Inputs'!I$11*$H50,IF(AND(($D50+$C$1)&gt;BG$4,BG$4&gt;=$C$1),'General Inputs'!I$11*$G50,0))</f>
        <v>37.551712731749994</v>
      </c>
      <c r="BH50" s="214">
        <f>IF(AND(($E50+$C$1)&gt;BH$4,BH$4&gt;=$C$1),'General Inputs'!J$11*$H50,IF(AND(($D50+$C$1)&gt;BH$4,BH$4&gt;=$C$1),'General Inputs'!J$11*$G50,0))</f>
        <v>37.551712731749994</v>
      </c>
      <c r="BI50" s="214">
        <f>IF(AND(($E50+$C$1)&gt;BI$4,BI$4&gt;=$C$1),'General Inputs'!K$11*$H50,IF(AND(($D50+$C$1)&gt;BI$4,BI$4&gt;=$C$1),'General Inputs'!K$11*$G50,0))</f>
        <v>37.551712731749994</v>
      </c>
      <c r="BJ50" s="214">
        <f>IF(AND(($E50+$C$1)&gt;BJ$4,BJ$4&gt;=$C$1),'General Inputs'!L$11*$H50,IF(AND(($D50+$C$1)&gt;BJ$4,BJ$4&gt;=$C$1),'General Inputs'!L$11*$G50,0))</f>
        <v>37.551712731749994</v>
      </c>
      <c r="BK50" s="214">
        <f>IF(AND(($E50+$C$1)&gt;BK$4,BK$4&gt;=$C$1),'General Inputs'!M$11*$H50,IF(AND(($D50+$C$1)&gt;BK$4,BK$4&gt;=$C$1),'General Inputs'!M$11*$G50,0))</f>
        <v>37.551712731749994</v>
      </c>
      <c r="BL50" s="214">
        <f>IF(AND(($E50+$C$1)&gt;BL$4,BL$4&gt;=$C$1),'General Inputs'!N$11*$H50,IF(AND(($D50+$C$1)&gt;BL$4,BL$4&gt;=$C$1),'General Inputs'!N$11*$G50,0))</f>
        <v>37.551712731749994</v>
      </c>
      <c r="BM50" s="214">
        <f>IF(AND(($E50+$C$1)&gt;BM$4,BM$4&gt;=$C$1),'General Inputs'!O$11*$H50,IF(AND(($D50+$C$1)&gt;BM$4,BM$4&gt;=$C$1),'General Inputs'!O$11*$G50,0))</f>
        <v>37.551712731749994</v>
      </c>
      <c r="BN50" s="214">
        <f>IF(AND(($E50+$C$1)&gt;BN$4,BN$4&gt;=$C$1),'General Inputs'!P$11*$H50,IF(AND(($D50+$C$1)&gt;BN$4,BN$4&gt;=$C$1),'General Inputs'!P$11*$G50,0))</f>
        <v>37.551712731749994</v>
      </c>
      <c r="BO50" s="214">
        <f>IF(AND(($E50+$C$1)&gt;BO$4,BO$4&gt;=$C$1),'General Inputs'!Q$11*$H50,IF(AND(($D50+$C$1)&gt;BO$4,BO$4&gt;=$C$1),'General Inputs'!Q$11*$G50,0))</f>
        <v>37.551712731749994</v>
      </c>
      <c r="BP50" s="214">
        <f>IF(AND(($E50+$C$1)&gt;BP$4,BP$4&gt;=$C$1),'General Inputs'!R$11*$H50,IF(AND(($D50+$C$1)&gt;BP$4,BP$4&gt;=$C$1),'General Inputs'!R$11*$G50,0))</f>
        <v>37.551712731749994</v>
      </c>
      <c r="BQ50" s="214">
        <f>IF(AND(($E50+$C$1)&gt;BQ$4,BQ$4&gt;=$C$1),'General Inputs'!S$11*$H50,IF(AND(($D50+$C$1)&gt;BQ$4,BQ$4&gt;=$C$1),'General Inputs'!S$11*$G50,0))</f>
        <v>37.551712731749994</v>
      </c>
      <c r="BR50" s="214">
        <f>IF(AND(($E50+$C$1)&gt;BR$4,BR$4&gt;=$C$1),'General Inputs'!T$11*$H50,IF(AND(($D50+$C$1)&gt;BR$4,BR$4&gt;=$C$1),'General Inputs'!T$11*$G50,0))</f>
        <v>37.551712731749994</v>
      </c>
      <c r="BS50" s="214">
        <f>IF(AND(($E50+$C$1)&gt;BS$4,BS$4&gt;=$C$1),'General Inputs'!U$11*$H50,IF(AND(($D50+$C$1)&gt;BS$4,BS$4&gt;=$C$1),'General Inputs'!U$11*$G50,0))</f>
        <v>37.551712731749994</v>
      </c>
      <c r="BT50" s="214">
        <f>IF(AND(($E50+$C$1)&gt;BT$4,BT$4&gt;=$C$1),'General Inputs'!V$11*$H50,IF(AND(($D50+$C$1)&gt;BT$4,BT$4&gt;=$C$1),'General Inputs'!V$11*$G50,0))</f>
        <v>37.551712731749994</v>
      </c>
      <c r="BU50" s="214">
        <f>IF(AND(($E50+$C$1)&gt;BU$4,BU$4&gt;=$C$1),'General Inputs'!W$11*$H50,IF(AND(($D50+$C$1)&gt;BU$4,BU$4&gt;=$C$1),'General Inputs'!W$11*$G50,0))</f>
        <v>37.551712731749994</v>
      </c>
      <c r="BW50" s="214">
        <f>IF(AND(($E50+$C$1)&gt;BW$4,BW$4&gt;=$C$1),$H50,IF(AND(($D50+$C$1)&gt;BW$4,BW$4&gt;=$C$1),$G50,0))*IF($A50="Residential",'General Inputs'!D$14,'General Inputs'!D$19)</f>
        <v>0</v>
      </c>
      <c r="BX50" s="214">
        <f>IF(AND(($E50+$C$1)&gt;BX$4,BX$4&gt;=$C$1),$H50,IF(AND(($D50+$C$1)&gt;BX$4,BX$4&gt;=$C$1),$G50,0))*IF($A50="Residential",'General Inputs'!E$14,'General Inputs'!E$19)</f>
        <v>0</v>
      </c>
      <c r="BY50" s="214">
        <f>IF(AND(($E50+$C$1)&gt;BY$4,BY$4&gt;=$C$1),$H50,IF(AND(($D50+$C$1)&gt;BY$4,BY$4&gt;=$C$1),$G50,0))*IF($A50="Residential",'General Inputs'!F$14,'General Inputs'!F$19)</f>
        <v>354.51570421603662</v>
      </c>
      <c r="BZ50" s="214">
        <f>IF(AND(($E50+$C$1)&gt;BZ$4,BZ$4&gt;=$C$1),$H50,IF(AND(($D50+$C$1)&gt;BZ$4,BZ$4&gt;=$C$1),$G50,0))*IF($A50="Residential",'General Inputs'!G$14,'General Inputs'!G$19)</f>
        <v>359.83343977927717</v>
      </c>
      <c r="CA50" s="214">
        <f>IF(AND(($E50+$C$1)&gt;CA$4,CA$4&gt;=$C$1),$H50,IF(AND(($D50+$C$1)&gt;CA$4,CA$4&gt;=$C$1),$G50,0))*IF($A50="Residential",'General Inputs'!H$14,'General Inputs'!H$19)</f>
        <v>365.23094137596621</v>
      </c>
      <c r="CB50" s="214">
        <f>IF(AND(($E50+$C$1)&gt;CB$4,CB$4&gt;=$C$1),$H50,IF(AND(($D50+$C$1)&gt;CB$4,CB$4&gt;=$C$1),$G50,0))*IF($A50="Residential",'General Inputs'!I$14,'General Inputs'!I$19)</f>
        <v>370.70940549660565</v>
      </c>
      <c r="CC50" s="214">
        <f>IF(AND(($E50+$C$1)&gt;CC$4,CC$4&gt;=$C$1),$H50,IF(AND(($D50+$C$1)&gt;CC$4,CC$4&gt;=$C$1),$G50,0))*IF($A50="Residential",'General Inputs'!J$14,'General Inputs'!J$19)</f>
        <v>376.27004657905474</v>
      </c>
      <c r="CD50" s="214">
        <f>IF(AND(($E50+$C$1)&gt;CD$4,CD$4&gt;=$C$1),$H50,IF(AND(($D50+$C$1)&gt;CD$4,CD$4&gt;=$C$1),$G50,0))*IF($A50="Residential",'General Inputs'!K$14,'General Inputs'!K$19)</f>
        <v>381.9140972777405</v>
      </c>
      <c r="CE50" s="214">
        <f>IF(AND(($E50+$C$1)&gt;CE$4,CE$4&gt;=$C$1),$H50,IF(AND(($D50+$C$1)&gt;CE$4,CE$4&gt;=$C$1),$G50,0))*IF($A50="Residential",'General Inputs'!L$14,'General Inputs'!L$19)</f>
        <v>387.6428087369066</v>
      </c>
      <c r="CF50" s="214">
        <f>IF(AND(($E50+$C$1)&gt;CF$4,CF$4&gt;=$C$1),$H50,IF(AND(($D50+$C$1)&gt;CF$4,CF$4&gt;=$C$1),$G50,0))*IF($A50="Residential",'General Inputs'!M$14,'General Inputs'!M$19)</f>
        <v>393.45745086796012</v>
      </c>
      <c r="CG50" s="214">
        <f>IF(AND(($E50+$C$1)&gt;CG$4,CG$4&gt;=$C$1),$H50,IF(AND(($D50+$C$1)&gt;CG$4,CG$4&gt;=$C$1),$G50,0))*IF($A50="Residential",'General Inputs'!N$14,'General Inputs'!N$19)</f>
        <v>399.3593126309795</v>
      </c>
      <c r="CH50" s="214">
        <f>IF(AND(($E50+$C$1)&gt;CH$4,CH$4&gt;=$C$1),$H50,IF(AND(($D50+$C$1)&gt;CH$4,CH$4&gt;=$C$1),$G50,0))*IF($A50="Residential",'General Inputs'!O$14,'General Inputs'!O$19)</f>
        <v>405.34970232044412</v>
      </c>
      <c r="CI50" s="214">
        <f>IF(AND(($E50+$C$1)&gt;CI$4,CI$4&gt;=$C$1),$H50,IF(AND(($D50+$C$1)&gt;CI$4,CI$4&gt;=$C$1),$G50,0))*IF($A50="Residential",'General Inputs'!P$14,'General Inputs'!P$19)</f>
        <v>411.42994785525082</v>
      </c>
      <c r="CJ50" s="214">
        <f>IF(AND(($E50+$C$1)&gt;CJ$4,CJ$4&gt;=$C$1),$H50,IF(AND(($D50+$C$1)&gt;CJ$4,CJ$4&gt;=$C$1),$G50,0))*IF($A50="Residential",'General Inputs'!Q$14,'General Inputs'!Q$19)</f>
        <v>417.60139707307951</v>
      </c>
      <c r="CK50" s="214">
        <f>IF(AND(($E50+$C$1)&gt;CK$4,CK$4&gt;=$C$1),$H50,IF(AND(($D50+$C$1)&gt;CK$4,CK$4&gt;=$C$1),$G50,0))*IF($A50="Residential",'General Inputs'!R$14,'General Inputs'!R$19)</f>
        <v>423.86541802917566</v>
      </c>
      <c r="CL50" s="214">
        <f>IF(AND(($E50+$C$1)&gt;CL$4,CL$4&gt;=$C$1),$H50,IF(AND(($D50+$C$1)&gt;CL$4,CL$4&gt;=$C$1),$G50,0))*IF($A50="Residential",'General Inputs'!S$14,'General Inputs'!S$19)</f>
        <v>430.22339929961328</v>
      </c>
      <c r="CM50" s="214">
        <f>IF(AND(($E50+$C$1)&gt;CM$4,CM$4&gt;=$C$1),$H50,IF(AND(($D50+$C$1)&gt;CM$4,CM$4&gt;=$C$1),$G50,0))*IF($A50="Residential",'General Inputs'!T$14,'General Inputs'!T$19)</f>
        <v>436.67675028910742</v>
      </c>
      <c r="CN50" s="214">
        <f>IF(AND(($E50+$C$1)&gt;CN$4,CN$4&gt;=$C$1),$H50,IF(AND(($D50+$C$1)&gt;CN$4,CN$4&gt;=$C$1),$G50,0))*IF($A50="Residential",'General Inputs'!U$14,'General Inputs'!U$19)</f>
        <v>443.22690154344394</v>
      </c>
      <c r="CO50" s="214">
        <f>IF(AND(($E50+$C$1)&gt;CO$4,CO$4&gt;=$C$1),$H50,IF(AND(($D50+$C$1)&gt;CO$4,CO$4&gt;=$C$1),$G50,0))*IF($A50="Residential",'General Inputs'!V$14,'General Inputs'!V$19)</f>
        <v>449.87530506659556</v>
      </c>
      <c r="CP50" s="214">
        <f>IF(AND(($E50+$C$1)&gt;CP$4,CP$4&gt;=$C$1),$H50,IF(AND(($D50+$C$1)&gt;CP$4,CP$4&gt;=$C$1),$G50,0))*IF($A50="Residential",'General Inputs'!W$14,'General Inputs'!W$19)</f>
        <v>456.62343464259453</v>
      </c>
      <c r="CR50" s="214">
        <f>IF(AND(($E50+$C$1)&gt;CR$4,CR$4&gt;=$C$1),$H50,IF(AND(($D50+$C$1)&gt;CR$4,CR$4&gt;=$C$1),$G50,0))*IF($A50="Residential",'General Inputs'!D$15,'General Inputs'!D$19)</f>
        <v>0</v>
      </c>
      <c r="CS50" s="214">
        <f>IF(AND(($E50+$C$1)&gt;CS$4,CS$4&gt;=$C$1),$H50,IF(AND(($D50+$C$1)&gt;CS$4,CS$4&gt;=$C$1),$G50,0))*IF($A50="Residential",'General Inputs'!E$15,'General Inputs'!E$19)</f>
        <v>0</v>
      </c>
      <c r="CT50" s="214">
        <f>IF(AND(($E50+$C$1)&gt;CT$4,CT$4&gt;=$C$1),$H50,IF(AND(($D50+$C$1)&gt;CT$4,CT$4&gt;=$C$1),$G50,0))*IF($A50="Residential",'General Inputs'!F$15,'General Inputs'!F$19)</f>
        <v>354.51570421603662</v>
      </c>
      <c r="CU50" s="214">
        <f>IF(AND(($E50+$C$1)&gt;CU$4,CU$4&gt;=$C$1),$H50,IF(AND(($D50+$C$1)&gt;CU$4,CU$4&gt;=$C$1),$G50,0))*IF($A50="Residential",'General Inputs'!G$15,'General Inputs'!G$19)</f>
        <v>359.83343977927717</v>
      </c>
      <c r="CV50" s="214">
        <f>IF(AND(($E50+$C$1)&gt;CV$4,CV$4&gt;=$C$1),$H50,IF(AND(($D50+$C$1)&gt;CV$4,CV$4&gt;=$C$1),$G50,0))*IF($A50="Residential",'General Inputs'!H$15,'General Inputs'!H$19)</f>
        <v>365.23094137596621</v>
      </c>
      <c r="CW50" s="214">
        <f>IF(AND(($E50+$C$1)&gt;CW$4,CW$4&gt;=$C$1),$H50,IF(AND(($D50+$C$1)&gt;CW$4,CW$4&gt;=$C$1),$G50,0))*IF($A50="Residential",'General Inputs'!I$15,'General Inputs'!I$19)</f>
        <v>370.70940549660565</v>
      </c>
      <c r="CX50" s="214">
        <f>IF(AND(($E50+$C$1)&gt;CX$4,CX$4&gt;=$C$1),$H50,IF(AND(($D50+$C$1)&gt;CX$4,CX$4&gt;=$C$1),$G50,0))*IF($A50="Residential",'General Inputs'!J$15,'General Inputs'!J$19)</f>
        <v>376.27004657905474</v>
      </c>
      <c r="CY50" s="214">
        <f>IF(AND(($E50+$C$1)&gt;CY$4,CY$4&gt;=$C$1),$H50,IF(AND(($D50+$C$1)&gt;CY$4,CY$4&gt;=$C$1),$G50,0))*IF($A50="Residential",'General Inputs'!K$15,'General Inputs'!K$19)</f>
        <v>381.9140972777405</v>
      </c>
      <c r="CZ50" s="214">
        <f>IF(AND(($E50+$C$1)&gt;CZ$4,CZ$4&gt;=$C$1),$H50,IF(AND(($D50+$C$1)&gt;CZ$4,CZ$4&gt;=$C$1),$G50,0))*IF($A50="Residential",'General Inputs'!L$15,'General Inputs'!L$19)</f>
        <v>387.6428087369066</v>
      </c>
      <c r="DA50" s="214">
        <f>IF(AND(($E50+$C$1)&gt;DA$4,DA$4&gt;=$C$1),$H50,IF(AND(($D50+$C$1)&gt;DA$4,DA$4&gt;=$C$1),$G50,0))*IF($A50="Residential",'General Inputs'!M$15,'General Inputs'!M$19)</f>
        <v>393.45745086796012</v>
      </c>
      <c r="DB50" s="214">
        <f>IF(AND(($E50+$C$1)&gt;DB$4,DB$4&gt;=$C$1),$H50,IF(AND(($D50+$C$1)&gt;DB$4,DB$4&gt;=$C$1),$G50,0))*IF($A50="Residential",'General Inputs'!N$15,'General Inputs'!N$19)</f>
        <v>399.3593126309795</v>
      </c>
      <c r="DC50" s="214">
        <f>IF(AND(($E50+$C$1)&gt;DC$4,DC$4&gt;=$C$1),$H50,IF(AND(($D50+$C$1)&gt;DC$4,DC$4&gt;=$C$1),$G50,0))*IF($A50="Residential",'General Inputs'!O$15,'General Inputs'!O$19)</f>
        <v>405.34970232044412</v>
      </c>
      <c r="DD50" s="214">
        <f>IF(AND(($E50+$C$1)&gt;DD$4,DD$4&gt;=$C$1),$H50,IF(AND(($D50+$C$1)&gt;DD$4,DD$4&gt;=$C$1),$G50,0))*IF($A50="Residential",'General Inputs'!P$15,'General Inputs'!P$19)</f>
        <v>411.42994785525082</v>
      </c>
      <c r="DE50" s="214">
        <f>IF(AND(($E50+$C$1)&gt;DE$4,DE$4&gt;=$C$1),$H50,IF(AND(($D50+$C$1)&gt;DE$4,DE$4&gt;=$C$1),$G50,0))*IF($A50="Residential",'General Inputs'!Q$15,'General Inputs'!Q$19)</f>
        <v>417.60139707307951</v>
      </c>
      <c r="DF50" s="214">
        <f>IF(AND(($E50+$C$1)&gt;DF$4,DF$4&gt;=$C$1),$H50,IF(AND(($D50+$C$1)&gt;DF$4,DF$4&gt;=$C$1),$G50,0))*IF($A50="Residential",'General Inputs'!R$15,'General Inputs'!R$19)</f>
        <v>423.86541802917566</v>
      </c>
      <c r="DG50" s="214">
        <f>IF(AND(($E50+$C$1)&gt;DG$4,DG$4&gt;=$C$1),$H50,IF(AND(($D50+$C$1)&gt;DG$4,DG$4&gt;=$C$1),$G50,0))*IF($A50="Residential",'General Inputs'!S$15,'General Inputs'!S$19)</f>
        <v>430.22339929961328</v>
      </c>
      <c r="DH50" s="214">
        <f>IF(AND(($E50+$C$1)&gt;DH$4,DH$4&gt;=$C$1),$H50,IF(AND(($D50+$C$1)&gt;DH$4,DH$4&gt;=$C$1),$G50,0))*IF($A50="Residential",'General Inputs'!T$15,'General Inputs'!T$19)</f>
        <v>436.67675028910742</v>
      </c>
      <c r="DI50" s="214">
        <f>IF(AND(($E50+$C$1)&gt;DI$4,DI$4&gt;=$C$1),$H50,IF(AND(($D50+$C$1)&gt;DI$4,DI$4&gt;=$C$1),$G50,0))*IF($A50="Residential",'General Inputs'!U$15,'General Inputs'!U$19)</f>
        <v>443.22690154344394</v>
      </c>
      <c r="DJ50" s="214">
        <f>IF(AND(($E50+$C$1)&gt;DJ$4,DJ$4&gt;=$C$1),$H50,IF(AND(($D50+$C$1)&gt;DJ$4,DJ$4&gt;=$C$1),$G50,0))*IF($A50="Residential",'General Inputs'!V$15,'General Inputs'!V$19)</f>
        <v>449.87530506659556</v>
      </c>
      <c r="DK50" s="214">
        <f>IF(AND(($E50+$C$1)&gt;DK$4,DK$4&gt;=$C$1),$H50,IF(AND(($D50+$C$1)&gt;DK$4,DK$4&gt;=$C$1),$G50,0))*IF($A50="Residential",'General Inputs'!W$15,'General Inputs'!W$19)</f>
        <v>456.62343464259453</v>
      </c>
      <c r="DM50" s="214">
        <f t="shared" si="99"/>
        <v>0</v>
      </c>
      <c r="DN50" s="214">
        <f t="shared" si="99"/>
        <v>0</v>
      </c>
      <c r="DO50" s="214">
        <f t="shared" si="99"/>
        <v>495</v>
      </c>
      <c r="DP50" s="214">
        <f t="shared" si="99"/>
        <v>0</v>
      </c>
      <c r="DQ50" s="214">
        <f t="shared" si="99"/>
        <v>0</v>
      </c>
      <c r="DR50" s="214">
        <f t="shared" si="99"/>
        <v>0</v>
      </c>
      <c r="DS50" s="214">
        <f t="shared" si="99"/>
        <v>0</v>
      </c>
      <c r="DT50" s="214">
        <f t="shared" si="99"/>
        <v>0</v>
      </c>
      <c r="DU50" s="214">
        <f t="shared" si="99"/>
        <v>0</v>
      </c>
      <c r="DV50" s="214">
        <f t="shared" si="99"/>
        <v>0</v>
      </c>
      <c r="DW50" s="214">
        <f t="shared" si="99"/>
        <v>0</v>
      </c>
      <c r="DZ50" s="650"/>
      <c r="FI50" s="195"/>
      <c r="FJ50" s="195"/>
      <c r="FK50" s="195"/>
      <c r="FL50" s="195"/>
      <c r="FM50" s="195"/>
      <c r="FN50" s="195"/>
      <c r="FO50" s="195"/>
    </row>
    <row r="51" spans="1:171">
      <c r="A51" s="342" t="s">
        <v>112</v>
      </c>
      <c r="B51" s="427" t="str">
        <f>'Portfolio Inputs'!A50</f>
        <v>T8 (5-8 ft, 1-2 Lamp)</v>
      </c>
      <c r="C51" s="217">
        <f>IF($C$1=2014,'Portfolio Inputs'!$C50,IF($C$1=2015,'Portfolio Inputs'!$D50,'Portfolio Inputs'!$E50))</f>
        <v>9</v>
      </c>
      <c r="D51" s="504">
        <f>VLOOKUP(B51,Sources!$B$4:$J$104,2,FALSE)</f>
        <v>18</v>
      </c>
      <c r="E51" s="504">
        <f>VLOOKUP(B51,Sources!$B$4:$J$104,3,FALSE)</f>
        <v>0</v>
      </c>
      <c r="G51" s="504">
        <f>IF($C$1=2014,'Portfolio Inputs'!$G50,IF($C$1=2015,'Portfolio Inputs'!$H50,'Portfolio Inputs'!$I50))*EnergyLineLoss</f>
        <v>3137.1522749999995</v>
      </c>
      <c r="H51" s="504"/>
      <c r="I51" s="595">
        <f>IF($C$1=2014,'Portfolio Inputs'!$K50,IF($C$1=2015,'Portfolio Inputs'!$L50,'Portfolio Inputs'!$M50))*PeakLineLoss</f>
        <v>0.48509604000000006</v>
      </c>
      <c r="J51" s="510"/>
      <c r="L51" s="606">
        <f>IF($C$1=2014,'Portfolio Inputs'!$O50,IF($C$1=2015,'Portfolio Inputs'!$P50,'Portfolio Inputs'!$Q50))</f>
        <v>93</v>
      </c>
      <c r="M51" s="518">
        <f>VLOOKUP($B51,Sources!$B$4:$K$104,10,FALSE)</f>
        <v>0</v>
      </c>
      <c r="N51" s="419">
        <f>IF($C$1=2014,'Portfolio Inputs'!$W50,IF($C$1=2015,'Portfolio Inputs'!$X50,'Portfolio Inputs'!$Y50))</f>
        <v>72</v>
      </c>
      <c r="O51" s="419">
        <f>IF($C$1=2014,'Portfolio Inputs'!$AA50,IF($C$1=2015,'Portfolio Inputs'!$AB50,'Portfolio Inputs'!$AC50))</f>
        <v>0</v>
      </c>
      <c r="Q51" s="438">
        <f t="shared" si="67"/>
        <v>1.7257073743799323</v>
      </c>
      <c r="R51" s="439">
        <f t="shared" si="68"/>
        <v>20.061348227166711</v>
      </c>
      <c r="S51" s="439">
        <f t="shared" si="69"/>
        <v>2.137272974259258</v>
      </c>
      <c r="T51" s="439">
        <f t="shared" si="70"/>
        <v>4.3653727556090596</v>
      </c>
      <c r="U51" s="439">
        <f t="shared" si="98"/>
        <v>4.3653727556090596</v>
      </c>
      <c r="V51" s="439">
        <f t="shared" si="72"/>
        <v>0.39531730071906784</v>
      </c>
      <c r="W51" s="439">
        <f t="shared" si="73"/>
        <v>0.39531730071906784</v>
      </c>
      <c r="Y51" s="215">
        <f t="shared" si="4"/>
        <v>1219.3139617969944</v>
      </c>
      <c r="Z51" s="215">
        <f t="shared" si="5"/>
        <v>290.79535127357843</v>
      </c>
      <c r="AA51" s="215">
        <f t="shared" si="6"/>
        <v>3023.6138549949806</v>
      </c>
      <c r="AB51" s="215">
        <f t="shared" si="7"/>
        <v>3023.6138549949806</v>
      </c>
      <c r="AC51" s="216">
        <f t="shared" si="20"/>
        <v>0</v>
      </c>
      <c r="AD51" s="216">
        <f t="shared" si="21"/>
        <v>60.779263087902621</v>
      </c>
      <c r="AE51" s="215">
        <f t="shared" si="8"/>
        <v>706.55893339686793</v>
      </c>
      <c r="AG51" s="214">
        <f>IF(AND(($E51+$C$1)&gt;AG$4,AG$4&gt;=$C$1),'General Inputs'!D$9*$H51,IF(AND(($D51+$C$1)&gt;AG$4,AG$4&gt;=$C$1),'General Inputs'!D$9*$G51,0))+IF(AND(($E51+$C$1)&gt;AG$4,AG$4&gt;=$C$1),'General Inputs'!D$10*$J51,IF(AND(($D51+$C$1)&gt;AG$4,AG$4&gt;=$C$1),'General Inputs'!D$10*$I51,0))</f>
        <v>0</v>
      </c>
      <c r="AH51" s="214">
        <f>IF(AND(($E51+$C$1)&gt;AH$4,AH$4&gt;=$C$1),'General Inputs'!E$9*$H51,IF(AND(($D51+$C$1)&gt;AH$4,AH$4&gt;=$C$1),'General Inputs'!E$9*$G51,0))+IF(AND(($E51+$C$1)&gt;AH$4,AH$4&gt;=$C$1),'General Inputs'!E$10*$J51,IF(AND(($D51+$C$1)&gt;AH$4,AH$4&gt;=$C$1),'General Inputs'!E$10*$I51,0))</f>
        <v>0</v>
      </c>
      <c r="AI51" s="214">
        <f>IF(AND(($E51+$C$1)&gt;AI$4,AI$4&gt;=$C$1),'General Inputs'!F$9*$H51,IF(AND(($D51+$C$1)&gt;AI$4,AI$4&gt;=$C$1),'General Inputs'!F$9*$G51,0))+IF(AND(($E51+$C$1)&gt;AI$4,AI$4&gt;=$C$1),'General Inputs'!F$10*$J51,IF(AND(($D51+$C$1)&gt;AI$4,AI$4&gt;=$C$1),'General Inputs'!F$10*$I51,0))</f>
        <v>136.15556576219231</v>
      </c>
      <c r="AJ51" s="214">
        <f>IF(AND(($E51+$C$1)&gt;AJ$4,AJ$4&gt;=$C$1),'General Inputs'!G$9*$H51,IF(AND(($D51+$C$1)&gt;AJ$4,AJ$4&gt;=$C$1),'General Inputs'!G$9*$G51,0))+IF(AND(($E51+$C$1)&gt;AJ$4,AJ$4&gt;=$C$1),'General Inputs'!G$10*$J51,IF(AND(($D51+$C$1)&gt;AJ$4,AJ$4&gt;=$C$1),'General Inputs'!G$10*$I51,0))</f>
        <v>138.19789924862519</v>
      </c>
      <c r="AK51" s="214">
        <f>IF(AND(($E51+$C$1)&gt;AK$4,AK$4&gt;=$C$1),'General Inputs'!H$9*$H51,IF(AND(($D51+$C$1)&gt;AK$4,AK$4&gt;=$C$1),'General Inputs'!H$9*$G51,0))+IF(AND(($E51+$C$1)&gt;AK$4,AK$4&gt;=$C$1),'General Inputs'!H$10*$J51,IF(AND(($D51+$C$1)&gt;AK$4,AK$4&gt;=$C$1),'General Inputs'!H$10*$I51,0))</f>
        <v>140.27086773735454</v>
      </c>
      <c r="AL51" s="214">
        <f>IF(AND(($E51+$C$1)&gt;AL$4,AL$4&gt;=$C$1),'General Inputs'!I$9*$H51,IF(AND(($D51+$C$1)&gt;AL$4,AL$4&gt;=$C$1),'General Inputs'!I$9*$G51,0))+IF(AND(($E51+$C$1)&gt;AL$4,AL$4&gt;=$C$1),'General Inputs'!I$10*$J51,IF(AND(($D51+$C$1)&gt;AL$4,AL$4&gt;=$C$1),'General Inputs'!I$10*$I51,0))</f>
        <v>142.37493075341484</v>
      </c>
      <c r="AM51" s="214">
        <f>IF(AND(($E51+$C$1)&gt;AM$4,AM$4&gt;=$C$1),'General Inputs'!J$9*$H51,IF(AND(($D51+$C$1)&gt;AM$4,AM$4&gt;=$C$1),'General Inputs'!J$9*$G51,0))+IF(AND(($E51+$C$1)&gt;AM$4,AM$4&gt;=$C$1),'General Inputs'!J$10*$J51,IF(AND(($D51+$C$1)&gt;AM$4,AM$4&gt;=$C$1),'General Inputs'!J$10*$I51,0))</f>
        <v>144.51055471471602</v>
      </c>
      <c r="AN51" s="214">
        <f>IF(AND(($E51+$C$1)&gt;AN$4,AN$4&gt;=$C$1),'General Inputs'!K$9*$H51,IF(AND(($D51+$C$1)&gt;AN$4,AN$4&gt;=$C$1),'General Inputs'!K$9*$G51,0))+IF(AND(($E51+$C$1)&gt;AN$4,AN$4&gt;=$C$1),'General Inputs'!K$10*$J51,IF(AND(($D51+$C$1)&gt;AN$4,AN$4&gt;=$C$1),'General Inputs'!K$10*$I51,0))</f>
        <v>146.67821303543676</v>
      </c>
      <c r="AO51" s="214">
        <f>IF(AND(($E51+$C$1)&gt;AO$4,AO$4&gt;=$C$1),'General Inputs'!L$9*$H51,IF(AND(($D51+$C$1)&gt;AO$4,AO$4&gt;=$C$1),'General Inputs'!L$9*$G51,0))+IF(AND(($E51+$C$1)&gt;AO$4,AO$4&gt;=$C$1),'General Inputs'!L$10*$J51,IF(AND(($D51+$C$1)&gt;AO$4,AO$4&gt;=$C$1),'General Inputs'!L$10*$I51,0))</f>
        <v>148.87838623096832</v>
      </c>
      <c r="AP51" s="214">
        <f>IF(AND(($E51+$C$1)&gt;AP$4,AP$4&gt;=$C$1),'General Inputs'!M$9*$H51,IF(AND(($D51+$C$1)&gt;AP$4,AP$4&gt;=$C$1),'General Inputs'!M$9*$G51,0))+IF(AND(($E51+$C$1)&gt;AP$4,AP$4&gt;=$C$1),'General Inputs'!M$10*$J51,IF(AND(($D51+$C$1)&gt;AP$4,AP$4&gt;=$C$1),'General Inputs'!M$10*$I51,0))</f>
        <v>151.1115620244328</v>
      </c>
      <c r="AQ51" s="214">
        <f>IF(AND(($E51+$C$1)&gt;AQ$4,AQ$4&gt;=$C$1),'General Inputs'!N$9*$H51,IF(AND(($D51+$C$1)&gt;AQ$4,AQ$4&gt;=$C$1),'General Inputs'!N$9*$G51,0))+IF(AND(($E51+$C$1)&gt;AQ$4,AQ$4&gt;=$C$1),'General Inputs'!N$10*$J51,IF(AND(($D51+$C$1)&gt;AQ$4,AQ$4&gt;=$C$1),'General Inputs'!N$10*$I51,0))</f>
        <v>153.37823545479927</v>
      </c>
      <c r="AR51" s="214">
        <f>IF(AND(($E51+$C$1)&gt;AR$4,AR$4&gt;=$C$1),'General Inputs'!O$9*$H51,IF(AND(($D51+$C$1)&gt;AR$4,AR$4&gt;=$C$1),'General Inputs'!O$9*$G51,0))+IF(AND(($E51+$C$1)&gt;AR$4,AR$4&gt;=$C$1),'General Inputs'!O$10*$J51,IF(AND(($D51+$C$1)&gt;AR$4,AR$4&gt;=$C$1),'General Inputs'!O$10*$I51,0))</f>
        <v>155.67890898662125</v>
      </c>
      <c r="AS51" s="214">
        <f>IF(AND(($E51+$C$1)&gt;AS$4,AS$4&gt;=$C$1),'General Inputs'!P$9*$H51,IF(AND(($D51+$C$1)&gt;AS$4,AS$4&gt;=$C$1),'General Inputs'!P$9*$G51,0))+IF(AND(($E51+$C$1)&gt;AS$4,AS$4&gt;=$C$1),'General Inputs'!P$10*$J51,IF(AND(($D51+$C$1)&gt;AS$4,AS$4&gt;=$C$1),'General Inputs'!P$10*$I51,0))</f>
        <v>158.01409262142056</v>
      </c>
      <c r="AT51" s="214">
        <f>IF(AND(($E51+$C$1)&gt;AT$4,AT$4&gt;=$C$1),'General Inputs'!Q$9*$H51,IF(AND(($D51+$C$1)&gt;AT$4,AT$4&gt;=$C$1),'General Inputs'!Q$9*$G51,0))+IF(AND(($E51+$C$1)&gt;AT$4,AT$4&gt;=$C$1),'General Inputs'!Q$10*$J51,IF(AND(($D51+$C$1)&gt;AT$4,AT$4&gt;=$C$1),'General Inputs'!Q$10*$I51,0))</f>
        <v>160.38430401074186</v>
      </c>
      <c r="AU51" s="214">
        <f>IF(AND(($E51+$C$1)&gt;AU$4,AU$4&gt;=$C$1),'General Inputs'!R$9*$H51,IF(AND(($D51+$C$1)&gt;AU$4,AU$4&gt;=$C$1),'General Inputs'!R$9*$G51,0))+IF(AND(($E51+$C$1)&gt;AU$4,AU$4&gt;=$C$1),'General Inputs'!R$10*$J51,IF(AND(($D51+$C$1)&gt;AU$4,AU$4&gt;=$C$1),'General Inputs'!R$10*$I51,0))</f>
        <v>162.79006857090297</v>
      </c>
      <c r="AV51" s="214">
        <f>IF(AND(($E51+$C$1)&gt;AV$4,AV$4&gt;=$C$1),'General Inputs'!S$9*$H51,IF(AND(($D51+$C$1)&gt;AV$4,AV$4&gt;=$C$1),'General Inputs'!S$9*$G51,0))+IF(AND(($E51+$C$1)&gt;AV$4,AV$4&gt;=$C$1),'General Inputs'!S$10*$J51,IF(AND(($D51+$C$1)&gt;AV$4,AV$4&gt;=$C$1),'General Inputs'!S$10*$I51,0))</f>
        <v>165.23191959946649</v>
      </c>
      <c r="AW51" s="214">
        <f>IF(AND(($E51+$C$1)&gt;AW$4,AW$4&gt;=$C$1),'General Inputs'!T$9*$H51,IF(AND(($D51+$C$1)&gt;AW$4,AW$4&gt;=$C$1),'General Inputs'!T$9*$G51,0))+IF(AND(($E51+$C$1)&gt;AW$4,AW$4&gt;=$C$1),'General Inputs'!T$10*$J51,IF(AND(($D51+$C$1)&gt;AW$4,AW$4&gt;=$C$1),'General Inputs'!T$10*$I51,0))</f>
        <v>167.71039839345849</v>
      </c>
      <c r="AX51" s="214">
        <f>IF(AND(($E51+$C$1)&gt;AX$4,AX$4&gt;=$C$1),'General Inputs'!U$9*$H51,IF(AND(($D51+$C$1)&gt;AX$4,AX$4&gt;=$C$1),'General Inputs'!U$9*$G51,0))+IF(AND(($E51+$C$1)&gt;AX$4,AX$4&gt;=$C$1),'General Inputs'!U$10*$J51,IF(AND(($D51+$C$1)&gt;AX$4,AX$4&gt;=$C$1),'General Inputs'!U$10*$I51,0))</f>
        <v>170.22605436936038</v>
      </c>
      <c r="AY51" s="214">
        <f>IF(AND(($E51+$C$1)&gt;AY$4,AY$4&gt;=$C$1),'General Inputs'!V$9*$H51,IF(AND(($D51+$C$1)&gt;AY$4,AY$4&gt;=$C$1),'General Inputs'!V$9*$G51,0))+IF(AND(($E51+$C$1)&gt;AY$4,AY$4&gt;=$C$1),'General Inputs'!V$10*$J51,IF(AND(($D51+$C$1)&gt;AY$4,AY$4&gt;=$C$1),'General Inputs'!V$10*$I51,0))</f>
        <v>172.77944518490074</v>
      </c>
      <c r="AZ51" s="214">
        <f>IF(AND(($E51+$C$1)&gt;AZ$4,AZ$4&gt;=$C$1),'General Inputs'!W$9*$H51,IF(AND(($D51+$C$1)&gt;AZ$4,AZ$4&gt;=$C$1),'General Inputs'!W$9*$G51,0))+IF(AND(($E51+$C$1)&gt;AZ$4,AZ$4&gt;=$C$1),'General Inputs'!W$10*$J51,IF(AND(($D51+$C$1)&gt;AZ$4,AZ$4&gt;=$C$1),'General Inputs'!W$10*$I51,0))</f>
        <v>175.37113686267423</v>
      </c>
      <c r="BB51" s="214">
        <f>IF(AND(($E51+$C$1)&gt;BB$4,BB$4&gt;=$C$1),'General Inputs'!D$11*$H51,IF(AND(($D51+$C$1)&gt;BB$4,BB$4&gt;=$C$1),'General Inputs'!D$11*$G51,0))</f>
        <v>0</v>
      </c>
      <c r="BC51" s="214">
        <f>IF(AND(($E51+$C$1)&gt;BC$4,BC$4&gt;=$C$1),'General Inputs'!E$11*$H51,IF(AND(($D51+$C$1)&gt;BC$4,BC$4&gt;=$C$1),'General Inputs'!E$11*$G51,0))</f>
        <v>0</v>
      </c>
      <c r="BD51" s="214">
        <f>IF(AND(($E51+$C$1)&gt;BD$4,BD$4&gt;=$C$1),'General Inputs'!F$11*$H51,IF(AND(($D51+$C$1)&gt;BD$4,BD$4&gt;=$C$1),'General Inputs'!F$11*$G51,0))</f>
        <v>35.763535934999993</v>
      </c>
      <c r="BE51" s="214">
        <f>IF(AND(($E51+$C$1)&gt;BE$4,BE$4&gt;=$C$1),'General Inputs'!G$11*$H51,IF(AND(($D51+$C$1)&gt;BE$4,BE$4&gt;=$C$1),'General Inputs'!G$11*$G51,0))</f>
        <v>35.763535934999993</v>
      </c>
      <c r="BF51" s="214">
        <f>IF(AND(($E51+$C$1)&gt;BF$4,BF$4&gt;=$C$1),'General Inputs'!H$11*$H51,IF(AND(($D51+$C$1)&gt;BF$4,BF$4&gt;=$C$1),'General Inputs'!H$11*$G51,0))</f>
        <v>35.763535934999993</v>
      </c>
      <c r="BG51" s="214">
        <f>IF(AND(($E51+$C$1)&gt;BG$4,BG$4&gt;=$C$1),'General Inputs'!I$11*$H51,IF(AND(($D51+$C$1)&gt;BG$4,BG$4&gt;=$C$1),'General Inputs'!I$11*$G51,0))</f>
        <v>35.763535934999993</v>
      </c>
      <c r="BH51" s="214">
        <f>IF(AND(($E51+$C$1)&gt;BH$4,BH$4&gt;=$C$1),'General Inputs'!J$11*$H51,IF(AND(($D51+$C$1)&gt;BH$4,BH$4&gt;=$C$1),'General Inputs'!J$11*$G51,0))</f>
        <v>35.763535934999993</v>
      </c>
      <c r="BI51" s="214">
        <f>IF(AND(($E51+$C$1)&gt;BI$4,BI$4&gt;=$C$1),'General Inputs'!K$11*$H51,IF(AND(($D51+$C$1)&gt;BI$4,BI$4&gt;=$C$1),'General Inputs'!K$11*$G51,0))</f>
        <v>35.763535934999993</v>
      </c>
      <c r="BJ51" s="214">
        <f>IF(AND(($E51+$C$1)&gt;BJ$4,BJ$4&gt;=$C$1),'General Inputs'!L$11*$H51,IF(AND(($D51+$C$1)&gt;BJ$4,BJ$4&gt;=$C$1),'General Inputs'!L$11*$G51,0))</f>
        <v>35.763535934999993</v>
      </c>
      <c r="BK51" s="214">
        <f>IF(AND(($E51+$C$1)&gt;BK$4,BK$4&gt;=$C$1),'General Inputs'!M$11*$H51,IF(AND(($D51+$C$1)&gt;BK$4,BK$4&gt;=$C$1),'General Inputs'!M$11*$G51,0))</f>
        <v>35.763535934999993</v>
      </c>
      <c r="BL51" s="214">
        <f>IF(AND(($E51+$C$1)&gt;BL$4,BL$4&gt;=$C$1),'General Inputs'!N$11*$H51,IF(AND(($D51+$C$1)&gt;BL$4,BL$4&gt;=$C$1),'General Inputs'!N$11*$G51,0))</f>
        <v>35.763535934999993</v>
      </c>
      <c r="BM51" s="214">
        <f>IF(AND(($E51+$C$1)&gt;BM$4,BM$4&gt;=$C$1),'General Inputs'!O$11*$H51,IF(AND(($D51+$C$1)&gt;BM$4,BM$4&gt;=$C$1),'General Inputs'!O$11*$G51,0))</f>
        <v>35.763535934999993</v>
      </c>
      <c r="BN51" s="214">
        <f>IF(AND(($E51+$C$1)&gt;BN$4,BN$4&gt;=$C$1),'General Inputs'!P$11*$H51,IF(AND(($D51+$C$1)&gt;BN$4,BN$4&gt;=$C$1),'General Inputs'!P$11*$G51,0))</f>
        <v>35.763535934999993</v>
      </c>
      <c r="BO51" s="214">
        <f>IF(AND(($E51+$C$1)&gt;BO$4,BO$4&gt;=$C$1),'General Inputs'!Q$11*$H51,IF(AND(($D51+$C$1)&gt;BO$4,BO$4&gt;=$C$1),'General Inputs'!Q$11*$G51,0))</f>
        <v>35.763535934999993</v>
      </c>
      <c r="BP51" s="214">
        <f>IF(AND(($E51+$C$1)&gt;BP$4,BP$4&gt;=$C$1),'General Inputs'!R$11*$H51,IF(AND(($D51+$C$1)&gt;BP$4,BP$4&gt;=$C$1),'General Inputs'!R$11*$G51,0))</f>
        <v>35.763535934999993</v>
      </c>
      <c r="BQ51" s="214">
        <f>IF(AND(($E51+$C$1)&gt;BQ$4,BQ$4&gt;=$C$1),'General Inputs'!S$11*$H51,IF(AND(($D51+$C$1)&gt;BQ$4,BQ$4&gt;=$C$1),'General Inputs'!S$11*$G51,0))</f>
        <v>35.763535934999993</v>
      </c>
      <c r="BR51" s="214">
        <f>IF(AND(($E51+$C$1)&gt;BR$4,BR$4&gt;=$C$1),'General Inputs'!T$11*$H51,IF(AND(($D51+$C$1)&gt;BR$4,BR$4&gt;=$C$1),'General Inputs'!T$11*$G51,0))</f>
        <v>35.763535934999993</v>
      </c>
      <c r="BS51" s="214">
        <f>IF(AND(($E51+$C$1)&gt;BS$4,BS$4&gt;=$C$1),'General Inputs'!U$11*$H51,IF(AND(($D51+$C$1)&gt;BS$4,BS$4&gt;=$C$1),'General Inputs'!U$11*$G51,0))</f>
        <v>35.763535934999993</v>
      </c>
      <c r="BT51" s="214">
        <f>IF(AND(($E51+$C$1)&gt;BT$4,BT$4&gt;=$C$1),'General Inputs'!V$11*$H51,IF(AND(($D51+$C$1)&gt;BT$4,BT$4&gt;=$C$1),'General Inputs'!V$11*$G51,0))</f>
        <v>35.763535934999993</v>
      </c>
      <c r="BU51" s="214">
        <f>IF(AND(($E51+$C$1)&gt;BU$4,BU$4&gt;=$C$1),'General Inputs'!W$11*$H51,IF(AND(($D51+$C$1)&gt;BU$4,BU$4&gt;=$C$1),'General Inputs'!W$11*$G51,0))</f>
        <v>35.763535934999993</v>
      </c>
      <c r="BW51" s="214">
        <f>IF(AND(($E51+$C$1)&gt;BW$4,BW$4&gt;=$C$1),$H51,IF(AND(($D51+$C$1)&gt;BW$4,BW$4&gt;=$C$1),$G51,0))*IF($A51="Residential",'General Inputs'!D$14,'General Inputs'!D$19)</f>
        <v>0</v>
      </c>
      <c r="BX51" s="214">
        <f>IF(AND(($E51+$C$1)&gt;BX$4,BX$4&gt;=$C$1),$H51,IF(AND(($D51+$C$1)&gt;BX$4,BX$4&gt;=$C$1),$G51,0))*IF($A51="Residential",'General Inputs'!E$14,'General Inputs'!E$19)</f>
        <v>0</v>
      </c>
      <c r="BY51" s="214">
        <f>IF(AND(($E51+$C$1)&gt;BY$4,BY$4&gt;=$C$1),$H51,IF(AND(($D51+$C$1)&gt;BY$4,BY$4&gt;=$C$1),$G51,0))*IF($A51="Residential",'General Inputs'!F$14,'General Inputs'!F$19)</f>
        <v>337.63400401527298</v>
      </c>
      <c r="BZ51" s="214">
        <f>IF(AND(($E51+$C$1)&gt;BZ$4,BZ$4&gt;=$C$1),$H51,IF(AND(($D51+$C$1)&gt;BZ$4,BZ$4&gt;=$C$1),$G51,0))*IF($A51="Residential",'General Inputs'!G$14,'General Inputs'!G$19)</f>
        <v>342.69851407550203</v>
      </c>
      <c r="CA51" s="214">
        <f>IF(AND(($E51+$C$1)&gt;CA$4,CA$4&gt;=$C$1),$H51,IF(AND(($D51+$C$1)&gt;CA$4,CA$4&gt;=$C$1),$G51,0))*IF($A51="Residential",'General Inputs'!H$14,'General Inputs'!H$19)</f>
        <v>347.83899178663449</v>
      </c>
      <c r="CB51" s="214">
        <f>IF(AND(($E51+$C$1)&gt;CB$4,CB$4&gt;=$C$1),$H51,IF(AND(($D51+$C$1)&gt;CB$4,CB$4&gt;=$C$1),$G51,0))*IF($A51="Residential",'General Inputs'!I$14,'General Inputs'!I$19)</f>
        <v>353.05657666343399</v>
      </c>
      <c r="CC51" s="214">
        <f>IF(AND(($E51+$C$1)&gt;CC$4,CC$4&gt;=$C$1),$H51,IF(AND(($D51+$C$1)&gt;CC$4,CC$4&gt;=$C$1),$G51,0))*IF($A51="Residential",'General Inputs'!J$14,'General Inputs'!J$19)</f>
        <v>358.35242531338548</v>
      </c>
      <c r="CD51" s="214">
        <f>IF(AND(($E51+$C$1)&gt;CD$4,CD$4&gt;=$C$1),$H51,IF(AND(($D51+$C$1)&gt;CD$4,CD$4&gt;=$C$1),$G51,0))*IF($A51="Residential",'General Inputs'!K$14,'General Inputs'!K$19)</f>
        <v>363.72771169308618</v>
      </c>
      <c r="CE51" s="214">
        <f>IF(AND(($E51+$C$1)&gt;CE$4,CE$4&gt;=$C$1),$H51,IF(AND(($D51+$C$1)&gt;CE$4,CE$4&gt;=$C$1),$G51,0))*IF($A51="Residential",'General Inputs'!L$14,'General Inputs'!L$19)</f>
        <v>369.18362736848246</v>
      </c>
      <c r="CF51" s="214">
        <f>IF(AND(($E51+$C$1)&gt;CF$4,CF$4&gt;=$C$1),$H51,IF(AND(($D51+$C$1)&gt;CF$4,CF$4&gt;=$C$1),$G51,0))*IF($A51="Residential",'General Inputs'!M$14,'General Inputs'!M$19)</f>
        <v>374.72138177900968</v>
      </c>
      <c r="CG51" s="214">
        <f>IF(AND(($E51+$C$1)&gt;CG$4,CG$4&gt;=$C$1),$H51,IF(AND(($D51+$C$1)&gt;CG$4,CG$4&gt;=$C$1),$G51,0))*IF($A51="Residential",'General Inputs'!N$14,'General Inputs'!N$19)</f>
        <v>380.34220250569479</v>
      </c>
      <c r="CH51" s="214">
        <f>IF(AND(($E51+$C$1)&gt;CH$4,CH$4&gt;=$C$1),$H51,IF(AND(($D51+$C$1)&gt;CH$4,CH$4&gt;=$C$1),$G51,0))*IF($A51="Residential",'General Inputs'!O$14,'General Inputs'!O$19)</f>
        <v>386.04733554328016</v>
      </c>
      <c r="CI51" s="214">
        <f>IF(AND(($E51+$C$1)&gt;CI$4,CI$4&gt;=$C$1),$H51,IF(AND(($D51+$C$1)&gt;CI$4,CI$4&gt;=$C$1),$G51,0))*IF($A51="Residential",'General Inputs'!P$14,'General Inputs'!P$19)</f>
        <v>391.83804557642935</v>
      </c>
      <c r="CJ51" s="214">
        <f>IF(AND(($E51+$C$1)&gt;CJ$4,CJ$4&gt;=$C$1),$H51,IF(AND(($D51+$C$1)&gt;CJ$4,CJ$4&gt;=$C$1),$G51,0))*IF($A51="Residential",'General Inputs'!Q$14,'General Inputs'!Q$19)</f>
        <v>397.71561626007576</v>
      </c>
      <c r="CK51" s="214">
        <f>IF(AND(($E51+$C$1)&gt;CK$4,CK$4&gt;=$C$1),$H51,IF(AND(($D51+$C$1)&gt;CK$4,CK$4&gt;=$C$1),$G51,0))*IF($A51="Residential",'General Inputs'!R$14,'General Inputs'!R$19)</f>
        <v>403.68135050397683</v>
      </c>
      <c r="CL51" s="214">
        <f>IF(AND(($E51+$C$1)&gt;CL$4,CL$4&gt;=$C$1),$H51,IF(AND(($D51+$C$1)&gt;CL$4,CL$4&gt;=$C$1),$G51,0))*IF($A51="Residential",'General Inputs'!S$14,'General Inputs'!S$19)</f>
        <v>409.73657076153648</v>
      </c>
      <c r="CM51" s="214">
        <f>IF(AND(($E51+$C$1)&gt;CM$4,CM$4&gt;=$C$1),$H51,IF(AND(($D51+$C$1)&gt;CM$4,CM$4&gt;=$C$1),$G51,0))*IF($A51="Residential",'General Inputs'!T$14,'General Inputs'!T$19)</f>
        <v>415.88261932295944</v>
      </c>
      <c r="CN51" s="214">
        <f>IF(AND(($E51+$C$1)&gt;CN$4,CN$4&gt;=$C$1),$H51,IF(AND(($D51+$C$1)&gt;CN$4,CN$4&gt;=$C$1),$G51,0))*IF($A51="Residential",'General Inputs'!U$14,'General Inputs'!U$19)</f>
        <v>422.12085861280377</v>
      </c>
      <c r="CO51" s="214">
        <f>IF(AND(($E51+$C$1)&gt;CO$4,CO$4&gt;=$C$1),$H51,IF(AND(($D51+$C$1)&gt;CO$4,CO$4&gt;=$C$1),$G51,0))*IF($A51="Residential",'General Inputs'!V$14,'General Inputs'!V$19)</f>
        <v>428.45267149199577</v>
      </c>
      <c r="CP51" s="214">
        <f>IF(AND(($E51+$C$1)&gt;CP$4,CP$4&gt;=$C$1),$H51,IF(AND(($D51+$C$1)&gt;CP$4,CP$4&gt;=$C$1),$G51,0))*IF($A51="Residential",'General Inputs'!W$14,'General Inputs'!W$19)</f>
        <v>434.87946156437573</v>
      </c>
      <c r="CR51" s="214">
        <f>IF(AND(($E51+$C$1)&gt;CR$4,CR$4&gt;=$C$1),$H51,IF(AND(($D51+$C$1)&gt;CR$4,CR$4&gt;=$C$1),$G51,0))*IF($A51="Residential",'General Inputs'!D$15,'General Inputs'!D$19)</f>
        <v>0</v>
      </c>
      <c r="CS51" s="214">
        <f>IF(AND(($E51+$C$1)&gt;CS$4,CS$4&gt;=$C$1),$H51,IF(AND(($D51+$C$1)&gt;CS$4,CS$4&gt;=$C$1),$G51,0))*IF($A51="Residential",'General Inputs'!E$15,'General Inputs'!E$19)</f>
        <v>0</v>
      </c>
      <c r="CT51" s="214">
        <f>IF(AND(($E51+$C$1)&gt;CT$4,CT$4&gt;=$C$1),$H51,IF(AND(($D51+$C$1)&gt;CT$4,CT$4&gt;=$C$1),$G51,0))*IF($A51="Residential",'General Inputs'!F$15,'General Inputs'!F$19)</f>
        <v>337.63400401527298</v>
      </c>
      <c r="CU51" s="214">
        <f>IF(AND(($E51+$C$1)&gt;CU$4,CU$4&gt;=$C$1),$H51,IF(AND(($D51+$C$1)&gt;CU$4,CU$4&gt;=$C$1),$G51,0))*IF($A51="Residential",'General Inputs'!G$15,'General Inputs'!G$19)</f>
        <v>342.69851407550203</v>
      </c>
      <c r="CV51" s="214">
        <f>IF(AND(($E51+$C$1)&gt;CV$4,CV$4&gt;=$C$1),$H51,IF(AND(($D51+$C$1)&gt;CV$4,CV$4&gt;=$C$1),$G51,0))*IF($A51="Residential",'General Inputs'!H$15,'General Inputs'!H$19)</f>
        <v>347.83899178663449</v>
      </c>
      <c r="CW51" s="214">
        <f>IF(AND(($E51+$C$1)&gt;CW$4,CW$4&gt;=$C$1),$H51,IF(AND(($D51+$C$1)&gt;CW$4,CW$4&gt;=$C$1),$G51,0))*IF($A51="Residential",'General Inputs'!I$15,'General Inputs'!I$19)</f>
        <v>353.05657666343399</v>
      </c>
      <c r="CX51" s="214">
        <f>IF(AND(($E51+$C$1)&gt;CX$4,CX$4&gt;=$C$1),$H51,IF(AND(($D51+$C$1)&gt;CX$4,CX$4&gt;=$C$1),$G51,0))*IF($A51="Residential",'General Inputs'!J$15,'General Inputs'!J$19)</f>
        <v>358.35242531338548</v>
      </c>
      <c r="CY51" s="214">
        <f>IF(AND(($E51+$C$1)&gt;CY$4,CY$4&gt;=$C$1),$H51,IF(AND(($D51+$C$1)&gt;CY$4,CY$4&gt;=$C$1),$G51,0))*IF($A51="Residential",'General Inputs'!K$15,'General Inputs'!K$19)</f>
        <v>363.72771169308618</v>
      </c>
      <c r="CZ51" s="214">
        <f>IF(AND(($E51+$C$1)&gt;CZ$4,CZ$4&gt;=$C$1),$H51,IF(AND(($D51+$C$1)&gt;CZ$4,CZ$4&gt;=$C$1),$G51,0))*IF($A51="Residential",'General Inputs'!L$15,'General Inputs'!L$19)</f>
        <v>369.18362736848246</v>
      </c>
      <c r="DA51" s="214">
        <f>IF(AND(($E51+$C$1)&gt;DA$4,DA$4&gt;=$C$1),$H51,IF(AND(($D51+$C$1)&gt;DA$4,DA$4&gt;=$C$1),$G51,0))*IF($A51="Residential",'General Inputs'!M$15,'General Inputs'!M$19)</f>
        <v>374.72138177900968</v>
      </c>
      <c r="DB51" s="214">
        <f>IF(AND(($E51+$C$1)&gt;DB$4,DB$4&gt;=$C$1),$H51,IF(AND(($D51+$C$1)&gt;DB$4,DB$4&gt;=$C$1),$G51,0))*IF($A51="Residential",'General Inputs'!N$15,'General Inputs'!N$19)</f>
        <v>380.34220250569479</v>
      </c>
      <c r="DC51" s="214">
        <f>IF(AND(($E51+$C$1)&gt;DC$4,DC$4&gt;=$C$1),$H51,IF(AND(($D51+$C$1)&gt;DC$4,DC$4&gt;=$C$1),$G51,0))*IF($A51="Residential",'General Inputs'!O$15,'General Inputs'!O$19)</f>
        <v>386.04733554328016</v>
      </c>
      <c r="DD51" s="214">
        <f>IF(AND(($E51+$C$1)&gt;DD$4,DD$4&gt;=$C$1),$H51,IF(AND(($D51+$C$1)&gt;DD$4,DD$4&gt;=$C$1),$G51,0))*IF($A51="Residential",'General Inputs'!P$15,'General Inputs'!P$19)</f>
        <v>391.83804557642935</v>
      </c>
      <c r="DE51" s="214">
        <f>IF(AND(($E51+$C$1)&gt;DE$4,DE$4&gt;=$C$1),$H51,IF(AND(($D51+$C$1)&gt;DE$4,DE$4&gt;=$C$1),$G51,0))*IF($A51="Residential",'General Inputs'!Q$15,'General Inputs'!Q$19)</f>
        <v>397.71561626007576</v>
      </c>
      <c r="DF51" s="214">
        <f>IF(AND(($E51+$C$1)&gt;DF$4,DF$4&gt;=$C$1),$H51,IF(AND(($D51+$C$1)&gt;DF$4,DF$4&gt;=$C$1),$G51,0))*IF($A51="Residential",'General Inputs'!R$15,'General Inputs'!R$19)</f>
        <v>403.68135050397683</v>
      </c>
      <c r="DG51" s="214">
        <f>IF(AND(($E51+$C$1)&gt;DG$4,DG$4&gt;=$C$1),$H51,IF(AND(($D51+$C$1)&gt;DG$4,DG$4&gt;=$C$1),$G51,0))*IF($A51="Residential",'General Inputs'!S$15,'General Inputs'!S$19)</f>
        <v>409.73657076153648</v>
      </c>
      <c r="DH51" s="214">
        <f>IF(AND(($E51+$C$1)&gt;DH$4,DH$4&gt;=$C$1),$H51,IF(AND(($D51+$C$1)&gt;DH$4,DH$4&gt;=$C$1),$G51,0))*IF($A51="Residential",'General Inputs'!T$15,'General Inputs'!T$19)</f>
        <v>415.88261932295944</v>
      </c>
      <c r="DI51" s="214">
        <f>IF(AND(($E51+$C$1)&gt;DI$4,DI$4&gt;=$C$1),$H51,IF(AND(($D51+$C$1)&gt;DI$4,DI$4&gt;=$C$1),$G51,0))*IF($A51="Residential",'General Inputs'!U$15,'General Inputs'!U$19)</f>
        <v>422.12085861280377</v>
      </c>
      <c r="DJ51" s="214">
        <f>IF(AND(($E51+$C$1)&gt;DJ$4,DJ$4&gt;=$C$1),$H51,IF(AND(($D51+$C$1)&gt;DJ$4,DJ$4&gt;=$C$1),$G51,0))*IF($A51="Residential",'General Inputs'!V$15,'General Inputs'!V$19)</f>
        <v>428.45267149199577</v>
      </c>
      <c r="DK51" s="214">
        <f>IF(AND(($E51+$C$1)&gt;DK$4,DK$4&gt;=$C$1),$H51,IF(AND(($D51+$C$1)&gt;DK$4,DK$4&gt;=$C$1),$G51,0))*IF($A51="Residential",'General Inputs'!W$15,'General Inputs'!W$19)</f>
        <v>434.87946156437573</v>
      </c>
      <c r="DM51" s="214">
        <f t="shared" si="99"/>
        <v>0</v>
      </c>
      <c r="DN51" s="214">
        <f t="shared" si="99"/>
        <v>0</v>
      </c>
      <c r="DO51" s="214">
        <f t="shared" si="99"/>
        <v>837</v>
      </c>
      <c r="DP51" s="214">
        <f t="shared" si="99"/>
        <v>0</v>
      </c>
      <c r="DQ51" s="214">
        <f t="shared" si="99"/>
        <v>0</v>
      </c>
      <c r="DR51" s="214">
        <f t="shared" si="99"/>
        <v>0</v>
      </c>
      <c r="DS51" s="214">
        <f t="shared" si="99"/>
        <v>0</v>
      </c>
      <c r="DT51" s="214">
        <f t="shared" si="99"/>
        <v>0</v>
      </c>
      <c r="DU51" s="214">
        <f t="shared" si="99"/>
        <v>0</v>
      </c>
      <c r="DV51" s="214">
        <f t="shared" si="99"/>
        <v>0</v>
      </c>
      <c r="DW51" s="214">
        <f t="shared" si="99"/>
        <v>0</v>
      </c>
      <c r="DZ51" s="650"/>
      <c r="FI51" s="195"/>
      <c r="FJ51" s="195"/>
      <c r="FK51" s="195"/>
      <c r="FL51" s="195"/>
      <c r="FM51" s="195"/>
      <c r="FN51" s="195"/>
      <c r="FO51" s="195"/>
    </row>
    <row r="52" spans="1:171">
      <c r="A52" s="342" t="s">
        <v>112</v>
      </c>
      <c r="B52" s="427" t="str">
        <f>'Portfolio Inputs'!A51</f>
        <v>High Performance T8 (1-2 Lamp)</v>
      </c>
      <c r="C52" s="217">
        <f>IF($C$1=2014,'Portfolio Inputs'!$C51,IF($C$1=2015,'Portfolio Inputs'!$D51,'Portfolio Inputs'!$E51))</f>
        <v>15</v>
      </c>
      <c r="D52" s="504">
        <f>VLOOKUP(B52,Sources!$B$4:$J$104,2,FALSE)</f>
        <v>15</v>
      </c>
      <c r="E52" s="504">
        <f>VLOOKUP(B52,Sources!$B$4:$J$104,3,FALSE)</f>
        <v>0</v>
      </c>
      <c r="G52" s="504">
        <f>IF($C$1=2014,'Portfolio Inputs'!$G51,IF($C$1=2015,'Portfolio Inputs'!$H51,'Portfolio Inputs'!$I51))*EnergyLineLoss</f>
        <v>871.43118749999996</v>
      </c>
      <c r="H52" s="504"/>
      <c r="I52" s="595">
        <f>IF($C$1=2014,'Portfolio Inputs'!$K51,IF($C$1=2015,'Portfolio Inputs'!$L51,'Portfolio Inputs'!$M51))*PeakLineLoss</f>
        <v>0.1347489</v>
      </c>
      <c r="J52" s="510"/>
      <c r="L52" s="606">
        <f>IF($C$1=2014,'Portfolio Inputs'!$O51,IF($C$1=2015,'Portfolio Inputs'!$P51,'Portfolio Inputs'!$Q51))</f>
        <v>15</v>
      </c>
      <c r="M52" s="518">
        <f>VLOOKUP($B52,Sources!$B$4:$K$104,10,FALSE)</f>
        <v>0</v>
      </c>
      <c r="N52" s="419">
        <f>IF($C$1=2014,'Portfolio Inputs'!$W51,IF($C$1=2015,'Portfolio Inputs'!$X51,'Portfolio Inputs'!$Y51))</f>
        <v>135</v>
      </c>
      <c r="O52" s="419">
        <f>IF($C$1=2014,'Portfolio Inputs'!$AA51,IF($C$1=2015,'Portfolio Inputs'!$AB51,'Portfolio Inputs'!$AC51))</f>
        <v>0</v>
      </c>
      <c r="Q52" s="438">
        <f t="shared" si="67"/>
        <v>1.6179521343720857</v>
      </c>
      <c r="R52" s="439">
        <f t="shared" si="68"/>
        <v>2.6965868906201433</v>
      </c>
      <c r="S52" s="439">
        <f t="shared" si="69"/>
        <v>2.008999382329177</v>
      </c>
      <c r="T52" s="439">
        <f t="shared" si="70"/>
        <v>4.6121434212041166</v>
      </c>
      <c r="U52" s="439">
        <f t="shared" si="98"/>
        <v>4.6121434212041166</v>
      </c>
      <c r="V52" s="439">
        <f t="shared" si="72"/>
        <v>0.3508026500072885</v>
      </c>
      <c r="W52" s="439">
        <f t="shared" si="73"/>
        <v>0.3508026500072885</v>
      </c>
      <c r="Y52" s="215">
        <f t="shared" si="4"/>
        <v>307.30605762073304</v>
      </c>
      <c r="Z52" s="215">
        <f t="shared" si="5"/>
        <v>74.273636135576041</v>
      </c>
      <c r="AA52" s="215">
        <f t="shared" si="6"/>
        <v>762.04725169925848</v>
      </c>
      <c r="AB52" s="215">
        <f t="shared" si="7"/>
        <v>762.04725169925848</v>
      </c>
      <c r="AC52" s="216">
        <f t="shared" si="20"/>
        <v>0</v>
      </c>
      <c r="AD52" s="216">
        <f t="shared" si="21"/>
        <v>113.96111828981741</v>
      </c>
      <c r="AE52" s="215">
        <f t="shared" si="8"/>
        <v>189.93519714969568</v>
      </c>
      <c r="AG52" s="214">
        <f>IF(AND(($E52+$C$1)&gt;AG$4,AG$4&gt;=$C$1),'General Inputs'!D$9*$H52,IF(AND(($D52+$C$1)&gt;AG$4,AG$4&gt;=$C$1),'General Inputs'!D$9*$G52,0))+IF(AND(($E52+$C$1)&gt;AG$4,AG$4&gt;=$C$1),'General Inputs'!D$10*$J52,IF(AND(($D52+$C$1)&gt;AG$4,AG$4&gt;=$C$1),'General Inputs'!D$10*$I52,0))</f>
        <v>0</v>
      </c>
      <c r="AH52" s="214">
        <f>IF(AND(($E52+$C$1)&gt;AH$4,AH$4&gt;=$C$1),'General Inputs'!E$9*$H52,IF(AND(($D52+$C$1)&gt;AH$4,AH$4&gt;=$C$1),'General Inputs'!E$9*$G52,0))+IF(AND(($E52+$C$1)&gt;AH$4,AH$4&gt;=$C$1),'General Inputs'!E$10*$J52,IF(AND(($D52+$C$1)&gt;AH$4,AH$4&gt;=$C$1),'General Inputs'!E$10*$I52,0))</f>
        <v>0</v>
      </c>
      <c r="AI52" s="214">
        <f>IF(AND(($E52+$C$1)&gt;AI$4,AI$4&gt;=$C$1),'General Inputs'!F$9*$H52,IF(AND(($D52+$C$1)&gt;AI$4,AI$4&gt;=$C$1),'General Inputs'!F$9*$G52,0))+IF(AND(($E52+$C$1)&gt;AI$4,AI$4&gt;=$C$1),'General Inputs'!F$10*$J52,IF(AND(($D52+$C$1)&gt;AI$4,AI$4&gt;=$C$1),'General Inputs'!F$10*$I52,0))</f>
        <v>37.820990489497866</v>
      </c>
      <c r="AJ52" s="214">
        <f>IF(AND(($E52+$C$1)&gt;AJ$4,AJ$4&gt;=$C$1),'General Inputs'!G$9*$H52,IF(AND(($D52+$C$1)&gt;AJ$4,AJ$4&gt;=$C$1),'General Inputs'!G$9*$G52,0))+IF(AND(($E52+$C$1)&gt;AJ$4,AJ$4&gt;=$C$1),'General Inputs'!G$10*$J52,IF(AND(($D52+$C$1)&gt;AJ$4,AJ$4&gt;=$C$1),'General Inputs'!G$10*$I52,0))</f>
        <v>38.388305346840333</v>
      </c>
      <c r="AK52" s="214">
        <f>IF(AND(($E52+$C$1)&gt;AK$4,AK$4&gt;=$C$1),'General Inputs'!H$9*$H52,IF(AND(($D52+$C$1)&gt;AK$4,AK$4&gt;=$C$1),'General Inputs'!H$9*$G52,0))+IF(AND(($E52+$C$1)&gt;AK$4,AK$4&gt;=$C$1),'General Inputs'!H$10*$J52,IF(AND(($D52+$C$1)&gt;AK$4,AK$4&gt;=$C$1),'General Inputs'!H$10*$I52,0))</f>
        <v>38.964129927042933</v>
      </c>
      <c r="AL52" s="214">
        <f>IF(AND(($E52+$C$1)&gt;AL$4,AL$4&gt;=$C$1),'General Inputs'!I$9*$H52,IF(AND(($D52+$C$1)&gt;AL$4,AL$4&gt;=$C$1),'General Inputs'!I$9*$G52,0))+IF(AND(($E52+$C$1)&gt;AL$4,AL$4&gt;=$C$1),'General Inputs'!I$10*$J52,IF(AND(($D52+$C$1)&gt;AL$4,AL$4&gt;=$C$1),'General Inputs'!I$10*$I52,0))</f>
        <v>39.548591875948567</v>
      </c>
      <c r="AM52" s="214">
        <f>IF(AND(($E52+$C$1)&gt;AM$4,AM$4&gt;=$C$1),'General Inputs'!J$9*$H52,IF(AND(($D52+$C$1)&gt;AM$4,AM$4&gt;=$C$1),'General Inputs'!J$9*$G52,0))+IF(AND(($E52+$C$1)&gt;AM$4,AM$4&gt;=$C$1),'General Inputs'!J$10*$J52,IF(AND(($D52+$C$1)&gt;AM$4,AM$4&gt;=$C$1),'General Inputs'!J$10*$I52,0))</f>
        <v>40.141820754087796</v>
      </c>
      <c r="AN52" s="214">
        <f>IF(AND(($E52+$C$1)&gt;AN$4,AN$4&gt;=$C$1),'General Inputs'!K$9*$H52,IF(AND(($D52+$C$1)&gt;AN$4,AN$4&gt;=$C$1),'General Inputs'!K$9*$G52,0))+IF(AND(($E52+$C$1)&gt;AN$4,AN$4&gt;=$C$1),'General Inputs'!K$10*$J52,IF(AND(($D52+$C$1)&gt;AN$4,AN$4&gt;=$C$1),'General Inputs'!K$10*$I52,0))</f>
        <v>40.74394806539911</v>
      </c>
      <c r="AO52" s="214">
        <f>IF(AND(($E52+$C$1)&gt;AO$4,AO$4&gt;=$C$1),'General Inputs'!L$9*$H52,IF(AND(($D52+$C$1)&gt;AO$4,AO$4&gt;=$C$1),'General Inputs'!L$9*$G52,0))+IF(AND(($E52+$C$1)&gt;AO$4,AO$4&gt;=$C$1),'General Inputs'!L$10*$J52,IF(AND(($D52+$C$1)&gt;AO$4,AO$4&gt;=$C$1),'General Inputs'!L$10*$I52,0))</f>
        <v>41.35510728638009</v>
      </c>
      <c r="AP52" s="214">
        <f>IF(AND(($E52+$C$1)&gt;AP$4,AP$4&gt;=$C$1),'General Inputs'!M$9*$H52,IF(AND(($D52+$C$1)&gt;AP$4,AP$4&gt;=$C$1),'General Inputs'!M$9*$G52,0))+IF(AND(($E52+$C$1)&gt;AP$4,AP$4&gt;=$C$1),'General Inputs'!M$10*$J52,IF(AND(($D52+$C$1)&gt;AP$4,AP$4&gt;=$C$1),'General Inputs'!M$10*$I52,0))</f>
        <v>41.975433895675785</v>
      </c>
      <c r="AQ52" s="214">
        <f>IF(AND(($E52+$C$1)&gt;AQ$4,AQ$4&gt;=$C$1),'General Inputs'!N$9*$H52,IF(AND(($D52+$C$1)&gt;AQ$4,AQ$4&gt;=$C$1),'General Inputs'!N$9*$G52,0))+IF(AND(($E52+$C$1)&gt;AQ$4,AQ$4&gt;=$C$1),'General Inputs'!N$10*$J52,IF(AND(($D52+$C$1)&gt;AQ$4,AQ$4&gt;=$C$1),'General Inputs'!N$10*$I52,0))</f>
        <v>42.605065404110917</v>
      </c>
      <c r="AR52" s="214">
        <f>IF(AND(($E52+$C$1)&gt;AR$4,AR$4&gt;=$C$1),'General Inputs'!O$9*$H52,IF(AND(($D52+$C$1)&gt;AR$4,AR$4&gt;=$C$1),'General Inputs'!O$9*$G52,0))+IF(AND(($E52+$C$1)&gt;AR$4,AR$4&gt;=$C$1),'General Inputs'!O$10*$J52,IF(AND(($D52+$C$1)&gt;AR$4,AR$4&gt;=$C$1),'General Inputs'!O$10*$I52,0))</f>
        <v>43.244141385172576</v>
      </c>
      <c r="AS52" s="214">
        <f>IF(AND(($E52+$C$1)&gt;AS$4,AS$4&gt;=$C$1),'General Inputs'!P$9*$H52,IF(AND(($D52+$C$1)&gt;AS$4,AS$4&gt;=$C$1),'General Inputs'!P$9*$G52,0))+IF(AND(($E52+$C$1)&gt;AS$4,AS$4&gt;=$C$1),'General Inputs'!P$10*$J52,IF(AND(($D52+$C$1)&gt;AS$4,AS$4&gt;=$C$1),'General Inputs'!P$10*$I52,0))</f>
        <v>43.892803505950162</v>
      </c>
      <c r="AT52" s="214">
        <f>IF(AND(($E52+$C$1)&gt;AT$4,AT$4&gt;=$C$1),'General Inputs'!Q$9*$H52,IF(AND(($D52+$C$1)&gt;AT$4,AT$4&gt;=$C$1),'General Inputs'!Q$9*$G52,0))+IF(AND(($E52+$C$1)&gt;AT$4,AT$4&gt;=$C$1),'General Inputs'!Q$10*$J52,IF(AND(($D52+$C$1)&gt;AT$4,AT$4&gt;=$C$1),'General Inputs'!Q$10*$I52,0))</f>
        <v>44.551195558539412</v>
      </c>
      <c r="AU52" s="214">
        <f>IF(AND(($E52+$C$1)&gt;AU$4,AU$4&gt;=$C$1),'General Inputs'!R$9*$H52,IF(AND(($D52+$C$1)&gt;AU$4,AU$4&gt;=$C$1),'General Inputs'!R$9*$G52,0))+IF(AND(($E52+$C$1)&gt;AU$4,AU$4&gt;=$C$1),'General Inputs'!R$10*$J52,IF(AND(($D52+$C$1)&gt;AU$4,AU$4&gt;=$C$1),'General Inputs'!R$10*$I52,0))</f>
        <v>45.219463491917502</v>
      </c>
      <c r="AV52" s="214">
        <f>IF(AND(($E52+$C$1)&gt;AV$4,AV$4&gt;=$C$1),'General Inputs'!S$9*$H52,IF(AND(($D52+$C$1)&gt;AV$4,AV$4&gt;=$C$1),'General Inputs'!S$9*$G52,0))+IF(AND(($E52+$C$1)&gt;AV$4,AV$4&gt;=$C$1),'General Inputs'!S$10*$J52,IF(AND(($D52+$C$1)&gt;AV$4,AV$4&gt;=$C$1),'General Inputs'!S$10*$I52,0))</f>
        <v>45.897755444296259</v>
      </c>
      <c r="AW52" s="214">
        <f>IF(AND(($E52+$C$1)&gt;AW$4,AW$4&gt;=$C$1),'General Inputs'!T$9*$H52,IF(AND(($D52+$C$1)&gt;AW$4,AW$4&gt;=$C$1),'General Inputs'!T$9*$G52,0))+IF(AND(($E52+$C$1)&gt;AW$4,AW$4&gt;=$C$1),'General Inputs'!T$10*$J52,IF(AND(($D52+$C$1)&gt;AW$4,AW$4&gt;=$C$1),'General Inputs'!T$10*$I52,0))</f>
        <v>46.586221775960702</v>
      </c>
      <c r="AX52" s="214">
        <f>IF(AND(($E52+$C$1)&gt;AX$4,AX$4&gt;=$C$1),'General Inputs'!U$9*$H52,IF(AND(($D52+$C$1)&gt;AX$4,AX$4&gt;=$C$1),'General Inputs'!U$9*$G52,0))+IF(AND(($E52+$C$1)&gt;AX$4,AX$4&gt;=$C$1),'General Inputs'!U$10*$J52,IF(AND(($D52+$C$1)&gt;AX$4,AX$4&gt;=$C$1),'General Inputs'!U$10*$I52,0))</f>
        <v>0</v>
      </c>
      <c r="AY52" s="214">
        <f>IF(AND(($E52+$C$1)&gt;AY$4,AY$4&gt;=$C$1),'General Inputs'!V$9*$H52,IF(AND(($D52+$C$1)&gt;AY$4,AY$4&gt;=$C$1),'General Inputs'!V$9*$G52,0))+IF(AND(($E52+$C$1)&gt;AY$4,AY$4&gt;=$C$1),'General Inputs'!V$10*$J52,IF(AND(($D52+$C$1)&gt;AY$4,AY$4&gt;=$C$1),'General Inputs'!V$10*$I52,0))</f>
        <v>0</v>
      </c>
      <c r="AZ52" s="214">
        <f>IF(AND(($E52+$C$1)&gt;AZ$4,AZ$4&gt;=$C$1),'General Inputs'!W$9*$H52,IF(AND(($D52+$C$1)&gt;AZ$4,AZ$4&gt;=$C$1),'General Inputs'!W$9*$G52,0))+IF(AND(($E52+$C$1)&gt;AZ$4,AZ$4&gt;=$C$1),'General Inputs'!W$10*$J52,IF(AND(($D52+$C$1)&gt;AZ$4,AZ$4&gt;=$C$1),'General Inputs'!W$10*$I52,0))</f>
        <v>0</v>
      </c>
      <c r="BB52" s="214">
        <f>IF(AND(($E52+$C$1)&gt;BB$4,BB$4&gt;=$C$1),'General Inputs'!D$11*$H52,IF(AND(($D52+$C$1)&gt;BB$4,BB$4&gt;=$C$1),'General Inputs'!D$11*$G52,0))</f>
        <v>0</v>
      </c>
      <c r="BC52" s="214">
        <f>IF(AND(($E52+$C$1)&gt;BC$4,BC$4&gt;=$C$1),'General Inputs'!E$11*$H52,IF(AND(($D52+$C$1)&gt;BC$4,BC$4&gt;=$C$1),'General Inputs'!E$11*$G52,0))</f>
        <v>0</v>
      </c>
      <c r="BD52" s="214">
        <f>IF(AND(($E52+$C$1)&gt;BD$4,BD$4&gt;=$C$1),'General Inputs'!F$11*$H52,IF(AND(($D52+$C$1)&gt;BD$4,BD$4&gt;=$C$1),'General Inputs'!F$11*$G52,0))</f>
        <v>9.9343155374999998</v>
      </c>
      <c r="BE52" s="214">
        <f>IF(AND(($E52+$C$1)&gt;BE$4,BE$4&gt;=$C$1),'General Inputs'!G$11*$H52,IF(AND(($D52+$C$1)&gt;BE$4,BE$4&gt;=$C$1),'General Inputs'!G$11*$G52,0))</f>
        <v>9.9343155374999998</v>
      </c>
      <c r="BF52" s="214">
        <f>IF(AND(($E52+$C$1)&gt;BF$4,BF$4&gt;=$C$1),'General Inputs'!H$11*$H52,IF(AND(($D52+$C$1)&gt;BF$4,BF$4&gt;=$C$1),'General Inputs'!H$11*$G52,0))</f>
        <v>9.9343155374999998</v>
      </c>
      <c r="BG52" s="214">
        <f>IF(AND(($E52+$C$1)&gt;BG$4,BG$4&gt;=$C$1),'General Inputs'!I$11*$H52,IF(AND(($D52+$C$1)&gt;BG$4,BG$4&gt;=$C$1),'General Inputs'!I$11*$G52,0))</f>
        <v>9.9343155374999998</v>
      </c>
      <c r="BH52" s="214">
        <f>IF(AND(($E52+$C$1)&gt;BH$4,BH$4&gt;=$C$1),'General Inputs'!J$11*$H52,IF(AND(($D52+$C$1)&gt;BH$4,BH$4&gt;=$C$1),'General Inputs'!J$11*$G52,0))</f>
        <v>9.9343155374999998</v>
      </c>
      <c r="BI52" s="214">
        <f>IF(AND(($E52+$C$1)&gt;BI$4,BI$4&gt;=$C$1),'General Inputs'!K$11*$H52,IF(AND(($D52+$C$1)&gt;BI$4,BI$4&gt;=$C$1),'General Inputs'!K$11*$G52,0))</f>
        <v>9.9343155374999998</v>
      </c>
      <c r="BJ52" s="214">
        <f>IF(AND(($E52+$C$1)&gt;BJ$4,BJ$4&gt;=$C$1),'General Inputs'!L$11*$H52,IF(AND(($D52+$C$1)&gt;BJ$4,BJ$4&gt;=$C$1),'General Inputs'!L$11*$G52,0))</f>
        <v>9.9343155374999998</v>
      </c>
      <c r="BK52" s="214">
        <f>IF(AND(($E52+$C$1)&gt;BK$4,BK$4&gt;=$C$1),'General Inputs'!M$11*$H52,IF(AND(($D52+$C$1)&gt;BK$4,BK$4&gt;=$C$1),'General Inputs'!M$11*$G52,0))</f>
        <v>9.9343155374999998</v>
      </c>
      <c r="BL52" s="214">
        <f>IF(AND(($E52+$C$1)&gt;BL$4,BL$4&gt;=$C$1),'General Inputs'!N$11*$H52,IF(AND(($D52+$C$1)&gt;BL$4,BL$4&gt;=$C$1),'General Inputs'!N$11*$G52,0))</f>
        <v>9.9343155374999998</v>
      </c>
      <c r="BM52" s="214">
        <f>IF(AND(($E52+$C$1)&gt;BM$4,BM$4&gt;=$C$1),'General Inputs'!O$11*$H52,IF(AND(($D52+$C$1)&gt;BM$4,BM$4&gt;=$C$1),'General Inputs'!O$11*$G52,0))</f>
        <v>9.9343155374999998</v>
      </c>
      <c r="BN52" s="214">
        <f>IF(AND(($E52+$C$1)&gt;BN$4,BN$4&gt;=$C$1),'General Inputs'!P$11*$H52,IF(AND(($D52+$C$1)&gt;BN$4,BN$4&gt;=$C$1),'General Inputs'!P$11*$G52,0))</f>
        <v>9.9343155374999998</v>
      </c>
      <c r="BO52" s="214">
        <f>IF(AND(($E52+$C$1)&gt;BO$4,BO$4&gt;=$C$1),'General Inputs'!Q$11*$H52,IF(AND(($D52+$C$1)&gt;BO$4,BO$4&gt;=$C$1),'General Inputs'!Q$11*$G52,0))</f>
        <v>9.9343155374999998</v>
      </c>
      <c r="BP52" s="214">
        <f>IF(AND(($E52+$C$1)&gt;BP$4,BP$4&gt;=$C$1),'General Inputs'!R$11*$H52,IF(AND(($D52+$C$1)&gt;BP$4,BP$4&gt;=$C$1),'General Inputs'!R$11*$G52,0))</f>
        <v>9.9343155374999998</v>
      </c>
      <c r="BQ52" s="214">
        <f>IF(AND(($E52+$C$1)&gt;BQ$4,BQ$4&gt;=$C$1),'General Inputs'!S$11*$H52,IF(AND(($D52+$C$1)&gt;BQ$4,BQ$4&gt;=$C$1),'General Inputs'!S$11*$G52,0))</f>
        <v>9.9343155374999998</v>
      </c>
      <c r="BR52" s="214">
        <f>IF(AND(($E52+$C$1)&gt;BR$4,BR$4&gt;=$C$1),'General Inputs'!T$11*$H52,IF(AND(($D52+$C$1)&gt;BR$4,BR$4&gt;=$C$1),'General Inputs'!T$11*$G52,0))</f>
        <v>9.9343155374999998</v>
      </c>
      <c r="BS52" s="214">
        <f>IF(AND(($E52+$C$1)&gt;BS$4,BS$4&gt;=$C$1),'General Inputs'!U$11*$H52,IF(AND(($D52+$C$1)&gt;BS$4,BS$4&gt;=$C$1),'General Inputs'!U$11*$G52,0))</f>
        <v>0</v>
      </c>
      <c r="BT52" s="214">
        <f>IF(AND(($E52+$C$1)&gt;BT$4,BT$4&gt;=$C$1),'General Inputs'!V$11*$H52,IF(AND(($D52+$C$1)&gt;BT$4,BT$4&gt;=$C$1),'General Inputs'!V$11*$G52,0))</f>
        <v>0</v>
      </c>
      <c r="BU52" s="214">
        <f>IF(AND(($E52+$C$1)&gt;BU$4,BU$4&gt;=$C$1),'General Inputs'!W$11*$H52,IF(AND(($D52+$C$1)&gt;BU$4,BU$4&gt;=$C$1),'General Inputs'!W$11*$G52,0))</f>
        <v>0</v>
      </c>
      <c r="BW52" s="214">
        <f>IF(AND(($E52+$C$1)&gt;BW$4,BW$4&gt;=$C$1),$H52,IF(AND(($D52+$C$1)&gt;BW$4,BW$4&gt;=$C$1),$G52,0))*IF($A52="Residential",'General Inputs'!D$14,'General Inputs'!D$19)</f>
        <v>0</v>
      </c>
      <c r="BX52" s="214">
        <f>IF(AND(($E52+$C$1)&gt;BX$4,BX$4&gt;=$C$1),$H52,IF(AND(($D52+$C$1)&gt;BX$4,BX$4&gt;=$C$1),$G52,0))*IF($A52="Residential",'General Inputs'!E$14,'General Inputs'!E$19)</f>
        <v>0</v>
      </c>
      <c r="BY52" s="214">
        <f>IF(AND(($E52+$C$1)&gt;BY$4,BY$4&gt;=$C$1),$H52,IF(AND(($D52+$C$1)&gt;BY$4,BY$4&gt;=$C$1),$G52,0))*IF($A52="Residential",'General Inputs'!F$14,'General Inputs'!F$19)</f>
        <v>93.787223337575838</v>
      </c>
      <c r="BZ52" s="214">
        <f>IF(AND(($E52+$C$1)&gt;BZ$4,BZ$4&gt;=$C$1),$H52,IF(AND(($D52+$C$1)&gt;BZ$4,BZ$4&gt;=$C$1),$G52,0))*IF($A52="Residential",'General Inputs'!G$14,'General Inputs'!G$19)</f>
        <v>95.194031687639466</v>
      </c>
      <c r="CA52" s="214">
        <f>IF(AND(($E52+$C$1)&gt;CA$4,CA$4&gt;=$C$1),$H52,IF(AND(($D52+$C$1)&gt;CA$4,CA$4&gt;=$C$1),$G52,0))*IF($A52="Residential",'General Inputs'!H$14,'General Inputs'!H$19)</f>
        <v>96.621942162954042</v>
      </c>
      <c r="CB52" s="214">
        <f>IF(AND(($E52+$C$1)&gt;CB$4,CB$4&gt;=$C$1),$H52,IF(AND(($D52+$C$1)&gt;CB$4,CB$4&gt;=$C$1),$G52,0))*IF($A52="Residential",'General Inputs'!I$14,'General Inputs'!I$19)</f>
        <v>98.071271295398333</v>
      </c>
      <c r="CC52" s="214">
        <f>IF(AND(($E52+$C$1)&gt;CC$4,CC$4&gt;=$C$1),$H52,IF(AND(($D52+$C$1)&gt;CC$4,CC$4&gt;=$C$1),$G52,0))*IF($A52="Residential",'General Inputs'!J$14,'General Inputs'!J$19)</f>
        <v>99.542340364829315</v>
      </c>
      <c r="CD52" s="214">
        <f>IF(AND(($E52+$C$1)&gt;CD$4,CD$4&gt;=$C$1),$H52,IF(AND(($D52+$C$1)&gt;CD$4,CD$4&gt;=$C$1),$G52,0))*IF($A52="Residential",'General Inputs'!K$14,'General Inputs'!K$19)</f>
        <v>101.03547547030173</v>
      </c>
      <c r="CE52" s="214">
        <f>IF(AND(($E52+$C$1)&gt;CE$4,CE$4&gt;=$C$1),$H52,IF(AND(($D52+$C$1)&gt;CE$4,CE$4&gt;=$C$1),$G52,0))*IF($A52="Residential",'General Inputs'!L$14,'General Inputs'!L$19)</f>
        <v>102.55100760235625</v>
      </c>
      <c r="CF52" s="214">
        <f>IF(AND(($E52+$C$1)&gt;CF$4,CF$4&gt;=$C$1),$H52,IF(AND(($D52+$C$1)&gt;CF$4,CF$4&gt;=$C$1),$G52,0))*IF($A52="Residential",'General Inputs'!M$14,'General Inputs'!M$19)</f>
        <v>104.08927271639159</v>
      </c>
      <c r="CG52" s="214">
        <f>IF(AND(($E52+$C$1)&gt;CG$4,CG$4&gt;=$C$1),$H52,IF(AND(($D52+$C$1)&gt;CG$4,CG$4&gt;=$C$1),$G52,0))*IF($A52="Residential",'General Inputs'!N$14,'General Inputs'!N$19)</f>
        <v>105.65061180713745</v>
      </c>
      <c r="CH52" s="214">
        <f>IF(AND(($E52+$C$1)&gt;CH$4,CH$4&gt;=$C$1),$H52,IF(AND(($D52+$C$1)&gt;CH$4,CH$4&gt;=$C$1),$G52,0))*IF($A52="Residential",'General Inputs'!O$14,'General Inputs'!O$19)</f>
        <v>107.2353709842445</v>
      </c>
      <c r="CI52" s="214">
        <f>IF(AND(($E52+$C$1)&gt;CI$4,CI$4&gt;=$C$1),$H52,IF(AND(($D52+$C$1)&gt;CI$4,CI$4&gt;=$C$1),$G52,0))*IF($A52="Residential",'General Inputs'!P$14,'General Inputs'!P$19)</f>
        <v>108.84390154900817</v>
      </c>
      <c r="CJ52" s="214">
        <f>IF(AND(($E52+$C$1)&gt;CJ$4,CJ$4&gt;=$C$1),$H52,IF(AND(($D52+$C$1)&gt;CJ$4,CJ$4&gt;=$C$1),$G52,0))*IF($A52="Residential",'General Inputs'!Q$14,'General Inputs'!Q$19)</f>
        <v>110.47656007224327</v>
      </c>
      <c r="CK52" s="214">
        <f>IF(AND(($E52+$C$1)&gt;CK$4,CK$4&gt;=$C$1),$H52,IF(AND(($D52+$C$1)&gt;CK$4,CK$4&gt;=$C$1),$G52,0))*IF($A52="Residential",'General Inputs'!R$14,'General Inputs'!R$19)</f>
        <v>112.13370847332691</v>
      </c>
      <c r="CL52" s="214">
        <f>IF(AND(($E52+$C$1)&gt;CL$4,CL$4&gt;=$C$1),$H52,IF(AND(($D52+$C$1)&gt;CL$4,CL$4&gt;=$C$1),$G52,0))*IF($A52="Residential",'General Inputs'!S$14,'General Inputs'!S$19)</f>
        <v>113.8157141004268</v>
      </c>
      <c r="CM52" s="214">
        <f>IF(AND(($E52+$C$1)&gt;CM$4,CM$4&gt;=$C$1),$H52,IF(AND(($D52+$C$1)&gt;CM$4,CM$4&gt;=$C$1),$G52,0))*IF($A52="Residential",'General Inputs'!T$14,'General Inputs'!T$19)</f>
        <v>115.5229498119332</v>
      </c>
      <c r="CN52" s="214">
        <f>IF(AND(($E52+$C$1)&gt;CN$4,CN$4&gt;=$C$1),$H52,IF(AND(($D52+$C$1)&gt;CN$4,CN$4&gt;=$C$1),$G52,0))*IF($A52="Residential",'General Inputs'!U$14,'General Inputs'!U$19)</f>
        <v>0</v>
      </c>
      <c r="CO52" s="214">
        <f>IF(AND(($E52+$C$1)&gt;CO$4,CO$4&gt;=$C$1),$H52,IF(AND(($D52+$C$1)&gt;CO$4,CO$4&gt;=$C$1),$G52,0))*IF($A52="Residential",'General Inputs'!V$14,'General Inputs'!V$19)</f>
        <v>0</v>
      </c>
      <c r="CP52" s="214">
        <f>IF(AND(($E52+$C$1)&gt;CP$4,CP$4&gt;=$C$1),$H52,IF(AND(($D52+$C$1)&gt;CP$4,CP$4&gt;=$C$1),$G52,0))*IF($A52="Residential",'General Inputs'!W$14,'General Inputs'!W$19)</f>
        <v>0</v>
      </c>
      <c r="CR52" s="214">
        <f>IF(AND(($E52+$C$1)&gt;CR$4,CR$4&gt;=$C$1),$H52,IF(AND(($D52+$C$1)&gt;CR$4,CR$4&gt;=$C$1),$G52,0))*IF($A52="Residential",'General Inputs'!D$15,'General Inputs'!D$19)</f>
        <v>0</v>
      </c>
      <c r="CS52" s="214">
        <f>IF(AND(($E52+$C$1)&gt;CS$4,CS$4&gt;=$C$1),$H52,IF(AND(($D52+$C$1)&gt;CS$4,CS$4&gt;=$C$1),$G52,0))*IF($A52="Residential",'General Inputs'!E$15,'General Inputs'!E$19)</f>
        <v>0</v>
      </c>
      <c r="CT52" s="214">
        <f>IF(AND(($E52+$C$1)&gt;CT$4,CT$4&gt;=$C$1),$H52,IF(AND(($D52+$C$1)&gt;CT$4,CT$4&gt;=$C$1),$G52,0))*IF($A52="Residential",'General Inputs'!F$15,'General Inputs'!F$19)</f>
        <v>93.787223337575838</v>
      </c>
      <c r="CU52" s="214">
        <f>IF(AND(($E52+$C$1)&gt;CU$4,CU$4&gt;=$C$1),$H52,IF(AND(($D52+$C$1)&gt;CU$4,CU$4&gt;=$C$1),$G52,0))*IF($A52="Residential",'General Inputs'!G$15,'General Inputs'!G$19)</f>
        <v>95.194031687639466</v>
      </c>
      <c r="CV52" s="214">
        <f>IF(AND(($E52+$C$1)&gt;CV$4,CV$4&gt;=$C$1),$H52,IF(AND(($D52+$C$1)&gt;CV$4,CV$4&gt;=$C$1),$G52,0))*IF($A52="Residential",'General Inputs'!H$15,'General Inputs'!H$19)</f>
        <v>96.621942162954042</v>
      </c>
      <c r="CW52" s="214">
        <f>IF(AND(($E52+$C$1)&gt;CW$4,CW$4&gt;=$C$1),$H52,IF(AND(($D52+$C$1)&gt;CW$4,CW$4&gt;=$C$1),$G52,0))*IF($A52="Residential",'General Inputs'!I$15,'General Inputs'!I$19)</f>
        <v>98.071271295398333</v>
      </c>
      <c r="CX52" s="214">
        <f>IF(AND(($E52+$C$1)&gt;CX$4,CX$4&gt;=$C$1),$H52,IF(AND(($D52+$C$1)&gt;CX$4,CX$4&gt;=$C$1),$G52,0))*IF($A52="Residential",'General Inputs'!J$15,'General Inputs'!J$19)</f>
        <v>99.542340364829315</v>
      </c>
      <c r="CY52" s="214">
        <f>IF(AND(($E52+$C$1)&gt;CY$4,CY$4&gt;=$C$1),$H52,IF(AND(($D52+$C$1)&gt;CY$4,CY$4&gt;=$C$1),$G52,0))*IF($A52="Residential",'General Inputs'!K$15,'General Inputs'!K$19)</f>
        <v>101.03547547030173</v>
      </c>
      <c r="CZ52" s="214">
        <f>IF(AND(($E52+$C$1)&gt;CZ$4,CZ$4&gt;=$C$1),$H52,IF(AND(($D52+$C$1)&gt;CZ$4,CZ$4&gt;=$C$1),$G52,0))*IF($A52="Residential",'General Inputs'!L$15,'General Inputs'!L$19)</f>
        <v>102.55100760235625</v>
      </c>
      <c r="DA52" s="214">
        <f>IF(AND(($E52+$C$1)&gt;DA$4,DA$4&gt;=$C$1),$H52,IF(AND(($D52+$C$1)&gt;DA$4,DA$4&gt;=$C$1),$G52,0))*IF($A52="Residential",'General Inputs'!M$15,'General Inputs'!M$19)</f>
        <v>104.08927271639159</v>
      </c>
      <c r="DB52" s="214">
        <f>IF(AND(($E52+$C$1)&gt;DB$4,DB$4&gt;=$C$1),$H52,IF(AND(($D52+$C$1)&gt;DB$4,DB$4&gt;=$C$1),$G52,0))*IF($A52="Residential",'General Inputs'!N$15,'General Inputs'!N$19)</f>
        <v>105.65061180713745</v>
      </c>
      <c r="DC52" s="214">
        <f>IF(AND(($E52+$C$1)&gt;DC$4,DC$4&gt;=$C$1),$H52,IF(AND(($D52+$C$1)&gt;DC$4,DC$4&gt;=$C$1),$G52,0))*IF($A52="Residential",'General Inputs'!O$15,'General Inputs'!O$19)</f>
        <v>107.2353709842445</v>
      </c>
      <c r="DD52" s="214">
        <f>IF(AND(($E52+$C$1)&gt;DD$4,DD$4&gt;=$C$1),$H52,IF(AND(($D52+$C$1)&gt;DD$4,DD$4&gt;=$C$1),$G52,0))*IF($A52="Residential",'General Inputs'!P$15,'General Inputs'!P$19)</f>
        <v>108.84390154900817</v>
      </c>
      <c r="DE52" s="214">
        <f>IF(AND(($E52+$C$1)&gt;DE$4,DE$4&gt;=$C$1),$H52,IF(AND(($D52+$C$1)&gt;DE$4,DE$4&gt;=$C$1),$G52,0))*IF($A52="Residential",'General Inputs'!Q$15,'General Inputs'!Q$19)</f>
        <v>110.47656007224327</v>
      </c>
      <c r="DF52" s="214">
        <f>IF(AND(($E52+$C$1)&gt;DF$4,DF$4&gt;=$C$1),$H52,IF(AND(($D52+$C$1)&gt;DF$4,DF$4&gt;=$C$1),$G52,0))*IF($A52="Residential",'General Inputs'!R$15,'General Inputs'!R$19)</f>
        <v>112.13370847332691</v>
      </c>
      <c r="DG52" s="214">
        <f>IF(AND(($E52+$C$1)&gt;DG$4,DG$4&gt;=$C$1),$H52,IF(AND(($D52+$C$1)&gt;DG$4,DG$4&gt;=$C$1),$G52,0))*IF($A52="Residential",'General Inputs'!S$15,'General Inputs'!S$19)</f>
        <v>113.8157141004268</v>
      </c>
      <c r="DH52" s="214">
        <f>IF(AND(($E52+$C$1)&gt;DH$4,DH$4&gt;=$C$1),$H52,IF(AND(($D52+$C$1)&gt;DH$4,DH$4&gt;=$C$1),$G52,0))*IF($A52="Residential",'General Inputs'!T$15,'General Inputs'!T$19)</f>
        <v>115.5229498119332</v>
      </c>
      <c r="DI52" s="214">
        <f>IF(AND(($E52+$C$1)&gt;DI$4,DI$4&gt;=$C$1),$H52,IF(AND(($D52+$C$1)&gt;DI$4,DI$4&gt;=$C$1),$G52,0))*IF($A52="Residential",'General Inputs'!U$15,'General Inputs'!U$19)</f>
        <v>0</v>
      </c>
      <c r="DJ52" s="214">
        <f>IF(AND(($E52+$C$1)&gt;DJ$4,DJ$4&gt;=$C$1),$H52,IF(AND(($D52+$C$1)&gt;DJ$4,DJ$4&gt;=$C$1),$G52,0))*IF($A52="Residential",'General Inputs'!V$15,'General Inputs'!V$19)</f>
        <v>0</v>
      </c>
      <c r="DK52" s="214">
        <f>IF(AND(($E52+$C$1)&gt;DK$4,DK$4&gt;=$C$1),$H52,IF(AND(($D52+$C$1)&gt;DK$4,DK$4&gt;=$C$1),$G52,0))*IF($A52="Residential",'General Inputs'!W$15,'General Inputs'!W$19)</f>
        <v>0</v>
      </c>
      <c r="DM52" s="214">
        <f t="shared" si="99"/>
        <v>0</v>
      </c>
      <c r="DN52" s="214">
        <f t="shared" si="99"/>
        <v>0</v>
      </c>
      <c r="DO52" s="214">
        <f t="shared" si="99"/>
        <v>225</v>
      </c>
      <c r="DP52" s="214">
        <f t="shared" si="99"/>
        <v>0</v>
      </c>
      <c r="DQ52" s="214">
        <f t="shared" si="99"/>
        <v>0</v>
      </c>
      <c r="DR52" s="214">
        <f t="shared" si="99"/>
        <v>0</v>
      </c>
      <c r="DS52" s="214">
        <f t="shared" si="99"/>
        <v>0</v>
      </c>
      <c r="DT52" s="214">
        <f t="shared" si="99"/>
        <v>0</v>
      </c>
      <c r="DU52" s="214">
        <f t="shared" si="99"/>
        <v>0</v>
      </c>
      <c r="DV52" s="214">
        <f t="shared" si="99"/>
        <v>0</v>
      </c>
      <c r="DW52" s="214">
        <f t="shared" si="99"/>
        <v>0</v>
      </c>
      <c r="DZ52" s="650"/>
      <c r="FI52" s="195"/>
      <c r="FJ52" s="195"/>
      <c r="FK52" s="195"/>
      <c r="FL52" s="195"/>
      <c r="FM52" s="195"/>
      <c r="FN52" s="195"/>
      <c r="FO52" s="195"/>
    </row>
    <row r="53" spans="1:171">
      <c r="A53" s="342" t="s">
        <v>112</v>
      </c>
      <c r="B53" s="427" t="str">
        <f>'Portfolio Inputs'!A52</f>
        <v>High Performance T8 (3-4 Lamp)</v>
      </c>
      <c r="C53" s="217">
        <f>IF($C$1=2014,'Portfolio Inputs'!$C52,IF($C$1=2015,'Portfolio Inputs'!$D52,'Portfolio Inputs'!$E52))</f>
        <v>15</v>
      </c>
      <c r="D53" s="504">
        <f>VLOOKUP(B53,Sources!$B$4:$J$104,2,FALSE)</f>
        <v>15</v>
      </c>
      <c r="E53" s="504">
        <f>VLOOKUP(B53,Sources!$B$4:$J$104,3,FALSE)</f>
        <v>0</v>
      </c>
      <c r="G53" s="504">
        <f>IF($C$1=2014,'Portfolio Inputs'!$G52,IF($C$1=2015,'Portfolio Inputs'!$H52,'Portfolio Inputs'!$I52))*EnergyLineLoss</f>
        <v>1394.2899</v>
      </c>
      <c r="H53" s="504"/>
      <c r="I53" s="595">
        <f>IF($C$1=2014,'Portfolio Inputs'!$K52,IF($C$1=2015,'Portfolio Inputs'!$L52,'Portfolio Inputs'!$M52))*PeakLineLoss</f>
        <v>0.21559824</v>
      </c>
      <c r="J53" s="510"/>
      <c r="L53" s="606">
        <f>IF($C$1=2014,'Portfolio Inputs'!$O52,IF($C$1=2015,'Portfolio Inputs'!$P52,'Portfolio Inputs'!$Q52))</f>
        <v>18</v>
      </c>
      <c r="M53" s="518">
        <f>VLOOKUP($B53,Sources!$B$4:$K$104,10,FALSE)</f>
        <v>0</v>
      </c>
      <c r="N53" s="419">
        <f>IF($C$1=2014,'Portfolio Inputs'!$W52,IF($C$1=2015,'Portfolio Inputs'!$X52,'Portfolio Inputs'!$Y52))</f>
        <v>270</v>
      </c>
      <c r="O53" s="419">
        <f>IF($C$1=2014,'Portfolio Inputs'!$AA52,IF($C$1=2015,'Portfolio Inputs'!$AB52,'Portfolio Inputs'!$AC52))</f>
        <v>0</v>
      </c>
      <c r="Q53" s="438">
        <f t="shared" si="67"/>
        <v>2.1572695124961156</v>
      </c>
      <c r="R53" s="439">
        <f t="shared" si="68"/>
        <v>2.1572695124961152</v>
      </c>
      <c r="S53" s="439">
        <f t="shared" si="69"/>
        <v>2.6786658431055703</v>
      </c>
      <c r="T53" s="439">
        <f t="shared" si="70"/>
        <v>6.3495245616054907</v>
      </c>
      <c r="U53" s="439">
        <f t="shared" si="98"/>
        <v>6.3495245616054907</v>
      </c>
      <c r="V53" s="439">
        <f t="shared" si="72"/>
        <v>0.33975292032741511</v>
      </c>
      <c r="W53" s="439">
        <f t="shared" si="73"/>
        <v>0.33975292032741511</v>
      </c>
      <c r="Y53" s="215">
        <f t="shared" si="4"/>
        <v>491.68969219317307</v>
      </c>
      <c r="Z53" s="215">
        <f t="shared" si="5"/>
        <v>118.83781781692166</v>
      </c>
      <c r="AA53" s="215">
        <f t="shared" si="6"/>
        <v>1219.2756027188138</v>
      </c>
      <c r="AB53" s="215">
        <f t="shared" si="7"/>
        <v>1219.2756027188138</v>
      </c>
      <c r="AC53" s="216">
        <f t="shared" si="20"/>
        <v>0</v>
      </c>
      <c r="AD53" s="216">
        <f t="shared" si="21"/>
        <v>227.92223657963481</v>
      </c>
      <c r="AE53" s="215">
        <f t="shared" si="8"/>
        <v>227.92223657963478</v>
      </c>
      <c r="AG53" s="214">
        <f>IF(AND(($E53+$C$1)&gt;AG$4,AG$4&gt;=$C$1),'General Inputs'!D$9*$H53,IF(AND(($D53+$C$1)&gt;AG$4,AG$4&gt;=$C$1),'General Inputs'!D$9*$G53,0))+IF(AND(($E53+$C$1)&gt;AG$4,AG$4&gt;=$C$1),'General Inputs'!D$10*$J53,IF(AND(($D53+$C$1)&gt;AG$4,AG$4&gt;=$C$1),'General Inputs'!D$10*$I53,0))</f>
        <v>0</v>
      </c>
      <c r="AH53" s="214">
        <f>IF(AND(($E53+$C$1)&gt;AH$4,AH$4&gt;=$C$1),'General Inputs'!E$9*$H53,IF(AND(($D53+$C$1)&gt;AH$4,AH$4&gt;=$C$1),'General Inputs'!E$9*$G53,0))+IF(AND(($E53+$C$1)&gt;AH$4,AH$4&gt;=$C$1),'General Inputs'!E$10*$J53,IF(AND(($D53+$C$1)&gt;AH$4,AH$4&gt;=$C$1),'General Inputs'!E$10*$I53,0))</f>
        <v>0</v>
      </c>
      <c r="AI53" s="214">
        <f>IF(AND(($E53+$C$1)&gt;AI$4,AI$4&gt;=$C$1),'General Inputs'!F$9*$H53,IF(AND(($D53+$C$1)&gt;AI$4,AI$4&gt;=$C$1),'General Inputs'!F$9*$G53,0))+IF(AND(($E53+$C$1)&gt;AI$4,AI$4&gt;=$C$1),'General Inputs'!F$10*$J53,IF(AND(($D53+$C$1)&gt;AI$4,AI$4&gt;=$C$1),'General Inputs'!F$10*$I53,0))</f>
        <v>60.513584783196592</v>
      </c>
      <c r="AJ53" s="214">
        <f>IF(AND(($E53+$C$1)&gt;AJ$4,AJ$4&gt;=$C$1),'General Inputs'!G$9*$H53,IF(AND(($D53+$C$1)&gt;AJ$4,AJ$4&gt;=$C$1),'General Inputs'!G$9*$G53,0))+IF(AND(($E53+$C$1)&gt;AJ$4,AJ$4&gt;=$C$1),'General Inputs'!G$10*$J53,IF(AND(($D53+$C$1)&gt;AJ$4,AJ$4&gt;=$C$1),'General Inputs'!G$10*$I53,0))</f>
        <v>61.421288554944532</v>
      </c>
      <c r="AK53" s="214">
        <f>IF(AND(($E53+$C$1)&gt;AK$4,AK$4&gt;=$C$1),'General Inputs'!H$9*$H53,IF(AND(($D53+$C$1)&gt;AK$4,AK$4&gt;=$C$1),'General Inputs'!H$9*$G53,0))+IF(AND(($E53+$C$1)&gt;AK$4,AK$4&gt;=$C$1),'General Inputs'!H$10*$J53,IF(AND(($D53+$C$1)&gt;AK$4,AK$4&gt;=$C$1),'General Inputs'!H$10*$I53,0))</f>
        <v>62.342607883268698</v>
      </c>
      <c r="AL53" s="214">
        <f>IF(AND(($E53+$C$1)&gt;AL$4,AL$4&gt;=$C$1),'General Inputs'!I$9*$H53,IF(AND(($D53+$C$1)&gt;AL$4,AL$4&gt;=$C$1),'General Inputs'!I$9*$G53,0))+IF(AND(($E53+$C$1)&gt;AL$4,AL$4&gt;=$C$1),'General Inputs'!I$10*$J53,IF(AND(($D53+$C$1)&gt;AL$4,AL$4&gt;=$C$1),'General Inputs'!I$10*$I53,0))</f>
        <v>63.27774700151771</v>
      </c>
      <c r="AM53" s="214">
        <f>IF(AND(($E53+$C$1)&gt;AM$4,AM$4&gt;=$C$1),'General Inputs'!J$9*$H53,IF(AND(($D53+$C$1)&gt;AM$4,AM$4&gt;=$C$1),'General Inputs'!J$9*$G53,0))+IF(AND(($E53+$C$1)&gt;AM$4,AM$4&gt;=$C$1),'General Inputs'!J$10*$J53,IF(AND(($D53+$C$1)&gt;AM$4,AM$4&gt;=$C$1),'General Inputs'!J$10*$I53,0))</f>
        <v>64.226913206540473</v>
      </c>
      <c r="AN53" s="214">
        <f>IF(AND(($E53+$C$1)&gt;AN$4,AN$4&gt;=$C$1),'General Inputs'!K$9*$H53,IF(AND(($D53+$C$1)&gt;AN$4,AN$4&gt;=$C$1),'General Inputs'!K$9*$G53,0))+IF(AND(($E53+$C$1)&gt;AN$4,AN$4&gt;=$C$1),'General Inputs'!K$10*$J53,IF(AND(($D53+$C$1)&gt;AN$4,AN$4&gt;=$C$1),'General Inputs'!K$10*$I53,0))</f>
        <v>65.190316904638564</v>
      </c>
      <c r="AO53" s="214">
        <f>IF(AND(($E53+$C$1)&gt;AO$4,AO$4&gt;=$C$1),'General Inputs'!L$9*$H53,IF(AND(($D53+$C$1)&gt;AO$4,AO$4&gt;=$C$1),'General Inputs'!L$9*$G53,0))+IF(AND(($E53+$C$1)&gt;AO$4,AO$4&gt;=$C$1),'General Inputs'!L$10*$J53,IF(AND(($D53+$C$1)&gt;AO$4,AO$4&gt;=$C$1),'General Inputs'!L$10*$I53,0))</f>
        <v>66.168171658208138</v>
      </c>
      <c r="AP53" s="214">
        <f>IF(AND(($E53+$C$1)&gt;AP$4,AP$4&gt;=$C$1),'General Inputs'!M$9*$H53,IF(AND(($D53+$C$1)&gt;AP$4,AP$4&gt;=$C$1),'General Inputs'!M$9*$G53,0))+IF(AND(($E53+$C$1)&gt;AP$4,AP$4&gt;=$C$1),'General Inputs'!M$10*$J53,IF(AND(($D53+$C$1)&gt;AP$4,AP$4&gt;=$C$1),'General Inputs'!M$10*$I53,0))</f>
        <v>67.160694233081259</v>
      </c>
      <c r="AQ53" s="214">
        <f>IF(AND(($E53+$C$1)&gt;AQ$4,AQ$4&gt;=$C$1),'General Inputs'!N$9*$H53,IF(AND(($D53+$C$1)&gt;AQ$4,AQ$4&gt;=$C$1),'General Inputs'!N$9*$G53,0))+IF(AND(($E53+$C$1)&gt;AQ$4,AQ$4&gt;=$C$1),'General Inputs'!N$10*$J53,IF(AND(($D53+$C$1)&gt;AQ$4,AQ$4&gt;=$C$1),'General Inputs'!N$10*$I53,0))</f>
        <v>68.168104646577476</v>
      </c>
      <c r="AR53" s="214">
        <f>IF(AND(($E53+$C$1)&gt;AR$4,AR$4&gt;=$C$1),'General Inputs'!O$9*$H53,IF(AND(($D53+$C$1)&gt;AR$4,AR$4&gt;=$C$1),'General Inputs'!O$9*$G53,0))+IF(AND(($E53+$C$1)&gt;AR$4,AR$4&gt;=$C$1),'General Inputs'!O$10*$J53,IF(AND(($D53+$C$1)&gt;AR$4,AR$4&gt;=$C$1),'General Inputs'!O$10*$I53,0))</f>
        <v>69.190626216276129</v>
      </c>
      <c r="AS53" s="214">
        <f>IF(AND(($E53+$C$1)&gt;AS$4,AS$4&gt;=$C$1),'General Inputs'!P$9*$H53,IF(AND(($D53+$C$1)&gt;AS$4,AS$4&gt;=$C$1),'General Inputs'!P$9*$G53,0))+IF(AND(($E53+$C$1)&gt;AS$4,AS$4&gt;=$C$1),'General Inputs'!P$10*$J53,IF(AND(($D53+$C$1)&gt;AS$4,AS$4&gt;=$C$1),'General Inputs'!P$10*$I53,0))</f>
        <v>70.228485609520263</v>
      </c>
      <c r="AT53" s="214">
        <f>IF(AND(($E53+$C$1)&gt;AT$4,AT$4&gt;=$C$1),'General Inputs'!Q$9*$H53,IF(AND(($D53+$C$1)&gt;AT$4,AT$4&gt;=$C$1),'General Inputs'!Q$9*$G53,0))+IF(AND(($E53+$C$1)&gt;AT$4,AT$4&gt;=$C$1),'General Inputs'!Q$10*$J53,IF(AND(($D53+$C$1)&gt;AT$4,AT$4&gt;=$C$1),'General Inputs'!Q$10*$I53,0))</f>
        <v>71.281912893663062</v>
      </c>
      <c r="AU53" s="214">
        <f>IF(AND(($E53+$C$1)&gt;AU$4,AU$4&gt;=$C$1),'General Inputs'!R$9*$H53,IF(AND(($D53+$C$1)&gt;AU$4,AU$4&gt;=$C$1),'General Inputs'!R$9*$G53,0))+IF(AND(($E53+$C$1)&gt;AU$4,AU$4&gt;=$C$1),'General Inputs'!R$10*$J53,IF(AND(($D53+$C$1)&gt;AU$4,AU$4&gt;=$C$1),'General Inputs'!R$10*$I53,0))</f>
        <v>72.351141587068</v>
      </c>
      <c r="AV53" s="214">
        <f>IF(AND(($E53+$C$1)&gt;AV$4,AV$4&gt;=$C$1),'General Inputs'!S$9*$H53,IF(AND(($D53+$C$1)&gt;AV$4,AV$4&gt;=$C$1),'General Inputs'!S$9*$G53,0))+IF(AND(($E53+$C$1)&gt;AV$4,AV$4&gt;=$C$1),'General Inputs'!S$10*$J53,IF(AND(($D53+$C$1)&gt;AV$4,AV$4&gt;=$C$1),'General Inputs'!S$10*$I53,0))</f>
        <v>73.436408710874019</v>
      </c>
      <c r="AW53" s="214">
        <f>IF(AND(($E53+$C$1)&gt;AW$4,AW$4&gt;=$C$1),'General Inputs'!T$9*$H53,IF(AND(($D53+$C$1)&gt;AW$4,AW$4&gt;=$C$1),'General Inputs'!T$9*$G53,0))+IF(AND(($E53+$C$1)&gt;AW$4,AW$4&gt;=$C$1),'General Inputs'!T$10*$J53,IF(AND(($D53+$C$1)&gt;AW$4,AW$4&gt;=$C$1),'General Inputs'!T$10*$I53,0))</f>
        <v>74.537954841537129</v>
      </c>
      <c r="AX53" s="214">
        <f>IF(AND(($E53+$C$1)&gt;AX$4,AX$4&gt;=$C$1),'General Inputs'!U$9*$H53,IF(AND(($D53+$C$1)&gt;AX$4,AX$4&gt;=$C$1),'General Inputs'!U$9*$G53,0))+IF(AND(($E53+$C$1)&gt;AX$4,AX$4&gt;=$C$1),'General Inputs'!U$10*$J53,IF(AND(($D53+$C$1)&gt;AX$4,AX$4&gt;=$C$1),'General Inputs'!U$10*$I53,0))</f>
        <v>0</v>
      </c>
      <c r="AY53" s="214">
        <f>IF(AND(($E53+$C$1)&gt;AY$4,AY$4&gt;=$C$1),'General Inputs'!V$9*$H53,IF(AND(($D53+$C$1)&gt;AY$4,AY$4&gt;=$C$1),'General Inputs'!V$9*$G53,0))+IF(AND(($E53+$C$1)&gt;AY$4,AY$4&gt;=$C$1),'General Inputs'!V$10*$J53,IF(AND(($D53+$C$1)&gt;AY$4,AY$4&gt;=$C$1),'General Inputs'!V$10*$I53,0))</f>
        <v>0</v>
      </c>
      <c r="AZ53" s="214">
        <f>IF(AND(($E53+$C$1)&gt;AZ$4,AZ$4&gt;=$C$1),'General Inputs'!W$9*$H53,IF(AND(($D53+$C$1)&gt;AZ$4,AZ$4&gt;=$C$1),'General Inputs'!W$9*$G53,0))+IF(AND(($E53+$C$1)&gt;AZ$4,AZ$4&gt;=$C$1),'General Inputs'!W$10*$J53,IF(AND(($D53+$C$1)&gt;AZ$4,AZ$4&gt;=$C$1),'General Inputs'!W$10*$I53,0))</f>
        <v>0</v>
      </c>
      <c r="BB53" s="214">
        <f>IF(AND(($E53+$C$1)&gt;BB$4,BB$4&gt;=$C$1),'General Inputs'!D$11*$H53,IF(AND(($D53+$C$1)&gt;BB$4,BB$4&gt;=$C$1),'General Inputs'!D$11*$G53,0))</f>
        <v>0</v>
      </c>
      <c r="BC53" s="214">
        <f>IF(AND(($E53+$C$1)&gt;BC$4,BC$4&gt;=$C$1),'General Inputs'!E$11*$H53,IF(AND(($D53+$C$1)&gt;BC$4,BC$4&gt;=$C$1),'General Inputs'!E$11*$G53,0))</f>
        <v>0</v>
      </c>
      <c r="BD53" s="214">
        <f>IF(AND(($E53+$C$1)&gt;BD$4,BD$4&gt;=$C$1),'General Inputs'!F$11*$H53,IF(AND(($D53+$C$1)&gt;BD$4,BD$4&gt;=$C$1),'General Inputs'!F$11*$G53,0))</f>
        <v>15.89490486</v>
      </c>
      <c r="BE53" s="214">
        <f>IF(AND(($E53+$C$1)&gt;BE$4,BE$4&gt;=$C$1),'General Inputs'!G$11*$H53,IF(AND(($D53+$C$1)&gt;BE$4,BE$4&gt;=$C$1),'General Inputs'!G$11*$G53,0))</f>
        <v>15.89490486</v>
      </c>
      <c r="BF53" s="214">
        <f>IF(AND(($E53+$C$1)&gt;BF$4,BF$4&gt;=$C$1),'General Inputs'!H$11*$H53,IF(AND(($D53+$C$1)&gt;BF$4,BF$4&gt;=$C$1),'General Inputs'!H$11*$G53,0))</f>
        <v>15.89490486</v>
      </c>
      <c r="BG53" s="214">
        <f>IF(AND(($E53+$C$1)&gt;BG$4,BG$4&gt;=$C$1),'General Inputs'!I$11*$H53,IF(AND(($D53+$C$1)&gt;BG$4,BG$4&gt;=$C$1),'General Inputs'!I$11*$G53,0))</f>
        <v>15.89490486</v>
      </c>
      <c r="BH53" s="214">
        <f>IF(AND(($E53+$C$1)&gt;BH$4,BH$4&gt;=$C$1),'General Inputs'!J$11*$H53,IF(AND(($D53+$C$1)&gt;BH$4,BH$4&gt;=$C$1),'General Inputs'!J$11*$G53,0))</f>
        <v>15.89490486</v>
      </c>
      <c r="BI53" s="214">
        <f>IF(AND(($E53+$C$1)&gt;BI$4,BI$4&gt;=$C$1),'General Inputs'!K$11*$H53,IF(AND(($D53+$C$1)&gt;BI$4,BI$4&gt;=$C$1),'General Inputs'!K$11*$G53,0))</f>
        <v>15.89490486</v>
      </c>
      <c r="BJ53" s="214">
        <f>IF(AND(($E53+$C$1)&gt;BJ$4,BJ$4&gt;=$C$1),'General Inputs'!L$11*$H53,IF(AND(($D53+$C$1)&gt;BJ$4,BJ$4&gt;=$C$1),'General Inputs'!L$11*$G53,0))</f>
        <v>15.89490486</v>
      </c>
      <c r="BK53" s="214">
        <f>IF(AND(($E53+$C$1)&gt;BK$4,BK$4&gt;=$C$1),'General Inputs'!M$11*$H53,IF(AND(($D53+$C$1)&gt;BK$4,BK$4&gt;=$C$1),'General Inputs'!M$11*$G53,0))</f>
        <v>15.89490486</v>
      </c>
      <c r="BL53" s="214">
        <f>IF(AND(($E53+$C$1)&gt;BL$4,BL$4&gt;=$C$1),'General Inputs'!N$11*$H53,IF(AND(($D53+$C$1)&gt;BL$4,BL$4&gt;=$C$1),'General Inputs'!N$11*$G53,0))</f>
        <v>15.89490486</v>
      </c>
      <c r="BM53" s="214">
        <f>IF(AND(($E53+$C$1)&gt;BM$4,BM$4&gt;=$C$1),'General Inputs'!O$11*$H53,IF(AND(($D53+$C$1)&gt;BM$4,BM$4&gt;=$C$1),'General Inputs'!O$11*$G53,0))</f>
        <v>15.89490486</v>
      </c>
      <c r="BN53" s="214">
        <f>IF(AND(($E53+$C$1)&gt;BN$4,BN$4&gt;=$C$1),'General Inputs'!P$11*$H53,IF(AND(($D53+$C$1)&gt;BN$4,BN$4&gt;=$C$1),'General Inputs'!P$11*$G53,0))</f>
        <v>15.89490486</v>
      </c>
      <c r="BO53" s="214">
        <f>IF(AND(($E53+$C$1)&gt;BO$4,BO$4&gt;=$C$1),'General Inputs'!Q$11*$H53,IF(AND(($D53+$C$1)&gt;BO$4,BO$4&gt;=$C$1),'General Inputs'!Q$11*$G53,0))</f>
        <v>15.89490486</v>
      </c>
      <c r="BP53" s="214">
        <f>IF(AND(($E53+$C$1)&gt;BP$4,BP$4&gt;=$C$1),'General Inputs'!R$11*$H53,IF(AND(($D53+$C$1)&gt;BP$4,BP$4&gt;=$C$1),'General Inputs'!R$11*$G53,0))</f>
        <v>15.89490486</v>
      </c>
      <c r="BQ53" s="214">
        <f>IF(AND(($E53+$C$1)&gt;BQ$4,BQ$4&gt;=$C$1),'General Inputs'!S$11*$H53,IF(AND(($D53+$C$1)&gt;BQ$4,BQ$4&gt;=$C$1),'General Inputs'!S$11*$G53,0))</f>
        <v>15.89490486</v>
      </c>
      <c r="BR53" s="214">
        <f>IF(AND(($E53+$C$1)&gt;BR$4,BR$4&gt;=$C$1),'General Inputs'!T$11*$H53,IF(AND(($D53+$C$1)&gt;BR$4,BR$4&gt;=$C$1),'General Inputs'!T$11*$G53,0))</f>
        <v>15.89490486</v>
      </c>
      <c r="BS53" s="214">
        <f>IF(AND(($E53+$C$1)&gt;BS$4,BS$4&gt;=$C$1),'General Inputs'!U$11*$H53,IF(AND(($D53+$C$1)&gt;BS$4,BS$4&gt;=$C$1),'General Inputs'!U$11*$G53,0))</f>
        <v>0</v>
      </c>
      <c r="BT53" s="214">
        <f>IF(AND(($E53+$C$1)&gt;BT$4,BT$4&gt;=$C$1),'General Inputs'!V$11*$H53,IF(AND(($D53+$C$1)&gt;BT$4,BT$4&gt;=$C$1),'General Inputs'!V$11*$G53,0))</f>
        <v>0</v>
      </c>
      <c r="BU53" s="214">
        <f>IF(AND(($E53+$C$1)&gt;BU$4,BU$4&gt;=$C$1),'General Inputs'!W$11*$H53,IF(AND(($D53+$C$1)&gt;BU$4,BU$4&gt;=$C$1),'General Inputs'!W$11*$G53,0))</f>
        <v>0</v>
      </c>
      <c r="BW53" s="214">
        <f>IF(AND(($E53+$C$1)&gt;BW$4,BW$4&gt;=$C$1),$H53,IF(AND(($D53+$C$1)&gt;BW$4,BW$4&gt;=$C$1),$G53,0))*IF($A53="Residential",'General Inputs'!D$14,'General Inputs'!D$19)</f>
        <v>0</v>
      </c>
      <c r="BX53" s="214">
        <f>IF(AND(($E53+$C$1)&gt;BX$4,BX$4&gt;=$C$1),$H53,IF(AND(($D53+$C$1)&gt;BX$4,BX$4&gt;=$C$1),$G53,0))*IF($A53="Residential",'General Inputs'!E$14,'General Inputs'!E$19)</f>
        <v>0</v>
      </c>
      <c r="BY53" s="214">
        <f>IF(AND(($E53+$C$1)&gt;BY$4,BY$4&gt;=$C$1),$H53,IF(AND(($D53+$C$1)&gt;BY$4,BY$4&gt;=$C$1),$G53,0))*IF($A53="Residential",'General Inputs'!F$14,'General Inputs'!F$19)</f>
        <v>150.05955734012136</v>
      </c>
      <c r="BZ53" s="214">
        <f>IF(AND(($E53+$C$1)&gt;BZ$4,BZ$4&gt;=$C$1),$H53,IF(AND(($D53+$C$1)&gt;BZ$4,BZ$4&gt;=$C$1),$G53,0))*IF($A53="Residential",'General Inputs'!G$14,'General Inputs'!G$19)</f>
        <v>152.31045070022316</v>
      </c>
      <c r="CA53" s="214">
        <f>IF(AND(($E53+$C$1)&gt;CA$4,CA$4&gt;=$C$1),$H53,IF(AND(($D53+$C$1)&gt;CA$4,CA$4&gt;=$C$1),$G53,0))*IF($A53="Residential",'General Inputs'!H$14,'General Inputs'!H$19)</f>
        <v>154.59510746072647</v>
      </c>
      <c r="CB53" s="214">
        <f>IF(AND(($E53+$C$1)&gt;CB$4,CB$4&gt;=$C$1),$H53,IF(AND(($D53+$C$1)&gt;CB$4,CB$4&gt;=$C$1),$G53,0))*IF($A53="Residential",'General Inputs'!I$14,'General Inputs'!I$19)</f>
        <v>156.91403407263735</v>
      </c>
      <c r="CC53" s="214">
        <f>IF(AND(($E53+$C$1)&gt;CC$4,CC$4&gt;=$C$1),$H53,IF(AND(($D53+$C$1)&gt;CC$4,CC$4&gt;=$C$1),$G53,0))*IF($A53="Residential",'General Inputs'!J$14,'General Inputs'!J$19)</f>
        <v>159.26774458372691</v>
      </c>
      <c r="CD53" s="214">
        <f>IF(AND(($E53+$C$1)&gt;CD$4,CD$4&gt;=$C$1),$H53,IF(AND(($D53+$C$1)&gt;CD$4,CD$4&gt;=$C$1),$G53,0))*IF($A53="Residential",'General Inputs'!K$14,'General Inputs'!K$19)</f>
        <v>161.65676075248277</v>
      </c>
      <c r="CE53" s="214">
        <f>IF(AND(($E53+$C$1)&gt;CE$4,CE$4&gt;=$C$1),$H53,IF(AND(($D53+$C$1)&gt;CE$4,CE$4&gt;=$C$1),$G53,0))*IF($A53="Residential",'General Inputs'!L$14,'General Inputs'!L$19)</f>
        <v>164.08161216377002</v>
      </c>
      <c r="CF53" s="214">
        <f>IF(AND(($E53+$C$1)&gt;CF$4,CF$4&gt;=$C$1),$H53,IF(AND(($D53+$C$1)&gt;CF$4,CF$4&gt;=$C$1),$G53,0))*IF($A53="Residential",'General Inputs'!M$14,'General Inputs'!M$19)</f>
        <v>166.54283634622655</v>
      </c>
      <c r="CG53" s="214">
        <f>IF(AND(($E53+$C$1)&gt;CG$4,CG$4&gt;=$C$1),$H53,IF(AND(($D53+$C$1)&gt;CG$4,CG$4&gt;=$C$1),$G53,0))*IF($A53="Residential",'General Inputs'!N$14,'General Inputs'!N$19)</f>
        <v>169.04097889141994</v>
      </c>
      <c r="CH53" s="214">
        <f>IF(AND(($E53+$C$1)&gt;CH$4,CH$4&gt;=$C$1),$H53,IF(AND(($D53+$C$1)&gt;CH$4,CH$4&gt;=$C$1),$G53,0))*IF($A53="Residential",'General Inputs'!O$14,'General Inputs'!O$19)</f>
        <v>171.57659357479119</v>
      </c>
      <c r="CI53" s="214">
        <f>IF(AND(($E53+$C$1)&gt;CI$4,CI$4&gt;=$C$1),$H53,IF(AND(($D53+$C$1)&gt;CI$4,CI$4&gt;=$C$1),$G53,0))*IF($A53="Residential",'General Inputs'!P$14,'General Inputs'!P$19)</f>
        <v>174.15024247841308</v>
      </c>
      <c r="CJ53" s="214">
        <f>IF(AND(($E53+$C$1)&gt;CJ$4,CJ$4&gt;=$C$1),$H53,IF(AND(($D53+$C$1)&gt;CJ$4,CJ$4&gt;=$C$1),$G53,0))*IF($A53="Residential",'General Inputs'!Q$14,'General Inputs'!Q$19)</f>
        <v>176.76249611558924</v>
      </c>
      <c r="CK53" s="214">
        <f>IF(AND(($E53+$C$1)&gt;CK$4,CK$4&gt;=$C$1),$H53,IF(AND(($D53+$C$1)&gt;CK$4,CK$4&gt;=$C$1),$G53,0))*IF($A53="Residential",'General Inputs'!R$14,'General Inputs'!R$19)</f>
        <v>179.41393355732305</v>
      </c>
      <c r="CL53" s="214">
        <f>IF(AND(($E53+$C$1)&gt;CL$4,CL$4&gt;=$C$1),$H53,IF(AND(($D53+$C$1)&gt;CL$4,CL$4&gt;=$C$1),$G53,0))*IF($A53="Residential",'General Inputs'!S$14,'General Inputs'!S$19)</f>
        <v>182.10514256068291</v>
      </c>
      <c r="CM53" s="214">
        <f>IF(AND(($E53+$C$1)&gt;CM$4,CM$4&gt;=$C$1),$H53,IF(AND(($D53+$C$1)&gt;CM$4,CM$4&gt;=$C$1),$G53,0))*IF($A53="Residential",'General Inputs'!T$14,'General Inputs'!T$19)</f>
        <v>184.83671969909312</v>
      </c>
      <c r="CN53" s="214">
        <f>IF(AND(($E53+$C$1)&gt;CN$4,CN$4&gt;=$C$1),$H53,IF(AND(($D53+$C$1)&gt;CN$4,CN$4&gt;=$C$1),$G53,0))*IF($A53="Residential",'General Inputs'!U$14,'General Inputs'!U$19)</f>
        <v>0</v>
      </c>
      <c r="CO53" s="214">
        <f>IF(AND(($E53+$C$1)&gt;CO$4,CO$4&gt;=$C$1),$H53,IF(AND(($D53+$C$1)&gt;CO$4,CO$4&gt;=$C$1),$G53,0))*IF($A53="Residential",'General Inputs'!V$14,'General Inputs'!V$19)</f>
        <v>0</v>
      </c>
      <c r="CP53" s="214">
        <f>IF(AND(($E53+$C$1)&gt;CP$4,CP$4&gt;=$C$1),$H53,IF(AND(($D53+$C$1)&gt;CP$4,CP$4&gt;=$C$1),$G53,0))*IF($A53="Residential",'General Inputs'!W$14,'General Inputs'!W$19)</f>
        <v>0</v>
      </c>
      <c r="CR53" s="214">
        <f>IF(AND(($E53+$C$1)&gt;CR$4,CR$4&gt;=$C$1),$H53,IF(AND(($D53+$C$1)&gt;CR$4,CR$4&gt;=$C$1),$G53,0))*IF($A53="Residential",'General Inputs'!D$15,'General Inputs'!D$19)</f>
        <v>0</v>
      </c>
      <c r="CS53" s="214">
        <f>IF(AND(($E53+$C$1)&gt;CS$4,CS$4&gt;=$C$1),$H53,IF(AND(($D53+$C$1)&gt;CS$4,CS$4&gt;=$C$1),$G53,0))*IF($A53="Residential",'General Inputs'!E$15,'General Inputs'!E$19)</f>
        <v>0</v>
      </c>
      <c r="CT53" s="214">
        <f>IF(AND(($E53+$C$1)&gt;CT$4,CT$4&gt;=$C$1),$H53,IF(AND(($D53+$C$1)&gt;CT$4,CT$4&gt;=$C$1),$G53,0))*IF($A53="Residential",'General Inputs'!F$15,'General Inputs'!F$19)</f>
        <v>150.05955734012136</v>
      </c>
      <c r="CU53" s="214">
        <f>IF(AND(($E53+$C$1)&gt;CU$4,CU$4&gt;=$C$1),$H53,IF(AND(($D53+$C$1)&gt;CU$4,CU$4&gt;=$C$1),$G53,0))*IF($A53="Residential",'General Inputs'!G$15,'General Inputs'!G$19)</f>
        <v>152.31045070022316</v>
      </c>
      <c r="CV53" s="214">
        <f>IF(AND(($E53+$C$1)&gt;CV$4,CV$4&gt;=$C$1),$H53,IF(AND(($D53+$C$1)&gt;CV$4,CV$4&gt;=$C$1),$G53,0))*IF($A53="Residential",'General Inputs'!H$15,'General Inputs'!H$19)</f>
        <v>154.59510746072647</v>
      </c>
      <c r="CW53" s="214">
        <f>IF(AND(($E53+$C$1)&gt;CW$4,CW$4&gt;=$C$1),$H53,IF(AND(($D53+$C$1)&gt;CW$4,CW$4&gt;=$C$1),$G53,0))*IF($A53="Residential",'General Inputs'!I$15,'General Inputs'!I$19)</f>
        <v>156.91403407263735</v>
      </c>
      <c r="CX53" s="214">
        <f>IF(AND(($E53+$C$1)&gt;CX$4,CX$4&gt;=$C$1),$H53,IF(AND(($D53+$C$1)&gt;CX$4,CX$4&gt;=$C$1),$G53,0))*IF($A53="Residential",'General Inputs'!J$15,'General Inputs'!J$19)</f>
        <v>159.26774458372691</v>
      </c>
      <c r="CY53" s="214">
        <f>IF(AND(($E53+$C$1)&gt;CY$4,CY$4&gt;=$C$1),$H53,IF(AND(($D53+$C$1)&gt;CY$4,CY$4&gt;=$C$1),$G53,0))*IF($A53="Residential",'General Inputs'!K$15,'General Inputs'!K$19)</f>
        <v>161.65676075248277</v>
      </c>
      <c r="CZ53" s="214">
        <f>IF(AND(($E53+$C$1)&gt;CZ$4,CZ$4&gt;=$C$1),$H53,IF(AND(($D53+$C$1)&gt;CZ$4,CZ$4&gt;=$C$1),$G53,0))*IF($A53="Residential",'General Inputs'!L$15,'General Inputs'!L$19)</f>
        <v>164.08161216377002</v>
      </c>
      <c r="DA53" s="214">
        <f>IF(AND(($E53+$C$1)&gt;DA$4,DA$4&gt;=$C$1),$H53,IF(AND(($D53+$C$1)&gt;DA$4,DA$4&gt;=$C$1),$G53,0))*IF($A53="Residential",'General Inputs'!M$15,'General Inputs'!M$19)</f>
        <v>166.54283634622655</v>
      </c>
      <c r="DB53" s="214">
        <f>IF(AND(($E53+$C$1)&gt;DB$4,DB$4&gt;=$C$1),$H53,IF(AND(($D53+$C$1)&gt;DB$4,DB$4&gt;=$C$1),$G53,0))*IF($A53="Residential",'General Inputs'!N$15,'General Inputs'!N$19)</f>
        <v>169.04097889141994</v>
      </c>
      <c r="DC53" s="214">
        <f>IF(AND(($E53+$C$1)&gt;DC$4,DC$4&gt;=$C$1),$H53,IF(AND(($D53+$C$1)&gt;DC$4,DC$4&gt;=$C$1),$G53,0))*IF($A53="Residential",'General Inputs'!O$15,'General Inputs'!O$19)</f>
        <v>171.57659357479119</v>
      </c>
      <c r="DD53" s="214">
        <f>IF(AND(($E53+$C$1)&gt;DD$4,DD$4&gt;=$C$1),$H53,IF(AND(($D53+$C$1)&gt;DD$4,DD$4&gt;=$C$1),$G53,0))*IF($A53="Residential",'General Inputs'!P$15,'General Inputs'!P$19)</f>
        <v>174.15024247841308</v>
      </c>
      <c r="DE53" s="214">
        <f>IF(AND(($E53+$C$1)&gt;DE$4,DE$4&gt;=$C$1),$H53,IF(AND(($D53+$C$1)&gt;DE$4,DE$4&gt;=$C$1),$G53,0))*IF($A53="Residential",'General Inputs'!Q$15,'General Inputs'!Q$19)</f>
        <v>176.76249611558924</v>
      </c>
      <c r="DF53" s="214">
        <f>IF(AND(($E53+$C$1)&gt;DF$4,DF$4&gt;=$C$1),$H53,IF(AND(($D53+$C$1)&gt;DF$4,DF$4&gt;=$C$1),$G53,0))*IF($A53="Residential",'General Inputs'!R$15,'General Inputs'!R$19)</f>
        <v>179.41393355732305</v>
      </c>
      <c r="DG53" s="214">
        <f>IF(AND(($E53+$C$1)&gt;DG$4,DG$4&gt;=$C$1),$H53,IF(AND(($D53+$C$1)&gt;DG$4,DG$4&gt;=$C$1),$G53,0))*IF($A53="Residential",'General Inputs'!S$15,'General Inputs'!S$19)</f>
        <v>182.10514256068291</v>
      </c>
      <c r="DH53" s="214">
        <f>IF(AND(($E53+$C$1)&gt;DH$4,DH$4&gt;=$C$1),$H53,IF(AND(($D53+$C$1)&gt;DH$4,DH$4&gt;=$C$1),$G53,0))*IF($A53="Residential",'General Inputs'!T$15,'General Inputs'!T$19)</f>
        <v>184.83671969909312</v>
      </c>
      <c r="DI53" s="214">
        <f>IF(AND(($E53+$C$1)&gt;DI$4,DI$4&gt;=$C$1),$H53,IF(AND(($D53+$C$1)&gt;DI$4,DI$4&gt;=$C$1),$G53,0))*IF($A53="Residential",'General Inputs'!U$15,'General Inputs'!U$19)</f>
        <v>0</v>
      </c>
      <c r="DJ53" s="214">
        <f>IF(AND(($E53+$C$1)&gt;DJ$4,DJ$4&gt;=$C$1),$H53,IF(AND(($D53+$C$1)&gt;DJ$4,DJ$4&gt;=$C$1),$G53,0))*IF($A53="Residential",'General Inputs'!V$15,'General Inputs'!V$19)</f>
        <v>0</v>
      </c>
      <c r="DK53" s="214">
        <f>IF(AND(($E53+$C$1)&gt;DK$4,DK$4&gt;=$C$1),$H53,IF(AND(($D53+$C$1)&gt;DK$4,DK$4&gt;=$C$1),$G53,0))*IF($A53="Residential",'General Inputs'!W$15,'General Inputs'!W$19)</f>
        <v>0</v>
      </c>
      <c r="DM53" s="214">
        <f t="shared" si="99"/>
        <v>0</v>
      </c>
      <c r="DN53" s="214">
        <f t="shared" si="99"/>
        <v>0</v>
      </c>
      <c r="DO53" s="214">
        <f t="shared" si="99"/>
        <v>270</v>
      </c>
      <c r="DP53" s="214">
        <f t="shared" si="99"/>
        <v>0</v>
      </c>
      <c r="DQ53" s="214">
        <f t="shared" si="99"/>
        <v>0</v>
      </c>
      <c r="DR53" s="214">
        <f t="shared" si="99"/>
        <v>0</v>
      </c>
      <c r="DS53" s="214">
        <f t="shared" si="99"/>
        <v>0</v>
      </c>
      <c r="DT53" s="214">
        <f t="shared" si="99"/>
        <v>0</v>
      </c>
      <c r="DU53" s="214">
        <f t="shared" si="99"/>
        <v>0</v>
      </c>
      <c r="DV53" s="214">
        <f t="shared" si="99"/>
        <v>0</v>
      </c>
      <c r="DW53" s="214">
        <f t="shared" si="99"/>
        <v>0</v>
      </c>
      <c r="DZ53" s="650"/>
      <c r="FI53" s="195"/>
      <c r="FJ53" s="195"/>
      <c r="FK53" s="195"/>
      <c r="FL53" s="195"/>
      <c r="FM53" s="195"/>
      <c r="FN53" s="195"/>
      <c r="FO53" s="195"/>
    </row>
    <row r="54" spans="1:171">
      <c r="A54" s="342" t="s">
        <v>112</v>
      </c>
      <c r="B54" s="427" t="str">
        <f>'Portfolio Inputs'!A53</f>
        <v xml:space="preserve">Low-Wattage T8 </v>
      </c>
      <c r="C54" s="217">
        <f>IF($C$1=2014,'Portfolio Inputs'!$C53,IF($C$1=2015,'Portfolio Inputs'!$D53,'Portfolio Inputs'!$E53))</f>
        <v>12</v>
      </c>
      <c r="D54" s="504">
        <f>VLOOKUP(B54,Sources!$B$4:$J$104,2,FALSE)</f>
        <v>6</v>
      </c>
      <c r="E54" s="504">
        <f>VLOOKUP(B54,Sources!$B$4:$J$104,3,FALSE)</f>
        <v>0</v>
      </c>
      <c r="G54" s="504">
        <f>IF($C$1=2014,'Portfolio Inputs'!$G53,IF($C$1=2015,'Portfolio Inputs'!$H53,'Portfolio Inputs'!$I53))*EnergyLineLoss</f>
        <v>488.001465</v>
      </c>
      <c r="H54" s="504"/>
      <c r="I54" s="595">
        <f>IF($C$1=2014,'Portfolio Inputs'!$K53,IF($C$1=2015,'Portfolio Inputs'!$L53,'Portfolio Inputs'!$M53))*PeakLineLoss</f>
        <v>7.545938399999999E-2</v>
      </c>
      <c r="J54" s="510"/>
      <c r="L54" s="606">
        <f>IF($C$1=2014,'Portfolio Inputs'!$O53,IF($C$1=2015,'Portfolio Inputs'!$P53,'Portfolio Inputs'!$Q53))</f>
        <v>2</v>
      </c>
      <c r="M54" s="518">
        <f>VLOOKUP($B54,Sources!$B$4:$K$104,10,FALSE)</f>
        <v>0</v>
      </c>
      <c r="N54" s="419">
        <f>IF($C$1=2014,'Portfolio Inputs'!$W53,IF($C$1=2015,'Portfolio Inputs'!$X53,'Portfolio Inputs'!$Y53))</f>
        <v>6</v>
      </c>
      <c r="O54" s="419">
        <f>IF($C$1=2014,'Portfolio Inputs'!$AA53,IF($C$1=2015,'Portfolio Inputs'!$AB53,'Portfolio Inputs'!$AC53))</f>
        <v>0</v>
      </c>
      <c r="Q54" s="438">
        <f t="shared" si="67"/>
        <v>4.4785512197032142</v>
      </c>
      <c r="R54" s="439">
        <f t="shared" si="68"/>
        <v>17.914204878812857</v>
      </c>
      <c r="S54" s="439">
        <f t="shared" si="69"/>
        <v>5.6157313369695805</v>
      </c>
      <c r="T54" s="439">
        <f t="shared" si="70"/>
        <v>11.355761061115317</v>
      </c>
      <c r="U54" s="439">
        <f t="shared" si="98"/>
        <v>11.355761061115317</v>
      </c>
      <c r="V54" s="439">
        <f t="shared" si="72"/>
        <v>0.39438582721142157</v>
      </c>
      <c r="W54" s="439">
        <f t="shared" si="73"/>
        <v>0.39438582721142157</v>
      </c>
      <c r="Y54" s="215">
        <f t="shared" si="4"/>
        <v>90.73434761166294</v>
      </c>
      <c r="Z54" s="215">
        <f t="shared" si="5"/>
        <v>23.038989841888124</v>
      </c>
      <c r="AA54" s="215">
        <f t="shared" si="6"/>
        <v>224.9999911083041</v>
      </c>
      <c r="AB54" s="215">
        <f t="shared" si="7"/>
        <v>224.9999911083041</v>
      </c>
      <c r="AC54" s="216">
        <f t="shared" si="20"/>
        <v>0</v>
      </c>
      <c r="AD54" s="216">
        <f t="shared" si="21"/>
        <v>5.0649385906585511</v>
      </c>
      <c r="AE54" s="215">
        <f t="shared" si="8"/>
        <v>20.259754362634204</v>
      </c>
      <c r="AG54" s="214">
        <f>IF(AND(($E54+$C$1)&gt;AG$4,AG$4&gt;=$C$1),'General Inputs'!D$9*$H54,IF(AND(($D54+$C$1)&gt;AG$4,AG$4&gt;=$C$1),'General Inputs'!D$9*$G54,0))+IF(AND(($E54+$C$1)&gt;AG$4,AG$4&gt;=$C$1),'General Inputs'!D$10*$J54,IF(AND(($D54+$C$1)&gt;AG$4,AG$4&gt;=$C$1),'General Inputs'!D$10*$I54,0))</f>
        <v>0</v>
      </c>
      <c r="AH54" s="214">
        <f>IF(AND(($E54+$C$1)&gt;AH$4,AH$4&gt;=$C$1),'General Inputs'!E$9*$H54,IF(AND(($D54+$C$1)&gt;AH$4,AH$4&gt;=$C$1),'General Inputs'!E$9*$G54,0))+IF(AND(($E54+$C$1)&gt;AH$4,AH$4&gt;=$C$1),'General Inputs'!E$10*$J54,IF(AND(($D54+$C$1)&gt;AH$4,AH$4&gt;=$C$1),'General Inputs'!E$10*$I54,0))</f>
        <v>0</v>
      </c>
      <c r="AI54" s="214">
        <f>IF(AND(($E54+$C$1)&gt;AI$4,AI$4&gt;=$C$1),'General Inputs'!F$9*$H54,IF(AND(($D54+$C$1)&gt;AI$4,AI$4&gt;=$C$1),'General Inputs'!F$9*$G54,0))+IF(AND(($E54+$C$1)&gt;AI$4,AI$4&gt;=$C$1),'General Inputs'!F$10*$J54,IF(AND(($D54+$C$1)&gt;AI$4,AI$4&gt;=$C$1),'General Inputs'!F$10*$I54,0))</f>
        <v>21.179754674118808</v>
      </c>
      <c r="AJ54" s="214">
        <f>IF(AND(($E54+$C$1)&gt;AJ$4,AJ$4&gt;=$C$1),'General Inputs'!G$9*$H54,IF(AND(($D54+$C$1)&gt;AJ$4,AJ$4&gt;=$C$1),'General Inputs'!G$9*$G54,0))+IF(AND(($E54+$C$1)&gt;AJ$4,AJ$4&gt;=$C$1),'General Inputs'!G$10*$J54,IF(AND(($D54+$C$1)&gt;AJ$4,AJ$4&gt;=$C$1),'General Inputs'!G$10*$I54,0))</f>
        <v>21.49745099423059</v>
      </c>
      <c r="AK54" s="214">
        <f>IF(AND(($E54+$C$1)&gt;AK$4,AK$4&gt;=$C$1),'General Inputs'!H$9*$H54,IF(AND(($D54+$C$1)&gt;AK$4,AK$4&gt;=$C$1),'General Inputs'!H$9*$G54,0))+IF(AND(($E54+$C$1)&gt;AK$4,AK$4&gt;=$C$1),'General Inputs'!H$10*$J54,IF(AND(($D54+$C$1)&gt;AK$4,AK$4&gt;=$C$1),'General Inputs'!H$10*$I54,0))</f>
        <v>21.819912759144042</v>
      </c>
      <c r="AL54" s="214">
        <f>IF(AND(($E54+$C$1)&gt;AL$4,AL$4&gt;=$C$1),'General Inputs'!I$9*$H54,IF(AND(($D54+$C$1)&gt;AL$4,AL$4&gt;=$C$1),'General Inputs'!I$9*$G54,0))+IF(AND(($E54+$C$1)&gt;AL$4,AL$4&gt;=$C$1),'General Inputs'!I$10*$J54,IF(AND(($D54+$C$1)&gt;AL$4,AL$4&gt;=$C$1),'General Inputs'!I$10*$I54,0))</f>
        <v>22.147211450531202</v>
      </c>
      <c r="AM54" s="214">
        <f>IF(AND(($E54+$C$1)&gt;AM$4,AM$4&gt;=$C$1),'General Inputs'!J$9*$H54,IF(AND(($D54+$C$1)&gt;AM$4,AM$4&gt;=$C$1),'General Inputs'!J$9*$G54,0))+IF(AND(($E54+$C$1)&gt;AM$4,AM$4&gt;=$C$1),'General Inputs'!J$10*$J54,IF(AND(($D54+$C$1)&gt;AM$4,AM$4&gt;=$C$1),'General Inputs'!J$10*$I54,0))</f>
        <v>22.479419622289164</v>
      </c>
      <c r="AN54" s="214">
        <f>IF(AND(($E54+$C$1)&gt;AN$4,AN$4&gt;=$C$1),'General Inputs'!K$9*$H54,IF(AND(($D54+$C$1)&gt;AN$4,AN$4&gt;=$C$1),'General Inputs'!K$9*$G54,0))+IF(AND(($E54+$C$1)&gt;AN$4,AN$4&gt;=$C$1),'General Inputs'!K$10*$J54,IF(AND(($D54+$C$1)&gt;AN$4,AN$4&gt;=$C$1),'General Inputs'!K$10*$I54,0))</f>
        <v>22.8166109166235</v>
      </c>
      <c r="AO54" s="214">
        <f>IF(AND(($E54+$C$1)&gt;AO$4,AO$4&gt;=$C$1),'General Inputs'!L$9*$H54,IF(AND(($D54+$C$1)&gt;AO$4,AO$4&gt;=$C$1),'General Inputs'!L$9*$G54,0))+IF(AND(($E54+$C$1)&gt;AO$4,AO$4&gt;=$C$1),'General Inputs'!L$10*$J54,IF(AND(($D54+$C$1)&gt;AO$4,AO$4&gt;=$C$1),'General Inputs'!L$10*$I54,0))</f>
        <v>0</v>
      </c>
      <c r="AP54" s="214">
        <f>IF(AND(($E54+$C$1)&gt;AP$4,AP$4&gt;=$C$1),'General Inputs'!M$9*$H54,IF(AND(($D54+$C$1)&gt;AP$4,AP$4&gt;=$C$1),'General Inputs'!M$9*$G54,0))+IF(AND(($E54+$C$1)&gt;AP$4,AP$4&gt;=$C$1),'General Inputs'!M$10*$J54,IF(AND(($D54+$C$1)&gt;AP$4,AP$4&gt;=$C$1),'General Inputs'!M$10*$I54,0))</f>
        <v>0</v>
      </c>
      <c r="AQ54" s="214">
        <f>IF(AND(($E54+$C$1)&gt;AQ$4,AQ$4&gt;=$C$1),'General Inputs'!N$9*$H54,IF(AND(($D54+$C$1)&gt;AQ$4,AQ$4&gt;=$C$1),'General Inputs'!N$9*$G54,0))+IF(AND(($E54+$C$1)&gt;AQ$4,AQ$4&gt;=$C$1),'General Inputs'!N$10*$J54,IF(AND(($D54+$C$1)&gt;AQ$4,AQ$4&gt;=$C$1),'General Inputs'!N$10*$I54,0))</f>
        <v>0</v>
      </c>
      <c r="AR54" s="214">
        <f>IF(AND(($E54+$C$1)&gt;AR$4,AR$4&gt;=$C$1),'General Inputs'!O$9*$H54,IF(AND(($D54+$C$1)&gt;AR$4,AR$4&gt;=$C$1),'General Inputs'!O$9*$G54,0))+IF(AND(($E54+$C$1)&gt;AR$4,AR$4&gt;=$C$1),'General Inputs'!O$10*$J54,IF(AND(($D54+$C$1)&gt;AR$4,AR$4&gt;=$C$1),'General Inputs'!O$10*$I54,0))</f>
        <v>0</v>
      </c>
      <c r="AS54" s="214">
        <f>IF(AND(($E54+$C$1)&gt;AS$4,AS$4&gt;=$C$1),'General Inputs'!P$9*$H54,IF(AND(($D54+$C$1)&gt;AS$4,AS$4&gt;=$C$1),'General Inputs'!P$9*$G54,0))+IF(AND(($E54+$C$1)&gt;AS$4,AS$4&gt;=$C$1),'General Inputs'!P$10*$J54,IF(AND(($D54+$C$1)&gt;AS$4,AS$4&gt;=$C$1),'General Inputs'!P$10*$I54,0))</f>
        <v>0</v>
      </c>
      <c r="AT54" s="214">
        <f>IF(AND(($E54+$C$1)&gt;AT$4,AT$4&gt;=$C$1),'General Inputs'!Q$9*$H54,IF(AND(($D54+$C$1)&gt;AT$4,AT$4&gt;=$C$1),'General Inputs'!Q$9*$G54,0))+IF(AND(($E54+$C$1)&gt;AT$4,AT$4&gt;=$C$1),'General Inputs'!Q$10*$J54,IF(AND(($D54+$C$1)&gt;AT$4,AT$4&gt;=$C$1),'General Inputs'!Q$10*$I54,0))</f>
        <v>0</v>
      </c>
      <c r="AU54" s="214">
        <f>IF(AND(($E54+$C$1)&gt;AU$4,AU$4&gt;=$C$1),'General Inputs'!R$9*$H54,IF(AND(($D54+$C$1)&gt;AU$4,AU$4&gt;=$C$1),'General Inputs'!R$9*$G54,0))+IF(AND(($E54+$C$1)&gt;AU$4,AU$4&gt;=$C$1),'General Inputs'!R$10*$J54,IF(AND(($D54+$C$1)&gt;AU$4,AU$4&gt;=$C$1),'General Inputs'!R$10*$I54,0))</f>
        <v>0</v>
      </c>
      <c r="AV54" s="214">
        <f>IF(AND(($E54+$C$1)&gt;AV$4,AV$4&gt;=$C$1),'General Inputs'!S$9*$H54,IF(AND(($D54+$C$1)&gt;AV$4,AV$4&gt;=$C$1),'General Inputs'!S$9*$G54,0))+IF(AND(($E54+$C$1)&gt;AV$4,AV$4&gt;=$C$1),'General Inputs'!S$10*$J54,IF(AND(($D54+$C$1)&gt;AV$4,AV$4&gt;=$C$1),'General Inputs'!S$10*$I54,0))</f>
        <v>0</v>
      </c>
      <c r="AW54" s="214">
        <f>IF(AND(($E54+$C$1)&gt;AW$4,AW$4&gt;=$C$1),'General Inputs'!T$9*$H54,IF(AND(($D54+$C$1)&gt;AW$4,AW$4&gt;=$C$1),'General Inputs'!T$9*$G54,0))+IF(AND(($E54+$C$1)&gt;AW$4,AW$4&gt;=$C$1),'General Inputs'!T$10*$J54,IF(AND(($D54+$C$1)&gt;AW$4,AW$4&gt;=$C$1),'General Inputs'!T$10*$I54,0))</f>
        <v>0</v>
      </c>
      <c r="AX54" s="214">
        <f>IF(AND(($E54+$C$1)&gt;AX$4,AX$4&gt;=$C$1),'General Inputs'!U$9*$H54,IF(AND(($D54+$C$1)&gt;AX$4,AX$4&gt;=$C$1),'General Inputs'!U$9*$G54,0))+IF(AND(($E54+$C$1)&gt;AX$4,AX$4&gt;=$C$1),'General Inputs'!U$10*$J54,IF(AND(($D54+$C$1)&gt;AX$4,AX$4&gt;=$C$1),'General Inputs'!U$10*$I54,0))</f>
        <v>0</v>
      </c>
      <c r="AY54" s="214">
        <f>IF(AND(($E54+$C$1)&gt;AY$4,AY$4&gt;=$C$1),'General Inputs'!V$9*$H54,IF(AND(($D54+$C$1)&gt;AY$4,AY$4&gt;=$C$1),'General Inputs'!V$9*$G54,0))+IF(AND(($E54+$C$1)&gt;AY$4,AY$4&gt;=$C$1),'General Inputs'!V$10*$J54,IF(AND(($D54+$C$1)&gt;AY$4,AY$4&gt;=$C$1),'General Inputs'!V$10*$I54,0))</f>
        <v>0</v>
      </c>
      <c r="AZ54" s="214">
        <f>IF(AND(($E54+$C$1)&gt;AZ$4,AZ$4&gt;=$C$1),'General Inputs'!W$9*$H54,IF(AND(($D54+$C$1)&gt;AZ$4,AZ$4&gt;=$C$1),'General Inputs'!W$9*$G54,0))+IF(AND(($E54+$C$1)&gt;AZ$4,AZ$4&gt;=$C$1),'General Inputs'!W$10*$J54,IF(AND(($D54+$C$1)&gt;AZ$4,AZ$4&gt;=$C$1),'General Inputs'!W$10*$I54,0))</f>
        <v>0</v>
      </c>
      <c r="BB54" s="214">
        <f>IF(AND(($E54+$C$1)&gt;BB$4,BB$4&gt;=$C$1),'General Inputs'!D$11*$H54,IF(AND(($D54+$C$1)&gt;BB$4,BB$4&gt;=$C$1),'General Inputs'!D$11*$G54,0))</f>
        <v>0</v>
      </c>
      <c r="BC54" s="214">
        <f>IF(AND(($E54+$C$1)&gt;BC$4,BC$4&gt;=$C$1),'General Inputs'!E$11*$H54,IF(AND(($D54+$C$1)&gt;BC$4,BC$4&gt;=$C$1),'General Inputs'!E$11*$G54,0))</f>
        <v>0</v>
      </c>
      <c r="BD54" s="214">
        <f>IF(AND(($E54+$C$1)&gt;BD$4,BD$4&gt;=$C$1),'General Inputs'!F$11*$H54,IF(AND(($D54+$C$1)&gt;BD$4,BD$4&gt;=$C$1),'General Inputs'!F$11*$G54,0))</f>
        <v>5.563216701</v>
      </c>
      <c r="BE54" s="214">
        <f>IF(AND(($E54+$C$1)&gt;BE$4,BE$4&gt;=$C$1),'General Inputs'!G$11*$H54,IF(AND(($D54+$C$1)&gt;BE$4,BE$4&gt;=$C$1),'General Inputs'!G$11*$G54,0))</f>
        <v>5.563216701</v>
      </c>
      <c r="BF54" s="214">
        <f>IF(AND(($E54+$C$1)&gt;BF$4,BF$4&gt;=$C$1),'General Inputs'!H$11*$H54,IF(AND(($D54+$C$1)&gt;BF$4,BF$4&gt;=$C$1),'General Inputs'!H$11*$G54,0))</f>
        <v>5.563216701</v>
      </c>
      <c r="BG54" s="214">
        <f>IF(AND(($E54+$C$1)&gt;BG$4,BG$4&gt;=$C$1),'General Inputs'!I$11*$H54,IF(AND(($D54+$C$1)&gt;BG$4,BG$4&gt;=$C$1),'General Inputs'!I$11*$G54,0))</f>
        <v>5.563216701</v>
      </c>
      <c r="BH54" s="214">
        <f>IF(AND(($E54+$C$1)&gt;BH$4,BH$4&gt;=$C$1),'General Inputs'!J$11*$H54,IF(AND(($D54+$C$1)&gt;BH$4,BH$4&gt;=$C$1),'General Inputs'!J$11*$G54,0))</f>
        <v>5.563216701</v>
      </c>
      <c r="BI54" s="214">
        <f>IF(AND(($E54+$C$1)&gt;BI$4,BI$4&gt;=$C$1),'General Inputs'!K$11*$H54,IF(AND(($D54+$C$1)&gt;BI$4,BI$4&gt;=$C$1),'General Inputs'!K$11*$G54,0))</f>
        <v>5.563216701</v>
      </c>
      <c r="BJ54" s="214">
        <f>IF(AND(($E54+$C$1)&gt;BJ$4,BJ$4&gt;=$C$1),'General Inputs'!L$11*$H54,IF(AND(($D54+$C$1)&gt;BJ$4,BJ$4&gt;=$C$1),'General Inputs'!L$11*$G54,0))</f>
        <v>0</v>
      </c>
      <c r="BK54" s="214">
        <f>IF(AND(($E54+$C$1)&gt;BK$4,BK$4&gt;=$C$1),'General Inputs'!M$11*$H54,IF(AND(($D54+$C$1)&gt;BK$4,BK$4&gt;=$C$1),'General Inputs'!M$11*$G54,0))</f>
        <v>0</v>
      </c>
      <c r="BL54" s="214">
        <f>IF(AND(($E54+$C$1)&gt;BL$4,BL$4&gt;=$C$1),'General Inputs'!N$11*$H54,IF(AND(($D54+$C$1)&gt;BL$4,BL$4&gt;=$C$1),'General Inputs'!N$11*$G54,0))</f>
        <v>0</v>
      </c>
      <c r="BM54" s="214">
        <f>IF(AND(($E54+$C$1)&gt;BM$4,BM$4&gt;=$C$1),'General Inputs'!O$11*$H54,IF(AND(($D54+$C$1)&gt;BM$4,BM$4&gt;=$C$1),'General Inputs'!O$11*$G54,0))</f>
        <v>0</v>
      </c>
      <c r="BN54" s="214">
        <f>IF(AND(($E54+$C$1)&gt;BN$4,BN$4&gt;=$C$1),'General Inputs'!P$11*$H54,IF(AND(($D54+$C$1)&gt;BN$4,BN$4&gt;=$C$1),'General Inputs'!P$11*$G54,0))</f>
        <v>0</v>
      </c>
      <c r="BO54" s="214">
        <f>IF(AND(($E54+$C$1)&gt;BO$4,BO$4&gt;=$C$1),'General Inputs'!Q$11*$H54,IF(AND(($D54+$C$1)&gt;BO$4,BO$4&gt;=$C$1),'General Inputs'!Q$11*$G54,0))</f>
        <v>0</v>
      </c>
      <c r="BP54" s="214">
        <f>IF(AND(($E54+$C$1)&gt;BP$4,BP$4&gt;=$C$1),'General Inputs'!R$11*$H54,IF(AND(($D54+$C$1)&gt;BP$4,BP$4&gt;=$C$1),'General Inputs'!R$11*$G54,0))</f>
        <v>0</v>
      </c>
      <c r="BQ54" s="214">
        <f>IF(AND(($E54+$C$1)&gt;BQ$4,BQ$4&gt;=$C$1),'General Inputs'!S$11*$H54,IF(AND(($D54+$C$1)&gt;BQ$4,BQ$4&gt;=$C$1),'General Inputs'!S$11*$G54,0))</f>
        <v>0</v>
      </c>
      <c r="BR54" s="214">
        <f>IF(AND(($E54+$C$1)&gt;BR$4,BR$4&gt;=$C$1),'General Inputs'!T$11*$H54,IF(AND(($D54+$C$1)&gt;BR$4,BR$4&gt;=$C$1),'General Inputs'!T$11*$G54,0))</f>
        <v>0</v>
      </c>
      <c r="BS54" s="214">
        <f>IF(AND(($E54+$C$1)&gt;BS$4,BS$4&gt;=$C$1),'General Inputs'!U$11*$H54,IF(AND(($D54+$C$1)&gt;BS$4,BS$4&gt;=$C$1),'General Inputs'!U$11*$G54,0))</f>
        <v>0</v>
      </c>
      <c r="BT54" s="214">
        <f>IF(AND(($E54+$C$1)&gt;BT$4,BT$4&gt;=$C$1),'General Inputs'!V$11*$H54,IF(AND(($D54+$C$1)&gt;BT$4,BT$4&gt;=$C$1),'General Inputs'!V$11*$G54,0))</f>
        <v>0</v>
      </c>
      <c r="BU54" s="214">
        <f>IF(AND(($E54+$C$1)&gt;BU$4,BU$4&gt;=$C$1),'General Inputs'!W$11*$H54,IF(AND(($D54+$C$1)&gt;BU$4,BU$4&gt;=$C$1),'General Inputs'!W$11*$G54,0))</f>
        <v>0</v>
      </c>
      <c r="BW54" s="214">
        <f>IF(AND(($E54+$C$1)&gt;BW$4,BW$4&gt;=$C$1),$H54,IF(AND(($D54+$C$1)&gt;BW$4,BW$4&gt;=$C$1),$G54,0))*IF($A54="Residential",'General Inputs'!D$14,'General Inputs'!D$19)</f>
        <v>0</v>
      </c>
      <c r="BX54" s="214">
        <f>IF(AND(($E54+$C$1)&gt;BX$4,BX$4&gt;=$C$1),$H54,IF(AND(($D54+$C$1)&gt;BX$4,BX$4&gt;=$C$1),$G54,0))*IF($A54="Residential",'General Inputs'!E$14,'General Inputs'!E$19)</f>
        <v>0</v>
      </c>
      <c r="BY54" s="214">
        <f>IF(AND(($E54+$C$1)&gt;BY$4,BY$4&gt;=$C$1),$H54,IF(AND(($D54+$C$1)&gt;BY$4,BY$4&gt;=$C$1),$G54,0))*IF($A54="Residential",'General Inputs'!F$14,'General Inputs'!F$19)</f>
        <v>52.520845069042473</v>
      </c>
      <c r="BZ54" s="214">
        <f>IF(AND(($E54+$C$1)&gt;BZ$4,BZ$4&gt;=$C$1),$H54,IF(AND(($D54+$C$1)&gt;BZ$4,BZ$4&gt;=$C$1),$G54,0))*IF($A54="Residential",'General Inputs'!G$14,'General Inputs'!G$19)</f>
        <v>53.308657745078108</v>
      </c>
      <c r="CA54" s="214">
        <f>IF(AND(($E54+$C$1)&gt;CA$4,CA$4&gt;=$C$1),$H54,IF(AND(($D54+$C$1)&gt;CA$4,CA$4&gt;=$C$1),$G54,0))*IF($A54="Residential",'General Inputs'!H$14,'General Inputs'!H$19)</f>
        <v>54.108287611254262</v>
      </c>
      <c r="CB54" s="214">
        <f>IF(AND(($E54+$C$1)&gt;CB$4,CB$4&gt;=$C$1),$H54,IF(AND(($D54+$C$1)&gt;CB$4,CB$4&gt;=$C$1),$G54,0))*IF($A54="Residential",'General Inputs'!I$14,'General Inputs'!I$19)</f>
        <v>54.919911925423072</v>
      </c>
      <c r="CC54" s="214">
        <f>IF(AND(($E54+$C$1)&gt;CC$4,CC$4&gt;=$C$1),$H54,IF(AND(($D54+$C$1)&gt;CC$4,CC$4&gt;=$C$1),$G54,0))*IF($A54="Residential",'General Inputs'!J$14,'General Inputs'!J$19)</f>
        <v>55.743710604304418</v>
      </c>
      <c r="CD54" s="214">
        <f>IF(AND(($E54+$C$1)&gt;CD$4,CD$4&gt;=$C$1),$H54,IF(AND(($D54+$C$1)&gt;CD$4,CD$4&gt;=$C$1),$G54,0))*IF($A54="Residential",'General Inputs'!K$14,'General Inputs'!K$19)</f>
        <v>56.57986626336897</v>
      </c>
      <c r="CE54" s="214">
        <f>IF(AND(($E54+$C$1)&gt;CE$4,CE$4&gt;=$C$1),$H54,IF(AND(($D54+$C$1)&gt;CE$4,CE$4&gt;=$C$1),$G54,0))*IF($A54="Residential",'General Inputs'!L$14,'General Inputs'!L$19)</f>
        <v>0</v>
      </c>
      <c r="CF54" s="214">
        <f>IF(AND(($E54+$C$1)&gt;CF$4,CF$4&gt;=$C$1),$H54,IF(AND(($D54+$C$1)&gt;CF$4,CF$4&gt;=$C$1),$G54,0))*IF($A54="Residential",'General Inputs'!M$14,'General Inputs'!M$19)</f>
        <v>0</v>
      </c>
      <c r="CG54" s="214">
        <f>IF(AND(($E54+$C$1)&gt;CG$4,CG$4&gt;=$C$1),$H54,IF(AND(($D54+$C$1)&gt;CG$4,CG$4&gt;=$C$1),$G54,0))*IF($A54="Residential",'General Inputs'!N$14,'General Inputs'!N$19)</f>
        <v>0</v>
      </c>
      <c r="CH54" s="214">
        <f>IF(AND(($E54+$C$1)&gt;CH$4,CH$4&gt;=$C$1),$H54,IF(AND(($D54+$C$1)&gt;CH$4,CH$4&gt;=$C$1),$G54,0))*IF($A54="Residential",'General Inputs'!O$14,'General Inputs'!O$19)</f>
        <v>0</v>
      </c>
      <c r="CI54" s="214">
        <f>IF(AND(($E54+$C$1)&gt;CI$4,CI$4&gt;=$C$1),$H54,IF(AND(($D54+$C$1)&gt;CI$4,CI$4&gt;=$C$1),$G54,0))*IF($A54="Residential",'General Inputs'!P$14,'General Inputs'!P$19)</f>
        <v>0</v>
      </c>
      <c r="CJ54" s="214">
        <f>IF(AND(($E54+$C$1)&gt;CJ$4,CJ$4&gt;=$C$1),$H54,IF(AND(($D54+$C$1)&gt;CJ$4,CJ$4&gt;=$C$1),$G54,0))*IF($A54="Residential",'General Inputs'!Q$14,'General Inputs'!Q$19)</f>
        <v>0</v>
      </c>
      <c r="CK54" s="214">
        <f>IF(AND(($E54+$C$1)&gt;CK$4,CK$4&gt;=$C$1),$H54,IF(AND(($D54+$C$1)&gt;CK$4,CK$4&gt;=$C$1),$G54,0))*IF($A54="Residential",'General Inputs'!R$14,'General Inputs'!R$19)</f>
        <v>0</v>
      </c>
      <c r="CL54" s="214">
        <f>IF(AND(($E54+$C$1)&gt;CL$4,CL$4&gt;=$C$1),$H54,IF(AND(($D54+$C$1)&gt;CL$4,CL$4&gt;=$C$1),$G54,0))*IF($A54="Residential",'General Inputs'!S$14,'General Inputs'!S$19)</f>
        <v>0</v>
      </c>
      <c r="CM54" s="214">
        <f>IF(AND(($E54+$C$1)&gt;CM$4,CM$4&gt;=$C$1),$H54,IF(AND(($D54+$C$1)&gt;CM$4,CM$4&gt;=$C$1),$G54,0))*IF($A54="Residential",'General Inputs'!T$14,'General Inputs'!T$19)</f>
        <v>0</v>
      </c>
      <c r="CN54" s="214">
        <f>IF(AND(($E54+$C$1)&gt;CN$4,CN$4&gt;=$C$1),$H54,IF(AND(($D54+$C$1)&gt;CN$4,CN$4&gt;=$C$1),$G54,0))*IF($A54="Residential",'General Inputs'!U$14,'General Inputs'!U$19)</f>
        <v>0</v>
      </c>
      <c r="CO54" s="214">
        <f>IF(AND(($E54+$C$1)&gt;CO$4,CO$4&gt;=$C$1),$H54,IF(AND(($D54+$C$1)&gt;CO$4,CO$4&gt;=$C$1),$G54,0))*IF($A54="Residential",'General Inputs'!V$14,'General Inputs'!V$19)</f>
        <v>0</v>
      </c>
      <c r="CP54" s="214">
        <f>IF(AND(($E54+$C$1)&gt;CP$4,CP$4&gt;=$C$1),$H54,IF(AND(($D54+$C$1)&gt;CP$4,CP$4&gt;=$C$1),$G54,0))*IF($A54="Residential",'General Inputs'!W$14,'General Inputs'!W$19)</f>
        <v>0</v>
      </c>
      <c r="CR54" s="214">
        <f>IF(AND(($E54+$C$1)&gt;CR$4,CR$4&gt;=$C$1),$H54,IF(AND(($D54+$C$1)&gt;CR$4,CR$4&gt;=$C$1),$G54,0))*IF($A54="Residential",'General Inputs'!D$15,'General Inputs'!D$19)</f>
        <v>0</v>
      </c>
      <c r="CS54" s="214">
        <f>IF(AND(($E54+$C$1)&gt;CS$4,CS$4&gt;=$C$1),$H54,IF(AND(($D54+$C$1)&gt;CS$4,CS$4&gt;=$C$1),$G54,0))*IF($A54="Residential",'General Inputs'!E$15,'General Inputs'!E$19)</f>
        <v>0</v>
      </c>
      <c r="CT54" s="214">
        <f>IF(AND(($E54+$C$1)&gt;CT$4,CT$4&gt;=$C$1),$H54,IF(AND(($D54+$C$1)&gt;CT$4,CT$4&gt;=$C$1),$G54,0))*IF($A54="Residential",'General Inputs'!F$15,'General Inputs'!F$19)</f>
        <v>52.520845069042473</v>
      </c>
      <c r="CU54" s="214">
        <f>IF(AND(($E54+$C$1)&gt;CU$4,CU$4&gt;=$C$1),$H54,IF(AND(($D54+$C$1)&gt;CU$4,CU$4&gt;=$C$1),$G54,0))*IF($A54="Residential",'General Inputs'!G$15,'General Inputs'!G$19)</f>
        <v>53.308657745078108</v>
      </c>
      <c r="CV54" s="214">
        <f>IF(AND(($E54+$C$1)&gt;CV$4,CV$4&gt;=$C$1),$H54,IF(AND(($D54+$C$1)&gt;CV$4,CV$4&gt;=$C$1),$G54,0))*IF($A54="Residential",'General Inputs'!H$15,'General Inputs'!H$19)</f>
        <v>54.108287611254262</v>
      </c>
      <c r="CW54" s="214">
        <f>IF(AND(($E54+$C$1)&gt;CW$4,CW$4&gt;=$C$1),$H54,IF(AND(($D54+$C$1)&gt;CW$4,CW$4&gt;=$C$1),$G54,0))*IF($A54="Residential",'General Inputs'!I$15,'General Inputs'!I$19)</f>
        <v>54.919911925423072</v>
      </c>
      <c r="CX54" s="214">
        <f>IF(AND(($E54+$C$1)&gt;CX$4,CX$4&gt;=$C$1),$H54,IF(AND(($D54+$C$1)&gt;CX$4,CX$4&gt;=$C$1),$G54,0))*IF($A54="Residential",'General Inputs'!J$15,'General Inputs'!J$19)</f>
        <v>55.743710604304418</v>
      </c>
      <c r="CY54" s="214">
        <f>IF(AND(($E54+$C$1)&gt;CY$4,CY$4&gt;=$C$1),$H54,IF(AND(($D54+$C$1)&gt;CY$4,CY$4&gt;=$C$1),$G54,0))*IF($A54="Residential",'General Inputs'!K$15,'General Inputs'!K$19)</f>
        <v>56.57986626336897</v>
      </c>
      <c r="CZ54" s="214">
        <f>IF(AND(($E54+$C$1)&gt;CZ$4,CZ$4&gt;=$C$1),$H54,IF(AND(($D54+$C$1)&gt;CZ$4,CZ$4&gt;=$C$1),$G54,0))*IF($A54="Residential",'General Inputs'!L$15,'General Inputs'!L$19)</f>
        <v>0</v>
      </c>
      <c r="DA54" s="214">
        <f>IF(AND(($E54+$C$1)&gt;DA$4,DA$4&gt;=$C$1),$H54,IF(AND(($D54+$C$1)&gt;DA$4,DA$4&gt;=$C$1),$G54,0))*IF($A54="Residential",'General Inputs'!M$15,'General Inputs'!M$19)</f>
        <v>0</v>
      </c>
      <c r="DB54" s="214">
        <f>IF(AND(($E54+$C$1)&gt;DB$4,DB$4&gt;=$C$1),$H54,IF(AND(($D54+$C$1)&gt;DB$4,DB$4&gt;=$C$1),$G54,0))*IF($A54="Residential",'General Inputs'!N$15,'General Inputs'!N$19)</f>
        <v>0</v>
      </c>
      <c r="DC54" s="214">
        <f>IF(AND(($E54+$C$1)&gt;DC$4,DC$4&gt;=$C$1),$H54,IF(AND(($D54+$C$1)&gt;DC$4,DC$4&gt;=$C$1),$G54,0))*IF($A54="Residential",'General Inputs'!O$15,'General Inputs'!O$19)</f>
        <v>0</v>
      </c>
      <c r="DD54" s="214">
        <f>IF(AND(($E54+$C$1)&gt;DD$4,DD$4&gt;=$C$1),$H54,IF(AND(($D54+$C$1)&gt;DD$4,DD$4&gt;=$C$1),$G54,0))*IF($A54="Residential",'General Inputs'!P$15,'General Inputs'!P$19)</f>
        <v>0</v>
      </c>
      <c r="DE54" s="214">
        <f>IF(AND(($E54+$C$1)&gt;DE$4,DE$4&gt;=$C$1),$H54,IF(AND(($D54+$C$1)&gt;DE$4,DE$4&gt;=$C$1),$G54,0))*IF($A54="Residential",'General Inputs'!Q$15,'General Inputs'!Q$19)</f>
        <v>0</v>
      </c>
      <c r="DF54" s="214">
        <f>IF(AND(($E54+$C$1)&gt;DF$4,DF$4&gt;=$C$1),$H54,IF(AND(($D54+$C$1)&gt;DF$4,DF$4&gt;=$C$1),$G54,0))*IF($A54="Residential",'General Inputs'!R$15,'General Inputs'!R$19)</f>
        <v>0</v>
      </c>
      <c r="DG54" s="214">
        <f>IF(AND(($E54+$C$1)&gt;DG$4,DG$4&gt;=$C$1),$H54,IF(AND(($D54+$C$1)&gt;DG$4,DG$4&gt;=$C$1),$G54,0))*IF($A54="Residential",'General Inputs'!S$15,'General Inputs'!S$19)</f>
        <v>0</v>
      </c>
      <c r="DH54" s="214">
        <f>IF(AND(($E54+$C$1)&gt;DH$4,DH$4&gt;=$C$1),$H54,IF(AND(($D54+$C$1)&gt;DH$4,DH$4&gt;=$C$1),$G54,0))*IF($A54="Residential",'General Inputs'!T$15,'General Inputs'!T$19)</f>
        <v>0</v>
      </c>
      <c r="DI54" s="214">
        <f>IF(AND(($E54+$C$1)&gt;DI$4,DI$4&gt;=$C$1),$H54,IF(AND(($D54+$C$1)&gt;DI$4,DI$4&gt;=$C$1),$G54,0))*IF($A54="Residential",'General Inputs'!U$15,'General Inputs'!U$19)</f>
        <v>0</v>
      </c>
      <c r="DJ54" s="214">
        <f>IF(AND(($E54+$C$1)&gt;DJ$4,DJ$4&gt;=$C$1),$H54,IF(AND(($D54+$C$1)&gt;DJ$4,DJ$4&gt;=$C$1),$G54,0))*IF($A54="Residential",'General Inputs'!V$15,'General Inputs'!V$19)</f>
        <v>0</v>
      </c>
      <c r="DK54" s="214">
        <f>IF(AND(($E54+$C$1)&gt;DK$4,DK$4&gt;=$C$1),$H54,IF(AND(($D54+$C$1)&gt;DK$4,DK$4&gt;=$C$1),$G54,0))*IF($A54="Residential",'General Inputs'!W$15,'General Inputs'!W$19)</f>
        <v>0</v>
      </c>
      <c r="DM54" s="214">
        <f t="shared" si="99"/>
        <v>0</v>
      </c>
      <c r="DN54" s="214">
        <f t="shared" si="99"/>
        <v>0</v>
      </c>
      <c r="DO54" s="214">
        <f t="shared" si="99"/>
        <v>24</v>
      </c>
      <c r="DP54" s="214">
        <f t="shared" si="99"/>
        <v>0</v>
      </c>
      <c r="DQ54" s="214">
        <f t="shared" si="99"/>
        <v>0</v>
      </c>
      <c r="DR54" s="214">
        <f t="shared" si="99"/>
        <v>0</v>
      </c>
      <c r="DS54" s="214">
        <f t="shared" si="99"/>
        <v>0</v>
      </c>
      <c r="DT54" s="214">
        <f t="shared" si="99"/>
        <v>0</v>
      </c>
      <c r="DU54" s="214">
        <f t="shared" si="99"/>
        <v>0</v>
      </c>
      <c r="DV54" s="214">
        <f t="shared" si="99"/>
        <v>0</v>
      </c>
      <c r="DW54" s="214">
        <f t="shared" si="99"/>
        <v>0</v>
      </c>
      <c r="DZ54" s="650"/>
      <c r="FI54" s="195"/>
      <c r="FJ54" s="195"/>
      <c r="FK54" s="195"/>
      <c r="FL54" s="195"/>
      <c r="FM54" s="195"/>
      <c r="FN54" s="195"/>
      <c r="FO54" s="195"/>
    </row>
    <row r="55" spans="1:171">
      <c r="A55" s="342" t="s">
        <v>112</v>
      </c>
      <c r="B55" s="427" t="str">
        <f>'Portfolio Inputs'!A54</f>
        <v>Fluorescent Fixture Specular Reflector 4-ft</v>
      </c>
      <c r="C55" s="217">
        <f>IF($C$1=2014,'Portfolio Inputs'!$C54,IF($C$1=2015,'Portfolio Inputs'!$D54,'Portfolio Inputs'!$E54))</f>
        <v>0</v>
      </c>
      <c r="D55" s="504">
        <f>VLOOKUP(B55,Sources!$B$4:$J$104,2,FALSE)</f>
        <v>15</v>
      </c>
      <c r="E55" s="504">
        <f>VLOOKUP(B55,Sources!$B$4:$J$104,3,FALSE)</f>
        <v>0</v>
      </c>
      <c r="G55" s="504">
        <f>IF($C$1=2014,'Portfolio Inputs'!$G54,IF($C$1=2015,'Portfolio Inputs'!$H54,'Portfolio Inputs'!$I54))*EnergyLineLoss</f>
        <v>0</v>
      </c>
      <c r="H55" s="504"/>
      <c r="I55" s="595">
        <f>IF($C$1=2014,'Portfolio Inputs'!$K54,IF($C$1=2015,'Portfolio Inputs'!$L54,'Portfolio Inputs'!$M54))*PeakLineLoss</f>
        <v>0</v>
      </c>
      <c r="J55" s="510"/>
      <c r="L55" s="606">
        <f>IF($C$1=2014,'Portfolio Inputs'!$O54,IF($C$1=2015,'Portfolio Inputs'!$P54,'Portfolio Inputs'!$Q54))</f>
        <v>30</v>
      </c>
      <c r="M55" s="518">
        <f>VLOOKUP($B55,Sources!$B$4:$K$104,10,FALSE)</f>
        <v>0</v>
      </c>
      <c r="N55" s="419">
        <f>IF($C$1=2014,'Portfolio Inputs'!$W54,IF($C$1=2015,'Portfolio Inputs'!$X54,'Portfolio Inputs'!$Y54))</f>
        <v>0</v>
      </c>
      <c r="O55" s="419">
        <f>IF($C$1=2014,'Portfolio Inputs'!$AA54,IF($C$1=2015,'Portfolio Inputs'!$AB54,'Portfolio Inputs'!$AC54))</f>
        <v>0</v>
      </c>
      <c r="Q55" s="438" t="str">
        <f t="shared" si="67"/>
        <v>n/a</v>
      </c>
      <c r="R55" s="439" t="str">
        <f t="shared" si="68"/>
        <v>n/a</v>
      </c>
      <c r="S55" s="439" t="str">
        <f t="shared" si="69"/>
        <v>n/a</v>
      </c>
      <c r="T55" s="439" t="str">
        <f t="shared" si="70"/>
        <v>n/a</v>
      </c>
      <c r="U55" s="439" t="str">
        <f t="shared" si="98"/>
        <v>n/a</v>
      </c>
      <c r="V55" s="439" t="str">
        <f t="shared" si="72"/>
        <v>n/a</v>
      </c>
      <c r="W55" s="439" t="str">
        <f t="shared" si="73"/>
        <v>n/a</v>
      </c>
      <c r="Y55" s="215">
        <f t="shared" si="4"/>
        <v>0</v>
      </c>
      <c r="Z55" s="215">
        <f t="shared" si="5"/>
        <v>0</v>
      </c>
      <c r="AA55" s="215">
        <f t="shared" si="6"/>
        <v>0</v>
      </c>
      <c r="AB55" s="215">
        <f t="shared" si="7"/>
        <v>0</v>
      </c>
      <c r="AC55" s="216">
        <f t="shared" si="20"/>
        <v>0</v>
      </c>
      <c r="AD55" s="216">
        <f t="shared" si="21"/>
        <v>0</v>
      </c>
      <c r="AE55" s="215">
        <f t="shared" si="8"/>
        <v>0</v>
      </c>
      <c r="AG55" s="214">
        <f>IF(AND(($E55+$C$1)&gt;AG$4,AG$4&gt;=$C$1),'General Inputs'!D$9*$H55,IF(AND(($D55+$C$1)&gt;AG$4,AG$4&gt;=$C$1),'General Inputs'!D$9*$G55,0))+IF(AND(($E55+$C$1)&gt;AG$4,AG$4&gt;=$C$1),'General Inputs'!D$10*$J55,IF(AND(($D55+$C$1)&gt;AG$4,AG$4&gt;=$C$1),'General Inputs'!D$10*$I55,0))</f>
        <v>0</v>
      </c>
      <c r="AH55" s="214">
        <f>IF(AND(($E55+$C$1)&gt;AH$4,AH$4&gt;=$C$1),'General Inputs'!E$9*$H55,IF(AND(($D55+$C$1)&gt;AH$4,AH$4&gt;=$C$1),'General Inputs'!E$9*$G55,0))+IF(AND(($E55+$C$1)&gt;AH$4,AH$4&gt;=$C$1),'General Inputs'!E$10*$J55,IF(AND(($D55+$C$1)&gt;AH$4,AH$4&gt;=$C$1),'General Inputs'!E$10*$I55,0))</f>
        <v>0</v>
      </c>
      <c r="AI55" s="214">
        <f>IF(AND(($E55+$C$1)&gt;AI$4,AI$4&gt;=$C$1),'General Inputs'!F$9*$H55,IF(AND(($D55+$C$1)&gt;AI$4,AI$4&gt;=$C$1),'General Inputs'!F$9*$G55,0))+IF(AND(($E55+$C$1)&gt;AI$4,AI$4&gt;=$C$1),'General Inputs'!F$10*$J55,IF(AND(($D55+$C$1)&gt;AI$4,AI$4&gt;=$C$1),'General Inputs'!F$10*$I55,0))</f>
        <v>0</v>
      </c>
      <c r="AJ55" s="214">
        <f>IF(AND(($E55+$C$1)&gt;AJ$4,AJ$4&gt;=$C$1),'General Inputs'!G$9*$H55,IF(AND(($D55+$C$1)&gt;AJ$4,AJ$4&gt;=$C$1),'General Inputs'!G$9*$G55,0))+IF(AND(($E55+$C$1)&gt;AJ$4,AJ$4&gt;=$C$1),'General Inputs'!G$10*$J55,IF(AND(($D55+$C$1)&gt;AJ$4,AJ$4&gt;=$C$1),'General Inputs'!G$10*$I55,0))</f>
        <v>0</v>
      </c>
      <c r="AK55" s="214">
        <f>IF(AND(($E55+$C$1)&gt;AK$4,AK$4&gt;=$C$1),'General Inputs'!H$9*$H55,IF(AND(($D55+$C$1)&gt;AK$4,AK$4&gt;=$C$1),'General Inputs'!H$9*$G55,0))+IF(AND(($E55+$C$1)&gt;AK$4,AK$4&gt;=$C$1),'General Inputs'!H$10*$J55,IF(AND(($D55+$C$1)&gt;AK$4,AK$4&gt;=$C$1),'General Inputs'!H$10*$I55,0))</f>
        <v>0</v>
      </c>
      <c r="AL55" s="214">
        <f>IF(AND(($E55+$C$1)&gt;AL$4,AL$4&gt;=$C$1),'General Inputs'!I$9*$H55,IF(AND(($D55+$C$1)&gt;AL$4,AL$4&gt;=$C$1),'General Inputs'!I$9*$G55,0))+IF(AND(($E55+$C$1)&gt;AL$4,AL$4&gt;=$C$1),'General Inputs'!I$10*$J55,IF(AND(($D55+$C$1)&gt;AL$4,AL$4&gt;=$C$1),'General Inputs'!I$10*$I55,0))</f>
        <v>0</v>
      </c>
      <c r="AM55" s="214">
        <f>IF(AND(($E55+$C$1)&gt;AM$4,AM$4&gt;=$C$1),'General Inputs'!J$9*$H55,IF(AND(($D55+$C$1)&gt;AM$4,AM$4&gt;=$C$1),'General Inputs'!J$9*$G55,0))+IF(AND(($E55+$C$1)&gt;AM$4,AM$4&gt;=$C$1),'General Inputs'!J$10*$J55,IF(AND(($D55+$C$1)&gt;AM$4,AM$4&gt;=$C$1),'General Inputs'!J$10*$I55,0))</f>
        <v>0</v>
      </c>
      <c r="AN55" s="214">
        <f>IF(AND(($E55+$C$1)&gt;AN$4,AN$4&gt;=$C$1),'General Inputs'!K$9*$H55,IF(AND(($D55+$C$1)&gt;AN$4,AN$4&gt;=$C$1),'General Inputs'!K$9*$G55,0))+IF(AND(($E55+$C$1)&gt;AN$4,AN$4&gt;=$C$1),'General Inputs'!K$10*$J55,IF(AND(($D55+$C$1)&gt;AN$4,AN$4&gt;=$C$1),'General Inputs'!K$10*$I55,0))</f>
        <v>0</v>
      </c>
      <c r="AO55" s="214">
        <f>IF(AND(($E55+$C$1)&gt;AO$4,AO$4&gt;=$C$1),'General Inputs'!L$9*$H55,IF(AND(($D55+$C$1)&gt;AO$4,AO$4&gt;=$C$1),'General Inputs'!L$9*$G55,0))+IF(AND(($E55+$C$1)&gt;AO$4,AO$4&gt;=$C$1),'General Inputs'!L$10*$J55,IF(AND(($D55+$C$1)&gt;AO$4,AO$4&gt;=$C$1),'General Inputs'!L$10*$I55,0))</f>
        <v>0</v>
      </c>
      <c r="AP55" s="214">
        <f>IF(AND(($E55+$C$1)&gt;AP$4,AP$4&gt;=$C$1),'General Inputs'!M$9*$H55,IF(AND(($D55+$C$1)&gt;AP$4,AP$4&gt;=$C$1),'General Inputs'!M$9*$G55,0))+IF(AND(($E55+$C$1)&gt;AP$4,AP$4&gt;=$C$1),'General Inputs'!M$10*$J55,IF(AND(($D55+$C$1)&gt;AP$4,AP$4&gt;=$C$1),'General Inputs'!M$10*$I55,0))</f>
        <v>0</v>
      </c>
      <c r="AQ55" s="214">
        <f>IF(AND(($E55+$C$1)&gt;AQ$4,AQ$4&gt;=$C$1),'General Inputs'!N$9*$H55,IF(AND(($D55+$C$1)&gt;AQ$4,AQ$4&gt;=$C$1),'General Inputs'!N$9*$G55,0))+IF(AND(($E55+$C$1)&gt;AQ$4,AQ$4&gt;=$C$1),'General Inputs'!N$10*$J55,IF(AND(($D55+$C$1)&gt;AQ$4,AQ$4&gt;=$C$1),'General Inputs'!N$10*$I55,0))</f>
        <v>0</v>
      </c>
      <c r="AR55" s="214">
        <f>IF(AND(($E55+$C$1)&gt;AR$4,AR$4&gt;=$C$1),'General Inputs'!O$9*$H55,IF(AND(($D55+$C$1)&gt;AR$4,AR$4&gt;=$C$1),'General Inputs'!O$9*$G55,0))+IF(AND(($E55+$C$1)&gt;AR$4,AR$4&gt;=$C$1),'General Inputs'!O$10*$J55,IF(AND(($D55+$C$1)&gt;AR$4,AR$4&gt;=$C$1),'General Inputs'!O$10*$I55,0))</f>
        <v>0</v>
      </c>
      <c r="AS55" s="214">
        <f>IF(AND(($E55+$C$1)&gt;AS$4,AS$4&gt;=$C$1),'General Inputs'!P$9*$H55,IF(AND(($D55+$C$1)&gt;AS$4,AS$4&gt;=$C$1),'General Inputs'!P$9*$G55,0))+IF(AND(($E55+$C$1)&gt;AS$4,AS$4&gt;=$C$1),'General Inputs'!P$10*$J55,IF(AND(($D55+$C$1)&gt;AS$4,AS$4&gt;=$C$1),'General Inputs'!P$10*$I55,0))</f>
        <v>0</v>
      </c>
      <c r="AT55" s="214">
        <f>IF(AND(($E55+$C$1)&gt;AT$4,AT$4&gt;=$C$1),'General Inputs'!Q$9*$H55,IF(AND(($D55+$C$1)&gt;AT$4,AT$4&gt;=$C$1),'General Inputs'!Q$9*$G55,0))+IF(AND(($E55+$C$1)&gt;AT$4,AT$4&gt;=$C$1),'General Inputs'!Q$10*$J55,IF(AND(($D55+$C$1)&gt;AT$4,AT$4&gt;=$C$1),'General Inputs'!Q$10*$I55,0))</f>
        <v>0</v>
      </c>
      <c r="AU55" s="214">
        <f>IF(AND(($E55+$C$1)&gt;AU$4,AU$4&gt;=$C$1),'General Inputs'!R$9*$H55,IF(AND(($D55+$C$1)&gt;AU$4,AU$4&gt;=$C$1),'General Inputs'!R$9*$G55,0))+IF(AND(($E55+$C$1)&gt;AU$4,AU$4&gt;=$C$1),'General Inputs'!R$10*$J55,IF(AND(($D55+$C$1)&gt;AU$4,AU$4&gt;=$C$1),'General Inputs'!R$10*$I55,0))</f>
        <v>0</v>
      </c>
      <c r="AV55" s="214">
        <f>IF(AND(($E55+$C$1)&gt;AV$4,AV$4&gt;=$C$1),'General Inputs'!S$9*$H55,IF(AND(($D55+$C$1)&gt;AV$4,AV$4&gt;=$C$1),'General Inputs'!S$9*$G55,0))+IF(AND(($E55+$C$1)&gt;AV$4,AV$4&gt;=$C$1),'General Inputs'!S$10*$J55,IF(AND(($D55+$C$1)&gt;AV$4,AV$4&gt;=$C$1),'General Inputs'!S$10*$I55,0))</f>
        <v>0</v>
      </c>
      <c r="AW55" s="214">
        <f>IF(AND(($E55+$C$1)&gt;AW$4,AW$4&gt;=$C$1),'General Inputs'!T$9*$H55,IF(AND(($D55+$C$1)&gt;AW$4,AW$4&gt;=$C$1),'General Inputs'!T$9*$G55,0))+IF(AND(($E55+$C$1)&gt;AW$4,AW$4&gt;=$C$1),'General Inputs'!T$10*$J55,IF(AND(($D55+$C$1)&gt;AW$4,AW$4&gt;=$C$1),'General Inputs'!T$10*$I55,0))</f>
        <v>0</v>
      </c>
      <c r="AX55" s="214">
        <f>IF(AND(($E55+$C$1)&gt;AX$4,AX$4&gt;=$C$1),'General Inputs'!U$9*$H55,IF(AND(($D55+$C$1)&gt;AX$4,AX$4&gt;=$C$1),'General Inputs'!U$9*$G55,0))+IF(AND(($E55+$C$1)&gt;AX$4,AX$4&gt;=$C$1),'General Inputs'!U$10*$J55,IF(AND(($D55+$C$1)&gt;AX$4,AX$4&gt;=$C$1),'General Inputs'!U$10*$I55,0))</f>
        <v>0</v>
      </c>
      <c r="AY55" s="214">
        <f>IF(AND(($E55+$C$1)&gt;AY$4,AY$4&gt;=$C$1),'General Inputs'!V$9*$H55,IF(AND(($D55+$C$1)&gt;AY$4,AY$4&gt;=$C$1),'General Inputs'!V$9*$G55,0))+IF(AND(($E55+$C$1)&gt;AY$4,AY$4&gt;=$C$1),'General Inputs'!V$10*$J55,IF(AND(($D55+$C$1)&gt;AY$4,AY$4&gt;=$C$1),'General Inputs'!V$10*$I55,0))</f>
        <v>0</v>
      </c>
      <c r="AZ55" s="214">
        <f>IF(AND(($E55+$C$1)&gt;AZ$4,AZ$4&gt;=$C$1),'General Inputs'!W$9*$H55,IF(AND(($D55+$C$1)&gt;AZ$4,AZ$4&gt;=$C$1),'General Inputs'!W$9*$G55,0))+IF(AND(($E55+$C$1)&gt;AZ$4,AZ$4&gt;=$C$1),'General Inputs'!W$10*$J55,IF(AND(($D55+$C$1)&gt;AZ$4,AZ$4&gt;=$C$1),'General Inputs'!W$10*$I55,0))</f>
        <v>0</v>
      </c>
      <c r="BB55" s="214">
        <f>IF(AND(($E55+$C$1)&gt;BB$4,BB$4&gt;=$C$1),'General Inputs'!D$11*$H55,IF(AND(($D55+$C$1)&gt;BB$4,BB$4&gt;=$C$1),'General Inputs'!D$11*$G55,0))</f>
        <v>0</v>
      </c>
      <c r="BC55" s="214">
        <f>IF(AND(($E55+$C$1)&gt;BC$4,BC$4&gt;=$C$1),'General Inputs'!E$11*$H55,IF(AND(($D55+$C$1)&gt;BC$4,BC$4&gt;=$C$1),'General Inputs'!E$11*$G55,0))</f>
        <v>0</v>
      </c>
      <c r="BD55" s="214">
        <f>IF(AND(($E55+$C$1)&gt;BD$4,BD$4&gt;=$C$1),'General Inputs'!F$11*$H55,IF(AND(($D55+$C$1)&gt;BD$4,BD$4&gt;=$C$1),'General Inputs'!F$11*$G55,0))</f>
        <v>0</v>
      </c>
      <c r="BE55" s="214">
        <f>IF(AND(($E55+$C$1)&gt;BE$4,BE$4&gt;=$C$1),'General Inputs'!G$11*$H55,IF(AND(($D55+$C$1)&gt;BE$4,BE$4&gt;=$C$1),'General Inputs'!G$11*$G55,0))</f>
        <v>0</v>
      </c>
      <c r="BF55" s="214">
        <f>IF(AND(($E55+$C$1)&gt;BF$4,BF$4&gt;=$C$1),'General Inputs'!H$11*$H55,IF(AND(($D55+$C$1)&gt;BF$4,BF$4&gt;=$C$1),'General Inputs'!H$11*$G55,0))</f>
        <v>0</v>
      </c>
      <c r="BG55" s="214">
        <f>IF(AND(($E55+$C$1)&gt;BG$4,BG$4&gt;=$C$1),'General Inputs'!I$11*$H55,IF(AND(($D55+$C$1)&gt;BG$4,BG$4&gt;=$C$1),'General Inputs'!I$11*$G55,0))</f>
        <v>0</v>
      </c>
      <c r="BH55" s="214">
        <f>IF(AND(($E55+$C$1)&gt;BH$4,BH$4&gt;=$C$1),'General Inputs'!J$11*$H55,IF(AND(($D55+$C$1)&gt;BH$4,BH$4&gt;=$C$1),'General Inputs'!J$11*$G55,0))</f>
        <v>0</v>
      </c>
      <c r="BI55" s="214">
        <f>IF(AND(($E55+$C$1)&gt;BI$4,BI$4&gt;=$C$1),'General Inputs'!K$11*$H55,IF(AND(($D55+$C$1)&gt;BI$4,BI$4&gt;=$C$1),'General Inputs'!K$11*$G55,0))</f>
        <v>0</v>
      </c>
      <c r="BJ55" s="214">
        <f>IF(AND(($E55+$C$1)&gt;BJ$4,BJ$4&gt;=$C$1),'General Inputs'!L$11*$H55,IF(AND(($D55+$C$1)&gt;BJ$4,BJ$4&gt;=$C$1),'General Inputs'!L$11*$G55,0))</f>
        <v>0</v>
      </c>
      <c r="BK55" s="214">
        <f>IF(AND(($E55+$C$1)&gt;BK$4,BK$4&gt;=$C$1),'General Inputs'!M$11*$H55,IF(AND(($D55+$C$1)&gt;BK$4,BK$4&gt;=$C$1),'General Inputs'!M$11*$G55,0))</f>
        <v>0</v>
      </c>
      <c r="BL55" s="214">
        <f>IF(AND(($E55+$C$1)&gt;BL$4,BL$4&gt;=$C$1),'General Inputs'!N$11*$H55,IF(AND(($D55+$C$1)&gt;BL$4,BL$4&gt;=$C$1),'General Inputs'!N$11*$G55,0))</f>
        <v>0</v>
      </c>
      <c r="BM55" s="214">
        <f>IF(AND(($E55+$C$1)&gt;BM$4,BM$4&gt;=$C$1),'General Inputs'!O$11*$H55,IF(AND(($D55+$C$1)&gt;BM$4,BM$4&gt;=$C$1),'General Inputs'!O$11*$G55,0))</f>
        <v>0</v>
      </c>
      <c r="BN55" s="214">
        <f>IF(AND(($E55+$C$1)&gt;BN$4,BN$4&gt;=$C$1),'General Inputs'!P$11*$H55,IF(AND(($D55+$C$1)&gt;BN$4,BN$4&gt;=$C$1),'General Inputs'!P$11*$G55,0))</f>
        <v>0</v>
      </c>
      <c r="BO55" s="214">
        <f>IF(AND(($E55+$C$1)&gt;BO$4,BO$4&gt;=$C$1),'General Inputs'!Q$11*$H55,IF(AND(($D55+$C$1)&gt;BO$4,BO$4&gt;=$C$1),'General Inputs'!Q$11*$G55,0))</f>
        <v>0</v>
      </c>
      <c r="BP55" s="214">
        <f>IF(AND(($E55+$C$1)&gt;BP$4,BP$4&gt;=$C$1),'General Inputs'!R$11*$H55,IF(AND(($D55+$C$1)&gt;BP$4,BP$4&gt;=$C$1),'General Inputs'!R$11*$G55,0))</f>
        <v>0</v>
      </c>
      <c r="BQ55" s="214">
        <f>IF(AND(($E55+$C$1)&gt;BQ$4,BQ$4&gt;=$C$1),'General Inputs'!S$11*$H55,IF(AND(($D55+$C$1)&gt;BQ$4,BQ$4&gt;=$C$1),'General Inputs'!S$11*$G55,0))</f>
        <v>0</v>
      </c>
      <c r="BR55" s="214">
        <f>IF(AND(($E55+$C$1)&gt;BR$4,BR$4&gt;=$C$1),'General Inputs'!T$11*$H55,IF(AND(($D55+$C$1)&gt;BR$4,BR$4&gt;=$C$1),'General Inputs'!T$11*$G55,0))</f>
        <v>0</v>
      </c>
      <c r="BS55" s="214">
        <f>IF(AND(($E55+$C$1)&gt;BS$4,BS$4&gt;=$C$1),'General Inputs'!U$11*$H55,IF(AND(($D55+$C$1)&gt;BS$4,BS$4&gt;=$C$1),'General Inputs'!U$11*$G55,0))</f>
        <v>0</v>
      </c>
      <c r="BT55" s="214">
        <f>IF(AND(($E55+$C$1)&gt;BT$4,BT$4&gt;=$C$1),'General Inputs'!V$11*$H55,IF(AND(($D55+$C$1)&gt;BT$4,BT$4&gt;=$C$1),'General Inputs'!V$11*$G55,0))</f>
        <v>0</v>
      </c>
      <c r="BU55" s="214">
        <f>IF(AND(($E55+$C$1)&gt;BU$4,BU$4&gt;=$C$1),'General Inputs'!W$11*$H55,IF(AND(($D55+$C$1)&gt;BU$4,BU$4&gt;=$C$1),'General Inputs'!W$11*$G55,0))</f>
        <v>0</v>
      </c>
      <c r="BW55" s="214">
        <f>IF(AND(($E55+$C$1)&gt;BW$4,BW$4&gt;=$C$1),$H55,IF(AND(($D55+$C$1)&gt;BW$4,BW$4&gt;=$C$1),$G55,0))*IF($A55="Residential",'General Inputs'!D$14,'General Inputs'!D$19)</f>
        <v>0</v>
      </c>
      <c r="BX55" s="214">
        <f>IF(AND(($E55+$C$1)&gt;BX$4,BX$4&gt;=$C$1),$H55,IF(AND(($D55+$C$1)&gt;BX$4,BX$4&gt;=$C$1),$G55,0))*IF($A55="Residential",'General Inputs'!E$14,'General Inputs'!E$19)</f>
        <v>0</v>
      </c>
      <c r="BY55" s="214">
        <f>IF(AND(($E55+$C$1)&gt;BY$4,BY$4&gt;=$C$1),$H55,IF(AND(($D55+$C$1)&gt;BY$4,BY$4&gt;=$C$1),$G55,0))*IF($A55="Residential",'General Inputs'!F$14,'General Inputs'!F$19)</f>
        <v>0</v>
      </c>
      <c r="BZ55" s="214">
        <f>IF(AND(($E55+$C$1)&gt;BZ$4,BZ$4&gt;=$C$1),$H55,IF(AND(($D55+$C$1)&gt;BZ$4,BZ$4&gt;=$C$1),$G55,0))*IF($A55="Residential",'General Inputs'!G$14,'General Inputs'!G$19)</f>
        <v>0</v>
      </c>
      <c r="CA55" s="214">
        <f>IF(AND(($E55+$C$1)&gt;CA$4,CA$4&gt;=$C$1),$H55,IF(AND(($D55+$C$1)&gt;CA$4,CA$4&gt;=$C$1),$G55,0))*IF($A55="Residential",'General Inputs'!H$14,'General Inputs'!H$19)</f>
        <v>0</v>
      </c>
      <c r="CB55" s="214">
        <f>IF(AND(($E55+$C$1)&gt;CB$4,CB$4&gt;=$C$1),$H55,IF(AND(($D55+$C$1)&gt;CB$4,CB$4&gt;=$C$1),$G55,0))*IF($A55="Residential",'General Inputs'!I$14,'General Inputs'!I$19)</f>
        <v>0</v>
      </c>
      <c r="CC55" s="214">
        <f>IF(AND(($E55+$C$1)&gt;CC$4,CC$4&gt;=$C$1),$H55,IF(AND(($D55+$C$1)&gt;CC$4,CC$4&gt;=$C$1),$G55,0))*IF($A55="Residential",'General Inputs'!J$14,'General Inputs'!J$19)</f>
        <v>0</v>
      </c>
      <c r="CD55" s="214">
        <f>IF(AND(($E55+$C$1)&gt;CD$4,CD$4&gt;=$C$1),$H55,IF(AND(($D55+$C$1)&gt;CD$4,CD$4&gt;=$C$1),$G55,0))*IF($A55="Residential",'General Inputs'!K$14,'General Inputs'!K$19)</f>
        <v>0</v>
      </c>
      <c r="CE55" s="214">
        <f>IF(AND(($E55+$C$1)&gt;CE$4,CE$4&gt;=$C$1),$H55,IF(AND(($D55+$C$1)&gt;CE$4,CE$4&gt;=$C$1),$G55,0))*IF($A55="Residential",'General Inputs'!L$14,'General Inputs'!L$19)</f>
        <v>0</v>
      </c>
      <c r="CF55" s="214">
        <f>IF(AND(($E55+$C$1)&gt;CF$4,CF$4&gt;=$C$1),$H55,IF(AND(($D55+$C$1)&gt;CF$4,CF$4&gt;=$C$1),$G55,0))*IF($A55="Residential",'General Inputs'!M$14,'General Inputs'!M$19)</f>
        <v>0</v>
      </c>
      <c r="CG55" s="214">
        <f>IF(AND(($E55+$C$1)&gt;CG$4,CG$4&gt;=$C$1),$H55,IF(AND(($D55+$C$1)&gt;CG$4,CG$4&gt;=$C$1),$G55,0))*IF($A55="Residential",'General Inputs'!N$14,'General Inputs'!N$19)</f>
        <v>0</v>
      </c>
      <c r="CH55" s="214">
        <f>IF(AND(($E55+$C$1)&gt;CH$4,CH$4&gt;=$C$1),$H55,IF(AND(($D55+$C$1)&gt;CH$4,CH$4&gt;=$C$1),$G55,0))*IF($A55="Residential",'General Inputs'!O$14,'General Inputs'!O$19)</f>
        <v>0</v>
      </c>
      <c r="CI55" s="214">
        <f>IF(AND(($E55+$C$1)&gt;CI$4,CI$4&gt;=$C$1),$H55,IF(AND(($D55+$C$1)&gt;CI$4,CI$4&gt;=$C$1),$G55,0))*IF($A55="Residential",'General Inputs'!P$14,'General Inputs'!P$19)</f>
        <v>0</v>
      </c>
      <c r="CJ55" s="214">
        <f>IF(AND(($E55+$C$1)&gt;CJ$4,CJ$4&gt;=$C$1),$H55,IF(AND(($D55+$C$1)&gt;CJ$4,CJ$4&gt;=$C$1),$G55,0))*IF($A55="Residential",'General Inputs'!Q$14,'General Inputs'!Q$19)</f>
        <v>0</v>
      </c>
      <c r="CK55" s="214">
        <f>IF(AND(($E55+$C$1)&gt;CK$4,CK$4&gt;=$C$1),$H55,IF(AND(($D55+$C$1)&gt;CK$4,CK$4&gt;=$C$1),$G55,0))*IF($A55="Residential",'General Inputs'!R$14,'General Inputs'!R$19)</f>
        <v>0</v>
      </c>
      <c r="CL55" s="214">
        <f>IF(AND(($E55+$C$1)&gt;CL$4,CL$4&gt;=$C$1),$H55,IF(AND(($D55+$C$1)&gt;CL$4,CL$4&gt;=$C$1),$G55,0))*IF($A55="Residential",'General Inputs'!S$14,'General Inputs'!S$19)</f>
        <v>0</v>
      </c>
      <c r="CM55" s="214">
        <f>IF(AND(($E55+$C$1)&gt;CM$4,CM$4&gt;=$C$1),$H55,IF(AND(($D55+$C$1)&gt;CM$4,CM$4&gt;=$C$1),$G55,0))*IF($A55="Residential",'General Inputs'!T$14,'General Inputs'!T$19)</f>
        <v>0</v>
      </c>
      <c r="CN55" s="214">
        <f>IF(AND(($E55+$C$1)&gt;CN$4,CN$4&gt;=$C$1),$H55,IF(AND(($D55+$C$1)&gt;CN$4,CN$4&gt;=$C$1),$G55,0))*IF($A55="Residential",'General Inputs'!U$14,'General Inputs'!U$19)</f>
        <v>0</v>
      </c>
      <c r="CO55" s="214">
        <f>IF(AND(($E55+$C$1)&gt;CO$4,CO$4&gt;=$C$1),$H55,IF(AND(($D55+$C$1)&gt;CO$4,CO$4&gt;=$C$1),$G55,0))*IF($A55="Residential",'General Inputs'!V$14,'General Inputs'!V$19)</f>
        <v>0</v>
      </c>
      <c r="CP55" s="214">
        <f>IF(AND(($E55+$C$1)&gt;CP$4,CP$4&gt;=$C$1),$H55,IF(AND(($D55+$C$1)&gt;CP$4,CP$4&gt;=$C$1),$G55,0))*IF($A55="Residential",'General Inputs'!W$14,'General Inputs'!W$19)</f>
        <v>0</v>
      </c>
      <c r="CR55" s="214">
        <f>IF(AND(($E55+$C$1)&gt;CR$4,CR$4&gt;=$C$1),$H55,IF(AND(($D55+$C$1)&gt;CR$4,CR$4&gt;=$C$1),$G55,0))*IF($A55="Residential",'General Inputs'!D$15,'General Inputs'!D$19)</f>
        <v>0</v>
      </c>
      <c r="CS55" s="214">
        <f>IF(AND(($E55+$C$1)&gt;CS$4,CS$4&gt;=$C$1),$H55,IF(AND(($D55+$C$1)&gt;CS$4,CS$4&gt;=$C$1),$G55,0))*IF($A55="Residential",'General Inputs'!E$15,'General Inputs'!E$19)</f>
        <v>0</v>
      </c>
      <c r="CT55" s="214">
        <f>IF(AND(($E55+$C$1)&gt;CT$4,CT$4&gt;=$C$1),$H55,IF(AND(($D55+$C$1)&gt;CT$4,CT$4&gt;=$C$1),$G55,0))*IF($A55="Residential",'General Inputs'!F$15,'General Inputs'!F$19)</f>
        <v>0</v>
      </c>
      <c r="CU55" s="214">
        <f>IF(AND(($E55+$C$1)&gt;CU$4,CU$4&gt;=$C$1),$H55,IF(AND(($D55+$C$1)&gt;CU$4,CU$4&gt;=$C$1),$G55,0))*IF($A55="Residential",'General Inputs'!G$15,'General Inputs'!G$19)</f>
        <v>0</v>
      </c>
      <c r="CV55" s="214">
        <f>IF(AND(($E55+$C$1)&gt;CV$4,CV$4&gt;=$C$1),$H55,IF(AND(($D55+$C$1)&gt;CV$4,CV$4&gt;=$C$1),$G55,0))*IF($A55="Residential",'General Inputs'!H$15,'General Inputs'!H$19)</f>
        <v>0</v>
      </c>
      <c r="CW55" s="214">
        <f>IF(AND(($E55+$C$1)&gt;CW$4,CW$4&gt;=$C$1),$H55,IF(AND(($D55+$C$1)&gt;CW$4,CW$4&gt;=$C$1),$G55,0))*IF($A55="Residential",'General Inputs'!I$15,'General Inputs'!I$19)</f>
        <v>0</v>
      </c>
      <c r="CX55" s="214">
        <f>IF(AND(($E55+$C$1)&gt;CX$4,CX$4&gt;=$C$1),$H55,IF(AND(($D55+$C$1)&gt;CX$4,CX$4&gt;=$C$1),$G55,0))*IF($A55="Residential",'General Inputs'!J$15,'General Inputs'!J$19)</f>
        <v>0</v>
      </c>
      <c r="CY55" s="214">
        <f>IF(AND(($E55+$C$1)&gt;CY$4,CY$4&gt;=$C$1),$H55,IF(AND(($D55+$C$1)&gt;CY$4,CY$4&gt;=$C$1),$G55,0))*IF($A55="Residential",'General Inputs'!K$15,'General Inputs'!K$19)</f>
        <v>0</v>
      </c>
      <c r="CZ55" s="214">
        <f>IF(AND(($E55+$C$1)&gt;CZ$4,CZ$4&gt;=$C$1),$H55,IF(AND(($D55+$C$1)&gt;CZ$4,CZ$4&gt;=$C$1),$G55,0))*IF($A55="Residential",'General Inputs'!L$15,'General Inputs'!L$19)</f>
        <v>0</v>
      </c>
      <c r="DA55" s="214">
        <f>IF(AND(($E55+$C$1)&gt;DA$4,DA$4&gt;=$C$1),$H55,IF(AND(($D55+$C$1)&gt;DA$4,DA$4&gt;=$C$1),$G55,0))*IF($A55="Residential",'General Inputs'!M$15,'General Inputs'!M$19)</f>
        <v>0</v>
      </c>
      <c r="DB55" s="214">
        <f>IF(AND(($E55+$C$1)&gt;DB$4,DB$4&gt;=$C$1),$H55,IF(AND(($D55+$C$1)&gt;DB$4,DB$4&gt;=$C$1),$G55,0))*IF($A55="Residential",'General Inputs'!N$15,'General Inputs'!N$19)</f>
        <v>0</v>
      </c>
      <c r="DC55" s="214">
        <f>IF(AND(($E55+$C$1)&gt;DC$4,DC$4&gt;=$C$1),$H55,IF(AND(($D55+$C$1)&gt;DC$4,DC$4&gt;=$C$1),$G55,0))*IF($A55="Residential",'General Inputs'!O$15,'General Inputs'!O$19)</f>
        <v>0</v>
      </c>
      <c r="DD55" s="214">
        <f>IF(AND(($E55+$C$1)&gt;DD$4,DD$4&gt;=$C$1),$H55,IF(AND(($D55+$C$1)&gt;DD$4,DD$4&gt;=$C$1),$G55,0))*IF($A55="Residential",'General Inputs'!P$15,'General Inputs'!P$19)</f>
        <v>0</v>
      </c>
      <c r="DE55" s="214">
        <f>IF(AND(($E55+$C$1)&gt;DE$4,DE$4&gt;=$C$1),$H55,IF(AND(($D55+$C$1)&gt;DE$4,DE$4&gt;=$C$1),$G55,0))*IF($A55="Residential",'General Inputs'!Q$15,'General Inputs'!Q$19)</f>
        <v>0</v>
      </c>
      <c r="DF55" s="214">
        <f>IF(AND(($E55+$C$1)&gt;DF$4,DF$4&gt;=$C$1),$H55,IF(AND(($D55+$C$1)&gt;DF$4,DF$4&gt;=$C$1),$G55,0))*IF($A55="Residential",'General Inputs'!R$15,'General Inputs'!R$19)</f>
        <v>0</v>
      </c>
      <c r="DG55" s="214">
        <f>IF(AND(($E55+$C$1)&gt;DG$4,DG$4&gt;=$C$1),$H55,IF(AND(($D55+$C$1)&gt;DG$4,DG$4&gt;=$C$1),$G55,0))*IF($A55="Residential",'General Inputs'!S$15,'General Inputs'!S$19)</f>
        <v>0</v>
      </c>
      <c r="DH55" s="214">
        <f>IF(AND(($E55+$C$1)&gt;DH$4,DH$4&gt;=$C$1),$H55,IF(AND(($D55+$C$1)&gt;DH$4,DH$4&gt;=$C$1),$G55,0))*IF($A55="Residential",'General Inputs'!T$15,'General Inputs'!T$19)</f>
        <v>0</v>
      </c>
      <c r="DI55" s="214">
        <f>IF(AND(($E55+$C$1)&gt;DI$4,DI$4&gt;=$C$1),$H55,IF(AND(($D55+$C$1)&gt;DI$4,DI$4&gt;=$C$1),$G55,0))*IF($A55="Residential",'General Inputs'!U$15,'General Inputs'!U$19)</f>
        <v>0</v>
      </c>
      <c r="DJ55" s="214">
        <f>IF(AND(($E55+$C$1)&gt;DJ$4,DJ$4&gt;=$C$1),$H55,IF(AND(($D55+$C$1)&gt;DJ$4,DJ$4&gt;=$C$1),$G55,0))*IF($A55="Residential",'General Inputs'!V$15,'General Inputs'!V$19)</f>
        <v>0</v>
      </c>
      <c r="DK55" s="214">
        <f>IF(AND(($E55+$C$1)&gt;DK$4,DK$4&gt;=$C$1),$H55,IF(AND(($D55+$C$1)&gt;DK$4,DK$4&gt;=$C$1),$G55,0))*IF($A55="Residential",'General Inputs'!W$15,'General Inputs'!W$19)</f>
        <v>0</v>
      </c>
      <c r="DM55" s="214">
        <f t="shared" si="99"/>
        <v>0</v>
      </c>
      <c r="DN55" s="214">
        <f t="shared" si="99"/>
        <v>0</v>
      </c>
      <c r="DO55" s="214">
        <f t="shared" si="99"/>
        <v>0</v>
      </c>
      <c r="DP55" s="214">
        <f t="shared" si="99"/>
        <v>0</v>
      </c>
      <c r="DQ55" s="214">
        <f t="shared" si="99"/>
        <v>0</v>
      </c>
      <c r="DR55" s="214">
        <f t="shared" si="99"/>
        <v>0</v>
      </c>
      <c r="DS55" s="214">
        <f t="shared" si="99"/>
        <v>0</v>
      </c>
      <c r="DT55" s="214">
        <f t="shared" si="99"/>
        <v>0</v>
      </c>
      <c r="DU55" s="214">
        <f t="shared" si="99"/>
        <v>0</v>
      </c>
      <c r="DV55" s="214">
        <f t="shared" si="99"/>
        <v>0</v>
      </c>
      <c r="DW55" s="214">
        <f t="shared" si="99"/>
        <v>0</v>
      </c>
      <c r="DZ55" s="650"/>
      <c r="FI55" s="195"/>
      <c r="FJ55" s="195"/>
      <c r="FK55" s="195"/>
      <c r="FL55" s="195"/>
      <c r="FM55" s="195"/>
      <c r="FN55" s="195"/>
      <c r="FO55" s="195"/>
    </row>
    <row r="56" spans="1:171">
      <c r="A56" s="342" t="s">
        <v>112</v>
      </c>
      <c r="B56" s="427" t="str">
        <f>'Portfolio Inputs'!A55</f>
        <v>Fluorescent Fixture Specular Reflector two 4-ft</v>
      </c>
      <c r="C56" s="217">
        <f>IF($C$1=2014,'Portfolio Inputs'!$C55,IF($C$1=2015,'Portfolio Inputs'!$D55,'Portfolio Inputs'!$E55))</f>
        <v>0</v>
      </c>
      <c r="D56" s="504">
        <f>VLOOKUP(B56,Sources!$B$4:$J$104,2,FALSE)</f>
        <v>15</v>
      </c>
      <c r="E56" s="504">
        <f>VLOOKUP(B56,Sources!$B$4:$J$104,3,FALSE)</f>
        <v>0</v>
      </c>
      <c r="G56" s="504">
        <f>IF($C$1=2014,'Portfolio Inputs'!$G55,IF($C$1=2015,'Portfolio Inputs'!$H55,'Portfolio Inputs'!$I55))*EnergyLineLoss</f>
        <v>0</v>
      </c>
      <c r="H56" s="504"/>
      <c r="I56" s="595">
        <f>IF($C$1=2014,'Portfolio Inputs'!$K55,IF($C$1=2015,'Portfolio Inputs'!$L55,'Portfolio Inputs'!$M55))*PeakLineLoss</f>
        <v>0</v>
      </c>
      <c r="J56" s="510"/>
      <c r="L56" s="606">
        <f>IF($C$1=2014,'Portfolio Inputs'!$O55,IF($C$1=2015,'Portfolio Inputs'!$P55,'Portfolio Inputs'!$Q55))</f>
        <v>30</v>
      </c>
      <c r="M56" s="518">
        <f>VLOOKUP($B56,Sources!$B$4:$K$104,10,FALSE)</f>
        <v>0</v>
      </c>
      <c r="N56" s="419">
        <f>IF($C$1=2014,'Portfolio Inputs'!$W55,IF($C$1=2015,'Portfolio Inputs'!$X55,'Portfolio Inputs'!$Y55))</f>
        <v>0</v>
      </c>
      <c r="O56" s="419">
        <f>IF($C$1=2014,'Portfolio Inputs'!$AA55,IF($C$1=2015,'Portfolio Inputs'!$AB55,'Portfolio Inputs'!$AC55))</f>
        <v>0</v>
      </c>
      <c r="Q56" s="438" t="str">
        <f t="shared" si="67"/>
        <v>n/a</v>
      </c>
      <c r="R56" s="439" t="str">
        <f t="shared" si="68"/>
        <v>n/a</v>
      </c>
      <c r="S56" s="439" t="str">
        <f t="shared" si="69"/>
        <v>n/a</v>
      </c>
      <c r="T56" s="439" t="str">
        <f t="shared" si="70"/>
        <v>n/a</v>
      </c>
      <c r="U56" s="439" t="str">
        <f t="shared" si="98"/>
        <v>n/a</v>
      </c>
      <c r="V56" s="439" t="str">
        <f t="shared" si="72"/>
        <v>n/a</v>
      </c>
      <c r="W56" s="439" t="str">
        <f t="shared" si="73"/>
        <v>n/a</v>
      </c>
      <c r="Y56" s="215">
        <f t="shared" si="4"/>
        <v>0</v>
      </c>
      <c r="Z56" s="215">
        <f t="shared" si="5"/>
        <v>0</v>
      </c>
      <c r="AA56" s="215">
        <f t="shared" si="6"/>
        <v>0</v>
      </c>
      <c r="AB56" s="215">
        <f t="shared" si="7"/>
        <v>0</v>
      </c>
      <c r="AC56" s="216">
        <f t="shared" si="20"/>
        <v>0</v>
      </c>
      <c r="AD56" s="216">
        <f t="shared" si="21"/>
        <v>0</v>
      </c>
      <c r="AE56" s="215">
        <f t="shared" si="8"/>
        <v>0</v>
      </c>
      <c r="AG56" s="214">
        <f>IF(AND(($E56+$C$1)&gt;AG$4,AG$4&gt;=$C$1),'General Inputs'!D$9*$H56,IF(AND(($D56+$C$1)&gt;AG$4,AG$4&gt;=$C$1),'General Inputs'!D$9*$G56,0))+IF(AND(($E56+$C$1)&gt;AG$4,AG$4&gt;=$C$1),'General Inputs'!D$10*$J56,IF(AND(($D56+$C$1)&gt;AG$4,AG$4&gt;=$C$1),'General Inputs'!D$10*$I56,0))</f>
        <v>0</v>
      </c>
      <c r="AH56" s="214">
        <f>IF(AND(($E56+$C$1)&gt;AH$4,AH$4&gt;=$C$1),'General Inputs'!E$9*$H56,IF(AND(($D56+$C$1)&gt;AH$4,AH$4&gt;=$C$1),'General Inputs'!E$9*$G56,0))+IF(AND(($E56+$C$1)&gt;AH$4,AH$4&gt;=$C$1),'General Inputs'!E$10*$J56,IF(AND(($D56+$C$1)&gt;AH$4,AH$4&gt;=$C$1),'General Inputs'!E$10*$I56,0))</f>
        <v>0</v>
      </c>
      <c r="AI56" s="214">
        <f>IF(AND(($E56+$C$1)&gt;AI$4,AI$4&gt;=$C$1),'General Inputs'!F$9*$H56,IF(AND(($D56+$C$1)&gt;AI$4,AI$4&gt;=$C$1),'General Inputs'!F$9*$G56,0))+IF(AND(($E56+$C$1)&gt;AI$4,AI$4&gt;=$C$1),'General Inputs'!F$10*$J56,IF(AND(($D56+$C$1)&gt;AI$4,AI$4&gt;=$C$1),'General Inputs'!F$10*$I56,0))</f>
        <v>0</v>
      </c>
      <c r="AJ56" s="214">
        <f>IF(AND(($E56+$C$1)&gt;AJ$4,AJ$4&gt;=$C$1),'General Inputs'!G$9*$H56,IF(AND(($D56+$C$1)&gt;AJ$4,AJ$4&gt;=$C$1),'General Inputs'!G$9*$G56,0))+IF(AND(($E56+$C$1)&gt;AJ$4,AJ$4&gt;=$C$1),'General Inputs'!G$10*$J56,IF(AND(($D56+$C$1)&gt;AJ$4,AJ$4&gt;=$C$1),'General Inputs'!G$10*$I56,0))</f>
        <v>0</v>
      </c>
      <c r="AK56" s="214">
        <f>IF(AND(($E56+$C$1)&gt;AK$4,AK$4&gt;=$C$1),'General Inputs'!H$9*$H56,IF(AND(($D56+$C$1)&gt;AK$4,AK$4&gt;=$C$1),'General Inputs'!H$9*$G56,0))+IF(AND(($E56+$C$1)&gt;AK$4,AK$4&gt;=$C$1),'General Inputs'!H$10*$J56,IF(AND(($D56+$C$1)&gt;AK$4,AK$4&gt;=$C$1),'General Inputs'!H$10*$I56,0))</f>
        <v>0</v>
      </c>
      <c r="AL56" s="214">
        <f>IF(AND(($E56+$C$1)&gt;AL$4,AL$4&gt;=$C$1),'General Inputs'!I$9*$H56,IF(AND(($D56+$C$1)&gt;AL$4,AL$4&gt;=$C$1),'General Inputs'!I$9*$G56,0))+IF(AND(($E56+$C$1)&gt;AL$4,AL$4&gt;=$C$1),'General Inputs'!I$10*$J56,IF(AND(($D56+$C$1)&gt;AL$4,AL$4&gt;=$C$1),'General Inputs'!I$10*$I56,0))</f>
        <v>0</v>
      </c>
      <c r="AM56" s="214">
        <f>IF(AND(($E56+$C$1)&gt;AM$4,AM$4&gt;=$C$1),'General Inputs'!J$9*$H56,IF(AND(($D56+$C$1)&gt;AM$4,AM$4&gt;=$C$1),'General Inputs'!J$9*$G56,0))+IF(AND(($E56+$C$1)&gt;AM$4,AM$4&gt;=$C$1),'General Inputs'!J$10*$J56,IF(AND(($D56+$C$1)&gt;AM$4,AM$4&gt;=$C$1),'General Inputs'!J$10*$I56,0))</f>
        <v>0</v>
      </c>
      <c r="AN56" s="214">
        <f>IF(AND(($E56+$C$1)&gt;AN$4,AN$4&gt;=$C$1),'General Inputs'!K$9*$H56,IF(AND(($D56+$C$1)&gt;AN$4,AN$4&gt;=$C$1),'General Inputs'!K$9*$G56,0))+IF(AND(($E56+$C$1)&gt;AN$4,AN$4&gt;=$C$1),'General Inputs'!K$10*$J56,IF(AND(($D56+$C$1)&gt;AN$4,AN$4&gt;=$C$1),'General Inputs'!K$10*$I56,0))</f>
        <v>0</v>
      </c>
      <c r="AO56" s="214">
        <f>IF(AND(($E56+$C$1)&gt;AO$4,AO$4&gt;=$C$1),'General Inputs'!L$9*$H56,IF(AND(($D56+$C$1)&gt;AO$4,AO$4&gt;=$C$1),'General Inputs'!L$9*$G56,0))+IF(AND(($E56+$C$1)&gt;AO$4,AO$4&gt;=$C$1),'General Inputs'!L$10*$J56,IF(AND(($D56+$C$1)&gt;AO$4,AO$4&gt;=$C$1),'General Inputs'!L$10*$I56,0))</f>
        <v>0</v>
      </c>
      <c r="AP56" s="214">
        <f>IF(AND(($E56+$C$1)&gt;AP$4,AP$4&gt;=$C$1),'General Inputs'!M$9*$H56,IF(AND(($D56+$C$1)&gt;AP$4,AP$4&gt;=$C$1),'General Inputs'!M$9*$G56,0))+IF(AND(($E56+$C$1)&gt;AP$4,AP$4&gt;=$C$1),'General Inputs'!M$10*$J56,IF(AND(($D56+$C$1)&gt;AP$4,AP$4&gt;=$C$1),'General Inputs'!M$10*$I56,0))</f>
        <v>0</v>
      </c>
      <c r="AQ56" s="214">
        <f>IF(AND(($E56+$C$1)&gt;AQ$4,AQ$4&gt;=$C$1),'General Inputs'!N$9*$H56,IF(AND(($D56+$C$1)&gt;AQ$4,AQ$4&gt;=$C$1),'General Inputs'!N$9*$G56,0))+IF(AND(($E56+$C$1)&gt;AQ$4,AQ$4&gt;=$C$1),'General Inputs'!N$10*$J56,IF(AND(($D56+$C$1)&gt;AQ$4,AQ$4&gt;=$C$1),'General Inputs'!N$10*$I56,0))</f>
        <v>0</v>
      </c>
      <c r="AR56" s="214">
        <f>IF(AND(($E56+$C$1)&gt;AR$4,AR$4&gt;=$C$1),'General Inputs'!O$9*$H56,IF(AND(($D56+$C$1)&gt;AR$4,AR$4&gt;=$C$1),'General Inputs'!O$9*$G56,0))+IF(AND(($E56+$C$1)&gt;AR$4,AR$4&gt;=$C$1),'General Inputs'!O$10*$J56,IF(AND(($D56+$C$1)&gt;AR$4,AR$4&gt;=$C$1),'General Inputs'!O$10*$I56,0))</f>
        <v>0</v>
      </c>
      <c r="AS56" s="214">
        <f>IF(AND(($E56+$C$1)&gt;AS$4,AS$4&gt;=$C$1),'General Inputs'!P$9*$H56,IF(AND(($D56+$C$1)&gt;AS$4,AS$4&gt;=$C$1),'General Inputs'!P$9*$G56,0))+IF(AND(($E56+$C$1)&gt;AS$4,AS$4&gt;=$C$1),'General Inputs'!P$10*$J56,IF(AND(($D56+$C$1)&gt;AS$4,AS$4&gt;=$C$1),'General Inputs'!P$10*$I56,0))</f>
        <v>0</v>
      </c>
      <c r="AT56" s="214">
        <f>IF(AND(($E56+$C$1)&gt;AT$4,AT$4&gt;=$C$1),'General Inputs'!Q$9*$H56,IF(AND(($D56+$C$1)&gt;AT$4,AT$4&gt;=$C$1),'General Inputs'!Q$9*$G56,0))+IF(AND(($E56+$C$1)&gt;AT$4,AT$4&gt;=$C$1),'General Inputs'!Q$10*$J56,IF(AND(($D56+$C$1)&gt;AT$4,AT$4&gt;=$C$1),'General Inputs'!Q$10*$I56,0))</f>
        <v>0</v>
      </c>
      <c r="AU56" s="214">
        <f>IF(AND(($E56+$C$1)&gt;AU$4,AU$4&gt;=$C$1),'General Inputs'!R$9*$H56,IF(AND(($D56+$C$1)&gt;AU$4,AU$4&gt;=$C$1),'General Inputs'!R$9*$G56,0))+IF(AND(($E56+$C$1)&gt;AU$4,AU$4&gt;=$C$1),'General Inputs'!R$10*$J56,IF(AND(($D56+$C$1)&gt;AU$4,AU$4&gt;=$C$1),'General Inputs'!R$10*$I56,0))</f>
        <v>0</v>
      </c>
      <c r="AV56" s="214">
        <f>IF(AND(($E56+$C$1)&gt;AV$4,AV$4&gt;=$C$1),'General Inputs'!S$9*$H56,IF(AND(($D56+$C$1)&gt;AV$4,AV$4&gt;=$C$1),'General Inputs'!S$9*$G56,0))+IF(AND(($E56+$C$1)&gt;AV$4,AV$4&gt;=$C$1),'General Inputs'!S$10*$J56,IF(AND(($D56+$C$1)&gt;AV$4,AV$4&gt;=$C$1),'General Inputs'!S$10*$I56,0))</f>
        <v>0</v>
      </c>
      <c r="AW56" s="214">
        <f>IF(AND(($E56+$C$1)&gt;AW$4,AW$4&gt;=$C$1),'General Inputs'!T$9*$H56,IF(AND(($D56+$C$1)&gt;AW$4,AW$4&gt;=$C$1),'General Inputs'!T$9*$G56,0))+IF(AND(($E56+$C$1)&gt;AW$4,AW$4&gt;=$C$1),'General Inputs'!T$10*$J56,IF(AND(($D56+$C$1)&gt;AW$4,AW$4&gt;=$C$1),'General Inputs'!T$10*$I56,0))</f>
        <v>0</v>
      </c>
      <c r="AX56" s="214">
        <f>IF(AND(($E56+$C$1)&gt;AX$4,AX$4&gt;=$C$1),'General Inputs'!U$9*$H56,IF(AND(($D56+$C$1)&gt;AX$4,AX$4&gt;=$C$1),'General Inputs'!U$9*$G56,0))+IF(AND(($E56+$C$1)&gt;AX$4,AX$4&gt;=$C$1),'General Inputs'!U$10*$J56,IF(AND(($D56+$C$1)&gt;AX$4,AX$4&gt;=$C$1),'General Inputs'!U$10*$I56,0))</f>
        <v>0</v>
      </c>
      <c r="AY56" s="214">
        <f>IF(AND(($E56+$C$1)&gt;AY$4,AY$4&gt;=$C$1),'General Inputs'!V$9*$H56,IF(AND(($D56+$C$1)&gt;AY$4,AY$4&gt;=$C$1),'General Inputs'!V$9*$G56,0))+IF(AND(($E56+$C$1)&gt;AY$4,AY$4&gt;=$C$1),'General Inputs'!V$10*$J56,IF(AND(($D56+$C$1)&gt;AY$4,AY$4&gt;=$C$1),'General Inputs'!V$10*$I56,0))</f>
        <v>0</v>
      </c>
      <c r="AZ56" s="214">
        <f>IF(AND(($E56+$C$1)&gt;AZ$4,AZ$4&gt;=$C$1),'General Inputs'!W$9*$H56,IF(AND(($D56+$C$1)&gt;AZ$4,AZ$4&gt;=$C$1),'General Inputs'!W$9*$G56,0))+IF(AND(($E56+$C$1)&gt;AZ$4,AZ$4&gt;=$C$1),'General Inputs'!W$10*$J56,IF(AND(($D56+$C$1)&gt;AZ$4,AZ$4&gt;=$C$1),'General Inputs'!W$10*$I56,0))</f>
        <v>0</v>
      </c>
      <c r="BB56" s="214">
        <f>IF(AND(($E56+$C$1)&gt;BB$4,BB$4&gt;=$C$1),'General Inputs'!D$11*$H56,IF(AND(($D56+$C$1)&gt;BB$4,BB$4&gt;=$C$1),'General Inputs'!D$11*$G56,0))</f>
        <v>0</v>
      </c>
      <c r="BC56" s="214">
        <f>IF(AND(($E56+$C$1)&gt;BC$4,BC$4&gt;=$C$1),'General Inputs'!E$11*$H56,IF(AND(($D56+$C$1)&gt;BC$4,BC$4&gt;=$C$1),'General Inputs'!E$11*$G56,0))</f>
        <v>0</v>
      </c>
      <c r="BD56" s="214">
        <f>IF(AND(($E56+$C$1)&gt;BD$4,BD$4&gt;=$C$1),'General Inputs'!F$11*$H56,IF(AND(($D56+$C$1)&gt;BD$4,BD$4&gt;=$C$1),'General Inputs'!F$11*$G56,0))</f>
        <v>0</v>
      </c>
      <c r="BE56" s="214">
        <f>IF(AND(($E56+$C$1)&gt;BE$4,BE$4&gt;=$C$1),'General Inputs'!G$11*$H56,IF(AND(($D56+$C$1)&gt;BE$4,BE$4&gt;=$C$1),'General Inputs'!G$11*$G56,0))</f>
        <v>0</v>
      </c>
      <c r="BF56" s="214">
        <f>IF(AND(($E56+$C$1)&gt;BF$4,BF$4&gt;=$C$1),'General Inputs'!H$11*$H56,IF(AND(($D56+$C$1)&gt;BF$4,BF$4&gt;=$C$1),'General Inputs'!H$11*$G56,0))</f>
        <v>0</v>
      </c>
      <c r="BG56" s="214">
        <f>IF(AND(($E56+$C$1)&gt;BG$4,BG$4&gt;=$C$1),'General Inputs'!I$11*$H56,IF(AND(($D56+$C$1)&gt;BG$4,BG$4&gt;=$C$1),'General Inputs'!I$11*$G56,0))</f>
        <v>0</v>
      </c>
      <c r="BH56" s="214">
        <f>IF(AND(($E56+$C$1)&gt;BH$4,BH$4&gt;=$C$1),'General Inputs'!J$11*$H56,IF(AND(($D56+$C$1)&gt;BH$4,BH$4&gt;=$C$1),'General Inputs'!J$11*$G56,0))</f>
        <v>0</v>
      </c>
      <c r="BI56" s="214">
        <f>IF(AND(($E56+$C$1)&gt;BI$4,BI$4&gt;=$C$1),'General Inputs'!K$11*$H56,IF(AND(($D56+$C$1)&gt;BI$4,BI$4&gt;=$C$1),'General Inputs'!K$11*$G56,0))</f>
        <v>0</v>
      </c>
      <c r="BJ56" s="214">
        <f>IF(AND(($E56+$C$1)&gt;BJ$4,BJ$4&gt;=$C$1),'General Inputs'!L$11*$H56,IF(AND(($D56+$C$1)&gt;BJ$4,BJ$4&gt;=$C$1),'General Inputs'!L$11*$G56,0))</f>
        <v>0</v>
      </c>
      <c r="BK56" s="214">
        <f>IF(AND(($E56+$C$1)&gt;BK$4,BK$4&gt;=$C$1),'General Inputs'!M$11*$H56,IF(AND(($D56+$C$1)&gt;BK$4,BK$4&gt;=$C$1),'General Inputs'!M$11*$G56,0))</f>
        <v>0</v>
      </c>
      <c r="BL56" s="214">
        <f>IF(AND(($E56+$C$1)&gt;BL$4,BL$4&gt;=$C$1),'General Inputs'!N$11*$H56,IF(AND(($D56+$C$1)&gt;BL$4,BL$4&gt;=$C$1),'General Inputs'!N$11*$G56,0))</f>
        <v>0</v>
      </c>
      <c r="BM56" s="214">
        <f>IF(AND(($E56+$C$1)&gt;BM$4,BM$4&gt;=$C$1),'General Inputs'!O$11*$H56,IF(AND(($D56+$C$1)&gt;BM$4,BM$4&gt;=$C$1),'General Inputs'!O$11*$G56,0))</f>
        <v>0</v>
      </c>
      <c r="BN56" s="214">
        <f>IF(AND(($E56+$C$1)&gt;BN$4,BN$4&gt;=$C$1),'General Inputs'!P$11*$H56,IF(AND(($D56+$C$1)&gt;BN$4,BN$4&gt;=$C$1),'General Inputs'!P$11*$G56,0))</f>
        <v>0</v>
      </c>
      <c r="BO56" s="214">
        <f>IF(AND(($E56+$C$1)&gt;BO$4,BO$4&gt;=$C$1),'General Inputs'!Q$11*$H56,IF(AND(($D56+$C$1)&gt;BO$4,BO$4&gt;=$C$1),'General Inputs'!Q$11*$G56,0))</f>
        <v>0</v>
      </c>
      <c r="BP56" s="214">
        <f>IF(AND(($E56+$C$1)&gt;BP$4,BP$4&gt;=$C$1),'General Inputs'!R$11*$H56,IF(AND(($D56+$C$1)&gt;BP$4,BP$4&gt;=$C$1),'General Inputs'!R$11*$G56,0))</f>
        <v>0</v>
      </c>
      <c r="BQ56" s="214">
        <f>IF(AND(($E56+$C$1)&gt;BQ$4,BQ$4&gt;=$C$1),'General Inputs'!S$11*$H56,IF(AND(($D56+$C$1)&gt;BQ$4,BQ$4&gt;=$C$1),'General Inputs'!S$11*$G56,0))</f>
        <v>0</v>
      </c>
      <c r="BR56" s="214">
        <f>IF(AND(($E56+$C$1)&gt;BR$4,BR$4&gt;=$C$1),'General Inputs'!T$11*$H56,IF(AND(($D56+$C$1)&gt;BR$4,BR$4&gt;=$C$1),'General Inputs'!T$11*$G56,0))</f>
        <v>0</v>
      </c>
      <c r="BS56" s="214">
        <f>IF(AND(($E56+$C$1)&gt;BS$4,BS$4&gt;=$C$1),'General Inputs'!U$11*$H56,IF(AND(($D56+$C$1)&gt;BS$4,BS$4&gt;=$C$1),'General Inputs'!U$11*$G56,0))</f>
        <v>0</v>
      </c>
      <c r="BT56" s="214">
        <f>IF(AND(($E56+$C$1)&gt;BT$4,BT$4&gt;=$C$1),'General Inputs'!V$11*$H56,IF(AND(($D56+$C$1)&gt;BT$4,BT$4&gt;=$C$1),'General Inputs'!V$11*$G56,0))</f>
        <v>0</v>
      </c>
      <c r="BU56" s="214">
        <f>IF(AND(($E56+$C$1)&gt;BU$4,BU$4&gt;=$C$1),'General Inputs'!W$11*$H56,IF(AND(($D56+$C$1)&gt;BU$4,BU$4&gt;=$C$1),'General Inputs'!W$11*$G56,0))</f>
        <v>0</v>
      </c>
      <c r="BW56" s="214">
        <f>IF(AND(($E56+$C$1)&gt;BW$4,BW$4&gt;=$C$1),$H56,IF(AND(($D56+$C$1)&gt;BW$4,BW$4&gt;=$C$1),$G56,0))*IF($A56="Residential",'General Inputs'!D$14,'General Inputs'!D$19)</f>
        <v>0</v>
      </c>
      <c r="BX56" s="214">
        <f>IF(AND(($E56+$C$1)&gt;BX$4,BX$4&gt;=$C$1),$H56,IF(AND(($D56+$C$1)&gt;BX$4,BX$4&gt;=$C$1),$G56,0))*IF($A56="Residential",'General Inputs'!E$14,'General Inputs'!E$19)</f>
        <v>0</v>
      </c>
      <c r="BY56" s="214">
        <f>IF(AND(($E56+$C$1)&gt;BY$4,BY$4&gt;=$C$1),$H56,IF(AND(($D56+$C$1)&gt;BY$4,BY$4&gt;=$C$1),$G56,0))*IF($A56="Residential",'General Inputs'!F$14,'General Inputs'!F$19)</f>
        <v>0</v>
      </c>
      <c r="BZ56" s="214">
        <f>IF(AND(($E56+$C$1)&gt;BZ$4,BZ$4&gt;=$C$1),$H56,IF(AND(($D56+$C$1)&gt;BZ$4,BZ$4&gt;=$C$1),$G56,0))*IF($A56="Residential",'General Inputs'!G$14,'General Inputs'!G$19)</f>
        <v>0</v>
      </c>
      <c r="CA56" s="214">
        <f>IF(AND(($E56+$C$1)&gt;CA$4,CA$4&gt;=$C$1),$H56,IF(AND(($D56+$C$1)&gt;CA$4,CA$4&gt;=$C$1),$G56,0))*IF($A56="Residential",'General Inputs'!H$14,'General Inputs'!H$19)</f>
        <v>0</v>
      </c>
      <c r="CB56" s="214">
        <f>IF(AND(($E56+$C$1)&gt;CB$4,CB$4&gt;=$C$1),$H56,IF(AND(($D56+$C$1)&gt;CB$4,CB$4&gt;=$C$1),$G56,0))*IF($A56="Residential",'General Inputs'!I$14,'General Inputs'!I$19)</f>
        <v>0</v>
      </c>
      <c r="CC56" s="214">
        <f>IF(AND(($E56+$C$1)&gt;CC$4,CC$4&gt;=$C$1),$H56,IF(AND(($D56+$C$1)&gt;CC$4,CC$4&gt;=$C$1),$G56,0))*IF($A56="Residential",'General Inputs'!J$14,'General Inputs'!J$19)</f>
        <v>0</v>
      </c>
      <c r="CD56" s="214">
        <f>IF(AND(($E56+$C$1)&gt;CD$4,CD$4&gt;=$C$1),$H56,IF(AND(($D56+$C$1)&gt;CD$4,CD$4&gt;=$C$1),$G56,0))*IF($A56="Residential",'General Inputs'!K$14,'General Inputs'!K$19)</f>
        <v>0</v>
      </c>
      <c r="CE56" s="214">
        <f>IF(AND(($E56+$C$1)&gt;CE$4,CE$4&gt;=$C$1),$H56,IF(AND(($D56+$C$1)&gt;CE$4,CE$4&gt;=$C$1),$G56,0))*IF($A56="Residential",'General Inputs'!L$14,'General Inputs'!L$19)</f>
        <v>0</v>
      </c>
      <c r="CF56" s="214">
        <f>IF(AND(($E56+$C$1)&gt;CF$4,CF$4&gt;=$C$1),$H56,IF(AND(($D56+$C$1)&gt;CF$4,CF$4&gt;=$C$1),$G56,0))*IF($A56="Residential",'General Inputs'!M$14,'General Inputs'!M$19)</f>
        <v>0</v>
      </c>
      <c r="CG56" s="214">
        <f>IF(AND(($E56+$C$1)&gt;CG$4,CG$4&gt;=$C$1),$H56,IF(AND(($D56+$C$1)&gt;CG$4,CG$4&gt;=$C$1),$G56,0))*IF($A56="Residential",'General Inputs'!N$14,'General Inputs'!N$19)</f>
        <v>0</v>
      </c>
      <c r="CH56" s="214">
        <f>IF(AND(($E56+$C$1)&gt;CH$4,CH$4&gt;=$C$1),$H56,IF(AND(($D56+$C$1)&gt;CH$4,CH$4&gt;=$C$1),$G56,0))*IF($A56="Residential",'General Inputs'!O$14,'General Inputs'!O$19)</f>
        <v>0</v>
      </c>
      <c r="CI56" s="214">
        <f>IF(AND(($E56+$C$1)&gt;CI$4,CI$4&gt;=$C$1),$H56,IF(AND(($D56+$C$1)&gt;CI$4,CI$4&gt;=$C$1),$G56,0))*IF($A56="Residential",'General Inputs'!P$14,'General Inputs'!P$19)</f>
        <v>0</v>
      </c>
      <c r="CJ56" s="214">
        <f>IF(AND(($E56+$C$1)&gt;CJ$4,CJ$4&gt;=$C$1),$H56,IF(AND(($D56+$C$1)&gt;CJ$4,CJ$4&gt;=$C$1),$G56,0))*IF($A56="Residential",'General Inputs'!Q$14,'General Inputs'!Q$19)</f>
        <v>0</v>
      </c>
      <c r="CK56" s="214">
        <f>IF(AND(($E56+$C$1)&gt;CK$4,CK$4&gt;=$C$1),$H56,IF(AND(($D56+$C$1)&gt;CK$4,CK$4&gt;=$C$1),$G56,0))*IF($A56="Residential",'General Inputs'!R$14,'General Inputs'!R$19)</f>
        <v>0</v>
      </c>
      <c r="CL56" s="214">
        <f>IF(AND(($E56+$C$1)&gt;CL$4,CL$4&gt;=$C$1),$H56,IF(AND(($D56+$C$1)&gt;CL$4,CL$4&gt;=$C$1),$G56,0))*IF($A56="Residential",'General Inputs'!S$14,'General Inputs'!S$19)</f>
        <v>0</v>
      </c>
      <c r="CM56" s="214">
        <f>IF(AND(($E56+$C$1)&gt;CM$4,CM$4&gt;=$C$1),$H56,IF(AND(($D56+$C$1)&gt;CM$4,CM$4&gt;=$C$1),$G56,0))*IF($A56="Residential",'General Inputs'!T$14,'General Inputs'!T$19)</f>
        <v>0</v>
      </c>
      <c r="CN56" s="214">
        <f>IF(AND(($E56+$C$1)&gt;CN$4,CN$4&gt;=$C$1),$H56,IF(AND(($D56+$C$1)&gt;CN$4,CN$4&gt;=$C$1),$G56,0))*IF($A56="Residential",'General Inputs'!U$14,'General Inputs'!U$19)</f>
        <v>0</v>
      </c>
      <c r="CO56" s="214">
        <f>IF(AND(($E56+$C$1)&gt;CO$4,CO$4&gt;=$C$1),$H56,IF(AND(($D56+$C$1)&gt;CO$4,CO$4&gt;=$C$1),$G56,0))*IF($A56="Residential",'General Inputs'!V$14,'General Inputs'!V$19)</f>
        <v>0</v>
      </c>
      <c r="CP56" s="214">
        <f>IF(AND(($E56+$C$1)&gt;CP$4,CP$4&gt;=$C$1),$H56,IF(AND(($D56+$C$1)&gt;CP$4,CP$4&gt;=$C$1),$G56,0))*IF($A56="Residential",'General Inputs'!W$14,'General Inputs'!W$19)</f>
        <v>0</v>
      </c>
      <c r="CR56" s="214">
        <f>IF(AND(($E56+$C$1)&gt;CR$4,CR$4&gt;=$C$1),$H56,IF(AND(($D56+$C$1)&gt;CR$4,CR$4&gt;=$C$1),$G56,0))*IF($A56="Residential",'General Inputs'!D$15,'General Inputs'!D$19)</f>
        <v>0</v>
      </c>
      <c r="CS56" s="214">
        <f>IF(AND(($E56+$C$1)&gt;CS$4,CS$4&gt;=$C$1),$H56,IF(AND(($D56+$C$1)&gt;CS$4,CS$4&gt;=$C$1),$G56,0))*IF($A56="Residential",'General Inputs'!E$15,'General Inputs'!E$19)</f>
        <v>0</v>
      </c>
      <c r="CT56" s="214">
        <f>IF(AND(($E56+$C$1)&gt;CT$4,CT$4&gt;=$C$1),$H56,IF(AND(($D56+$C$1)&gt;CT$4,CT$4&gt;=$C$1),$G56,0))*IF($A56="Residential",'General Inputs'!F$15,'General Inputs'!F$19)</f>
        <v>0</v>
      </c>
      <c r="CU56" s="214">
        <f>IF(AND(($E56+$C$1)&gt;CU$4,CU$4&gt;=$C$1),$H56,IF(AND(($D56+$C$1)&gt;CU$4,CU$4&gt;=$C$1),$G56,0))*IF($A56="Residential",'General Inputs'!G$15,'General Inputs'!G$19)</f>
        <v>0</v>
      </c>
      <c r="CV56" s="214">
        <f>IF(AND(($E56+$C$1)&gt;CV$4,CV$4&gt;=$C$1),$H56,IF(AND(($D56+$C$1)&gt;CV$4,CV$4&gt;=$C$1),$G56,0))*IF($A56="Residential",'General Inputs'!H$15,'General Inputs'!H$19)</f>
        <v>0</v>
      </c>
      <c r="CW56" s="214">
        <f>IF(AND(($E56+$C$1)&gt;CW$4,CW$4&gt;=$C$1),$H56,IF(AND(($D56+$C$1)&gt;CW$4,CW$4&gt;=$C$1),$G56,0))*IF($A56="Residential",'General Inputs'!I$15,'General Inputs'!I$19)</f>
        <v>0</v>
      </c>
      <c r="CX56" s="214">
        <f>IF(AND(($E56+$C$1)&gt;CX$4,CX$4&gt;=$C$1),$H56,IF(AND(($D56+$C$1)&gt;CX$4,CX$4&gt;=$C$1),$G56,0))*IF($A56="Residential",'General Inputs'!J$15,'General Inputs'!J$19)</f>
        <v>0</v>
      </c>
      <c r="CY56" s="214">
        <f>IF(AND(($E56+$C$1)&gt;CY$4,CY$4&gt;=$C$1),$H56,IF(AND(($D56+$C$1)&gt;CY$4,CY$4&gt;=$C$1),$G56,0))*IF($A56="Residential",'General Inputs'!K$15,'General Inputs'!K$19)</f>
        <v>0</v>
      </c>
      <c r="CZ56" s="214">
        <f>IF(AND(($E56+$C$1)&gt;CZ$4,CZ$4&gt;=$C$1),$H56,IF(AND(($D56+$C$1)&gt;CZ$4,CZ$4&gt;=$C$1),$G56,0))*IF($A56="Residential",'General Inputs'!L$15,'General Inputs'!L$19)</f>
        <v>0</v>
      </c>
      <c r="DA56" s="214">
        <f>IF(AND(($E56+$C$1)&gt;DA$4,DA$4&gt;=$C$1),$H56,IF(AND(($D56+$C$1)&gt;DA$4,DA$4&gt;=$C$1),$G56,0))*IF($A56="Residential",'General Inputs'!M$15,'General Inputs'!M$19)</f>
        <v>0</v>
      </c>
      <c r="DB56" s="214">
        <f>IF(AND(($E56+$C$1)&gt;DB$4,DB$4&gt;=$C$1),$H56,IF(AND(($D56+$C$1)&gt;DB$4,DB$4&gt;=$C$1),$G56,0))*IF($A56="Residential",'General Inputs'!N$15,'General Inputs'!N$19)</f>
        <v>0</v>
      </c>
      <c r="DC56" s="214">
        <f>IF(AND(($E56+$C$1)&gt;DC$4,DC$4&gt;=$C$1),$H56,IF(AND(($D56+$C$1)&gt;DC$4,DC$4&gt;=$C$1),$G56,0))*IF($A56="Residential",'General Inputs'!O$15,'General Inputs'!O$19)</f>
        <v>0</v>
      </c>
      <c r="DD56" s="214">
        <f>IF(AND(($E56+$C$1)&gt;DD$4,DD$4&gt;=$C$1),$H56,IF(AND(($D56+$C$1)&gt;DD$4,DD$4&gt;=$C$1),$G56,0))*IF($A56="Residential",'General Inputs'!P$15,'General Inputs'!P$19)</f>
        <v>0</v>
      </c>
      <c r="DE56" s="214">
        <f>IF(AND(($E56+$C$1)&gt;DE$4,DE$4&gt;=$C$1),$H56,IF(AND(($D56+$C$1)&gt;DE$4,DE$4&gt;=$C$1),$G56,0))*IF($A56="Residential",'General Inputs'!Q$15,'General Inputs'!Q$19)</f>
        <v>0</v>
      </c>
      <c r="DF56" s="214">
        <f>IF(AND(($E56+$C$1)&gt;DF$4,DF$4&gt;=$C$1),$H56,IF(AND(($D56+$C$1)&gt;DF$4,DF$4&gt;=$C$1),$G56,0))*IF($A56="Residential",'General Inputs'!R$15,'General Inputs'!R$19)</f>
        <v>0</v>
      </c>
      <c r="DG56" s="214">
        <f>IF(AND(($E56+$C$1)&gt;DG$4,DG$4&gt;=$C$1),$H56,IF(AND(($D56+$C$1)&gt;DG$4,DG$4&gt;=$C$1),$G56,0))*IF($A56="Residential",'General Inputs'!S$15,'General Inputs'!S$19)</f>
        <v>0</v>
      </c>
      <c r="DH56" s="214">
        <f>IF(AND(($E56+$C$1)&gt;DH$4,DH$4&gt;=$C$1),$H56,IF(AND(($D56+$C$1)&gt;DH$4,DH$4&gt;=$C$1),$G56,0))*IF($A56="Residential",'General Inputs'!T$15,'General Inputs'!T$19)</f>
        <v>0</v>
      </c>
      <c r="DI56" s="214">
        <f>IF(AND(($E56+$C$1)&gt;DI$4,DI$4&gt;=$C$1),$H56,IF(AND(($D56+$C$1)&gt;DI$4,DI$4&gt;=$C$1),$G56,0))*IF($A56="Residential",'General Inputs'!U$15,'General Inputs'!U$19)</f>
        <v>0</v>
      </c>
      <c r="DJ56" s="214">
        <f>IF(AND(($E56+$C$1)&gt;DJ$4,DJ$4&gt;=$C$1),$H56,IF(AND(($D56+$C$1)&gt;DJ$4,DJ$4&gt;=$C$1),$G56,0))*IF($A56="Residential",'General Inputs'!V$15,'General Inputs'!V$19)</f>
        <v>0</v>
      </c>
      <c r="DK56" s="214">
        <f>IF(AND(($E56+$C$1)&gt;DK$4,DK$4&gt;=$C$1),$H56,IF(AND(($D56+$C$1)&gt;DK$4,DK$4&gt;=$C$1),$G56,0))*IF($A56="Residential",'General Inputs'!W$15,'General Inputs'!W$19)</f>
        <v>0</v>
      </c>
      <c r="DM56" s="214">
        <f t="shared" si="99"/>
        <v>0</v>
      </c>
      <c r="DN56" s="214">
        <f t="shared" si="99"/>
        <v>0</v>
      </c>
      <c r="DO56" s="214">
        <f t="shared" si="99"/>
        <v>0</v>
      </c>
      <c r="DP56" s="214">
        <f t="shared" si="99"/>
        <v>0</v>
      </c>
      <c r="DQ56" s="214">
        <f t="shared" si="99"/>
        <v>0</v>
      </c>
      <c r="DR56" s="214">
        <f t="shared" si="99"/>
        <v>0</v>
      </c>
      <c r="DS56" s="214">
        <f t="shared" si="99"/>
        <v>0</v>
      </c>
      <c r="DT56" s="214">
        <f t="shared" si="99"/>
        <v>0</v>
      </c>
      <c r="DU56" s="214">
        <f t="shared" si="99"/>
        <v>0</v>
      </c>
      <c r="DV56" s="214">
        <f t="shared" si="99"/>
        <v>0</v>
      </c>
      <c r="DW56" s="214">
        <f t="shared" si="99"/>
        <v>0</v>
      </c>
      <c r="DZ56" s="650"/>
      <c r="FI56" s="195"/>
      <c r="FJ56" s="195"/>
      <c r="FK56" s="195"/>
      <c r="FL56" s="195"/>
      <c r="FM56" s="195"/>
      <c r="FN56" s="195"/>
      <c r="FO56" s="195"/>
    </row>
    <row r="57" spans="1:171">
      <c r="A57" s="342" t="s">
        <v>112</v>
      </c>
      <c r="B57" s="427" t="str">
        <f>'Portfolio Inputs'!A56</f>
        <v>Fluorescent Fixture Specular Reflector 8-ft</v>
      </c>
      <c r="C57" s="217">
        <f>IF($C$1=2014,'Portfolio Inputs'!$C56,IF($C$1=2015,'Portfolio Inputs'!$D56,'Portfolio Inputs'!$E56))</f>
        <v>0</v>
      </c>
      <c r="D57" s="504">
        <f>VLOOKUP(B57,Sources!$B$4:$J$104,2,FALSE)</f>
        <v>15</v>
      </c>
      <c r="E57" s="504">
        <f>VLOOKUP(B57,Sources!$B$4:$J$104,3,FALSE)</f>
        <v>0</v>
      </c>
      <c r="G57" s="504">
        <f>IF($C$1=2014,'Portfolio Inputs'!$G56,IF($C$1=2015,'Portfolio Inputs'!$H56,'Portfolio Inputs'!$I56))*EnergyLineLoss</f>
        <v>0</v>
      </c>
      <c r="H57" s="504"/>
      <c r="I57" s="595">
        <f>IF($C$1=2014,'Portfolio Inputs'!$K56,IF($C$1=2015,'Portfolio Inputs'!$L56,'Portfolio Inputs'!$M56))*PeakLineLoss</f>
        <v>0</v>
      </c>
      <c r="J57" s="510"/>
      <c r="L57" s="606">
        <f>IF($C$1=2014,'Portfolio Inputs'!$O56,IF($C$1=2015,'Portfolio Inputs'!$P56,'Portfolio Inputs'!$Q56))</f>
        <v>50</v>
      </c>
      <c r="M57" s="518">
        <f>VLOOKUP($B57,Sources!$B$4:$K$104,10,FALSE)</f>
        <v>0</v>
      </c>
      <c r="N57" s="419">
        <f>IF($C$1=2014,'Portfolio Inputs'!$W56,IF($C$1=2015,'Portfolio Inputs'!$X56,'Portfolio Inputs'!$Y56))</f>
        <v>0</v>
      </c>
      <c r="O57" s="419">
        <f>IF($C$1=2014,'Portfolio Inputs'!$AA56,IF($C$1=2015,'Portfolio Inputs'!$AB56,'Portfolio Inputs'!$AC56))</f>
        <v>0</v>
      </c>
      <c r="Q57" s="438" t="str">
        <f t="shared" si="67"/>
        <v>n/a</v>
      </c>
      <c r="R57" s="439" t="str">
        <f t="shared" si="68"/>
        <v>n/a</v>
      </c>
      <c r="S57" s="439" t="str">
        <f t="shared" si="69"/>
        <v>n/a</v>
      </c>
      <c r="T57" s="439" t="str">
        <f t="shared" si="70"/>
        <v>n/a</v>
      </c>
      <c r="U57" s="439" t="str">
        <f t="shared" si="98"/>
        <v>n/a</v>
      </c>
      <c r="V57" s="439" t="str">
        <f t="shared" si="72"/>
        <v>n/a</v>
      </c>
      <c r="W57" s="439" t="str">
        <f t="shared" si="73"/>
        <v>n/a</v>
      </c>
      <c r="Y57" s="215">
        <f t="shared" si="4"/>
        <v>0</v>
      </c>
      <c r="Z57" s="215">
        <f t="shared" si="5"/>
        <v>0</v>
      </c>
      <c r="AA57" s="215">
        <f t="shared" si="6"/>
        <v>0</v>
      </c>
      <c r="AB57" s="215">
        <f t="shared" si="7"/>
        <v>0</v>
      </c>
      <c r="AC57" s="216">
        <f t="shared" si="20"/>
        <v>0</v>
      </c>
      <c r="AD57" s="216">
        <f t="shared" si="21"/>
        <v>0</v>
      </c>
      <c r="AE57" s="215">
        <f t="shared" si="8"/>
        <v>0</v>
      </c>
      <c r="AG57" s="214">
        <f>IF(AND(($E57+$C$1)&gt;AG$4,AG$4&gt;=$C$1),'General Inputs'!D$9*$H57,IF(AND(($D57+$C$1)&gt;AG$4,AG$4&gt;=$C$1),'General Inputs'!D$9*$G57,0))+IF(AND(($E57+$C$1)&gt;AG$4,AG$4&gt;=$C$1),'General Inputs'!D$10*$J57,IF(AND(($D57+$C$1)&gt;AG$4,AG$4&gt;=$C$1),'General Inputs'!D$10*$I57,0))</f>
        <v>0</v>
      </c>
      <c r="AH57" s="214">
        <f>IF(AND(($E57+$C$1)&gt;AH$4,AH$4&gt;=$C$1),'General Inputs'!E$9*$H57,IF(AND(($D57+$C$1)&gt;AH$4,AH$4&gt;=$C$1),'General Inputs'!E$9*$G57,0))+IF(AND(($E57+$C$1)&gt;AH$4,AH$4&gt;=$C$1),'General Inputs'!E$10*$J57,IF(AND(($D57+$C$1)&gt;AH$4,AH$4&gt;=$C$1),'General Inputs'!E$10*$I57,0))</f>
        <v>0</v>
      </c>
      <c r="AI57" s="214">
        <f>IF(AND(($E57+$C$1)&gt;AI$4,AI$4&gt;=$C$1),'General Inputs'!F$9*$H57,IF(AND(($D57+$C$1)&gt;AI$4,AI$4&gt;=$C$1),'General Inputs'!F$9*$G57,0))+IF(AND(($E57+$C$1)&gt;AI$4,AI$4&gt;=$C$1),'General Inputs'!F$10*$J57,IF(AND(($D57+$C$1)&gt;AI$4,AI$4&gt;=$C$1),'General Inputs'!F$10*$I57,0))</f>
        <v>0</v>
      </c>
      <c r="AJ57" s="214">
        <f>IF(AND(($E57+$C$1)&gt;AJ$4,AJ$4&gt;=$C$1),'General Inputs'!G$9*$H57,IF(AND(($D57+$C$1)&gt;AJ$4,AJ$4&gt;=$C$1),'General Inputs'!G$9*$G57,0))+IF(AND(($E57+$C$1)&gt;AJ$4,AJ$4&gt;=$C$1),'General Inputs'!G$10*$J57,IF(AND(($D57+$C$1)&gt;AJ$4,AJ$4&gt;=$C$1),'General Inputs'!G$10*$I57,0))</f>
        <v>0</v>
      </c>
      <c r="AK57" s="214">
        <f>IF(AND(($E57+$C$1)&gt;AK$4,AK$4&gt;=$C$1),'General Inputs'!H$9*$H57,IF(AND(($D57+$C$1)&gt;AK$4,AK$4&gt;=$C$1),'General Inputs'!H$9*$G57,0))+IF(AND(($E57+$C$1)&gt;AK$4,AK$4&gt;=$C$1),'General Inputs'!H$10*$J57,IF(AND(($D57+$C$1)&gt;AK$4,AK$4&gt;=$C$1),'General Inputs'!H$10*$I57,0))</f>
        <v>0</v>
      </c>
      <c r="AL57" s="214">
        <f>IF(AND(($E57+$C$1)&gt;AL$4,AL$4&gt;=$C$1),'General Inputs'!I$9*$H57,IF(AND(($D57+$C$1)&gt;AL$4,AL$4&gt;=$C$1),'General Inputs'!I$9*$G57,0))+IF(AND(($E57+$C$1)&gt;AL$4,AL$4&gt;=$C$1),'General Inputs'!I$10*$J57,IF(AND(($D57+$C$1)&gt;AL$4,AL$4&gt;=$C$1),'General Inputs'!I$10*$I57,0))</f>
        <v>0</v>
      </c>
      <c r="AM57" s="214">
        <f>IF(AND(($E57+$C$1)&gt;AM$4,AM$4&gt;=$C$1),'General Inputs'!J$9*$H57,IF(AND(($D57+$C$1)&gt;AM$4,AM$4&gt;=$C$1),'General Inputs'!J$9*$G57,0))+IF(AND(($E57+$C$1)&gt;AM$4,AM$4&gt;=$C$1),'General Inputs'!J$10*$J57,IF(AND(($D57+$C$1)&gt;AM$4,AM$4&gt;=$C$1),'General Inputs'!J$10*$I57,0))</f>
        <v>0</v>
      </c>
      <c r="AN57" s="214">
        <f>IF(AND(($E57+$C$1)&gt;AN$4,AN$4&gt;=$C$1),'General Inputs'!K$9*$H57,IF(AND(($D57+$C$1)&gt;AN$4,AN$4&gt;=$C$1),'General Inputs'!K$9*$G57,0))+IF(AND(($E57+$C$1)&gt;AN$4,AN$4&gt;=$C$1),'General Inputs'!K$10*$J57,IF(AND(($D57+$C$1)&gt;AN$4,AN$4&gt;=$C$1),'General Inputs'!K$10*$I57,0))</f>
        <v>0</v>
      </c>
      <c r="AO57" s="214">
        <f>IF(AND(($E57+$C$1)&gt;AO$4,AO$4&gt;=$C$1),'General Inputs'!L$9*$H57,IF(AND(($D57+$C$1)&gt;AO$4,AO$4&gt;=$C$1),'General Inputs'!L$9*$G57,0))+IF(AND(($E57+$C$1)&gt;AO$4,AO$4&gt;=$C$1),'General Inputs'!L$10*$J57,IF(AND(($D57+$C$1)&gt;AO$4,AO$4&gt;=$C$1),'General Inputs'!L$10*$I57,0))</f>
        <v>0</v>
      </c>
      <c r="AP57" s="214">
        <f>IF(AND(($E57+$C$1)&gt;AP$4,AP$4&gt;=$C$1),'General Inputs'!M$9*$H57,IF(AND(($D57+$C$1)&gt;AP$4,AP$4&gt;=$C$1),'General Inputs'!M$9*$G57,0))+IF(AND(($E57+$C$1)&gt;AP$4,AP$4&gt;=$C$1),'General Inputs'!M$10*$J57,IF(AND(($D57+$C$1)&gt;AP$4,AP$4&gt;=$C$1),'General Inputs'!M$10*$I57,0))</f>
        <v>0</v>
      </c>
      <c r="AQ57" s="214">
        <f>IF(AND(($E57+$C$1)&gt;AQ$4,AQ$4&gt;=$C$1),'General Inputs'!N$9*$H57,IF(AND(($D57+$C$1)&gt;AQ$4,AQ$4&gt;=$C$1),'General Inputs'!N$9*$G57,0))+IF(AND(($E57+$C$1)&gt;AQ$4,AQ$4&gt;=$C$1),'General Inputs'!N$10*$J57,IF(AND(($D57+$C$1)&gt;AQ$4,AQ$4&gt;=$C$1),'General Inputs'!N$10*$I57,0))</f>
        <v>0</v>
      </c>
      <c r="AR57" s="214">
        <f>IF(AND(($E57+$C$1)&gt;AR$4,AR$4&gt;=$C$1),'General Inputs'!O$9*$H57,IF(AND(($D57+$C$1)&gt;AR$4,AR$4&gt;=$C$1),'General Inputs'!O$9*$G57,0))+IF(AND(($E57+$C$1)&gt;AR$4,AR$4&gt;=$C$1),'General Inputs'!O$10*$J57,IF(AND(($D57+$C$1)&gt;AR$4,AR$4&gt;=$C$1),'General Inputs'!O$10*$I57,0))</f>
        <v>0</v>
      </c>
      <c r="AS57" s="214">
        <f>IF(AND(($E57+$C$1)&gt;AS$4,AS$4&gt;=$C$1),'General Inputs'!P$9*$H57,IF(AND(($D57+$C$1)&gt;AS$4,AS$4&gt;=$C$1),'General Inputs'!P$9*$G57,0))+IF(AND(($E57+$C$1)&gt;AS$4,AS$4&gt;=$C$1),'General Inputs'!P$10*$J57,IF(AND(($D57+$C$1)&gt;AS$4,AS$4&gt;=$C$1),'General Inputs'!P$10*$I57,0))</f>
        <v>0</v>
      </c>
      <c r="AT57" s="214">
        <f>IF(AND(($E57+$C$1)&gt;AT$4,AT$4&gt;=$C$1),'General Inputs'!Q$9*$H57,IF(AND(($D57+$C$1)&gt;AT$4,AT$4&gt;=$C$1),'General Inputs'!Q$9*$G57,0))+IF(AND(($E57+$C$1)&gt;AT$4,AT$4&gt;=$C$1),'General Inputs'!Q$10*$J57,IF(AND(($D57+$C$1)&gt;AT$4,AT$4&gt;=$C$1),'General Inputs'!Q$10*$I57,0))</f>
        <v>0</v>
      </c>
      <c r="AU57" s="214">
        <f>IF(AND(($E57+$C$1)&gt;AU$4,AU$4&gt;=$C$1),'General Inputs'!R$9*$H57,IF(AND(($D57+$C$1)&gt;AU$4,AU$4&gt;=$C$1),'General Inputs'!R$9*$G57,0))+IF(AND(($E57+$C$1)&gt;AU$4,AU$4&gt;=$C$1),'General Inputs'!R$10*$J57,IF(AND(($D57+$C$1)&gt;AU$4,AU$4&gt;=$C$1),'General Inputs'!R$10*$I57,0))</f>
        <v>0</v>
      </c>
      <c r="AV57" s="214">
        <f>IF(AND(($E57+$C$1)&gt;AV$4,AV$4&gt;=$C$1),'General Inputs'!S$9*$H57,IF(AND(($D57+$C$1)&gt;AV$4,AV$4&gt;=$C$1),'General Inputs'!S$9*$G57,0))+IF(AND(($E57+$C$1)&gt;AV$4,AV$4&gt;=$C$1),'General Inputs'!S$10*$J57,IF(AND(($D57+$C$1)&gt;AV$4,AV$4&gt;=$C$1),'General Inputs'!S$10*$I57,0))</f>
        <v>0</v>
      </c>
      <c r="AW57" s="214">
        <f>IF(AND(($E57+$C$1)&gt;AW$4,AW$4&gt;=$C$1),'General Inputs'!T$9*$H57,IF(AND(($D57+$C$1)&gt;AW$4,AW$4&gt;=$C$1),'General Inputs'!T$9*$G57,0))+IF(AND(($E57+$C$1)&gt;AW$4,AW$4&gt;=$C$1),'General Inputs'!T$10*$J57,IF(AND(($D57+$C$1)&gt;AW$4,AW$4&gt;=$C$1),'General Inputs'!T$10*$I57,0))</f>
        <v>0</v>
      </c>
      <c r="AX57" s="214">
        <f>IF(AND(($E57+$C$1)&gt;AX$4,AX$4&gt;=$C$1),'General Inputs'!U$9*$H57,IF(AND(($D57+$C$1)&gt;AX$4,AX$4&gt;=$C$1),'General Inputs'!U$9*$G57,0))+IF(AND(($E57+$C$1)&gt;AX$4,AX$4&gt;=$C$1),'General Inputs'!U$10*$J57,IF(AND(($D57+$C$1)&gt;AX$4,AX$4&gt;=$C$1),'General Inputs'!U$10*$I57,0))</f>
        <v>0</v>
      </c>
      <c r="AY57" s="214">
        <f>IF(AND(($E57+$C$1)&gt;AY$4,AY$4&gt;=$C$1),'General Inputs'!V$9*$H57,IF(AND(($D57+$C$1)&gt;AY$4,AY$4&gt;=$C$1),'General Inputs'!V$9*$G57,0))+IF(AND(($E57+$C$1)&gt;AY$4,AY$4&gt;=$C$1),'General Inputs'!V$10*$J57,IF(AND(($D57+$C$1)&gt;AY$4,AY$4&gt;=$C$1),'General Inputs'!V$10*$I57,0))</f>
        <v>0</v>
      </c>
      <c r="AZ57" s="214">
        <f>IF(AND(($E57+$C$1)&gt;AZ$4,AZ$4&gt;=$C$1),'General Inputs'!W$9*$H57,IF(AND(($D57+$C$1)&gt;AZ$4,AZ$4&gt;=$C$1),'General Inputs'!W$9*$G57,0))+IF(AND(($E57+$C$1)&gt;AZ$4,AZ$4&gt;=$C$1),'General Inputs'!W$10*$J57,IF(AND(($D57+$C$1)&gt;AZ$4,AZ$4&gt;=$C$1),'General Inputs'!W$10*$I57,0))</f>
        <v>0</v>
      </c>
      <c r="BB57" s="214">
        <f>IF(AND(($E57+$C$1)&gt;BB$4,BB$4&gt;=$C$1),'General Inputs'!D$11*$H57,IF(AND(($D57+$C$1)&gt;BB$4,BB$4&gt;=$C$1),'General Inputs'!D$11*$G57,0))</f>
        <v>0</v>
      </c>
      <c r="BC57" s="214">
        <f>IF(AND(($E57+$C$1)&gt;BC$4,BC$4&gt;=$C$1),'General Inputs'!E$11*$H57,IF(AND(($D57+$C$1)&gt;BC$4,BC$4&gt;=$C$1),'General Inputs'!E$11*$G57,0))</f>
        <v>0</v>
      </c>
      <c r="BD57" s="214">
        <f>IF(AND(($E57+$C$1)&gt;BD$4,BD$4&gt;=$C$1),'General Inputs'!F$11*$H57,IF(AND(($D57+$C$1)&gt;BD$4,BD$4&gt;=$C$1),'General Inputs'!F$11*$G57,0))</f>
        <v>0</v>
      </c>
      <c r="BE57" s="214">
        <f>IF(AND(($E57+$C$1)&gt;BE$4,BE$4&gt;=$C$1),'General Inputs'!G$11*$H57,IF(AND(($D57+$C$1)&gt;BE$4,BE$4&gt;=$C$1),'General Inputs'!G$11*$G57,0))</f>
        <v>0</v>
      </c>
      <c r="BF57" s="214">
        <f>IF(AND(($E57+$C$1)&gt;BF$4,BF$4&gt;=$C$1),'General Inputs'!H$11*$H57,IF(AND(($D57+$C$1)&gt;BF$4,BF$4&gt;=$C$1),'General Inputs'!H$11*$G57,0))</f>
        <v>0</v>
      </c>
      <c r="BG57" s="214">
        <f>IF(AND(($E57+$C$1)&gt;BG$4,BG$4&gt;=$C$1),'General Inputs'!I$11*$H57,IF(AND(($D57+$C$1)&gt;BG$4,BG$4&gt;=$C$1),'General Inputs'!I$11*$G57,0))</f>
        <v>0</v>
      </c>
      <c r="BH57" s="214">
        <f>IF(AND(($E57+$C$1)&gt;BH$4,BH$4&gt;=$C$1),'General Inputs'!J$11*$H57,IF(AND(($D57+$C$1)&gt;BH$4,BH$4&gt;=$C$1),'General Inputs'!J$11*$G57,0))</f>
        <v>0</v>
      </c>
      <c r="BI57" s="214">
        <f>IF(AND(($E57+$C$1)&gt;BI$4,BI$4&gt;=$C$1),'General Inputs'!K$11*$H57,IF(AND(($D57+$C$1)&gt;BI$4,BI$4&gt;=$C$1),'General Inputs'!K$11*$G57,0))</f>
        <v>0</v>
      </c>
      <c r="BJ57" s="214">
        <f>IF(AND(($E57+$C$1)&gt;BJ$4,BJ$4&gt;=$C$1),'General Inputs'!L$11*$H57,IF(AND(($D57+$C$1)&gt;BJ$4,BJ$4&gt;=$C$1),'General Inputs'!L$11*$G57,0))</f>
        <v>0</v>
      </c>
      <c r="BK57" s="214">
        <f>IF(AND(($E57+$C$1)&gt;BK$4,BK$4&gt;=$C$1),'General Inputs'!M$11*$H57,IF(AND(($D57+$C$1)&gt;BK$4,BK$4&gt;=$C$1),'General Inputs'!M$11*$G57,0))</f>
        <v>0</v>
      </c>
      <c r="BL57" s="214">
        <f>IF(AND(($E57+$C$1)&gt;BL$4,BL$4&gt;=$C$1),'General Inputs'!N$11*$H57,IF(AND(($D57+$C$1)&gt;BL$4,BL$4&gt;=$C$1),'General Inputs'!N$11*$G57,0))</f>
        <v>0</v>
      </c>
      <c r="BM57" s="214">
        <f>IF(AND(($E57+$C$1)&gt;BM$4,BM$4&gt;=$C$1),'General Inputs'!O$11*$H57,IF(AND(($D57+$C$1)&gt;BM$4,BM$4&gt;=$C$1),'General Inputs'!O$11*$G57,0))</f>
        <v>0</v>
      </c>
      <c r="BN57" s="214">
        <f>IF(AND(($E57+$C$1)&gt;BN$4,BN$4&gt;=$C$1),'General Inputs'!P$11*$H57,IF(AND(($D57+$C$1)&gt;BN$4,BN$4&gt;=$C$1),'General Inputs'!P$11*$G57,0))</f>
        <v>0</v>
      </c>
      <c r="BO57" s="214">
        <f>IF(AND(($E57+$C$1)&gt;BO$4,BO$4&gt;=$C$1),'General Inputs'!Q$11*$H57,IF(AND(($D57+$C$1)&gt;BO$4,BO$4&gt;=$C$1),'General Inputs'!Q$11*$G57,0))</f>
        <v>0</v>
      </c>
      <c r="BP57" s="214">
        <f>IF(AND(($E57+$C$1)&gt;BP$4,BP$4&gt;=$C$1),'General Inputs'!R$11*$H57,IF(AND(($D57+$C$1)&gt;BP$4,BP$4&gt;=$C$1),'General Inputs'!R$11*$G57,0))</f>
        <v>0</v>
      </c>
      <c r="BQ57" s="214">
        <f>IF(AND(($E57+$C$1)&gt;BQ$4,BQ$4&gt;=$C$1),'General Inputs'!S$11*$H57,IF(AND(($D57+$C$1)&gt;BQ$4,BQ$4&gt;=$C$1),'General Inputs'!S$11*$G57,0))</f>
        <v>0</v>
      </c>
      <c r="BR57" s="214">
        <f>IF(AND(($E57+$C$1)&gt;BR$4,BR$4&gt;=$C$1),'General Inputs'!T$11*$H57,IF(AND(($D57+$C$1)&gt;BR$4,BR$4&gt;=$C$1),'General Inputs'!T$11*$G57,0))</f>
        <v>0</v>
      </c>
      <c r="BS57" s="214">
        <f>IF(AND(($E57+$C$1)&gt;BS$4,BS$4&gt;=$C$1),'General Inputs'!U$11*$H57,IF(AND(($D57+$C$1)&gt;BS$4,BS$4&gt;=$C$1),'General Inputs'!U$11*$G57,0))</f>
        <v>0</v>
      </c>
      <c r="BT57" s="214">
        <f>IF(AND(($E57+$C$1)&gt;BT$4,BT$4&gt;=$C$1),'General Inputs'!V$11*$H57,IF(AND(($D57+$C$1)&gt;BT$4,BT$4&gt;=$C$1),'General Inputs'!V$11*$G57,0))</f>
        <v>0</v>
      </c>
      <c r="BU57" s="214">
        <f>IF(AND(($E57+$C$1)&gt;BU$4,BU$4&gt;=$C$1),'General Inputs'!W$11*$H57,IF(AND(($D57+$C$1)&gt;BU$4,BU$4&gt;=$C$1),'General Inputs'!W$11*$G57,0))</f>
        <v>0</v>
      </c>
      <c r="BW57" s="214">
        <f>IF(AND(($E57+$C$1)&gt;BW$4,BW$4&gt;=$C$1),$H57,IF(AND(($D57+$C$1)&gt;BW$4,BW$4&gt;=$C$1),$G57,0))*IF($A57="Residential",'General Inputs'!D$14,'General Inputs'!D$19)</f>
        <v>0</v>
      </c>
      <c r="BX57" s="214">
        <f>IF(AND(($E57+$C$1)&gt;BX$4,BX$4&gt;=$C$1),$H57,IF(AND(($D57+$C$1)&gt;BX$4,BX$4&gt;=$C$1),$G57,0))*IF($A57="Residential",'General Inputs'!E$14,'General Inputs'!E$19)</f>
        <v>0</v>
      </c>
      <c r="BY57" s="214">
        <f>IF(AND(($E57+$C$1)&gt;BY$4,BY$4&gt;=$C$1),$H57,IF(AND(($D57+$C$1)&gt;BY$4,BY$4&gt;=$C$1),$G57,0))*IF($A57="Residential",'General Inputs'!F$14,'General Inputs'!F$19)</f>
        <v>0</v>
      </c>
      <c r="BZ57" s="214">
        <f>IF(AND(($E57+$C$1)&gt;BZ$4,BZ$4&gt;=$C$1),$H57,IF(AND(($D57+$C$1)&gt;BZ$4,BZ$4&gt;=$C$1),$G57,0))*IF($A57="Residential",'General Inputs'!G$14,'General Inputs'!G$19)</f>
        <v>0</v>
      </c>
      <c r="CA57" s="214">
        <f>IF(AND(($E57+$C$1)&gt;CA$4,CA$4&gt;=$C$1),$H57,IF(AND(($D57+$C$1)&gt;CA$4,CA$4&gt;=$C$1),$G57,0))*IF($A57="Residential",'General Inputs'!H$14,'General Inputs'!H$19)</f>
        <v>0</v>
      </c>
      <c r="CB57" s="214">
        <f>IF(AND(($E57+$C$1)&gt;CB$4,CB$4&gt;=$C$1),$H57,IF(AND(($D57+$C$1)&gt;CB$4,CB$4&gt;=$C$1),$G57,0))*IF($A57="Residential",'General Inputs'!I$14,'General Inputs'!I$19)</f>
        <v>0</v>
      </c>
      <c r="CC57" s="214">
        <f>IF(AND(($E57+$C$1)&gt;CC$4,CC$4&gt;=$C$1),$H57,IF(AND(($D57+$C$1)&gt;CC$4,CC$4&gt;=$C$1),$G57,0))*IF($A57="Residential",'General Inputs'!J$14,'General Inputs'!J$19)</f>
        <v>0</v>
      </c>
      <c r="CD57" s="214">
        <f>IF(AND(($E57+$C$1)&gt;CD$4,CD$4&gt;=$C$1),$H57,IF(AND(($D57+$C$1)&gt;CD$4,CD$4&gt;=$C$1),$G57,0))*IF($A57="Residential",'General Inputs'!K$14,'General Inputs'!K$19)</f>
        <v>0</v>
      </c>
      <c r="CE57" s="214">
        <f>IF(AND(($E57+$C$1)&gt;CE$4,CE$4&gt;=$C$1),$H57,IF(AND(($D57+$C$1)&gt;CE$4,CE$4&gt;=$C$1),$G57,0))*IF($A57="Residential",'General Inputs'!L$14,'General Inputs'!L$19)</f>
        <v>0</v>
      </c>
      <c r="CF57" s="214">
        <f>IF(AND(($E57+$C$1)&gt;CF$4,CF$4&gt;=$C$1),$H57,IF(AND(($D57+$C$1)&gt;CF$4,CF$4&gt;=$C$1),$G57,0))*IF($A57="Residential",'General Inputs'!M$14,'General Inputs'!M$19)</f>
        <v>0</v>
      </c>
      <c r="CG57" s="214">
        <f>IF(AND(($E57+$C$1)&gt;CG$4,CG$4&gt;=$C$1),$H57,IF(AND(($D57+$C$1)&gt;CG$4,CG$4&gt;=$C$1),$G57,0))*IF($A57="Residential",'General Inputs'!N$14,'General Inputs'!N$19)</f>
        <v>0</v>
      </c>
      <c r="CH57" s="214">
        <f>IF(AND(($E57+$C$1)&gt;CH$4,CH$4&gt;=$C$1),$H57,IF(AND(($D57+$C$1)&gt;CH$4,CH$4&gt;=$C$1),$G57,0))*IF($A57="Residential",'General Inputs'!O$14,'General Inputs'!O$19)</f>
        <v>0</v>
      </c>
      <c r="CI57" s="214">
        <f>IF(AND(($E57+$C$1)&gt;CI$4,CI$4&gt;=$C$1),$H57,IF(AND(($D57+$C$1)&gt;CI$4,CI$4&gt;=$C$1),$G57,0))*IF($A57="Residential",'General Inputs'!P$14,'General Inputs'!P$19)</f>
        <v>0</v>
      </c>
      <c r="CJ57" s="214">
        <f>IF(AND(($E57+$C$1)&gt;CJ$4,CJ$4&gt;=$C$1),$H57,IF(AND(($D57+$C$1)&gt;CJ$4,CJ$4&gt;=$C$1),$G57,0))*IF($A57="Residential",'General Inputs'!Q$14,'General Inputs'!Q$19)</f>
        <v>0</v>
      </c>
      <c r="CK57" s="214">
        <f>IF(AND(($E57+$C$1)&gt;CK$4,CK$4&gt;=$C$1),$H57,IF(AND(($D57+$C$1)&gt;CK$4,CK$4&gt;=$C$1),$G57,0))*IF($A57="Residential",'General Inputs'!R$14,'General Inputs'!R$19)</f>
        <v>0</v>
      </c>
      <c r="CL57" s="214">
        <f>IF(AND(($E57+$C$1)&gt;CL$4,CL$4&gt;=$C$1),$H57,IF(AND(($D57+$C$1)&gt;CL$4,CL$4&gt;=$C$1),$G57,0))*IF($A57="Residential",'General Inputs'!S$14,'General Inputs'!S$19)</f>
        <v>0</v>
      </c>
      <c r="CM57" s="214">
        <f>IF(AND(($E57+$C$1)&gt;CM$4,CM$4&gt;=$C$1),$H57,IF(AND(($D57+$C$1)&gt;CM$4,CM$4&gt;=$C$1),$G57,0))*IF($A57="Residential",'General Inputs'!T$14,'General Inputs'!T$19)</f>
        <v>0</v>
      </c>
      <c r="CN57" s="214">
        <f>IF(AND(($E57+$C$1)&gt;CN$4,CN$4&gt;=$C$1),$H57,IF(AND(($D57+$C$1)&gt;CN$4,CN$4&gt;=$C$1),$G57,0))*IF($A57="Residential",'General Inputs'!U$14,'General Inputs'!U$19)</f>
        <v>0</v>
      </c>
      <c r="CO57" s="214">
        <f>IF(AND(($E57+$C$1)&gt;CO$4,CO$4&gt;=$C$1),$H57,IF(AND(($D57+$C$1)&gt;CO$4,CO$4&gt;=$C$1),$G57,0))*IF($A57="Residential",'General Inputs'!V$14,'General Inputs'!V$19)</f>
        <v>0</v>
      </c>
      <c r="CP57" s="214">
        <f>IF(AND(($E57+$C$1)&gt;CP$4,CP$4&gt;=$C$1),$H57,IF(AND(($D57+$C$1)&gt;CP$4,CP$4&gt;=$C$1),$G57,0))*IF($A57="Residential",'General Inputs'!W$14,'General Inputs'!W$19)</f>
        <v>0</v>
      </c>
      <c r="CR57" s="214">
        <f>IF(AND(($E57+$C$1)&gt;CR$4,CR$4&gt;=$C$1),$H57,IF(AND(($D57+$C$1)&gt;CR$4,CR$4&gt;=$C$1),$G57,0))*IF($A57="Residential",'General Inputs'!D$15,'General Inputs'!D$19)</f>
        <v>0</v>
      </c>
      <c r="CS57" s="214">
        <f>IF(AND(($E57+$C$1)&gt;CS$4,CS$4&gt;=$C$1),$H57,IF(AND(($D57+$C$1)&gt;CS$4,CS$4&gt;=$C$1),$G57,0))*IF($A57="Residential",'General Inputs'!E$15,'General Inputs'!E$19)</f>
        <v>0</v>
      </c>
      <c r="CT57" s="214">
        <f>IF(AND(($E57+$C$1)&gt;CT$4,CT$4&gt;=$C$1),$H57,IF(AND(($D57+$C$1)&gt;CT$4,CT$4&gt;=$C$1),$G57,0))*IF($A57="Residential",'General Inputs'!F$15,'General Inputs'!F$19)</f>
        <v>0</v>
      </c>
      <c r="CU57" s="214">
        <f>IF(AND(($E57+$C$1)&gt;CU$4,CU$4&gt;=$C$1),$H57,IF(AND(($D57+$C$1)&gt;CU$4,CU$4&gt;=$C$1),$G57,0))*IF($A57="Residential",'General Inputs'!G$15,'General Inputs'!G$19)</f>
        <v>0</v>
      </c>
      <c r="CV57" s="214">
        <f>IF(AND(($E57+$C$1)&gt;CV$4,CV$4&gt;=$C$1),$H57,IF(AND(($D57+$C$1)&gt;CV$4,CV$4&gt;=$C$1),$G57,0))*IF($A57="Residential",'General Inputs'!H$15,'General Inputs'!H$19)</f>
        <v>0</v>
      </c>
      <c r="CW57" s="214">
        <f>IF(AND(($E57+$C$1)&gt;CW$4,CW$4&gt;=$C$1),$H57,IF(AND(($D57+$C$1)&gt;CW$4,CW$4&gt;=$C$1),$G57,0))*IF($A57="Residential",'General Inputs'!I$15,'General Inputs'!I$19)</f>
        <v>0</v>
      </c>
      <c r="CX57" s="214">
        <f>IF(AND(($E57+$C$1)&gt;CX$4,CX$4&gt;=$C$1),$H57,IF(AND(($D57+$C$1)&gt;CX$4,CX$4&gt;=$C$1),$G57,0))*IF($A57="Residential",'General Inputs'!J$15,'General Inputs'!J$19)</f>
        <v>0</v>
      </c>
      <c r="CY57" s="214">
        <f>IF(AND(($E57+$C$1)&gt;CY$4,CY$4&gt;=$C$1),$H57,IF(AND(($D57+$C$1)&gt;CY$4,CY$4&gt;=$C$1),$G57,0))*IF($A57="Residential",'General Inputs'!K$15,'General Inputs'!K$19)</f>
        <v>0</v>
      </c>
      <c r="CZ57" s="214">
        <f>IF(AND(($E57+$C$1)&gt;CZ$4,CZ$4&gt;=$C$1),$H57,IF(AND(($D57+$C$1)&gt;CZ$4,CZ$4&gt;=$C$1),$G57,0))*IF($A57="Residential",'General Inputs'!L$15,'General Inputs'!L$19)</f>
        <v>0</v>
      </c>
      <c r="DA57" s="214">
        <f>IF(AND(($E57+$C$1)&gt;DA$4,DA$4&gt;=$C$1),$H57,IF(AND(($D57+$C$1)&gt;DA$4,DA$4&gt;=$C$1),$G57,0))*IF($A57="Residential",'General Inputs'!M$15,'General Inputs'!M$19)</f>
        <v>0</v>
      </c>
      <c r="DB57" s="214">
        <f>IF(AND(($E57+$C$1)&gt;DB$4,DB$4&gt;=$C$1),$H57,IF(AND(($D57+$C$1)&gt;DB$4,DB$4&gt;=$C$1),$G57,0))*IF($A57="Residential",'General Inputs'!N$15,'General Inputs'!N$19)</f>
        <v>0</v>
      </c>
      <c r="DC57" s="214">
        <f>IF(AND(($E57+$C$1)&gt;DC$4,DC$4&gt;=$C$1),$H57,IF(AND(($D57+$C$1)&gt;DC$4,DC$4&gt;=$C$1),$G57,0))*IF($A57="Residential",'General Inputs'!O$15,'General Inputs'!O$19)</f>
        <v>0</v>
      </c>
      <c r="DD57" s="214">
        <f>IF(AND(($E57+$C$1)&gt;DD$4,DD$4&gt;=$C$1),$H57,IF(AND(($D57+$C$1)&gt;DD$4,DD$4&gt;=$C$1),$G57,0))*IF($A57="Residential",'General Inputs'!P$15,'General Inputs'!P$19)</f>
        <v>0</v>
      </c>
      <c r="DE57" s="214">
        <f>IF(AND(($E57+$C$1)&gt;DE$4,DE$4&gt;=$C$1),$H57,IF(AND(($D57+$C$1)&gt;DE$4,DE$4&gt;=$C$1),$G57,0))*IF($A57="Residential",'General Inputs'!Q$15,'General Inputs'!Q$19)</f>
        <v>0</v>
      </c>
      <c r="DF57" s="214">
        <f>IF(AND(($E57+$C$1)&gt;DF$4,DF$4&gt;=$C$1),$H57,IF(AND(($D57+$C$1)&gt;DF$4,DF$4&gt;=$C$1),$G57,0))*IF($A57="Residential",'General Inputs'!R$15,'General Inputs'!R$19)</f>
        <v>0</v>
      </c>
      <c r="DG57" s="214">
        <f>IF(AND(($E57+$C$1)&gt;DG$4,DG$4&gt;=$C$1),$H57,IF(AND(($D57+$C$1)&gt;DG$4,DG$4&gt;=$C$1),$G57,0))*IF($A57="Residential",'General Inputs'!S$15,'General Inputs'!S$19)</f>
        <v>0</v>
      </c>
      <c r="DH57" s="214">
        <f>IF(AND(($E57+$C$1)&gt;DH$4,DH$4&gt;=$C$1),$H57,IF(AND(($D57+$C$1)&gt;DH$4,DH$4&gt;=$C$1),$G57,0))*IF($A57="Residential",'General Inputs'!T$15,'General Inputs'!T$19)</f>
        <v>0</v>
      </c>
      <c r="DI57" s="214">
        <f>IF(AND(($E57+$C$1)&gt;DI$4,DI$4&gt;=$C$1),$H57,IF(AND(($D57+$C$1)&gt;DI$4,DI$4&gt;=$C$1),$G57,0))*IF($A57="Residential",'General Inputs'!U$15,'General Inputs'!U$19)</f>
        <v>0</v>
      </c>
      <c r="DJ57" s="214">
        <f>IF(AND(($E57+$C$1)&gt;DJ$4,DJ$4&gt;=$C$1),$H57,IF(AND(($D57+$C$1)&gt;DJ$4,DJ$4&gt;=$C$1),$G57,0))*IF($A57="Residential",'General Inputs'!V$15,'General Inputs'!V$19)</f>
        <v>0</v>
      </c>
      <c r="DK57" s="214">
        <f>IF(AND(($E57+$C$1)&gt;DK$4,DK$4&gt;=$C$1),$H57,IF(AND(($D57+$C$1)&gt;DK$4,DK$4&gt;=$C$1),$G57,0))*IF($A57="Residential",'General Inputs'!W$15,'General Inputs'!W$19)</f>
        <v>0</v>
      </c>
      <c r="DM57" s="214">
        <f t="shared" si="99"/>
        <v>0</v>
      </c>
      <c r="DN57" s="214">
        <f t="shared" si="99"/>
        <v>0</v>
      </c>
      <c r="DO57" s="214">
        <f t="shared" si="99"/>
        <v>0</v>
      </c>
      <c r="DP57" s="214">
        <f t="shared" si="99"/>
        <v>0</v>
      </c>
      <c r="DQ57" s="214">
        <f t="shared" si="99"/>
        <v>0</v>
      </c>
      <c r="DR57" s="214">
        <f t="shared" si="99"/>
        <v>0</v>
      </c>
      <c r="DS57" s="214">
        <f t="shared" si="99"/>
        <v>0</v>
      </c>
      <c r="DT57" s="214">
        <f t="shared" si="99"/>
        <v>0</v>
      </c>
      <c r="DU57" s="214">
        <f t="shared" si="99"/>
        <v>0</v>
      </c>
      <c r="DV57" s="214">
        <f t="shared" si="99"/>
        <v>0</v>
      </c>
      <c r="DW57" s="214">
        <f t="shared" si="99"/>
        <v>0</v>
      </c>
      <c r="DZ57" s="650"/>
      <c r="FI57" s="195"/>
      <c r="FJ57" s="195"/>
      <c r="FK57" s="195"/>
      <c r="FL57" s="195"/>
      <c r="FM57" s="195"/>
      <c r="FN57" s="195"/>
      <c r="FO57" s="195"/>
    </row>
    <row r="58" spans="1:171">
      <c r="A58" s="342" t="s">
        <v>112</v>
      </c>
      <c r="B58" s="427" t="str">
        <f>'Portfolio Inputs'!A57</f>
        <v>Fluorescent Fixture Specular Reflector two 8-ft</v>
      </c>
      <c r="C58" s="217">
        <f>IF($C$1=2014,'Portfolio Inputs'!$C57,IF($C$1=2015,'Portfolio Inputs'!$D57,'Portfolio Inputs'!$E57))</f>
        <v>0</v>
      </c>
      <c r="D58" s="504">
        <f>VLOOKUP(B58,Sources!$B$4:$J$104,2,FALSE)</f>
        <v>15</v>
      </c>
      <c r="E58" s="504">
        <f>VLOOKUP(B58,Sources!$B$4:$J$104,3,FALSE)</f>
        <v>0</v>
      </c>
      <c r="G58" s="504">
        <f>IF($C$1=2014,'Portfolio Inputs'!$G57,IF($C$1=2015,'Portfolio Inputs'!$H57,'Portfolio Inputs'!$I57))*EnergyLineLoss</f>
        <v>0</v>
      </c>
      <c r="H58" s="504"/>
      <c r="I58" s="595">
        <f>IF($C$1=2014,'Portfolio Inputs'!$K57,IF($C$1=2015,'Portfolio Inputs'!$L57,'Portfolio Inputs'!$M57))*PeakLineLoss</f>
        <v>0</v>
      </c>
      <c r="J58" s="510"/>
      <c r="L58" s="606">
        <f>IF($C$1=2014,'Portfolio Inputs'!$O57,IF($C$1=2015,'Portfolio Inputs'!$P57,'Portfolio Inputs'!$Q57))</f>
        <v>50</v>
      </c>
      <c r="M58" s="518">
        <f>VLOOKUP($B58,Sources!$B$4:$K$104,10,FALSE)</f>
        <v>0</v>
      </c>
      <c r="N58" s="419">
        <f>IF($C$1=2014,'Portfolio Inputs'!$W57,IF($C$1=2015,'Portfolio Inputs'!$X57,'Portfolio Inputs'!$Y57))</f>
        <v>0</v>
      </c>
      <c r="O58" s="419">
        <f>IF($C$1=2014,'Portfolio Inputs'!$AA57,IF($C$1=2015,'Portfolio Inputs'!$AB57,'Portfolio Inputs'!$AC57))</f>
        <v>0</v>
      </c>
      <c r="Q58" s="438" t="str">
        <f t="shared" si="67"/>
        <v>n/a</v>
      </c>
      <c r="R58" s="439" t="str">
        <f t="shared" si="68"/>
        <v>n/a</v>
      </c>
      <c r="S58" s="439" t="str">
        <f t="shared" si="69"/>
        <v>n/a</v>
      </c>
      <c r="T58" s="439" t="str">
        <f t="shared" si="70"/>
        <v>n/a</v>
      </c>
      <c r="U58" s="439" t="str">
        <f t="shared" si="98"/>
        <v>n/a</v>
      </c>
      <c r="V58" s="439" t="str">
        <f t="shared" si="72"/>
        <v>n/a</v>
      </c>
      <c r="W58" s="439" t="str">
        <f t="shared" si="73"/>
        <v>n/a</v>
      </c>
      <c r="Y58" s="215">
        <f t="shared" si="4"/>
        <v>0</v>
      </c>
      <c r="Z58" s="215">
        <f t="shared" si="5"/>
        <v>0</v>
      </c>
      <c r="AA58" s="215">
        <f t="shared" si="6"/>
        <v>0</v>
      </c>
      <c r="AB58" s="215">
        <f t="shared" si="7"/>
        <v>0</v>
      </c>
      <c r="AC58" s="216">
        <f t="shared" si="20"/>
        <v>0</v>
      </c>
      <c r="AD58" s="216">
        <f t="shared" si="21"/>
        <v>0</v>
      </c>
      <c r="AE58" s="215">
        <f t="shared" si="8"/>
        <v>0</v>
      </c>
      <c r="AG58" s="214">
        <f>IF(AND(($E58+$C$1)&gt;AG$4,AG$4&gt;=$C$1),'General Inputs'!D$9*$H58,IF(AND(($D58+$C$1)&gt;AG$4,AG$4&gt;=$C$1),'General Inputs'!D$9*$G58,0))+IF(AND(($E58+$C$1)&gt;AG$4,AG$4&gt;=$C$1),'General Inputs'!D$10*$J58,IF(AND(($D58+$C$1)&gt;AG$4,AG$4&gt;=$C$1),'General Inputs'!D$10*$I58,0))</f>
        <v>0</v>
      </c>
      <c r="AH58" s="214">
        <f>IF(AND(($E58+$C$1)&gt;AH$4,AH$4&gt;=$C$1),'General Inputs'!E$9*$H58,IF(AND(($D58+$C$1)&gt;AH$4,AH$4&gt;=$C$1),'General Inputs'!E$9*$G58,0))+IF(AND(($E58+$C$1)&gt;AH$4,AH$4&gt;=$C$1),'General Inputs'!E$10*$J58,IF(AND(($D58+$C$1)&gt;AH$4,AH$4&gt;=$C$1),'General Inputs'!E$10*$I58,0))</f>
        <v>0</v>
      </c>
      <c r="AI58" s="214">
        <f>IF(AND(($E58+$C$1)&gt;AI$4,AI$4&gt;=$C$1),'General Inputs'!F$9*$H58,IF(AND(($D58+$C$1)&gt;AI$4,AI$4&gt;=$C$1),'General Inputs'!F$9*$G58,0))+IF(AND(($E58+$C$1)&gt;AI$4,AI$4&gt;=$C$1),'General Inputs'!F$10*$J58,IF(AND(($D58+$C$1)&gt;AI$4,AI$4&gt;=$C$1),'General Inputs'!F$10*$I58,0))</f>
        <v>0</v>
      </c>
      <c r="AJ58" s="214">
        <f>IF(AND(($E58+$C$1)&gt;AJ$4,AJ$4&gt;=$C$1),'General Inputs'!G$9*$H58,IF(AND(($D58+$C$1)&gt;AJ$4,AJ$4&gt;=$C$1),'General Inputs'!G$9*$G58,0))+IF(AND(($E58+$C$1)&gt;AJ$4,AJ$4&gt;=$C$1),'General Inputs'!G$10*$J58,IF(AND(($D58+$C$1)&gt;AJ$4,AJ$4&gt;=$C$1),'General Inputs'!G$10*$I58,0))</f>
        <v>0</v>
      </c>
      <c r="AK58" s="214">
        <f>IF(AND(($E58+$C$1)&gt;AK$4,AK$4&gt;=$C$1),'General Inputs'!H$9*$H58,IF(AND(($D58+$C$1)&gt;AK$4,AK$4&gt;=$C$1),'General Inputs'!H$9*$G58,0))+IF(AND(($E58+$C$1)&gt;AK$4,AK$4&gt;=$C$1),'General Inputs'!H$10*$J58,IF(AND(($D58+$C$1)&gt;AK$4,AK$4&gt;=$C$1),'General Inputs'!H$10*$I58,0))</f>
        <v>0</v>
      </c>
      <c r="AL58" s="214">
        <f>IF(AND(($E58+$C$1)&gt;AL$4,AL$4&gt;=$C$1),'General Inputs'!I$9*$H58,IF(AND(($D58+$C$1)&gt;AL$4,AL$4&gt;=$C$1),'General Inputs'!I$9*$G58,0))+IF(AND(($E58+$C$1)&gt;AL$4,AL$4&gt;=$C$1),'General Inputs'!I$10*$J58,IF(AND(($D58+$C$1)&gt;AL$4,AL$4&gt;=$C$1),'General Inputs'!I$10*$I58,0))</f>
        <v>0</v>
      </c>
      <c r="AM58" s="214">
        <f>IF(AND(($E58+$C$1)&gt;AM$4,AM$4&gt;=$C$1),'General Inputs'!J$9*$H58,IF(AND(($D58+$C$1)&gt;AM$4,AM$4&gt;=$C$1),'General Inputs'!J$9*$G58,0))+IF(AND(($E58+$C$1)&gt;AM$4,AM$4&gt;=$C$1),'General Inputs'!J$10*$J58,IF(AND(($D58+$C$1)&gt;AM$4,AM$4&gt;=$C$1),'General Inputs'!J$10*$I58,0))</f>
        <v>0</v>
      </c>
      <c r="AN58" s="214">
        <f>IF(AND(($E58+$C$1)&gt;AN$4,AN$4&gt;=$C$1),'General Inputs'!K$9*$H58,IF(AND(($D58+$C$1)&gt;AN$4,AN$4&gt;=$C$1),'General Inputs'!K$9*$G58,0))+IF(AND(($E58+$C$1)&gt;AN$4,AN$4&gt;=$C$1),'General Inputs'!K$10*$J58,IF(AND(($D58+$C$1)&gt;AN$4,AN$4&gt;=$C$1),'General Inputs'!K$10*$I58,0))</f>
        <v>0</v>
      </c>
      <c r="AO58" s="214">
        <f>IF(AND(($E58+$C$1)&gt;AO$4,AO$4&gt;=$C$1),'General Inputs'!L$9*$H58,IF(AND(($D58+$C$1)&gt;AO$4,AO$4&gt;=$C$1),'General Inputs'!L$9*$G58,0))+IF(AND(($E58+$C$1)&gt;AO$4,AO$4&gt;=$C$1),'General Inputs'!L$10*$J58,IF(AND(($D58+$C$1)&gt;AO$4,AO$4&gt;=$C$1),'General Inputs'!L$10*$I58,0))</f>
        <v>0</v>
      </c>
      <c r="AP58" s="214">
        <f>IF(AND(($E58+$C$1)&gt;AP$4,AP$4&gt;=$C$1),'General Inputs'!M$9*$H58,IF(AND(($D58+$C$1)&gt;AP$4,AP$4&gt;=$C$1),'General Inputs'!M$9*$G58,0))+IF(AND(($E58+$C$1)&gt;AP$4,AP$4&gt;=$C$1),'General Inputs'!M$10*$J58,IF(AND(($D58+$C$1)&gt;AP$4,AP$4&gt;=$C$1),'General Inputs'!M$10*$I58,0))</f>
        <v>0</v>
      </c>
      <c r="AQ58" s="214">
        <f>IF(AND(($E58+$C$1)&gt;AQ$4,AQ$4&gt;=$C$1),'General Inputs'!N$9*$H58,IF(AND(($D58+$C$1)&gt;AQ$4,AQ$4&gt;=$C$1),'General Inputs'!N$9*$G58,0))+IF(AND(($E58+$C$1)&gt;AQ$4,AQ$4&gt;=$C$1),'General Inputs'!N$10*$J58,IF(AND(($D58+$C$1)&gt;AQ$4,AQ$4&gt;=$C$1),'General Inputs'!N$10*$I58,0))</f>
        <v>0</v>
      </c>
      <c r="AR58" s="214">
        <f>IF(AND(($E58+$C$1)&gt;AR$4,AR$4&gt;=$C$1),'General Inputs'!O$9*$H58,IF(AND(($D58+$C$1)&gt;AR$4,AR$4&gt;=$C$1),'General Inputs'!O$9*$G58,0))+IF(AND(($E58+$C$1)&gt;AR$4,AR$4&gt;=$C$1),'General Inputs'!O$10*$J58,IF(AND(($D58+$C$1)&gt;AR$4,AR$4&gt;=$C$1),'General Inputs'!O$10*$I58,0))</f>
        <v>0</v>
      </c>
      <c r="AS58" s="214">
        <f>IF(AND(($E58+$C$1)&gt;AS$4,AS$4&gt;=$C$1),'General Inputs'!P$9*$H58,IF(AND(($D58+$C$1)&gt;AS$4,AS$4&gt;=$C$1),'General Inputs'!P$9*$G58,0))+IF(AND(($E58+$C$1)&gt;AS$4,AS$4&gt;=$C$1),'General Inputs'!P$10*$J58,IF(AND(($D58+$C$1)&gt;AS$4,AS$4&gt;=$C$1),'General Inputs'!P$10*$I58,0))</f>
        <v>0</v>
      </c>
      <c r="AT58" s="214">
        <f>IF(AND(($E58+$C$1)&gt;AT$4,AT$4&gt;=$C$1),'General Inputs'!Q$9*$H58,IF(AND(($D58+$C$1)&gt;AT$4,AT$4&gt;=$C$1),'General Inputs'!Q$9*$G58,0))+IF(AND(($E58+$C$1)&gt;AT$4,AT$4&gt;=$C$1),'General Inputs'!Q$10*$J58,IF(AND(($D58+$C$1)&gt;AT$4,AT$4&gt;=$C$1),'General Inputs'!Q$10*$I58,0))</f>
        <v>0</v>
      </c>
      <c r="AU58" s="214">
        <f>IF(AND(($E58+$C$1)&gt;AU$4,AU$4&gt;=$C$1),'General Inputs'!R$9*$H58,IF(AND(($D58+$C$1)&gt;AU$4,AU$4&gt;=$C$1),'General Inputs'!R$9*$G58,0))+IF(AND(($E58+$C$1)&gt;AU$4,AU$4&gt;=$C$1),'General Inputs'!R$10*$J58,IF(AND(($D58+$C$1)&gt;AU$4,AU$4&gt;=$C$1),'General Inputs'!R$10*$I58,0))</f>
        <v>0</v>
      </c>
      <c r="AV58" s="214">
        <f>IF(AND(($E58+$C$1)&gt;AV$4,AV$4&gt;=$C$1),'General Inputs'!S$9*$H58,IF(AND(($D58+$C$1)&gt;AV$4,AV$4&gt;=$C$1),'General Inputs'!S$9*$G58,0))+IF(AND(($E58+$C$1)&gt;AV$4,AV$4&gt;=$C$1),'General Inputs'!S$10*$J58,IF(AND(($D58+$C$1)&gt;AV$4,AV$4&gt;=$C$1),'General Inputs'!S$10*$I58,0))</f>
        <v>0</v>
      </c>
      <c r="AW58" s="214">
        <f>IF(AND(($E58+$C$1)&gt;AW$4,AW$4&gt;=$C$1),'General Inputs'!T$9*$H58,IF(AND(($D58+$C$1)&gt;AW$4,AW$4&gt;=$C$1),'General Inputs'!T$9*$G58,0))+IF(AND(($E58+$C$1)&gt;AW$4,AW$4&gt;=$C$1),'General Inputs'!T$10*$J58,IF(AND(($D58+$C$1)&gt;AW$4,AW$4&gt;=$C$1),'General Inputs'!T$10*$I58,0))</f>
        <v>0</v>
      </c>
      <c r="AX58" s="214">
        <f>IF(AND(($E58+$C$1)&gt;AX$4,AX$4&gt;=$C$1),'General Inputs'!U$9*$H58,IF(AND(($D58+$C$1)&gt;AX$4,AX$4&gt;=$C$1),'General Inputs'!U$9*$G58,0))+IF(AND(($E58+$C$1)&gt;AX$4,AX$4&gt;=$C$1),'General Inputs'!U$10*$J58,IF(AND(($D58+$C$1)&gt;AX$4,AX$4&gt;=$C$1),'General Inputs'!U$10*$I58,0))</f>
        <v>0</v>
      </c>
      <c r="AY58" s="214">
        <f>IF(AND(($E58+$C$1)&gt;AY$4,AY$4&gt;=$C$1),'General Inputs'!V$9*$H58,IF(AND(($D58+$C$1)&gt;AY$4,AY$4&gt;=$C$1),'General Inputs'!V$9*$G58,0))+IF(AND(($E58+$C$1)&gt;AY$4,AY$4&gt;=$C$1),'General Inputs'!V$10*$J58,IF(AND(($D58+$C$1)&gt;AY$4,AY$4&gt;=$C$1),'General Inputs'!V$10*$I58,0))</f>
        <v>0</v>
      </c>
      <c r="AZ58" s="214">
        <f>IF(AND(($E58+$C$1)&gt;AZ$4,AZ$4&gt;=$C$1),'General Inputs'!W$9*$H58,IF(AND(($D58+$C$1)&gt;AZ$4,AZ$4&gt;=$C$1),'General Inputs'!W$9*$G58,0))+IF(AND(($E58+$C$1)&gt;AZ$4,AZ$4&gt;=$C$1),'General Inputs'!W$10*$J58,IF(AND(($D58+$C$1)&gt;AZ$4,AZ$4&gt;=$C$1),'General Inputs'!W$10*$I58,0))</f>
        <v>0</v>
      </c>
      <c r="BB58" s="214">
        <f>IF(AND(($E58+$C$1)&gt;BB$4,BB$4&gt;=$C$1),'General Inputs'!D$11*$H58,IF(AND(($D58+$C$1)&gt;BB$4,BB$4&gt;=$C$1),'General Inputs'!D$11*$G58,0))</f>
        <v>0</v>
      </c>
      <c r="BC58" s="214">
        <f>IF(AND(($E58+$C$1)&gt;BC$4,BC$4&gt;=$C$1),'General Inputs'!E$11*$H58,IF(AND(($D58+$C$1)&gt;BC$4,BC$4&gt;=$C$1),'General Inputs'!E$11*$G58,0))</f>
        <v>0</v>
      </c>
      <c r="BD58" s="214">
        <f>IF(AND(($E58+$C$1)&gt;BD$4,BD$4&gt;=$C$1),'General Inputs'!F$11*$H58,IF(AND(($D58+$C$1)&gt;BD$4,BD$4&gt;=$C$1),'General Inputs'!F$11*$G58,0))</f>
        <v>0</v>
      </c>
      <c r="BE58" s="214">
        <f>IF(AND(($E58+$C$1)&gt;BE$4,BE$4&gt;=$C$1),'General Inputs'!G$11*$H58,IF(AND(($D58+$C$1)&gt;BE$4,BE$4&gt;=$C$1),'General Inputs'!G$11*$G58,0))</f>
        <v>0</v>
      </c>
      <c r="BF58" s="214">
        <f>IF(AND(($E58+$C$1)&gt;BF$4,BF$4&gt;=$C$1),'General Inputs'!H$11*$H58,IF(AND(($D58+$C$1)&gt;BF$4,BF$4&gt;=$C$1),'General Inputs'!H$11*$G58,0))</f>
        <v>0</v>
      </c>
      <c r="BG58" s="214">
        <f>IF(AND(($E58+$C$1)&gt;BG$4,BG$4&gt;=$C$1),'General Inputs'!I$11*$H58,IF(AND(($D58+$C$1)&gt;BG$4,BG$4&gt;=$C$1),'General Inputs'!I$11*$G58,0))</f>
        <v>0</v>
      </c>
      <c r="BH58" s="214">
        <f>IF(AND(($E58+$C$1)&gt;BH$4,BH$4&gt;=$C$1),'General Inputs'!J$11*$H58,IF(AND(($D58+$C$1)&gt;BH$4,BH$4&gt;=$C$1),'General Inputs'!J$11*$G58,0))</f>
        <v>0</v>
      </c>
      <c r="BI58" s="214">
        <f>IF(AND(($E58+$C$1)&gt;BI$4,BI$4&gt;=$C$1),'General Inputs'!K$11*$H58,IF(AND(($D58+$C$1)&gt;BI$4,BI$4&gt;=$C$1),'General Inputs'!K$11*$G58,0))</f>
        <v>0</v>
      </c>
      <c r="BJ58" s="214">
        <f>IF(AND(($E58+$C$1)&gt;BJ$4,BJ$4&gt;=$C$1),'General Inputs'!L$11*$H58,IF(AND(($D58+$C$1)&gt;BJ$4,BJ$4&gt;=$C$1),'General Inputs'!L$11*$G58,0))</f>
        <v>0</v>
      </c>
      <c r="BK58" s="214">
        <f>IF(AND(($E58+$C$1)&gt;BK$4,BK$4&gt;=$C$1),'General Inputs'!M$11*$H58,IF(AND(($D58+$C$1)&gt;BK$4,BK$4&gt;=$C$1),'General Inputs'!M$11*$G58,0))</f>
        <v>0</v>
      </c>
      <c r="BL58" s="214">
        <f>IF(AND(($E58+$C$1)&gt;BL$4,BL$4&gt;=$C$1),'General Inputs'!N$11*$H58,IF(AND(($D58+$C$1)&gt;BL$4,BL$4&gt;=$C$1),'General Inputs'!N$11*$G58,0))</f>
        <v>0</v>
      </c>
      <c r="BM58" s="214">
        <f>IF(AND(($E58+$C$1)&gt;BM$4,BM$4&gt;=$C$1),'General Inputs'!O$11*$H58,IF(AND(($D58+$C$1)&gt;BM$4,BM$4&gt;=$C$1),'General Inputs'!O$11*$G58,0))</f>
        <v>0</v>
      </c>
      <c r="BN58" s="214">
        <f>IF(AND(($E58+$C$1)&gt;BN$4,BN$4&gt;=$C$1),'General Inputs'!P$11*$H58,IF(AND(($D58+$C$1)&gt;BN$4,BN$4&gt;=$C$1),'General Inputs'!P$11*$G58,0))</f>
        <v>0</v>
      </c>
      <c r="BO58" s="214">
        <f>IF(AND(($E58+$C$1)&gt;BO$4,BO$4&gt;=$C$1),'General Inputs'!Q$11*$H58,IF(AND(($D58+$C$1)&gt;BO$4,BO$4&gt;=$C$1),'General Inputs'!Q$11*$G58,0))</f>
        <v>0</v>
      </c>
      <c r="BP58" s="214">
        <f>IF(AND(($E58+$C$1)&gt;BP$4,BP$4&gt;=$C$1),'General Inputs'!R$11*$H58,IF(AND(($D58+$C$1)&gt;BP$4,BP$4&gt;=$C$1),'General Inputs'!R$11*$G58,0))</f>
        <v>0</v>
      </c>
      <c r="BQ58" s="214">
        <f>IF(AND(($E58+$C$1)&gt;BQ$4,BQ$4&gt;=$C$1),'General Inputs'!S$11*$H58,IF(AND(($D58+$C$1)&gt;BQ$4,BQ$4&gt;=$C$1),'General Inputs'!S$11*$G58,0))</f>
        <v>0</v>
      </c>
      <c r="BR58" s="214">
        <f>IF(AND(($E58+$C$1)&gt;BR$4,BR$4&gt;=$C$1),'General Inputs'!T$11*$H58,IF(AND(($D58+$C$1)&gt;BR$4,BR$4&gt;=$C$1),'General Inputs'!T$11*$G58,0))</f>
        <v>0</v>
      </c>
      <c r="BS58" s="214">
        <f>IF(AND(($E58+$C$1)&gt;BS$4,BS$4&gt;=$C$1),'General Inputs'!U$11*$H58,IF(AND(($D58+$C$1)&gt;BS$4,BS$4&gt;=$C$1),'General Inputs'!U$11*$G58,0))</f>
        <v>0</v>
      </c>
      <c r="BT58" s="214">
        <f>IF(AND(($E58+$C$1)&gt;BT$4,BT$4&gt;=$C$1),'General Inputs'!V$11*$H58,IF(AND(($D58+$C$1)&gt;BT$4,BT$4&gt;=$C$1),'General Inputs'!V$11*$G58,0))</f>
        <v>0</v>
      </c>
      <c r="BU58" s="214">
        <f>IF(AND(($E58+$C$1)&gt;BU$4,BU$4&gt;=$C$1),'General Inputs'!W$11*$H58,IF(AND(($D58+$C$1)&gt;BU$4,BU$4&gt;=$C$1),'General Inputs'!W$11*$G58,0))</f>
        <v>0</v>
      </c>
      <c r="BW58" s="214">
        <f>IF(AND(($E58+$C$1)&gt;BW$4,BW$4&gt;=$C$1),$H58,IF(AND(($D58+$C$1)&gt;BW$4,BW$4&gt;=$C$1),$G58,0))*IF($A58="Residential",'General Inputs'!D$14,'General Inputs'!D$19)</f>
        <v>0</v>
      </c>
      <c r="BX58" s="214">
        <f>IF(AND(($E58+$C$1)&gt;BX$4,BX$4&gt;=$C$1),$H58,IF(AND(($D58+$C$1)&gt;BX$4,BX$4&gt;=$C$1),$G58,0))*IF($A58="Residential",'General Inputs'!E$14,'General Inputs'!E$19)</f>
        <v>0</v>
      </c>
      <c r="BY58" s="214">
        <f>IF(AND(($E58+$C$1)&gt;BY$4,BY$4&gt;=$C$1),$H58,IF(AND(($D58+$C$1)&gt;BY$4,BY$4&gt;=$C$1),$G58,0))*IF($A58="Residential",'General Inputs'!F$14,'General Inputs'!F$19)</f>
        <v>0</v>
      </c>
      <c r="BZ58" s="214">
        <f>IF(AND(($E58+$C$1)&gt;BZ$4,BZ$4&gt;=$C$1),$H58,IF(AND(($D58+$C$1)&gt;BZ$4,BZ$4&gt;=$C$1),$G58,0))*IF($A58="Residential",'General Inputs'!G$14,'General Inputs'!G$19)</f>
        <v>0</v>
      </c>
      <c r="CA58" s="214">
        <f>IF(AND(($E58+$C$1)&gt;CA$4,CA$4&gt;=$C$1),$H58,IF(AND(($D58+$C$1)&gt;CA$4,CA$4&gt;=$C$1),$G58,0))*IF($A58="Residential",'General Inputs'!H$14,'General Inputs'!H$19)</f>
        <v>0</v>
      </c>
      <c r="CB58" s="214">
        <f>IF(AND(($E58+$C$1)&gt;CB$4,CB$4&gt;=$C$1),$H58,IF(AND(($D58+$C$1)&gt;CB$4,CB$4&gt;=$C$1),$G58,0))*IF($A58="Residential",'General Inputs'!I$14,'General Inputs'!I$19)</f>
        <v>0</v>
      </c>
      <c r="CC58" s="214">
        <f>IF(AND(($E58+$C$1)&gt;CC$4,CC$4&gt;=$C$1),$H58,IF(AND(($D58+$C$1)&gt;CC$4,CC$4&gt;=$C$1),$G58,0))*IF($A58="Residential",'General Inputs'!J$14,'General Inputs'!J$19)</f>
        <v>0</v>
      </c>
      <c r="CD58" s="214">
        <f>IF(AND(($E58+$C$1)&gt;CD$4,CD$4&gt;=$C$1),$H58,IF(AND(($D58+$C$1)&gt;CD$4,CD$4&gt;=$C$1),$G58,0))*IF($A58="Residential",'General Inputs'!K$14,'General Inputs'!K$19)</f>
        <v>0</v>
      </c>
      <c r="CE58" s="214">
        <f>IF(AND(($E58+$C$1)&gt;CE$4,CE$4&gt;=$C$1),$H58,IF(AND(($D58+$C$1)&gt;CE$4,CE$4&gt;=$C$1),$G58,0))*IF($A58="Residential",'General Inputs'!L$14,'General Inputs'!L$19)</f>
        <v>0</v>
      </c>
      <c r="CF58" s="214">
        <f>IF(AND(($E58+$C$1)&gt;CF$4,CF$4&gt;=$C$1),$H58,IF(AND(($D58+$C$1)&gt;CF$4,CF$4&gt;=$C$1),$G58,0))*IF($A58="Residential",'General Inputs'!M$14,'General Inputs'!M$19)</f>
        <v>0</v>
      </c>
      <c r="CG58" s="214">
        <f>IF(AND(($E58+$C$1)&gt;CG$4,CG$4&gt;=$C$1),$H58,IF(AND(($D58+$C$1)&gt;CG$4,CG$4&gt;=$C$1),$G58,0))*IF($A58="Residential",'General Inputs'!N$14,'General Inputs'!N$19)</f>
        <v>0</v>
      </c>
      <c r="CH58" s="214">
        <f>IF(AND(($E58+$C$1)&gt;CH$4,CH$4&gt;=$C$1),$H58,IF(AND(($D58+$C$1)&gt;CH$4,CH$4&gt;=$C$1),$G58,0))*IF($A58="Residential",'General Inputs'!O$14,'General Inputs'!O$19)</f>
        <v>0</v>
      </c>
      <c r="CI58" s="214">
        <f>IF(AND(($E58+$C$1)&gt;CI$4,CI$4&gt;=$C$1),$H58,IF(AND(($D58+$C$1)&gt;CI$4,CI$4&gt;=$C$1),$G58,0))*IF($A58="Residential",'General Inputs'!P$14,'General Inputs'!P$19)</f>
        <v>0</v>
      </c>
      <c r="CJ58" s="214">
        <f>IF(AND(($E58+$C$1)&gt;CJ$4,CJ$4&gt;=$C$1),$H58,IF(AND(($D58+$C$1)&gt;CJ$4,CJ$4&gt;=$C$1),$G58,0))*IF($A58="Residential",'General Inputs'!Q$14,'General Inputs'!Q$19)</f>
        <v>0</v>
      </c>
      <c r="CK58" s="214">
        <f>IF(AND(($E58+$C$1)&gt;CK$4,CK$4&gt;=$C$1),$H58,IF(AND(($D58+$C$1)&gt;CK$4,CK$4&gt;=$C$1),$G58,0))*IF($A58="Residential",'General Inputs'!R$14,'General Inputs'!R$19)</f>
        <v>0</v>
      </c>
      <c r="CL58" s="214">
        <f>IF(AND(($E58+$C$1)&gt;CL$4,CL$4&gt;=$C$1),$H58,IF(AND(($D58+$C$1)&gt;CL$4,CL$4&gt;=$C$1),$G58,0))*IF($A58="Residential",'General Inputs'!S$14,'General Inputs'!S$19)</f>
        <v>0</v>
      </c>
      <c r="CM58" s="214">
        <f>IF(AND(($E58+$C$1)&gt;CM$4,CM$4&gt;=$C$1),$H58,IF(AND(($D58+$C$1)&gt;CM$4,CM$4&gt;=$C$1),$G58,0))*IF($A58="Residential",'General Inputs'!T$14,'General Inputs'!T$19)</f>
        <v>0</v>
      </c>
      <c r="CN58" s="214">
        <f>IF(AND(($E58+$C$1)&gt;CN$4,CN$4&gt;=$C$1),$H58,IF(AND(($D58+$C$1)&gt;CN$4,CN$4&gt;=$C$1),$G58,0))*IF($A58="Residential",'General Inputs'!U$14,'General Inputs'!U$19)</f>
        <v>0</v>
      </c>
      <c r="CO58" s="214">
        <f>IF(AND(($E58+$C$1)&gt;CO$4,CO$4&gt;=$C$1),$H58,IF(AND(($D58+$C$1)&gt;CO$4,CO$4&gt;=$C$1),$G58,0))*IF($A58="Residential",'General Inputs'!V$14,'General Inputs'!V$19)</f>
        <v>0</v>
      </c>
      <c r="CP58" s="214">
        <f>IF(AND(($E58+$C$1)&gt;CP$4,CP$4&gt;=$C$1),$H58,IF(AND(($D58+$C$1)&gt;CP$4,CP$4&gt;=$C$1),$G58,0))*IF($A58="Residential",'General Inputs'!W$14,'General Inputs'!W$19)</f>
        <v>0</v>
      </c>
      <c r="CR58" s="214">
        <f>IF(AND(($E58+$C$1)&gt;CR$4,CR$4&gt;=$C$1),$H58,IF(AND(($D58+$C$1)&gt;CR$4,CR$4&gt;=$C$1),$G58,0))*IF($A58="Residential",'General Inputs'!D$15,'General Inputs'!D$19)</f>
        <v>0</v>
      </c>
      <c r="CS58" s="214">
        <f>IF(AND(($E58+$C$1)&gt;CS$4,CS$4&gt;=$C$1),$H58,IF(AND(($D58+$C$1)&gt;CS$4,CS$4&gt;=$C$1),$G58,0))*IF($A58="Residential",'General Inputs'!E$15,'General Inputs'!E$19)</f>
        <v>0</v>
      </c>
      <c r="CT58" s="214">
        <f>IF(AND(($E58+$C$1)&gt;CT$4,CT$4&gt;=$C$1),$H58,IF(AND(($D58+$C$1)&gt;CT$4,CT$4&gt;=$C$1),$G58,0))*IF($A58="Residential",'General Inputs'!F$15,'General Inputs'!F$19)</f>
        <v>0</v>
      </c>
      <c r="CU58" s="214">
        <f>IF(AND(($E58+$C$1)&gt;CU$4,CU$4&gt;=$C$1),$H58,IF(AND(($D58+$C$1)&gt;CU$4,CU$4&gt;=$C$1),$G58,0))*IF($A58="Residential",'General Inputs'!G$15,'General Inputs'!G$19)</f>
        <v>0</v>
      </c>
      <c r="CV58" s="214">
        <f>IF(AND(($E58+$C$1)&gt;CV$4,CV$4&gt;=$C$1),$H58,IF(AND(($D58+$C$1)&gt;CV$4,CV$4&gt;=$C$1),$G58,0))*IF($A58="Residential",'General Inputs'!H$15,'General Inputs'!H$19)</f>
        <v>0</v>
      </c>
      <c r="CW58" s="214">
        <f>IF(AND(($E58+$C$1)&gt;CW$4,CW$4&gt;=$C$1),$H58,IF(AND(($D58+$C$1)&gt;CW$4,CW$4&gt;=$C$1),$G58,0))*IF($A58="Residential",'General Inputs'!I$15,'General Inputs'!I$19)</f>
        <v>0</v>
      </c>
      <c r="CX58" s="214">
        <f>IF(AND(($E58+$C$1)&gt;CX$4,CX$4&gt;=$C$1),$H58,IF(AND(($D58+$C$1)&gt;CX$4,CX$4&gt;=$C$1),$G58,0))*IF($A58="Residential",'General Inputs'!J$15,'General Inputs'!J$19)</f>
        <v>0</v>
      </c>
      <c r="CY58" s="214">
        <f>IF(AND(($E58+$C$1)&gt;CY$4,CY$4&gt;=$C$1),$H58,IF(AND(($D58+$C$1)&gt;CY$4,CY$4&gt;=$C$1),$G58,0))*IF($A58="Residential",'General Inputs'!K$15,'General Inputs'!K$19)</f>
        <v>0</v>
      </c>
      <c r="CZ58" s="214">
        <f>IF(AND(($E58+$C$1)&gt;CZ$4,CZ$4&gt;=$C$1),$H58,IF(AND(($D58+$C$1)&gt;CZ$4,CZ$4&gt;=$C$1),$G58,0))*IF($A58="Residential",'General Inputs'!L$15,'General Inputs'!L$19)</f>
        <v>0</v>
      </c>
      <c r="DA58" s="214">
        <f>IF(AND(($E58+$C$1)&gt;DA$4,DA$4&gt;=$C$1),$H58,IF(AND(($D58+$C$1)&gt;DA$4,DA$4&gt;=$C$1),$G58,0))*IF($A58="Residential",'General Inputs'!M$15,'General Inputs'!M$19)</f>
        <v>0</v>
      </c>
      <c r="DB58" s="214">
        <f>IF(AND(($E58+$C$1)&gt;DB$4,DB$4&gt;=$C$1),$H58,IF(AND(($D58+$C$1)&gt;DB$4,DB$4&gt;=$C$1),$G58,0))*IF($A58="Residential",'General Inputs'!N$15,'General Inputs'!N$19)</f>
        <v>0</v>
      </c>
      <c r="DC58" s="214">
        <f>IF(AND(($E58+$C$1)&gt;DC$4,DC$4&gt;=$C$1),$H58,IF(AND(($D58+$C$1)&gt;DC$4,DC$4&gt;=$C$1),$G58,0))*IF($A58="Residential",'General Inputs'!O$15,'General Inputs'!O$19)</f>
        <v>0</v>
      </c>
      <c r="DD58" s="214">
        <f>IF(AND(($E58+$C$1)&gt;DD$4,DD$4&gt;=$C$1),$H58,IF(AND(($D58+$C$1)&gt;DD$4,DD$4&gt;=$C$1),$G58,0))*IF($A58="Residential",'General Inputs'!P$15,'General Inputs'!P$19)</f>
        <v>0</v>
      </c>
      <c r="DE58" s="214">
        <f>IF(AND(($E58+$C$1)&gt;DE$4,DE$4&gt;=$C$1),$H58,IF(AND(($D58+$C$1)&gt;DE$4,DE$4&gt;=$C$1),$G58,0))*IF($A58="Residential",'General Inputs'!Q$15,'General Inputs'!Q$19)</f>
        <v>0</v>
      </c>
      <c r="DF58" s="214">
        <f>IF(AND(($E58+$C$1)&gt;DF$4,DF$4&gt;=$C$1),$H58,IF(AND(($D58+$C$1)&gt;DF$4,DF$4&gt;=$C$1),$G58,0))*IF($A58="Residential",'General Inputs'!R$15,'General Inputs'!R$19)</f>
        <v>0</v>
      </c>
      <c r="DG58" s="214">
        <f>IF(AND(($E58+$C$1)&gt;DG$4,DG$4&gt;=$C$1),$H58,IF(AND(($D58+$C$1)&gt;DG$4,DG$4&gt;=$C$1),$G58,0))*IF($A58="Residential",'General Inputs'!S$15,'General Inputs'!S$19)</f>
        <v>0</v>
      </c>
      <c r="DH58" s="214">
        <f>IF(AND(($E58+$C$1)&gt;DH$4,DH$4&gt;=$C$1),$H58,IF(AND(($D58+$C$1)&gt;DH$4,DH$4&gt;=$C$1),$G58,0))*IF($A58="Residential",'General Inputs'!T$15,'General Inputs'!T$19)</f>
        <v>0</v>
      </c>
      <c r="DI58" s="214">
        <f>IF(AND(($E58+$C$1)&gt;DI$4,DI$4&gt;=$C$1),$H58,IF(AND(($D58+$C$1)&gt;DI$4,DI$4&gt;=$C$1),$G58,0))*IF($A58="Residential",'General Inputs'!U$15,'General Inputs'!U$19)</f>
        <v>0</v>
      </c>
      <c r="DJ58" s="214">
        <f>IF(AND(($E58+$C$1)&gt;DJ$4,DJ$4&gt;=$C$1),$H58,IF(AND(($D58+$C$1)&gt;DJ$4,DJ$4&gt;=$C$1),$G58,0))*IF($A58="Residential",'General Inputs'!V$15,'General Inputs'!V$19)</f>
        <v>0</v>
      </c>
      <c r="DK58" s="214">
        <f>IF(AND(($E58+$C$1)&gt;DK$4,DK$4&gt;=$C$1),$H58,IF(AND(($D58+$C$1)&gt;DK$4,DK$4&gt;=$C$1),$G58,0))*IF($A58="Residential",'General Inputs'!W$15,'General Inputs'!W$19)</f>
        <v>0</v>
      </c>
      <c r="DM58" s="214">
        <f t="shared" si="99"/>
        <v>0</v>
      </c>
      <c r="DN58" s="214">
        <f t="shared" si="99"/>
        <v>0</v>
      </c>
      <c r="DO58" s="214">
        <f t="shared" si="99"/>
        <v>0</v>
      </c>
      <c r="DP58" s="214">
        <f t="shared" si="99"/>
        <v>0</v>
      </c>
      <c r="DQ58" s="214">
        <f t="shared" si="99"/>
        <v>0</v>
      </c>
      <c r="DR58" s="214">
        <f t="shared" si="99"/>
        <v>0</v>
      </c>
      <c r="DS58" s="214">
        <f t="shared" si="99"/>
        <v>0</v>
      </c>
      <c r="DT58" s="214">
        <f t="shared" si="99"/>
        <v>0</v>
      </c>
      <c r="DU58" s="214">
        <f t="shared" si="99"/>
        <v>0</v>
      </c>
      <c r="DV58" s="214">
        <f t="shared" si="99"/>
        <v>0</v>
      </c>
      <c r="DW58" s="214">
        <f t="shared" si="99"/>
        <v>0</v>
      </c>
      <c r="DZ58" s="650"/>
      <c r="FI58" s="195"/>
      <c r="FJ58" s="195"/>
      <c r="FK58" s="195"/>
      <c r="FL58" s="195"/>
      <c r="FM58" s="195"/>
      <c r="FN58" s="195"/>
      <c r="FO58" s="195"/>
    </row>
    <row r="59" spans="1:171">
      <c r="A59" s="342" t="s">
        <v>112</v>
      </c>
      <c r="B59" s="427" t="str">
        <f>'Portfolio Inputs'!A58</f>
        <v>High Bay Fluorescent Fixture (replace 400W HID)</v>
      </c>
      <c r="C59" s="217">
        <f>IF($C$1=2014,'Portfolio Inputs'!$C58,IF($C$1=2015,'Portfolio Inputs'!$D58,'Portfolio Inputs'!$E58))</f>
        <v>3</v>
      </c>
      <c r="D59" s="504">
        <f>VLOOKUP(B59,Sources!$B$4:$J$104,2,FALSE)</f>
        <v>18</v>
      </c>
      <c r="E59" s="504">
        <f>VLOOKUP(B59,Sources!$B$4:$J$104,3,FALSE)</f>
        <v>0</v>
      </c>
      <c r="G59" s="504">
        <f>IF($C$1=2014,'Portfolio Inputs'!$G58,IF($C$1=2015,'Portfolio Inputs'!$H58,'Portfolio Inputs'!$I58))*EnergyLineLoss</f>
        <v>4217.7269475000003</v>
      </c>
      <c r="H59" s="504"/>
      <c r="I59" s="595">
        <f>IF($C$1=2014,'Portfolio Inputs'!$K58,IF($C$1=2015,'Portfolio Inputs'!$L58,'Portfolio Inputs'!$M58))*PeakLineLoss</f>
        <v>0.65218467599999996</v>
      </c>
      <c r="J59" s="510"/>
      <c r="L59" s="606">
        <f>IF($C$1=2014,'Portfolio Inputs'!$O58,IF($C$1=2015,'Portfolio Inputs'!$P58,'Portfolio Inputs'!$Q58))</f>
        <v>102</v>
      </c>
      <c r="M59" s="518">
        <f>VLOOKUP($B59,Sources!$B$4:$K$104,10,FALSE)</f>
        <v>0</v>
      </c>
      <c r="N59" s="419">
        <f>IF($C$1=2014,'Portfolio Inputs'!$W58,IF($C$1=2015,'Portfolio Inputs'!$X58,'Portfolio Inputs'!$Y58))</f>
        <v>225</v>
      </c>
      <c r="O59" s="419">
        <f>IF($C$1=2014,'Portfolio Inputs'!$AA58,IF($C$1=2015,'Portfolio Inputs'!$AB58,'Portfolio Inputs'!$AC58))</f>
        <v>0</v>
      </c>
      <c r="Q59" s="438">
        <f t="shared" si="67"/>
        <v>6.3462042757834602</v>
      </c>
      <c r="R59" s="439">
        <f t="shared" si="68"/>
        <v>8.6308378150655063</v>
      </c>
      <c r="S59" s="439">
        <f t="shared" si="69"/>
        <v>7.8597165945553726</v>
      </c>
      <c r="T59" s="439">
        <f t="shared" si="70"/>
        <v>16.472398568257763</v>
      </c>
      <c r="U59" s="439">
        <f t="shared" si="98"/>
        <v>16.472398568257763</v>
      </c>
      <c r="V59" s="439">
        <f t="shared" si="72"/>
        <v>0.38526291417040914</v>
      </c>
      <c r="W59" s="439">
        <f t="shared" si="73"/>
        <v>0.38526291417040914</v>
      </c>
      <c r="Y59" s="215">
        <f t="shared" si="4"/>
        <v>1639.2998819715156</v>
      </c>
      <c r="Z59" s="215">
        <f t="shared" si="5"/>
        <v>390.95819449003335</v>
      </c>
      <c r="AA59" s="215">
        <f t="shared" si="6"/>
        <v>4065.0808494932526</v>
      </c>
      <c r="AB59" s="215">
        <f t="shared" si="7"/>
        <v>4065.0808494932526</v>
      </c>
      <c r="AC59" s="216">
        <f t="shared" si="20"/>
        <v>0</v>
      </c>
      <c r="AD59" s="216">
        <f t="shared" si="21"/>
        <v>189.93519714969568</v>
      </c>
      <c r="AE59" s="215">
        <f t="shared" si="8"/>
        <v>258.31186812358612</v>
      </c>
      <c r="AG59" s="214">
        <f>IF(AND(($E59+$C$1)&gt;AG$4,AG$4&gt;=$C$1),'General Inputs'!D$9*$H59,IF(AND(($D59+$C$1)&gt;AG$4,AG$4&gt;=$C$1),'General Inputs'!D$9*$G59,0))+IF(AND(($E59+$C$1)&gt;AG$4,AG$4&gt;=$C$1),'General Inputs'!D$10*$J59,IF(AND(($D59+$C$1)&gt;AG$4,AG$4&gt;=$C$1),'General Inputs'!D$10*$I59,0))</f>
        <v>0</v>
      </c>
      <c r="AH59" s="214">
        <f>IF(AND(($E59+$C$1)&gt;AH$4,AH$4&gt;=$C$1),'General Inputs'!E$9*$H59,IF(AND(($D59+$C$1)&gt;AH$4,AH$4&gt;=$C$1),'General Inputs'!E$9*$G59,0))+IF(AND(($E59+$C$1)&gt;AH$4,AH$4&gt;=$C$1),'General Inputs'!E$10*$J59,IF(AND(($D59+$C$1)&gt;AH$4,AH$4&gt;=$C$1),'General Inputs'!E$10*$I59,0))</f>
        <v>0</v>
      </c>
      <c r="AI59" s="214">
        <f>IF(AND(($E59+$C$1)&gt;AI$4,AI$4&gt;=$C$1),'General Inputs'!F$9*$H59,IF(AND(($D59+$C$1)&gt;AI$4,AI$4&gt;=$C$1),'General Inputs'!F$9*$G59,0))+IF(AND(($E59+$C$1)&gt;AI$4,AI$4&gt;=$C$1),'General Inputs'!F$10*$J59,IF(AND(($D59+$C$1)&gt;AI$4,AI$4&gt;=$C$1),'General Inputs'!F$10*$I59,0))</f>
        <v>183.0535939691697</v>
      </c>
      <c r="AJ59" s="214">
        <f>IF(AND(($E59+$C$1)&gt;AJ$4,AJ$4&gt;=$C$1),'General Inputs'!G$9*$H59,IF(AND(($D59+$C$1)&gt;AJ$4,AJ$4&gt;=$C$1),'General Inputs'!G$9*$G59,0))+IF(AND(($E59+$C$1)&gt;AJ$4,AJ$4&gt;=$C$1),'General Inputs'!G$10*$J59,IF(AND(($D59+$C$1)&gt;AJ$4,AJ$4&gt;=$C$1),'General Inputs'!G$10*$I59,0))</f>
        <v>185.79939787870725</v>
      </c>
      <c r="AK59" s="214">
        <f>IF(AND(($E59+$C$1)&gt;AK$4,AK$4&gt;=$C$1),'General Inputs'!H$9*$H59,IF(AND(($D59+$C$1)&gt;AK$4,AK$4&gt;=$C$1),'General Inputs'!H$9*$G59,0))+IF(AND(($E59+$C$1)&gt;AK$4,AK$4&gt;=$C$1),'General Inputs'!H$10*$J59,IF(AND(($D59+$C$1)&gt;AK$4,AK$4&gt;=$C$1),'General Inputs'!H$10*$I59,0))</f>
        <v>188.58638884688781</v>
      </c>
      <c r="AL59" s="214">
        <f>IF(AND(($E59+$C$1)&gt;AL$4,AL$4&gt;=$C$1),'General Inputs'!I$9*$H59,IF(AND(($D59+$C$1)&gt;AL$4,AL$4&gt;=$C$1),'General Inputs'!I$9*$G59,0))+IF(AND(($E59+$C$1)&gt;AL$4,AL$4&gt;=$C$1),'General Inputs'!I$10*$J59,IF(AND(($D59+$C$1)&gt;AL$4,AL$4&gt;=$C$1),'General Inputs'!I$10*$I59,0))</f>
        <v>191.41518467959111</v>
      </c>
      <c r="AM59" s="214">
        <f>IF(AND(($E59+$C$1)&gt;AM$4,AM$4&gt;=$C$1),'General Inputs'!J$9*$H59,IF(AND(($D59+$C$1)&gt;AM$4,AM$4&gt;=$C$1),'General Inputs'!J$9*$G59,0))+IF(AND(($E59+$C$1)&gt;AM$4,AM$4&gt;=$C$1),'General Inputs'!J$10*$J59,IF(AND(($D59+$C$1)&gt;AM$4,AM$4&gt;=$C$1),'General Inputs'!J$10*$I59,0))</f>
        <v>194.28641244978493</v>
      </c>
      <c r="AN59" s="214">
        <f>IF(AND(($E59+$C$1)&gt;AN$4,AN$4&gt;=$C$1),'General Inputs'!K$9*$H59,IF(AND(($D59+$C$1)&gt;AN$4,AN$4&gt;=$C$1),'General Inputs'!K$9*$G59,0))+IF(AND(($E59+$C$1)&gt;AN$4,AN$4&gt;=$C$1),'General Inputs'!K$10*$J59,IF(AND(($D59+$C$1)&gt;AN$4,AN$4&gt;=$C$1),'General Inputs'!K$10*$I59,0))</f>
        <v>197.20070863653172</v>
      </c>
      <c r="AO59" s="214">
        <f>IF(AND(($E59+$C$1)&gt;AO$4,AO$4&gt;=$C$1),'General Inputs'!L$9*$H59,IF(AND(($D59+$C$1)&gt;AO$4,AO$4&gt;=$C$1),'General Inputs'!L$9*$G59,0))+IF(AND(($E59+$C$1)&gt;AO$4,AO$4&gt;=$C$1),'General Inputs'!L$10*$J59,IF(AND(($D59+$C$1)&gt;AO$4,AO$4&gt;=$C$1),'General Inputs'!L$10*$I59,0))</f>
        <v>200.15871926607966</v>
      </c>
      <c r="AP59" s="214">
        <f>IF(AND(($E59+$C$1)&gt;AP$4,AP$4&gt;=$C$1),'General Inputs'!M$9*$H59,IF(AND(($D59+$C$1)&gt;AP$4,AP$4&gt;=$C$1),'General Inputs'!M$9*$G59,0))+IF(AND(($E59+$C$1)&gt;AP$4,AP$4&gt;=$C$1),'General Inputs'!M$10*$J59,IF(AND(($D59+$C$1)&gt;AP$4,AP$4&gt;=$C$1),'General Inputs'!M$10*$I59,0))</f>
        <v>203.16110005507082</v>
      </c>
      <c r="AQ59" s="214">
        <f>IF(AND(($E59+$C$1)&gt;AQ$4,AQ$4&gt;=$C$1),'General Inputs'!N$9*$H59,IF(AND(($D59+$C$1)&gt;AQ$4,AQ$4&gt;=$C$1),'General Inputs'!N$9*$G59,0))+IF(AND(($E59+$C$1)&gt;AQ$4,AQ$4&gt;=$C$1),'General Inputs'!N$10*$J59,IF(AND(($D59+$C$1)&gt;AQ$4,AQ$4&gt;=$C$1),'General Inputs'!N$10*$I59,0))</f>
        <v>206.20851655589686</v>
      </c>
      <c r="AR59" s="214">
        <f>IF(AND(($E59+$C$1)&gt;AR$4,AR$4&gt;=$C$1),'General Inputs'!O$9*$H59,IF(AND(($D59+$C$1)&gt;AR$4,AR$4&gt;=$C$1),'General Inputs'!O$9*$G59,0))+IF(AND(($E59+$C$1)&gt;AR$4,AR$4&gt;=$C$1),'General Inputs'!O$10*$J59,IF(AND(($D59+$C$1)&gt;AR$4,AR$4&gt;=$C$1),'General Inputs'!O$10*$I59,0))</f>
        <v>209.30164430423528</v>
      </c>
      <c r="AS59" s="214">
        <f>IF(AND(($E59+$C$1)&gt;AS$4,AS$4&gt;=$C$1),'General Inputs'!P$9*$H59,IF(AND(($D59+$C$1)&gt;AS$4,AS$4&gt;=$C$1),'General Inputs'!P$9*$G59,0))+IF(AND(($E59+$C$1)&gt;AS$4,AS$4&gt;=$C$1),'General Inputs'!P$10*$J59,IF(AND(($D59+$C$1)&gt;AS$4,AS$4&gt;=$C$1),'General Inputs'!P$10*$I59,0))</f>
        <v>212.44116896879882</v>
      </c>
      <c r="AT59" s="214">
        <f>IF(AND(($E59+$C$1)&gt;AT$4,AT$4&gt;=$C$1),'General Inputs'!Q$9*$H59,IF(AND(($D59+$C$1)&gt;AT$4,AT$4&gt;=$C$1),'General Inputs'!Q$9*$G59,0))+IF(AND(($E59+$C$1)&gt;AT$4,AT$4&gt;=$C$1),'General Inputs'!Q$10*$J59,IF(AND(($D59+$C$1)&gt;AT$4,AT$4&gt;=$C$1),'General Inputs'!Q$10*$I59,0))</f>
        <v>215.62778650333078</v>
      </c>
      <c r="AU59" s="214">
        <f>IF(AND(($E59+$C$1)&gt;AU$4,AU$4&gt;=$C$1),'General Inputs'!R$9*$H59,IF(AND(($D59+$C$1)&gt;AU$4,AU$4&gt;=$C$1),'General Inputs'!R$9*$G59,0))+IF(AND(($E59+$C$1)&gt;AU$4,AU$4&gt;=$C$1),'General Inputs'!R$10*$J59,IF(AND(($D59+$C$1)&gt;AU$4,AU$4&gt;=$C$1),'General Inputs'!R$10*$I59,0))</f>
        <v>218.86220330088071</v>
      </c>
      <c r="AV59" s="214">
        <f>IF(AND(($E59+$C$1)&gt;AV$4,AV$4&gt;=$C$1),'General Inputs'!S$9*$H59,IF(AND(($D59+$C$1)&gt;AV$4,AV$4&gt;=$C$1),'General Inputs'!S$9*$G59,0))+IF(AND(($E59+$C$1)&gt;AV$4,AV$4&gt;=$C$1),'General Inputs'!S$10*$J59,IF(AND(($D59+$C$1)&gt;AV$4,AV$4&gt;=$C$1),'General Inputs'!S$10*$I59,0))</f>
        <v>222.14513635039393</v>
      </c>
      <c r="AW59" s="214">
        <f>IF(AND(($E59+$C$1)&gt;AW$4,AW$4&gt;=$C$1),'General Inputs'!T$9*$H59,IF(AND(($D59+$C$1)&gt;AW$4,AW$4&gt;=$C$1),'General Inputs'!T$9*$G59,0))+IF(AND(($E59+$C$1)&gt;AW$4,AW$4&gt;=$C$1),'General Inputs'!T$10*$J59,IF(AND(($D59+$C$1)&gt;AW$4,AW$4&gt;=$C$1),'General Inputs'!T$10*$I59,0))</f>
        <v>225.47731339564979</v>
      </c>
      <c r="AX59" s="214">
        <f>IF(AND(($E59+$C$1)&gt;AX$4,AX$4&gt;=$C$1),'General Inputs'!U$9*$H59,IF(AND(($D59+$C$1)&gt;AX$4,AX$4&gt;=$C$1),'General Inputs'!U$9*$G59,0))+IF(AND(($E59+$C$1)&gt;AX$4,AX$4&gt;=$C$1),'General Inputs'!U$10*$J59,IF(AND(($D59+$C$1)&gt;AX$4,AX$4&gt;=$C$1),'General Inputs'!U$10*$I59,0))</f>
        <v>228.85947309658454</v>
      </c>
      <c r="AY59" s="214">
        <f>IF(AND(($E59+$C$1)&gt;AY$4,AY$4&gt;=$C$1),'General Inputs'!V$9*$H59,IF(AND(($D59+$C$1)&gt;AY$4,AY$4&gt;=$C$1),'General Inputs'!V$9*$G59,0))+IF(AND(($E59+$C$1)&gt;AY$4,AY$4&gt;=$C$1),'General Inputs'!V$10*$J59,IF(AND(($D59+$C$1)&gt;AY$4,AY$4&gt;=$C$1),'General Inputs'!V$10*$I59,0))</f>
        <v>232.29236519303328</v>
      </c>
      <c r="AZ59" s="214">
        <f>IF(AND(($E59+$C$1)&gt;AZ$4,AZ$4&gt;=$C$1),'General Inputs'!W$9*$H59,IF(AND(($D59+$C$1)&gt;AZ$4,AZ$4&gt;=$C$1),'General Inputs'!W$9*$G59,0))+IF(AND(($E59+$C$1)&gt;AZ$4,AZ$4&gt;=$C$1),'General Inputs'!W$10*$J59,IF(AND(($D59+$C$1)&gt;AZ$4,AZ$4&gt;=$C$1),'General Inputs'!W$10*$I59,0))</f>
        <v>235.77675067092878</v>
      </c>
      <c r="BB59" s="214">
        <f>IF(AND(($E59+$C$1)&gt;BB$4,BB$4&gt;=$C$1),'General Inputs'!D$11*$H59,IF(AND(($D59+$C$1)&gt;BB$4,BB$4&gt;=$C$1),'General Inputs'!D$11*$G59,0))</f>
        <v>0</v>
      </c>
      <c r="BC59" s="214">
        <f>IF(AND(($E59+$C$1)&gt;BC$4,BC$4&gt;=$C$1),'General Inputs'!E$11*$H59,IF(AND(($D59+$C$1)&gt;BC$4,BC$4&gt;=$C$1),'General Inputs'!E$11*$G59,0))</f>
        <v>0</v>
      </c>
      <c r="BD59" s="214">
        <f>IF(AND(($E59+$C$1)&gt;BD$4,BD$4&gt;=$C$1),'General Inputs'!F$11*$H59,IF(AND(($D59+$C$1)&gt;BD$4,BD$4&gt;=$C$1),'General Inputs'!F$11*$G59,0))</f>
        <v>48.082087201500002</v>
      </c>
      <c r="BE59" s="214">
        <f>IF(AND(($E59+$C$1)&gt;BE$4,BE$4&gt;=$C$1),'General Inputs'!G$11*$H59,IF(AND(($D59+$C$1)&gt;BE$4,BE$4&gt;=$C$1),'General Inputs'!G$11*$G59,0))</f>
        <v>48.082087201500002</v>
      </c>
      <c r="BF59" s="214">
        <f>IF(AND(($E59+$C$1)&gt;BF$4,BF$4&gt;=$C$1),'General Inputs'!H$11*$H59,IF(AND(($D59+$C$1)&gt;BF$4,BF$4&gt;=$C$1),'General Inputs'!H$11*$G59,0))</f>
        <v>48.082087201500002</v>
      </c>
      <c r="BG59" s="214">
        <f>IF(AND(($E59+$C$1)&gt;BG$4,BG$4&gt;=$C$1),'General Inputs'!I$11*$H59,IF(AND(($D59+$C$1)&gt;BG$4,BG$4&gt;=$C$1),'General Inputs'!I$11*$G59,0))</f>
        <v>48.082087201500002</v>
      </c>
      <c r="BH59" s="214">
        <f>IF(AND(($E59+$C$1)&gt;BH$4,BH$4&gt;=$C$1),'General Inputs'!J$11*$H59,IF(AND(($D59+$C$1)&gt;BH$4,BH$4&gt;=$C$1),'General Inputs'!J$11*$G59,0))</f>
        <v>48.082087201500002</v>
      </c>
      <c r="BI59" s="214">
        <f>IF(AND(($E59+$C$1)&gt;BI$4,BI$4&gt;=$C$1),'General Inputs'!K$11*$H59,IF(AND(($D59+$C$1)&gt;BI$4,BI$4&gt;=$C$1),'General Inputs'!K$11*$G59,0))</f>
        <v>48.082087201500002</v>
      </c>
      <c r="BJ59" s="214">
        <f>IF(AND(($E59+$C$1)&gt;BJ$4,BJ$4&gt;=$C$1),'General Inputs'!L$11*$H59,IF(AND(($D59+$C$1)&gt;BJ$4,BJ$4&gt;=$C$1),'General Inputs'!L$11*$G59,0))</f>
        <v>48.082087201500002</v>
      </c>
      <c r="BK59" s="214">
        <f>IF(AND(($E59+$C$1)&gt;BK$4,BK$4&gt;=$C$1),'General Inputs'!M$11*$H59,IF(AND(($D59+$C$1)&gt;BK$4,BK$4&gt;=$C$1),'General Inputs'!M$11*$G59,0))</f>
        <v>48.082087201500002</v>
      </c>
      <c r="BL59" s="214">
        <f>IF(AND(($E59+$C$1)&gt;BL$4,BL$4&gt;=$C$1),'General Inputs'!N$11*$H59,IF(AND(($D59+$C$1)&gt;BL$4,BL$4&gt;=$C$1),'General Inputs'!N$11*$G59,0))</f>
        <v>48.082087201500002</v>
      </c>
      <c r="BM59" s="214">
        <f>IF(AND(($E59+$C$1)&gt;BM$4,BM$4&gt;=$C$1),'General Inputs'!O$11*$H59,IF(AND(($D59+$C$1)&gt;BM$4,BM$4&gt;=$C$1),'General Inputs'!O$11*$G59,0))</f>
        <v>48.082087201500002</v>
      </c>
      <c r="BN59" s="214">
        <f>IF(AND(($E59+$C$1)&gt;BN$4,BN$4&gt;=$C$1),'General Inputs'!P$11*$H59,IF(AND(($D59+$C$1)&gt;BN$4,BN$4&gt;=$C$1),'General Inputs'!P$11*$G59,0))</f>
        <v>48.082087201500002</v>
      </c>
      <c r="BO59" s="214">
        <f>IF(AND(($E59+$C$1)&gt;BO$4,BO$4&gt;=$C$1),'General Inputs'!Q$11*$H59,IF(AND(($D59+$C$1)&gt;BO$4,BO$4&gt;=$C$1),'General Inputs'!Q$11*$G59,0))</f>
        <v>48.082087201500002</v>
      </c>
      <c r="BP59" s="214">
        <f>IF(AND(($E59+$C$1)&gt;BP$4,BP$4&gt;=$C$1),'General Inputs'!R$11*$H59,IF(AND(($D59+$C$1)&gt;BP$4,BP$4&gt;=$C$1),'General Inputs'!R$11*$G59,0))</f>
        <v>48.082087201500002</v>
      </c>
      <c r="BQ59" s="214">
        <f>IF(AND(($E59+$C$1)&gt;BQ$4,BQ$4&gt;=$C$1),'General Inputs'!S$11*$H59,IF(AND(($D59+$C$1)&gt;BQ$4,BQ$4&gt;=$C$1),'General Inputs'!S$11*$G59,0))</f>
        <v>48.082087201500002</v>
      </c>
      <c r="BR59" s="214">
        <f>IF(AND(($E59+$C$1)&gt;BR$4,BR$4&gt;=$C$1),'General Inputs'!T$11*$H59,IF(AND(($D59+$C$1)&gt;BR$4,BR$4&gt;=$C$1),'General Inputs'!T$11*$G59,0))</f>
        <v>48.082087201500002</v>
      </c>
      <c r="BS59" s="214">
        <f>IF(AND(($E59+$C$1)&gt;BS$4,BS$4&gt;=$C$1),'General Inputs'!U$11*$H59,IF(AND(($D59+$C$1)&gt;BS$4,BS$4&gt;=$C$1),'General Inputs'!U$11*$G59,0))</f>
        <v>48.082087201500002</v>
      </c>
      <c r="BT59" s="214">
        <f>IF(AND(($E59+$C$1)&gt;BT$4,BT$4&gt;=$C$1),'General Inputs'!V$11*$H59,IF(AND(($D59+$C$1)&gt;BT$4,BT$4&gt;=$C$1),'General Inputs'!V$11*$G59,0))</f>
        <v>48.082087201500002</v>
      </c>
      <c r="BU59" s="214">
        <f>IF(AND(($E59+$C$1)&gt;BU$4,BU$4&gt;=$C$1),'General Inputs'!W$11*$H59,IF(AND(($D59+$C$1)&gt;BU$4,BU$4&gt;=$C$1),'General Inputs'!W$11*$G59,0))</f>
        <v>48.082087201500002</v>
      </c>
      <c r="BW59" s="214">
        <f>IF(AND(($E59+$C$1)&gt;BW$4,BW$4&gt;=$C$1),$H59,IF(AND(($D59+$C$1)&gt;BW$4,BW$4&gt;=$C$1),$G59,0))*IF($A59="Residential",'General Inputs'!D$14,'General Inputs'!D$19)</f>
        <v>0</v>
      </c>
      <c r="BX59" s="214">
        <f>IF(AND(($E59+$C$1)&gt;BX$4,BX$4&gt;=$C$1),$H59,IF(AND(($D59+$C$1)&gt;BX$4,BX$4&gt;=$C$1),$G59,0))*IF($A59="Residential",'General Inputs'!E$14,'General Inputs'!E$19)</f>
        <v>0</v>
      </c>
      <c r="BY59" s="214">
        <f>IF(AND(($E59+$C$1)&gt;BY$4,BY$4&gt;=$C$1),$H59,IF(AND(($D59+$C$1)&gt;BY$4,BY$4&gt;=$C$1),$G59,0))*IF($A59="Residential",'General Inputs'!F$14,'General Inputs'!F$19)</f>
        <v>453.93016095386713</v>
      </c>
      <c r="BZ59" s="214">
        <f>IF(AND(($E59+$C$1)&gt;BZ$4,BZ$4&gt;=$C$1),$H59,IF(AND(($D59+$C$1)&gt;BZ$4,BZ$4&gt;=$C$1),$G59,0))*IF($A59="Residential",'General Inputs'!G$14,'General Inputs'!G$19)</f>
        <v>460.73911336817508</v>
      </c>
      <c r="CA59" s="214">
        <f>IF(AND(($E59+$C$1)&gt;CA$4,CA$4&gt;=$C$1),$H59,IF(AND(($D59+$C$1)&gt;CA$4,CA$4&gt;=$C$1),$G59,0))*IF($A59="Residential",'General Inputs'!H$14,'General Inputs'!H$19)</f>
        <v>467.65020006869759</v>
      </c>
      <c r="CB59" s="214">
        <f>IF(AND(($E59+$C$1)&gt;CB$4,CB$4&gt;=$C$1),$H59,IF(AND(($D59+$C$1)&gt;CB$4,CB$4&gt;=$C$1),$G59,0))*IF($A59="Residential",'General Inputs'!I$14,'General Inputs'!I$19)</f>
        <v>474.66495306972797</v>
      </c>
      <c r="CC59" s="214">
        <f>IF(AND(($E59+$C$1)&gt;CC$4,CC$4&gt;=$C$1),$H59,IF(AND(($D59+$C$1)&gt;CC$4,CC$4&gt;=$C$1),$G59,0))*IF($A59="Residential",'General Inputs'!J$14,'General Inputs'!J$19)</f>
        <v>481.78492736577391</v>
      </c>
      <c r="CD59" s="214">
        <f>IF(AND(($E59+$C$1)&gt;CD$4,CD$4&gt;=$C$1),$H59,IF(AND(($D59+$C$1)&gt;CD$4,CD$4&gt;=$C$1),$G59,0))*IF($A59="Residential",'General Inputs'!K$14,'General Inputs'!K$19)</f>
        <v>489.01170127626045</v>
      </c>
      <c r="CE59" s="214">
        <f>IF(AND(($E59+$C$1)&gt;CE$4,CE$4&gt;=$C$1),$H59,IF(AND(($D59+$C$1)&gt;CE$4,CE$4&gt;=$C$1),$G59,0))*IF($A59="Residential",'General Inputs'!L$14,'General Inputs'!L$19)</f>
        <v>496.34687679540428</v>
      </c>
      <c r="CF59" s="214">
        <f>IF(AND(($E59+$C$1)&gt;CF$4,CF$4&gt;=$C$1),$H59,IF(AND(($D59+$C$1)&gt;CF$4,CF$4&gt;=$C$1),$G59,0))*IF($A59="Residential",'General Inputs'!M$14,'General Inputs'!M$19)</f>
        <v>503.79207994733531</v>
      </c>
      <c r="CG59" s="214">
        <f>IF(AND(($E59+$C$1)&gt;CG$4,CG$4&gt;=$C$1),$H59,IF(AND(($D59+$C$1)&gt;CG$4,CG$4&gt;=$C$1),$G59,0))*IF($A59="Residential",'General Inputs'!N$14,'General Inputs'!N$19)</f>
        <v>511.34896114654532</v>
      </c>
      <c r="CH59" s="214">
        <f>IF(AND(($E59+$C$1)&gt;CH$4,CH$4&gt;=$C$1),$H59,IF(AND(($D59+$C$1)&gt;CH$4,CH$4&gt;=$C$1),$G59,0))*IF($A59="Residential",'General Inputs'!O$14,'General Inputs'!O$19)</f>
        <v>519.01919556374344</v>
      </c>
      <c r="CI59" s="214">
        <f>IF(AND(($E59+$C$1)&gt;CI$4,CI$4&gt;=$C$1),$H59,IF(AND(($D59+$C$1)&gt;CI$4,CI$4&gt;=$C$1),$G59,0))*IF($A59="Residential",'General Inputs'!P$14,'General Inputs'!P$19)</f>
        <v>526.80448349719961</v>
      </c>
      <c r="CJ59" s="214">
        <f>IF(AND(($E59+$C$1)&gt;CJ$4,CJ$4&gt;=$C$1),$H59,IF(AND(($D59+$C$1)&gt;CJ$4,CJ$4&gt;=$C$1),$G59,0))*IF($A59="Residential",'General Inputs'!Q$14,'General Inputs'!Q$19)</f>
        <v>534.70655074965748</v>
      </c>
      <c r="CK59" s="214">
        <f>IF(AND(($E59+$C$1)&gt;CK$4,CK$4&gt;=$C$1),$H59,IF(AND(($D59+$C$1)&gt;CK$4,CK$4&gt;=$C$1),$G59,0))*IF($A59="Residential",'General Inputs'!R$14,'General Inputs'!R$19)</f>
        <v>542.72714901090228</v>
      </c>
      <c r="CL59" s="214">
        <f>IF(AND(($E59+$C$1)&gt;CL$4,CL$4&gt;=$C$1),$H59,IF(AND(($D59+$C$1)&gt;CL$4,CL$4&gt;=$C$1),$G59,0))*IF($A59="Residential",'General Inputs'!S$14,'General Inputs'!S$19)</f>
        <v>550.86805624606586</v>
      </c>
      <c r="CM59" s="214">
        <f>IF(AND(($E59+$C$1)&gt;CM$4,CM$4&gt;=$C$1),$H59,IF(AND(($D59+$C$1)&gt;CM$4,CM$4&gt;=$C$1),$G59,0))*IF($A59="Residential",'General Inputs'!T$14,'General Inputs'!T$19)</f>
        <v>559.13107708975679</v>
      </c>
      <c r="CN59" s="214">
        <f>IF(AND(($E59+$C$1)&gt;CN$4,CN$4&gt;=$C$1),$H59,IF(AND(($D59+$C$1)&gt;CN$4,CN$4&gt;=$C$1),$G59,0))*IF($A59="Residential",'General Inputs'!U$14,'General Inputs'!U$19)</f>
        <v>567.51804324610305</v>
      </c>
      <c r="CO59" s="214">
        <f>IF(AND(($E59+$C$1)&gt;CO$4,CO$4&gt;=$C$1),$H59,IF(AND(($D59+$C$1)&gt;CO$4,CO$4&gt;=$C$1),$G59,0))*IF($A59="Residential",'General Inputs'!V$14,'General Inputs'!V$19)</f>
        <v>576.03081389479451</v>
      </c>
      <c r="CP59" s="214">
        <f>IF(AND(($E59+$C$1)&gt;CP$4,CP$4&gt;=$C$1),$H59,IF(AND(($D59+$C$1)&gt;CP$4,CP$4&gt;=$C$1),$G59,0))*IF($A59="Residential",'General Inputs'!W$14,'General Inputs'!W$19)</f>
        <v>584.67127610321643</v>
      </c>
      <c r="CR59" s="214">
        <f>IF(AND(($E59+$C$1)&gt;CR$4,CR$4&gt;=$C$1),$H59,IF(AND(($D59+$C$1)&gt;CR$4,CR$4&gt;=$C$1),$G59,0))*IF($A59="Residential",'General Inputs'!D$15,'General Inputs'!D$19)</f>
        <v>0</v>
      </c>
      <c r="CS59" s="214">
        <f>IF(AND(($E59+$C$1)&gt;CS$4,CS$4&gt;=$C$1),$H59,IF(AND(($D59+$C$1)&gt;CS$4,CS$4&gt;=$C$1),$G59,0))*IF($A59="Residential",'General Inputs'!E$15,'General Inputs'!E$19)</f>
        <v>0</v>
      </c>
      <c r="CT59" s="214">
        <f>IF(AND(($E59+$C$1)&gt;CT$4,CT$4&gt;=$C$1),$H59,IF(AND(($D59+$C$1)&gt;CT$4,CT$4&gt;=$C$1),$G59,0))*IF($A59="Residential",'General Inputs'!F$15,'General Inputs'!F$19)</f>
        <v>453.93016095386713</v>
      </c>
      <c r="CU59" s="214">
        <f>IF(AND(($E59+$C$1)&gt;CU$4,CU$4&gt;=$C$1),$H59,IF(AND(($D59+$C$1)&gt;CU$4,CU$4&gt;=$C$1),$G59,0))*IF($A59="Residential",'General Inputs'!G$15,'General Inputs'!G$19)</f>
        <v>460.73911336817508</v>
      </c>
      <c r="CV59" s="214">
        <f>IF(AND(($E59+$C$1)&gt;CV$4,CV$4&gt;=$C$1),$H59,IF(AND(($D59+$C$1)&gt;CV$4,CV$4&gt;=$C$1),$G59,0))*IF($A59="Residential",'General Inputs'!H$15,'General Inputs'!H$19)</f>
        <v>467.65020006869759</v>
      </c>
      <c r="CW59" s="214">
        <f>IF(AND(($E59+$C$1)&gt;CW$4,CW$4&gt;=$C$1),$H59,IF(AND(($D59+$C$1)&gt;CW$4,CW$4&gt;=$C$1),$G59,0))*IF($A59="Residential",'General Inputs'!I$15,'General Inputs'!I$19)</f>
        <v>474.66495306972797</v>
      </c>
      <c r="CX59" s="214">
        <f>IF(AND(($E59+$C$1)&gt;CX$4,CX$4&gt;=$C$1),$H59,IF(AND(($D59+$C$1)&gt;CX$4,CX$4&gt;=$C$1),$G59,0))*IF($A59="Residential",'General Inputs'!J$15,'General Inputs'!J$19)</f>
        <v>481.78492736577391</v>
      </c>
      <c r="CY59" s="214">
        <f>IF(AND(($E59+$C$1)&gt;CY$4,CY$4&gt;=$C$1),$H59,IF(AND(($D59+$C$1)&gt;CY$4,CY$4&gt;=$C$1),$G59,0))*IF($A59="Residential",'General Inputs'!K$15,'General Inputs'!K$19)</f>
        <v>489.01170127626045</v>
      </c>
      <c r="CZ59" s="214">
        <f>IF(AND(($E59+$C$1)&gt;CZ$4,CZ$4&gt;=$C$1),$H59,IF(AND(($D59+$C$1)&gt;CZ$4,CZ$4&gt;=$C$1),$G59,0))*IF($A59="Residential",'General Inputs'!L$15,'General Inputs'!L$19)</f>
        <v>496.34687679540428</v>
      </c>
      <c r="DA59" s="214">
        <f>IF(AND(($E59+$C$1)&gt;DA$4,DA$4&gt;=$C$1),$H59,IF(AND(($D59+$C$1)&gt;DA$4,DA$4&gt;=$C$1),$G59,0))*IF($A59="Residential",'General Inputs'!M$15,'General Inputs'!M$19)</f>
        <v>503.79207994733531</v>
      </c>
      <c r="DB59" s="214">
        <f>IF(AND(($E59+$C$1)&gt;DB$4,DB$4&gt;=$C$1),$H59,IF(AND(($D59+$C$1)&gt;DB$4,DB$4&gt;=$C$1),$G59,0))*IF($A59="Residential",'General Inputs'!N$15,'General Inputs'!N$19)</f>
        <v>511.34896114654532</v>
      </c>
      <c r="DC59" s="214">
        <f>IF(AND(($E59+$C$1)&gt;DC$4,DC$4&gt;=$C$1),$H59,IF(AND(($D59+$C$1)&gt;DC$4,DC$4&gt;=$C$1),$G59,0))*IF($A59="Residential",'General Inputs'!O$15,'General Inputs'!O$19)</f>
        <v>519.01919556374344</v>
      </c>
      <c r="DD59" s="214">
        <f>IF(AND(($E59+$C$1)&gt;DD$4,DD$4&gt;=$C$1),$H59,IF(AND(($D59+$C$1)&gt;DD$4,DD$4&gt;=$C$1),$G59,0))*IF($A59="Residential",'General Inputs'!P$15,'General Inputs'!P$19)</f>
        <v>526.80448349719961</v>
      </c>
      <c r="DE59" s="214">
        <f>IF(AND(($E59+$C$1)&gt;DE$4,DE$4&gt;=$C$1),$H59,IF(AND(($D59+$C$1)&gt;DE$4,DE$4&gt;=$C$1),$G59,0))*IF($A59="Residential",'General Inputs'!Q$15,'General Inputs'!Q$19)</f>
        <v>534.70655074965748</v>
      </c>
      <c r="DF59" s="214">
        <f>IF(AND(($E59+$C$1)&gt;DF$4,DF$4&gt;=$C$1),$H59,IF(AND(($D59+$C$1)&gt;DF$4,DF$4&gt;=$C$1),$G59,0))*IF($A59="Residential",'General Inputs'!R$15,'General Inputs'!R$19)</f>
        <v>542.72714901090228</v>
      </c>
      <c r="DG59" s="214">
        <f>IF(AND(($E59+$C$1)&gt;DG$4,DG$4&gt;=$C$1),$H59,IF(AND(($D59+$C$1)&gt;DG$4,DG$4&gt;=$C$1),$G59,0))*IF($A59="Residential",'General Inputs'!S$15,'General Inputs'!S$19)</f>
        <v>550.86805624606586</v>
      </c>
      <c r="DH59" s="214">
        <f>IF(AND(($E59+$C$1)&gt;DH$4,DH$4&gt;=$C$1),$H59,IF(AND(($D59+$C$1)&gt;DH$4,DH$4&gt;=$C$1),$G59,0))*IF($A59="Residential",'General Inputs'!T$15,'General Inputs'!T$19)</f>
        <v>559.13107708975679</v>
      </c>
      <c r="DI59" s="214">
        <f>IF(AND(($E59+$C$1)&gt;DI$4,DI$4&gt;=$C$1),$H59,IF(AND(($D59+$C$1)&gt;DI$4,DI$4&gt;=$C$1),$G59,0))*IF($A59="Residential",'General Inputs'!U$15,'General Inputs'!U$19)</f>
        <v>567.51804324610305</v>
      </c>
      <c r="DJ59" s="214">
        <f>IF(AND(($E59+$C$1)&gt;DJ$4,DJ$4&gt;=$C$1),$H59,IF(AND(($D59+$C$1)&gt;DJ$4,DJ$4&gt;=$C$1),$G59,0))*IF($A59="Residential",'General Inputs'!V$15,'General Inputs'!V$19)</f>
        <v>576.03081389479451</v>
      </c>
      <c r="DK59" s="214">
        <f>IF(AND(($E59+$C$1)&gt;DK$4,DK$4&gt;=$C$1),$H59,IF(AND(($D59+$C$1)&gt;DK$4,DK$4&gt;=$C$1),$G59,0))*IF($A59="Residential",'General Inputs'!W$15,'General Inputs'!W$19)</f>
        <v>584.67127610321643</v>
      </c>
      <c r="DM59" s="214">
        <f t="shared" si="99"/>
        <v>0</v>
      </c>
      <c r="DN59" s="214">
        <f t="shared" si="99"/>
        <v>0</v>
      </c>
      <c r="DO59" s="214">
        <f t="shared" si="99"/>
        <v>306</v>
      </c>
      <c r="DP59" s="214">
        <f t="shared" si="99"/>
        <v>0</v>
      </c>
      <c r="DQ59" s="214">
        <f t="shared" si="99"/>
        <v>0</v>
      </c>
      <c r="DR59" s="214">
        <f t="shared" si="99"/>
        <v>0</v>
      </c>
      <c r="DS59" s="214">
        <f t="shared" si="99"/>
        <v>0</v>
      </c>
      <c r="DT59" s="214">
        <f t="shared" si="99"/>
        <v>0</v>
      </c>
      <c r="DU59" s="214">
        <f t="shared" si="99"/>
        <v>0</v>
      </c>
      <c r="DV59" s="214">
        <f t="shared" si="99"/>
        <v>0</v>
      </c>
      <c r="DW59" s="214">
        <f t="shared" si="99"/>
        <v>0</v>
      </c>
      <c r="DZ59" s="650"/>
      <c r="FI59" s="195"/>
      <c r="FJ59" s="195"/>
      <c r="FK59" s="195"/>
      <c r="FL59" s="195"/>
      <c r="FM59" s="195"/>
      <c r="FN59" s="195"/>
      <c r="FO59" s="195"/>
    </row>
    <row r="60" spans="1:171">
      <c r="A60" s="342" t="s">
        <v>112</v>
      </c>
      <c r="B60" s="427" t="str">
        <f>'Portfolio Inputs'!A59</f>
        <v>High Bay Fluorescent Fixture (replace 1000 W HID)</v>
      </c>
      <c r="C60" s="217">
        <f>IF($C$1=2014,'Portfolio Inputs'!$C59,IF($C$1=2015,'Portfolio Inputs'!$D59,'Portfolio Inputs'!$E59))</f>
        <v>3</v>
      </c>
      <c r="D60" s="504">
        <f>VLOOKUP(B60,Sources!$B$4:$J$104,2,FALSE)</f>
        <v>18</v>
      </c>
      <c r="E60" s="504">
        <f>VLOOKUP(B60,Sources!$B$4:$J$104,3,FALSE)</f>
        <v>0</v>
      </c>
      <c r="G60" s="504">
        <f>IF($C$1=2014,'Portfolio Inputs'!$G59,IF($C$1=2015,'Portfolio Inputs'!$H59,'Portfolio Inputs'!$I59))*EnergyLineLoss</f>
        <v>8505.1683899999989</v>
      </c>
      <c r="H60" s="504"/>
      <c r="I60" s="595">
        <f>IF($C$1=2014,'Portfolio Inputs'!$K59,IF($C$1=2015,'Portfolio Inputs'!$L59,'Portfolio Inputs'!$M59))*PeakLineLoss</f>
        <v>1.3151492640000002</v>
      </c>
      <c r="J60" s="510"/>
      <c r="L60" s="606">
        <f>IF($C$1=2014,'Portfolio Inputs'!$O59,IF($C$1=2015,'Portfolio Inputs'!$P59,'Portfolio Inputs'!$Q59))</f>
        <v>169</v>
      </c>
      <c r="M60" s="518">
        <f>VLOOKUP($B60,Sources!$B$4:$K$104,10,FALSE)</f>
        <v>0</v>
      </c>
      <c r="N60" s="419">
        <f>IF($C$1=2014,'Portfolio Inputs'!$W59,IF($C$1=2015,'Portfolio Inputs'!$X59,'Portfolio Inputs'!$Y59))</f>
        <v>375</v>
      </c>
      <c r="O60" s="419">
        <f>IF($C$1=2014,'Portfolio Inputs'!$AA59,IF($C$1=2015,'Portfolio Inputs'!$AB59,'Portfolio Inputs'!$AC59))</f>
        <v>0</v>
      </c>
      <c r="Q60" s="438">
        <f t="shared" si="67"/>
        <v>7.7238169111300667</v>
      </c>
      <c r="R60" s="439">
        <f t="shared" si="68"/>
        <v>10.442600463847851</v>
      </c>
      <c r="S60" s="439">
        <f t="shared" si="69"/>
        <v>9.5658773830159962</v>
      </c>
      <c r="T60" s="439">
        <f t="shared" si="70"/>
        <v>19.892907015834474</v>
      </c>
      <c r="U60" s="439">
        <f t="shared" si="98"/>
        <v>19.892907015834474</v>
      </c>
      <c r="V60" s="439">
        <f t="shared" si="72"/>
        <v>0.38826989464043732</v>
      </c>
      <c r="W60" s="439">
        <f t="shared" si="73"/>
        <v>0.38826989464043732</v>
      </c>
      <c r="Y60" s="215">
        <f t="shared" si="4"/>
        <v>3305.6956297607417</v>
      </c>
      <c r="Z60" s="215">
        <f t="shared" si="5"/>
        <v>788.37850789725712</v>
      </c>
      <c r="AA60" s="215">
        <f t="shared" si="6"/>
        <v>8197.353117986393</v>
      </c>
      <c r="AB60" s="215">
        <f t="shared" si="7"/>
        <v>8197.353117986393</v>
      </c>
      <c r="AC60" s="216">
        <f t="shared" si="20"/>
        <v>0</v>
      </c>
      <c r="AD60" s="216">
        <f t="shared" si="21"/>
        <v>316.55866191615945</v>
      </c>
      <c r="AE60" s="215">
        <f t="shared" si="8"/>
        <v>427.98731091064758</v>
      </c>
      <c r="AG60" s="214">
        <f>IF(AND(($E60+$C$1)&gt;AG$4,AG$4&gt;=$C$1),'General Inputs'!D$9*$H60,IF(AND(($D60+$C$1)&gt;AG$4,AG$4&gt;=$C$1),'General Inputs'!D$9*$G60,0))+IF(AND(($E60+$C$1)&gt;AG$4,AG$4&gt;=$C$1),'General Inputs'!D$10*$J60,IF(AND(($D60+$C$1)&gt;AG$4,AG$4&gt;=$C$1),'General Inputs'!D$10*$I60,0))</f>
        <v>0</v>
      </c>
      <c r="AH60" s="214">
        <f>IF(AND(($E60+$C$1)&gt;AH$4,AH$4&gt;=$C$1),'General Inputs'!E$9*$H60,IF(AND(($D60+$C$1)&gt;AH$4,AH$4&gt;=$C$1),'General Inputs'!E$9*$G60,0))+IF(AND(($E60+$C$1)&gt;AH$4,AH$4&gt;=$C$1),'General Inputs'!E$10*$J60,IF(AND(($D60+$C$1)&gt;AH$4,AH$4&gt;=$C$1),'General Inputs'!E$10*$I60,0))</f>
        <v>0</v>
      </c>
      <c r="AI60" s="214">
        <f>IF(AND(($E60+$C$1)&gt;AI$4,AI$4&gt;=$C$1),'General Inputs'!F$9*$H60,IF(AND(($D60+$C$1)&gt;AI$4,AI$4&gt;=$C$1),'General Inputs'!F$9*$G60,0))+IF(AND(($E60+$C$1)&gt;AI$4,AI$4&gt;=$C$1),'General Inputs'!F$10*$J60,IF(AND(($D60+$C$1)&gt;AI$4,AI$4&gt;=$C$1),'General Inputs'!F$10*$I60,0))</f>
        <v>369.13286717749918</v>
      </c>
      <c r="AJ60" s="214">
        <f>IF(AND(($E60+$C$1)&gt;AJ$4,AJ$4&gt;=$C$1),'General Inputs'!G$9*$H60,IF(AND(($D60+$C$1)&gt;AJ$4,AJ$4&gt;=$C$1),'General Inputs'!G$9*$G60,0))+IF(AND(($E60+$C$1)&gt;AJ$4,AJ$4&gt;=$C$1),'General Inputs'!G$10*$J60,IF(AND(($D60+$C$1)&gt;AJ$4,AJ$4&gt;=$C$1),'General Inputs'!G$10*$I60,0))</f>
        <v>374.66986018516167</v>
      </c>
      <c r="AK60" s="214">
        <f>IF(AND(($E60+$C$1)&gt;AK$4,AK$4&gt;=$C$1),'General Inputs'!H$9*$H60,IF(AND(($D60+$C$1)&gt;AK$4,AK$4&gt;=$C$1),'General Inputs'!H$9*$G60,0))+IF(AND(($E60+$C$1)&gt;AK$4,AK$4&gt;=$C$1),'General Inputs'!H$10*$J60,IF(AND(($D60+$C$1)&gt;AK$4,AK$4&gt;=$C$1),'General Inputs'!H$10*$I60,0))</f>
        <v>380.28990808793901</v>
      </c>
      <c r="AL60" s="214">
        <f>IF(AND(($E60+$C$1)&gt;AL$4,AL$4&gt;=$C$1),'General Inputs'!I$9*$H60,IF(AND(($D60+$C$1)&gt;AL$4,AL$4&gt;=$C$1),'General Inputs'!I$9*$G60,0))+IF(AND(($E60+$C$1)&gt;AL$4,AL$4&gt;=$C$1),'General Inputs'!I$10*$J60,IF(AND(($D60+$C$1)&gt;AL$4,AL$4&gt;=$C$1),'General Inputs'!I$10*$I60,0))</f>
        <v>385.99425670925802</v>
      </c>
      <c r="AM60" s="214">
        <f>IF(AND(($E60+$C$1)&gt;AM$4,AM$4&gt;=$C$1),'General Inputs'!J$9*$H60,IF(AND(($D60+$C$1)&gt;AM$4,AM$4&gt;=$C$1),'General Inputs'!J$9*$G60,0))+IF(AND(($E60+$C$1)&gt;AM$4,AM$4&gt;=$C$1),'General Inputs'!J$10*$J60,IF(AND(($D60+$C$1)&gt;AM$4,AM$4&gt;=$C$1),'General Inputs'!J$10*$I60,0))</f>
        <v>391.78417055989684</v>
      </c>
      <c r="AN60" s="214">
        <f>IF(AND(($E60+$C$1)&gt;AN$4,AN$4&gt;=$C$1),'General Inputs'!K$9*$H60,IF(AND(($D60+$C$1)&gt;AN$4,AN$4&gt;=$C$1),'General Inputs'!K$9*$G60,0))+IF(AND(($E60+$C$1)&gt;AN$4,AN$4&gt;=$C$1),'General Inputs'!K$10*$J60,IF(AND(($D60+$C$1)&gt;AN$4,AN$4&gt;=$C$1),'General Inputs'!K$10*$I60,0))</f>
        <v>397.66093311829519</v>
      </c>
      <c r="AO60" s="214">
        <f>IF(AND(($E60+$C$1)&gt;AO$4,AO$4&gt;=$C$1),'General Inputs'!L$9*$H60,IF(AND(($D60+$C$1)&gt;AO$4,AO$4&gt;=$C$1),'General Inputs'!L$9*$G60,0))+IF(AND(($E60+$C$1)&gt;AO$4,AO$4&gt;=$C$1),'General Inputs'!L$10*$J60,IF(AND(($D60+$C$1)&gt;AO$4,AO$4&gt;=$C$1),'General Inputs'!L$10*$I60,0))</f>
        <v>403.62584711506963</v>
      </c>
      <c r="AP60" s="214">
        <f>IF(AND(($E60+$C$1)&gt;AP$4,AP$4&gt;=$C$1),'General Inputs'!M$9*$H60,IF(AND(($D60+$C$1)&gt;AP$4,AP$4&gt;=$C$1),'General Inputs'!M$9*$G60,0))+IF(AND(($E60+$C$1)&gt;AP$4,AP$4&gt;=$C$1),'General Inputs'!M$10*$J60,IF(AND(($D60+$C$1)&gt;AP$4,AP$4&gt;=$C$1),'General Inputs'!M$10*$I60,0))</f>
        <v>409.68023482179564</v>
      </c>
      <c r="AQ60" s="214">
        <f>IF(AND(($E60+$C$1)&gt;AQ$4,AQ$4&gt;=$C$1),'General Inputs'!N$9*$H60,IF(AND(($D60+$C$1)&gt;AQ$4,AQ$4&gt;=$C$1),'General Inputs'!N$9*$G60,0))+IF(AND(($E60+$C$1)&gt;AQ$4,AQ$4&gt;=$C$1),'General Inputs'!N$10*$J60,IF(AND(($D60+$C$1)&gt;AQ$4,AQ$4&gt;=$C$1),'General Inputs'!N$10*$I60,0))</f>
        <v>415.82543834412252</v>
      </c>
      <c r="AR60" s="214">
        <f>IF(AND(($E60+$C$1)&gt;AR$4,AR$4&gt;=$C$1),'General Inputs'!O$9*$H60,IF(AND(($D60+$C$1)&gt;AR$4,AR$4&gt;=$C$1),'General Inputs'!O$9*$G60,0))+IF(AND(($E60+$C$1)&gt;AR$4,AR$4&gt;=$C$1),'General Inputs'!O$10*$J60,IF(AND(($D60+$C$1)&gt;AR$4,AR$4&gt;=$C$1),'General Inputs'!O$10*$I60,0))</f>
        <v>422.06281991928432</v>
      </c>
      <c r="AS60" s="214">
        <f>IF(AND(($E60+$C$1)&gt;AS$4,AS$4&gt;=$C$1),'General Inputs'!P$9*$H60,IF(AND(($D60+$C$1)&gt;AS$4,AS$4&gt;=$C$1),'General Inputs'!P$9*$G60,0))+IF(AND(($E60+$C$1)&gt;AS$4,AS$4&gt;=$C$1),'General Inputs'!P$10*$J60,IF(AND(($D60+$C$1)&gt;AS$4,AS$4&gt;=$C$1),'General Inputs'!P$10*$I60,0))</f>
        <v>428.39376221807356</v>
      </c>
      <c r="AT60" s="214">
        <f>IF(AND(($E60+$C$1)&gt;AT$4,AT$4&gt;=$C$1),'General Inputs'!Q$9*$H60,IF(AND(($D60+$C$1)&gt;AT$4,AT$4&gt;=$C$1),'General Inputs'!Q$9*$G60,0))+IF(AND(($E60+$C$1)&gt;AT$4,AT$4&gt;=$C$1),'General Inputs'!Q$10*$J60,IF(AND(($D60+$C$1)&gt;AT$4,AT$4&gt;=$C$1),'General Inputs'!Q$10*$I60,0))</f>
        <v>434.81966865134461</v>
      </c>
      <c r="AU60" s="214">
        <f>IF(AND(($E60+$C$1)&gt;AU$4,AU$4&gt;=$C$1),'General Inputs'!R$9*$H60,IF(AND(($D60+$C$1)&gt;AU$4,AU$4&gt;=$C$1),'General Inputs'!R$9*$G60,0))+IF(AND(($E60+$C$1)&gt;AU$4,AU$4&gt;=$C$1),'General Inputs'!R$10*$J60,IF(AND(($D60+$C$1)&gt;AU$4,AU$4&gt;=$C$1),'General Inputs'!R$10*$I60,0))</f>
        <v>441.34196368111475</v>
      </c>
      <c r="AV60" s="214">
        <f>IF(AND(($E60+$C$1)&gt;AV$4,AV$4&gt;=$C$1),'General Inputs'!S$9*$H60,IF(AND(($D60+$C$1)&gt;AV$4,AV$4&gt;=$C$1),'General Inputs'!S$9*$G60,0))+IF(AND(($E60+$C$1)&gt;AV$4,AV$4&gt;=$C$1),'General Inputs'!S$10*$J60,IF(AND(($D60+$C$1)&gt;AV$4,AV$4&gt;=$C$1),'General Inputs'!S$10*$I60,0))</f>
        <v>447.96209313633148</v>
      </c>
      <c r="AW60" s="214">
        <f>IF(AND(($E60+$C$1)&gt;AW$4,AW$4&gt;=$C$1),'General Inputs'!T$9*$H60,IF(AND(($D60+$C$1)&gt;AW$4,AW$4&gt;=$C$1),'General Inputs'!T$9*$G60,0))+IF(AND(($E60+$C$1)&gt;AW$4,AW$4&gt;=$C$1),'General Inputs'!T$10*$J60,IF(AND(($D60+$C$1)&gt;AW$4,AW$4&gt;=$C$1),'General Inputs'!T$10*$I60,0))</f>
        <v>454.68152453337638</v>
      </c>
      <c r="AX60" s="214">
        <f>IF(AND(($E60+$C$1)&gt;AX$4,AX$4&gt;=$C$1),'General Inputs'!U$9*$H60,IF(AND(($D60+$C$1)&gt;AX$4,AX$4&gt;=$C$1),'General Inputs'!U$9*$G60,0))+IF(AND(($E60+$C$1)&gt;AX$4,AX$4&gt;=$C$1),'General Inputs'!U$10*$J60,IF(AND(($D60+$C$1)&gt;AX$4,AX$4&gt;=$C$1),'General Inputs'!U$10*$I60,0))</f>
        <v>461.50174740137703</v>
      </c>
      <c r="AY60" s="214">
        <f>IF(AND(($E60+$C$1)&gt;AY$4,AY$4&gt;=$C$1),'General Inputs'!V$9*$H60,IF(AND(($D60+$C$1)&gt;AY$4,AY$4&gt;=$C$1),'General Inputs'!V$9*$G60,0))+IF(AND(($E60+$C$1)&gt;AY$4,AY$4&gt;=$C$1),'General Inputs'!V$10*$J60,IF(AND(($D60+$C$1)&gt;AY$4,AY$4&gt;=$C$1),'General Inputs'!V$10*$I60,0))</f>
        <v>468.42427361239766</v>
      </c>
      <c r="AZ60" s="214">
        <f>IF(AND(($E60+$C$1)&gt;AZ$4,AZ$4&gt;=$C$1),'General Inputs'!W$9*$H60,IF(AND(($D60+$C$1)&gt;AZ$4,AZ$4&gt;=$C$1),'General Inputs'!W$9*$G60,0))+IF(AND(($E60+$C$1)&gt;AZ$4,AZ$4&gt;=$C$1),'General Inputs'!W$10*$J60,IF(AND(($D60+$C$1)&gt;AZ$4,AZ$4&gt;=$C$1),'General Inputs'!W$10*$I60,0))</f>
        <v>475.45063771658357</v>
      </c>
      <c r="BB60" s="214">
        <f>IF(AND(($E60+$C$1)&gt;BB$4,BB$4&gt;=$C$1),'General Inputs'!D$11*$H60,IF(AND(($D60+$C$1)&gt;BB$4,BB$4&gt;=$C$1),'General Inputs'!D$11*$G60,0))</f>
        <v>0</v>
      </c>
      <c r="BC60" s="214">
        <f>IF(AND(($E60+$C$1)&gt;BC$4,BC$4&gt;=$C$1),'General Inputs'!E$11*$H60,IF(AND(($D60+$C$1)&gt;BC$4,BC$4&gt;=$C$1),'General Inputs'!E$11*$G60,0))</f>
        <v>0</v>
      </c>
      <c r="BD60" s="214">
        <f>IF(AND(($E60+$C$1)&gt;BD$4,BD$4&gt;=$C$1),'General Inputs'!F$11*$H60,IF(AND(($D60+$C$1)&gt;BD$4,BD$4&gt;=$C$1),'General Inputs'!F$11*$G60,0))</f>
        <v>96.958919645999984</v>
      </c>
      <c r="BE60" s="214">
        <f>IF(AND(($E60+$C$1)&gt;BE$4,BE$4&gt;=$C$1),'General Inputs'!G$11*$H60,IF(AND(($D60+$C$1)&gt;BE$4,BE$4&gt;=$C$1),'General Inputs'!G$11*$G60,0))</f>
        <v>96.958919645999984</v>
      </c>
      <c r="BF60" s="214">
        <f>IF(AND(($E60+$C$1)&gt;BF$4,BF$4&gt;=$C$1),'General Inputs'!H$11*$H60,IF(AND(($D60+$C$1)&gt;BF$4,BF$4&gt;=$C$1),'General Inputs'!H$11*$G60,0))</f>
        <v>96.958919645999984</v>
      </c>
      <c r="BG60" s="214">
        <f>IF(AND(($E60+$C$1)&gt;BG$4,BG$4&gt;=$C$1),'General Inputs'!I$11*$H60,IF(AND(($D60+$C$1)&gt;BG$4,BG$4&gt;=$C$1),'General Inputs'!I$11*$G60,0))</f>
        <v>96.958919645999984</v>
      </c>
      <c r="BH60" s="214">
        <f>IF(AND(($E60+$C$1)&gt;BH$4,BH$4&gt;=$C$1),'General Inputs'!J$11*$H60,IF(AND(($D60+$C$1)&gt;BH$4,BH$4&gt;=$C$1),'General Inputs'!J$11*$G60,0))</f>
        <v>96.958919645999984</v>
      </c>
      <c r="BI60" s="214">
        <f>IF(AND(($E60+$C$1)&gt;BI$4,BI$4&gt;=$C$1),'General Inputs'!K$11*$H60,IF(AND(($D60+$C$1)&gt;BI$4,BI$4&gt;=$C$1),'General Inputs'!K$11*$G60,0))</f>
        <v>96.958919645999984</v>
      </c>
      <c r="BJ60" s="214">
        <f>IF(AND(($E60+$C$1)&gt;BJ$4,BJ$4&gt;=$C$1),'General Inputs'!L$11*$H60,IF(AND(($D60+$C$1)&gt;BJ$4,BJ$4&gt;=$C$1),'General Inputs'!L$11*$G60,0))</f>
        <v>96.958919645999984</v>
      </c>
      <c r="BK60" s="214">
        <f>IF(AND(($E60+$C$1)&gt;BK$4,BK$4&gt;=$C$1),'General Inputs'!M$11*$H60,IF(AND(($D60+$C$1)&gt;BK$4,BK$4&gt;=$C$1),'General Inputs'!M$11*$G60,0))</f>
        <v>96.958919645999984</v>
      </c>
      <c r="BL60" s="214">
        <f>IF(AND(($E60+$C$1)&gt;BL$4,BL$4&gt;=$C$1),'General Inputs'!N$11*$H60,IF(AND(($D60+$C$1)&gt;BL$4,BL$4&gt;=$C$1),'General Inputs'!N$11*$G60,0))</f>
        <v>96.958919645999984</v>
      </c>
      <c r="BM60" s="214">
        <f>IF(AND(($E60+$C$1)&gt;BM$4,BM$4&gt;=$C$1),'General Inputs'!O$11*$H60,IF(AND(($D60+$C$1)&gt;BM$4,BM$4&gt;=$C$1),'General Inputs'!O$11*$G60,0))</f>
        <v>96.958919645999984</v>
      </c>
      <c r="BN60" s="214">
        <f>IF(AND(($E60+$C$1)&gt;BN$4,BN$4&gt;=$C$1),'General Inputs'!P$11*$H60,IF(AND(($D60+$C$1)&gt;BN$4,BN$4&gt;=$C$1),'General Inputs'!P$11*$G60,0))</f>
        <v>96.958919645999984</v>
      </c>
      <c r="BO60" s="214">
        <f>IF(AND(($E60+$C$1)&gt;BO$4,BO$4&gt;=$C$1),'General Inputs'!Q$11*$H60,IF(AND(($D60+$C$1)&gt;BO$4,BO$4&gt;=$C$1),'General Inputs'!Q$11*$G60,0))</f>
        <v>96.958919645999984</v>
      </c>
      <c r="BP60" s="214">
        <f>IF(AND(($E60+$C$1)&gt;BP$4,BP$4&gt;=$C$1),'General Inputs'!R$11*$H60,IF(AND(($D60+$C$1)&gt;BP$4,BP$4&gt;=$C$1),'General Inputs'!R$11*$G60,0))</f>
        <v>96.958919645999984</v>
      </c>
      <c r="BQ60" s="214">
        <f>IF(AND(($E60+$C$1)&gt;BQ$4,BQ$4&gt;=$C$1),'General Inputs'!S$11*$H60,IF(AND(($D60+$C$1)&gt;BQ$4,BQ$4&gt;=$C$1),'General Inputs'!S$11*$G60,0))</f>
        <v>96.958919645999984</v>
      </c>
      <c r="BR60" s="214">
        <f>IF(AND(($E60+$C$1)&gt;BR$4,BR$4&gt;=$C$1),'General Inputs'!T$11*$H60,IF(AND(($D60+$C$1)&gt;BR$4,BR$4&gt;=$C$1),'General Inputs'!T$11*$G60,0))</f>
        <v>96.958919645999984</v>
      </c>
      <c r="BS60" s="214">
        <f>IF(AND(($E60+$C$1)&gt;BS$4,BS$4&gt;=$C$1),'General Inputs'!U$11*$H60,IF(AND(($D60+$C$1)&gt;BS$4,BS$4&gt;=$C$1),'General Inputs'!U$11*$G60,0))</f>
        <v>96.958919645999984</v>
      </c>
      <c r="BT60" s="214">
        <f>IF(AND(($E60+$C$1)&gt;BT$4,BT$4&gt;=$C$1),'General Inputs'!V$11*$H60,IF(AND(($D60+$C$1)&gt;BT$4,BT$4&gt;=$C$1),'General Inputs'!V$11*$G60,0))</f>
        <v>96.958919645999984</v>
      </c>
      <c r="BU60" s="214">
        <f>IF(AND(($E60+$C$1)&gt;BU$4,BU$4&gt;=$C$1),'General Inputs'!W$11*$H60,IF(AND(($D60+$C$1)&gt;BU$4,BU$4&gt;=$C$1),'General Inputs'!W$11*$G60,0))</f>
        <v>96.958919645999984</v>
      </c>
      <c r="BW60" s="214">
        <f>IF(AND(($E60+$C$1)&gt;BW$4,BW$4&gt;=$C$1),$H60,IF(AND(($D60+$C$1)&gt;BW$4,BW$4&gt;=$C$1),$G60,0))*IF($A60="Residential",'General Inputs'!D$14,'General Inputs'!D$19)</f>
        <v>0</v>
      </c>
      <c r="BX60" s="214">
        <f>IF(AND(($E60+$C$1)&gt;BX$4,BX$4&gt;=$C$1),$H60,IF(AND(($D60+$C$1)&gt;BX$4,BX$4&gt;=$C$1),$G60,0))*IF($A60="Residential",'General Inputs'!E$14,'General Inputs'!E$19)</f>
        <v>0</v>
      </c>
      <c r="BY60" s="214">
        <f>IF(AND(($E60+$C$1)&gt;BY$4,BY$4&gt;=$C$1),$H60,IF(AND(($D60+$C$1)&gt;BY$4,BY$4&gt;=$C$1),$G60,0))*IF($A60="Residential",'General Inputs'!F$14,'General Inputs'!F$19)</f>
        <v>915.3632997747402</v>
      </c>
      <c r="BZ60" s="214">
        <f>IF(AND(($E60+$C$1)&gt;BZ$4,BZ$4&gt;=$C$1),$H60,IF(AND(($D60+$C$1)&gt;BZ$4,BZ$4&gt;=$C$1),$G60,0))*IF($A60="Residential",'General Inputs'!G$14,'General Inputs'!G$19)</f>
        <v>929.09374927136116</v>
      </c>
      <c r="CA60" s="214">
        <f>IF(AND(($E60+$C$1)&gt;CA$4,CA$4&gt;=$C$1),$H60,IF(AND(($D60+$C$1)&gt;CA$4,CA$4&gt;=$C$1),$G60,0))*IF($A60="Residential",'General Inputs'!H$14,'General Inputs'!H$19)</f>
        <v>943.03015551043131</v>
      </c>
      <c r="CB60" s="214">
        <f>IF(AND(($E60+$C$1)&gt;CB$4,CB$4&gt;=$C$1),$H60,IF(AND(($D60+$C$1)&gt;CB$4,CB$4&gt;=$C$1),$G60,0))*IF($A60="Residential",'General Inputs'!I$14,'General Inputs'!I$19)</f>
        <v>957.17560784308762</v>
      </c>
      <c r="CC60" s="214">
        <f>IF(AND(($E60+$C$1)&gt;CC$4,CC$4&gt;=$C$1),$H60,IF(AND(($D60+$C$1)&gt;CC$4,CC$4&gt;=$C$1),$G60,0))*IF($A60="Residential",'General Inputs'!J$14,'General Inputs'!J$19)</f>
        <v>971.53324196073402</v>
      </c>
      <c r="CD60" s="214">
        <f>IF(AND(($E60+$C$1)&gt;CD$4,CD$4&gt;=$C$1),$H60,IF(AND(($D60+$C$1)&gt;CD$4,CD$4&gt;=$C$1),$G60,0))*IF($A60="Residential",'General Inputs'!K$14,'General Inputs'!K$19)</f>
        <v>986.10624059014481</v>
      </c>
      <c r="CE60" s="214">
        <f>IF(AND(($E60+$C$1)&gt;CE$4,CE$4&gt;=$C$1),$H60,IF(AND(($D60+$C$1)&gt;CE$4,CE$4&gt;=$C$1),$G60,0))*IF($A60="Residential",'General Inputs'!L$14,'General Inputs'!L$19)</f>
        <v>1000.897834198997</v>
      </c>
      <c r="CF60" s="214">
        <f>IF(AND(($E60+$C$1)&gt;CF$4,CF$4&gt;=$C$1),$H60,IF(AND(($D60+$C$1)&gt;CF$4,CF$4&gt;=$C$1),$G60,0))*IF($A60="Residential",'General Inputs'!M$14,'General Inputs'!M$19)</f>
        <v>1015.9113017119818</v>
      </c>
      <c r="CG60" s="214">
        <f>IF(AND(($E60+$C$1)&gt;CG$4,CG$4&gt;=$C$1),$H60,IF(AND(($D60+$C$1)&gt;CG$4,CG$4&gt;=$C$1),$G60,0))*IF($A60="Residential",'General Inputs'!N$14,'General Inputs'!N$19)</f>
        <v>1031.1499712376615</v>
      </c>
      <c r="CH60" s="214">
        <f>IF(AND(($E60+$C$1)&gt;CH$4,CH$4&gt;=$C$1),$H60,IF(AND(($D60+$C$1)&gt;CH$4,CH$4&gt;=$C$1),$G60,0))*IF($A60="Residential",'General Inputs'!O$14,'General Inputs'!O$19)</f>
        <v>1046.6172208062262</v>
      </c>
      <c r="CI60" s="214">
        <f>IF(AND(($E60+$C$1)&gt;CI$4,CI$4&gt;=$C$1),$H60,IF(AND(($D60+$C$1)&gt;CI$4,CI$4&gt;=$C$1),$G60,0))*IF($A60="Residential",'General Inputs'!P$14,'General Inputs'!P$19)</f>
        <v>1062.3164791183196</v>
      </c>
      <c r="CJ60" s="214">
        <f>IF(AND(($E60+$C$1)&gt;CJ$4,CJ$4&gt;=$C$1),$H60,IF(AND(($D60+$C$1)&gt;CJ$4,CJ$4&gt;=$C$1),$G60,0))*IF($A60="Residential",'General Inputs'!Q$14,'General Inputs'!Q$19)</f>
        <v>1078.2512263050942</v>
      </c>
      <c r="CK60" s="214">
        <f>IF(AND(($E60+$C$1)&gt;CK$4,CK$4&gt;=$C$1),$H60,IF(AND(($D60+$C$1)&gt;CK$4,CK$4&gt;=$C$1),$G60,0))*IF($A60="Residential",'General Inputs'!R$14,'General Inputs'!R$19)</f>
        <v>1094.4249946996706</v>
      </c>
      <c r="CL60" s="214">
        <f>IF(AND(($E60+$C$1)&gt;CL$4,CL$4&gt;=$C$1),$H60,IF(AND(($D60+$C$1)&gt;CL$4,CL$4&gt;=$C$1),$G60,0))*IF($A60="Residential",'General Inputs'!S$14,'General Inputs'!S$19)</f>
        <v>1110.8413696201656</v>
      </c>
      <c r="CM60" s="214">
        <f>IF(AND(($E60+$C$1)&gt;CM$4,CM$4&gt;=$C$1),$H60,IF(AND(($D60+$C$1)&gt;CM$4,CM$4&gt;=$C$1),$G60,0))*IF($A60="Residential",'General Inputs'!T$14,'General Inputs'!T$19)</f>
        <v>1127.503990164468</v>
      </c>
      <c r="CN60" s="214">
        <f>IF(AND(($E60+$C$1)&gt;CN$4,CN$4&gt;=$C$1),$H60,IF(AND(($D60+$C$1)&gt;CN$4,CN$4&gt;=$C$1),$G60,0))*IF($A60="Residential",'General Inputs'!U$14,'General Inputs'!U$19)</f>
        <v>1144.4165500169347</v>
      </c>
      <c r="CO60" s="214">
        <f>IF(AND(($E60+$C$1)&gt;CO$4,CO$4&gt;=$C$1),$H60,IF(AND(($D60+$C$1)&gt;CO$4,CO$4&gt;=$C$1),$G60,0))*IF($A60="Residential",'General Inputs'!V$14,'General Inputs'!V$19)</f>
        <v>1161.5827982671885</v>
      </c>
      <c r="CP60" s="214">
        <f>IF(AND(($E60+$C$1)&gt;CP$4,CP$4&gt;=$C$1),$H60,IF(AND(($D60+$C$1)&gt;CP$4,CP$4&gt;=$C$1),$G60,0))*IF($A60="Residential",'General Inputs'!W$14,'General Inputs'!W$19)</f>
        <v>1179.0065402411965</v>
      </c>
      <c r="CR60" s="214">
        <f>IF(AND(($E60+$C$1)&gt;CR$4,CR$4&gt;=$C$1),$H60,IF(AND(($D60+$C$1)&gt;CR$4,CR$4&gt;=$C$1),$G60,0))*IF($A60="Residential",'General Inputs'!D$15,'General Inputs'!D$19)</f>
        <v>0</v>
      </c>
      <c r="CS60" s="214">
        <f>IF(AND(($E60+$C$1)&gt;CS$4,CS$4&gt;=$C$1),$H60,IF(AND(($D60+$C$1)&gt;CS$4,CS$4&gt;=$C$1),$G60,0))*IF($A60="Residential",'General Inputs'!E$15,'General Inputs'!E$19)</f>
        <v>0</v>
      </c>
      <c r="CT60" s="214">
        <f>IF(AND(($E60+$C$1)&gt;CT$4,CT$4&gt;=$C$1),$H60,IF(AND(($D60+$C$1)&gt;CT$4,CT$4&gt;=$C$1),$G60,0))*IF($A60="Residential",'General Inputs'!F$15,'General Inputs'!F$19)</f>
        <v>915.3632997747402</v>
      </c>
      <c r="CU60" s="214">
        <f>IF(AND(($E60+$C$1)&gt;CU$4,CU$4&gt;=$C$1),$H60,IF(AND(($D60+$C$1)&gt;CU$4,CU$4&gt;=$C$1),$G60,0))*IF($A60="Residential",'General Inputs'!G$15,'General Inputs'!G$19)</f>
        <v>929.09374927136116</v>
      </c>
      <c r="CV60" s="214">
        <f>IF(AND(($E60+$C$1)&gt;CV$4,CV$4&gt;=$C$1),$H60,IF(AND(($D60+$C$1)&gt;CV$4,CV$4&gt;=$C$1),$G60,0))*IF($A60="Residential",'General Inputs'!H$15,'General Inputs'!H$19)</f>
        <v>943.03015551043131</v>
      </c>
      <c r="CW60" s="214">
        <f>IF(AND(($E60+$C$1)&gt;CW$4,CW$4&gt;=$C$1),$H60,IF(AND(($D60+$C$1)&gt;CW$4,CW$4&gt;=$C$1),$G60,0))*IF($A60="Residential",'General Inputs'!I$15,'General Inputs'!I$19)</f>
        <v>957.17560784308762</v>
      </c>
      <c r="CX60" s="214">
        <f>IF(AND(($E60+$C$1)&gt;CX$4,CX$4&gt;=$C$1),$H60,IF(AND(($D60+$C$1)&gt;CX$4,CX$4&gt;=$C$1),$G60,0))*IF($A60="Residential",'General Inputs'!J$15,'General Inputs'!J$19)</f>
        <v>971.53324196073402</v>
      </c>
      <c r="CY60" s="214">
        <f>IF(AND(($E60+$C$1)&gt;CY$4,CY$4&gt;=$C$1),$H60,IF(AND(($D60+$C$1)&gt;CY$4,CY$4&gt;=$C$1),$G60,0))*IF($A60="Residential",'General Inputs'!K$15,'General Inputs'!K$19)</f>
        <v>986.10624059014481</v>
      </c>
      <c r="CZ60" s="214">
        <f>IF(AND(($E60+$C$1)&gt;CZ$4,CZ$4&gt;=$C$1),$H60,IF(AND(($D60+$C$1)&gt;CZ$4,CZ$4&gt;=$C$1),$G60,0))*IF($A60="Residential",'General Inputs'!L$15,'General Inputs'!L$19)</f>
        <v>1000.897834198997</v>
      </c>
      <c r="DA60" s="214">
        <f>IF(AND(($E60+$C$1)&gt;DA$4,DA$4&gt;=$C$1),$H60,IF(AND(($D60+$C$1)&gt;DA$4,DA$4&gt;=$C$1),$G60,0))*IF($A60="Residential",'General Inputs'!M$15,'General Inputs'!M$19)</f>
        <v>1015.9113017119818</v>
      </c>
      <c r="DB60" s="214">
        <f>IF(AND(($E60+$C$1)&gt;DB$4,DB$4&gt;=$C$1),$H60,IF(AND(($D60+$C$1)&gt;DB$4,DB$4&gt;=$C$1),$G60,0))*IF($A60="Residential",'General Inputs'!N$15,'General Inputs'!N$19)</f>
        <v>1031.1499712376615</v>
      </c>
      <c r="DC60" s="214">
        <f>IF(AND(($E60+$C$1)&gt;DC$4,DC$4&gt;=$C$1),$H60,IF(AND(($D60+$C$1)&gt;DC$4,DC$4&gt;=$C$1),$G60,0))*IF($A60="Residential",'General Inputs'!O$15,'General Inputs'!O$19)</f>
        <v>1046.6172208062262</v>
      </c>
      <c r="DD60" s="214">
        <f>IF(AND(($E60+$C$1)&gt;DD$4,DD$4&gt;=$C$1),$H60,IF(AND(($D60+$C$1)&gt;DD$4,DD$4&gt;=$C$1),$G60,0))*IF($A60="Residential",'General Inputs'!P$15,'General Inputs'!P$19)</f>
        <v>1062.3164791183196</v>
      </c>
      <c r="DE60" s="214">
        <f>IF(AND(($E60+$C$1)&gt;DE$4,DE$4&gt;=$C$1),$H60,IF(AND(($D60+$C$1)&gt;DE$4,DE$4&gt;=$C$1),$G60,0))*IF($A60="Residential",'General Inputs'!Q$15,'General Inputs'!Q$19)</f>
        <v>1078.2512263050942</v>
      </c>
      <c r="DF60" s="214">
        <f>IF(AND(($E60+$C$1)&gt;DF$4,DF$4&gt;=$C$1),$H60,IF(AND(($D60+$C$1)&gt;DF$4,DF$4&gt;=$C$1),$G60,0))*IF($A60="Residential",'General Inputs'!R$15,'General Inputs'!R$19)</f>
        <v>1094.4249946996706</v>
      </c>
      <c r="DG60" s="214">
        <f>IF(AND(($E60+$C$1)&gt;DG$4,DG$4&gt;=$C$1),$H60,IF(AND(($D60+$C$1)&gt;DG$4,DG$4&gt;=$C$1),$G60,0))*IF($A60="Residential",'General Inputs'!S$15,'General Inputs'!S$19)</f>
        <v>1110.8413696201656</v>
      </c>
      <c r="DH60" s="214">
        <f>IF(AND(($E60+$C$1)&gt;DH$4,DH$4&gt;=$C$1),$H60,IF(AND(($D60+$C$1)&gt;DH$4,DH$4&gt;=$C$1),$G60,0))*IF($A60="Residential",'General Inputs'!T$15,'General Inputs'!T$19)</f>
        <v>1127.503990164468</v>
      </c>
      <c r="DI60" s="214">
        <f>IF(AND(($E60+$C$1)&gt;DI$4,DI$4&gt;=$C$1),$H60,IF(AND(($D60+$C$1)&gt;DI$4,DI$4&gt;=$C$1),$G60,0))*IF($A60="Residential",'General Inputs'!U$15,'General Inputs'!U$19)</f>
        <v>1144.4165500169347</v>
      </c>
      <c r="DJ60" s="214">
        <f>IF(AND(($E60+$C$1)&gt;DJ$4,DJ$4&gt;=$C$1),$H60,IF(AND(($D60+$C$1)&gt;DJ$4,DJ$4&gt;=$C$1),$G60,0))*IF($A60="Residential",'General Inputs'!V$15,'General Inputs'!V$19)</f>
        <v>1161.5827982671885</v>
      </c>
      <c r="DK60" s="214">
        <f>IF(AND(($E60+$C$1)&gt;DK$4,DK$4&gt;=$C$1),$H60,IF(AND(($D60+$C$1)&gt;DK$4,DK$4&gt;=$C$1),$G60,0))*IF($A60="Residential",'General Inputs'!W$15,'General Inputs'!W$19)</f>
        <v>1179.0065402411965</v>
      </c>
      <c r="DM60" s="214">
        <f t="shared" si="99"/>
        <v>0</v>
      </c>
      <c r="DN60" s="214">
        <f t="shared" si="99"/>
        <v>0</v>
      </c>
      <c r="DO60" s="214">
        <f t="shared" si="99"/>
        <v>507</v>
      </c>
      <c r="DP60" s="214">
        <f t="shared" si="99"/>
        <v>0</v>
      </c>
      <c r="DQ60" s="214">
        <f t="shared" si="99"/>
        <v>0</v>
      </c>
      <c r="DR60" s="214">
        <f t="shared" si="99"/>
        <v>0</v>
      </c>
      <c r="DS60" s="214">
        <f t="shared" si="99"/>
        <v>0</v>
      </c>
      <c r="DT60" s="214">
        <f t="shared" si="99"/>
        <v>0</v>
      </c>
      <c r="DU60" s="214">
        <f t="shared" si="99"/>
        <v>0</v>
      </c>
      <c r="DV60" s="214">
        <f t="shared" si="99"/>
        <v>0</v>
      </c>
      <c r="DW60" s="214">
        <f t="shared" si="99"/>
        <v>0</v>
      </c>
      <c r="DZ60" s="650"/>
      <c r="FI60" s="195"/>
      <c r="FJ60" s="195"/>
      <c r="FK60" s="195"/>
      <c r="FL60" s="195"/>
      <c r="FM60" s="195"/>
      <c r="FN60" s="195"/>
      <c r="FO60" s="195"/>
    </row>
    <row r="61" spans="1:171">
      <c r="A61" s="342" t="s">
        <v>112</v>
      </c>
      <c r="B61" s="427" t="str">
        <f>'Portfolio Inputs'!A60</f>
        <v>Pin-Based CFL ≤18W</v>
      </c>
      <c r="C61" s="217">
        <f>IF($C$1=2014,'Portfolio Inputs'!$C60,IF($C$1=2015,'Portfolio Inputs'!$D60,'Portfolio Inputs'!$E60))</f>
        <v>9</v>
      </c>
      <c r="D61" s="504">
        <f>VLOOKUP(B61,Sources!$B$4:$J$104,2,FALSE)</f>
        <v>10</v>
      </c>
      <c r="E61" s="504">
        <f>VLOOKUP(B61,Sources!$B$4:$J$104,3,FALSE)</f>
        <v>0</v>
      </c>
      <c r="G61" s="504">
        <f>IF($C$1=2014,'Portfolio Inputs'!$G60,IF($C$1=2015,'Portfolio Inputs'!$H60,'Portfolio Inputs'!$I60))*EnergyLineLoss</f>
        <v>3294.0098887499994</v>
      </c>
      <c r="H61" s="504"/>
      <c r="I61" s="595">
        <f>IF($C$1=2014,'Portfolio Inputs'!$K60,IF($C$1=2015,'Portfolio Inputs'!$L60,'Portfolio Inputs'!$M60))*PeakLineLoss</f>
        <v>0.50935084199999991</v>
      </c>
      <c r="J61" s="510"/>
      <c r="L61" s="606">
        <f>IF($C$1=2014,'Portfolio Inputs'!$O60,IF($C$1=2015,'Portfolio Inputs'!$P60,'Portfolio Inputs'!$Q60))</f>
        <v>20</v>
      </c>
      <c r="M61" s="518">
        <f>VLOOKUP($B61,Sources!$B$4:$K$104,10,FALSE)</f>
        <v>0</v>
      </c>
      <c r="N61" s="419">
        <f>IF($C$1=2014,'Portfolio Inputs'!$W60,IF($C$1=2015,'Portfolio Inputs'!$X60,'Portfolio Inputs'!$Y60))</f>
        <v>72</v>
      </c>
      <c r="O61" s="419">
        <f>IF($C$1=2014,'Portfolio Inputs'!$AA60,IF($C$1=2015,'Portfolio Inputs'!$AB60,'Portfolio Inputs'!$AC60))</f>
        <v>0</v>
      </c>
      <c r="Q61" s="438">
        <f t="shared" si="67"/>
        <v>5.9183214002674758</v>
      </c>
      <c r="R61" s="439">
        <f t="shared" si="68"/>
        <v>14.795803500668688</v>
      </c>
      <c r="S61" s="439">
        <f t="shared" si="69"/>
        <v>7.385850970655099</v>
      </c>
      <c r="T61" s="439">
        <f t="shared" si="70"/>
        <v>15.076054851196199</v>
      </c>
      <c r="U61" s="439">
        <f t="shared" si="98"/>
        <v>15.076054851196199</v>
      </c>
      <c r="V61" s="439">
        <f t="shared" si="72"/>
        <v>0.39256433189468604</v>
      </c>
      <c r="W61" s="439">
        <f t="shared" si="73"/>
        <v>0.39256433189468604</v>
      </c>
      <c r="Y61" s="215">
        <f t="shared" si="4"/>
        <v>899.27803356405275</v>
      </c>
      <c r="Z61" s="215">
        <f t="shared" si="5"/>
        <v>222.98841461966504</v>
      </c>
      <c r="AA61" s="215">
        <f t="shared" si="6"/>
        <v>2229.9994972333579</v>
      </c>
      <c r="AB61" s="215">
        <f t="shared" si="7"/>
        <v>2229.9994972333579</v>
      </c>
      <c r="AC61" s="216">
        <f t="shared" si="20"/>
        <v>0</v>
      </c>
      <c r="AD61" s="216">
        <f t="shared" si="21"/>
        <v>60.779263087902621</v>
      </c>
      <c r="AE61" s="215">
        <f t="shared" si="8"/>
        <v>151.94815771975652</v>
      </c>
      <c r="AG61" s="214">
        <f>IF(AND(($E61+$C$1)&gt;AG$4,AG$4&gt;=$C$1),'General Inputs'!D$9*$H61,IF(AND(($D61+$C$1)&gt;AG$4,AG$4&gt;=$C$1),'General Inputs'!D$9*$G61,0))+IF(AND(($E61+$C$1)&gt;AG$4,AG$4&gt;=$C$1),'General Inputs'!D$10*$J61,IF(AND(($D61+$C$1)&gt;AG$4,AG$4&gt;=$C$1),'General Inputs'!D$10*$I61,0))</f>
        <v>0</v>
      </c>
      <c r="AH61" s="214">
        <f>IF(AND(($E61+$C$1)&gt;AH$4,AH$4&gt;=$C$1),'General Inputs'!E$9*$H61,IF(AND(($D61+$C$1)&gt;AH$4,AH$4&gt;=$C$1),'General Inputs'!E$9*$G61,0))+IF(AND(($E61+$C$1)&gt;AH$4,AH$4&gt;=$C$1),'General Inputs'!E$10*$J61,IF(AND(($D61+$C$1)&gt;AH$4,AH$4&gt;=$C$1),'General Inputs'!E$10*$I61,0))</f>
        <v>0</v>
      </c>
      <c r="AI61" s="214">
        <f>IF(AND(($E61+$C$1)&gt;AI$4,AI$4&gt;=$C$1),'General Inputs'!F$9*$H61,IF(AND(($D61+$C$1)&gt;AI$4,AI$4&gt;=$C$1),'General Inputs'!F$9*$G61,0))+IF(AND(($E61+$C$1)&gt;AI$4,AI$4&gt;=$C$1),'General Inputs'!F$10*$J61,IF(AND(($D61+$C$1)&gt;AI$4,AI$4&gt;=$C$1),'General Inputs'!F$10*$I61,0))</f>
        <v>142.96334405030191</v>
      </c>
      <c r="AJ61" s="214">
        <f>IF(AND(($E61+$C$1)&gt;AJ$4,AJ$4&gt;=$C$1),'General Inputs'!G$9*$H61,IF(AND(($D61+$C$1)&gt;AJ$4,AJ$4&gt;=$C$1),'General Inputs'!G$9*$G61,0))+IF(AND(($E61+$C$1)&gt;AJ$4,AJ$4&gt;=$C$1),'General Inputs'!G$10*$J61,IF(AND(($D61+$C$1)&gt;AJ$4,AJ$4&gt;=$C$1),'General Inputs'!G$10*$I61,0))</f>
        <v>145.10779421105644</v>
      </c>
      <c r="AK61" s="214">
        <f>IF(AND(($E61+$C$1)&gt;AK$4,AK$4&gt;=$C$1),'General Inputs'!H$9*$H61,IF(AND(($D61+$C$1)&gt;AK$4,AK$4&gt;=$C$1),'General Inputs'!H$9*$G61,0))+IF(AND(($E61+$C$1)&gt;AK$4,AK$4&gt;=$C$1),'General Inputs'!H$10*$J61,IF(AND(($D61+$C$1)&gt;AK$4,AK$4&gt;=$C$1),'General Inputs'!H$10*$I61,0))</f>
        <v>147.28441112422229</v>
      </c>
      <c r="AL61" s="214">
        <f>IF(AND(($E61+$C$1)&gt;AL$4,AL$4&gt;=$C$1),'General Inputs'!I$9*$H61,IF(AND(($D61+$C$1)&gt;AL$4,AL$4&gt;=$C$1),'General Inputs'!I$9*$G61,0))+IF(AND(($E61+$C$1)&gt;AL$4,AL$4&gt;=$C$1),'General Inputs'!I$10*$J61,IF(AND(($D61+$C$1)&gt;AL$4,AL$4&gt;=$C$1),'General Inputs'!I$10*$I61,0))</f>
        <v>149.49367729108559</v>
      </c>
      <c r="AM61" s="214">
        <f>IF(AND(($E61+$C$1)&gt;AM$4,AM$4&gt;=$C$1),'General Inputs'!J$9*$H61,IF(AND(($D61+$C$1)&gt;AM$4,AM$4&gt;=$C$1),'General Inputs'!J$9*$G61,0))+IF(AND(($E61+$C$1)&gt;AM$4,AM$4&gt;=$C$1),'General Inputs'!J$10*$J61,IF(AND(($D61+$C$1)&gt;AM$4,AM$4&gt;=$C$1),'General Inputs'!J$10*$I61,0))</f>
        <v>151.73608245045185</v>
      </c>
      <c r="AN61" s="214">
        <f>IF(AND(($E61+$C$1)&gt;AN$4,AN$4&gt;=$C$1),'General Inputs'!K$9*$H61,IF(AND(($D61+$C$1)&gt;AN$4,AN$4&gt;=$C$1),'General Inputs'!K$9*$G61,0))+IF(AND(($E61+$C$1)&gt;AN$4,AN$4&gt;=$C$1),'General Inputs'!K$10*$J61,IF(AND(($D61+$C$1)&gt;AN$4,AN$4&gt;=$C$1),'General Inputs'!K$10*$I61,0))</f>
        <v>154.0121236872086</v>
      </c>
      <c r="AO61" s="214">
        <f>IF(AND(($E61+$C$1)&gt;AO$4,AO$4&gt;=$C$1),'General Inputs'!L$9*$H61,IF(AND(($D61+$C$1)&gt;AO$4,AO$4&gt;=$C$1),'General Inputs'!L$9*$G61,0))+IF(AND(($E61+$C$1)&gt;AO$4,AO$4&gt;=$C$1),'General Inputs'!L$10*$J61,IF(AND(($D61+$C$1)&gt;AO$4,AO$4&gt;=$C$1),'General Inputs'!L$10*$I61,0))</f>
        <v>156.32230554251669</v>
      </c>
      <c r="AP61" s="214">
        <f>IF(AND(($E61+$C$1)&gt;AP$4,AP$4&gt;=$C$1),'General Inputs'!M$9*$H61,IF(AND(($D61+$C$1)&gt;AP$4,AP$4&gt;=$C$1),'General Inputs'!M$9*$G61,0))+IF(AND(($E61+$C$1)&gt;AP$4,AP$4&gt;=$C$1),'General Inputs'!M$10*$J61,IF(AND(($D61+$C$1)&gt;AP$4,AP$4&gt;=$C$1),'General Inputs'!M$10*$I61,0))</f>
        <v>158.66714012565444</v>
      </c>
      <c r="AQ61" s="214">
        <f>IF(AND(($E61+$C$1)&gt;AQ$4,AQ$4&gt;=$C$1),'General Inputs'!N$9*$H61,IF(AND(($D61+$C$1)&gt;AQ$4,AQ$4&gt;=$C$1),'General Inputs'!N$9*$G61,0))+IF(AND(($E61+$C$1)&gt;AQ$4,AQ$4&gt;=$C$1),'General Inputs'!N$10*$J61,IF(AND(($D61+$C$1)&gt;AQ$4,AQ$4&gt;=$C$1),'General Inputs'!N$10*$I61,0))</f>
        <v>161.04714722753926</v>
      </c>
      <c r="AR61" s="214">
        <f>IF(AND(($E61+$C$1)&gt;AR$4,AR$4&gt;=$C$1),'General Inputs'!O$9*$H61,IF(AND(($D61+$C$1)&gt;AR$4,AR$4&gt;=$C$1),'General Inputs'!O$9*$G61,0))+IF(AND(($E61+$C$1)&gt;AR$4,AR$4&gt;=$C$1),'General Inputs'!O$10*$J61,IF(AND(($D61+$C$1)&gt;AR$4,AR$4&gt;=$C$1),'General Inputs'!O$10*$I61,0))</f>
        <v>163.46285443595232</v>
      </c>
      <c r="AS61" s="214">
        <f>IF(AND(($E61+$C$1)&gt;AS$4,AS$4&gt;=$C$1),'General Inputs'!P$9*$H61,IF(AND(($D61+$C$1)&gt;AS$4,AS$4&gt;=$C$1),'General Inputs'!P$9*$G61,0))+IF(AND(($E61+$C$1)&gt;AS$4,AS$4&gt;=$C$1),'General Inputs'!P$10*$J61,IF(AND(($D61+$C$1)&gt;AS$4,AS$4&gt;=$C$1),'General Inputs'!P$10*$I61,0))</f>
        <v>0</v>
      </c>
      <c r="AT61" s="214">
        <f>IF(AND(($E61+$C$1)&gt;AT$4,AT$4&gt;=$C$1),'General Inputs'!Q$9*$H61,IF(AND(($D61+$C$1)&gt;AT$4,AT$4&gt;=$C$1),'General Inputs'!Q$9*$G61,0))+IF(AND(($E61+$C$1)&gt;AT$4,AT$4&gt;=$C$1),'General Inputs'!Q$10*$J61,IF(AND(($D61+$C$1)&gt;AT$4,AT$4&gt;=$C$1),'General Inputs'!Q$10*$I61,0))</f>
        <v>0</v>
      </c>
      <c r="AU61" s="214">
        <f>IF(AND(($E61+$C$1)&gt;AU$4,AU$4&gt;=$C$1),'General Inputs'!R$9*$H61,IF(AND(($D61+$C$1)&gt;AU$4,AU$4&gt;=$C$1),'General Inputs'!R$9*$G61,0))+IF(AND(($E61+$C$1)&gt;AU$4,AU$4&gt;=$C$1),'General Inputs'!R$10*$J61,IF(AND(($D61+$C$1)&gt;AU$4,AU$4&gt;=$C$1),'General Inputs'!R$10*$I61,0))</f>
        <v>0</v>
      </c>
      <c r="AV61" s="214">
        <f>IF(AND(($E61+$C$1)&gt;AV$4,AV$4&gt;=$C$1),'General Inputs'!S$9*$H61,IF(AND(($D61+$C$1)&gt;AV$4,AV$4&gt;=$C$1),'General Inputs'!S$9*$G61,0))+IF(AND(($E61+$C$1)&gt;AV$4,AV$4&gt;=$C$1),'General Inputs'!S$10*$J61,IF(AND(($D61+$C$1)&gt;AV$4,AV$4&gt;=$C$1),'General Inputs'!S$10*$I61,0))</f>
        <v>0</v>
      </c>
      <c r="AW61" s="214">
        <f>IF(AND(($E61+$C$1)&gt;AW$4,AW$4&gt;=$C$1),'General Inputs'!T$9*$H61,IF(AND(($D61+$C$1)&gt;AW$4,AW$4&gt;=$C$1),'General Inputs'!T$9*$G61,0))+IF(AND(($E61+$C$1)&gt;AW$4,AW$4&gt;=$C$1),'General Inputs'!T$10*$J61,IF(AND(($D61+$C$1)&gt;AW$4,AW$4&gt;=$C$1),'General Inputs'!T$10*$I61,0))</f>
        <v>0</v>
      </c>
      <c r="AX61" s="214">
        <f>IF(AND(($E61+$C$1)&gt;AX$4,AX$4&gt;=$C$1),'General Inputs'!U$9*$H61,IF(AND(($D61+$C$1)&gt;AX$4,AX$4&gt;=$C$1),'General Inputs'!U$9*$G61,0))+IF(AND(($E61+$C$1)&gt;AX$4,AX$4&gt;=$C$1),'General Inputs'!U$10*$J61,IF(AND(($D61+$C$1)&gt;AX$4,AX$4&gt;=$C$1),'General Inputs'!U$10*$I61,0))</f>
        <v>0</v>
      </c>
      <c r="AY61" s="214">
        <f>IF(AND(($E61+$C$1)&gt;AY$4,AY$4&gt;=$C$1),'General Inputs'!V$9*$H61,IF(AND(($D61+$C$1)&gt;AY$4,AY$4&gt;=$C$1),'General Inputs'!V$9*$G61,0))+IF(AND(($E61+$C$1)&gt;AY$4,AY$4&gt;=$C$1),'General Inputs'!V$10*$J61,IF(AND(($D61+$C$1)&gt;AY$4,AY$4&gt;=$C$1),'General Inputs'!V$10*$I61,0))</f>
        <v>0</v>
      </c>
      <c r="AZ61" s="214">
        <f>IF(AND(($E61+$C$1)&gt;AZ$4,AZ$4&gt;=$C$1),'General Inputs'!W$9*$H61,IF(AND(($D61+$C$1)&gt;AZ$4,AZ$4&gt;=$C$1),'General Inputs'!W$9*$G61,0))+IF(AND(($E61+$C$1)&gt;AZ$4,AZ$4&gt;=$C$1),'General Inputs'!W$10*$J61,IF(AND(($D61+$C$1)&gt;AZ$4,AZ$4&gt;=$C$1),'General Inputs'!W$10*$I61,0))</f>
        <v>0</v>
      </c>
      <c r="BB61" s="214">
        <f>IF(AND(($E61+$C$1)&gt;BB$4,BB$4&gt;=$C$1),'General Inputs'!D$11*$H61,IF(AND(($D61+$C$1)&gt;BB$4,BB$4&gt;=$C$1),'General Inputs'!D$11*$G61,0))</f>
        <v>0</v>
      </c>
      <c r="BC61" s="214">
        <f>IF(AND(($E61+$C$1)&gt;BC$4,BC$4&gt;=$C$1),'General Inputs'!E$11*$H61,IF(AND(($D61+$C$1)&gt;BC$4,BC$4&gt;=$C$1),'General Inputs'!E$11*$G61,0))</f>
        <v>0</v>
      </c>
      <c r="BD61" s="214">
        <f>IF(AND(($E61+$C$1)&gt;BD$4,BD$4&gt;=$C$1),'General Inputs'!F$11*$H61,IF(AND(($D61+$C$1)&gt;BD$4,BD$4&gt;=$C$1),'General Inputs'!F$11*$G61,0))</f>
        <v>37.551712731749994</v>
      </c>
      <c r="BE61" s="214">
        <f>IF(AND(($E61+$C$1)&gt;BE$4,BE$4&gt;=$C$1),'General Inputs'!G$11*$H61,IF(AND(($D61+$C$1)&gt;BE$4,BE$4&gt;=$C$1),'General Inputs'!G$11*$G61,0))</f>
        <v>37.551712731749994</v>
      </c>
      <c r="BF61" s="214">
        <f>IF(AND(($E61+$C$1)&gt;BF$4,BF$4&gt;=$C$1),'General Inputs'!H$11*$H61,IF(AND(($D61+$C$1)&gt;BF$4,BF$4&gt;=$C$1),'General Inputs'!H$11*$G61,0))</f>
        <v>37.551712731749994</v>
      </c>
      <c r="BG61" s="214">
        <f>IF(AND(($E61+$C$1)&gt;BG$4,BG$4&gt;=$C$1),'General Inputs'!I$11*$H61,IF(AND(($D61+$C$1)&gt;BG$4,BG$4&gt;=$C$1),'General Inputs'!I$11*$G61,0))</f>
        <v>37.551712731749994</v>
      </c>
      <c r="BH61" s="214">
        <f>IF(AND(($E61+$C$1)&gt;BH$4,BH$4&gt;=$C$1),'General Inputs'!J$11*$H61,IF(AND(($D61+$C$1)&gt;BH$4,BH$4&gt;=$C$1),'General Inputs'!J$11*$G61,0))</f>
        <v>37.551712731749994</v>
      </c>
      <c r="BI61" s="214">
        <f>IF(AND(($E61+$C$1)&gt;BI$4,BI$4&gt;=$C$1),'General Inputs'!K$11*$H61,IF(AND(($D61+$C$1)&gt;BI$4,BI$4&gt;=$C$1),'General Inputs'!K$11*$G61,0))</f>
        <v>37.551712731749994</v>
      </c>
      <c r="BJ61" s="214">
        <f>IF(AND(($E61+$C$1)&gt;BJ$4,BJ$4&gt;=$C$1),'General Inputs'!L$11*$H61,IF(AND(($D61+$C$1)&gt;BJ$4,BJ$4&gt;=$C$1),'General Inputs'!L$11*$G61,0))</f>
        <v>37.551712731749994</v>
      </c>
      <c r="BK61" s="214">
        <f>IF(AND(($E61+$C$1)&gt;BK$4,BK$4&gt;=$C$1),'General Inputs'!M$11*$H61,IF(AND(($D61+$C$1)&gt;BK$4,BK$4&gt;=$C$1),'General Inputs'!M$11*$G61,0))</f>
        <v>37.551712731749994</v>
      </c>
      <c r="BL61" s="214">
        <f>IF(AND(($E61+$C$1)&gt;BL$4,BL$4&gt;=$C$1),'General Inputs'!N$11*$H61,IF(AND(($D61+$C$1)&gt;BL$4,BL$4&gt;=$C$1),'General Inputs'!N$11*$G61,0))</f>
        <v>37.551712731749994</v>
      </c>
      <c r="BM61" s="214">
        <f>IF(AND(($E61+$C$1)&gt;BM$4,BM$4&gt;=$C$1),'General Inputs'!O$11*$H61,IF(AND(($D61+$C$1)&gt;BM$4,BM$4&gt;=$C$1),'General Inputs'!O$11*$G61,0))</f>
        <v>37.551712731749994</v>
      </c>
      <c r="BN61" s="214">
        <f>IF(AND(($E61+$C$1)&gt;BN$4,BN$4&gt;=$C$1),'General Inputs'!P$11*$H61,IF(AND(($D61+$C$1)&gt;BN$4,BN$4&gt;=$C$1),'General Inputs'!P$11*$G61,0))</f>
        <v>0</v>
      </c>
      <c r="BO61" s="214">
        <f>IF(AND(($E61+$C$1)&gt;BO$4,BO$4&gt;=$C$1),'General Inputs'!Q$11*$H61,IF(AND(($D61+$C$1)&gt;BO$4,BO$4&gt;=$C$1),'General Inputs'!Q$11*$G61,0))</f>
        <v>0</v>
      </c>
      <c r="BP61" s="214">
        <f>IF(AND(($E61+$C$1)&gt;BP$4,BP$4&gt;=$C$1),'General Inputs'!R$11*$H61,IF(AND(($D61+$C$1)&gt;BP$4,BP$4&gt;=$C$1),'General Inputs'!R$11*$G61,0))</f>
        <v>0</v>
      </c>
      <c r="BQ61" s="214">
        <f>IF(AND(($E61+$C$1)&gt;BQ$4,BQ$4&gt;=$C$1),'General Inputs'!S$11*$H61,IF(AND(($D61+$C$1)&gt;BQ$4,BQ$4&gt;=$C$1),'General Inputs'!S$11*$G61,0))</f>
        <v>0</v>
      </c>
      <c r="BR61" s="214">
        <f>IF(AND(($E61+$C$1)&gt;BR$4,BR$4&gt;=$C$1),'General Inputs'!T$11*$H61,IF(AND(($D61+$C$1)&gt;BR$4,BR$4&gt;=$C$1),'General Inputs'!T$11*$G61,0))</f>
        <v>0</v>
      </c>
      <c r="BS61" s="214">
        <f>IF(AND(($E61+$C$1)&gt;BS$4,BS$4&gt;=$C$1),'General Inputs'!U$11*$H61,IF(AND(($D61+$C$1)&gt;BS$4,BS$4&gt;=$C$1),'General Inputs'!U$11*$G61,0))</f>
        <v>0</v>
      </c>
      <c r="BT61" s="214">
        <f>IF(AND(($E61+$C$1)&gt;BT$4,BT$4&gt;=$C$1),'General Inputs'!V$11*$H61,IF(AND(($D61+$C$1)&gt;BT$4,BT$4&gt;=$C$1),'General Inputs'!V$11*$G61,0))</f>
        <v>0</v>
      </c>
      <c r="BU61" s="214">
        <f>IF(AND(($E61+$C$1)&gt;BU$4,BU$4&gt;=$C$1),'General Inputs'!W$11*$H61,IF(AND(($D61+$C$1)&gt;BU$4,BU$4&gt;=$C$1),'General Inputs'!W$11*$G61,0))</f>
        <v>0</v>
      </c>
      <c r="BW61" s="214">
        <f>IF(AND(($E61+$C$1)&gt;BW$4,BW$4&gt;=$C$1),$H61,IF(AND(($D61+$C$1)&gt;BW$4,BW$4&gt;=$C$1),$G61,0))*IF($A61="Residential",'General Inputs'!D$14,'General Inputs'!D$19)</f>
        <v>0</v>
      </c>
      <c r="BX61" s="214">
        <f>IF(AND(($E61+$C$1)&gt;BX$4,BX$4&gt;=$C$1),$H61,IF(AND(($D61+$C$1)&gt;BX$4,BX$4&gt;=$C$1),$G61,0))*IF($A61="Residential",'General Inputs'!E$14,'General Inputs'!E$19)</f>
        <v>0</v>
      </c>
      <c r="BY61" s="214">
        <f>IF(AND(($E61+$C$1)&gt;BY$4,BY$4&gt;=$C$1),$H61,IF(AND(($D61+$C$1)&gt;BY$4,BY$4&gt;=$C$1),$G61,0))*IF($A61="Residential",'General Inputs'!F$14,'General Inputs'!F$19)</f>
        <v>354.51570421603662</v>
      </c>
      <c r="BZ61" s="214">
        <f>IF(AND(($E61+$C$1)&gt;BZ$4,BZ$4&gt;=$C$1),$H61,IF(AND(($D61+$C$1)&gt;BZ$4,BZ$4&gt;=$C$1),$G61,0))*IF($A61="Residential",'General Inputs'!G$14,'General Inputs'!G$19)</f>
        <v>359.83343977927717</v>
      </c>
      <c r="CA61" s="214">
        <f>IF(AND(($E61+$C$1)&gt;CA$4,CA$4&gt;=$C$1),$H61,IF(AND(($D61+$C$1)&gt;CA$4,CA$4&gt;=$C$1),$G61,0))*IF($A61="Residential",'General Inputs'!H$14,'General Inputs'!H$19)</f>
        <v>365.23094137596621</v>
      </c>
      <c r="CB61" s="214">
        <f>IF(AND(($E61+$C$1)&gt;CB$4,CB$4&gt;=$C$1),$H61,IF(AND(($D61+$C$1)&gt;CB$4,CB$4&gt;=$C$1),$G61,0))*IF($A61="Residential",'General Inputs'!I$14,'General Inputs'!I$19)</f>
        <v>370.70940549660565</v>
      </c>
      <c r="CC61" s="214">
        <f>IF(AND(($E61+$C$1)&gt;CC$4,CC$4&gt;=$C$1),$H61,IF(AND(($D61+$C$1)&gt;CC$4,CC$4&gt;=$C$1),$G61,0))*IF($A61="Residential",'General Inputs'!J$14,'General Inputs'!J$19)</f>
        <v>376.27004657905474</v>
      </c>
      <c r="CD61" s="214">
        <f>IF(AND(($E61+$C$1)&gt;CD$4,CD$4&gt;=$C$1),$H61,IF(AND(($D61+$C$1)&gt;CD$4,CD$4&gt;=$C$1),$G61,0))*IF($A61="Residential",'General Inputs'!K$14,'General Inputs'!K$19)</f>
        <v>381.9140972777405</v>
      </c>
      <c r="CE61" s="214">
        <f>IF(AND(($E61+$C$1)&gt;CE$4,CE$4&gt;=$C$1),$H61,IF(AND(($D61+$C$1)&gt;CE$4,CE$4&gt;=$C$1),$G61,0))*IF($A61="Residential",'General Inputs'!L$14,'General Inputs'!L$19)</f>
        <v>387.6428087369066</v>
      </c>
      <c r="CF61" s="214">
        <f>IF(AND(($E61+$C$1)&gt;CF$4,CF$4&gt;=$C$1),$H61,IF(AND(($D61+$C$1)&gt;CF$4,CF$4&gt;=$C$1),$G61,0))*IF($A61="Residential",'General Inputs'!M$14,'General Inputs'!M$19)</f>
        <v>393.45745086796012</v>
      </c>
      <c r="CG61" s="214">
        <f>IF(AND(($E61+$C$1)&gt;CG$4,CG$4&gt;=$C$1),$H61,IF(AND(($D61+$C$1)&gt;CG$4,CG$4&gt;=$C$1),$G61,0))*IF($A61="Residential",'General Inputs'!N$14,'General Inputs'!N$19)</f>
        <v>399.3593126309795</v>
      </c>
      <c r="CH61" s="214">
        <f>IF(AND(($E61+$C$1)&gt;CH$4,CH$4&gt;=$C$1),$H61,IF(AND(($D61+$C$1)&gt;CH$4,CH$4&gt;=$C$1),$G61,0))*IF($A61="Residential",'General Inputs'!O$14,'General Inputs'!O$19)</f>
        <v>405.34970232044412</v>
      </c>
      <c r="CI61" s="214">
        <f>IF(AND(($E61+$C$1)&gt;CI$4,CI$4&gt;=$C$1),$H61,IF(AND(($D61+$C$1)&gt;CI$4,CI$4&gt;=$C$1),$G61,0))*IF($A61="Residential",'General Inputs'!P$14,'General Inputs'!P$19)</f>
        <v>0</v>
      </c>
      <c r="CJ61" s="214">
        <f>IF(AND(($E61+$C$1)&gt;CJ$4,CJ$4&gt;=$C$1),$H61,IF(AND(($D61+$C$1)&gt;CJ$4,CJ$4&gt;=$C$1),$G61,0))*IF($A61="Residential",'General Inputs'!Q$14,'General Inputs'!Q$19)</f>
        <v>0</v>
      </c>
      <c r="CK61" s="214">
        <f>IF(AND(($E61+$C$1)&gt;CK$4,CK$4&gt;=$C$1),$H61,IF(AND(($D61+$C$1)&gt;CK$4,CK$4&gt;=$C$1),$G61,0))*IF($A61="Residential",'General Inputs'!R$14,'General Inputs'!R$19)</f>
        <v>0</v>
      </c>
      <c r="CL61" s="214">
        <f>IF(AND(($E61+$C$1)&gt;CL$4,CL$4&gt;=$C$1),$H61,IF(AND(($D61+$C$1)&gt;CL$4,CL$4&gt;=$C$1),$G61,0))*IF($A61="Residential",'General Inputs'!S$14,'General Inputs'!S$19)</f>
        <v>0</v>
      </c>
      <c r="CM61" s="214">
        <f>IF(AND(($E61+$C$1)&gt;CM$4,CM$4&gt;=$C$1),$H61,IF(AND(($D61+$C$1)&gt;CM$4,CM$4&gt;=$C$1),$G61,0))*IF($A61="Residential",'General Inputs'!T$14,'General Inputs'!T$19)</f>
        <v>0</v>
      </c>
      <c r="CN61" s="214">
        <f>IF(AND(($E61+$C$1)&gt;CN$4,CN$4&gt;=$C$1),$H61,IF(AND(($D61+$C$1)&gt;CN$4,CN$4&gt;=$C$1),$G61,0))*IF($A61="Residential",'General Inputs'!U$14,'General Inputs'!U$19)</f>
        <v>0</v>
      </c>
      <c r="CO61" s="214">
        <f>IF(AND(($E61+$C$1)&gt;CO$4,CO$4&gt;=$C$1),$H61,IF(AND(($D61+$C$1)&gt;CO$4,CO$4&gt;=$C$1),$G61,0))*IF($A61="Residential",'General Inputs'!V$14,'General Inputs'!V$19)</f>
        <v>0</v>
      </c>
      <c r="CP61" s="214">
        <f>IF(AND(($E61+$C$1)&gt;CP$4,CP$4&gt;=$C$1),$H61,IF(AND(($D61+$C$1)&gt;CP$4,CP$4&gt;=$C$1),$G61,0))*IF($A61="Residential",'General Inputs'!W$14,'General Inputs'!W$19)</f>
        <v>0</v>
      </c>
      <c r="CR61" s="214">
        <f>IF(AND(($E61+$C$1)&gt;CR$4,CR$4&gt;=$C$1),$H61,IF(AND(($D61+$C$1)&gt;CR$4,CR$4&gt;=$C$1),$G61,0))*IF($A61="Residential",'General Inputs'!D$15,'General Inputs'!D$19)</f>
        <v>0</v>
      </c>
      <c r="CS61" s="214">
        <f>IF(AND(($E61+$C$1)&gt;CS$4,CS$4&gt;=$C$1),$H61,IF(AND(($D61+$C$1)&gt;CS$4,CS$4&gt;=$C$1),$G61,0))*IF($A61="Residential",'General Inputs'!E$15,'General Inputs'!E$19)</f>
        <v>0</v>
      </c>
      <c r="CT61" s="214">
        <f>IF(AND(($E61+$C$1)&gt;CT$4,CT$4&gt;=$C$1),$H61,IF(AND(($D61+$C$1)&gt;CT$4,CT$4&gt;=$C$1),$G61,0))*IF($A61="Residential",'General Inputs'!F$15,'General Inputs'!F$19)</f>
        <v>354.51570421603662</v>
      </c>
      <c r="CU61" s="214">
        <f>IF(AND(($E61+$C$1)&gt;CU$4,CU$4&gt;=$C$1),$H61,IF(AND(($D61+$C$1)&gt;CU$4,CU$4&gt;=$C$1),$G61,0))*IF($A61="Residential",'General Inputs'!G$15,'General Inputs'!G$19)</f>
        <v>359.83343977927717</v>
      </c>
      <c r="CV61" s="214">
        <f>IF(AND(($E61+$C$1)&gt;CV$4,CV$4&gt;=$C$1),$H61,IF(AND(($D61+$C$1)&gt;CV$4,CV$4&gt;=$C$1),$G61,0))*IF($A61="Residential",'General Inputs'!H$15,'General Inputs'!H$19)</f>
        <v>365.23094137596621</v>
      </c>
      <c r="CW61" s="214">
        <f>IF(AND(($E61+$C$1)&gt;CW$4,CW$4&gt;=$C$1),$H61,IF(AND(($D61+$C$1)&gt;CW$4,CW$4&gt;=$C$1),$G61,0))*IF($A61="Residential",'General Inputs'!I$15,'General Inputs'!I$19)</f>
        <v>370.70940549660565</v>
      </c>
      <c r="CX61" s="214">
        <f>IF(AND(($E61+$C$1)&gt;CX$4,CX$4&gt;=$C$1),$H61,IF(AND(($D61+$C$1)&gt;CX$4,CX$4&gt;=$C$1),$G61,0))*IF($A61="Residential",'General Inputs'!J$15,'General Inputs'!J$19)</f>
        <v>376.27004657905474</v>
      </c>
      <c r="CY61" s="214">
        <f>IF(AND(($E61+$C$1)&gt;CY$4,CY$4&gt;=$C$1),$H61,IF(AND(($D61+$C$1)&gt;CY$4,CY$4&gt;=$C$1),$G61,0))*IF($A61="Residential",'General Inputs'!K$15,'General Inputs'!K$19)</f>
        <v>381.9140972777405</v>
      </c>
      <c r="CZ61" s="214">
        <f>IF(AND(($E61+$C$1)&gt;CZ$4,CZ$4&gt;=$C$1),$H61,IF(AND(($D61+$C$1)&gt;CZ$4,CZ$4&gt;=$C$1),$G61,0))*IF($A61="Residential",'General Inputs'!L$15,'General Inputs'!L$19)</f>
        <v>387.6428087369066</v>
      </c>
      <c r="DA61" s="214">
        <f>IF(AND(($E61+$C$1)&gt;DA$4,DA$4&gt;=$C$1),$H61,IF(AND(($D61+$C$1)&gt;DA$4,DA$4&gt;=$C$1),$G61,0))*IF($A61="Residential",'General Inputs'!M$15,'General Inputs'!M$19)</f>
        <v>393.45745086796012</v>
      </c>
      <c r="DB61" s="214">
        <f>IF(AND(($E61+$C$1)&gt;DB$4,DB$4&gt;=$C$1),$H61,IF(AND(($D61+$C$1)&gt;DB$4,DB$4&gt;=$C$1),$G61,0))*IF($A61="Residential",'General Inputs'!N$15,'General Inputs'!N$19)</f>
        <v>399.3593126309795</v>
      </c>
      <c r="DC61" s="214">
        <f>IF(AND(($E61+$C$1)&gt;DC$4,DC$4&gt;=$C$1),$H61,IF(AND(($D61+$C$1)&gt;DC$4,DC$4&gt;=$C$1),$G61,0))*IF($A61="Residential",'General Inputs'!O$15,'General Inputs'!O$19)</f>
        <v>405.34970232044412</v>
      </c>
      <c r="DD61" s="214">
        <f>IF(AND(($E61+$C$1)&gt;DD$4,DD$4&gt;=$C$1),$H61,IF(AND(($D61+$C$1)&gt;DD$4,DD$4&gt;=$C$1),$G61,0))*IF($A61="Residential",'General Inputs'!P$15,'General Inputs'!P$19)</f>
        <v>0</v>
      </c>
      <c r="DE61" s="214">
        <f>IF(AND(($E61+$C$1)&gt;DE$4,DE$4&gt;=$C$1),$H61,IF(AND(($D61+$C$1)&gt;DE$4,DE$4&gt;=$C$1),$G61,0))*IF($A61="Residential",'General Inputs'!Q$15,'General Inputs'!Q$19)</f>
        <v>0</v>
      </c>
      <c r="DF61" s="214">
        <f>IF(AND(($E61+$C$1)&gt;DF$4,DF$4&gt;=$C$1),$H61,IF(AND(($D61+$C$1)&gt;DF$4,DF$4&gt;=$C$1),$G61,0))*IF($A61="Residential",'General Inputs'!R$15,'General Inputs'!R$19)</f>
        <v>0</v>
      </c>
      <c r="DG61" s="214">
        <f>IF(AND(($E61+$C$1)&gt;DG$4,DG$4&gt;=$C$1),$H61,IF(AND(($D61+$C$1)&gt;DG$4,DG$4&gt;=$C$1),$G61,0))*IF($A61="Residential",'General Inputs'!S$15,'General Inputs'!S$19)</f>
        <v>0</v>
      </c>
      <c r="DH61" s="214">
        <f>IF(AND(($E61+$C$1)&gt;DH$4,DH$4&gt;=$C$1),$H61,IF(AND(($D61+$C$1)&gt;DH$4,DH$4&gt;=$C$1),$G61,0))*IF($A61="Residential",'General Inputs'!T$15,'General Inputs'!T$19)</f>
        <v>0</v>
      </c>
      <c r="DI61" s="214">
        <f>IF(AND(($E61+$C$1)&gt;DI$4,DI$4&gt;=$C$1),$H61,IF(AND(($D61+$C$1)&gt;DI$4,DI$4&gt;=$C$1),$G61,0))*IF($A61="Residential",'General Inputs'!U$15,'General Inputs'!U$19)</f>
        <v>0</v>
      </c>
      <c r="DJ61" s="214">
        <f>IF(AND(($E61+$C$1)&gt;DJ$4,DJ$4&gt;=$C$1),$H61,IF(AND(($D61+$C$1)&gt;DJ$4,DJ$4&gt;=$C$1),$G61,0))*IF($A61="Residential",'General Inputs'!V$15,'General Inputs'!V$19)</f>
        <v>0</v>
      </c>
      <c r="DK61" s="214">
        <f>IF(AND(($E61+$C$1)&gt;DK$4,DK$4&gt;=$C$1),$H61,IF(AND(($D61+$C$1)&gt;DK$4,DK$4&gt;=$C$1),$G61,0))*IF($A61="Residential",'General Inputs'!W$15,'General Inputs'!W$19)</f>
        <v>0</v>
      </c>
      <c r="DM61" s="214">
        <f t="shared" si="99"/>
        <v>0</v>
      </c>
      <c r="DN61" s="214">
        <f t="shared" si="99"/>
        <v>0</v>
      </c>
      <c r="DO61" s="214">
        <f t="shared" si="99"/>
        <v>180</v>
      </c>
      <c r="DP61" s="214">
        <f t="shared" si="99"/>
        <v>0</v>
      </c>
      <c r="DQ61" s="214">
        <f t="shared" si="99"/>
        <v>0</v>
      </c>
      <c r="DR61" s="214">
        <f t="shared" si="99"/>
        <v>0</v>
      </c>
      <c r="DS61" s="214">
        <f t="shared" si="99"/>
        <v>0</v>
      </c>
      <c r="DT61" s="214">
        <f t="shared" si="99"/>
        <v>0</v>
      </c>
      <c r="DU61" s="214">
        <f t="shared" si="99"/>
        <v>0</v>
      </c>
      <c r="DV61" s="214">
        <f t="shared" si="99"/>
        <v>0</v>
      </c>
      <c r="DW61" s="214">
        <f t="shared" si="99"/>
        <v>0</v>
      </c>
      <c r="DZ61" s="650"/>
      <c r="FI61" s="195"/>
      <c r="FJ61" s="195"/>
      <c r="FK61" s="195"/>
      <c r="FL61" s="195"/>
      <c r="FM61" s="195"/>
      <c r="FN61" s="195"/>
      <c r="FO61" s="195"/>
    </row>
    <row r="62" spans="1:171">
      <c r="A62" s="342" t="s">
        <v>112</v>
      </c>
      <c r="B62" s="427" t="str">
        <f>'Portfolio Inputs'!A61</f>
        <v>Pin-Based CFL 19W or 32W</v>
      </c>
      <c r="C62" s="217">
        <f>IF($C$1=2014,'Portfolio Inputs'!$C61,IF($C$1=2015,'Portfolio Inputs'!$D61,'Portfolio Inputs'!$E61))</f>
        <v>9</v>
      </c>
      <c r="D62" s="504">
        <f>VLOOKUP(B62,Sources!$B$4:$J$104,2,FALSE)</f>
        <v>10</v>
      </c>
      <c r="E62" s="504">
        <f>VLOOKUP(B62,Sources!$B$4:$J$104,3,FALSE)</f>
        <v>0</v>
      </c>
      <c r="G62" s="504">
        <f>IF($C$1=2014,'Portfolio Inputs'!$G61,IF($C$1=2015,'Portfolio Inputs'!$H61,'Portfolio Inputs'!$I61))*EnergyLineLoss</f>
        <v>5751.4458375000004</v>
      </c>
      <c r="H62" s="504"/>
      <c r="I62" s="595">
        <f>IF($C$1=2014,'Portfolio Inputs'!$K61,IF($C$1=2015,'Portfolio Inputs'!$L61,'Portfolio Inputs'!$M61))*PeakLineLoss</f>
        <v>0.88934274000000002</v>
      </c>
      <c r="J62" s="510"/>
      <c r="L62" s="606">
        <f>IF($C$1=2014,'Portfolio Inputs'!$O61,IF($C$1=2015,'Portfolio Inputs'!$P61,'Portfolio Inputs'!$Q61))</f>
        <v>40</v>
      </c>
      <c r="M62" s="518">
        <f>VLOOKUP($B62,Sources!$B$4:$K$104,10,FALSE)</f>
        <v>0</v>
      </c>
      <c r="N62" s="419">
        <f>IF($C$1=2014,'Portfolio Inputs'!$W61,IF($C$1=2015,'Portfolio Inputs'!$X61,'Portfolio Inputs'!$Y61))</f>
        <v>162</v>
      </c>
      <c r="O62" s="419">
        <f>IF($C$1=2014,'Portfolio Inputs'!$AA61,IF($C$1=2015,'Portfolio Inputs'!$AB61,'Portfolio Inputs'!$AC61))</f>
        <v>0</v>
      </c>
      <c r="Q62" s="438">
        <f t="shared" si="67"/>
        <v>5.1667885240430369</v>
      </c>
      <c r="R62" s="439">
        <f t="shared" si="68"/>
        <v>11.481752275651193</v>
      </c>
      <c r="S62" s="439">
        <f t="shared" si="69"/>
        <v>6.4479651331115964</v>
      </c>
      <c r="T62" s="439">
        <f t="shared" si="70"/>
        <v>13.262428838345887</v>
      </c>
      <c r="U62" s="439">
        <f t="shared" si="98"/>
        <v>13.262428838345887</v>
      </c>
      <c r="V62" s="439">
        <f t="shared" si="72"/>
        <v>0.38958086690005178</v>
      </c>
      <c r="W62" s="439">
        <f t="shared" si="73"/>
        <v>0.38958086690005178</v>
      </c>
      <c r="Y62" s="215">
        <f t="shared" si="4"/>
        <v>1570.1679951118388</v>
      </c>
      <c r="Z62" s="215">
        <f t="shared" si="5"/>
        <v>389.34485092322456</v>
      </c>
      <c r="AA62" s="215">
        <f t="shared" si="6"/>
        <v>3893.6499158042752</v>
      </c>
      <c r="AB62" s="215">
        <f t="shared" si="7"/>
        <v>3893.6499158042752</v>
      </c>
      <c r="AC62" s="216">
        <f t="shared" si="20"/>
        <v>0</v>
      </c>
      <c r="AD62" s="216">
        <f t="shared" si="21"/>
        <v>136.75334194778088</v>
      </c>
      <c r="AE62" s="215">
        <f t="shared" si="8"/>
        <v>303.89631543951305</v>
      </c>
      <c r="AG62" s="214">
        <f>IF(AND(($E62+$C$1)&gt;AG$4,AG$4&gt;=$C$1),'General Inputs'!D$9*$H62,IF(AND(($D62+$C$1)&gt;AG$4,AG$4&gt;=$C$1),'General Inputs'!D$9*$G62,0))+IF(AND(($E62+$C$1)&gt;AG$4,AG$4&gt;=$C$1),'General Inputs'!D$10*$J62,IF(AND(($D62+$C$1)&gt;AG$4,AG$4&gt;=$C$1),'General Inputs'!D$10*$I62,0))</f>
        <v>0</v>
      </c>
      <c r="AH62" s="214">
        <f>IF(AND(($E62+$C$1)&gt;AH$4,AH$4&gt;=$C$1),'General Inputs'!E$9*$H62,IF(AND(($D62+$C$1)&gt;AH$4,AH$4&gt;=$C$1),'General Inputs'!E$9*$G62,0))+IF(AND(($E62+$C$1)&gt;AH$4,AH$4&gt;=$C$1),'General Inputs'!E$10*$J62,IF(AND(($D62+$C$1)&gt;AH$4,AH$4&gt;=$C$1),'General Inputs'!E$10*$I62,0))</f>
        <v>0</v>
      </c>
      <c r="AI62" s="214">
        <f>IF(AND(($E62+$C$1)&gt;AI$4,AI$4&gt;=$C$1),'General Inputs'!F$9*$H62,IF(AND(($D62+$C$1)&gt;AI$4,AI$4&gt;=$C$1),'General Inputs'!F$9*$G62,0))+IF(AND(($E62+$C$1)&gt;AI$4,AI$4&gt;=$C$1),'General Inputs'!F$10*$J62,IF(AND(($D62+$C$1)&gt;AI$4,AI$4&gt;=$C$1),'General Inputs'!F$10*$I62,0))</f>
        <v>249.61853723068597</v>
      </c>
      <c r="AJ62" s="214">
        <f>IF(AND(($E62+$C$1)&gt;AJ$4,AJ$4&gt;=$C$1),'General Inputs'!G$9*$H62,IF(AND(($D62+$C$1)&gt;AJ$4,AJ$4&gt;=$C$1),'General Inputs'!G$9*$G62,0))+IF(AND(($E62+$C$1)&gt;AJ$4,AJ$4&gt;=$C$1),'General Inputs'!G$10*$J62,IF(AND(($D62+$C$1)&gt;AJ$4,AJ$4&gt;=$C$1),'General Inputs'!G$10*$I62,0))</f>
        <v>253.36281528914623</v>
      </c>
      <c r="AK62" s="214">
        <f>IF(AND(($E62+$C$1)&gt;AK$4,AK$4&gt;=$C$1),'General Inputs'!H$9*$H62,IF(AND(($D62+$C$1)&gt;AK$4,AK$4&gt;=$C$1),'General Inputs'!H$9*$G62,0))+IF(AND(($E62+$C$1)&gt;AK$4,AK$4&gt;=$C$1),'General Inputs'!H$10*$J62,IF(AND(($D62+$C$1)&gt;AK$4,AK$4&gt;=$C$1),'General Inputs'!H$10*$I62,0))</f>
        <v>257.16325751848342</v>
      </c>
      <c r="AL62" s="214">
        <f>IF(AND(($E62+$C$1)&gt;AL$4,AL$4&gt;=$C$1),'General Inputs'!I$9*$H62,IF(AND(($D62+$C$1)&gt;AL$4,AL$4&gt;=$C$1),'General Inputs'!I$9*$G62,0))+IF(AND(($E62+$C$1)&gt;AL$4,AL$4&gt;=$C$1),'General Inputs'!I$10*$J62,IF(AND(($D62+$C$1)&gt;AL$4,AL$4&gt;=$C$1),'General Inputs'!I$10*$I62,0))</f>
        <v>261.0207063812606</v>
      </c>
      <c r="AM62" s="214">
        <f>IF(AND(($E62+$C$1)&gt;AM$4,AM$4&gt;=$C$1),'General Inputs'!J$9*$H62,IF(AND(($D62+$C$1)&gt;AM$4,AM$4&gt;=$C$1),'General Inputs'!J$9*$G62,0))+IF(AND(($E62+$C$1)&gt;AM$4,AM$4&gt;=$C$1),'General Inputs'!J$10*$J62,IF(AND(($D62+$C$1)&gt;AM$4,AM$4&gt;=$C$1),'General Inputs'!J$10*$I62,0))</f>
        <v>264.93601697697949</v>
      </c>
      <c r="AN62" s="214">
        <f>IF(AND(($E62+$C$1)&gt;AN$4,AN$4&gt;=$C$1),'General Inputs'!K$9*$H62,IF(AND(($D62+$C$1)&gt;AN$4,AN$4&gt;=$C$1),'General Inputs'!K$9*$G62,0))+IF(AND(($E62+$C$1)&gt;AN$4,AN$4&gt;=$C$1),'General Inputs'!K$10*$J62,IF(AND(($D62+$C$1)&gt;AN$4,AN$4&gt;=$C$1),'General Inputs'!K$10*$I62,0))</f>
        <v>268.91005723163414</v>
      </c>
      <c r="AO62" s="214">
        <f>IF(AND(($E62+$C$1)&gt;AO$4,AO$4&gt;=$C$1),'General Inputs'!L$9*$H62,IF(AND(($D62+$C$1)&gt;AO$4,AO$4&gt;=$C$1),'General Inputs'!L$9*$G62,0))+IF(AND(($E62+$C$1)&gt;AO$4,AO$4&gt;=$C$1),'General Inputs'!L$10*$J62,IF(AND(($D62+$C$1)&gt;AO$4,AO$4&gt;=$C$1),'General Inputs'!L$10*$I62,0))</f>
        <v>272.9437080901086</v>
      </c>
      <c r="AP62" s="214">
        <f>IF(AND(($E62+$C$1)&gt;AP$4,AP$4&gt;=$C$1),'General Inputs'!M$9*$H62,IF(AND(($D62+$C$1)&gt;AP$4,AP$4&gt;=$C$1),'General Inputs'!M$9*$G62,0))+IF(AND(($E62+$C$1)&gt;AP$4,AP$4&gt;=$C$1),'General Inputs'!M$10*$J62,IF(AND(($D62+$C$1)&gt;AP$4,AP$4&gt;=$C$1),'General Inputs'!M$10*$I62,0))</f>
        <v>277.0378637114602</v>
      </c>
      <c r="AQ62" s="214">
        <f>IF(AND(($E62+$C$1)&gt;AQ$4,AQ$4&gt;=$C$1),'General Inputs'!N$9*$H62,IF(AND(($D62+$C$1)&gt;AQ$4,AQ$4&gt;=$C$1),'General Inputs'!N$9*$G62,0))+IF(AND(($E62+$C$1)&gt;AQ$4,AQ$4&gt;=$C$1),'General Inputs'!N$10*$J62,IF(AND(($D62+$C$1)&gt;AQ$4,AQ$4&gt;=$C$1),'General Inputs'!N$10*$I62,0))</f>
        <v>281.19343166713207</v>
      </c>
      <c r="AR62" s="214">
        <f>IF(AND(($E62+$C$1)&gt;AR$4,AR$4&gt;=$C$1),'General Inputs'!O$9*$H62,IF(AND(($D62+$C$1)&gt;AR$4,AR$4&gt;=$C$1),'General Inputs'!O$9*$G62,0))+IF(AND(($E62+$C$1)&gt;AR$4,AR$4&gt;=$C$1),'General Inputs'!O$10*$J62,IF(AND(($D62+$C$1)&gt;AR$4,AR$4&gt;=$C$1),'General Inputs'!O$10*$I62,0))</f>
        <v>285.41133314213903</v>
      </c>
      <c r="AS62" s="214">
        <f>IF(AND(($E62+$C$1)&gt;AS$4,AS$4&gt;=$C$1),'General Inputs'!P$9*$H62,IF(AND(($D62+$C$1)&gt;AS$4,AS$4&gt;=$C$1),'General Inputs'!P$9*$G62,0))+IF(AND(($E62+$C$1)&gt;AS$4,AS$4&gt;=$C$1),'General Inputs'!P$10*$J62,IF(AND(($D62+$C$1)&gt;AS$4,AS$4&gt;=$C$1),'General Inputs'!P$10*$I62,0))</f>
        <v>0</v>
      </c>
      <c r="AT62" s="214">
        <f>IF(AND(($E62+$C$1)&gt;AT$4,AT$4&gt;=$C$1),'General Inputs'!Q$9*$H62,IF(AND(($D62+$C$1)&gt;AT$4,AT$4&gt;=$C$1),'General Inputs'!Q$9*$G62,0))+IF(AND(($E62+$C$1)&gt;AT$4,AT$4&gt;=$C$1),'General Inputs'!Q$10*$J62,IF(AND(($D62+$C$1)&gt;AT$4,AT$4&gt;=$C$1),'General Inputs'!Q$10*$I62,0))</f>
        <v>0</v>
      </c>
      <c r="AU62" s="214">
        <f>IF(AND(($E62+$C$1)&gt;AU$4,AU$4&gt;=$C$1),'General Inputs'!R$9*$H62,IF(AND(($D62+$C$1)&gt;AU$4,AU$4&gt;=$C$1),'General Inputs'!R$9*$G62,0))+IF(AND(($E62+$C$1)&gt;AU$4,AU$4&gt;=$C$1),'General Inputs'!R$10*$J62,IF(AND(($D62+$C$1)&gt;AU$4,AU$4&gt;=$C$1),'General Inputs'!R$10*$I62,0))</f>
        <v>0</v>
      </c>
      <c r="AV62" s="214">
        <f>IF(AND(($E62+$C$1)&gt;AV$4,AV$4&gt;=$C$1),'General Inputs'!S$9*$H62,IF(AND(($D62+$C$1)&gt;AV$4,AV$4&gt;=$C$1),'General Inputs'!S$9*$G62,0))+IF(AND(($E62+$C$1)&gt;AV$4,AV$4&gt;=$C$1),'General Inputs'!S$10*$J62,IF(AND(($D62+$C$1)&gt;AV$4,AV$4&gt;=$C$1),'General Inputs'!S$10*$I62,0))</f>
        <v>0</v>
      </c>
      <c r="AW62" s="214">
        <f>IF(AND(($E62+$C$1)&gt;AW$4,AW$4&gt;=$C$1),'General Inputs'!T$9*$H62,IF(AND(($D62+$C$1)&gt;AW$4,AW$4&gt;=$C$1),'General Inputs'!T$9*$G62,0))+IF(AND(($E62+$C$1)&gt;AW$4,AW$4&gt;=$C$1),'General Inputs'!T$10*$J62,IF(AND(($D62+$C$1)&gt;AW$4,AW$4&gt;=$C$1),'General Inputs'!T$10*$I62,0))</f>
        <v>0</v>
      </c>
      <c r="AX62" s="214">
        <f>IF(AND(($E62+$C$1)&gt;AX$4,AX$4&gt;=$C$1),'General Inputs'!U$9*$H62,IF(AND(($D62+$C$1)&gt;AX$4,AX$4&gt;=$C$1),'General Inputs'!U$9*$G62,0))+IF(AND(($E62+$C$1)&gt;AX$4,AX$4&gt;=$C$1),'General Inputs'!U$10*$J62,IF(AND(($D62+$C$1)&gt;AX$4,AX$4&gt;=$C$1),'General Inputs'!U$10*$I62,0))</f>
        <v>0</v>
      </c>
      <c r="AY62" s="214">
        <f>IF(AND(($E62+$C$1)&gt;AY$4,AY$4&gt;=$C$1),'General Inputs'!V$9*$H62,IF(AND(($D62+$C$1)&gt;AY$4,AY$4&gt;=$C$1),'General Inputs'!V$9*$G62,0))+IF(AND(($E62+$C$1)&gt;AY$4,AY$4&gt;=$C$1),'General Inputs'!V$10*$J62,IF(AND(($D62+$C$1)&gt;AY$4,AY$4&gt;=$C$1),'General Inputs'!V$10*$I62,0))</f>
        <v>0</v>
      </c>
      <c r="AZ62" s="214">
        <f>IF(AND(($E62+$C$1)&gt;AZ$4,AZ$4&gt;=$C$1),'General Inputs'!W$9*$H62,IF(AND(($D62+$C$1)&gt;AZ$4,AZ$4&gt;=$C$1),'General Inputs'!W$9*$G62,0))+IF(AND(($E62+$C$1)&gt;AZ$4,AZ$4&gt;=$C$1),'General Inputs'!W$10*$J62,IF(AND(($D62+$C$1)&gt;AZ$4,AZ$4&gt;=$C$1),'General Inputs'!W$10*$I62,0))</f>
        <v>0</v>
      </c>
      <c r="BB62" s="214">
        <f>IF(AND(($E62+$C$1)&gt;BB$4,BB$4&gt;=$C$1),'General Inputs'!D$11*$H62,IF(AND(($D62+$C$1)&gt;BB$4,BB$4&gt;=$C$1),'General Inputs'!D$11*$G62,0))</f>
        <v>0</v>
      </c>
      <c r="BC62" s="214">
        <f>IF(AND(($E62+$C$1)&gt;BC$4,BC$4&gt;=$C$1),'General Inputs'!E$11*$H62,IF(AND(($D62+$C$1)&gt;BC$4,BC$4&gt;=$C$1),'General Inputs'!E$11*$G62,0))</f>
        <v>0</v>
      </c>
      <c r="BD62" s="214">
        <f>IF(AND(($E62+$C$1)&gt;BD$4,BD$4&gt;=$C$1),'General Inputs'!F$11*$H62,IF(AND(($D62+$C$1)&gt;BD$4,BD$4&gt;=$C$1),'General Inputs'!F$11*$G62,0))</f>
        <v>65.566482547500001</v>
      </c>
      <c r="BE62" s="214">
        <f>IF(AND(($E62+$C$1)&gt;BE$4,BE$4&gt;=$C$1),'General Inputs'!G$11*$H62,IF(AND(($D62+$C$1)&gt;BE$4,BE$4&gt;=$C$1),'General Inputs'!G$11*$G62,0))</f>
        <v>65.566482547500001</v>
      </c>
      <c r="BF62" s="214">
        <f>IF(AND(($E62+$C$1)&gt;BF$4,BF$4&gt;=$C$1),'General Inputs'!H$11*$H62,IF(AND(($D62+$C$1)&gt;BF$4,BF$4&gt;=$C$1),'General Inputs'!H$11*$G62,0))</f>
        <v>65.566482547500001</v>
      </c>
      <c r="BG62" s="214">
        <f>IF(AND(($E62+$C$1)&gt;BG$4,BG$4&gt;=$C$1),'General Inputs'!I$11*$H62,IF(AND(($D62+$C$1)&gt;BG$4,BG$4&gt;=$C$1),'General Inputs'!I$11*$G62,0))</f>
        <v>65.566482547500001</v>
      </c>
      <c r="BH62" s="214">
        <f>IF(AND(($E62+$C$1)&gt;BH$4,BH$4&gt;=$C$1),'General Inputs'!J$11*$H62,IF(AND(($D62+$C$1)&gt;BH$4,BH$4&gt;=$C$1),'General Inputs'!J$11*$G62,0))</f>
        <v>65.566482547500001</v>
      </c>
      <c r="BI62" s="214">
        <f>IF(AND(($E62+$C$1)&gt;BI$4,BI$4&gt;=$C$1),'General Inputs'!K$11*$H62,IF(AND(($D62+$C$1)&gt;BI$4,BI$4&gt;=$C$1),'General Inputs'!K$11*$G62,0))</f>
        <v>65.566482547500001</v>
      </c>
      <c r="BJ62" s="214">
        <f>IF(AND(($E62+$C$1)&gt;BJ$4,BJ$4&gt;=$C$1),'General Inputs'!L$11*$H62,IF(AND(($D62+$C$1)&gt;BJ$4,BJ$4&gt;=$C$1),'General Inputs'!L$11*$G62,0))</f>
        <v>65.566482547500001</v>
      </c>
      <c r="BK62" s="214">
        <f>IF(AND(($E62+$C$1)&gt;BK$4,BK$4&gt;=$C$1),'General Inputs'!M$11*$H62,IF(AND(($D62+$C$1)&gt;BK$4,BK$4&gt;=$C$1),'General Inputs'!M$11*$G62,0))</f>
        <v>65.566482547500001</v>
      </c>
      <c r="BL62" s="214">
        <f>IF(AND(($E62+$C$1)&gt;BL$4,BL$4&gt;=$C$1),'General Inputs'!N$11*$H62,IF(AND(($D62+$C$1)&gt;BL$4,BL$4&gt;=$C$1),'General Inputs'!N$11*$G62,0))</f>
        <v>65.566482547500001</v>
      </c>
      <c r="BM62" s="214">
        <f>IF(AND(($E62+$C$1)&gt;BM$4,BM$4&gt;=$C$1),'General Inputs'!O$11*$H62,IF(AND(($D62+$C$1)&gt;BM$4,BM$4&gt;=$C$1),'General Inputs'!O$11*$G62,0))</f>
        <v>65.566482547500001</v>
      </c>
      <c r="BN62" s="214">
        <f>IF(AND(($E62+$C$1)&gt;BN$4,BN$4&gt;=$C$1),'General Inputs'!P$11*$H62,IF(AND(($D62+$C$1)&gt;BN$4,BN$4&gt;=$C$1),'General Inputs'!P$11*$G62,0))</f>
        <v>0</v>
      </c>
      <c r="BO62" s="214">
        <f>IF(AND(($E62+$C$1)&gt;BO$4,BO$4&gt;=$C$1),'General Inputs'!Q$11*$H62,IF(AND(($D62+$C$1)&gt;BO$4,BO$4&gt;=$C$1),'General Inputs'!Q$11*$G62,0))</f>
        <v>0</v>
      </c>
      <c r="BP62" s="214">
        <f>IF(AND(($E62+$C$1)&gt;BP$4,BP$4&gt;=$C$1),'General Inputs'!R$11*$H62,IF(AND(($D62+$C$1)&gt;BP$4,BP$4&gt;=$C$1),'General Inputs'!R$11*$G62,0))</f>
        <v>0</v>
      </c>
      <c r="BQ62" s="214">
        <f>IF(AND(($E62+$C$1)&gt;BQ$4,BQ$4&gt;=$C$1),'General Inputs'!S$11*$H62,IF(AND(($D62+$C$1)&gt;BQ$4,BQ$4&gt;=$C$1),'General Inputs'!S$11*$G62,0))</f>
        <v>0</v>
      </c>
      <c r="BR62" s="214">
        <f>IF(AND(($E62+$C$1)&gt;BR$4,BR$4&gt;=$C$1),'General Inputs'!T$11*$H62,IF(AND(($D62+$C$1)&gt;BR$4,BR$4&gt;=$C$1),'General Inputs'!T$11*$G62,0))</f>
        <v>0</v>
      </c>
      <c r="BS62" s="214">
        <f>IF(AND(($E62+$C$1)&gt;BS$4,BS$4&gt;=$C$1),'General Inputs'!U$11*$H62,IF(AND(($D62+$C$1)&gt;BS$4,BS$4&gt;=$C$1),'General Inputs'!U$11*$G62,0))</f>
        <v>0</v>
      </c>
      <c r="BT62" s="214">
        <f>IF(AND(($E62+$C$1)&gt;BT$4,BT$4&gt;=$C$1),'General Inputs'!V$11*$H62,IF(AND(($D62+$C$1)&gt;BT$4,BT$4&gt;=$C$1),'General Inputs'!V$11*$G62,0))</f>
        <v>0</v>
      </c>
      <c r="BU62" s="214">
        <f>IF(AND(($E62+$C$1)&gt;BU$4,BU$4&gt;=$C$1),'General Inputs'!W$11*$H62,IF(AND(($D62+$C$1)&gt;BU$4,BU$4&gt;=$C$1),'General Inputs'!W$11*$G62,0))</f>
        <v>0</v>
      </c>
      <c r="BW62" s="214">
        <f>IF(AND(($E62+$C$1)&gt;BW$4,BW$4&gt;=$C$1),$H62,IF(AND(($D62+$C$1)&gt;BW$4,BW$4&gt;=$C$1),$G62,0))*IF($A62="Residential",'General Inputs'!D$14,'General Inputs'!D$19)</f>
        <v>0</v>
      </c>
      <c r="BX62" s="214">
        <f>IF(AND(($E62+$C$1)&gt;BX$4,BX$4&gt;=$C$1),$H62,IF(AND(($D62+$C$1)&gt;BX$4,BX$4&gt;=$C$1),$G62,0))*IF($A62="Residential",'General Inputs'!E$14,'General Inputs'!E$19)</f>
        <v>0</v>
      </c>
      <c r="BY62" s="214">
        <f>IF(AND(($E62+$C$1)&gt;BY$4,BY$4&gt;=$C$1),$H62,IF(AND(($D62+$C$1)&gt;BY$4,BY$4&gt;=$C$1),$G62,0))*IF($A62="Residential",'General Inputs'!F$14,'General Inputs'!F$19)</f>
        <v>618.99567402800062</v>
      </c>
      <c r="BZ62" s="214">
        <f>IF(AND(($E62+$C$1)&gt;BZ$4,BZ$4&gt;=$C$1),$H62,IF(AND(($D62+$C$1)&gt;BZ$4,BZ$4&gt;=$C$1),$G62,0))*IF($A62="Residential",'General Inputs'!G$14,'General Inputs'!G$19)</f>
        <v>628.28060913842057</v>
      </c>
      <c r="CA62" s="214">
        <f>IF(AND(($E62+$C$1)&gt;CA$4,CA$4&gt;=$C$1),$H62,IF(AND(($D62+$C$1)&gt;CA$4,CA$4&gt;=$C$1),$G62,0))*IF($A62="Residential",'General Inputs'!H$14,'General Inputs'!H$19)</f>
        <v>637.70481827549668</v>
      </c>
      <c r="CB62" s="214">
        <f>IF(AND(($E62+$C$1)&gt;CB$4,CB$4&gt;=$C$1),$H62,IF(AND(($D62+$C$1)&gt;CB$4,CB$4&gt;=$C$1),$G62,0))*IF($A62="Residential",'General Inputs'!I$14,'General Inputs'!I$19)</f>
        <v>647.27039054962904</v>
      </c>
      <c r="CC62" s="214">
        <f>IF(AND(($E62+$C$1)&gt;CC$4,CC$4&gt;=$C$1),$H62,IF(AND(($D62+$C$1)&gt;CC$4,CC$4&gt;=$C$1),$G62,0))*IF($A62="Residential",'General Inputs'!J$14,'General Inputs'!J$19)</f>
        <v>656.97944640787352</v>
      </c>
      <c r="CD62" s="214">
        <f>IF(AND(($E62+$C$1)&gt;CD$4,CD$4&gt;=$C$1),$H62,IF(AND(($D62+$C$1)&gt;CD$4,CD$4&gt;=$C$1),$G62,0))*IF($A62="Residential",'General Inputs'!K$14,'General Inputs'!K$19)</f>
        <v>666.83413810399156</v>
      </c>
      <c r="CE62" s="214">
        <f>IF(AND(($E62+$C$1)&gt;CE$4,CE$4&gt;=$C$1),$H62,IF(AND(($D62+$C$1)&gt;CE$4,CE$4&gt;=$C$1),$G62,0))*IF($A62="Residential",'General Inputs'!L$14,'General Inputs'!L$19)</f>
        <v>676.83665017555131</v>
      </c>
      <c r="CF62" s="214">
        <f>IF(AND(($E62+$C$1)&gt;CF$4,CF$4&gt;=$C$1),$H62,IF(AND(($D62+$C$1)&gt;CF$4,CF$4&gt;=$C$1),$G62,0))*IF($A62="Residential",'General Inputs'!M$14,'General Inputs'!M$19)</f>
        <v>686.98919992818458</v>
      </c>
      <c r="CG62" s="214">
        <f>IF(AND(($E62+$C$1)&gt;CG$4,CG$4&gt;=$C$1),$H62,IF(AND(($D62+$C$1)&gt;CG$4,CG$4&gt;=$C$1),$G62,0))*IF($A62="Residential",'General Inputs'!N$14,'General Inputs'!N$19)</f>
        <v>697.2940379271073</v>
      </c>
      <c r="CH62" s="214">
        <f>IF(AND(($E62+$C$1)&gt;CH$4,CH$4&gt;=$C$1),$H62,IF(AND(($D62+$C$1)&gt;CH$4,CH$4&gt;=$C$1),$G62,0))*IF($A62="Residential",'General Inputs'!O$14,'General Inputs'!O$19)</f>
        <v>707.75344849601379</v>
      </c>
      <c r="CI62" s="214">
        <f>IF(AND(($E62+$C$1)&gt;CI$4,CI$4&gt;=$C$1),$H62,IF(AND(($D62+$C$1)&gt;CI$4,CI$4&gt;=$C$1),$G62,0))*IF($A62="Residential",'General Inputs'!P$14,'General Inputs'!P$19)</f>
        <v>0</v>
      </c>
      <c r="CJ62" s="214">
        <f>IF(AND(($E62+$C$1)&gt;CJ$4,CJ$4&gt;=$C$1),$H62,IF(AND(($D62+$C$1)&gt;CJ$4,CJ$4&gt;=$C$1),$G62,0))*IF($A62="Residential",'General Inputs'!Q$14,'General Inputs'!Q$19)</f>
        <v>0</v>
      </c>
      <c r="CK62" s="214">
        <f>IF(AND(($E62+$C$1)&gt;CK$4,CK$4&gt;=$C$1),$H62,IF(AND(($D62+$C$1)&gt;CK$4,CK$4&gt;=$C$1),$G62,0))*IF($A62="Residential",'General Inputs'!R$14,'General Inputs'!R$19)</f>
        <v>0</v>
      </c>
      <c r="CL62" s="214">
        <f>IF(AND(($E62+$C$1)&gt;CL$4,CL$4&gt;=$C$1),$H62,IF(AND(($D62+$C$1)&gt;CL$4,CL$4&gt;=$C$1),$G62,0))*IF($A62="Residential",'General Inputs'!S$14,'General Inputs'!S$19)</f>
        <v>0</v>
      </c>
      <c r="CM62" s="214">
        <f>IF(AND(($E62+$C$1)&gt;CM$4,CM$4&gt;=$C$1),$H62,IF(AND(($D62+$C$1)&gt;CM$4,CM$4&gt;=$C$1),$G62,0))*IF($A62="Residential",'General Inputs'!T$14,'General Inputs'!T$19)</f>
        <v>0</v>
      </c>
      <c r="CN62" s="214">
        <f>IF(AND(($E62+$C$1)&gt;CN$4,CN$4&gt;=$C$1),$H62,IF(AND(($D62+$C$1)&gt;CN$4,CN$4&gt;=$C$1),$G62,0))*IF($A62="Residential",'General Inputs'!U$14,'General Inputs'!U$19)</f>
        <v>0</v>
      </c>
      <c r="CO62" s="214">
        <f>IF(AND(($E62+$C$1)&gt;CO$4,CO$4&gt;=$C$1),$H62,IF(AND(($D62+$C$1)&gt;CO$4,CO$4&gt;=$C$1),$G62,0))*IF($A62="Residential",'General Inputs'!V$14,'General Inputs'!V$19)</f>
        <v>0</v>
      </c>
      <c r="CP62" s="214">
        <f>IF(AND(($E62+$C$1)&gt;CP$4,CP$4&gt;=$C$1),$H62,IF(AND(($D62+$C$1)&gt;CP$4,CP$4&gt;=$C$1),$G62,0))*IF($A62="Residential",'General Inputs'!W$14,'General Inputs'!W$19)</f>
        <v>0</v>
      </c>
      <c r="CR62" s="214">
        <f>IF(AND(($E62+$C$1)&gt;CR$4,CR$4&gt;=$C$1),$H62,IF(AND(($D62+$C$1)&gt;CR$4,CR$4&gt;=$C$1),$G62,0))*IF($A62="Residential",'General Inputs'!D$15,'General Inputs'!D$19)</f>
        <v>0</v>
      </c>
      <c r="CS62" s="214">
        <f>IF(AND(($E62+$C$1)&gt;CS$4,CS$4&gt;=$C$1),$H62,IF(AND(($D62+$C$1)&gt;CS$4,CS$4&gt;=$C$1),$G62,0))*IF($A62="Residential",'General Inputs'!E$15,'General Inputs'!E$19)</f>
        <v>0</v>
      </c>
      <c r="CT62" s="214">
        <f>IF(AND(($E62+$C$1)&gt;CT$4,CT$4&gt;=$C$1),$H62,IF(AND(($D62+$C$1)&gt;CT$4,CT$4&gt;=$C$1),$G62,0))*IF($A62="Residential",'General Inputs'!F$15,'General Inputs'!F$19)</f>
        <v>618.99567402800062</v>
      </c>
      <c r="CU62" s="214">
        <f>IF(AND(($E62+$C$1)&gt;CU$4,CU$4&gt;=$C$1),$H62,IF(AND(($D62+$C$1)&gt;CU$4,CU$4&gt;=$C$1),$G62,0))*IF($A62="Residential",'General Inputs'!G$15,'General Inputs'!G$19)</f>
        <v>628.28060913842057</v>
      </c>
      <c r="CV62" s="214">
        <f>IF(AND(($E62+$C$1)&gt;CV$4,CV$4&gt;=$C$1),$H62,IF(AND(($D62+$C$1)&gt;CV$4,CV$4&gt;=$C$1),$G62,0))*IF($A62="Residential",'General Inputs'!H$15,'General Inputs'!H$19)</f>
        <v>637.70481827549668</v>
      </c>
      <c r="CW62" s="214">
        <f>IF(AND(($E62+$C$1)&gt;CW$4,CW$4&gt;=$C$1),$H62,IF(AND(($D62+$C$1)&gt;CW$4,CW$4&gt;=$C$1),$G62,0))*IF($A62="Residential",'General Inputs'!I$15,'General Inputs'!I$19)</f>
        <v>647.27039054962904</v>
      </c>
      <c r="CX62" s="214">
        <f>IF(AND(($E62+$C$1)&gt;CX$4,CX$4&gt;=$C$1),$H62,IF(AND(($D62+$C$1)&gt;CX$4,CX$4&gt;=$C$1),$G62,0))*IF($A62="Residential",'General Inputs'!J$15,'General Inputs'!J$19)</f>
        <v>656.97944640787352</v>
      </c>
      <c r="CY62" s="214">
        <f>IF(AND(($E62+$C$1)&gt;CY$4,CY$4&gt;=$C$1),$H62,IF(AND(($D62+$C$1)&gt;CY$4,CY$4&gt;=$C$1),$G62,0))*IF($A62="Residential",'General Inputs'!K$15,'General Inputs'!K$19)</f>
        <v>666.83413810399156</v>
      </c>
      <c r="CZ62" s="214">
        <f>IF(AND(($E62+$C$1)&gt;CZ$4,CZ$4&gt;=$C$1),$H62,IF(AND(($D62+$C$1)&gt;CZ$4,CZ$4&gt;=$C$1),$G62,0))*IF($A62="Residential",'General Inputs'!L$15,'General Inputs'!L$19)</f>
        <v>676.83665017555131</v>
      </c>
      <c r="DA62" s="214">
        <f>IF(AND(($E62+$C$1)&gt;DA$4,DA$4&gt;=$C$1),$H62,IF(AND(($D62+$C$1)&gt;DA$4,DA$4&gt;=$C$1),$G62,0))*IF($A62="Residential",'General Inputs'!M$15,'General Inputs'!M$19)</f>
        <v>686.98919992818458</v>
      </c>
      <c r="DB62" s="214">
        <f>IF(AND(($E62+$C$1)&gt;DB$4,DB$4&gt;=$C$1),$H62,IF(AND(($D62+$C$1)&gt;DB$4,DB$4&gt;=$C$1),$G62,0))*IF($A62="Residential",'General Inputs'!N$15,'General Inputs'!N$19)</f>
        <v>697.2940379271073</v>
      </c>
      <c r="DC62" s="214">
        <f>IF(AND(($E62+$C$1)&gt;DC$4,DC$4&gt;=$C$1),$H62,IF(AND(($D62+$C$1)&gt;DC$4,DC$4&gt;=$C$1),$G62,0))*IF($A62="Residential",'General Inputs'!O$15,'General Inputs'!O$19)</f>
        <v>707.75344849601379</v>
      </c>
      <c r="DD62" s="214">
        <f>IF(AND(($E62+$C$1)&gt;DD$4,DD$4&gt;=$C$1),$H62,IF(AND(($D62+$C$1)&gt;DD$4,DD$4&gt;=$C$1),$G62,0))*IF($A62="Residential",'General Inputs'!P$15,'General Inputs'!P$19)</f>
        <v>0</v>
      </c>
      <c r="DE62" s="214">
        <f>IF(AND(($E62+$C$1)&gt;DE$4,DE$4&gt;=$C$1),$H62,IF(AND(($D62+$C$1)&gt;DE$4,DE$4&gt;=$C$1),$G62,0))*IF($A62="Residential",'General Inputs'!Q$15,'General Inputs'!Q$19)</f>
        <v>0</v>
      </c>
      <c r="DF62" s="214">
        <f>IF(AND(($E62+$C$1)&gt;DF$4,DF$4&gt;=$C$1),$H62,IF(AND(($D62+$C$1)&gt;DF$4,DF$4&gt;=$C$1),$G62,0))*IF($A62="Residential",'General Inputs'!R$15,'General Inputs'!R$19)</f>
        <v>0</v>
      </c>
      <c r="DG62" s="214">
        <f>IF(AND(($E62+$C$1)&gt;DG$4,DG$4&gt;=$C$1),$H62,IF(AND(($D62+$C$1)&gt;DG$4,DG$4&gt;=$C$1),$G62,0))*IF($A62="Residential",'General Inputs'!S$15,'General Inputs'!S$19)</f>
        <v>0</v>
      </c>
      <c r="DH62" s="214">
        <f>IF(AND(($E62+$C$1)&gt;DH$4,DH$4&gt;=$C$1),$H62,IF(AND(($D62+$C$1)&gt;DH$4,DH$4&gt;=$C$1),$G62,0))*IF($A62="Residential",'General Inputs'!T$15,'General Inputs'!T$19)</f>
        <v>0</v>
      </c>
      <c r="DI62" s="214">
        <f>IF(AND(($E62+$C$1)&gt;DI$4,DI$4&gt;=$C$1),$H62,IF(AND(($D62+$C$1)&gt;DI$4,DI$4&gt;=$C$1),$G62,0))*IF($A62="Residential",'General Inputs'!U$15,'General Inputs'!U$19)</f>
        <v>0</v>
      </c>
      <c r="DJ62" s="214">
        <f>IF(AND(($E62+$C$1)&gt;DJ$4,DJ$4&gt;=$C$1),$H62,IF(AND(($D62+$C$1)&gt;DJ$4,DJ$4&gt;=$C$1),$G62,0))*IF($A62="Residential",'General Inputs'!V$15,'General Inputs'!V$19)</f>
        <v>0</v>
      </c>
      <c r="DK62" s="214">
        <f>IF(AND(($E62+$C$1)&gt;DK$4,DK$4&gt;=$C$1),$H62,IF(AND(($D62+$C$1)&gt;DK$4,DK$4&gt;=$C$1),$G62,0))*IF($A62="Residential",'General Inputs'!W$15,'General Inputs'!W$19)</f>
        <v>0</v>
      </c>
      <c r="DM62" s="214">
        <f t="shared" si="99"/>
        <v>0</v>
      </c>
      <c r="DN62" s="214">
        <f t="shared" si="99"/>
        <v>0</v>
      </c>
      <c r="DO62" s="214">
        <f t="shared" si="99"/>
        <v>360</v>
      </c>
      <c r="DP62" s="214">
        <f t="shared" si="99"/>
        <v>0</v>
      </c>
      <c r="DQ62" s="214">
        <f t="shared" si="99"/>
        <v>0</v>
      </c>
      <c r="DR62" s="214">
        <f t="shared" si="99"/>
        <v>0</v>
      </c>
      <c r="DS62" s="214">
        <f t="shared" si="99"/>
        <v>0</v>
      </c>
      <c r="DT62" s="214">
        <f t="shared" si="99"/>
        <v>0</v>
      </c>
      <c r="DU62" s="214">
        <f t="shared" si="99"/>
        <v>0</v>
      </c>
      <c r="DV62" s="214">
        <f t="shared" si="99"/>
        <v>0</v>
      </c>
      <c r="DW62" s="214">
        <f t="shared" si="99"/>
        <v>0</v>
      </c>
      <c r="DZ62" s="650"/>
      <c r="FI62" s="195"/>
      <c r="FJ62" s="195"/>
      <c r="FK62" s="195"/>
      <c r="FL62" s="195"/>
      <c r="FM62" s="195"/>
      <c r="FN62" s="195"/>
      <c r="FO62" s="195"/>
    </row>
    <row r="63" spans="1:171">
      <c r="A63" s="342" t="s">
        <v>112</v>
      </c>
      <c r="B63" s="427" t="str">
        <f>'Portfolio Inputs'!A62</f>
        <v>Pin-Based CFL ≥32W</v>
      </c>
      <c r="C63" s="217">
        <f>IF($C$1=2014,'Portfolio Inputs'!$C62,IF($C$1=2015,'Portfolio Inputs'!$D62,'Portfolio Inputs'!$E62))</f>
        <v>9</v>
      </c>
      <c r="D63" s="504">
        <f>VLOOKUP(B63,Sources!$B$4:$J$104,2,FALSE)</f>
        <v>10</v>
      </c>
      <c r="E63" s="504">
        <f>VLOOKUP(B63,Sources!$B$4:$J$104,3,FALSE)</f>
        <v>0</v>
      </c>
      <c r="G63" s="504">
        <f>IF($C$1=2014,'Portfolio Inputs'!$G62,IF($C$1=2015,'Portfolio Inputs'!$H62,'Portfolio Inputs'!$I62))*EnergyLineLoss</f>
        <v>9672.8861812499981</v>
      </c>
      <c r="H63" s="504"/>
      <c r="I63" s="595">
        <f>IF($C$1=2014,'Portfolio Inputs'!$K62,IF($C$1=2015,'Portfolio Inputs'!$L62,'Portfolio Inputs'!$M62))*PeakLineLoss</f>
        <v>1.49571279</v>
      </c>
      <c r="J63" s="510"/>
      <c r="L63" s="606">
        <f>IF($C$1=2014,'Portfolio Inputs'!$O62,IF($C$1=2015,'Portfolio Inputs'!$P62,'Portfolio Inputs'!$Q62))</f>
        <v>50</v>
      </c>
      <c r="M63" s="518">
        <f>VLOOKUP($B63,Sources!$B$4:$K$104,10,FALSE)</f>
        <v>0</v>
      </c>
      <c r="N63" s="419">
        <f>IF($C$1=2014,'Portfolio Inputs'!$W62,IF($C$1=2015,'Portfolio Inputs'!$X62,'Portfolio Inputs'!$Y62))</f>
        <v>216</v>
      </c>
      <c r="O63" s="419">
        <f>IF($C$1=2014,'Portfolio Inputs'!$AA62,IF($C$1=2015,'Portfolio Inputs'!$AB62,'Portfolio Inputs'!$AC62))</f>
        <v>0</v>
      </c>
      <c r="Q63" s="438">
        <f t="shared" si="67"/>
        <v>6.9516791050760816</v>
      </c>
      <c r="R63" s="439">
        <f t="shared" si="68"/>
        <v>14.482664802241835</v>
      </c>
      <c r="S63" s="439">
        <f t="shared" si="69"/>
        <v>8.6754439972774158</v>
      </c>
      <c r="T63" s="439">
        <f t="shared" si="70"/>
        <v>17.718540618865372</v>
      </c>
      <c r="U63" s="439">
        <f t="shared" si="98"/>
        <v>17.718540618865372</v>
      </c>
      <c r="V63" s="439">
        <f t="shared" si="72"/>
        <v>0.39233925945765846</v>
      </c>
      <c r="W63" s="439">
        <f t="shared" si="73"/>
        <v>0.39233925945765846</v>
      </c>
      <c r="Y63" s="215">
        <f t="shared" si="4"/>
        <v>2640.737082688091</v>
      </c>
      <c r="Z63" s="215">
        <f t="shared" si="5"/>
        <v>654.80724927996857</v>
      </c>
      <c r="AA63" s="215">
        <f t="shared" si="6"/>
        <v>6548.4112220344623</v>
      </c>
      <c r="AB63" s="215">
        <f t="shared" si="7"/>
        <v>6548.4112220344623</v>
      </c>
      <c r="AC63" s="216">
        <f t="shared" si="20"/>
        <v>0</v>
      </c>
      <c r="AD63" s="216">
        <f t="shared" si="21"/>
        <v>182.33778926370786</v>
      </c>
      <c r="AE63" s="215">
        <f t="shared" si="8"/>
        <v>379.87039429939136</v>
      </c>
      <c r="AG63" s="214">
        <f>IF(AND(($E63+$C$1)&gt;AG$4,AG$4&gt;=$C$1),'General Inputs'!D$9*$H63,IF(AND(($D63+$C$1)&gt;AG$4,AG$4&gt;=$C$1),'General Inputs'!D$9*$G63,0))+IF(AND(($E63+$C$1)&gt;AG$4,AG$4&gt;=$C$1),'General Inputs'!D$10*$J63,IF(AND(($D63+$C$1)&gt;AG$4,AG$4&gt;=$C$1),'General Inputs'!D$10*$I63,0))</f>
        <v>0</v>
      </c>
      <c r="AH63" s="214">
        <f>IF(AND(($E63+$C$1)&gt;AH$4,AH$4&gt;=$C$1),'General Inputs'!E$9*$H63,IF(AND(($D63+$C$1)&gt;AH$4,AH$4&gt;=$C$1),'General Inputs'!E$9*$G63,0))+IF(AND(($E63+$C$1)&gt;AH$4,AH$4&gt;=$C$1),'General Inputs'!E$10*$J63,IF(AND(($D63+$C$1)&gt;AH$4,AH$4&gt;=$C$1),'General Inputs'!E$10*$I63,0))</f>
        <v>0</v>
      </c>
      <c r="AI63" s="214">
        <f>IF(AND(($E63+$C$1)&gt;AI$4,AI$4&gt;=$C$1),'General Inputs'!F$9*$H63,IF(AND(($D63+$C$1)&gt;AI$4,AI$4&gt;=$C$1),'General Inputs'!F$9*$G63,0))+IF(AND(($E63+$C$1)&gt;AI$4,AI$4&gt;=$C$1),'General Inputs'!F$10*$J63,IF(AND(($D63+$C$1)&gt;AI$4,AI$4&gt;=$C$1),'General Inputs'!F$10*$I63,0))</f>
        <v>419.8129944334263</v>
      </c>
      <c r="AJ63" s="214">
        <f>IF(AND(($E63+$C$1)&gt;AJ$4,AJ$4&gt;=$C$1),'General Inputs'!G$9*$H63,IF(AND(($D63+$C$1)&gt;AJ$4,AJ$4&gt;=$C$1),'General Inputs'!G$9*$G63,0))+IF(AND(($E63+$C$1)&gt;AJ$4,AJ$4&gt;=$C$1),'General Inputs'!G$10*$J63,IF(AND(($D63+$C$1)&gt;AJ$4,AJ$4&gt;=$C$1),'General Inputs'!G$10*$I63,0))</f>
        <v>426.11018934992762</v>
      </c>
      <c r="AK63" s="214">
        <f>IF(AND(($E63+$C$1)&gt;AK$4,AK$4&gt;=$C$1),'General Inputs'!H$9*$H63,IF(AND(($D63+$C$1)&gt;AK$4,AK$4&gt;=$C$1),'General Inputs'!H$9*$G63,0))+IF(AND(($E63+$C$1)&gt;AK$4,AK$4&gt;=$C$1),'General Inputs'!H$10*$J63,IF(AND(($D63+$C$1)&gt;AK$4,AK$4&gt;=$C$1),'General Inputs'!H$10*$I63,0))</f>
        <v>432.50184219017649</v>
      </c>
      <c r="AL63" s="214">
        <f>IF(AND(($E63+$C$1)&gt;AL$4,AL$4&gt;=$C$1),'General Inputs'!I$9*$H63,IF(AND(($D63+$C$1)&gt;AL$4,AL$4&gt;=$C$1),'General Inputs'!I$9*$G63,0))+IF(AND(($E63+$C$1)&gt;AL$4,AL$4&gt;=$C$1),'General Inputs'!I$10*$J63,IF(AND(($D63+$C$1)&gt;AL$4,AL$4&gt;=$C$1),'General Inputs'!I$10*$I63,0))</f>
        <v>438.98936982302905</v>
      </c>
      <c r="AM63" s="214">
        <f>IF(AND(($E63+$C$1)&gt;AM$4,AM$4&gt;=$C$1),'General Inputs'!J$9*$H63,IF(AND(($D63+$C$1)&gt;AM$4,AM$4&gt;=$C$1),'General Inputs'!J$9*$G63,0))+IF(AND(($E63+$C$1)&gt;AM$4,AM$4&gt;=$C$1),'General Inputs'!J$10*$J63,IF(AND(($D63+$C$1)&gt;AM$4,AM$4&gt;=$C$1),'General Inputs'!J$10*$I63,0))</f>
        <v>445.57421037037443</v>
      </c>
      <c r="AN63" s="214">
        <f>IF(AND(($E63+$C$1)&gt;AN$4,AN$4&gt;=$C$1),'General Inputs'!K$9*$H63,IF(AND(($D63+$C$1)&gt;AN$4,AN$4&gt;=$C$1),'General Inputs'!K$9*$G63,0))+IF(AND(($E63+$C$1)&gt;AN$4,AN$4&gt;=$C$1),'General Inputs'!K$10*$J63,IF(AND(($D63+$C$1)&gt;AN$4,AN$4&gt;=$C$1),'General Inputs'!K$10*$I63,0))</f>
        <v>452.25782352593001</v>
      </c>
      <c r="AO63" s="214">
        <f>IF(AND(($E63+$C$1)&gt;AO$4,AO$4&gt;=$C$1),'General Inputs'!L$9*$H63,IF(AND(($D63+$C$1)&gt;AO$4,AO$4&gt;=$C$1),'General Inputs'!L$9*$G63,0))+IF(AND(($E63+$C$1)&gt;AO$4,AO$4&gt;=$C$1),'General Inputs'!L$10*$J63,IF(AND(($D63+$C$1)&gt;AO$4,AO$4&gt;=$C$1),'General Inputs'!L$10*$I63,0))</f>
        <v>459.04169087881894</v>
      </c>
      <c r="AP63" s="214">
        <f>IF(AND(($E63+$C$1)&gt;AP$4,AP$4&gt;=$C$1),'General Inputs'!M$9*$H63,IF(AND(($D63+$C$1)&gt;AP$4,AP$4&gt;=$C$1),'General Inputs'!M$9*$G63,0))+IF(AND(($E63+$C$1)&gt;AP$4,AP$4&gt;=$C$1),'General Inputs'!M$10*$J63,IF(AND(($D63+$C$1)&gt;AP$4,AP$4&gt;=$C$1),'General Inputs'!M$10*$I63,0))</f>
        <v>465.9273162420011</v>
      </c>
      <c r="AQ63" s="214">
        <f>IF(AND(($E63+$C$1)&gt;AQ$4,AQ$4&gt;=$C$1),'General Inputs'!N$9*$H63,IF(AND(($D63+$C$1)&gt;AQ$4,AQ$4&gt;=$C$1),'General Inputs'!N$9*$G63,0))+IF(AND(($E63+$C$1)&gt;AQ$4,AQ$4&gt;=$C$1),'General Inputs'!N$10*$J63,IF(AND(($D63+$C$1)&gt;AQ$4,AQ$4&gt;=$C$1),'General Inputs'!N$10*$I63,0))</f>
        <v>472.91622598563112</v>
      </c>
      <c r="AR63" s="214">
        <f>IF(AND(($E63+$C$1)&gt;AR$4,AR$4&gt;=$C$1),'General Inputs'!O$9*$H63,IF(AND(($D63+$C$1)&gt;AR$4,AR$4&gt;=$C$1),'General Inputs'!O$9*$G63,0))+IF(AND(($E63+$C$1)&gt;AR$4,AR$4&gt;=$C$1),'General Inputs'!O$10*$J63,IF(AND(($D63+$C$1)&gt;AR$4,AR$4&gt;=$C$1),'General Inputs'!O$10*$I63,0))</f>
        <v>480.00996937541555</v>
      </c>
      <c r="AS63" s="214">
        <f>IF(AND(($E63+$C$1)&gt;AS$4,AS$4&gt;=$C$1),'General Inputs'!P$9*$H63,IF(AND(($D63+$C$1)&gt;AS$4,AS$4&gt;=$C$1),'General Inputs'!P$9*$G63,0))+IF(AND(($E63+$C$1)&gt;AS$4,AS$4&gt;=$C$1),'General Inputs'!P$10*$J63,IF(AND(($D63+$C$1)&gt;AS$4,AS$4&gt;=$C$1),'General Inputs'!P$10*$I63,0))</f>
        <v>0</v>
      </c>
      <c r="AT63" s="214">
        <f>IF(AND(($E63+$C$1)&gt;AT$4,AT$4&gt;=$C$1),'General Inputs'!Q$9*$H63,IF(AND(($D63+$C$1)&gt;AT$4,AT$4&gt;=$C$1),'General Inputs'!Q$9*$G63,0))+IF(AND(($E63+$C$1)&gt;AT$4,AT$4&gt;=$C$1),'General Inputs'!Q$10*$J63,IF(AND(($D63+$C$1)&gt;AT$4,AT$4&gt;=$C$1),'General Inputs'!Q$10*$I63,0))</f>
        <v>0</v>
      </c>
      <c r="AU63" s="214">
        <f>IF(AND(($E63+$C$1)&gt;AU$4,AU$4&gt;=$C$1),'General Inputs'!R$9*$H63,IF(AND(($D63+$C$1)&gt;AU$4,AU$4&gt;=$C$1),'General Inputs'!R$9*$G63,0))+IF(AND(($E63+$C$1)&gt;AU$4,AU$4&gt;=$C$1),'General Inputs'!R$10*$J63,IF(AND(($D63+$C$1)&gt;AU$4,AU$4&gt;=$C$1),'General Inputs'!R$10*$I63,0))</f>
        <v>0</v>
      </c>
      <c r="AV63" s="214">
        <f>IF(AND(($E63+$C$1)&gt;AV$4,AV$4&gt;=$C$1),'General Inputs'!S$9*$H63,IF(AND(($D63+$C$1)&gt;AV$4,AV$4&gt;=$C$1),'General Inputs'!S$9*$G63,0))+IF(AND(($E63+$C$1)&gt;AV$4,AV$4&gt;=$C$1),'General Inputs'!S$10*$J63,IF(AND(($D63+$C$1)&gt;AV$4,AV$4&gt;=$C$1),'General Inputs'!S$10*$I63,0))</f>
        <v>0</v>
      </c>
      <c r="AW63" s="214">
        <f>IF(AND(($E63+$C$1)&gt;AW$4,AW$4&gt;=$C$1),'General Inputs'!T$9*$H63,IF(AND(($D63+$C$1)&gt;AW$4,AW$4&gt;=$C$1),'General Inputs'!T$9*$G63,0))+IF(AND(($E63+$C$1)&gt;AW$4,AW$4&gt;=$C$1),'General Inputs'!T$10*$J63,IF(AND(($D63+$C$1)&gt;AW$4,AW$4&gt;=$C$1),'General Inputs'!T$10*$I63,0))</f>
        <v>0</v>
      </c>
      <c r="AX63" s="214">
        <f>IF(AND(($E63+$C$1)&gt;AX$4,AX$4&gt;=$C$1),'General Inputs'!U$9*$H63,IF(AND(($D63+$C$1)&gt;AX$4,AX$4&gt;=$C$1),'General Inputs'!U$9*$G63,0))+IF(AND(($E63+$C$1)&gt;AX$4,AX$4&gt;=$C$1),'General Inputs'!U$10*$J63,IF(AND(($D63+$C$1)&gt;AX$4,AX$4&gt;=$C$1),'General Inputs'!U$10*$I63,0))</f>
        <v>0</v>
      </c>
      <c r="AY63" s="214">
        <f>IF(AND(($E63+$C$1)&gt;AY$4,AY$4&gt;=$C$1),'General Inputs'!V$9*$H63,IF(AND(($D63+$C$1)&gt;AY$4,AY$4&gt;=$C$1),'General Inputs'!V$9*$G63,0))+IF(AND(($E63+$C$1)&gt;AY$4,AY$4&gt;=$C$1),'General Inputs'!V$10*$J63,IF(AND(($D63+$C$1)&gt;AY$4,AY$4&gt;=$C$1),'General Inputs'!V$10*$I63,0))</f>
        <v>0</v>
      </c>
      <c r="AZ63" s="214">
        <f>IF(AND(($E63+$C$1)&gt;AZ$4,AZ$4&gt;=$C$1),'General Inputs'!W$9*$H63,IF(AND(($D63+$C$1)&gt;AZ$4,AZ$4&gt;=$C$1),'General Inputs'!W$9*$G63,0))+IF(AND(($E63+$C$1)&gt;AZ$4,AZ$4&gt;=$C$1),'General Inputs'!W$10*$J63,IF(AND(($D63+$C$1)&gt;AZ$4,AZ$4&gt;=$C$1),'General Inputs'!W$10*$I63,0))</f>
        <v>0</v>
      </c>
      <c r="BB63" s="214">
        <f>IF(AND(($E63+$C$1)&gt;BB$4,BB$4&gt;=$C$1),'General Inputs'!D$11*$H63,IF(AND(($D63+$C$1)&gt;BB$4,BB$4&gt;=$C$1),'General Inputs'!D$11*$G63,0))</f>
        <v>0</v>
      </c>
      <c r="BC63" s="214">
        <f>IF(AND(($E63+$C$1)&gt;BC$4,BC$4&gt;=$C$1),'General Inputs'!E$11*$H63,IF(AND(($D63+$C$1)&gt;BC$4,BC$4&gt;=$C$1),'General Inputs'!E$11*$G63,0))</f>
        <v>0</v>
      </c>
      <c r="BD63" s="214">
        <f>IF(AND(($E63+$C$1)&gt;BD$4,BD$4&gt;=$C$1),'General Inputs'!F$11*$H63,IF(AND(($D63+$C$1)&gt;BD$4,BD$4&gt;=$C$1),'General Inputs'!F$11*$G63,0))</f>
        <v>110.27090246624998</v>
      </c>
      <c r="BE63" s="214">
        <f>IF(AND(($E63+$C$1)&gt;BE$4,BE$4&gt;=$C$1),'General Inputs'!G$11*$H63,IF(AND(($D63+$C$1)&gt;BE$4,BE$4&gt;=$C$1),'General Inputs'!G$11*$G63,0))</f>
        <v>110.27090246624998</v>
      </c>
      <c r="BF63" s="214">
        <f>IF(AND(($E63+$C$1)&gt;BF$4,BF$4&gt;=$C$1),'General Inputs'!H$11*$H63,IF(AND(($D63+$C$1)&gt;BF$4,BF$4&gt;=$C$1),'General Inputs'!H$11*$G63,0))</f>
        <v>110.27090246624998</v>
      </c>
      <c r="BG63" s="214">
        <f>IF(AND(($E63+$C$1)&gt;BG$4,BG$4&gt;=$C$1),'General Inputs'!I$11*$H63,IF(AND(($D63+$C$1)&gt;BG$4,BG$4&gt;=$C$1),'General Inputs'!I$11*$G63,0))</f>
        <v>110.27090246624998</v>
      </c>
      <c r="BH63" s="214">
        <f>IF(AND(($E63+$C$1)&gt;BH$4,BH$4&gt;=$C$1),'General Inputs'!J$11*$H63,IF(AND(($D63+$C$1)&gt;BH$4,BH$4&gt;=$C$1),'General Inputs'!J$11*$G63,0))</f>
        <v>110.27090246624998</v>
      </c>
      <c r="BI63" s="214">
        <f>IF(AND(($E63+$C$1)&gt;BI$4,BI$4&gt;=$C$1),'General Inputs'!K$11*$H63,IF(AND(($D63+$C$1)&gt;BI$4,BI$4&gt;=$C$1),'General Inputs'!K$11*$G63,0))</f>
        <v>110.27090246624998</v>
      </c>
      <c r="BJ63" s="214">
        <f>IF(AND(($E63+$C$1)&gt;BJ$4,BJ$4&gt;=$C$1),'General Inputs'!L$11*$H63,IF(AND(($D63+$C$1)&gt;BJ$4,BJ$4&gt;=$C$1),'General Inputs'!L$11*$G63,0))</f>
        <v>110.27090246624998</v>
      </c>
      <c r="BK63" s="214">
        <f>IF(AND(($E63+$C$1)&gt;BK$4,BK$4&gt;=$C$1),'General Inputs'!M$11*$H63,IF(AND(($D63+$C$1)&gt;BK$4,BK$4&gt;=$C$1),'General Inputs'!M$11*$G63,0))</f>
        <v>110.27090246624998</v>
      </c>
      <c r="BL63" s="214">
        <f>IF(AND(($E63+$C$1)&gt;BL$4,BL$4&gt;=$C$1),'General Inputs'!N$11*$H63,IF(AND(($D63+$C$1)&gt;BL$4,BL$4&gt;=$C$1),'General Inputs'!N$11*$G63,0))</f>
        <v>110.27090246624998</v>
      </c>
      <c r="BM63" s="214">
        <f>IF(AND(($E63+$C$1)&gt;BM$4,BM$4&gt;=$C$1),'General Inputs'!O$11*$H63,IF(AND(($D63+$C$1)&gt;BM$4,BM$4&gt;=$C$1),'General Inputs'!O$11*$G63,0))</f>
        <v>110.27090246624998</v>
      </c>
      <c r="BN63" s="214">
        <f>IF(AND(($E63+$C$1)&gt;BN$4,BN$4&gt;=$C$1),'General Inputs'!P$11*$H63,IF(AND(($D63+$C$1)&gt;BN$4,BN$4&gt;=$C$1),'General Inputs'!P$11*$G63,0))</f>
        <v>0</v>
      </c>
      <c r="BO63" s="214">
        <f>IF(AND(($E63+$C$1)&gt;BO$4,BO$4&gt;=$C$1),'General Inputs'!Q$11*$H63,IF(AND(($D63+$C$1)&gt;BO$4,BO$4&gt;=$C$1),'General Inputs'!Q$11*$G63,0))</f>
        <v>0</v>
      </c>
      <c r="BP63" s="214">
        <f>IF(AND(($E63+$C$1)&gt;BP$4,BP$4&gt;=$C$1),'General Inputs'!R$11*$H63,IF(AND(($D63+$C$1)&gt;BP$4,BP$4&gt;=$C$1),'General Inputs'!R$11*$G63,0))</f>
        <v>0</v>
      </c>
      <c r="BQ63" s="214">
        <f>IF(AND(($E63+$C$1)&gt;BQ$4,BQ$4&gt;=$C$1),'General Inputs'!S$11*$H63,IF(AND(($D63+$C$1)&gt;BQ$4,BQ$4&gt;=$C$1),'General Inputs'!S$11*$G63,0))</f>
        <v>0</v>
      </c>
      <c r="BR63" s="214">
        <f>IF(AND(($E63+$C$1)&gt;BR$4,BR$4&gt;=$C$1),'General Inputs'!T$11*$H63,IF(AND(($D63+$C$1)&gt;BR$4,BR$4&gt;=$C$1),'General Inputs'!T$11*$G63,0))</f>
        <v>0</v>
      </c>
      <c r="BS63" s="214">
        <f>IF(AND(($E63+$C$1)&gt;BS$4,BS$4&gt;=$C$1),'General Inputs'!U$11*$H63,IF(AND(($D63+$C$1)&gt;BS$4,BS$4&gt;=$C$1),'General Inputs'!U$11*$G63,0))</f>
        <v>0</v>
      </c>
      <c r="BT63" s="214">
        <f>IF(AND(($E63+$C$1)&gt;BT$4,BT$4&gt;=$C$1),'General Inputs'!V$11*$H63,IF(AND(($D63+$C$1)&gt;BT$4,BT$4&gt;=$C$1),'General Inputs'!V$11*$G63,0))</f>
        <v>0</v>
      </c>
      <c r="BU63" s="214">
        <f>IF(AND(($E63+$C$1)&gt;BU$4,BU$4&gt;=$C$1),'General Inputs'!W$11*$H63,IF(AND(($D63+$C$1)&gt;BU$4,BU$4&gt;=$C$1),'General Inputs'!W$11*$G63,0))</f>
        <v>0</v>
      </c>
      <c r="BW63" s="214">
        <f>IF(AND(($E63+$C$1)&gt;BW$4,BW$4&gt;=$C$1),$H63,IF(AND(($D63+$C$1)&gt;BW$4,BW$4&gt;=$C$1),$G63,0))*IF($A63="Residential",'General Inputs'!D$14,'General Inputs'!D$19)</f>
        <v>0</v>
      </c>
      <c r="BX63" s="214">
        <f>IF(AND(($E63+$C$1)&gt;BX$4,BX$4&gt;=$C$1),$H63,IF(AND(($D63+$C$1)&gt;BX$4,BX$4&gt;=$C$1),$G63,0))*IF($A63="Residential",'General Inputs'!E$14,'General Inputs'!E$19)</f>
        <v>0</v>
      </c>
      <c r="BY63" s="214">
        <f>IF(AND(($E63+$C$1)&gt;BY$4,BY$4&gt;=$C$1),$H63,IF(AND(($D63+$C$1)&gt;BY$4,BY$4&gt;=$C$1),$G63,0))*IF($A63="Residential",'General Inputs'!F$14,'General Inputs'!F$19)</f>
        <v>1041.0381790470917</v>
      </c>
      <c r="BZ63" s="214">
        <f>IF(AND(($E63+$C$1)&gt;BZ$4,BZ$4&gt;=$C$1),$H63,IF(AND(($D63+$C$1)&gt;BZ$4,BZ$4&gt;=$C$1),$G63,0))*IF($A63="Residential",'General Inputs'!G$14,'General Inputs'!G$19)</f>
        <v>1056.6537517327979</v>
      </c>
      <c r="CA63" s="214">
        <f>IF(AND(($E63+$C$1)&gt;CA$4,CA$4&gt;=$C$1),$H63,IF(AND(($D63+$C$1)&gt;CA$4,CA$4&gt;=$C$1),$G63,0))*IF($A63="Residential",'General Inputs'!H$14,'General Inputs'!H$19)</f>
        <v>1072.5035580087897</v>
      </c>
      <c r="CB63" s="214">
        <f>IF(AND(($E63+$C$1)&gt;CB$4,CB$4&gt;=$C$1),$H63,IF(AND(($D63+$C$1)&gt;CB$4,CB$4&gt;=$C$1),$G63,0))*IF($A63="Residential",'General Inputs'!I$14,'General Inputs'!I$19)</f>
        <v>1088.5911113789214</v>
      </c>
      <c r="CC63" s="214">
        <f>IF(AND(($E63+$C$1)&gt;CC$4,CC$4&gt;=$C$1),$H63,IF(AND(($D63+$C$1)&gt;CC$4,CC$4&gt;=$C$1),$G63,0))*IF($A63="Residential",'General Inputs'!J$14,'General Inputs'!J$19)</f>
        <v>1104.9199780496051</v>
      </c>
      <c r="CD63" s="214">
        <f>IF(AND(($E63+$C$1)&gt;CD$4,CD$4&gt;=$C$1),$H63,IF(AND(($D63+$C$1)&gt;CD$4,CD$4&gt;=$C$1),$G63,0))*IF($A63="Residential",'General Inputs'!K$14,'General Inputs'!K$19)</f>
        <v>1121.493777720349</v>
      </c>
      <c r="CE63" s="214">
        <f>IF(AND(($E63+$C$1)&gt;CE$4,CE$4&gt;=$C$1),$H63,IF(AND(($D63+$C$1)&gt;CE$4,CE$4&gt;=$C$1),$G63,0))*IF($A63="Residential",'General Inputs'!L$14,'General Inputs'!L$19)</f>
        <v>1138.3161843861542</v>
      </c>
      <c r="CF63" s="214">
        <f>IF(AND(($E63+$C$1)&gt;CF$4,CF$4&gt;=$C$1),$H63,IF(AND(($D63+$C$1)&gt;CF$4,CF$4&gt;=$C$1),$G63,0))*IF($A63="Residential",'General Inputs'!M$14,'General Inputs'!M$19)</f>
        <v>1155.3909271519465</v>
      </c>
      <c r="CG63" s="214">
        <f>IF(AND(($E63+$C$1)&gt;CG$4,CG$4&gt;=$C$1),$H63,IF(AND(($D63+$C$1)&gt;CG$4,CG$4&gt;=$C$1),$G63,0))*IF($A63="Residential",'General Inputs'!N$14,'General Inputs'!N$19)</f>
        <v>1172.7217910592256</v>
      </c>
      <c r="CH63" s="214">
        <f>IF(AND(($E63+$C$1)&gt;CH$4,CH$4&gt;=$C$1),$H63,IF(AND(($D63+$C$1)&gt;CH$4,CH$4&gt;=$C$1),$G63,0))*IF($A63="Residential",'General Inputs'!O$14,'General Inputs'!O$19)</f>
        <v>1190.3126179251137</v>
      </c>
      <c r="CI63" s="214">
        <f>IF(AND(($E63+$C$1)&gt;CI$4,CI$4&gt;=$C$1),$H63,IF(AND(($D63+$C$1)&gt;CI$4,CI$4&gt;=$C$1),$G63,0))*IF($A63="Residential",'General Inputs'!P$14,'General Inputs'!P$19)</f>
        <v>0</v>
      </c>
      <c r="CJ63" s="214">
        <f>IF(AND(($E63+$C$1)&gt;CJ$4,CJ$4&gt;=$C$1),$H63,IF(AND(($D63+$C$1)&gt;CJ$4,CJ$4&gt;=$C$1),$G63,0))*IF($A63="Residential",'General Inputs'!Q$14,'General Inputs'!Q$19)</f>
        <v>0</v>
      </c>
      <c r="CK63" s="214">
        <f>IF(AND(($E63+$C$1)&gt;CK$4,CK$4&gt;=$C$1),$H63,IF(AND(($D63+$C$1)&gt;CK$4,CK$4&gt;=$C$1),$G63,0))*IF($A63="Residential",'General Inputs'!R$14,'General Inputs'!R$19)</f>
        <v>0</v>
      </c>
      <c r="CL63" s="214">
        <f>IF(AND(($E63+$C$1)&gt;CL$4,CL$4&gt;=$C$1),$H63,IF(AND(($D63+$C$1)&gt;CL$4,CL$4&gt;=$C$1),$G63,0))*IF($A63="Residential",'General Inputs'!S$14,'General Inputs'!S$19)</f>
        <v>0</v>
      </c>
      <c r="CM63" s="214">
        <f>IF(AND(($E63+$C$1)&gt;CM$4,CM$4&gt;=$C$1),$H63,IF(AND(($D63+$C$1)&gt;CM$4,CM$4&gt;=$C$1),$G63,0))*IF($A63="Residential",'General Inputs'!T$14,'General Inputs'!T$19)</f>
        <v>0</v>
      </c>
      <c r="CN63" s="214">
        <f>IF(AND(($E63+$C$1)&gt;CN$4,CN$4&gt;=$C$1),$H63,IF(AND(($D63+$C$1)&gt;CN$4,CN$4&gt;=$C$1),$G63,0))*IF($A63="Residential",'General Inputs'!U$14,'General Inputs'!U$19)</f>
        <v>0</v>
      </c>
      <c r="CO63" s="214">
        <f>IF(AND(($E63+$C$1)&gt;CO$4,CO$4&gt;=$C$1),$H63,IF(AND(($D63+$C$1)&gt;CO$4,CO$4&gt;=$C$1),$G63,0))*IF($A63="Residential",'General Inputs'!V$14,'General Inputs'!V$19)</f>
        <v>0</v>
      </c>
      <c r="CP63" s="214">
        <f>IF(AND(($E63+$C$1)&gt;CP$4,CP$4&gt;=$C$1),$H63,IF(AND(($D63+$C$1)&gt;CP$4,CP$4&gt;=$C$1),$G63,0))*IF($A63="Residential",'General Inputs'!W$14,'General Inputs'!W$19)</f>
        <v>0</v>
      </c>
      <c r="CR63" s="214">
        <f>IF(AND(($E63+$C$1)&gt;CR$4,CR$4&gt;=$C$1),$H63,IF(AND(($D63+$C$1)&gt;CR$4,CR$4&gt;=$C$1),$G63,0))*IF($A63="Residential",'General Inputs'!D$15,'General Inputs'!D$19)</f>
        <v>0</v>
      </c>
      <c r="CS63" s="214">
        <f>IF(AND(($E63+$C$1)&gt;CS$4,CS$4&gt;=$C$1),$H63,IF(AND(($D63+$C$1)&gt;CS$4,CS$4&gt;=$C$1),$G63,0))*IF($A63="Residential",'General Inputs'!E$15,'General Inputs'!E$19)</f>
        <v>0</v>
      </c>
      <c r="CT63" s="214">
        <f>IF(AND(($E63+$C$1)&gt;CT$4,CT$4&gt;=$C$1),$H63,IF(AND(($D63+$C$1)&gt;CT$4,CT$4&gt;=$C$1),$G63,0))*IF($A63="Residential",'General Inputs'!F$15,'General Inputs'!F$19)</f>
        <v>1041.0381790470917</v>
      </c>
      <c r="CU63" s="214">
        <f>IF(AND(($E63+$C$1)&gt;CU$4,CU$4&gt;=$C$1),$H63,IF(AND(($D63+$C$1)&gt;CU$4,CU$4&gt;=$C$1),$G63,0))*IF($A63="Residential",'General Inputs'!G$15,'General Inputs'!G$19)</f>
        <v>1056.6537517327979</v>
      </c>
      <c r="CV63" s="214">
        <f>IF(AND(($E63+$C$1)&gt;CV$4,CV$4&gt;=$C$1),$H63,IF(AND(($D63+$C$1)&gt;CV$4,CV$4&gt;=$C$1),$G63,0))*IF($A63="Residential",'General Inputs'!H$15,'General Inputs'!H$19)</f>
        <v>1072.5035580087897</v>
      </c>
      <c r="CW63" s="214">
        <f>IF(AND(($E63+$C$1)&gt;CW$4,CW$4&gt;=$C$1),$H63,IF(AND(($D63+$C$1)&gt;CW$4,CW$4&gt;=$C$1),$G63,0))*IF($A63="Residential",'General Inputs'!I$15,'General Inputs'!I$19)</f>
        <v>1088.5911113789214</v>
      </c>
      <c r="CX63" s="214">
        <f>IF(AND(($E63+$C$1)&gt;CX$4,CX$4&gt;=$C$1),$H63,IF(AND(($D63+$C$1)&gt;CX$4,CX$4&gt;=$C$1),$G63,0))*IF($A63="Residential",'General Inputs'!J$15,'General Inputs'!J$19)</f>
        <v>1104.9199780496051</v>
      </c>
      <c r="CY63" s="214">
        <f>IF(AND(($E63+$C$1)&gt;CY$4,CY$4&gt;=$C$1),$H63,IF(AND(($D63+$C$1)&gt;CY$4,CY$4&gt;=$C$1),$G63,0))*IF($A63="Residential",'General Inputs'!K$15,'General Inputs'!K$19)</f>
        <v>1121.493777720349</v>
      </c>
      <c r="CZ63" s="214">
        <f>IF(AND(($E63+$C$1)&gt;CZ$4,CZ$4&gt;=$C$1),$H63,IF(AND(($D63+$C$1)&gt;CZ$4,CZ$4&gt;=$C$1),$G63,0))*IF($A63="Residential",'General Inputs'!L$15,'General Inputs'!L$19)</f>
        <v>1138.3161843861542</v>
      </c>
      <c r="DA63" s="214">
        <f>IF(AND(($E63+$C$1)&gt;DA$4,DA$4&gt;=$C$1),$H63,IF(AND(($D63+$C$1)&gt;DA$4,DA$4&gt;=$C$1),$G63,0))*IF($A63="Residential",'General Inputs'!M$15,'General Inputs'!M$19)</f>
        <v>1155.3909271519465</v>
      </c>
      <c r="DB63" s="214">
        <f>IF(AND(($E63+$C$1)&gt;DB$4,DB$4&gt;=$C$1),$H63,IF(AND(($D63+$C$1)&gt;DB$4,DB$4&gt;=$C$1),$G63,0))*IF($A63="Residential",'General Inputs'!N$15,'General Inputs'!N$19)</f>
        <v>1172.7217910592256</v>
      </c>
      <c r="DC63" s="214">
        <f>IF(AND(($E63+$C$1)&gt;DC$4,DC$4&gt;=$C$1),$H63,IF(AND(($D63+$C$1)&gt;DC$4,DC$4&gt;=$C$1),$G63,0))*IF($A63="Residential",'General Inputs'!O$15,'General Inputs'!O$19)</f>
        <v>1190.3126179251137</v>
      </c>
      <c r="DD63" s="214">
        <f>IF(AND(($E63+$C$1)&gt;DD$4,DD$4&gt;=$C$1),$H63,IF(AND(($D63+$C$1)&gt;DD$4,DD$4&gt;=$C$1),$G63,0))*IF($A63="Residential",'General Inputs'!P$15,'General Inputs'!P$19)</f>
        <v>0</v>
      </c>
      <c r="DE63" s="214">
        <f>IF(AND(($E63+$C$1)&gt;DE$4,DE$4&gt;=$C$1),$H63,IF(AND(($D63+$C$1)&gt;DE$4,DE$4&gt;=$C$1),$G63,0))*IF($A63="Residential",'General Inputs'!Q$15,'General Inputs'!Q$19)</f>
        <v>0</v>
      </c>
      <c r="DF63" s="214">
        <f>IF(AND(($E63+$C$1)&gt;DF$4,DF$4&gt;=$C$1),$H63,IF(AND(($D63+$C$1)&gt;DF$4,DF$4&gt;=$C$1),$G63,0))*IF($A63="Residential",'General Inputs'!R$15,'General Inputs'!R$19)</f>
        <v>0</v>
      </c>
      <c r="DG63" s="214">
        <f>IF(AND(($E63+$C$1)&gt;DG$4,DG$4&gt;=$C$1),$H63,IF(AND(($D63+$C$1)&gt;DG$4,DG$4&gt;=$C$1),$G63,0))*IF($A63="Residential",'General Inputs'!S$15,'General Inputs'!S$19)</f>
        <v>0</v>
      </c>
      <c r="DH63" s="214">
        <f>IF(AND(($E63+$C$1)&gt;DH$4,DH$4&gt;=$C$1),$H63,IF(AND(($D63+$C$1)&gt;DH$4,DH$4&gt;=$C$1),$G63,0))*IF($A63="Residential",'General Inputs'!T$15,'General Inputs'!T$19)</f>
        <v>0</v>
      </c>
      <c r="DI63" s="214">
        <f>IF(AND(($E63+$C$1)&gt;DI$4,DI$4&gt;=$C$1),$H63,IF(AND(($D63+$C$1)&gt;DI$4,DI$4&gt;=$C$1),$G63,0))*IF($A63="Residential",'General Inputs'!U$15,'General Inputs'!U$19)</f>
        <v>0</v>
      </c>
      <c r="DJ63" s="214">
        <f>IF(AND(($E63+$C$1)&gt;DJ$4,DJ$4&gt;=$C$1),$H63,IF(AND(($D63+$C$1)&gt;DJ$4,DJ$4&gt;=$C$1),$G63,0))*IF($A63="Residential",'General Inputs'!V$15,'General Inputs'!V$19)</f>
        <v>0</v>
      </c>
      <c r="DK63" s="214">
        <f>IF(AND(($E63+$C$1)&gt;DK$4,DK$4&gt;=$C$1),$H63,IF(AND(($D63+$C$1)&gt;DK$4,DK$4&gt;=$C$1),$G63,0))*IF($A63="Residential",'General Inputs'!W$15,'General Inputs'!W$19)</f>
        <v>0</v>
      </c>
      <c r="DM63" s="214">
        <f t="shared" si="99"/>
        <v>0</v>
      </c>
      <c r="DN63" s="214">
        <f t="shared" si="99"/>
        <v>0</v>
      </c>
      <c r="DO63" s="214">
        <f t="shared" si="99"/>
        <v>450</v>
      </c>
      <c r="DP63" s="214">
        <f t="shared" si="99"/>
        <v>0</v>
      </c>
      <c r="DQ63" s="214">
        <f t="shared" si="99"/>
        <v>0</v>
      </c>
      <c r="DR63" s="214">
        <f t="shared" si="99"/>
        <v>0</v>
      </c>
      <c r="DS63" s="214">
        <f t="shared" si="99"/>
        <v>0</v>
      </c>
      <c r="DT63" s="214">
        <f t="shared" si="99"/>
        <v>0</v>
      </c>
      <c r="DU63" s="214">
        <f t="shared" si="99"/>
        <v>0</v>
      </c>
      <c r="DV63" s="214">
        <f t="shared" si="99"/>
        <v>0</v>
      </c>
      <c r="DW63" s="214">
        <f t="shared" si="99"/>
        <v>0</v>
      </c>
      <c r="DZ63" s="650"/>
      <c r="FI63" s="195"/>
      <c r="FJ63" s="195"/>
      <c r="FK63" s="195"/>
      <c r="FL63" s="195"/>
      <c r="FM63" s="195"/>
      <c r="FN63" s="195"/>
      <c r="FO63" s="195"/>
    </row>
    <row r="64" spans="1:171">
      <c r="A64" s="342" t="s">
        <v>112</v>
      </c>
      <c r="B64" s="427" t="str">
        <f>'Portfolio Inputs'!A63</f>
        <v>Multi-CFL Fixture</v>
      </c>
      <c r="C64" s="217">
        <f>IF($C$1=2014,'Portfolio Inputs'!$C63,IF($C$1=2015,'Portfolio Inputs'!$D63,'Portfolio Inputs'!$E63))</f>
        <v>6</v>
      </c>
      <c r="D64" s="504">
        <f>VLOOKUP(B64,Sources!$B$4:$J$104,2,FALSE)</f>
        <v>18</v>
      </c>
      <c r="E64" s="504">
        <f>VLOOKUP(B64,Sources!$B$4:$J$104,3,FALSE)</f>
        <v>0</v>
      </c>
      <c r="G64" s="504">
        <f>IF($C$1=2014,'Portfolio Inputs'!$G63,IF($C$1=2015,'Portfolio Inputs'!$H63,'Portfolio Inputs'!$I63))*EnergyLineLoss</f>
        <v>7459.4509650000009</v>
      </c>
      <c r="H64" s="504"/>
      <c r="I64" s="595">
        <f>IF($C$1=2014,'Portfolio Inputs'!$K63,IF($C$1=2015,'Portfolio Inputs'!$L63,'Portfolio Inputs'!$M63))*PeakLineLoss</f>
        <v>1.1534505840000002</v>
      </c>
      <c r="J64" s="510"/>
      <c r="L64" s="606">
        <f>IF($C$1=2014,'Portfolio Inputs'!$O63,IF($C$1=2015,'Portfolio Inputs'!$P63,'Portfolio Inputs'!$Q63))</f>
        <v>98</v>
      </c>
      <c r="M64" s="518">
        <f>VLOOKUP($B64,Sources!$B$4:$K$104,10,FALSE)</f>
        <v>0</v>
      </c>
      <c r="N64" s="419">
        <f>IF($C$1=2014,'Portfolio Inputs'!$W63,IF($C$1=2015,'Portfolio Inputs'!$X63,'Portfolio Inputs'!$Y63))</f>
        <v>150</v>
      </c>
      <c r="O64" s="419">
        <f>IF($C$1=2014,'Portfolio Inputs'!$AA63,IF($C$1=2015,'Portfolio Inputs'!$AB63,'Portfolio Inputs'!$AC63))</f>
        <v>0</v>
      </c>
      <c r="Q64" s="438">
        <f t="shared" si="67"/>
        <v>5.8409911845084048</v>
      </c>
      <c r="R64" s="439">
        <f t="shared" si="68"/>
        <v>22.896685443272947</v>
      </c>
      <c r="S64" s="439">
        <f t="shared" si="69"/>
        <v>7.234014750630573</v>
      </c>
      <c r="T64" s="439">
        <f t="shared" si="70"/>
        <v>14.739396017369309</v>
      </c>
      <c r="U64" s="439">
        <f t="shared" si="98"/>
        <v>14.739396017369309</v>
      </c>
      <c r="V64" s="439">
        <f t="shared" si="72"/>
        <v>0.39628429669880777</v>
      </c>
      <c r="W64" s="439">
        <f t="shared" si="73"/>
        <v>0.39628429669880777</v>
      </c>
      <c r="Y64" s="215">
        <f t="shared" si="4"/>
        <v>2899.2576424950762</v>
      </c>
      <c r="Z64" s="215">
        <f t="shared" si="5"/>
        <v>691.44672413939793</v>
      </c>
      <c r="AA64" s="215">
        <f t="shared" si="6"/>
        <v>7189.4818329880673</v>
      </c>
      <c r="AB64" s="215">
        <f t="shared" si="7"/>
        <v>7189.4818329880673</v>
      </c>
      <c r="AC64" s="216">
        <f t="shared" si="20"/>
        <v>0</v>
      </c>
      <c r="AD64" s="216">
        <f t="shared" si="21"/>
        <v>126.62346476646378</v>
      </c>
      <c r="AE64" s="215">
        <f t="shared" si="8"/>
        <v>496.36398188453802</v>
      </c>
      <c r="AG64" s="214">
        <f>IF(AND(($E64+$C$1)&gt;AG$4,AG$4&gt;=$C$1),'General Inputs'!D$9*$H64,IF(AND(($D64+$C$1)&gt;AG$4,AG$4&gt;=$C$1),'General Inputs'!D$9*$G64,0))+IF(AND(($E64+$C$1)&gt;AG$4,AG$4&gt;=$C$1),'General Inputs'!D$10*$J64,IF(AND(($D64+$C$1)&gt;AG$4,AG$4&gt;=$C$1),'General Inputs'!D$10*$I64,0))</f>
        <v>0</v>
      </c>
      <c r="AH64" s="214">
        <f>IF(AND(($E64+$C$1)&gt;AH$4,AH$4&gt;=$C$1),'General Inputs'!E$9*$H64,IF(AND(($D64+$C$1)&gt;AH$4,AH$4&gt;=$C$1),'General Inputs'!E$9*$G64,0))+IF(AND(($E64+$C$1)&gt;AH$4,AH$4&gt;=$C$1),'General Inputs'!E$10*$J64,IF(AND(($D64+$C$1)&gt;AH$4,AH$4&gt;=$C$1),'General Inputs'!E$10*$I64,0))</f>
        <v>0</v>
      </c>
      <c r="AI64" s="214">
        <f>IF(AND(($E64+$C$1)&gt;AI$4,AI$4&gt;=$C$1),'General Inputs'!F$9*$H64,IF(AND(($D64+$C$1)&gt;AI$4,AI$4&gt;=$C$1),'General Inputs'!F$9*$G64,0))+IF(AND(($E64+$C$1)&gt;AI$4,AI$4&gt;=$C$1),'General Inputs'!F$10*$J64,IF(AND(($D64+$C$1)&gt;AI$4,AI$4&gt;=$C$1),'General Inputs'!F$10*$I64,0))</f>
        <v>323.74767859010177</v>
      </c>
      <c r="AJ64" s="214">
        <f>IF(AND(($E64+$C$1)&gt;AJ$4,AJ$4&gt;=$C$1),'General Inputs'!G$9*$H64,IF(AND(($D64+$C$1)&gt;AJ$4,AJ$4&gt;=$C$1),'General Inputs'!G$9*$G64,0))+IF(AND(($E64+$C$1)&gt;AJ$4,AJ$4&gt;=$C$1),'General Inputs'!G$10*$J64,IF(AND(($D64+$C$1)&gt;AJ$4,AJ$4&gt;=$C$1),'General Inputs'!G$10*$I64,0))</f>
        <v>328.6038937689533</v>
      </c>
      <c r="AK64" s="214">
        <f>IF(AND(($E64+$C$1)&gt;AK$4,AK$4&gt;=$C$1),'General Inputs'!H$9*$H64,IF(AND(($D64+$C$1)&gt;AK$4,AK$4&gt;=$C$1),'General Inputs'!H$9*$G64,0))+IF(AND(($E64+$C$1)&gt;AK$4,AK$4&gt;=$C$1),'General Inputs'!H$10*$J64,IF(AND(($D64+$C$1)&gt;AK$4,AK$4&gt;=$C$1),'General Inputs'!H$10*$I64,0))</f>
        <v>333.53295217548759</v>
      </c>
      <c r="AL64" s="214">
        <f>IF(AND(($E64+$C$1)&gt;AL$4,AL$4&gt;=$C$1),'General Inputs'!I$9*$H64,IF(AND(($D64+$C$1)&gt;AL$4,AL$4&gt;=$C$1),'General Inputs'!I$9*$G64,0))+IF(AND(($E64+$C$1)&gt;AL$4,AL$4&gt;=$C$1),'General Inputs'!I$10*$J64,IF(AND(($D64+$C$1)&gt;AL$4,AL$4&gt;=$C$1),'General Inputs'!I$10*$I64,0))</f>
        <v>338.53594645811984</v>
      </c>
      <c r="AM64" s="214">
        <f>IF(AND(($E64+$C$1)&gt;AM$4,AM$4&gt;=$C$1),'General Inputs'!J$9*$H64,IF(AND(($D64+$C$1)&gt;AM$4,AM$4&gt;=$C$1),'General Inputs'!J$9*$G64,0))+IF(AND(($E64+$C$1)&gt;AM$4,AM$4&gt;=$C$1),'General Inputs'!J$10*$J64,IF(AND(($D64+$C$1)&gt;AM$4,AM$4&gt;=$C$1),'General Inputs'!J$10*$I64,0))</f>
        <v>343.61398565499161</v>
      </c>
      <c r="AN64" s="214">
        <f>IF(AND(($E64+$C$1)&gt;AN$4,AN$4&gt;=$C$1),'General Inputs'!K$9*$H64,IF(AND(($D64+$C$1)&gt;AN$4,AN$4&gt;=$C$1),'General Inputs'!K$9*$G64,0))+IF(AND(($E64+$C$1)&gt;AN$4,AN$4&gt;=$C$1),'General Inputs'!K$10*$J64,IF(AND(($D64+$C$1)&gt;AN$4,AN$4&gt;=$C$1),'General Inputs'!K$10*$I64,0))</f>
        <v>348.7681954398164</v>
      </c>
      <c r="AO64" s="214">
        <f>IF(AND(($E64+$C$1)&gt;AO$4,AO$4&gt;=$C$1),'General Inputs'!L$9*$H64,IF(AND(($D64+$C$1)&gt;AO$4,AO$4&gt;=$C$1),'General Inputs'!L$9*$G64,0))+IF(AND(($E64+$C$1)&gt;AO$4,AO$4&gt;=$C$1),'General Inputs'!L$10*$J64,IF(AND(($D64+$C$1)&gt;AO$4,AO$4&gt;=$C$1),'General Inputs'!L$10*$I64,0))</f>
        <v>353.99971837141362</v>
      </c>
      <c r="AP64" s="214">
        <f>IF(AND(($E64+$C$1)&gt;AP$4,AP$4&gt;=$C$1),'General Inputs'!M$9*$H64,IF(AND(($D64+$C$1)&gt;AP$4,AP$4&gt;=$C$1),'General Inputs'!M$9*$G64,0))+IF(AND(($E64+$C$1)&gt;AP$4,AP$4&gt;=$C$1),'General Inputs'!M$10*$J64,IF(AND(($D64+$C$1)&gt;AP$4,AP$4&gt;=$C$1),'General Inputs'!M$10*$I64,0))</f>
        <v>359.30971414698479</v>
      </c>
      <c r="AQ64" s="214">
        <f>IF(AND(($E64+$C$1)&gt;AQ$4,AQ$4&gt;=$C$1),'General Inputs'!N$9*$H64,IF(AND(($D64+$C$1)&gt;AQ$4,AQ$4&gt;=$C$1),'General Inputs'!N$9*$G64,0))+IF(AND(($E64+$C$1)&gt;AQ$4,AQ$4&gt;=$C$1),'General Inputs'!N$10*$J64,IF(AND(($D64+$C$1)&gt;AQ$4,AQ$4&gt;=$C$1),'General Inputs'!N$10*$I64,0))</f>
        <v>364.69935985918954</v>
      </c>
      <c r="AR64" s="214">
        <f>IF(AND(($E64+$C$1)&gt;AR$4,AR$4&gt;=$C$1),'General Inputs'!O$9*$H64,IF(AND(($D64+$C$1)&gt;AR$4,AR$4&gt;=$C$1),'General Inputs'!O$9*$G64,0))+IF(AND(($E64+$C$1)&gt;AR$4,AR$4&gt;=$C$1),'General Inputs'!O$10*$J64,IF(AND(($D64+$C$1)&gt;AR$4,AR$4&gt;=$C$1),'General Inputs'!O$10*$I64,0))</f>
        <v>370.16985025707731</v>
      </c>
      <c r="AS64" s="214">
        <f>IF(AND(($E64+$C$1)&gt;AS$4,AS$4&gt;=$C$1),'General Inputs'!P$9*$H64,IF(AND(($D64+$C$1)&gt;AS$4,AS$4&gt;=$C$1),'General Inputs'!P$9*$G64,0))+IF(AND(($E64+$C$1)&gt;AS$4,AS$4&gt;=$C$1),'General Inputs'!P$10*$J64,IF(AND(($D64+$C$1)&gt;AS$4,AS$4&gt;=$C$1),'General Inputs'!P$10*$I64,0))</f>
        <v>375.72239801093343</v>
      </c>
      <c r="AT64" s="214">
        <f>IF(AND(($E64+$C$1)&gt;AT$4,AT$4&gt;=$C$1),'General Inputs'!Q$9*$H64,IF(AND(($D64+$C$1)&gt;AT$4,AT$4&gt;=$C$1),'General Inputs'!Q$9*$G64,0))+IF(AND(($E64+$C$1)&gt;AT$4,AT$4&gt;=$C$1),'General Inputs'!Q$10*$J64,IF(AND(($D64+$C$1)&gt;AT$4,AT$4&gt;=$C$1),'General Inputs'!Q$10*$I64,0))</f>
        <v>381.35823398109744</v>
      </c>
      <c r="AU64" s="214">
        <f>IF(AND(($E64+$C$1)&gt;AU$4,AU$4&gt;=$C$1),'General Inputs'!R$9*$H64,IF(AND(($D64+$C$1)&gt;AU$4,AU$4&gt;=$C$1),'General Inputs'!R$9*$G64,0))+IF(AND(($E64+$C$1)&gt;AU$4,AU$4&gt;=$C$1),'General Inputs'!R$10*$J64,IF(AND(($D64+$C$1)&gt;AU$4,AU$4&gt;=$C$1),'General Inputs'!R$10*$I64,0))</f>
        <v>387.07860749081385</v>
      </c>
      <c r="AV64" s="214">
        <f>IF(AND(($E64+$C$1)&gt;AV$4,AV$4&gt;=$C$1),'General Inputs'!S$9*$H64,IF(AND(($D64+$C$1)&gt;AV$4,AV$4&gt;=$C$1),'General Inputs'!S$9*$G64,0))+IF(AND(($E64+$C$1)&gt;AV$4,AV$4&gt;=$C$1),'General Inputs'!S$10*$J64,IF(AND(($D64+$C$1)&gt;AV$4,AV$4&gt;=$C$1),'General Inputs'!S$10*$I64,0))</f>
        <v>392.88478660317605</v>
      </c>
      <c r="AW64" s="214">
        <f>IF(AND(($E64+$C$1)&gt;AW$4,AW$4&gt;=$C$1),'General Inputs'!T$9*$H64,IF(AND(($D64+$C$1)&gt;AW$4,AW$4&gt;=$C$1),'General Inputs'!T$9*$G64,0))+IF(AND(($E64+$C$1)&gt;AW$4,AW$4&gt;=$C$1),'General Inputs'!T$10*$J64,IF(AND(($D64+$C$1)&gt;AW$4,AW$4&gt;=$C$1),'General Inputs'!T$10*$I64,0))</f>
        <v>398.77805840222368</v>
      </c>
      <c r="AX64" s="214">
        <f>IF(AND(($E64+$C$1)&gt;AX$4,AX$4&gt;=$C$1),'General Inputs'!U$9*$H64,IF(AND(($D64+$C$1)&gt;AX$4,AX$4&gt;=$C$1),'General Inputs'!U$9*$G64,0))+IF(AND(($E64+$C$1)&gt;AX$4,AX$4&gt;=$C$1),'General Inputs'!U$10*$J64,IF(AND(($D64+$C$1)&gt;AX$4,AX$4&gt;=$C$1),'General Inputs'!U$10*$I64,0))</f>
        <v>404.759729278257</v>
      </c>
      <c r="AY64" s="214">
        <f>IF(AND(($E64+$C$1)&gt;AY$4,AY$4&gt;=$C$1),'General Inputs'!V$9*$H64,IF(AND(($D64+$C$1)&gt;AY$4,AY$4&gt;=$C$1),'General Inputs'!V$9*$G64,0))+IF(AND(($E64+$C$1)&gt;AY$4,AY$4&gt;=$C$1),'General Inputs'!V$10*$J64,IF(AND(($D64+$C$1)&gt;AY$4,AY$4&gt;=$C$1),'General Inputs'!V$10*$I64,0))</f>
        <v>410.83112521743078</v>
      </c>
      <c r="AZ64" s="214">
        <f>IF(AND(($E64+$C$1)&gt;AZ$4,AZ$4&gt;=$C$1),'General Inputs'!W$9*$H64,IF(AND(($D64+$C$1)&gt;AZ$4,AZ$4&gt;=$C$1),'General Inputs'!W$9*$G64,0))+IF(AND(($E64+$C$1)&gt;AZ$4,AZ$4&gt;=$C$1),'General Inputs'!W$10*$J64,IF(AND(($D64+$C$1)&gt;AZ$4,AZ$4&gt;=$C$1),'General Inputs'!W$10*$I64,0))</f>
        <v>416.99359209569224</v>
      </c>
      <c r="BB64" s="214">
        <f>IF(AND(($E64+$C$1)&gt;BB$4,BB$4&gt;=$C$1),'General Inputs'!D$11*$H64,IF(AND(($D64+$C$1)&gt;BB$4,BB$4&gt;=$C$1),'General Inputs'!D$11*$G64,0))</f>
        <v>0</v>
      </c>
      <c r="BC64" s="214">
        <f>IF(AND(($E64+$C$1)&gt;BC$4,BC$4&gt;=$C$1),'General Inputs'!E$11*$H64,IF(AND(($D64+$C$1)&gt;BC$4,BC$4&gt;=$C$1),'General Inputs'!E$11*$G64,0))</f>
        <v>0</v>
      </c>
      <c r="BD64" s="214">
        <f>IF(AND(($E64+$C$1)&gt;BD$4,BD$4&gt;=$C$1),'General Inputs'!F$11*$H64,IF(AND(($D64+$C$1)&gt;BD$4,BD$4&gt;=$C$1),'General Inputs'!F$11*$G64,0))</f>
        <v>85.037741001000015</v>
      </c>
      <c r="BE64" s="214">
        <f>IF(AND(($E64+$C$1)&gt;BE$4,BE$4&gt;=$C$1),'General Inputs'!G$11*$H64,IF(AND(($D64+$C$1)&gt;BE$4,BE$4&gt;=$C$1),'General Inputs'!G$11*$G64,0))</f>
        <v>85.037741001000015</v>
      </c>
      <c r="BF64" s="214">
        <f>IF(AND(($E64+$C$1)&gt;BF$4,BF$4&gt;=$C$1),'General Inputs'!H$11*$H64,IF(AND(($D64+$C$1)&gt;BF$4,BF$4&gt;=$C$1),'General Inputs'!H$11*$G64,0))</f>
        <v>85.037741001000015</v>
      </c>
      <c r="BG64" s="214">
        <f>IF(AND(($E64+$C$1)&gt;BG$4,BG$4&gt;=$C$1),'General Inputs'!I$11*$H64,IF(AND(($D64+$C$1)&gt;BG$4,BG$4&gt;=$C$1),'General Inputs'!I$11*$G64,0))</f>
        <v>85.037741001000015</v>
      </c>
      <c r="BH64" s="214">
        <f>IF(AND(($E64+$C$1)&gt;BH$4,BH$4&gt;=$C$1),'General Inputs'!J$11*$H64,IF(AND(($D64+$C$1)&gt;BH$4,BH$4&gt;=$C$1),'General Inputs'!J$11*$G64,0))</f>
        <v>85.037741001000015</v>
      </c>
      <c r="BI64" s="214">
        <f>IF(AND(($E64+$C$1)&gt;BI$4,BI$4&gt;=$C$1),'General Inputs'!K$11*$H64,IF(AND(($D64+$C$1)&gt;BI$4,BI$4&gt;=$C$1),'General Inputs'!K$11*$G64,0))</f>
        <v>85.037741001000015</v>
      </c>
      <c r="BJ64" s="214">
        <f>IF(AND(($E64+$C$1)&gt;BJ$4,BJ$4&gt;=$C$1),'General Inputs'!L$11*$H64,IF(AND(($D64+$C$1)&gt;BJ$4,BJ$4&gt;=$C$1),'General Inputs'!L$11*$G64,0))</f>
        <v>85.037741001000015</v>
      </c>
      <c r="BK64" s="214">
        <f>IF(AND(($E64+$C$1)&gt;BK$4,BK$4&gt;=$C$1),'General Inputs'!M$11*$H64,IF(AND(($D64+$C$1)&gt;BK$4,BK$4&gt;=$C$1),'General Inputs'!M$11*$G64,0))</f>
        <v>85.037741001000015</v>
      </c>
      <c r="BL64" s="214">
        <f>IF(AND(($E64+$C$1)&gt;BL$4,BL$4&gt;=$C$1),'General Inputs'!N$11*$H64,IF(AND(($D64+$C$1)&gt;BL$4,BL$4&gt;=$C$1),'General Inputs'!N$11*$G64,0))</f>
        <v>85.037741001000015</v>
      </c>
      <c r="BM64" s="214">
        <f>IF(AND(($E64+$C$1)&gt;BM$4,BM$4&gt;=$C$1),'General Inputs'!O$11*$H64,IF(AND(($D64+$C$1)&gt;BM$4,BM$4&gt;=$C$1),'General Inputs'!O$11*$G64,0))</f>
        <v>85.037741001000015</v>
      </c>
      <c r="BN64" s="214">
        <f>IF(AND(($E64+$C$1)&gt;BN$4,BN$4&gt;=$C$1),'General Inputs'!P$11*$H64,IF(AND(($D64+$C$1)&gt;BN$4,BN$4&gt;=$C$1),'General Inputs'!P$11*$G64,0))</f>
        <v>85.037741001000015</v>
      </c>
      <c r="BO64" s="214">
        <f>IF(AND(($E64+$C$1)&gt;BO$4,BO$4&gt;=$C$1),'General Inputs'!Q$11*$H64,IF(AND(($D64+$C$1)&gt;BO$4,BO$4&gt;=$C$1),'General Inputs'!Q$11*$G64,0))</f>
        <v>85.037741001000015</v>
      </c>
      <c r="BP64" s="214">
        <f>IF(AND(($E64+$C$1)&gt;BP$4,BP$4&gt;=$C$1),'General Inputs'!R$11*$H64,IF(AND(($D64+$C$1)&gt;BP$4,BP$4&gt;=$C$1),'General Inputs'!R$11*$G64,0))</f>
        <v>85.037741001000015</v>
      </c>
      <c r="BQ64" s="214">
        <f>IF(AND(($E64+$C$1)&gt;BQ$4,BQ$4&gt;=$C$1),'General Inputs'!S$11*$H64,IF(AND(($D64+$C$1)&gt;BQ$4,BQ$4&gt;=$C$1),'General Inputs'!S$11*$G64,0))</f>
        <v>85.037741001000015</v>
      </c>
      <c r="BR64" s="214">
        <f>IF(AND(($E64+$C$1)&gt;BR$4,BR$4&gt;=$C$1),'General Inputs'!T$11*$H64,IF(AND(($D64+$C$1)&gt;BR$4,BR$4&gt;=$C$1),'General Inputs'!T$11*$G64,0))</f>
        <v>85.037741001000015</v>
      </c>
      <c r="BS64" s="214">
        <f>IF(AND(($E64+$C$1)&gt;BS$4,BS$4&gt;=$C$1),'General Inputs'!U$11*$H64,IF(AND(($D64+$C$1)&gt;BS$4,BS$4&gt;=$C$1),'General Inputs'!U$11*$G64,0))</f>
        <v>85.037741001000015</v>
      </c>
      <c r="BT64" s="214">
        <f>IF(AND(($E64+$C$1)&gt;BT$4,BT$4&gt;=$C$1),'General Inputs'!V$11*$H64,IF(AND(($D64+$C$1)&gt;BT$4,BT$4&gt;=$C$1),'General Inputs'!V$11*$G64,0))</f>
        <v>85.037741001000015</v>
      </c>
      <c r="BU64" s="214">
        <f>IF(AND(($E64+$C$1)&gt;BU$4,BU$4&gt;=$C$1),'General Inputs'!W$11*$H64,IF(AND(($D64+$C$1)&gt;BU$4,BU$4&gt;=$C$1),'General Inputs'!W$11*$G64,0))</f>
        <v>85.037741001000015</v>
      </c>
      <c r="BW64" s="214">
        <f>IF(AND(($E64+$C$1)&gt;BW$4,BW$4&gt;=$C$1),$H64,IF(AND(($D64+$C$1)&gt;BW$4,BW$4&gt;=$C$1),$G64,0))*IF($A64="Residential",'General Inputs'!D$14,'General Inputs'!D$19)</f>
        <v>0</v>
      </c>
      <c r="BX64" s="214">
        <f>IF(AND(($E64+$C$1)&gt;BX$4,BX$4&gt;=$C$1),$H64,IF(AND(($D64+$C$1)&gt;BX$4,BX$4&gt;=$C$1),$G64,0))*IF($A64="Residential",'General Inputs'!E$14,'General Inputs'!E$19)</f>
        <v>0</v>
      </c>
      <c r="BY64" s="214">
        <f>IF(AND(($E64+$C$1)&gt;BY$4,BY$4&gt;=$C$1),$H64,IF(AND(($D64+$C$1)&gt;BY$4,BY$4&gt;=$C$1),$G64,0))*IF($A64="Residential",'General Inputs'!F$14,'General Inputs'!F$19)</f>
        <v>802.8186317696493</v>
      </c>
      <c r="BZ64" s="214">
        <f>IF(AND(($E64+$C$1)&gt;BZ$4,BZ$4&gt;=$C$1),$H64,IF(AND(($D64+$C$1)&gt;BZ$4,BZ$4&gt;=$C$1),$G64,0))*IF($A64="Residential",'General Inputs'!G$14,'General Inputs'!G$19)</f>
        <v>814.86091124619406</v>
      </c>
      <c r="CA64" s="214">
        <f>IF(AND(($E64+$C$1)&gt;CA$4,CA$4&gt;=$C$1),$H64,IF(AND(($D64+$C$1)&gt;CA$4,CA$4&gt;=$C$1),$G64,0))*IF($A64="Residential",'General Inputs'!H$14,'General Inputs'!H$19)</f>
        <v>827.08382491488669</v>
      </c>
      <c r="CB64" s="214">
        <f>IF(AND(($E64+$C$1)&gt;CB$4,CB$4&gt;=$C$1),$H64,IF(AND(($D64+$C$1)&gt;CB$4,CB$4&gt;=$C$1),$G64,0))*IF($A64="Residential",'General Inputs'!I$14,'General Inputs'!I$19)</f>
        <v>839.49008228860987</v>
      </c>
      <c r="CC64" s="214">
        <f>IF(AND(($E64+$C$1)&gt;CC$4,CC$4&gt;=$C$1),$H64,IF(AND(($D64+$C$1)&gt;CC$4,CC$4&gt;=$C$1),$G64,0))*IF($A64="Residential",'General Inputs'!J$14,'General Inputs'!J$19)</f>
        <v>852.08243352293903</v>
      </c>
      <c r="CD64" s="214">
        <f>IF(AND(($E64+$C$1)&gt;CD$4,CD$4&gt;=$C$1),$H64,IF(AND(($D64+$C$1)&gt;CD$4,CD$4&gt;=$C$1),$G64,0))*IF($A64="Residential",'General Inputs'!K$14,'General Inputs'!K$19)</f>
        <v>864.86367002578299</v>
      </c>
      <c r="CE64" s="214">
        <f>IF(AND(($E64+$C$1)&gt;CE$4,CE$4&gt;=$C$1),$H64,IF(AND(($D64+$C$1)&gt;CE$4,CE$4&gt;=$C$1),$G64,0))*IF($A64="Residential",'General Inputs'!L$14,'General Inputs'!L$19)</f>
        <v>877.83662507616964</v>
      </c>
      <c r="CF64" s="214">
        <f>IF(AND(($E64+$C$1)&gt;CF$4,CF$4&gt;=$C$1),$H64,IF(AND(($D64+$C$1)&gt;CF$4,CF$4&gt;=$C$1),$G64,0))*IF($A64="Residential",'General Inputs'!M$14,'General Inputs'!M$19)</f>
        <v>891.0041744523121</v>
      </c>
      <c r="CG64" s="214">
        <f>IF(AND(($E64+$C$1)&gt;CG$4,CG$4&gt;=$C$1),$H64,IF(AND(($D64+$C$1)&gt;CG$4,CG$4&gt;=$C$1),$G64,0))*IF($A64="Residential",'General Inputs'!N$14,'General Inputs'!N$19)</f>
        <v>904.36923706909681</v>
      </c>
      <c r="CH64" s="214">
        <f>IF(AND(($E64+$C$1)&gt;CH$4,CH$4&gt;=$C$1),$H64,IF(AND(($D64+$C$1)&gt;CH$4,CH$4&gt;=$C$1),$G64,0))*IF($A64="Residential",'General Inputs'!O$14,'General Inputs'!O$19)</f>
        <v>917.93477562513306</v>
      </c>
      <c r="CI64" s="214">
        <f>IF(AND(($E64+$C$1)&gt;CI$4,CI$4&gt;=$C$1),$H64,IF(AND(($D64+$C$1)&gt;CI$4,CI$4&gt;=$C$1),$G64,0))*IF($A64="Residential",'General Inputs'!P$14,'General Inputs'!P$19)</f>
        <v>931.70379725951</v>
      </c>
      <c r="CJ64" s="214">
        <f>IF(AND(($E64+$C$1)&gt;CJ$4,CJ$4&gt;=$C$1),$H64,IF(AND(($D64+$C$1)&gt;CJ$4,CJ$4&gt;=$C$1),$G64,0))*IF($A64="Residential",'General Inputs'!Q$14,'General Inputs'!Q$19)</f>
        <v>945.67935421840264</v>
      </c>
      <c r="CK64" s="214">
        <f>IF(AND(($E64+$C$1)&gt;CK$4,CK$4&gt;=$C$1),$H64,IF(AND(($D64+$C$1)&gt;CK$4,CK$4&gt;=$C$1),$G64,0))*IF($A64="Residential",'General Inputs'!R$14,'General Inputs'!R$19)</f>
        <v>959.86454453167846</v>
      </c>
      <c r="CL64" s="214">
        <f>IF(AND(($E64+$C$1)&gt;CL$4,CL$4&gt;=$C$1),$H64,IF(AND(($D64+$C$1)&gt;CL$4,CL$4&gt;=$C$1),$G64,0))*IF($A64="Residential",'General Inputs'!S$14,'General Inputs'!S$19)</f>
        <v>974.2625126996536</v>
      </c>
      <c r="CM64" s="214">
        <f>IF(AND(($E64+$C$1)&gt;CM$4,CM$4&gt;=$C$1),$H64,IF(AND(($D64+$C$1)&gt;CM$4,CM$4&gt;=$C$1),$G64,0))*IF($A64="Residential",'General Inputs'!T$14,'General Inputs'!T$19)</f>
        <v>988.87645039014831</v>
      </c>
      <c r="CN64" s="214">
        <f>IF(AND(($E64+$C$1)&gt;CN$4,CN$4&gt;=$C$1),$H64,IF(AND(($D64+$C$1)&gt;CN$4,CN$4&gt;=$C$1),$G64,0))*IF($A64="Residential",'General Inputs'!U$14,'General Inputs'!U$19)</f>
        <v>1003.7095971460004</v>
      </c>
      <c r="CO64" s="214">
        <f>IF(AND(($E64+$C$1)&gt;CO$4,CO$4&gt;=$C$1),$H64,IF(AND(($D64+$C$1)&gt;CO$4,CO$4&gt;=$C$1),$G64,0))*IF($A64="Residential",'General Inputs'!V$14,'General Inputs'!V$19)</f>
        <v>1018.7652411031903</v>
      </c>
      <c r="CP64" s="214">
        <f>IF(AND(($E64+$C$1)&gt;CP$4,CP$4&gt;=$C$1),$H64,IF(AND(($D64+$C$1)&gt;CP$4,CP$4&gt;=$C$1),$G64,0))*IF($A64="Residential",'General Inputs'!W$14,'General Inputs'!W$19)</f>
        <v>1034.0467197197381</v>
      </c>
      <c r="CR64" s="214">
        <f>IF(AND(($E64+$C$1)&gt;CR$4,CR$4&gt;=$C$1),$H64,IF(AND(($D64+$C$1)&gt;CR$4,CR$4&gt;=$C$1),$G64,0))*IF($A64="Residential",'General Inputs'!D$15,'General Inputs'!D$19)</f>
        <v>0</v>
      </c>
      <c r="CS64" s="214">
        <f>IF(AND(($E64+$C$1)&gt;CS$4,CS$4&gt;=$C$1),$H64,IF(AND(($D64+$C$1)&gt;CS$4,CS$4&gt;=$C$1),$G64,0))*IF($A64="Residential",'General Inputs'!E$15,'General Inputs'!E$19)</f>
        <v>0</v>
      </c>
      <c r="CT64" s="214">
        <f>IF(AND(($E64+$C$1)&gt;CT$4,CT$4&gt;=$C$1),$H64,IF(AND(($D64+$C$1)&gt;CT$4,CT$4&gt;=$C$1),$G64,0))*IF($A64="Residential",'General Inputs'!F$15,'General Inputs'!F$19)</f>
        <v>802.8186317696493</v>
      </c>
      <c r="CU64" s="214">
        <f>IF(AND(($E64+$C$1)&gt;CU$4,CU$4&gt;=$C$1),$H64,IF(AND(($D64+$C$1)&gt;CU$4,CU$4&gt;=$C$1),$G64,0))*IF($A64="Residential",'General Inputs'!G$15,'General Inputs'!G$19)</f>
        <v>814.86091124619406</v>
      </c>
      <c r="CV64" s="214">
        <f>IF(AND(($E64+$C$1)&gt;CV$4,CV$4&gt;=$C$1),$H64,IF(AND(($D64+$C$1)&gt;CV$4,CV$4&gt;=$C$1),$G64,0))*IF($A64="Residential",'General Inputs'!H$15,'General Inputs'!H$19)</f>
        <v>827.08382491488669</v>
      </c>
      <c r="CW64" s="214">
        <f>IF(AND(($E64+$C$1)&gt;CW$4,CW$4&gt;=$C$1),$H64,IF(AND(($D64+$C$1)&gt;CW$4,CW$4&gt;=$C$1),$G64,0))*IF($A64="Residential",'General Inputs'!I$15,'General Inputs'!I$19)</f>
        <v>839.49008228860987</v>
      </c>
      <c r="CX64" s="214">
        <f>IF(AND(($E64+$C$1)&gt;CX$4,CX$4&gt;=$C$1),$H64,IF(AND(($D64+$C$1)&gt;CX$4,CX$4&gt;=$C$1),$G64,0))*IF($A64="Residential",'General Inputs'!J$15,'General Inputs'!J$19)</f>
        <v>852.08243352293903</v>
      </c>
      <c r="CY64" s="214">
        <f>IF(AND(($E64+$C$1)&gt;CY$4,CY$4&gt;=$C$1),$H64,IF(AND(($D64+$C$1)&gt;CY$4,CY$4&gt;=$C$1),$G64,0))*IF($A64="Residential",'General Inputs'!K$15,'General Inputs'!K$19)</f>
        <v>864.86367002578299</v>
      </c>
      <c r="CZ64" s="214">
        <f>IF(AND(($E64+$C$1)&gt;CZ$4,CZ$4&gt;=$C$1),$H64,IF(AND(($D64+$C$1)&gt;CZ$4,CZ$4&gt;=$C$1),$G64,0))*IF($A64="Residential",'General Inputs'!L$15,'General Inputs'!L$19)</f>
        <v>877.83662507616964</v>
      </c>
      <c r="DA64" s="214">
        <f>IF(AND(($E64+$C$1)&gt;DA$4,DA$4&gt;=$C$1),$H64,IF(AND(($D64+$C$1)&gt;DA$4,DA$4&gt;=$C$1),$G64,0))*IF($A64="Residential",'General Inputs'!M$15,'General Inputs'!M$19)</f>
        <v>891.0041744523121</v>
      </c>
      <c r="DB64" s="214">
        <f>IF(AND(($E64+$C$1)&gt;DB$4,DB$4&gt;=$C$1),$H64,IF(AND(($D64+$C$1)&gt;DB$4,DB$4&gt;=$C$1),$G64,0))*IF($A64="Residential",'General Inputs'!N$15,'General Inputs'!N$19)</f>
        <v>904.36923706909681</v>
      </c>
      <c r="DC64" s="214">
        <f>IF(AND(($E64+$C$1)&gt;DC$4,DC$4&gt;=$C$1),$H64,IF(AND(($D64+$C$1)&gt;DC$4,DC$4&gt;=$C$1),$G64,0))*IF($A64="Residential",'General Inputs'!O$15,'General Inputs'!O$19)</f>
        <v>917.93477562513306</v>
      </c>
      <c r="DD64" s="214">
        <f>IF(AND(($E64+$C$1)&gt;DD$4,DD$4&gt;=$C$1),$H64,IF(AND(($D64+$C$1)&gt;DD$4,DD$4&gt;=$C$1),$G64,0))*IF($A64="Residential",'General Inputs'!P$15,'General Inputs'!P$19)</f>
        <v>931.70379725951</v>
      </c>
      <c r="DE64" s="214">
        <f>IF(AND(($E64+$C$1)&gt;DE$4,DE$4&gt;=$C$1),$H64,IF(AND(($D64+$C$1)&gt;DE$4,DE$4&gt;=$C$1),$G64,0))*IF($A64="Residential",'General Inputs'!Q$15,'General Inputs'!Q$19)</f>
        <v>945.67935421840264</v>
      </c>
      <c r="DF64" s="214">
        <f>IF(AND(($E64+$C$1)&gt;DF$4,DF$4&gt;=$C$1),$H64,IF(AND(($D64+$C$1)&gt;DF$4,DF$4&gt;=$C$1),$G64,0))*IF($A64="Residential",'General Inputs'!R$15,'General Inputs'!R$19)</f>
        <v>959.86454453167846</v>
      </c>
      <c r="DG64" s="214">
        <f>IF(AND(($E64+$C$1)&gt;DG$4,DG$4&gt;=$C$1),$H64,IF(AND(($D64+$C$1)&gt;DG$4,DG$4&gt;=$C$1),$G64,0))*IF($A64="Residential",'General Inputs'!S$15,'General Inputs'!S$19)</f>
        <v>974.2625126996536</v>
      </c>
      <c r="DH64" s="214">
        <f>IF(AND(($E64+$C$1)&gt;DH$4,DH$4&gt;=$C$1),$H64,IF(AND(($D64+$C$1)&gt;DH$4,DH$4&gt;=$C$1),$G64,0))*IF($A64="Residential",'General Inputs'!T$15,'General Inputs'!T$19)</f>
        <v>988.87645039014831</v>
      </c>
      <c r="DI64" s="214">
        <f>IF(AND(($E64+$C$1)&gt;DI$4,DI$4&gt;=$C$1),$H64,IF(AND(($D64+$C$1)&gt;DI$4,DI$4&gt;=$C$1),$G64,0))*IF($A64="Residential",'General Inputs'!U$15,'General Inputs'!U$19)</f>
        <v>1003.7095971460004</v>
      </c>
      <c r="DJ64" s="214">
        <f>IF(AND(($E64+$C$1)&gt;DJ$4,DJ$4&gt;=$C$1),$H64,IF(AND(($D64+$C$1)&gt;DJ$4,DJ$4&gt;=$C$1),$G64,0))*IF($A64="Residential",'General Inputs'!V$15,'General Inputs'!V$19)</f>
        <v>1018.7652411031903</v>
      </c>
      <c r="DK64" s="214">
        <f>IF(AND(($E64+$C$1)&gt;DK$4,DK$4&gt;=$C$1),$H64,IF(AND(($D64+$C$1)&gt;DK$4,DK$4&gt;=$C$1),$G64,0))*IF($A64="Residential",'General Inputs'!W$15,'General Inputs'!W$19)</f>
        <v>1034.0467197197381</v>
      </c>
      <c r="DM64" s="214">
        <f t="shared" si="99"/>
        <v>0</v>
      </c>
      <c r="DN64" s="214">
        <f t="shared" si="99"/>
        <v>0</v>
      </c>
      <c r="DO64" s="214">
        <f t="shared" si="99"/>
        <v>588</v>
      </c>
      <c r="DP64" s="214">
        <f t="shared" si="99"/>
        <v>0</v>
      </c>
      <c r="DQ64" s="214">
        <f t="shared" si="99"/>
        <v>0</v>
      </c>
      <c r="DR64" s="214">
        <f t="shared" si="99"/>
        <v>0</v>
      </c>
      <c r="DS64" s="214">
        <f t="shared" si="99"/>
        <v>0</v>
      </c>
      <c r="DT64" s="214">
        <f t="shared" si="99"/>
        <v>0</v>
      </c>
      <c r="DU64" s="214">
        <f t="shared" si="99"/>
        <v>0</v>
      </c>
      <c r="DV64" s="214">
        <f t="shared" si="99"/>
        <v>0</v>
      </c>
      <c r="DW64" s="214">
        <f t="shared" si="99"/>
        <v>0</v>
      </c>
      <c r="DZ64" s="650"/>
      <c r="FI64" s="195"/>
      <c r="FJ64" s="195"/>
      <c r="FK64" s="195"/>
      <c r="FL64" s="195"/>
      <c r="FM64" s="195"/>
      <c r="FN64" s="195"/>
      <c r="FO64" s="195"/>
    </row>
    <row r="65" spans="1:171">
      <c r="A65" s="342" t="s">
        <v>112</v>
      </c>
      <c r="B65" s="427" t="str">
        <f>'Portfolio Inputs'!A64</f>
        <v>Indirect Fixture</v>
      </c>
      <c r="C65" s="217">
        <f>IF($C$1=2014,'Portfolio Inputs'!$C64,IF($C$1=2015,'Portfolio Inputs'!$D64,'Portfolio Inputs'!$E64))</f>
        <v>0</v>
      </c>
      <c r="D65" s="504">
        <f>VLOOKUP(B65,Sources!$B$4:$J$104,2,FALSE)</f>
        <v>18</v>
      </c>
      <c r="E65" s="504">
        <f>VLOOKUP(B65,Sources!$B$4:$J$104,3,FALSE)</f>
        <v>0</v>
      </c>
      <c r="G65" s="504">
        <f>IF($C$1=2014,'Portfolio Inputs'!$G64,IF($C$1=2015,'Portfolio Inputs'!$H64,'Portfolio Inputs'!$I64))*EnergyLineLoss</f>
        <v>0</v>
      </c>
      <c r="H65" s="504"/>
      <c r="I65" s="595">
        <f>IF($C$1=2014,'Portfolio Inputs'!$K64,IF($C$1=2015,'Portfolio Inputs'!$L64,'Portfolio Inputs'!$M64))*PeakLineLoss</f>
        <v>0</v>
      </c>
      <c r="J65" s="510"/>
      <c r="L65" s="606">
        <f>IF($C$1=2014,'Portfolio Inputs'!$O64,IF($C$1=2015,'Portfolio Inputs'!$P64,'Portfolio Inputs'!$Q64))</f>
        <v>60</v>
      </c>
      <c r="M65" s="518">
        <f>VLOOKUP($B65,Sources!$B$4:$K$104,10,FALSE)</f>
        <v>0</v>
      </c>
      <c r="N65" s="419">
        <f>IF($C$1=2014,'Portfolio Inputs'!$W64,IF($C$1=2015,'Portfolio Inputs'!$X64,'Portfolio Inputs'!$Y64))</f>
        <v>0</v>
      </c>
      <c r="O65" s="419">
        <f>IF($C$1=2014,'Portfolio Inputs'!$AA64,IF($C$1=2015,'Portfolio Inputs'!$AB64,'Portfolio Inputs'!$AC64))</f>
        <v>0</v>
      </c>
      <c r="Q65" s="438" t="str">
        <f t="shared" si="67"/>
        <v>n/a</v>
      </c>
      <c r="R65" s="439" t="str">
        <f t="shared" si="68"/>
        <v>n/a</v>
      </c>
      <c r="S65" s="439" t="str">
        <f t="shared" si="69"/>
        <v>n/a</v>
      </c>
      <c r="T65" s="439" t="str">
        <f t="shared" si="70"/>
        <v>n/a</v>
      </c>
      <c r="U65" s="439" t="str">
        <f t="shared" si="98"/>
        <v>n/a</v>
      </c>
      <c r="V65" s="439" t="str">
        <f t="shared" si="72"/>
        <v>n/a</v>
      </c>
      <c r="W65" s="439" t="str">
        <f t="shared" si="73"/>
        <v>n/a</v>
      </c>
      <c r="Y65" s="215">
        <f t="shared" si="4"/>
        <v>0</v>
      </c>
      <c r="Z65" s="215">
        <f t="shared" si="5"/>
        <v>0</v>
      </c>
      <c r="AA65" s="215">
        <f t="shared" si="6"/>
        <v>0</v>
      </c>
      <c r="AB65" s="215">
        <f t="shared" si="7"/>
        <v>0</v>
      </c>
      <c r="AC65" s="216">
        <f t="shared" si="20"/>
        <v>0</v>
      </c>
      <c r="AD65" s="216">
        <f t="shared" si="21"/>
        <v>0</v>
      </c>
      <c r="AE65" s="215">
        <f t="shared" si="8"/>
        <v>0</v>
      </c>
      <c r="AG65" s="214">
        <f>IF(AND(($E65+$C$1)&gt;AG$4,AG$4&gt;=$C$1),'General Inputs'!D$9*$H65,IF(AND(($D65+$C$1)&gt;AG$4,AG$4&gt;=$C$1),'General Inputs'!D$9*$G65,0))+IF(AND(($E65+$C$1)&gt;AG$4,AG$4&gt;=$C$1),'General Inputs'!D$10*$J65,IF(AND(($D65+$C$1)&gt;AG$4,AG$4&gt;=$C$1),'General Inputs'!D$10*$I65,0))</f>
        <v>0</v>
      </c>
      <c r="AH65" s="214">
        <f>IF(AND(($E65+$C$1)&gt;AH$4,AH$4&gt;=$C$1),'General Inputs'!E$9*$H65,IF(AND(($D65+$C$1)&gt;AH$4,AH$4&gt;=$C$1),'General Inputs'!E$9*$G65,0))+IF(AND(($E65+$C$1)&gt;AH$4,AH$4&gt;=$C$1),'General Inputs'!E$10*$J65,IF(AND(($D65+$C$1)&gt;AH$4,AH$4&gt;=$C$1),'General Inputs'!E$10*$I65,0))</f>
        <v>0</v>
      </c>
      <c r="AI65" s="214">
        <f>IF(AND(($E65+$C$1)&gt;AI$4,AI$4&gt;=$C$1),'General Inputs'!F$9*$H65,IF(AND(($D65+$C$1)&gt;AI$4,AI$4&gt;=$C$1),'General Inputs'!F$9*$G65,0))+IF(AND(($E65+$C$1)&gt;AI$4,AI$4&gt;=$C$1),'General Inputs'!F$10*$J65,IF(AND(($D65+$C$1)&gt;AI$4,AI$4&gt;=$C$1),'General Inputs'!F$10*$I65,0))</f>
        <v>0</v>
      </c>
      <c r="AJ65" s="214">
        <f>IF(AND(($E65+$C$1)&gt;AJ$4,AJ$4&gt;=$C$1),'General Inputs'!G$9*$H65,IF(AND(($D65+$C$1)&gt;AJ$4,AJ$4&gt;=$C$1),'General Inputs'!G$9*$G65,0))+IF(AND(($E65+$C$1)&gt;AJ$4,AJ$4&gt;=$C$1),'General Inputs'!G$10*$J65,IF(AND(($D65+$C$1)&gt;AJ$4,AJ$4&gt;=$C$1),'General Inputs'!G$10*$I65,0))</f>
        <v>0</v>
      </c>
      <c r="AK65" s="214">
        <f>IF(AND(($E65+$C$1)&gt;AK$4,AK$4&gt;=$C$1),'General Inputs'!H$9*$H65,IF(AND(($D65+$C$1)&gt;AK$4,AK$4&gt;=$C$1),'General Inputs'!H$9*$G65,0))+IF(AND(($E65+$C$1)&gt;AK$4,AK$4&gt;=$C$1),'General Inputs'!H$10*$J65,IF(AND(($D65+$C$1)&gt;AK$4,AK$4&gt;=$C$1),'General Inputs'!H$10*$I65,0))</f>
        <v>0</v>
      </c>
      <c r="AL65" s="214">
        <f>IF(AND(($E65+$C$1)&gt;AL$4,AL$4&gt;=$C$1),'General Inputs'!I$9*$H65,IF(AND(($D65+$C$1)&gt;AL$4,AL$4&gt;=$C$1),'General Inputs'!I$9*$G65,0))+IF(AND(($E65+$C$1)&gt;AL$4,AL$4&gt;=$C$1),'General Inputs'!I$10*$J65,IF(AND(($D65+$C$1)&gt;AL$4,AL$4&gt;=$C$1),'General Inputs'!I$10*$I65,0))</f>
        <v>0</v>
      </c>
      <c r="AM65" s="214">
        <f>IF(AND(($E65+$C$1)&gt;AM$4,AM$4&gt;=$C$1),'General Inputs'!J$9*$H65,IF(AND(($D65+$C$1)&gt;AM$4,AM$4&gt;=$C$1),'General Inputs'!J$9*$G65,0))+IF(AND(($E65+$C$1)&gt;AM$4,AM$4&gt;=$C$1),'General Inputs'!J$10*$J65,IF(AND(($D65+$C$1)&gt;AM$4,AM$4&gt;=$C$1),'General Inputs'!J$10*$I65,0))</f>
        <v>0</v>
      </c>
      <c r="AN65" s="214">
        <f>IF(AND(($E65+$C$1)&gt;AN$4,AN$4&gt;=$C$1),'General Inputs'!K$9*$H65,IF(AND(($D65+$C$1)&gt;AN$4,AN$4&gt;=$C$1),'General Inputs'!K$9*$G65,0))+IF(AND(($E65+$C$1)&gt;AN$4,AN$4&gt;=$C$1),'General Inputs'!K$10*$J65,IF(AND(($D65+$C$1)&gt;AN$4,AN$4&gt;=$C$1),'General Inputs'!K$10*$I65,0))</f>
        <v>0</v>
      </c>
      <c r="AO65" s="214">
        <f>IF(AND(($E65+$C$1)&gt;AO$4,AO$4&gt;=$C$1),'General Inputs'!L$9*$H65,IF(AND(($D65+$C$1)&gt;AO$4,AO$4&gt;=$C$1),'General Inputs'!L$9*$G65,0))+IF(AND(($E65+$C$1)&gt;AO$4,AO$4&gt;=$C$1),'General Inputs'!L$10*$J65,IF(AND(($D65+$C$1)&gt;AO$4,AO$4&gt;=$C$1),'General Inputs'!L$10*$I65,0))</f>
        <v>0</v>
      </c>
      <c r="AP65" s="214">
        <f>IF(AND(($E65+$C$1)&gt;AP$4,AP$4&gt;=$C$1),'General Inputs'!M$9*$H65,IF(AND(($D65+$C$1)&gt;AP$4,AP$4&gt;=$C$1),'General Inputs'!M$9*$G65,0))+IF(AND(($E65+$C$1)&gt;AP$4,AP$4&gt;=$C$1),'General Inputs'!M$10*$J65,IF(AND(($D65+$C$1)&gt;AP$4,AP$4&gt;=$C$1),'General Inputs'!M$10*$I65,0))</f>
        <v>0</v>
      </c>
      <c r="AQ65" s="214">
        <f>IF(AND(($E65+$C$1)&gt;AQ$4,AQ$4&gt;=$C$1),'General Inputs'!N$9*$H65,IF(AND(($D65+$C$1)&gt;AQ$4,AQ$4&gt;=$C$1),'General Inputs'!N$9*$G65,0))+IF(AND(($E65+$C$1)&gt;AQ$4,AQ$4&gt;=$C$1),'General Inputs'!N$10*$J65,IF(AND(($D65+$C$1)&gt;AQ$4,AQ$4&gt;=$C$1),'General Inputs'!N$10*$I65,0))</f>
        <v>0</v>
      </c>
      <c r="AR65" s="214">
        <f>IF(AND(($E65+$C$1)&gt;AR$4,AR$4&gt;=$C$1),'General Inputs'!O$9*$H65,IF(AND(($D65+$C$1)&gt;AR$4,AR$4&gt;=$C$1),'General Inputs'!O$9*$G65,0))+IF(AND(($E65+$C$1)&gt;AR$4,AR$4&gt;=$C$1),'General Inputs'!O$10*$J65,IF(AND(($D65+$C$1)&gt;AR$4,AR$4&gt;=$C$1),'General Inputs'!O$10*$I65,0))</f>
        <v>0</v>
      </c>
      <c r="AS65" s="214">
        <f>IF(AND(($E65+$C$1)&gt;AS$4,AS$4&gt;=$C$1),'General Inputs'!P$9*$H65,IF(AND(($D65+$C$1)&gt;AS$4,AS$4&gt;=$C$1),'General Inputs'!P$9*$G65,0))+IF(AND(($E65+$C$1)&gt;AS$4,AS$4&gt;=$C$1),'General Inputs'!P$10*$J65,IF(AND(($D65+$C$1)&gt;AS$4,AS$4&gt;=$C$1),'General Inputs'!P$10*$I65,0))</f>
        <v>0</v>
      </c>
      <c r="AT65" s="214">
        <f>IF(AND(($E65+$C$1)&gt;AT$4,AT$4&gt;=$C$1),'General Inputs'!Q$9*$H65,IF(AND(($D65+$C$1)&gt;AT$4,AT$4&gt;=$C$1),'General Inputs'!Q$9*$G65,0))+IF(AND(($E65+$C$1)&gt;AT$4,AT$4&gt;=$C$1),'General Inputs'!Q$10*$J65,IF(AND(($D65+$C$1)&gt;AT$4,AT$4&gt;=$C$1),'General Inputs'!Q$10*$I65,0))</f>
        <v>0</v>
      </c>
      <c r="AU65" s="214">
        <f>IF(AND(($E65+$C$1)&gt;AU$4,AU$4&gt;=$C$1),'General Inputs'!R$9*$H65,IF(AND(($D65+$C$1)&gt;AU$4,AU$4&gt;=$C$1),'General Inputs'!R$9*$G65,0))+IF(AND(($E65+$C$1)&gt;AU$4,AU$4&gt;=$C$1),'General Inputs'!R$10*$J65,IF(AND(($D65+$C$1)&gt;AU$4,AU$4&gt;=$C$1),'General Inputs'!R$10*$I65,0))</f>
        <v>0</v>
      </c>
      <c r="AV65" s="214">
        <f>IF(AND(($E65+$C$1)&gt;AV$4,AV$4&gt;=$C$1),'General Inputs'!S$9*$H65,IF(AND(($D65+$C$1)&gt;AV$4,AV$4&gt;=$C$1),'General Inputs'!S$9*$G65,0))+IF(AND(($E65+$C$1)&gt;AV$4,AV$4&gt;=$C$1),'General Inputs'!S$10*$J65,IF(AND(($D65+$C$1)&gt;AV$4,AV$4&gt;=$C$1),'General Inputs'!S$10*$I65,0))</f>
        <v>0</v>
      </c>
      <c r="AW65" s="214">
        <f>IF(AND(($E65+$C$1)&gt;AW$4,AW$4&gt;=$C$1),'General Inputs'!T$9*$H65,IF(AND(($D65+$C$1)&gt;AW$4,AW$4&gt;=$C$1),'General Inputs'!T$9*$G65,0))+IF(AND(($E65+$C$1)&gt;AW$4,AW$4&gt;=$C$1),'General Inputs'!T$10*$J65,IF(AND(($D65+$C$1)&gt;AW$4,AW$4&gt;=$C$1),'General Inputs'!T$10*$I65,0))</f>
        <v>0</v>
      </c>
      <c r="AX65" s="214">
        <f>IF(AND(($E65+$C$1)&gt;AX$4,AX$4&gt;=$C$1),'General Inputs'!U$9*$H65,IF(AND(($D65+$C$1)&gt;AX$4,AX$4&gt;=$C$1),'General Inputs'!U$9*$G65,0))+IF(AND(($E65+$C$1)&gt;AX$4,AX$4&gt;=$C$1),'General Inputs'!U$10*$J65,IF(AND(($D65+$C$1)&gt;AX$4,AX$4&gt;=$C$1),'General Inputs'!U$10*$I65,0))</f>
        <v>0</v>
      </c>
      <c r="AY65" s="214">
        <f>IF(AND(($E65+$C$1)&gt;AY$4,AY$4&gt;=$C$1),'General Inputs'!V$9*$H65,IF(AND(($D65+$C$1)&gt;AY$4,AY$4&gt;=$C$1),'General Inputs'!V$9*$G65,0))+IF(AND(($E65+$C$1)&gt;AY$4,AY$4&gt;=$C$1),'General Inputs'!V$10*$J65,IF(AND(($D65+$C$1)&gt;AY$4,AY$4&gt;=$C$1),'General Inputs'!V$10*$I65,0))</f>
        <v>0</v>
      </c>
      <c r="AZ65" s="214">
        <f>IF(AND(($E65+$C$1)&gt;AZ$4,AZ$4&gt;=$C$1),'General Inputs'!W$9*$H65,IF(AND(($D65+$C$1)&gt;AZ$4,AZ$4&gt;=$C$1),'General Inputs'!W$9*$G65,0))+IF(AND(($E65+$C$1)&gt;AZ$4,AZ$4&gt;=$C$1),'General Inputs'!W$10*$J65,IF(AND(($D65+$C$1)&gt;AZ$4,AZ$4&gt;=$C$1),'General Inputs'!W$10*$I65,0))</f>
        <v>0</v>
      </c>
      <c r="BB65" s="214">
        <f>IF(AND(($E65+$C$1)&gt;BB$4,BB$4&gt;=$C$1),'General Inputs'!D$11*$H65,IF(AND(($D65+$C$1)&gt;BB$4,BB$4&gt;=$C$1),'General Inputs'!D$11*$G65,0))</f>
        <v>0</v>
      </c>
      <c r="BC65" s="214">
        <f>IF(AND(($E65+$C$1)&gt;BC$4,BC$4&gt;=$C$1),'General Inputs'!E$11*$H65,IF(AND(($D65+$C$1)&gt;BC$4,BC$4&gt;=$C$1),'General Inputs'!E$11*$G65,0))</f>
        <v>0</v>
      </c>
      <c r="BD65" s="214">
        <f>IF(AND(($E65+$C$1)&gt;BD$4,BD$4&gt;=$C$1),'General Inputs'!F$11*$H65,IF(AND(($D65+$C$1)&gt;BD$4,BD$4&gt;=$C$1),'General Inputs'!F$11*$G65,0))</f>
        <v>0</v>
      </c>
      <c r="BE65" s="214">
        <f>IF(AND(($E65+$C$1)&gt;BE$4,BE$4&gt;=$C$1),'General Inputs'!G$11*$H65,IF(AND(($D65+$C$1)&gt;BE$4,BE$4&gt;=$C$1),'General Inputs'!G$11*$G65,0))</f>
        <v>0</v>
      </c>
      <c r="BF65" s="214">
        <f>IF(AND(($E65+$C$1)&gt;BF$4,BF$4&gt;=$C$1),'General Inputs'!H$11*$H65,IF(AND(($D65+$C$1)&gt;BF$4,BF$4&gt;=$C$1),'General Inputs'!H$11*$G65,0))</f>
        <v>0</v>
      </c>
      <c r="BG65" s="214">
        <f>IF(AND(($E65+$C$1)&gt;BG$4,BG$4&gt;=$C$1),'General Inputs'!I$11*$H65,IF(AND(($D65+$C$1)&gt;BG$4,BG$4&gt;=$C$1),'General Inputs'!I$11*$G65,0))</f>
        <v>0</v>
      </c>
      <c r="BH65" s="214">
        <f>IF(AND(($E65+$C$1)&gt;BH$4,BH$4&gt;=$C$1),'General Inputs'!J$11*$H65,IF(AND(($D65+$C$1)&gt;BH$4,BH$4&gt;=$C$1),'General Inputs'!J$11*$G65,0))</f>
        <v>0</v>
      </c>
      <c r="BI65" s="214">
        <f>IF(AND(($E65+$C$1)&gt;BI$4,BI$4&gt;=$C$1),'General Inputs'!K$11*$H65,IF(AND(($D65+$C$1)&gt;BI$4,BI$4&gt;=$C$1),'General Inputs'!K$11*$G65,0))</f>
        <v>0</v>
      </c>
      <c r="BJ65" s="214">
        <f>IF(AND(($E65+$C$1)&gt;BJ$4,BJ$4&gt;=$C$1),'General Inputs'!L$11*$H65,IF(AND(($D65+$C$1)&gt;BJ$4,BJ$4&gt;=$C$1),'General Inputs'!L$11*$G65,0))</f>
        <v>0</v>
      </c>
      <c r="BK65" s="214">
        <f>IF(AND(($E65+$C$1)&gt;BK$4,BK$4&gt;=$C$1),'General Inputs'!M$11*$H65,IF(AND(($D65+$C$1)&gt;BK$4,BK$4&gt;=$C$1),'General Inputs'!M$11*$G65,0))</f>
        <v>0</v>
      </c>
      <c r="BL65" s="214">
        <f>IF(AND(($E65+$C$1)&gt;BL$4,BL$4&gt;=$C$1),'General Inputs'!N$11*$H65,IF(AND(($D65+$C$1)&gt;BL$4,BL$4&gt;=$C$1),'General Inputs'!N$11*$G65,0))</f>
        <v>0</v>
      </c>
      <c r="BM65" s="214">
        <f>IF(AND(($E65+$C$1)&gt;BM$4,BM$4&gt;=$C$1),'General Inputs'!O$11*$H65,IF(AND(($D65+$C$1)&gt;BM$4,BM$4&gt;=$C$1),'General Inputs'!O$11*$G65,0))</f>
        <v>0</v>
      </c>
      <c r="BN65" s="214">
        <f>IF(AND(($E65+$C$1)&gt;BN$4,BN$4&gt;=$C$1),'General Inputs'!P$11*$H65,IF(AND(($D65+$C$1)&gt;BN$4,BN$4&gt;=$C$1),'General Inputs'!P$11*$G65,0))</f>
        <v>0</v>
      </c>
      <c r="BO65" s="214">
        <f>IF(AND(($E65+$C$1)&gt;BO$4,BO$4&gt;=$C$1),'General Inputs'!Q$11*$H65,IF(AND(($D65+$C$1)&gt;BO$4,BO$4&gt;=$C$1),'General Inputs'!Q$11*$G65,0))</f>
        <v>0</v>
      </c>
      <c r="BP65" s="214">
        <f>IF(AND(($E65+$C$1)&gt;BP$4,BP$4&gt;=$C$1),'General Inputs'!R$11*$H65,IF(AND(($D65+$C$1)&gt;BP$4,BP$4&gt;=$C$1),'General Inputs'!R$11*$G65,0))</f>
        <v>0</v>
      </c>
      <c r="BQ65" s="214">
        <f>IF(AND(($E65+$C$1)&gt;BQ$4,BQ$4&gt;=$C$1),'General Inputs'!S$11*$H65,IF(AND(($D65+$C$1)&gt;BQ$4,BQ$4&gt;=$C$1),'General Inputs'!S$11*$G65,0))</f>
        <v>0</v>
      </c>
      <c r="BR65" s="214">
        <f>IF(AND(($E65+$C$1)&gt;BR$4,BR$4&gt;=$C$1),'General Inputs'!T$11*$H65,IF(AND(($D65+$C$1)&gt;BR$4,BR$4&gt;=$C$1),'General Inputs'!T$11*$G65,0))</f>
        <v>0</v>
      </c>
      <c r="BS65" s="214">
        <f>IF(AND(($E65+$C$1)&gt;BS$4,BS$4&gt;=$C$1),'General Inputs'!U$11*$H65,IF(AND(($D65+$C$1)&gt;BS$4,BS$4&gt;=$C$1),'General Inputs'!U$11*$G65,0))</f>
        <v>0</v>
      </c>
      <c r="BT65" s="214">
        <f>IF(AND(($E65+$C$1)&gt;BT$4,BT$4&gt;=$C$1),'General Inputs'!V$11*$H65,IF(AND(($D65+$C$1)&gt;BT$4,BT$4&gt;=$C$1),'General Inputs'!V$11*$G65,0))</f>
        <v>0</v>
      </c>
      <c r="BU65" s="214">
        <f>IF(AND(($E65+$C$1)&gt;BU$4,BU$4&gt;=$C$1),'General Inputs'!W$11*$H65,IF(AND(($D65+$C$1)&gt;BU$4,BU$4&gt;=$C$1),'General Inputs'!W$11*$G65,0))</f>
        <v>0</v>
      </c>
      <c r="BW65" s="214">
        <f>IF(AND(($E65+$C$1)&gt;BW$4,BW$4&gt;=$C$1),$H65,IF(AND(($D65+$C$1)&gt;BW$4,BW$4&gt;=$C$1),$G65,0))*IF($A65="Residential",'General Inputs'!D$14,'General Inputs'!D$19)</f>
        <v>0</v>
      </c>
      <c r="BX65" s="214">
        <f>IF(AND(($E65+$C$1)&gt;BX$4,BX$4&gt;=$C$1),$H65,IF(AND(($D65+$C$1)&gt;BX$4,BX$4&gt;=$C$1),$G65,0))*IF($A65="Residential",'General Inputs'!E$14,'General Inputs'!E$19)</f>
        <v>0</v>
      </c>
      <c r="BY65" s="214">
        <f>IF(AND(($E65+$C$1)&gt;BY$4,BY$4&gt;=$C$1),$H65,IF(AND(($D65+$C$1)&gt;BY$4,BY$4&gt;=$C$1),$G65,0))*IF($A65="Residential",'General Inputs'!F$14,'General Inputs'!F$19)</f>
        <v>0</v>
      </c>
      <c r="BZ65" s="214">
        <f>IF(AND(($E65+$C$1)&gt;BZ$4,BZ$4&gt;=$C$1),$H65,IF(AND(($D65+$C$1)&gt;BZ$4,BZ$4&gt;=$C$1),$G65,0))*IF($A65="Residential",'General Inputs'!G$14,'General Inputs'!G$19)</f>
        <v>0</v>
      </c>
      <c r="CA65" s="214">
        <f>IF(AND(($E65+$C$1)&gt;CA$4,CA$4&gt;=$C$1),$H65,IF(AND(($D65+$C$1)&gt;CA$4,CA$4&gt;=$C$1),$G65,0))*IF($A65="Residential",'General Inputs'!H$14,'General Inputs'!H$19)</f>
        <v>0</v>
      </c>
      <c r="CB65" s="214">
        <f>IF(AND(($E65+$C$1)&gt;CB$4,CB$4&gt;=$C$1),$H65,IF(AND(($D65+$C$1)&gt;CB$4,CB$4&gt;=$C$1),$G65,0))*IF($A65="Residential",'General Inputs'!I$14,'General Inputs'!I$19)</f>
        <v>0</v>
      </c>
      <c r="CC65" s="214">
        <f>IF(AND(($E65+$C$1)&gt;CC$4,CC$4&gt;=$C$1),$H65,IF(AND(($D65+$C$1)&gt;CC$4,CC$4&gt;=$C$1),$G65,0))*IF($A65="Residential",'General Inputs'!J$14,'General Inputs'!J$19)</f>
        <v>0</v>
      </c>
      <c r="CD65" s="214">
        <f>IF(AND(($E65+$C$1)&gt;CD$4,CD$4&gt;=$C$1),$H65,IF(AND(($D65+$C$1)&gt;CD$4,CD$4&gt;=$C$1),$G65,0))*IF($A65="Residential",'General Inputs'!K$14,'General Inputs'!K$19)</f>
        <v>0</v>
      </c>
      <c r="CE65" s="214">
        <f>IF(AND(($E65+$C$1)&gt;CE$4,CE$4&gt;=$C$1),$H65,IF(AND(($D65+$C$1)&gt;CE$4,CE$4&gt;=$C$1),$G65,0))*IF($A65="Residential",'General Inputs'!L$14,'General Inputs'!L$19)</f>
        <v>0</v>
      </c>
      <c r="CF65" s="214">
        <f>IF(AND(($E65+$C$1)&gt;CF$4,CF$4&gt;=$C$1),$H65,IF(AND(($D65+$C$1)&gt;CF$4,CF$4&gt;=$C$1),$G65,0))*IF($A65="Residential",'General Inputs'!M$14,'General Inputs'!M$19)</f>
        <v>0</v>
      </c>
      <c r="CG65" s="214">
        <f>IF(AND(($E65+$C$1)&gt;CG$4,CG$4&gt;=$C$1),$H65,IF(AND(($D65+$C$1)&gt;CG$4,CG$4&gt;=$C$1),$G65,0))*IF($A65="Residential",'General Inputs'!N$14,'General Inputs'!N$19)</f>
        <v>0</v>
      </c>
      <c r="CH65" s="214">
        <f>IF(AND(($E65+$C$1)&gt;CH$4,CH$4&gt;=$C$1),$H65,IF(AND(($D65+$C$1)&gt;CH$4,CH$4&gt;=$C$1),$G65,0))*IF($A65="Residential",'General Inputs'!O$14,'General Inputs'!O$19)</f>
        <v>0</v>
      </c>
      <c r="CI65" s="214">
        <f>IF(AND(($E65+$C$1)&gt;CI$4,CI$4&gt;=$C$1),$H65,IF(AND(($D65+$C$1)&gt;CI$4,CI$4&gt;=$C$1),$G65,0))*IF($A65="Residential",'General Inputs'!P$14,'General Inputs'!P$19)</f>
        <v>0</v>
      </c>
      <c r="CJ65" s="214">
        <f>IF(AND(($E65+$C$1)&gt;CJ$4,CJ$4&gt;=$C$1),$H65,IF(AND(($D65+$C$1)&gt;CJ$4,CJ$4&gt;=$C$1),$G65,0))*IF($A65="Residential",'General Inputs'!Q$14,'General Inputs'!Q$19)</f>
        <v>0</v>
      </c>
      <c r="CK65" s="214">
        <f>IF(AND(($E65+$C$1)&gt;CK$4,CK$4&gt;=$C$1),$H65,IF(AND(($D65+$C$1)&gt;CK$4,CK$4&gt;=$C$1),$G65,0))*IF($A65="Residential",'General Inputs'!R$14,'General Inputs'!R$19)</f>
        <v>0</v>
      </c>
      <c r="CL65" s="214">
        <f>IF(AND(($E65+$C$1)&gt;CL$4,CL$4&gt;=$C$1),$H65,IF(AND(($D65+$C$1)&gt;CL$4,CL$4&gt;=$C$1),$G65,0))*IF($A65="Residential",'General Inputs'!S$14,'General Inputs'!S$19)</f>
        <v>0</v>
      </c>
      <c r="CM65" s="214">
        <f>IF(AND(($E65+$C$1)&gt;CM$4,CM$4&gt;=$C$1),$H65,IF(AND(($D65+$C$1)&gt;CM$4,CM$4&gt;=$C$1),$G65,0))*IF($A65="Residential",'General Inputs'!T$14,'General Inputs'!T$19)</f>
        <v>0</v>
      </c>
      <c r="CN65" s="214">
        <f>IF(AND(($E65+$C$1)&gt;CN$4,CN$4&gt;=$C$1),$H65,IF(AND(($D65+$C$1)&gt;CN$4,CN$4&gt;=$C$1),$G65,0))*IF($A65="Residential",'General Inputs'!U$14,'General Inputs'!U$19)</f>
        <v>0</v>
      </c>
      <c r="CO65" s="214">
        <f>IF(AND(($E65+$C$1)&gt;CO$4,CO$4&gt;=$C$1),$H65,IF(AND(($D65+$C$1)&gt;CO$4,CO$4&gt;=$C$1),$G65,0))*IF($A65="Residential",'General Inputs'!V$14,'General Inputs'!V$19)</f>
        <v>0</v>
      </c>
      <c r="CP65" s="214">
        <f>IF(AND(($E65+$C$1)&gt;CP$4,CP$4&gt;=$C$1),$H65,IF(AND(($D65+$C$1)&gt;CP$4,CP$4&gt;=$C$1),$G65,0))*IF($A65="Residential",'General Inputs'!W$14,'General Inputs'!W$19)</f>
        <v>0</v>
      </c>
      <c r="CR65" s="214">
        <f>IF(AND(($E65+$C$1)&gt;CR$4,CR$4&gt;=$C$1),$H65,IF(AND(($D65+$C$1)&gt;CR$4,CR$4&gt;=$C$1),$G65,0))*IF($A65="Residential",'General Inputs'!D$15,'General Inputs'!D$19)</f>
        <v>0</v>
      </c>
      <c r="CS65" s="214">
        <f>IF(AND(($E65+$C$1)&gt;CS$4,CS$4&gt;=$C$1),$H65,IF(AND(($D65+$C$1)&gt;CS$4,CS$4&gt;=$C$1),$G65,0))*IF($A65="Residential",'General Inputs'!E$15,'General Inputs'!E$19)</f>
        <v>0</v>
      </c>
      <c r="CT65" s="214">
        <f>IF(AND(($E65+$C$1)&gt;CT$4,CT$4&gt;=$C$1),$H65,IF(AND(($D65+$C$1)&gt;CT$4,CT$4&gt;=$C$1),$G65,0))*IF($A65="Residential",'General Inputs'!F$15,'General Inputs'!F$19)</f>
        <v>0</v>
      </c>
      <c r="CU65" s="214">
        <f>IF(AND(($E65+$C$1)&gt;CU$4,CU$4&gt;=$C$1),$H65,IF(AND(($D65+$C$1)&gt;CU$4,CU$4&gt;=$C$1),$G65,0))*IF($A65="Residential",'General Inputs'!G$15,'General Inputs'!G$19)</f>
        <v>0</v>
      </c>
      <c r="CV65" s="214">
        <f>IF(AND(($E65+$C$1)&gt;CV$4,CV$4&gt;=$C$1),$H65,IF(AND(($D65+$C$1)&gt;CV$4,CV$4&gt;=$C$1),$G65,0))*IF($A65="Residential",'General Inputs'!H$15,'General Inputs'!H$19)</f>
        <v>0</v>
      </c>
      <c r="CW65" s="214">
        <f>IF(AND(($E65+$C$1)&gt;CW$4,CW$4&gt;=$C$1),$H65,IF(AND(($D65+$C$1)&gt;CW$4,CW$4&gt;=$C$1),$G65,0))*IF($A65="Residential",'General Inputs'!I$15,'General Inputs'!I$19)</f>
        <v>0</v>
      </c>
      <c r="CX65" s="214">
        <f>IF(AND(($E65+$C$1)&gt;CX$4,CX$4&gt;=$C$1),$H65,IF(AND(($D65+$C$1)&gt;CX$4,CX$4&gt;=$C$1),$G65,0))*IF($A65="Residential",'General Inputs'!J$15,'General Inputs'!J$19)</f>
        <v>0</v>
      </c>
      <c r="CY65" s="214">
        <f>IF(AND(($E65+$C$1)&gt;CY$4,CY$4&gt;=$C$1),$H65,IF(AND(($D65+$C$1)&gt;CY$4,CY$4&gt;=$C$1),$G65,0))*IF($A65="Residential",'General Inputs'!K$15,'General Inputs'!K$19)</f>
        <v>0</v>
      </c>
      <c r="CZ65" s="214">
        <f>IF(AND(($E65+$C$1)&gt;CZ$4,CZ$4&gt;=$C$1),$H65,IF(AND(($D65+$C$1)&gt;CZ$4,CZ$4&gt;=$C$1),$G65,0))*IF($A65="Residential",'General Inputs'!L$15,'General Inputs'!L$19)</f>
        <v>0</v>
      </c>
      <c r="DA65" s="214">
        <f>IF(AND(($E65+$C$1)&gt;DA$4,DA$4&gt;=$C$1),$H65,IF(AND(($D65+$C$1)&gt;DA$4,DA$4&gt;=$C$1),$G65,0))*IF($A65="Residential",'General Inputs'!M$15,'General Inputs'!M$19)</f>
        <v>0</v>
      </c>
      <c r="DB65" s="214">
        <f>IF(AND(($E65+$C$1)&gt;DB$4,DB$4&gt;=$C$1),$H65,IF(AND(($D65+$C$1)&gt;DB$4,DB$4&gt;=$C$1),$G65,0))*IF($A65="Residential",'General Inputs'!N$15,'General Inputs'!N$19)</f>
        <v>0</v>
      </c>
      <c r="DC65" s="214">
        <f>IF(AND(($E65+$C$1)&gt;DC$4,DC$4&gt;=$C$1),$H65,IF(AND(($D65+$C$1)&gt;DC$4,DC$4&gt;=$C$1),$G65,0))*IF($A65="Residential",'General Inputs'!O$15,'General Inputs'!O$19)</f>
        <v>0</v>
      </c>
      <c r="DD65" s="214">
        <f>IF(AND(($E65+$C$1)&gt;DD$4,DD$4&gt;=$C$1),$H65,IF(AND(($D65+$C$1)&gt;DD$4,DD$4&gt;=$C$1),$G65,0))*IF($A65="Residential",'General Inputs'!P$15,'General Inputs'!P$19)</f>
        <v>0</v>
      </c>
      <c r="DE65" s="214">
        <f>IF(AND(($E65+$C$1)&gt;DE$4,DE$4&gt;=$C$1),$H65,IF(AND(($D65+$C$1)&gt;DE$4,DE$4&gt;=$C$1),$G65,0))*IF($A65="Residential",'General Inputs'!Q$15,'General Inputs'!Q$19)</f>
        <v>0</v>
      </c>
      <c r="DF65" s="214">
        <f>IF(AND(($E65+$C$1)&gt;DF$4,DF$4&gt;=$C$1),$H65,IF(AND(($D65+$C$1)&gt;DF$4,DF$4&gt;=$C$1),$G65,0))*IF($A65="Residential",'General Inputs'!R$15,'General Inputs'!R$19)</f>
        <v>0</v>
      </c>
      <c r="DG65" s="214">
        <f>IF(AND(($E65+$C$1)&gt;DG$4,DG$4&gt;=$C$1),$H65,IF(AND(($D65+$C$1)&gt;DG$4,DG$4&gt;=$C$1),$G65,0))*IF($A65="Residential",'General Inputs'!S$15,'General Inputs'!S$19)</f>
        <v>0</v>
      </c>
      <c r="DH65" s="214">
        <f>IF(AND(($E65+$C$1)&gt;DH$4,DH$4&gt;=$C$1),$H65,IF(AND(($D65+$C$1)&gt;DH$4,DH$4&gt;=$C$1),$G65,0))*IF($A65="Residential",'General Inputs'!T$15,'General Inputs'!T$19)</f>
        <v>0</v>
      </c>
      <c r="DI65" s="214">
        <f>IF(AND(($E65+$C$1)&gt;DI$4,DI$4&gt;=$C$1),$H65,IF(AND(($D65+$C$1)&gt;DI$4,DI$4&gt;=$C$1),$G65,0))*IF($A65="Residential",'General Inputs'!U$15,'General Inputs'!U$19)</f>
        <v>0</v>
      </c>
      <c r="DJ65" s="214">
        <f>IF(AND(($E65+$C$1)&gt;DJ$4,DJ$4&gt;=$C$1),$H65,IF(AND(($D65+$C$1)&gt;DJ$4,DJ$4&gt;=$C$1),$G65,0))*IF($A65="Residential",'General Inputs'!V$15,'General Inputs'!V$19)</f>
        <v>0</v>
      </c>
      <c r="DK65" s="214">
        <f>IF(AND(($E65+$C$1)&gt;DK$4,DK$4&gt;=$C$1),$H65,IF(AND(($D65+$C$1)&gt;DK$4,DK$4&gt;=$C$1),$G65,0))*IF($A65="Residential",'General Inputs'!W$15,'General Inputs'!W$19)</f>
        <v>0</v>
      </c>
      <c r="DM65" s="214">
        <f t="shared" si="99"/>
        <v>0</v>
      </c>
      <c r="DN65" s="214">
        <f t="shared" si="99"/>
        <v>0</v>
      </c>
      <c r="DO65" s="214">
        <f t="shared" si="99"/>
        <v>0</v>
      </c>
      <c r="DP65" s="214">
        <f t="shared" si="99"/>
        <v>0</v>
      </c>
      <c r="DQ65" s="214">
        <f t="shared" si="99"/>
        <v>0</v>
      </c>
      <c r="DR65" s="214">
        <f t="shared" si="99"/>
        <v>0</v>
      </c>
      <c r="DS65" s="214">
        <f t="shared" si="99"/>
        <v>0</v>
      </c>
      <c r="DT65" s="214">
        <f t="shared" si="99"/>
        <v>0</v>
      </c>
      <c r="DU65" s="214">
        <f t="shared" si="99"/>
        <v>0</v>
      </c>
      <c r="DV65" s="214">
        <f t="shared" si="99"/>
        <v>0</v>
      </c>
      <c r="DW65" s="214">
        <f t="shared" si="99"/>
        <v>0</v>
      </c>
      <c r="DZ65" s="650"/>
      <c r="FI65" s="195"/>
      <c r="FJ65" s="195"/>
      <c r="FK65" s="195"/>
      <c r="FL65" s="195"/>
      <c r="FM65" s="195"/>
      <c r="FN65" s="195"/>
      <c r="FO65" s="195"/>
    </row>
    <row r="66" spans="1:171">
      <c r="A66" s="342" t="s">
        <v>112</v>
      </c>
      <c r="B66" s="427" t="str">
        <f>'Portfolio Inputs'!A65</f>
        <v>Ceramic Integrated Metal Halide (≤150W)</v>
      </c>
      <c r="C66" s="217">
        <f>IF($C$1=2014,'Portfolio Inputs'!$C65,IF($C$1=2015,'Portfolio Inputs'!$D65,'Portfolio Inputs'!$E65))</f>
        <v>3</v>
      </c>
      <c r="D66" s="504">
        <f>VLOOKUP(B66,Sources!$B$4:$J$104,2,FALSE)</f>
        <v>18</v>
      </c>
      <c r="E66" s="504">
        <f>VLOOKUP(B66,Sources!$B$4:$J$104,3,FALSE)</f>
        <v>0</v>
      </c>
      <c r="G66" s="504">
        <f>IF($C$1=2014,'Portfolio Inputs'!$G65,IF($C$1=2015,'Portfolio Inputs'!$H65,'Portfolio Inputs'!$I65))*EnergyLineLoss</f>
        <v>2840.8656712499997</v>
      </c>
      <c r="H66" s="504"/>
      <c r="I66" s="595">
        <f>IF($C$1=2014,'Portfolio Inputs'!$K65,IF($C$1=2015,'Portfolio Inputs'!$L65,'Portfolio Inputs'!$M65))*PeakLineLoss</f>
        <v>0.43928141399999998</v>
      </c>
      <c r="J66" s="510"/>
      <c r="L66" s="606">
        <f>IF($C$1=2014,'Portfolio Inputs'!$O65,IF($C$1=2015,'Portfolio Inputs'!$P65,'Portfolio Inputs'!$Q65))</f>
        <v>145</v>
      </c>
      <c r="M66" s="518">
        <f>VLOOKUP($B66,Sources!$B$4:$K$104,10,FALSE)</f>
        <v>0</v>
      </c>
      <c r="N66" s="419">
        <f>IF($C$1=2014,'Portfolio Inputs'!$W65,IF($C$1=2015,'Portfolio Inputs'!$X65,'Portfolio Inputs'!$Y65))</f>
        <v>51</v>
      </c>
      <c r="O66" s="419">
        <f>IF($C$1=2014,'Portfolio Inputs'!$AA65,IF($C$1=2015,'Portfolio Inputs'!$AB65,'Portfolio Inputs'!$AC65))</f>
        <v>0</v>
      </c>
      <c r="Q66" s="438">
        <f t="shared" si="67"/>
        <v>3.0068963319799313</v>
      </c>
      <c r="R66" s="439">
        <f t="shared" si="68"/>
        <v>25.647056949240589</v>
      </c>
      <c r="S66" s="439">
        <f t="shared" si="69"/>
        <v>3.7240139099765632</v>
      </c>
      <c r="T66" s="439">
        <f t="shared" si="70"/>
        <v>7.573642023250315</v>
      </c>
      <c r="U66" s="439">
        <f t="shared" si="98"/>
        <v>7.573642023250315</v>
      </c>
      <c r="V66" s="439">
        <f t="shared" si="72"/>
        <v>0.39702118515095691</v>
      </c>
      <c r="W66" s="439">
        <f t="shared" si="73"/>
        <v>0.39702118515095691</v>
      </c>
      <c r="Y66" s="215">
        <f t="shared" si="4"/>
        <v>1104.1565320717229</v>
      </c>
      <c r="Z66" s="215">
        <f t="shared" si="5"/>
        <v>263.33134587551837</v>
      </c>
      <c r="AA66" s="215">
        <f t="shared" si="6"/>
        <v>2738.0503242454547</v>
      </c>
      <c r="AB66" s="215">
        <f t="shared" si="7"/>
        <v>2738.0503242454547</v>
      </c>
      <c r="AC66" s="216">
        <f t="shared" si="20"/>
        <v>0</v>
      </c>
      <c r="AD66" s="216">
        <f t="shared" si="21"/>
        <v>43.051978020597687</v>
      </c>
      <c r="AE66" s="215">
        <f t="shared" si="8"/>
        <v>367.20804782274496</v>
      </c>
      <c r="AG66" s="214">
        <f>IF(AND(($E66+$C$1)&gt;AG$4,AG$4&gt;=$C$1),'General Inputs'!D$9*$H66,IF(AND(($D66+$C$1)&gt;AG$4,AG$4&gt;=$C$1),'General Inputs'!D$9*$G66,0))+IF(AND(($E66+$C$1)&gt;AG$4,AG$4&gt;=$C$1),'General Inputs'!D$10*$J66,IF(AND(($D66+$C$1)&gt;AG$4,AG$4&gt;=$C$1),'General Inputs'!D$10*$I66,0))</f>
        <v>0</v>
      </c>
      <c r="AH66" s="214">
        <f>IF(AND(($E66+$C$1)&gt;AH$4,AH$4&gt;=$C$1),'General Inputs'!E$9*$H66,IF(AND(($D66+$C$1)&gt;AH$4,AH$4&gt;=$C$1),'General Inputs'!E$9*$G66,0))+IF(AND(($E66+$C$1)&gt;AH$4,AH$4&gt;=$C$1),'General Inputs'!E$10*$J66,IF(AND(($D66+$C$1)&gt;AH$4,AH$4&gt;=$C$1),'General Inputs'!E$10*$I66,0))</f>
        <v>0</v>
      </c>
      <c r="AI66" s="214">
        <f>IF(AND(($E66+$C$1)&gt;AI$4,AI$4&gt;=$C$1),'General Inputs'!F$9*$H66,IF(AND(($D66+$C$1)&gt;AI$4,AI$4&gt;=$C$1),'General Inputs'!F$9*$G66,0))+IF(AND(($E66+$C$1)&gt;AI$4,AI$4&gt;=$C$1),'General Inputs'!F$10*$J66,IF(AND(($D66+$C$1)&gt;AI$4,AI$4&gt;=$C$1),'General Inputs'!F$10*$I66,0))</f>
        <v>123.29642899576305</v>
      </c>
      <c r="AJ66" s="214">
        <f>IF(AND(($E66+$C$1)&gt;AJ$4,AJ$4&gt;=$C$1),'General Inputs'!G$9*$H66,IF(AND(($D66+$C$1)&gt;AJ$4,AJ$4&gt;=$C$1),'General Inputs'!G$9*$G66,0))+IF(AND(($E66+$C$1)&gt;AJ$4,AJ$4&gt;=$C$1),'General Inputs'!G$10*$J66,IF(AND(($D66+$C$1)&gt;AJ$4,AJ$4&gt;=$C$1),'General Inputs'!G$10*$I66,0))</f>
        <v>125.14587543069948</v>
      </c>
      <c r="AK66" s="214">
        <f>IF(AND(($E66+$C$1)&gt;AK$4,AK$4&gt;=$C$1),'General Inputs'!H$9*$H66,IF(AND(($D66+$C$1)&gt;AK$4,AK$4&gt;=$C$1),'General Inputs'!H$9*$G66,0))+IF(AND(($E66+$C$1)&gt;AK$4,AK$4&gt;=$C$1),'General Inputs'!H$10*$J66,IF(AND(($D66+$C$1)&gt;AK$4,AK$4&gt;=$C$1),'General Inputs'!H$10*$I66,0))</f>
        <v>127.02306356215996</v>
      </c>
      <c r="AL66" s="214">
        <f>IF(AND(($E66+$C$1)&gt;AL$4,AL$4&gt;=$C$1),'General Inputs'!I$9*$H66,IF(AND(($D66+$C$1)&gt;AL$4,AL$4&gt;=$C$1),'General Inputs'!I$9*$G66,0))+IF(AND(($E66+$C$1)&gt;AL$4,AL$4&gt;=$C$1),'General Inputs'!I$10*$J66,IF(AND(($D66+$C$1)&gt;AL$4,AL$4&gt;=$C$1),'General Inputs'!I$10*$I66,0))</f>
        <v>128.92840951559234</v>
      </c>
      <c r="AM66" s="214">
        <f>IF(AND(($E66+$C$1)&gt;AM$4,AM$4&gt;=$C$1),'General Inputs'!J$9*$H66,IF(AND(($D66+$C$1)&gt;AM$4,AM$4&gt;=$C$1),'General Inputs'!J$9*$G66,0))+IF(AND(($E66+$C$1)&gt;AM$4,AM$4&gt;=$C$1),'General Inputs'!J$10*$J66,IF(AND(($D66+$C$1)&gt;AM$4,AM$4&gt;=$C$1),'General Inputs'!J$10*$I66,0))</f>
        <v>130.8623356583262</v>
      </c>
      <c r="AN66" s="214">
        <f>IF(AND(($E66+$C$1)&gt;AN$4,AN$4&gt;=$C$1),'General Inputs'!K$9*$H66,IF(AND(($D66+$C$1)&gt;AN$4,AN$4&gt;=$C$1),'General Inputs'!K$9*$G66,0))+IF(AND(($E66+$C$1)&gt;AN$4,AN$4&gt;=$C$1),'General Inputs'!K$10*$J66,IF(AND(($D66+$C$1)&gt;AN$4,AN$4&gt;=$C$1),'General Inputs'!K$10*$I66,0))</f>
        <v>132.82527069320108</v>
      </c>
      <c r="AO66" s="214">
        <f>IF(AND(($E66+$C$1)&gt;AO$4,AO$4&gt;=$C$1),'General Inputs'!L$9*$H66,IF(AND(($D66+$C$1)&gt;AO$4,AO$4&gt;=$C$1),'General Inputs'!L$9*$G66,0))+IF(AND(($E66+$C$1)&gt;AO$4,AO$4&gt;=$C$1),'General Inputs'!L$10*$J66,IF(AND(($D66+$C$1)&gt;AO$4,AO$4&gt;=$C$1),'General Inputs'!L$10*$I66,0))</f>
        <v>134.81764975359908</v>
      </c>
      <c r="AP66" s="214">
        <f>IF(AND(($E66+$C$1)&gt;AP$4,AP$4&gt;=$C$1),'General Inputs'!M$9*$H66,IF(AND(($D66+$C$1)&gt;AP$4,AP$4&gt;=$C$1),'General Inputs'!M$9*$G66,0))+IF(AND(($E66+$C$1)&gt;AP$4,AP$4&gt;=$C$1),'General Inputs'!M$10*$J66,IF(AND(($D66+$C$1)&gt;AP$4,AP$4&gt;=$C$1),'General Inputs'!M$10*$I66,0))</f>
        <v>136.83991449990305</v>
      </c>
      <c r="AQ66" s="214">
        <f>IF(AND(($E66+$C$1)&gt;AQ$4,AQ$4&gt;=$C$1),'General Inputs'!N$9*$H66,IF(AND(($D66+$C$1)&gt;AQ$4,AQ$4&gt;=$C$1),'General Inputs'!N$9*$G66,0))+IF(AND(($E66+$C$1)&gt;AQ$4,AQ$4&gt;=$C$1),'General Inputs'!N$10*$J66,IF(AND(($D66+$C$1)&gt;AQ$4,AQ$4&gt;=$C$1),'General Inputs'!N$10*$I66,0))</f>
        <v>138.89251321740159</v>
      </c>
      <c r="AR66" s="214">
        <f>IF(AND(($E66+$C$1)&gt;AR$4,AR$4&gt;=$C$1),'General Inputs'!O$9*$H66,IF(AND(($D66+$C$1)&gt;AR$4,AR$4&gt;=$C$1),'General Inputs'!O$9*$G66,0))+IF(AND(($E66+$C$1)&gt;AR$4,AR$4&gt;=$C$1),'General Inputs'!O$10*$J66,IF(AND(($D66+$C$1)&gt;AR$4,AR$4&gt;=$C$1),'General Inputs'!O$10*$I66,0))</f>
        <v>140.97590091566258</v>
      </c>
      <c r="AS66" s="214">
        <f>IF(AND(($E66+$C$1)&gt;AS$4,AS$4&gt;=$C$1),'General Inputs'!P$9*$H66,IF(AND(($D66+$C$1)&gt;AS$4,AS$4&gt;=$C$1),'General Inputs'!P$9*$G66,0))+IF(AND(($E66+$C$1)&gt;AS$4,AS$4&gt;=$C$1),'General Inputs'!P$10*$J66,IF(AND(($D66+$C$1)&gt;AS$4,AS$4&gt;=$C$1),'General Inputs'!P$10*$I66,0))</f>
        <v>143.09053942939752</v>
      </c>
      <c r="AT66" s="214">
        <f>IF(AND(($E66+$C$1)&gt;AT$4,AT$4&gt;=$C$1),'General Inputs'!Q$9*$H66,IF(AND(($D66+$C$1)&gt;AT$4,AT$4&gt;=$C$1),'General Inputs'!Q$9*$G66,0))+IF(AND(($E66+$C$1)&gt;AT$4,AT$4&gt;=$C$1),'General Inputs'!Q$10*$J66,IF(AND(($D66+$C$1)&gt;AT$4,AT$4&gt;=$C$1),'General Inputs'!Q$10*$I66,0))</f>
        <v>145.23689752083848</v>
      </c>
      <c r="AU66" s="214">
        <f>IF(AND(($E66+$C$1)&gt;AU$4,AU$4&gt;=$C$1),'General Inputs'!R$9*$H66,IF(AND(($D66+$C$1)&gt;AU$4,AU$4&gt;=$C$1),'General Inputs'!R$9*$G66,0))+IF(AND(($E66+$C$1)&gt;AU$4,AU$4&gt;=$C$1),'General Inputs'!R$10*$J66,IF(AND(($D66+$C$1)&gt;AU$4,AU$4&gt;=$C$1),'General Inputs'!R$10*$I66,0))</f>
        <v>147.41545098365106</v>
      </c>
      <c r="AV66" s="214">
        <f>IF(AND(($E66+$C$1)&gt;AV$4,AV$4&gt;=$C$1),'General Inputs'!S$9*$H66,IF(AND(($D66+$C$1)&gt;AV$4,AV$4&gt;=$C$1),'General Inputs'!S$9*$G66,0))+IF(AND(($E66+$C$1)&gt;AV$4,AV$4&gt;=$C$1),'General Inputs'!S$10*$J66,IF(AND(($D66+$C$1)&gt;AV$4,AV$4&gt;=$C$1),'General Inputs'!S$10*$I66,0))</f>
        <v>149.62668274840578</v>
      </c>
      <c r="AW66" s="214">
        <f>IF(AND(($E66+$C$1)&gt;AW$4,AW$4&gt;=$C$1),'General Inputs'!T$9*$H66,IF(AND(($D66+$C$1)&gt;AW$4,AW$4&gt;=$C$1),'General Inputs'!T$9*$G66,0))+IF(AND(($E66+$C$1)&gt;AW$4,AW$4&gt;=$C$1),'General Inputs'!T$10*$J66,IF(AND(($D66+$C$1)&gt;AW$4,AW$4&gt;=$C$1),'General Inputs'!T$10*$I66,0))</f>
        <v>151.87108298963187</v>
      </c>
      <c r="AX66" s="214">
        <f>IF(AND(($E66+$C$1)&gt;AX$4,AX$4&gt;=$C$1),'General Inputs'!U$9*$H66,IF(AND(($D66+$C$1)&gt;AX$4,AX$4&gt;=$C$1),'General Inputs'!U$9*$G66,0))+IF(AND(($E66+$C$1)&gt;AX$4,AX$4&gt;=$C$1),'General Inputs'!U$10*$J66,IF(AND(($D66+$C$1)&gt;AX$4,AX$4&gt;=$C$1),'General Inputs'!U$10*$I66,0))</f>
        <v>154.14914923447634</v>
      </c>
      <c r="AY66" s="214">
        <f>IF(AND(($E66+$C$1)&gt;AY$4,AY$4&gt;=$C$1),'General Inputs'!V$9*$H66,IF(AND(($D66+$C$1)&gt;AY$4,AY$4&gt;=$C$1),'General Inputs'!V$9*$G66,0))+IF(AND(($E66+$C$1)&gt;AY$4,AY$4&gt;=$C$1),'General Inputs'!V$10*$J66,IF(AND(($D66+$C$1)&gt;AY$4,AY$4&gt;=$C$1),'General Inputs'!V$10*$I66,0))</f>
        <v>156.46138647299347</v>
      </c>
      <c r="AZ66" s="214">
        <f>IF(AND(($E66+$C$1)&gt;AZ$4,AZ$4&gt;=$C$1),'General Inputs'!W$9*$H66,IF(AND(($D66+$C$1)&gt;AZ$4,AZ$4&gt;=$C$1),'General Inputs'!W$9*$G66,0))+IF(AND(($E66+$C$1)&gt;AZ$4,AZ$4&gt;=$C$1),'General Inputs'!W$10*$J66,IF(AND(($D66+$C$1)&gt;AZ$4,AZ$4&gt;=$C$1),'General Inputs'!W$10*$I66,0))</f>
        <v>158.80830727008836</v>
      </c>
      <c r="BB66" s="214">
        <f>IF(AND(($E66+$C$1)&gt;BB$4,BB$4&gt;=$C$1),'General Inputs'!D$11*$H66,IF(AND(($D66+$C$1)&gt;BB$4,BB$4&gt;=$C$1),'General Inputs'!D$11*$G66,0))</f>
        <v>0</v>
      </c>
      <c r="BC66" s="214">
        <f>IF(AND(($E66+$C$1)&gt;BC$4,BC$4&gt;=$C$1),'General Inputs'!E$11*$H66,IF(AND(($D66+$C$1)&gt;BC$4,BC$4&gt;=$C$1),'General Inputs'!E$11*$G66,0))</f>
        <v>0</v>
      </c>
      <c r="BD66" s="214">
        <f>IF(AND(($E66+$C$1)&gt;BD$4,BD$4&gt;=$C$1),'General Inputs'!F$11*$H66,IF(AND(($D66+$C$1)&gt;BD$4,BD$4&gt;=$C$1),'General Inputs'!F$11*$G66,0))</f>
        <v>32.385868652249997</v>
      </c>
      <c r="BE66" s="214">
        <f>IF(AND(($E66+$C$1)&gt;BE$4,BE$4&gt;=$C$1),'General Inputs'!G$11*$H66,IF(AND(($D66+$C$1)&gt;BE$4,BE$4&gt;=$C$1),'General Inputs'!G$11*$G66,0))</f>
        <v>32.385868652249997</v>
      </c>
      <c r="BF66" s="214">
        <f>IF(AND(($E66+$C$1)&gt;BF$4,BF$4&gt;=$C$1),'General Inputs'!H$11*$H66,IF(AND(($D66+$C$1)&gt;BF$4,BF$4&gt;=$C$1),'General Inputs'!H$11*$G66,0))</f>
        <v>32.385868652249997</v>
      </c>
      <c r="BG66" s="214">
        <f>IF(AND(($E66+$C$1)&gt;BG$4,BG$4&gt;=$C$1),'General Inputs'!I$11*$H66,IF(AND(($D66+$C$1)&gt;BG$4,BG$4&gt;=$C$1),'General Inputs'!I$11*$G66,0))</f>
        <v>32.385868652249997</v>
      </c>
      <c r="BH66" s="214">
        <f>IF(AND(($E66+$C$1)&gt;BH$4,BH$4&gt;=$C$1),'General Inputs'!J$11*$H66,IF(AND(($D66+$C$1)&gt;BH$4,BH$4&gt;=$C$1),'General Inputs'!J$11*$G66,0))</f>
        <v>32.385868652249997</v>
      </c>
      <c r="BI66" s="214">
        <f>IF(AND(($E66+$C$1)&gt;BI$4,BI$4&gt;=$C$1),'General Inputs'!K$11*$H66,IF(AND(($D66+$C$1)&gt;BI$4,BI$4&gt;=$C$1),'General Inputs'!K$11*$G66,0))</f>
        <v>32.385868652249997</v>
      </c>
      <c r="BJ66" s="214">
        <f>IF(AND(($E66+$C$1)&gt;BJ$4,BJ$4&gt;=$C$1),'General Inputs'!L$11*$H66,IF(AND(($D66+$C$1)&gt;BJ$4,BJ$4&gt;=$C$1),'General Inputs'!L$11*$G66,0))</f>
        <v>32.385868652249997</v>
      </c>
      <c r="BK66" s="214">
        <f>IF(AND(($E66+$C$1)&gt;BK$4,BK$4&gt;=$C$1),'General Inputs'!M$11*$H66,IF(AND(($D66+$C$1)&gt;BK$4,BK$4&gt;=$C$1),'General Inputs'!M$11*$G66,0))</f>
        <v>32.385868652249997</v>
      </c>
      <c r="BL66" s="214">
        <f>IF(AND(($E66+$C$1)&gt;BL$4,BL$4&gt;=$C$1),'General Inputs'!N$11*$H66,IF(AND(($D66+$C$1)&gt;BL$4,BL$4&gt;=$C$1),'General Inputs'!N$11*$G66,0))</f>
        <v>32.385868652249997</v>
      </c>
      <c r="BM66" s="214">
        <f>IF(AND(($E66+$C$1)&gt;BM$4,BM$4&gt;=$C$1),'General Inputs'!O$11*$H66,IF(AND(($D66+$C$1)&gt;BM$4,BM$4&gt;=$C$1),'General Inputs'!O$11*$G66,0))</f>
        <v>32.385868652249997</v>
      </c>
      <c r="BN66" s="214">
        <f>IF(AND(($E66+$C$1)&gt;BN$4,BN$4&gt;=$C$1),'General Inputs'!P$11*$H66,IF(AND(($D66+$C$1)&gt;BN$4,BN$4&gt;=$C$1),'General Inputs'!P$11*$G66,0))</f>
        <v>32.385868652249997</v>
      </c>
      <c r="BO66" s="214">
        <f>IF(AND(($E66+$C$1)&gt;BO$4,BO$4&gt;=$C$1),'General Inputs'!Q$11*$H66,IF(AND(($D66+$C$1)&gt;BO$4,BO$4&gt;=$C$1),'General Inputs'!Q$11*$G66,0))</f>
        <v>32.385868652249997</v>
      </c>
      <c r="BP66" s="214">
        <f>IF(AND(($E66+$C$1)&gt;BP$4,BP$4&gt;=$C$1),'General Inputs'!R$11*$H66,IF(AND(($D66+$C$1)&gt;BP$4,BP$4&gt;=$C$1),'General Inputs'!R$11*$G66,0))</f>
        <v>32.385868652249997</v>
      </c>
      <c r="BQ66" s="214">
        <f>IF(AND(($E66+$C$1)&gt;BQ$4,BQ$4&gt;=$C$1),'General Inputs'!S$11*$H66,IF(AND(($D66+$C$1)&gt;BQ$4,BQ$4&gt;=$C$1),'General Inputs'!S$11*$G66,0))</f>
        <v>32.385868652249997</v>
      </c>
      <c r="BR66" s="214">
        <f>IF(AND(($E66+$C$1)&gt;BR$4,BR$4&gt;=$C$1),'General Inputs'!T$11*$H66,IF(AND(($D66+$C$1)&gt;BR$4,BR$4&gt;=$C$1),'General Inputs'!T$11*$G66,0))</f>
        <v>32.385868652249997</v>
      </c>
      <c r="BS66" s="214">
        <f>IF(AND(($E66+$C$1)&gt;BS$4,BS$4&gt;=$C$1),'General Inputs'!U$11*$H66,IF(AND(($D66+$C$1)&gt;BS$4,BS$4&gt;=$C$1),'General Inputs'!U$11*$G66,0))</f>
        <v>32.385868652249997</v>
      </c>
      <c r="BT66" s="214">
        <f>IF(AND(($E66+$C$1)&gt;BT$4,BT$4&gt;=$C$1),'General Inputs'!V$11*$H66,IF(AND(($D66+$C$1)&gt;BT$4,BT$4&gt;=$C$1),'General Inputs'!V$11*$G66,0))</f>
        <v>32.385868652249997</v>
      </c>
      <c r="BU66" s="214">
        <f>IF(AND(($E66+$C$1)&gt;BU$4,BU$4&gt;=$C$1),'General Inputs'!W$11*$H66,IF(AND(($D66+$C$1)&gt;BU$4,BU$4&gt;=$C$1),'General Inputs'!W$11*$G66,0))</f>
        <v>32.385868652249997</v>
      </c>
      <c r="BW66" s="214">
        <f>IF(AND(($E66+$C$1)&gt;BW$4,BW$4&gt;=$C$1),$H66,IF(AND(($D66+$C$1)&gt;BW$4,BW$4&gt;=$C$1),$G66,0))*IF($A66="Residential",'General Inputs'!D$14,'General Inputs'!D$19)</f>
        <v>0</v>
      </c>
      <c r="BX66" s="214">
        <f>IF(AND(($E66+$C$1)&gt;BX$4,BX$4&gt;=$C$1),$H66,IF(AND(($D66+$C$1)&gt;BX$4,BX$4&gt;=$C$1),$G66,0))*IF($A66="Residential",'General Inputs'!E$14,'General Inputs'!E$19)</f>
        <v>0</v>
      </c>
      <c r="BY66" s="214">
        <f>IF(AND(($E66+$C$1)&gt;BY$4,BY$4&gt;=$C$1),$H66,IF(AND(($D66+$C$1)&gt;BY$4,BY$4&gt;=$C$1),$G66,0))*IF($A66="Residential",'General Inputs'!F$14,'General Inputs'!F$19)</f>
        <v>305.74634808049723</v>
      </c>
      <c r="BZ66" s="214">
        <f>IF(AND(($E66+$C$1)&gt;BZ$4,BZ$4&gt;=$C$1),$H66,IF(AND(($D66+$C$1)&gt;BZ$4,BZ$4&gt;=$C$1),$G66,0))*IF($A66="Residential",'General Inputs'!G$14,'General Inputs'!G$19)</f>
        <v>310.33254330170467</v>
      </c>
      <c r="CA66" s="214">
        <f>IF(AND(($E66+$C$1)&gt;CA$4,CA$4&gt;=$C$1),$H66,IF(AND(($D66+$C$1)&gt;CA$4,CA$4&gt;=$C$1),$G66,0))*IF($A66="Residential",'General Inputs'!H$14,'General Inputs'!H$19)</f>
        <v>314.98753145123015</v>
      </c>
      <c r="CB66" s="214">
        <f>IF(AND(($E66+$C$1)&gt;CB$4,CB$4&gt;=$C$1),$H66,IF(AND(($D66+$C$1)&gt;CB$4,CB$4&gt;=$C$1),$G66,0))*IF($A66="Residential",'General Inputs'!I$14,'General Inputs'!I$19)</f>
        <v>319.71234442299857</v>
      </c>
      <c r="CC66" s="214">
        <f>IF(AND(($E66+$C$1)&gt;CC$4,CC$4&gt;=$C$1),$H66,IF(AND(($D66+$C$1)&gt;CC$4,CC$4&gt;=$C$1),$G66,0))*IF($A66="Residential",'General Inputs'!J$14,'General Inputs'!J$19)</f>
        <v>324.50802958934355</v>
      </c>
      <c r="CD66" s="214">
        <f>IF(AND(($E66+$C$1)&gt;CD$4,CD$4&gt;=$C$1),$H66,IF(AND(($D66+$C$1)&gt;CD$4,CD$4&gt;=$C$1),$G66,0))*IF($A66="Residential",'General Inputs'!K$14,'General Inputs'!K$19)</f>
        <v>329.3756500331836</v>
      </c>
      <c r="CE66" s="214">
        <f>IF(AND(($E66+$C$1)&gt;CE$4,CE$4&gt;=$C$1),$H66,IF(AND(($D66+$C$1)&gt;CE$4,CE$4&gt;=$C$1),$G66,0))*IF($A66="Residential",'General Inputs'!L$14,'General Inputs'!L$19)</f>
        <v>334.31628478368134</v>
      </c>
      <c r="CF66" s="214">
        <f>IF(AND(($E66+$C$1)&gt;CF$4,CF$4&gt;=$C$1),$H66,IF(AND(($D66+$C$1)&gt;CF$4,CF$4&gt;=$C$1),$G66,0))*IF($A66="Residential",'General Inputs'!M$14,'General Inputs'!M$19)</f>
        <v>339.33102905543655</v>
      </c>
      <c r="CG66" s="214">
        <f>IF(AND(($E66+$C$1)&gt;CG$4,CG$4&gt;=$C$1),$H66,IF(AND(($D66+$C$1)&gt;CG$4,CG$4&gt;=$C$1),$G66,0))*IF($A66="Residential",'General Inputs'!N$14,'General Inputs'!N$19)</f>
        <v>344.42099449126806</v>
      </c>
      <c r="CH66" s="214">
        <f>IF(AND(($E66+$C$1)&gt;CH$4,CH$4&gt;=$C$1),$H66,IF(AND(($D66+$C$1)&gt;CH$4,CH$4&gt;=$C$1),$G66,0))*IF($A66="Residential",'General Inputs'!O$14,'General Inputs'!O$19)</f>
        <v>349.58730940863705</v>
      </c>
      <c r="CI66" s="214">
        <f>IF(AND(($E66+$C$1)&gt;CI$4,CI$4&gt;=$C$1),$H66,IF(AND(($D66+$C$1)&gt;CI$4,CI$4&gt;=$C$1),$G66,0))*IF($A66="Residential",'General Inputs'!P$14,'General Inputs'!P$19)</f>
        <v>354.83111904976658</v>
      </c>
      <c r="CJ66" s="214">
        <f>IF(AND(($E66+$C$1)&gt;CJ$4,CJ$4&gt;=$C$1),$H66,IF(AND(($D66+$C$1)&gt;CJ$4,CJ$4&gt;=$C$1),$G66,0))*IF($A66="Residential",'General Inputs'!Q$14,'General Inputs'!Q$19)</f>
        <v>360.15358583551307</v>
      </c>
      <c r="CK66" s="214">
        <f>IF(AND(($E66+$C$1)&gt;CK$4,CK$4&gt;=$C$1),$H66,IF(AND(($D66+$C$1)&gt;CK$4,CK$4&gt;=$C$1),$G66,0))*IF($A66="Residential",'General Inputs'!R$14,'General Inputs'!R$19)</f>
        <v>365.55588962304569</v>
      </c>
      <c r="CL66" s="214">
        <f>IF(AND(($E66+$C$1)&gt;CL$4,CL$4&gt;=$C$1),$H66,IF(AND(($D66+$C$1)&gt;CL$4,CL$4&gt;=$C$1),$G66,0))*IF($A66="Residential",'General Inputs'!S$14,'General Inputs'!S$19)</f>
        <v>371.03922796739135</v>
      </c>
      <c r="CM66" s="214">
        <f>IF(AND(($E66+$C$1)&gt;CM$4,CM$4&gt;=$C$1),$H66,IF(AND(($D66+$C$1)&gt;CM$4,CM$4&gt;=$C$1),$G66,0))*IF($A66="Residential",'General Inputs'!T$14,'General Inputs'!T$19)</f>
        <v>376.6048163869022</v>
      </c>
      <c r="CN66" s="214">
        <f>IF(AND(($E66+$C$1)&gt;CN$4,CN$4&gt;=$C$1),$H66,IF(AND(($D66+$C$1)&gt;CN$4,CN$4&gt;=$C$1),$G66,0))*IF($A66="Residential",'General Inputs'!U$14,'General Inputs'!U$19)</f>
        <v>382.2538886327057</v>
      </c>
      <c r="CO66" s="214">
        <f>IF(AND(($E66+$C$1)&gt;CO$4,CO$4&gt;=$C$1),$H66,IF(AND(($D66+$C$1)&gt;CO$4,CO$4&gt;=$C$1),$G66,0))*IF($A66="Residential",'General Inputs'!V$14,'General Inputs'!V$19)</f>
        <v>387.9876969621962</v>
      </c>
      <c r="CP66" s="214">
        <f>IF(AND(($E66+$C$1)&gt;CP$4,CP$4&gt;=$C$1),$H66,IF(AND(($D66+$C$1)&gt;CP$4,CP$4&gt;=$C$1),$G66,0))*IF($A66="Residential",'General Inputs'!W$14,'General Inputs'!W$19)</f>
        <v>393.80751241662915</v>
      </c>
      <c r="CR66" s="214">
        <f>IF(AND(($E66+$C$1)&gt;CR$4,CR$4&gt;=$C$1),$H66,IF(AND(($D66+$C$1)&gt;CR$4,CR$4&gt;=$C$1),$G66,0))*IF($A66="Residential",'General Inputs'!D$15,'General Inputs'!D$19)</f>
        <v>0</v>
      </c>
      <c r="CS66" s="214">
        <f>IF(AND(($E66+$C$1)&gt;CS$4,CS$4&gt;=$C$1),$H66,IF(AND(($D66+$C$1)&gt;CS$4,CS$4&gt;=$C$1),$G66,0))*IF($A66="Residential",'General Inputs'!E$15,'General Inputs'!E$19)</f>
        <v>0</v>
      </c>
      <c r="CT66" s="214">
        <f>IF(AND(($E66+$C$1)&gt;CT$4,CT$4&gt;=$C$1),$H66,IF(AND(($D66+$C$1)&gt;CT$4,CT$4&gt;=$C$1),$G66,0))*IF($A66="Residential",'General Inputs'!F$15,'General Inputs'!F$19)</f>
        <v>305.74634808049723</v>
      </c>
      <c r="CU66" s="214">
        <f>IF(AND(($E66+$C$1)&gt;CU$4,CU$4&gt;=$C$1),$H66,IF(AND(($D66+$C$1)&gt;CU$4,CU$4&gt;=$C$1),$G66,0))*IF($A66="Residential",'General Inputs'!G$15,'General Inputs'!G$19)</f>
        <v>310.33254330170467</v>
      </c>
      <c r="CV66" s="214">
        <f>IF(AND(($E66+$C$1)&gt;CV$4,CV$4&gt;=$C$1),$H66,IF(AND(($D66+$C$1)&gt;CV$4,CV$4&gt;=$C$1),$G66,0))*IF($A66="Residential",'General Inputs'!H$15,'General Inputs'!H$19)</f>
        <v>314.98753145123015</v>
      </c>
      <c r="CW66" s="214">
        <f>IF(AND(($E66+$C$1)&gt;CW$4,CW$4&gt;=$C$1),$H66,IF(AND(($D66+$C$1)&gt;CW$4,CW$4&gt;=$C$1),$G66,0))*IF($A66="Residential",'General Inputs'!I$15,'General Inputs'!I$19)</f>
        <v>319.71234442299857</v>
      </c>
      <c r="CX66" s="214">
        <f>IF(AND(($E66+$C$1)&gt;CX$4,CX$4&gt;=$C$1),$H66,IF(AND(($D66+$C$1)&gt;CX$4,CX$4&gt;=$C$1),$G66,0))*IF($A66="Residential",'General Inputs'!J$15,'General Inputs'!J$19)</f>
        <v>324.50802958934355</v>
      </c>
      <c r="CY66" s="214">
        <f>IF(AND(($E66+$C$1)&gt;CY$4,CY$4&gt;=$C$1),$H66,IF(AND(($D66+$C$1)&gt;CY$4,CY$4&gt;=$C$1),$G66,0))*IF($A66="Residential",'General Inputs'!K$15,'General Inputs'!K$19)</f>
        <v>329.3756500331836</v>
      </c>
      <c r="CZ66" s="214">
        <f>IF(AND(($E66+$C$1)&gt;CZ$4,CZ$4&gt;=$C$1),$H66,IF(AND(($D66+$C$1)&gt;CZ$4,CZ$4&gt;=$C$1),$G66,0))*IF($A66="Residential",'General Inputs'!L$15,'General Inputs'!L$19)</f>
        <v>334.31628478368134</v>
      </c>
      <c r="DA66" s="214">
        <f>IF(AND(($E66+$C$1)&gt;DA$4,DA$4&gt;=$C$1),$H66,IF(AND(($D66+$C$1)&gt;DA$4,DA$4&gt;=$C$1),$G66,0))*IF($A66="Residential",'General Inputs'!M$15,'General Inputs'!M$19)</f>
        <v>339.33102905543655</v>
      </c>
      <c r="DB66" s="214">
        <f>IF(AND(($E66+$C$1)&gt;DB$4,DB$4&gt;=$C$1),$H66,IF(AND(($D66+$C$1)&gt;DB$4,DB$4&gt;=$C$1),$G66,0))*IF($A66="Residential",'General Inputs'!N$15,'General Inputs'!N$19)</f>
        <v>344.42099449126806</v>
      </c>
      <c r="DC66" s="214">
        <f>IF(AND(($E66+$C$1)&gt;DC$4,DC$4&gt;=$C$1),$H66,IF(AND(($D66+$C$1)&gt;DC$4,DC$4&gt;=$C$1),$G66,0))*IF($A66="Residential",'General Inputs'!O$15,'General Inputs'!O$19)</f>
        <v>349.58730940863705</v>
      </c>
      <c r="DD66" s="214">
        <f>IF(AND(($E66+$C$1)&gt;DD$4,DD$4&gt;=$C$1),$H66,IF(AND(($D66+$C$1)&gt;DD$4,DD$4&gt;=$C$1),$G66,0))*IF($A66="Residential",'General Inputs'!P$15,'General Inputs'!P$19)</f>
        <v>354.83111904976658</v>
      </c>
      <c r="DE66" s="214">
        <f>IF(AND(($E66+$C$1)&gt;DE$4,DE$4&gt;=$C$1),$H66,IF(AND(($D66+$C$1)&gt;DE$4,DE$4&gt;=$C$1),$G66,0))*IF($A66="Residential",'General Inputs'!Q$15,'General Inputs'!Q$19)</f>
        <v>360.15358583551307</v>
      </c>
      <c r="DF66" s="214">
        <f>IF(AND(($E66+$C$1)&gt;DF$4,DF$4&gt;=$C$1),$H66,IF(AND(($D66+$C$1)&gt;DF$4,DF$4&gt;=$C$1),$G66,0))*IF($A66="Residential",'General Inputs'!R$15,'General Inputs'!R$19)</f>
        <v>365.55588962304569</v>
      </c>
      <c r="DG66" s="214">
        <f>IF(AND(($E66+$C$1)&gt;DG$4,DG$4&gt;=$C$1),$H66,IF(AND(($D66+$C$1)&gt;DG$4,DG$4&gt;=$C$1),$G66,0))*IF($A66="Residential",'General Inputs'!S$15,'General Inputs'!S$19)</f>
        <v>371.03922796739135</v>
      </c>
      <c r="DH66" s="214">
        <f>IF(AND(($E66+$C$1)&gt;DH$4,DH$4&gt;=$C$1),$H66,IF(AND(($D66+$C$1)&gt;DH$4,DH$4&gt;=$C$1),$G66,0))*IF($A66="Residential",'General Inputs'!T$15,'General Inputs'!T$19)</f>
        <v>376.6048163869022</v>
      </c>
      <c r="DI66" s="214">
        <f>IF(AND(($E66+$C$1)&gt;DI$4,DI$4&gt;=$C$1),$H66,IF(AND(($D66+$C$1)&gt;DI$4,DI$4&gt;=$C$1),$G66,0))*IF($A66="Residential",'General Inputs'!U$15,'General Inputs'!U$19)</f>
        <v>382.2538886327057</v>
      </c>
      <c r="DJ66" s="214">
        <f>IF(AND(($E66+$C$1)&gt;DJ$4,DJ$4&gt;=$C$1),$H66,IF(AND(($D66+$C$1)&gt;DJ$4,DJ$4&gt;=$C$1),$G66,0))*IF($A66="Residential",'General Inputs'!V$15,'General Inputs'!V$19)</f>
        <v>387.9876969621962</v>
      </c>
      <c r="DK66" s="214">
        <f>IF(AND(($E66+$C$1)&gt;DK$4,DK$4&gt;=$C$1),$H66,IF(AND(($D66+$C$1)&gt;DK$4,DK$4&gt;=$C$1),$G66,0))*IF($A66="Residential",'General Inputs'!W$15,'General Inputs'!W$19)</f>
        <v>393.80751241662915</v>
      </c>
      <c r="DM66" s="214">
        <f t="shared" ref="DM66:DW83" si="100">IF($C$1=DM$4,$L66*$C66,IF($E66+$C$1=DM$4,-$M66*$C66,0))</f>
        <v>0</v>
      </c>
      <c r="DN66" s="214">
        <f t="shared" si="100"/>
        <v>0</v>
      </c>
      <c r="DO66" s="214">
        <f t="shared" si="100"/>
        <v>435</v>
      </c>
      <c r="DP66" s="214">
        <f t="shared" si="100"/>
        <v>0</v>
      </c>
      <c r="DQ66" s="214">
        <f t="shared" si="100"/>
        <v>0</v>
      </c>
      <c r="DR66" s="214">
        <f t="shared" si="100"/>
        <v>0</v>
      </c>
      <c r="DS66" s="214">
        <f t="shared" si="100"/>
        <v>0</v>
      </c>
      <c r="DT66" s="214">
        <f t="shared" si="100"/>
        <v>0</v>
      </c>
      <c r="DU66" s="214">
        <f t="shared" si="100"/>
        <v>0</v>
      </c>
      <c r="DV66" s="214">
        <f t="shared" si="100"/>
        <v>0</v>
      </c>
      <c r="DW66" s="214">
        <f t="shared" si="100"/>
        <v>0</v>
      </c>
      <c r="DZ66" s="650"/>
      <c r="FI66" s="195"/>
      <c r="FJ66" s="195"/>
      <c r="FK66" s="195"/>
      <c r="FL66" s="195"/>
      <c r="FM66" s="195"/>
      <c r="FN66" s="195"/>
      <c r="FO66" s="195"/>
    </row>
    <row r="67" spans="1:171">
      <c r="A67" s="342" t="s">
        <v>112</v>
      </c>
      <c r="B67" s="427" t="str">
        <f>'Portfolio Inputs'!A66</f>
        <v>Ceramic Integrated Metal Halide (150 &lt; 250W)</v>
      </c>
      <c r="C67" s="217">
        <f>IF($C$1=2014,'Portfolio Inputs'!$C66,IF($C$1=2015,'Portfolio Inputs'!$D66,'Portfolio Inputs'!$E66))</f>
        <v>3</v>
      </c>
      <c r="D67" s="504">
        <f>VLOOKUP(B67,Sources!$B$4:$J$104,2,FALSE)</f>
        <v>18</v>
      </c>
      <c r="E67" s="504">
        <f>VLOOKUP(B67,Sources!$B$4:$J$104,3,FALSE)</f>
        <v>0</v>
      </c>
      <c r="G67" s="504">
        <f>IF($C$1=2014,'Portfolio Inputs'!$G66,IF($C$1=2015,'Portfolio Inputs'!$H66,'Portfolio Inputs'!$I66))*EnergyLineLoss</f>
        <v>3189.43814625</v>
      </c>
      <c r="H67" s="504"/>
      <c r="I67" s="595">
        <f>IF($C$1=2014,'Portfolio Inputs'!$K66,IF($C$1=2015,'Portfolio Inputs'!$L66,'Portfolio Inputs'!$M66))*PeakLineLoss</f>
        <v>0.49318097400000005</v>
      </c>
      <c r="J67" s="510"/>
      <c r="L67" s="606">
        <f>IF($C$1=2014,'Portfolio Inputs'!$O66,IF($C$1=2015,'Portfolio Inputs'!$P66,'Portfolio Inputs'!$Q66))</f>
        <v>98</v>
      </c>
      <c r="M67" s="518">
        <f>VLOOKUP($B67,Sources!$B$4:$K$104,10,FALSE)</f>
        <v>0</v>
      </c>
      <c r="N67" s="419">
        <f>IF($C$1=2014,'Portfolio Inputs'!$W66,IF($C$1=2015,'Portfolio Inputs'!$X66,'Portfolio Inputs'!$Y66))</f>
        <v>84</v>
      </c>
      <c r="O67" s="419">
        <f>IF($C$1=2014,'Portfolio Inputs'!$AA66,IF($C$1=2015,'Portfolio Inputs'!$AB66,'Portfolio Inputs'!$AC66))</f>
        <v>0</v>
      </c>
      <c r="Q67" s="438">
        <f t="shared" si="67"/>
        <v>4.9948662932945709</v>
      </c>
      <c r="R67" s="439">
        <f t="shared" si="68"/>
        <v>17.482032026530998</v>
      </c>
      <c r="S67" s="439">
        <f t="shared" si="69"/>
        <v>6.1860967260065172</v>
      </c>
      <c r="T67" s="439">
        <f t="shared" si="70"/>
        <v>12.671816144168469</v>
      </c>
      <c r="U67" s="439">
        <f t="shared" si="98"/>
        <v>12.671816144168469</v>
      </c>
      <c r="V67" s="439">
        <f t="shared" si="72"/>
        <v>0.3941713039762807</v>
      </c>
      <c r="W67" s="439">
        <f t="shared" si="73"/>
        <v>0.3941713039762807</v>
      </c>
      <c r="Y67" s="215">
        <f t="shared" si="4"/>
        <v>1239.635861160278</v>
      </c>
      <c r="Z67" s="215">
        <f t="shared" si="5"/>
        <v>295.64194046147151</v>
      </c>
      <c r="AA67" s="215">
        <f t="shared" si="6"/>
        <v>3074.0074192448974</v>
      </c>
      <c r="AB67" s="215">
        <f t="shared" si="7"/>
        <v>3074.0074192448974</v>
      </c>
      <c r="AC67" s="216">
        <f t="shared" si="20"/>
        <v>0</v>
      </c>
      <c r="AD67" s="216">
        <f t="shared" si="21"/>
        <v>70.909140269219719</v>
      </c>
      <c r="AE67" s="215">
        <f t="shared" si="8"/>
        <v>248.18199094226901</v>
      </c>
      <c r="AG67" s="214">
        <f>IF(AND(($E67+$C$1)&gt;AG$4,AG$4&gt;=$C$1),'General Inputs'!D$9*$H67,IF(AND(($D67+$C$1)&gt;AG$4,AG$4&gt;=$C$1),'General Inputs'!D$9*$G67,0))+IF(AND(($E67+$C$1)&gt;AG$4,AG$4&gt;=$C$1),'General Inputs'!D$10*$J67,IF(AND(($D67+$C$1)&gt;AG$4,AG$4&gt;=$C$1),'General Inputs'!D$10*$I67,0))</f>
        <v>0</v>
      </c>
      <c r="AH67" s="214">
        <f>IF(AND(($E67+$C$1)&gt;AH$4,AH$4&gt;=$C$1),'General Inputs'!E$9*$H67,IF(AND(($D67+$C$1)&gt;AH$4,AH$4&gt;=$C$1),'General Inputs'!E$9*$G67,0))+IF(AND(($E67+$C$1)&gt;AH$4,AH$4&gt;=$C$1),'General Inputs'!E$10*$J67,IF(AND(($D67+$C$1)&gt;AH$4,AH$4&gt;=$C$1),'General Inputs'!E$10*$I67,0))</f>
        <v>0</v>
      </c>
      <c r="AI67" s="214">
        <f>IF(AND(($E67+$C$1)&gt;AI$4,AI$4&gt;=$C$1),'General Inputs'!F$9*$H67,IF(AND(($D67+$C$1)&gt;AI$4,AI$4&gt;=$C$1),'General Inputs'!F$9*$G67,0))+IF(AND(($E67+$C$1)&gt;AI$4,AI$4&gt;=$C$1),'General Inputs'!F$10*$J67,IF(AND(($D67+$C$1)&gt;AI$4,AI$4&gt;=$C$1),'General Inputs'!F$10*$I67,0))</f>
        <v>138.42482519156221</v>
      </c>
      <c r="AJ67" s="214">
        <f>IF(AND(($E67+$C$1)&gt;AJ$4,AJ$4&gt;=$C$1),'General Inputs'!G$9*$H67,IF(AND(($D67+$C$1)&gt;AJ$4,AJ$4&gt;=$C$1),'General Inputs'!G$9*$G67,0))+IF(AND(($E67+$C$1)&gt;AJ$4,AJ$4&gt;=$C$1),'General Inputs'!G$10*$J67,IF(AND(($D67+$C$1)&gt;AJ$4,AJ$4&gt;=$C$1),'General Inputs'!G$10*$I67,0))</f>
        <v>140.50119756943565</v>
      </c>
      <c r="AK67" s="214">
        <f>IF(AND(($E67+$C$1)&gt;AK$4,AK$4&gt;=$C$1),'General Inputs'!H$9*$H67,IF(AND(($D67+$C$1)&gt;AK$4,AK$4&gt;=$C$1),'General Inputs'!H$9*$G67,0))+IF(AND(($E67+$C$1)&gt;AK$4,AK$4&gt;=$C$1),'General Inputs'!H$10*$J67,IF(AND(($D67+$C$1)&gt;AK$4,AK$4&gt;=$C$1),'General Inputs'!H$10*$I67,0))</f>
        <v>142.60871553297716</v>
      </c>
      <c r="AL67" s="214">
        <f>IF(AND(($E67+$C$1)&gt;AL$4,AL$4&gt;=$C$1),'General Inputs'!I$9*$H67,IF(AND(($D67+$C$1)&gt;AL$4,AL$4&gt;=$C$1),'General Inputs'!I$9*$G67,0))+IF(AND(($E67+$C$1)&gt;AL$4,AL$4&gt;=$C$1),'General Inputs'!I$10*$J67,IF(AND(($D67+$C$1)&gt;AL$4,AL$4&gt;=$C$1),'General Inputs'!I$10*$I67,0))</f>
        <v>144.74784626597179</v>
      </c>
      <c r="AM67" s="214">
        <f>IF(AND(($E67+$C$1)&gt;AM$4,AM$4&gt;=$C$1),'General Inputs'!J$9*$H67,IF(AND(($D67+$C$1)&gt;AM$4,AM$4&gt;=$C$1),'General Inputs'!J$9*$G67,0))+IF(AND(($E67+$C$1)&gt;AM$4,AM$4&gt;=$C$1),'General Inputs'!J$10*$J67,IF(AND(($D67+$C$1)&gt;AM$4,AM$4&gt;=$C$1),'General Inputs'!J$10*$I67,0))</f>
        <v>146.91906395996133</v>
      </c>
      <c r="AN67" s="214">
        <f>IF(AND(($E67+$C$1)&gt;AN$4,AN$4&gt;=$C$1),'General Inputs'!K$9*$H67,IF(AND(($D67+$C$1)&gt;AN$4,AN$4&gt;=$C$1),'General Inputs'!K$9*$G67,0))+IF(AND(($E67+$C$1)&gt;AN$4,AN$4&gt;=$C$1),'General Inputs'!K$10*$J67,IF(AND(($D67+$C$1)&gt;AN$4,AN$4&gt;=$C$1),'General Inputs'!K$10*$I67,0))</f>
        <v>149.12284991936073</v>
      </c>
      <c r="AO67" s="214">
        <f>IF(AND(($E67+$C$1)&gt;AO$4,AO$4&gt;=$C$1),'General Inputs'!L$9*$H67,IF(AND(($D67+$C$1)&gt;AO$4,AO$4&gt;=$C$1),'General Inputs'!L$9*$G67,0))+IF(AND(($E67+$C$1)&gt;AO$4,AO$4&gt;=$C$1),'General Inputs'!L$10*$J67,IF(AND(($D67+$C$1)&gt;AO$4,AO$4&gt;=$C$1),'General Inputs'!L$10*$I67,0))</f>
        <v>151.35969266815113</v>
      </c>
      <c r="AP67" s="214">
        <f>IF(AND(($E67+$C$1)&gt;AP$4,AP$4&gt;=$C$1),'General Inputs'!M$9*$H67,IF(AND(($D67+$C$1)&gt;AP$4,AP$4&gt;=$C$1),'General Inputs'!M$9*$G67,0))+IF(AND(($E67+$C$1)&gt;AP$4,AP$4&gt;=$C$1),'General Inputs'!M$10*$J67,IF(AND(($D67+$C$1)&gt;AP$4,AP$4&gt;=$C$1),'General Inputs'!M$10*$I67,0))</f>
        <v>153.63008805817338</v>
      </c>
      <c r="AQ67" s="214">
        <f>IF(AND(($E67+$C$1)&gt;AQ$4,AQ$4&gt;=$C$1),'General Inputs'!N$9*$H67,IF(AND(($D67+$C$1)&gt;AQ$4,AQ$4&gt;=$C$1),'General Inputs'!N$9*$G67,0))+IF(AND(($E67+$C$1)&gt;AQ$4,AQ$4&gt;=$C$1),'General Inputs'!N$10*$J67,IF(AND(($D67+$C$1)&gt;AQ$4,AQ$4&gt;=$C$1),'General Inputs'!N$10*$I67,0))</f>
        <v>155.93453937904599</v>
      </c>
      <c r="AR67" s="214">
        <f>IF(AND(($E67+$C$1)&gt;AR$4,AR$4&gt;=$C$1),'General Inputs'!O$9*$H67,IF(AND(($D67+$C$1)&gt;AR$4,AR$4&gt;=$C$1),'General Inputs'!O$9*$G67,0))+IF(AND(($E67+$C$1)&gt;AR$4,AR$4&gt;=$C$1),'General Inputs'!O$10*$J67,IF(AND(($D67+$C$1)&gt;AR$4,AR$4&gt;=$C$1),'General Inputs'!O$10*$I67,0))</f>
        <v>158.27355746973163</v>
      </c>
      <c r="AS67" s="214">
        <f>IF(AND(($E67+$C$1)&gt;AS$4,AS$4&gt;=$C$1),'General Inputs'!P$9*$H67,IF(AND(($D67+$C$1)&gt;AS$4,AS$4&gt;=$C$1),'General Inputs'!P$9*$G67,0))+IF(AND(($E67+$C$1)&gt;AS$4,AS$4&gt;=$C$1),'General Inputs'!P$10*$J67,IF(AND(($D67+$C$1)&gt;AS$4,AS$4&gt;=$C$1),'General Inputs'!P$10*$I67,0))</f>
        <v>160.64766083177759</v>
      </c>
      <c r="AT67" s="214">
        <f>IF(AND(($E67+$C$1)&gt;AT$4,AT$4&gt;=$C$1),'General Inputs'!Q$9*$H67,IF(AND(($D67+$C$1)&gt;AT$4,AT$4&gt;=$C$1),'General Inputs'!Q$9*$G67,0))+IF(AND(($E67+$C$1)&gt;AT$4,AT$4&gt;=$C$1),'General Inputs'!Q$10*$J67,IF(AND(($D67+$C$1)&gt;AT$4,AT$4&gt;=$C$1),'General Inputs'!Q$10*$I67,0))</f>
        <v>163.05737574425424</v>
      </c>
      <c r="AU67" s="214">
        <f>IF(AND(($E67+$C$1)&gt;AU$4,AU$4&gt;=$C$1),'General Inputs'!R$9*$H67,IF(AND(($D67+$C$1)&gt;AU$4,AU$4&gt;=$C$1),'General Inputs'!R$9*$G67,0))+IF(AND(($E67+$C$1)&gt;AU$4,AU$4&gt;=$C$1),'General Inputs'!R$10*$J67,IF(AND(($D67+$C$1)&gt;AU$4,AU$4&gt;=$C$1),'General Inputs'!R$10*$I67,0))</f>
        <v>165.50323638041806</v>
      </c>
      <c r="AV67" s="214">
        <f>IF(AND(($E67+$C$1)&gt;AV$4,AV$4&gt;=$C$1),'General Inputs'!S$9*$H67,IF(AND(($D67+$C$1)&gt;AV$4,AV$4&gt;=$C$1),'General Inputs'!S$9*$G67,0))+IF(AND(($E67+$C$1)&gt;AV$4,AV$4&gt;=$C$1),'General Inputs'!S$10*$J67,IF(AND(($D67+$C$1)&gt;AV$4,AV$4&gt;=$C$1),'General Inputs'!S$10*$I67,0))</f>
        <v>167.98578492612432</v>
      </c>
      <c r="AW67" s="214">
        <f>IF(AND(($E67+$C$1)&gt;AW$4,AW$4&gt;=$C$1),'General Inputs'!T$9*$H67,IF(AND(($D67+$C$1)&gt;AW$4,AW$4&gt;=$C$1),'General Inputs'!T$9*$G67,0))+IF(AND(($E67+$C$1)&gt;AW$4,AW$4&gt;=$C$1),'General Inputs'!T$10*$J67,IF(AND(($D67+$C$1)&gt;AW$4,AW$4&gt;=$C$1),'General Inputs'!T$10*$I67,0))</f>
        <v>170.50557170001616</v>
      </c>
      <c r="AX67" s="214">
        <f>IF(AND(($E67+$C$1)&gt;AX$4,AX$4&gt;=$C$1),'General Inputs'!U$9*$H67,IF(AND(($D67+$C$1)&gt;AX$4,AX$4&gt;=$C$1),'General Inputs'!U$9*$G67,0))+IF(AND(($E67+$C$1)&gt;AX$4,AX$4&gt;=$C$1),'General Inputs'!U$10*$J67,IF(AND(($D67+$C$1)&gt;AX$4,AX$4&gt;=$C$1),'General Inputs'!U$10*$I67,0))</f>
        <v>173.06315527551641</v>
      </c>
      <c r="AY67" s="214">
        <f>IF(AND(($E67+$C$1)&gt;AY$4,AY$4&gt;=$C$1),'General Inputs'!V$9*$H67,IF(AND(($D67+$C$1)&gt;AY$4,AY$4&gt;=$C$1),'General Inputs'!V$9*$G67,0))+IF(AND(($E67+$C$1)&gt;AY$4,AY$4&gt;=$C$1),'General Inputs'!V$10*$J67,IF(AND(($D67+$C$1)&gt;AY$4,AY$4&gt;=$C$1),'General Inputs'!V$10*$I67,0))</f>
        <v>175.65910260464915</v>
      </c>
      <c r="AZ67" s="214">
        <f>IF(AND(($E67+$C$1)&gt;AZ$4,AZ$4&gt;=$C$1),'General Inputs'!W$9*$H67,IF(AND(($D67+$C$1)&gt;AZ$4,AZ$4&gt;=$C$1),'General Inputs'!W$9*$G67,0))+IF(AND(($E67+$C$1)&gt;AZ$4,AZ$4&gt;=$C$1),'General Inputs'!W$10*$J67,IF(AND(($D67+$C$1)&gt;AZ$4,AZ$4&gt;=$C$1),'General Inputs'!W$10*$I67,0))</f>
        <v>178.29398914371885</v>
      </c>
      <c r="BB67" s="214">
        <f>IF(AND(($E67+$C$1)&gt;BB$4,BB$4&gt;=$C$1),'General Inputs'!D$11*$H67,IF(AND(($D67+$C$1)&gt;BB$4,BB$4&gt;=$C$1),'General Inputs'!D$11*$G67,0))</f>
        <v>0</v>
      </c>
      <c r="BC67" s="214">
        <f>IF(AND(($E67+$C$1)&gt;BC$4,BC$4&gt;=$C$1),'General Inputs'!E$11*$H67,IF(AND(($D67+$C$1)&gt;BC$4,BC$4&gt;=$C$1),'General Inputs'!E$11*$G67,0))</f>
        <v>0</v>
      </c>
      <c r="BD67" s="214">
        <f>IF(AND(($E67+$C$1)&gt;BD$4,BD$4&gt;=$C$1),'General Inputs'!F$11*$H67,IF(AND(($D67+$C$1)&gt;BD$4,BD$4&gt;=$C$1),'General Inputs'!F$11*$G67,0))</f>
        <v>36.359594867250003</v>
      </c>
      <c r="BE67" s="214">
        <f>IF(AND(($E67+$C$1)&gt;BE$4,BE$4&gt;=$C$1),'General Inputs'!G$11*$H67,IF(AND(($D67+$C$1)&gt;BE$4,BE$4&gt;=$C$1),'General Inputs'!G$11*$G67,0))</f>
        <v>36.359594867250003</v>
      </c>
      <c r="BF67" s="214">
        <f>IF(AND(($E67+$C$1)&gt;BF$4,BF$4&gt;=$C$1),'General Inputs'!H$11*$H67,IF(AND(($D67+$C$1)&gt;BF$4,BF$4&gt;=$C$1),'General Inputs'!H$11*$G67,0))</f>
        <v>36.359594867250003</v>
      </c>
      <c r="BG67" s="214">
        <f>IF(AND(($E67+$C$1)&gt;BG$4,BG$4&gt;=$C$1),'General Inputs'!I$11*$H67,IF(AND(($D67+$C$1)&gt;BG$4,BG$4&gt;=$C$1),'General Inputs'!I$11*$G67,0))</f>
        <v>36.359594867250003</v>
      </c>
      <c r="BH67" s="214">
        <f>IF(AND(($E67+$C$1)&gt;BH$4,BH$4&gt;=$C$1),'General Inputs'!J$11*$H67,IF(AND(($D67+$C$1)&gt;BH$4,BH$4&gt;=$C$1),'General Inputs'!J$11*$G67,0))</f>
        <v>36.359594867250003</v>
      </c>
      <c r="BI67" s="214">
        <f>IF(AND(($E67+$C$1)&gt;BI$4,BI$4&gt;=$C$1),'General Inputs'!K$11*$H67,IF(AND(($D67+$C$1)&gt;BI$4,BI$4&gt;=$C$1),'General Inputs'!K$11*$G67,0))</f>
        <v>36.359594867250003</v>
      </c>
      <c r="BJ67" s="214">
        <f>IF(AND(($E67+$C$1)&gt;BJ$4,BJ$4&gt;=$C$1),'General Inputs'!L$11*$H67,IF(AND(($D67+$C$1)&gt;BJ$4,BJ$4&gt;=$C$1),'General Inputs'!L$11*$G67,0))</f>
        <v>36.359594867250003</v>
      </c>
      <c r="BK67" s="214">
        <f>IF(AND(($E67+$C$1)&gt;BK$4,BK$4&gt;=$C$1),'General Inputs'!M$11*$H67,IF(AND(($D67+$C$1)&gt;BK$4,BK$4&gt;=$C$1),'General Inputs'!M$11*$G67,0))</f>
        <v>36.359594867250003</v>
      </c>
      <c r="BL67" s="214">
        <f>IF(AND(($E67+$C$1)&gt;BL$4,BL$4&gt;=$C$1),'General Inputs'!N$11*$H67,IF(AND(($D67+$C$1)&gt;BL$4,BL$4&gt;=$C$1),'General Inputs'!N$11*$G67,0))</f>
        <v>36.359594867250003</v>
      </c>
      <c r="BM67" s="214">
        <f>IF(AND(($E67+$C$1)&gt;BM$4,BM$4&gt;=$C$1),'General Inputs'!O$11*$H67,IF(AND(($D67+$C$1)&gt;BM$4,BM$4&gt;=$C$1),'General Inputs'!O$11*$G67,0))</f>
        <v>36.359594867250003</v>
      </c>
      <c r="BN67" s="214">
        <f>IF(AND(($E67+$C$1)&gt;BN$4,BN$4&gt;=$C$1),'General Inputs'!P$11*$H67,IF(AND(($D67+$C$1)&gt;BN$4,BN$4&gt;=$C$1),'General Inputs'!P$11*$G67,0))</f>
        <v>36.359594867250003</v>
      </c>
      <c r="BO67" s="214">
        <f>IF(AND(($E67+$C$1)&gt;BO$4,BO$4&gt;=$C$1),'General Inputs'!Q$11*$H67,IF(AND(($D67+$C$1)&gt;BO$4,BO$4&gt;=$C$1),'General Inputs'!Q$11*$G67,0))</f>
        <v>36.359594867250003</v>
      </c>
      <c r="BP67" s="214">
        <f>IF(AND(($E67+$C$1)&gt;BP$4,BP$4&gt;=$C$1),'General Inputs'!R$11*$H67,IF(AND(($D67+$C$1)&gt;BP$4,BP$4&gt;=$C$1),'General Inputs'!R$11*$G67,0))</f>
        <v>36.359594867250003</v>
      </c>
      <c r="BQ67" s="214">
        <f>IF(AND(($E67+$C$1)&gt;BQ$4,BQ$4&gt;=$C$1),'General Inputs'!S$11*$H67,IF(AND(($D67+$C$1)&gt;BQ$4,BQ$4&gt;=$C$1),'General Inputs'!S$11*$G67,0))</f>
        <v>36.359594867250003</v>
      </c>
      <c r="BR67" s="214">
        <f>IF(AND(($E67+$C$1)&gt;BR$4,BR$4&gt;=$C$1),'General Inputs'!T$11*$H67,IF(AND(($D67+$C$1)&gt;BR$4,BR$4&gt;=$C$1),'General Inputs'!T$11*$G67,0))</f>
        <v>36.359594867250003</v>
      </c>
      <c r="BS67" s="214">
        <f>IF(AND(($E67+$C$1)&gt;BS$4,BS$4&gt;=$C$1),'General Inputs'!U$11*$H67,IF(AND(($D67+$C$1)&gt;BS$4,BS$4&gt;=$C$1),'General Inputs'!U$11*$G67,0))</f>
        <v>36.359594867250003</v>
      </c>
      <c r="BT67" s="214">
        <f>IF(AND(($E67+$C$1)&gt;BT$4,BT$4&gt;=$C$1),'General Inputs'!V$11*$H67,IF(AND(($D67+$C$1)&gt;BT$4,BT$4&gt;=$C$1),'General Inputs'!V$11*$G67,0))</f>
        <v>36.359594867250003</v>
      </c>
      <c r="BU67" s="214">
        <f>IF(AND(($E67+$C$1)&gt;BU$4,BU$4&gt;=$C$1),'General Inputs'!W$11*$H67,IF(AND(($D67+$C$1)&gt;BU$4,BU$4&gt;=$C$1),'General Inputs'!W$11*$G67,0))</f>
        <v>36.359594867250003</v>
      </c>
      <c r="BW67" s="214">
        <f>IF(AND(($E67+$C$1)&gt;BW$4,BW$4&gt;=$C$1),$H67,IF(AND(($D67+$C$1)&gt;BW$4,BW$4&gt;=$C$1),$G67,0))*IF($A67="Residential",'General Inputs'!D$14,'General Inputs'!D$19)</f>
        <v>0</v>
      </c>
      <c r="BX67" s="214">
        <f>IF(AND(($E67+$C$1)&gt;BX$4,BX$4&gt;=$C$1),$H67,IF(AND(($D67+$C$1)&gt;BX$4,BX$4&gt;=$C$1),$G67,0))*IF($A67="Residential",'General Inputs'!E$14,'General Inputs'!E$19)</f>
        <v>0</v>
      </c>
      <c r="BY67" s="214">
        <f>IF(AND(($E67+$C$1)&gt;BY$4,BY$4&gt;=$C$1),$H67,IF(AND(($D67+$C$1)&gt;BY$4,BY$4&gt;=$C$1),$G67,0))*IF($A67="Residential",'General Inputs'!F$14,'General Inputs'!F$19)</f>
        <v>343.2612374155276</v>
      </c>
      <c r="BZ67" s="214">
        <f>IF(AND(($E67+$C$1)&gt;BZ$4,BZ$4&gt;=$C$1),$H67,IF(AND(($D67+$C$1)&gt;BZ$4,BZ$4&gt;=$C$1),$G67,0))*IF($A67="Residential",'General Inputs'!G$14,'General Inputs'!G$19)</f>
        <v>348.41015597676051</v>
      </c>
      <c r="CA67" s="214">
        <f>IF(AND(($E67+$C$1)&gt;CA$4,CA$4&gt;=$C$1),$H67,IF(AND(($D67+$C$1)&gt;CA$4,CA$4&gt;=$C$1),$G67,0))*IF($A67="Residential",'General Inputs'!H$14,'General Inputs'!H$19)</f>
        <v>353.63630831641183</v>
      </c>
      <c r="CB67" s="214">
        <f>IF(AND(($E67+$C$1)&gt;CB$4,CB$4&gt;=$C$1),$H67,IF(AND(($D67+$C$1)&gt;CB$4,CB$4&gt;=$C$1),$G67,0))*IF($A67="Residential",'General Inputs'!I$14,'General Inputs'!I$19)</f>
        <v>358.94085294115791</v>
      </c>
      <c r="CC67" s="214">
        <f>IF(AND(($E67+$C$1)&gt;CC$4,CC$4&gt;=$C$1),$H67,IF(AND(($D67+$C$1)&gt;CC$4,CC$4&gt;=$C$1),$G67,0))*IF($A67="Residential",'General Inputs'!J$14,'General Inputs'!J$19)</f>
        <v>364.32496573527527</v>
      </c>
      <c r="CD67" s="214">
        <f>IF(AND(($E67+$C$1)&gt;CD$4,CD$4&gt;=$C$1),$H67,IF(AND(($D67+$C$1)&gt;CD$4,CD$4&gt;=$C$1),$G67,0))*IF($A67="Residential",'General Inputs'!K$14,'General Inputs'!K$19)</f>
        <v>369.78984022130436</v>
      </c>
      <c r="CE67" s="214">
        <f>IF(AND(($E67+$C$1)&gt;CE$4,CE$4&gt;=$C$1),$H67,IF(AND(($D67+$C$1)&gt;CE$4,CE$4&gt;=$C$1),$G67,0))*IF($A67="Residential",'General Inputs'!L$14,'General Inputs'!L$19)</f>
        <v>375.33668782462388</v>
      </c>
      <c r="CF67" s="214">
        <f>IF(AND(($E67+$C$1)&gt;CF$4,CF$4&gt;=$C$1),$H67,IF(AND(($D67+$C$1)&gt;CF$4,CF$4&gt;=$C$1),$G67,0))*IF($A67="Residential",'General Inputs'!M$14,'General Inputs'!M$19)</f>
        <v>380.96673814199323</v>
      </c>
      <c r="CG67" s="214">
        <f>IF(AND(($E67+$C$1)&gt;CG$4,CG$4&gt;=$C$1),$H67,IF(AND(($D67+$C$1)&gt;CG$4,CG$4&gt;=$C$1),$G67,0))*IF($A67="Residential",'General Inputs'!N$14,'General Inputs'!N$19)</f>
        <v>386.68123921412314</v>
      </c>
      <c r="CH67" s="214">
        <f>IF(AND(($E67+$C$1)&gt;CH$4,CH$4&gt;=$C$1),$H67,IF(AND(($D67+$C$1)&gt;CH$4,CH$4&gt;=$C$1),$G67,0))*IF($A67="Residential",'General Inputs'!O$14,'General Inputs'!O$19)</f>
        <v>392.48145780233489</v>
      </c>
      <c r="CI67" s="214">
        <f>IF(AND(($E67+$C$1)&gt;CI$4,CI$4&gt;=$C$1),$H67,IF(AND(($D67+$C$1)&gt;CI$4,CI$4&gt;=$C$1),$G67,0))*IF($A67="Residential",'General Inputs'!P$14,'General Inputs'!P$19)</f>
        <v>398.3686796693699</v>
      </c>
      <c r="CJ67" s="214">
        <f>IF(AND(($E67+$C$1)&gt;CJ$4,CJ$4&gt;=$C$1),$H67,IF(AND(($D67+$C$1)&gt;CJ$4,CJ$4&gt;=$C$1),$G67,0))*IF($A67="Residential",'General Inputs'!Q$14,'General Inputs'!Q$19)</f>
        <v>404.3442098644104</v>
      </c>
      <c r="CK67" s="214">
        <f>IF(AND(($E67+$C$1)&gt;CK$4,CK$4&gt;=$C$1),$H67,IF(AND(($D67+$C$1)&gt;CK$4,CK$4&gt;=$C$1),$G67,0))*IF($A67="Residential",'General Inputs'!R$14,'General Inputs'!R$19)</f>
        <v>410.40937301237648</v>
      </c>
      <c r="CL67" s="214">
        <f>IF(AND(($E67+$C$1)&gt;CL$4,CL$4&gt;=$C$1),$H67,IF(AND(($D67+$C$1)&gt;CL$4,CL$4&gt;=$C$1),$G67,0))*IF($A67="Residential",'General Inputs'!S$14,'General Inputs'!S$19)</f>
        <v>416.56551360756214</v>
      </c>
      <c r="CM67" s="214">
        <f>IF(AND(($E67+$C$1)&gt;CM$4,CM$4&gt;=$C$1),$H67,IF(AND(($D67+$C$1)&gt;CM$4,CM$4&gt;=$C$1),$G67,0))*IF($A67="Residential",'General Inputs'!T$14,'General Inputs'!T$19)</f>
        <v>422.81399631167557</v>
      </c>
      <c r="CN67" s="214">
        <f>IF(AND(($E67+$C$1)&gt;CN$4,CN$4&gt;=$C$1),$H67,IF(AND(($D67+$C$1)&gt;CN$4,CN$4&gt;=$C$1),$G67,0))*IF($A67="Residential",'General Inputs'!U$14,'General Inputs'!U$19)</f>
        <v>429.15620625635057</v>
      </c>
      <c r="CO67" s="214">
        <f>IF(AND(($E67+$C$1)&gt;CO$4,CO$4&gt;=$C$1),$H67,IF(AND(($D67+$C$1)&gt;CO$4,CO$4&gt;=$C$1),$G67,0))*IF($A67="Residential",'General Inputs'!V$14,'General Inputs'!V$19)</f>
        <v>435.59354935019581</v>
      </c>
      <c r="CP67" s="214">
        <f>IF(AND(($E67+$C$1)&gt;CP$4,CP$4&gt;=$C$1),$H67,IF(AND(($D67+$C$1)&gt;CP$4,CP$4&gt;=$C$1),$G67,0))*IF($A67="Residential",'General Inputs'!W$14,'General Inputs'!W$19)</f>
        <v>442.12745259044874</v>
      </c>
      <c r="CR67" s="214">
        <f>IF(AND(($E67+$C$1)&gt;CR$4,CR$4&gt;=$C$1),$H67,IF(AND(($D67+$C$1)&gt;CR$4,CR$4&gt;=$C$1),$G67,0))*IF($A67="Residential",'General Inputs'!D$15,'General Inputs'!D$19)</f>
        <v>0</v>
      </c>
      <c r="CS67" s="214">
        <f>IF(AND(($E67+$C$1)&gt;CS$4,CS$4&gt;=$C$1),$H67,IF(AND(($D67+$C$1)&gt;CS$4,CS$4&gt;=$C$1),$G67,0))*IF($A67="Residential",'General Inputs'!E$15,'General Inputs'!E$19)</f>
        <v>0</v>
      </c>
      <c r="CT67" s="214">
        <f>IF(AND(($E67+$C$1)&gt;CT$4,CT$4&gt;=$C$1),$H67,IF(AND(($D67+$C$1)&gt;CT$4,CT$4&gt;=$C$1),$G67,0))*IF($A67="Residential",'General Inputs'!F$15,'General Inputs'!F$19)</f>
        <v>343.2612374155276</v>
      </c>
      <c r="CU67" s="214">
        <f>IF(AND(($E67+$C$1)&gt;CU$4,CU$4&gt;=$C$1),$H67,IF(AND(($D67+$C$1)&gt;CU$4,CU$4&gt;=$C$1),$G67,0))*IF($A67="Residential",'General Inputs'!G$15,'General Inputs'!G$19)</f>
        <v>348.41015597676051</v>
      </c>
      <c r="CV67" s="214">
        <f>IF(AND(($E67+$C$1)&gt;CV$4,CV$4&gt;=$C$1),$H67,IF(AND(($D67+$C$1)&gt;CV$4,CV$4&gt;=$C$1),$G67,0))*IF($A67="Residential",'General Inputs'!H$15,'General Inputs'!H$19)</f>
        <v>353.63630831641183</v>
      </c>
      <c r="CW67" s="214">
        <f>IF(AND(($E67+$C$1)&gt;CW$4,CW$4&gt;=$C$1),$H67,IF(AND(($D67+$C$1)&gt;CW$4,CW$4&gt;=$C$1),$G67,0))*IF($A67="Residential",'General Inputs'!I$15,'General Inputs'!I$19)</f>
        <v>358.94085294115791</v>
      </c>
      <c r="CX67" s="214">
        <f>IF(AND(($E67+$C$1)&gt;CX$4,CX$4&gt;=$C$1),$H67,IF(AND(($D67+$C$1)&gt;CX$4,CX$4&gt;=$C$1),$G67,0))*IF($A67="Residential",'General Inputs'!J$15,'General Inputs'!J$19)</f>
        <v>364.32496573527527</v>
      </c>
      <c r="CY67" s="214">
        <f>IF(AND(($E67+$C$1)&gt;CY$4,CY$4&gt;=$C$1),$H67,IF(AND(($D67+$C$1)&gt;CY$4,CY$4&gt;=$C$1),$G67,0))*IF($A67="Residential",'General Inputs'!K$15,'General Inputs'!K$19)</f>
        <v>369.78984022130436</v>
      </c>
      <c r="CZ67" s="214">
        <f>IF(AND(($E67+$C$1)&gt;CZ$4,CZ$4&gt;=$C$1),$H67,IF(AND(($D67+$C$1)&gt;CZ$4,CZ$4&gt;=$C$1),$G67,0))*IF($A67="Residential",'General Inputs'!L$15,'General Inputs'!L$19)</f>
        <v>375.33668782462388</v>
      </c>
      <c r="DA67" s="214">
        <f>IF(AND(($E67+$C$1)&gt;DA$4,DA$4&gt;=$C$1),$H67,IF(AND(($D67+$C$1)&gt;DA$4,DA$4&gt;=$C$1),$G67,0))*IF($A67="Residential",'General Inputs'!M$15,'General Inputs'!M$19)</f>
        <v>380.96673814199323</v>
      </c>
      <c r="DB67" s="214">
        <f>IF(AND(($E67+$C$1)&gt;DB$4,DB$4&gt;=$C$1),$H67,IF(AND(($D67+$C$1)&gt;DB$4,DB$4&gt;=$C$1),$G67,0))*IF($A67="Residential",'General Inputs'!N$15,'General Inputs'!N$19)</f>
        <v>386.68123921412314</v>
      </c>
      <c r="DC67" s="214">
        <f>IF(AND(($E67+$C$1)&gt;DC$4,DC$4&gt;=$C$1),$H67,IF(AND(($D67+$C$1)&gt;DC$4,DC$4&gt;=$C$1),$G67,0))*IF($A67="Residential",'General Inputs'!O$15,'General Inputs'!O$19)</f>
        <v>392.48145780233489</v>
      </c>
      <c r="DD67" s="214">
        <f>IF(AND(($E67+$C$1)&gt;DD$4,DD$4&gt;=$C$1),$H67,IF(AND(($D67+$C$1)&gt;DD$4,DD$4&gt;=$C$1),$G67,0))*IF($A67="Residential",'General Inputs'!P$15,'General Inputs'!P$19)</f>
        <v>398.3686796693699</v>
      </c>
      <c r="DE67" s="214">
        <f>IF(AND(($E67+$C$1)&gt;DE$4,DE$4&gt;=$C$1),$H67,IF(AND(($D67+$C$1)&gt;DE$4,DE$4&gt;=$C$1),$G67,0))*IF($A67="Residential",'General Inputs'!Q$15,'General Inputs'!Q$19)</f>
        <v>404.3442098644104</v>
      </c>
      <c r="DF67" s="214">
        <f>IF(AND(($E67+$C$1)&gt;DF$4,DF$4&gt;=$C$1),$H67,IF(AND(($D67+$C$1)&gt;DF$4,DF$4&gt;=$C$1),$G67,0))*IF($A67="Residential",'General Inputs'!R$15,'General Inputs'!R$19)</f>
        <v>410.40937301237648</v>
      </c>
      <c r="DG67" s="214">
        <f>IF(AND(($E67+$C$1)&gt;DG$4,DG$4&gt;=$C$1),$H67,IF(AND(($D67+$C$1)&gt;DG$4,DG$4&gt;=$C$1),$G67,0))*IF($A67="Residential",'General Inputs'!S$15,'General Inputs'!S$19)</f>
        <v>416.56551360756214</v>
      </c>
      <c r="DH67" s="214">
        <f>IF(AND(($E67+$C$1)&gt;DH$4,DH$4&gt;=$C$1),$H67,IF(AND(($D67+$C$1)&gt;DH$4,DH$4&gt;=$C$1),$G67,0))*IF($A67="Residential",'General Inputs'!T$15,'General Inputs'!T$19)</f>
        <v>422.81399631167557</v>
      </c>
      <c r="DI67" s="214">
        <f>IF(AND(($E67+$C$1)&gt;DI$4,DI$4&gt;=$C$1),$H67,IF(AND(($D67+$C$1)&gt;DI$4,DI$4&gt;=$C$1),$G67,0))*IF($A67="Residential",'General Inputs'!U$15,'General Inputs'!U$19)</f>
        <v>429.15620625635057</v>
      </c>
      <c r="DJ67" s="214">
        <f>IF(AND(($E67+$C$1)&gt;DJ$4,DJ$4&gt;=$C$1),$H67,IF(AND(($D67+$C$1)&gt;DJ$4,DJ$4&gt;=$C$1),$G67,0))*IF($A67="Residential",'General Inputs'!V$15,'General Inputs'!V$19)</f>
        <v>435.59354935019581</v>
      </c>
      <c r="DK67" s="214">
        <f>IF(AND(($E67+$C$1)&gt;DK$4,DK$4&gt;=$C$1),$H67,IF(AND(($D67+$C$1)&gt;DK$4,DK$4&gt;=$C$1),$G67,0))*IF($A67="Residential",'General Inputs'!W$15,'General Inputs'!W$19)</f>
        <v>442.12745259044874</v>
      </c>
      <c r="DM67" s="214">
        <f t="shared" si="100"/>
        <v>0</v>
      </c>
      <c r="DN67" s="214">
        <f t="shared" si="100"/>
        <v>0</v>
      </c>
      <c r="DO67" s="214">
        <f t="shared" si="100"/>
        <v>294</v>
      </c>
      <c r="DP67" s="214">
        <f t="shared" si="100"/>
        <v>0</v>
      </c>
      <c r="DQ67" s="214">
        <f t="shared" si="100"/>
        <v>0</v>
      </c>
      <c r="DR67" s="214">
        <f t="shared" si="100"/>
        <v>0</v>
      </c>
      <c r="DS67" s="214">
        <f t="shared" si="100"/>
        <v>0</v>
      </c>
      <c r="DT67" s="214">
        <f t="shared" si="100"/>
        <v>0</v>
      </c>
      <c r="DU67" s="214">
        <f t="shared" si="100"/>
        <v>0</v>
      </c>
      <c r="DV67" s="214">
        <f t="shared" si="100"/>
        <v>0</v>
      </c>
      <c r="DW67" s="214">
        <f t="shared" si="100"/>
        <v>0</v>
      </c>
      <c r="DZ67" s="650"/>
      <c r="FI67" s="195"/>
      <c r="FJ67" s="195"/>
      <c r="FK67" s="195"/>
      <c r="FL67" s="195"/>
      <c r="FM67" s="195"/>
      <c r="FN67" s="195"/>
      <c r="FO67" s="195"/>
    </row>
    <row r="68" spans="1:171">
      <c r="A68" s="342" t="s">
        <v>112</v>
      </c>
      <c r="B68" s="427" t="str">
        <f>'Portfolio Inputs'!A67</f>
        <v>Ceramic Integrated Metal Halide (≥250 W)</v>
      </c>
      <c r="C68" s="217">
        <f>IF($C$1=2014,'Portfolio Inputs'!$C67,IF($C$1=2015,'Portfolio Inputs'!$D67,'Portfolio Inputs'!$E67))</f>
        <v>3</v>
      </c>
      <c r="D68" s="504">
        <f>VLOOKUP(B68,Sources!$B$4:$J$104,2,FALSE)</f>
        <v>18</v>
      </c>
      <c r="E68" s="504">
        <f>VLOOKUP(B68,Sources!$B$4:$J$104,3,FALSE)</f>
        <v>0</v>
      </c>
      <c r="G68" s="504">
        <f>IF($C$1=2014,'Portfolio Inputs'!$G67,IF($C$1=2015,'Portfolio Inputs'!$H67,'Portfolio Inputs'!$I67))*EnergyLineLoss</f>
        <v>1481.43301875</v>
      </c>
      <c r="H68" s="504"/>
      <c r="I68" s="595">
        <f>IF($C$1=2014,'Portfolio Inputs'!$K67,IF($C$1=2015,'Portfolio Inputs'!$L67,'Portfolio Inputs'!$M67))*PeakLineLoss</f>
        <v>0.22907313000000001</v>
      </c>
      <c r="J68" s="510"/>
      <c r="L68" s="606">
        <f>IF($C$1=2014,'Portfolio Inputs'!$O67,IF($C$1=2015,'Portfolio Inputs'!$P67,'Portfolio Inputs'!$Q67))</f>
        <v>42</v>
      </c>
      <c r="M68" s="518">
        <f>VLOOKUP($B68,Sources!$B$4:$K$104,10,FALSE)</f>
        <v>0</v>
      </c>
      <c r="N68" s="419">
        <f>IF($C$1=2014,'Portfolio Inputs'!$W67,IF($C$1=2015,'Portfolio Inputs'!$X67,'Portfolio Inputs'!$Y67))</f>
        <v>135</v>
      </c>
      <c r="O68" s="419">
        <f>IF($C$1=2014,'Portfolio Inputs'!$AA67,IF($C$1=2015,'Portfolio Inputs'!$AB67,'Portfolio Inputs'!$AC67))</f>
        <v>0</v>
      </c>
      <c r="Q68" s="438">
        <f t="shared" si="67"/>
        <v>5.4133796803465764</v>
      </c>
      <c r="R68" s="439">
        <f t="shared" si="68"/>
        <v>5.0524877016568048</v>
      </c>
      <c r="S68" s="439">
        <f t="shared" si="69"/>
        <v>6.7044217704442239</v>
      </c>
      <c r="T68" s="439">
        <f t="shared" si="70"/>
        <v>14.495345886146675</v>
      </c>
      <c r="U68" s="439">
        <f t="shared" si="98"/>
        <v>14.495345886146675</v>
      </c>
      <c r="V68" s="439">
        <f t="shared" si="72"/>
        <v>0.37345639923778501</v>
      </c>
      <c r="W68" s="439">
        <f t="shared" si="73"/>
        <v>0.37345639923778501</v>
      </c>
      <c r="Y68" s="215">
        <f t="shared" si="4"/>
        <v>575.78714862635877</v>
      </c>
      <c r="Z68" s="215">
        <f t="shared" si="5"/>
        <v>137.32002699030099</v>
      </c>
      <c r="AA68" s="215">
        <f t="shared" si="6"/>
        <v>1427.8176537476297</v>
      </c>
      <c r="AB68" s="215">
        <f t="shared" si="7"/>
        <v>1427.8176537476297</v>
      </c>
      <c r="AC68" s="216">
        <f t="shared" si="20"/>
        <v>0</v>
      </c>
      <c r="AD68" s="216">
        <f t="shared" si="21"/>
        <v>113.96111828981741</v>
      </c>
      <c r="AE68" s="215">
        <f t="shared" si="8"/>
        <v>106.36371040382957</v>
      </c>
      <c r="AG68" s="214">
        <f>IF(AND(($E68+$C$1)&gt;AG$4,AG$4&gt;=$C$1),'General Inputs'!D$9*$H68,IF(AND(($D68+$C$1)&gt;AG$4,AG$4&gt;=$C$1),'General Inputs'!D$9*$G68,0))+IF(AND(($E68+$C$1)&gt;AG$4,AG$4&gt;=$C$1),'General Inputs'!D$10*$J68,IF(AND(($D68+$C$1)&gt;AG$4,AG$4&gt;=$C$1),'General Inputs'!D$10*$I68,0))</f>
        <v>0</v>
      </c>
      <c r="AH68" s="214">
        <f>IF(AND(($E68+$C$1)&gt;AH$4,AH$4&gt;=$C$1),'General Inputs'!E$9*$H68,IF(AND(($D68+$C$1)&gt;AH$4,AH$4&gt;=$C$1),'General Inputs'!E$9*$G68,0))+IF(AND(($E68+$C$1)&gt;AH$4,AH$4&gt;=$C$1),'General Inputs'!E$10*$J68,IF(AND(($D68+$C$1)&gt;AH$4,AH$4&gt;=$C$1),'General Inputs'!E$10*$I68,0))</f>
        <v>0</v>
      </c>
      <c r="AI68" s="214">
        <f>IF(AND(($E68+$C$1)&gt;AI$4,AI$4&gt;=$C$1),'General Inputs'!F$9*$H68,IF(AND(($D68+$C$1)&gt;AI$4,AI$4&gt;=$C$1),'General Inputs'!F$9*$G68,0))+IF(AND(($E68+$C$1)&gt;AI$4,AI$4&gt;=$C$1),'General Inputs'!F$10*$J68,IF(AND(($D68+$C$1)&gt;AI$4,AI$4&gt;=$C$1),'General Inputs'!F$10*$I68,0))</f>
        <v>64.295683832146381</v>
      </c>
      <c r="AJ68" s="214">
        <f>IF(AND(($E68+$C$1)&gt;AJ$4,AJ$4&gt;=$C$1),'General Inputs'!G$9*$H68,IF(AND(($D68+$C$1)&gt;AJ$4,AJ$4&gt;=$C$1),'General Inputs'!G$9*$G68,0))+IF(AND(($E68+$C$1)&gt;AJ$4,AJ$4&gt;=$C$1),'General Inputs'!G$10*$J68,IF(AND(($D68+$C$1)&gt;AJ$4,AJ$4&gt;=$C$1),'General Inputs'!G$10*$I68,0))</f>
        <v>65.260119089628574</v>
      </c>
      <c r="AK68" s="214">
        <f>IF(AND(($E68+$C$1)&gt;AK$4,AK$4&gt;=$C$1),'General Inputs'!H$9*$H68,IF(AND(($D68+$C$1)&gt;AK$4,AK$4&gt;=$C$1),'General Inputs'!H$9*$G68,0))+IF(AND(($E68+$C$1)&gt;AK$4,AK$4&gt;=$C$1),'General Inputs'!H$10*$J68,IF(AND(($D68+$C$1)&gt;AK$4,AK$4&gt;=$C$1),'General Inputs'!H$10*$I68,0))</f>
        <v>66.239020875972983</v>
      </c>
      <c r="AL68" s="214">
        <f>IF(AND(($E68+$C$1)&gt;AL$4,AL$4&gt;=$C$1),'General Inputs'!I$9*$H68,IF(AND(($D68+$C$1)&gt;AL$4,AL$4&gt;=$C$1),'General Inputs'!I$9*$G68,0))+IF(AND(($E68+$C$1)&gt;AL$4,AL$4&gt;=$C$1),'General Inputs'!I$10*$J68,IF(AND(($D68+$C$1)&gt;AL$4,AL$4&gt;=$C$1),'General Inputs'!I$10*$I68,0))</f>
        <v>67.232606189112573</v>
      </c>
      <c r="AM68" s="214">
        <f>IF(AND(($E68+$C$1)&gt;AM$4,AM$4&gt;=$C$1),'General Inputs'!J$9*$H68,IF(AND(($D68+$C$1)&gt;AM$4,AM$4&gt;=$C$1),'General Inputs'!J$9*$G68,0))+IF(AND(($E68+$C$1)&gt;AM$4,AM$4&gt;=$C$1),'General Inputs'!J$10*$J68,IF(AND(($D68+$C$1)&gt;AM$4,AM$4&gt;=$C$1),'General Inputs'!J$10*$I68,0))</f>
        <v>68.241095281949256</v>
      </c>
      <c r="AN68" s="214">
        <f>IF(AND(($E68+$C$1)&gt;AN$4,AN$4&gt;=$C$1),'General Inputs'!K$9*$H68,IF(AND(($D68+$C$1)&gt;AN$4,AN$4&gt;=$C$1),'General Inputs'!K$9*$G68,0))+IF(AND(($E68+$C$1)&gt;AN$4,AN$4&gt;=$C$1),'General Inputs'!K$10*$J68,IF(AND(($D68+$C$1)&gt;AN$4,AN$4&gt;=$C$1),'General Inputs'!K$10*$I68,0))</f>
        <v>69.264711711178478</v>
      </c>
      <c r="AO68" s="214">
        <f>IF(AND(($E68+$C$1)&gt;AO$4,AO$4&gt;=$C$1),'General Inputs'!L$9*$H68,IF(AND(($D68+$C$1)&gt;AO$4,AO$4&gt;=$C$1),'General Inputs'!L$9*$G68,0))+IF(AND(($E68+$C$1)&gt;AO$4,AO$4&gt;=$C$1),'General Inputs'!L$10*$J68,IF(AND(($D68+$C$1)&gt;AO$4,AO$4&gt;=$C$1),'General Inputs'!L$10*$I68,0))</f>
        <v>70.303682386846148</v>
      </c>
      <c r="AP68" s="214">
        <f>IF(AND(($E68+$C$1)&gt;AP$4,AP$4&gt;=$C$1),'General Inputs'!M$9*$H68,IF(AND(($D68+$C$1)&gt;AP$4,AP$4&gt;=$C$1),'General Inputs'!M$9*$G68,0))+IF(AND(($E68+$C$1)&gt;AP$4,AP$4&gt;=$C$1),'General Inputs'!M$10*$J68,IF(AND(($D68+$C$1)&gt;AP$4,AP$4&gt;=$C$1),'General Inputs'!M$10*$I68,0))</f>
        <v>71.358237622648829</v>
      </c>
      <c r="AQ68" s="214">
        <f>IF(AND(($E68+$C$1)&gt;AQ$4,AQ$4&gt;=$C$1),'General Inputs'!N$9*$H68,IF(AND(($D68+$C$1)&gt;AQ$4,AQ$4&gt;=$C$1),'General Inputs'!N$9*$G68,0))+IF(AND(($E68+$C$1)&gt;AQ$4,AQ$4&gt;=$C$1),'General Inputs'!N$10*$J68,IF(AND(($D68+$C$1)&gt;AQ$4,AQ$4&gt;=$C$1),'General Inputs'!N$10*$I68,0))</f>
        <v>72.428611186988562</v>
      </c>
      <c r="AR68" s="214">
        <f>IF(AND(($E68+$C$1)&gt;AR$4,AR$4&gt;=$C$1),'General Inputs'!O$9*$H68,IF(AND(($D68+$C$1)&gt;AR$4,AR$4&gt;=$C$1),'General Inputs'!O$9*$G68,0))+IF(AND(($E68+$C$1)&gt;AR$4,AR$4&gt;=$C$1),'General Inputs'!O$10*$J68,IF(AND(($D68+$C$1)&gt;AR$4,AR$4&gt;=$C$1),'General Inputs'!O$10*$I68,0))</f>
        <v>73.515040354793371</v>
      </c>
      <c r="AS68" s="214">
        <f>IF(AND(($E68+$C$1)&gt;AS$4,AS$4&gt;=$C$1),'General Inputs'!P$9*$H68,IF(AND(($D68+$C$1)&gt;AS$4,AS$4&gt;=$C$1),'General Inputs'!P$9*$G68,0))+IF(AND(($E68+$C$1)&gt;AS$4,AS$4&gt;=$C$1),'General Inputs'!P$10*$J68,IF(AND(($D68+$C$1)&gt;AS$4,AS$4&gt;=$C$1),'General Inputs'!P$10*$I68,0))</f>
        <v>74.617765960115278</v>
      </c>
      <c r="AT68" s="214">
        <f>IF(AND(($E68+$C$1)&gt;AT$4,AT$4&gt;=$C$1),'General Inputs'!Q$9*$H68,IF(AND(($D68+$C$1)&gt;AT$4,AT$4&gt;=$C$1),'General Inputs'!Q$9*$G68,0))+IF(AND(($E68+$C$1)&gt;AT$4,AT$4&gt;=$C$1),'General Inputs'!Q$10*$J68,IF(AND(($D68+$C$1)&gt;AT$4,AT$4&gt;=$C$1),'General Inputs'!Q$10*$I68,0))</f>
        <v>75.737032449517002</v>
      </c>
      <c r="AU68" s="214">
        <f>IF(AND(($E68+$C$1)&gt;AU$4,AU$4&gt;=$C$1),'General Inputs'!R$9*$H68,IF(AND(($D68+$C$1)&gt;AU$4,AU$4&gt;=$C$1),'General Inputs'!R$9*$G68,0))+IF(AND(($E68+$C$1)&gt;AU$4,AU$4&gt;=$C$1),'General Inputs'!R$10*$J68,IF(AND(($D68+$C$1)&gt;AU$4,AU$4&gt;=$C$1),'General Inputs'!R$10*$I68,0))</f>
        <v>76.873087936259751</v>
      </c>
      <c r="AV68" s="214">
        <f>IF(AND(($E68+$C$1)&gt;AV$4,AV$4&gt;=$C$1),'General Inputs'!S$9*$H68,IF(AND(($D68+$C$1)&gt;AV$4,AV$4&gt;=$C$1),'General Inputs'!S$9*$G68,0))+IF(AND(($E68+$C$1)&gt;AV$4,AV$4&gt;=$C$1),'General Inputs'!S$10*$J68,IF(AND(($D68+$C$1)&gt;AV$4,AV$4&gt;=$C$1),'General Inputs'!S$10*$I68,0))</f>
        <v>78.026184255303633</v>
      </c>
      <c r="AW68" s="214">
        <f>IF(AND(($E68+$C$1)&gt;AW$4,AW$4&gt;=$C$1),'General Inputs'!T$9*$H68,IF(AND(($D68+$C$1)&gt;AW$4,AW$4&gt;=$C$1),'General Inputs'!T$9*$G68,0))+IF(AND(($E68+$C$1)&gt;AW$4,AW$4&gt;=$C$1),'General Inputs'!T$10*$J68,IF(AND(($D68+$C$1)&gt;AW$4,AW$4&gt;=$C$1),'General Inputs'!T$10*$I68,0))</f>
        <v>79.196577019133201</v>
      </c>
      <c r="AX68" s="214">
        <f>IF(AND(($E68+$C$1)&gt;AX$4,AX$4&gt;=$C$1),'General Inputs'!U$9*$H68,IF(AND(($D68+$C$1)&gt;AX$4,AX$4&gt;=$C$1),'General Inputs'!U$9*$G68,0))+IF(AND(($E68+$C$1)&gt;AX$4,AX$4&gt;=$C$1),'General Inputs'!U$10*$J68,IF(AND(($D68+$C$1)&gt;AX$4,AX$4&gt;=$C$1),'General Inputs'!U$10*$I68,0))</f>
        <v>80.384525674420189</v>
      </c>
      <c r="AY68" s="214">
        <f>IF(AND(($E68+$C$1)&gt;AY$4,AY$4&gt;=$C$1),'General Inputs'!V$9*$H68,IF(AND(($D68+$C$1)&gt;AY$4,AY$4&gt;=$C$1),'General Inputs'!V$9*$G68,0))+IF(AND(($E68+$C$1)&gt;AY$4,AY$4&gt;=$C$1),'General Inputs'!V$10*$J68,IF(AND(($D68+$C$1)&gt;AY$4,AY$4&gt;=$C$1),'General Inputs'!V$10*$I68,0))</f>
        <v>81.590293559536477</v>
      </c>
      <c r="AZ68" s="214">
        <f>IF(AND(($E68+$C$1)&gt;AZ$4,AZ$4&gt;=$C$1),'General Inputs'!W$9*$H68,IF(AND(($D68+$C$1)&gt;AZ$4,AZ$4&gt;=$C$1),'General Inputs'!W$9*$G68,0))+IF(AND(($E68+$C$1)&gt;AZ$4,AZ$4&gt;=$C$1),'General Inputs'!W$10*$J68,IF(AND(($D68+$C$1)&gt;AZ$4,AZ$4&gt;=$C$1),'General Inputs'!W$10*$I68,0))</f>
        <v>82.814147962929525</v>
      </c>
      <c r="BB68" s="214">
        <f>IF(AND(($E68+$C$1)&gt;BB$4,BB$4&gt;=$C$1),'General Inputs'!D$11*$H68,IF(AND(($D68+$C$1)&gt;BB$4,BB$4&gt;=$C$1),'General Inputs'!D$11*$G68,0))</f>
        <v>0</v>
      </c>
      <c r="BC68" s="214">
        <f>IF(AND(($E68+$C$1)&gt;BC$4,BC$4&gt;=$C$1),'General Inputs'!E$11*$H68,IF(AND(($D68+$C$1)&gt;BC$4,BC$4&gt;=$C$1),'General Inputs'!E$11*$G68,0))</f>
        <v>0</v>
      </c>
      <c r="BD68" s="214">
        <f>IF(AND(($E68+$C$1)&gt;BD$4,BD$4&gt;=$C$1),'General Inputs'!F$11*$H68,IF(AND(($D68+$C$1)&gt;BD$4,BD$4&gt;=$C$1),'General Inputs'!F$11*$G68,0))</f>
        <v>16.88833641375</v>
      </c>
      <c r="BE68" s="214">
        <f>IF(AND(($E68+$C$1)&gt;BE$4,BE$4&gt;=$C$1),'General Inputs'!G$11*$H68,IF(AND(($D68+$C$1)&gt;BE$4,BE$4&gt;=$C$1),'General Inputs'!G$11*$G68,0))</f>
        <v>16.88833641375</v>
      </c>
      <c r="BF68" s="214">
        <f>IF(AND(($E68+$C$1)&gt;BF$4,BF$4&gt;=$C$1),'General Inputs'!H$11*$H68,IF(AND(($D68+$C$1)&gt;BF$4,BF$4&gt;=$C$1),'General Inputs'!H$11*$G68,0))</f>
        <v>16.88833641375</v>
      </c>
      <c r="BG68" s="214">
        <f>IF(AND(($E68+$C$1)&gt;BG$4,BG$4&gt;=$C$1),'General Inputs'!I$11*$H68,IF(AND(($D68+$C$1)&gt;BG$4,BG$4&gt;=$C$1),'General Inputs'!I$11*$G68,0))</f>
        <v>16.88833641375</v>
      </c>
      <c r="BH68" s="214">
        <f>IF(AND(($E68+$C$1)&gt;BH$4,BH$4&gt;=$C$1),'General Inputs'!J$11*$H68,IF(AND(($D68+$C$1)&gt;BH$4,BH$4&gt;=$C$1),'General Inputs'!J$11*$G68,0))</f>
        <v>16.88833641375</v>
      </c>
      <c r="BI68" s="214">
        <f>IF(AND(($E68+$C$1)&gt;BI$4,BI$4&gt;=$C$1),'General Inputs'!K$11*$H68,IF(AND(($D68+$C$1)&gt;BI$4,BI$4&gt;=$C$1),'General Inputs'!K$11*$G68,0))</f>
        <v>16.88833641375</v>
      </c>
      <c r="BJ68" s="214">
        <f>IF(AND(($E68+$C$1)&gt;BJ$4,BJ$4&gt;=$C$1),'General Inputs'!L$11*$H68,IF(AND(($D68+$C$1)&gt;BJ$4,BJ$4&gt;=$C$1),'General Inputs'!L$11*$G68,0))</f>
        <v>16.88833641375</v>
      </c>
      <c r="BK68" s="214">
        <f>IF(AND(($E68+$C$1)&gt;BK$4,BK$4&gt;=$C$1),'General Inputs'!M$11*$H68,IF(AND(($D68+$C$1)&gt;BK$4,BK$4&gt;=$C$1),'General Inputs'!M$11*$G68,0))</f>
        <v>16.88833641375</v>
      </c>
      <c r="BL68" s="214">
        <f>IF(AND(($E68+$C$1)&gt;BL$4,BL$4&gt;=$C$1),'General Inputs'!N$11*$H68,IF(AND(($D68+$C$1)&gt;BL$4,BL$4&gt;=$C$1),'General Inputs'!N$11*$G68,0))</f>
        <v>16.88833641375</v>
      </c>
      <c r="BM68" s="214">
        <f>IF(AND(($E68+$C$1)&gt;BM$4,BM$4&gt;=$C$1),'General Inputs'!O$11*$H68,IF(AND(($D68+$C$1)&gt;BM$4,BM$4&gt;=$C$1),'General Inputs'!O$11*$G68,0))</f>
        <v>16.88833641375</v>
      </c>
      <c r="BN68" s="214">
        <f>IF(AND(($E68+$C$1)&gt;BN$4,BN$4&gt;=$C$1),'General Inputs'!P$11*$H68,IF(AND(($D68+$C$1)&gt;BN$4,BN$4&gt;=$C$1),'General Inputs'!P$11*$G68,0))</f>
        <v>16.88833641375</v>
      </c>
      <c r="BO68" s="214">
        <f>IF(AND(($E68+$C$1)&gt;BO$4,BO$4&gt;=$C$1),'General Inputs'!Q$11*$H68,IF(AND(($D68+$C$1)&gt;BO$4,BO$4&gt;=$C$1),'General Inputs'!Q$11*$G68,0))</f>
        <v>16.88833641375</v>
      </c>
      <c r="BP68" s="214">
        <f>IF(AND(($E68+$C$1)&gt;BP$4,BP$4&gt;=$C$1),'General Inputs'!R$11*$H68,IF(AND(($D68+$C$1)&gt;BP$4,BP$4&gt;=$C$1),'General Inputs'!R$11*$G68,0))</f>
        <v>16.88833641375</v>
      </c>
      <c r="BQ68" s="214">
        <f>IF(AND(($E68+$C$1)&gt;BQ$4,BQ$4&gt;=$C$1),'General Inputs'!S$11*$H68,IF(AND(($D68+$C$1)&gt;BQ$4,BQ$4&gt;=$C$1),'General Inputs'!S$11*$G68,0))</f>
        <v>16.88833641375</v>
      </c>
      <c r="BR68" s="214">
        <f>IF(AND(($E68+$C$1)&gt;BR$4,BR$4&gt;=$C$1),'General Inputs'!T$11*$H68,IF(AND(($D68+$C$1)&gt;BR$4,BR$4&gt;=$C$1),'General Inputs'!T$11*$G68,0))</f>
        <v>16.88833641375</v>
      </c>
      <c r="BS68" s="214">
        <f>IF(AND(($E68+$C$1)&gt;BS$4,BS$4&gt;=$C$1),'General Inputs'!U$11*$H68,IF(AND(($D68+$C$1)&gt;BS$4,BS$4&gt;=$C$1),'General Inputs'!U$11*$G68,0))</f>
        <v>16.88833641375</v>
      </c>
      <c r="BT68" s="214">
        <f>IF(AND(($E68+$C$1)&gt;BT$4,BT$4&gt;=$C$1),'General Inputs'!V$11*$H68,IF(AND(($D68+$C$1)&gt;BT$4,BT$4&gt;=$C$1),'General Inputs'!V$11*$G68,0))</f>
        <v>16.88833641375</v>
      </c>
      <c r="BU68" s="214">
        <f>IF(AND(($E68+$C$1)&gt;BU$4,BU$4&gt;=$C$1),'General Inputs'!W$11*$H68,IF(AND(($D68+$C$1)&gt;BU$4,BU$4&gt;=$C$1),'General Inputs'!W$11*$G68,0))</f>
        <v>16.88833641375</v>
      </c>
      <c r="BW68" s="214">
        <f>IF(AND(($E68+$C$1)&gt;BW$4,BW$4&gt;=$C$1),$H68,IF(AND(($D68+$C$1)&gt;BW$4,BW$4&gt;=$C$1),$G68,0))*IF($A68="Residential",'General Inputs'!D$14,'General Inputs'!D$19)</f>
        <v>0</v>
      </c>
      <c r="BX68" s="214">
        <f>IF(AND(($E68+$C$1)&gt;BX$4,BX$4&gt;=$C$1),$H68,IF(AND(($D68+$C$1)&gt;BX$4,BX$4&gt;=$C$1),$G68,0))*IF($A68="Residential",'General Inputs'!E$14,'General Inputs'!E$19)</f>
        <v>0</v>
      </c>
      <c r="BY68" s="214">
        <f>IF(AND(($E68+$C$1)&gt;BY$4,BY$4&gt;=$C$1),$H68,IF(AND(($D68+$C$1)&gt;BY$4,BY$4&gt;=$C$1),$G68,0))*IF($A68="Residential",'General Inputs'!F$14,'General Inputs'!F$19)</f>
        <v>159.43827967387892</v>
      </c>
      <c r="BZ68" s="214">
        <f>IF(AND(($E68+$C$1)&gt;BZ$4,BZ$4&gt;=$C$1),$H68,IF(AND(($D68+$C$1)&gt;BZ$4,BZ$4&gt;=$C$1),$G68,0))*IF($A68="Residential",'General Inputs'!G$14,'General Inputs'!G$19)</f>
        <v>161.8298538689871</v>
      </c>
      <c r="CA68" s="214">
        <f>IF(AND(($E68+$C$1)&gt;CA$4,CA$4&gt;=$C$1),$H68,IF(AND(($D68+$C$1)&gt;CA$4,CA$4&gt;=$C$1),$G68,0))*IF($A68="Residential",'General Inputs'!H$14,'General Inputs'!H$19)</f>
        <v>164.25730167702187</v>
      </c>
      <c r="CB68" s="214">
        <f>IF(AND(($E68+$C$1)&gt;CB$4,CB$4&gt;=$C$1),$H68,IF(AND(($D68+$C$1)&gt;CB$4,CB$4&gt;=$C$1),$G68,0))*IF($A68="Residential",'General Inputs'!I$14,'General Inputs'!I$19)</f>
        <v>166.72116120217717</v>
      </c>
      <c r="CC68" s="214">
        <f>IF(AND(($E68+$C$1)&gt;CC$4,CC$4&gt;=$C$1),$H68,IF(AND(($D68+$C$1)&gt;CC$4,CC$4&gt;=$C$1),$G68,0))*IF($A68="Residential",'General Inputs'!J$14,'General Inputs'!J$19)</f>
        <v>169.22197862020982</v>
      </c>
      <c r="CD68" s="214">
        <f>IF(AND(($E68+$C$1)&gt;CD$4,CD$4&gt;=$C$1),$H68,IF(AND(($D68+$C$1)&gt;CD$4,CD$4&gt;=$C$1),$G68,0))*IF($A68="Residential",'General Inputs'!K$14,'General Inputs'!K$19)</f>
        <v>171.76030829951296</v>
      </c>
      <c r="CE68" s="214">
        <f>IF(AND(($E68+$C$1)&gt;CE$4,CE$4&gt;=$C$1),$H68,IF(AND(($D68+$C$1)&gt;CE$4,CE$4&gt;=$C$1),$G68,0))*IF($A68="Residential",'General Inputs'!L$14,'General Inputs'!L$19)</f>
        <v>174.33671292400564</v>
      </c>
      <c r="CF68" s="214">
        <f>IF(AND(($E68+$C$1)&gt;CF$4,CF$4&gt;=$C$1),$H68,IF(AND(($D68+$C$1)&gt;CF$4,CF$4&gt;=$C$1),$G68,0))*IF($A68="Residential",'General Inputs'!M$14,'General Inputs'!M$19)</f>
        <v>176.95176361786571</v>
      </c>
      <c r="CG68" s="214">
        <f>IF(AND(($E68+$C$1)&gt;CG$4,CG$4&gt;=$C$1),$H68,IF(AND(($D68+$C$1)&gt;CG$4,CG$4&gt;=$C$1),$G68,0))*IF($A68="Residential",'General Inputs'!N$14,'General Inputs'!N$19)</f>
        <v>179.60604007213368</v>
      </c>
      <c r="CH68" s="214">
        <f>IF(AND(($E68+$C$1)&gt;CH$4,CH$4&gt;=$C$1),$H68,IF(AND(($D68+$C$1)&gt;CH$4,CH$4&gt;=$C$1),$G68,0))*IF($A68="Residential",'General Inputs'!O$14,'General Inputs'!O$19)</f>
        <v>182.30013067321565</v>
      </c>
      <c r="CI68" s="214">
        <f>IF(AND(($E68+$C$1)&gt;CI$4,CI$4&gt;=$C$1),$H68,IF(AND(($D68+$C$1)&gt;CI$4,CI$4&gt;=$C$1),$G68,0))*IF($A68="Residential",'General Inputs'!P$14,'General Inputs'!P$19)</f>
        <v>185.03463263331389</v>
      </c>
      <c r="CJ68" s="214">
        <f>IF(AND(($E68+$C$1)&gt;CJ$4,CJ$4&gt;=$C$1),$H68,IF(AND(($D68+$C$1)&gt;CJ$4,CJ$4&gt;=$C$1),$G68,0))*IF($A68="Residential",'General Inputs'!Q$14,'General Inputs'!Q$19)</f>
        <v>187.81015212281358</v>
      </c>
      <c r="CK68" s="214">
        <f>IF(AND(($E68+$C$1)&gt;CK$4,CK$4&gt;=$C$1),$H68,IF(AND(($D68+$C$1)&gt;CK$4,CK$4&gt;=$C$1),$G68,0))*IF($A68="Residential",'General Inputs'!R$14,'General Inputs'!R$19)</f>
        <v>190.62730440465575</v>
      </c>
      <c r="CL68" s="214">
        <f>IF(AND(($E68+$C$1)&gt;CL$4,CL$4&gt;=$C$1),$H68,IF(AND(($D68+$C$1)&gt;CL$4,CL$4&gt;=$C$1),$G68,0))*IF($A68="Residential",'General Inputs'!S$14,'General Inputs'!S$19)</f>
        <v>193.48671397072559</v>
      </c>
      <c r="CM68" s="214">
        <f>IF(AND(($E68+$C$1)&gt;CM$4,CM$4&gt;=$C$1),$H68,IF(AND(($D68+$C$1)&gt;CM$4,CM$4&gt;=$C$1),$G68,0))*IF($A68="Residential",'General Inputs'!T$14,'General Inputs'!T$19)</f>
        <v>196.38901468028644</v>
      </c>
      <c r="CN68" s="214">
        <f>IF(AND(($E68+$C$1)&gt;CN$4,CN$4&gt;=$C$1),$H68,IF(AND(($D68+$C$1)&gt;CN$4,CN$4&gt;=$C$1),$G68,0))*IF($A68="Residential",'General Inputs'!U$14,'General Inputs'!U$19)</f>
        <v>199.3348499004907</v>
      </c>
      <c r="CO68" s="214">
        <f>IF(AND(($E68+$C$1)&gt;CO$4,CO$4&gt;=$C$1),$H68,IF(AND(($D68+$C$1)&gt;CO$4,CO$4&gt;=$C$1),$G68,0))*IF($A68="Residential",'General Inputs'!V$14,'General Inputs'!V$19)</f>
        <v>202.32487264899805</v>
      </c>
      <c r="CP68" s="214">
        <f>IF(AND(($E68+$C$1)&gt;CP$4,CP$4&gt;=$C$1),$H68,IF(AND(($D68+$C$1)&gt;CP$4,CP$4&gt;=$C$1),$G68,0))*IF($A68="Residential",'General Inputs'!W$14,'General Inputs'!W$19)</f>
        <v>205.35974573873304</v>
      </c>
      <c r="CR68" s="214">
        <f>IF(AND(($E68+$C$1)&gt;CR$4,CR$4&gt;=$C$1),$H68,IF(AND(($D68+$C$1)&gt;CR$4,CR$4&gt;=$C$1),$G68,0))*IF($A68="Residential",'General Inputs'!D$15,'General Inputs'!D$19)</f>
        <v>0</v>
      </c>
      <c r="CS68" s="214">
        <f>IF(AND(($E68+$C$1)&gt;CS$4,CS$4&gt;=$C$1),$H68,IF(AND(($D68+$C$1)&gt;CS$4,CS$4&gt;=$C$1),$G68,0))*IF($A68="Residential",'General Inputs'!E$15,'General Inputs'!E$19)</f>
        <v>0</v>
      </c>
      <c r="CT68" s="214">
        <f>IF(AND(($E68+$C$1)&gt;CT$4,CT$4&gt;=$C$1),$H68,IF(AND(($D68+$C$1)&gt;CT$4,CT$4&gt;=$C$1),$G68,0))*IF($A68="Residential",'General Inputs'!F$15,'General Inputs'!F$19)</f>
        <v>159.43827967387892</v>
      </c>
      <c r="CU68" s="214">
        <f>IF(AND(($E68+$C$1)&gt;CU$4,CU$4&gt;=$C$1),$H68,IF(AND(($D68+$C$1)&gt;CU$4,CU$4&gt;=$C$1),$G68,0))*IF($A68="Residential",'General Inputs'!G$15,'General Inputs'!G$19)</f>
        <v>161.8298538689871</v>
      </c>
      <c r="CV68" s="214">
        <f>IF(AND(($E68+$C$1)&gt;CV$4,CV$4&gt;=$C$1),$H68,IF(AND(($D68+$C$1)&gt;CV$4,CV$4&gt;=$C$1),$G68,0))*IF($A68="Residential",'General Inputs'!H$15,'General Inputs'!H$19)</f>
        <v>164.25730167702187</v>
      </c>
      <c r="CW68" s="214">
        <f>IF(AND(($E68+$C$1)&gt;CW$4,CW$4&gt;=$C$1),$H68,IF(AND(($D68+$C$1)&gt;CW$4,CW$4&gt;=$C$1),$G68,0))*IF($A68="Residential",'General Inputs'!I$15,'General Inputs'!I$19)</f>
        <v>166.72116120217717</v>
      </c>
      <c r="CX68" s="214">
        <f>IF(AND(($E68+$C$1)&gt;CX$4,CX$4&gt;=$C$1),$H68,IF(AND(($D68+$C$1)&gt;CX$4,CX$4&gt;=$C$1),$G68,0))*IF($A68="Residential",'General Inputs'!J$15,'General Inputs'!J$19)</f>
        <v>169.22197862020982</v>
      </c>
      <c r="CY68" s="214">
        <f>IF(AND(($E68+$C$1)&gt;CY$4,CY$4&gt;=$C$1),$H68,IF(AND(($D68+$C$1)&gt;CY$4,CY$4&gt;=$C$1),$G68,0))*IF($A68="Residential",'General Inputs'!K$15,'General Inputs'!K$19)</f>
        <v>171.76030829951296</v>
      </c>
      <c r="CZ68" s="214">
        <f>IF(AND(($E68+$C$1)&gt;CZ$4,CZ$4&gt;=$C$1),$H68,IF(AND(($D68+$C$1)&gt;CZ$4,CZ$4&gt;=$C$1),$G68,0))*IF($A68="Residential",'General Inputs'!L$15,'General Inputs'!L$19)</f>
        <v>174.33671292400564</v>
      </c>
      <c r="DA68" s="214">
        <f>IF(AND(($E68+$C$1)&gt;DA$4,DA$4&gt;=$C$1),$H68,IF(AND(($D68+$C$1)&gt;DA$4,DA$4&gt;=$C$1),$G68,0))*IF($A68="Residential",'General Inputs'!M$15,'General Inputs'!M$19)</f>
        <v>176.95176361786571</v>
      </c>
      <c r="DB68" s="214">
        <f>IF(AND(($E68+$C$1)&gt;DB$4,DB$4&gt;=$C$1),$H68,IF(AND(($D68+$C$1)&gt;DB$4,DB$4&gt;=$C$1),$G68,0))*IF($A68="Residential",'General Inputs'!N$15,'General Inputs'!N$19)</f>
        <v>179.60604007213368</v>
      </c>
      <c r="DC68" s="214">
        <f>IF(AND(($E68+$C$1)&gt;DC$4,DC$4&gt;=$C$1),$H68,IF(AND(($D68+$C$1)&gt;DC$4,DC$4&gt;=$C$1),$G68,0))*IF($A68="Residential",'General Inputs'!O$15,'General Inputs'!O$19)</f>
        <v>182.30013067321565</v>
      </c>
      <c r="DD68" s="214">
        <f>IF(AND(($E68+$C$1)&gt;DD$4,DD$4&gt;=$C$1),$H68,IF(AND(($D68+$C$1)&gt;DD$4,DD$4&gt;=$C$1),$G68,0))*IF($A68="Residential",'General Inputs'!P$15,'General Inputs'!P$19)</f>
        <v>185.03463263331389</v>
      </c>
      <c r="DE68" s="214">
        <f>IF(AND(($E68+$C$1)&gt;DE$4,DE$4&gt;=$C$1),$H68,IF(AND(($D68+$C$1)&gt;DE$4,DE$4&gt;=$C$1),$G68,0))*IF($A68="Residential",'General Inputs'!Q$15,'General Inputs'!Q$19)</f>
        <v>187.81015212281358</v>
      </c>
      <c r="DF68" s="214">
        <f>IF(AND(($E68+$C$1)&gt;DF$4,DF$4&gt;=$C$1),$H68,IF(AND(($D68+$C$1)&gt;DF$4,DF$4&gt;=$C$1),$G68,0))*IF($A68="Residential",'General Inputs'!R$15,'General Inputs'!R$19)</f>
        <v>190.62730440465575</v>
      </c>
      <c r="DG68" s="214">
        <f>IF(AND(($E68+$C$1)&gt;DG$4,DG$4&gt;=$C$1),$H68,IF(AND(($D68+$C$1)&gt;DG$4,DG$4&gt;=$C$1),$G68,0))*IF($A68="Residential",'General Inputs'!S$15,'General Inputs'!S$19)</f>
        <v>193.48671397072559</v>
      </c>
      <c r="DH68" s="214">
        <f>IF(AND(($E68+$C$1)&gt;DH$4,DH$4&gt;=$C$1),$H68,IF(AND(($D68+$C$1)&gt;DH$4,DH$4&gt;=$C$1),$G68,0))*IF($A68="Residential",'General Inputs'!T$15,'General Inputs'!T$19)</f>
        <v>196.38901468028644</v>
      </c>
      <c r="DI68" s="214">
        <f>IF(AND(($E68+$C$1)&gt;DI$4,DI$4&gt;=$C$1),$H68,IF(AND(($D68+$C$1)&gt;DI$4,DI$4&gt;=$C$1),$G68,0))*IF($A68="Residential",'General Inputs'!U$15,'General Inputs'!U$19)</f>
        <v>199.3348499004907</v>
      </c>
      <c r="DJ68" s="214">
        <f>IF(AND(($E68+$C$1)&gt;DJ$4,DJ$4&gt;=$C$1),$H68,IF(AND(($D68+$C$1)&gt;DJ$4,DJ$4&gt;=$C$1),$G68,0))*IF($A68="Residential",'General Inputs'!V$15,'General Inputs'!V$19)</f>
        <v>202.32487264899805</v>
      </c>
      <c r="DK68" s="214">
        <f>IF(AND(($E68+$C$1)&gt;DK$4,DK$4&gt;=$C$1),$H68,IF(AND(($D68+$C$1)&gt;DK$4,DK$4&gt;=$C$1),$G68,0))*IF($A68="Residential",'General Inputs'!W$15,'General Inputs'!W$19)</f>
        <v>205.35974573873304</v>
      </c>
      <c r="DM68" s="214">
        <f t="shared" si="100"/>
        <v>0</v>
      </c>
      <c r="DN68" s="214">
        <f t="shared" si="100"/>
        <v>0</v>
      </c>
      <c r="DO68" s="214">
        <f t="shared" si="100"/>
        <v>126</v>
      </c>
      <c r="DP68" s="214">
        <f t="shared" si="100"/>
        <v>0</v>
      </c>
      <c r="DQ68" s="214">
        <f t="shared" si="100"/>
        <v>0</v>
      </c>
      <c r="DR68" s="214">
        <f t="shared" si="100"/>
        <v>0</v>
      </c>
      <c r="DS68" s="214">
        <f t="shared" si="100"/>
        <v>0</v>
      </c>
      <c r="DT68" s="214">
        <f t="shared" si="100"/>
        <v>0</v>
      </c>
      <c r="DU68" s="214">
        <f t="shared" si="100"/>
        <v>0</v>
      </c>
      <c r="DV68" s="214">
        <f t="shared" si="100"/>
        <v>0</v>
      </c>
      <c r="DW68" s="214">
        <f t="shared" si="100"/>
        <v>0</v>
      </c>
      <c r="DZ68" s="650"/>
      <c r="FI68" s="195"/>
      <c r="FJ68" s="195"/>
      <c r="FK68" s="195"/>
      <c r="FL68" s="195"/>
      <c r="FM68" s="195"/>
      <c r="FN68" s="195"/>
      <c r="FO68" s="195"/>
    </row>
    <row r="69" spans="1:171">
      <c r="A69" s="342" t="s">
        <v>112</v>
      </c>
      <c r="B69" s="427" t="str">
        <f>'Portfolio Inputs'!A68</f>
        <v>Pulse Start Metal Halide (≤175W)</v>
      </c>
      <c r="C69" s="217">
        <f>IF($C$1=2014,'Portfolio Inputs'!$C68,IF($C$1=2015,'Portfolio Inputs'!$D68,'Portfolio Inputs'!$E68))</f>
        <v>3</v>
      </c>
      <c r="D69" s="504">
        <f>VLOOKUP(B69,Sources!$B$4:$J$104,2,FALSE)</f>
        <v>18</v>
      </c>
      <c r="E69" s="504">
        <f>VLOOKUP(B69,Sources!$B$4:$J$104,3,FALSE)</f>
        <v>0</v>
      </c>
      <c r="G69" s="504">
        <f>IF($C$1=2014,'Portfolio Inputs'!$G68,IF($C$1=2015,'Portfolio Inputs'!$H68,'Portfolio Inputs'!$I68))*EnergyLineLoss</f>
        <v>2945.4374137499999</v>
      </c>
      <c r="H69" s="504"/>
      <c r="I69" s="595">
        <f>IF($C$1=2014,'Portfolio Inputs'!$K68,IF($C$1=2015,'Portfolio Inputs'!$L68,'Portfolio Inputs'!$M68))*PeakLineLoss</f>
        <v>0.45545128200000001</v>
      </c>
      <c r="J69" s="510"/>
      <c r="L69" s="606">
        <f>IF($C$1=2014,'Portfolio Inputs'!$O68,IF($C$1=2015,'Portfolio Inputs'!$P68,'Portfolio Inputs'!$Q68))</f>
        <v>161</v>
      </c>
      <c r="M69" s="518">
        <f>VLOOKUP($B69,Sources!$B$4:$K$104,10,FALSE)</f>
        <v>0</v>
      </c>
      <c r="N69" s="419">
        <f>IF($C$1=2014,'Portfolio Inputs'!$W68,IF($C$1=2015,'Portfolio Inputs'!$X68,'Portfolio Inputs'!$Y68))</f>
        <v>75</v>
      </c>
      <c r="O69" s="419">
        <f>IF($C$1=2014,'Portfolio Inputs'!$AA68,IF($C$1=2015,'Portfolio Inputs'!$AB68,'Portfolio Inputs'!$AC68))</f>
        <v>0</v>
      </c>
      <c r="Q69" s="438">
        <f t="shared" si="67"/>
        <v>2.8077580541541827</v>
      </c>
      <c r="R69" s="439">
        <f t="shared" si="68"/>
        <v>18.081961868752938</v>
      </c>
      <c r="S69" s="439">
        <f t="shared" si="69"/>
        <v>3.4773829540820671</v>
      </c>
      <c r="T69" s="439">
        <f t="shared" si="70"/>
        <v>7.1178637266985092</v>
      </c>
      <c r="U69" s="439">
        <f t="shared" si="98"/>
        <v>7.1178637266985092</v>
      </c>
      <c r="V69" s="439">
        <f t="shared" si="72"/>
        <v>0.39446639637431075</v>
      </c>
      <c r="W69" s="439">
        <f t="shared" si="73"/>
        <v>0.39446639637431075</v>
      </c>
      <c r="Y69" s="215">
        <f t="shared" ref="Y69:Y96" si="101">AG69+NPV(DiscountRate,AH69:AZ69)</f>
        <v>1144.8003307982897</v>
      </c>
      <c r="Z69" s="215">
        <f t="shared" ref="Z69:Z96" si="102">BB69+NPV(DiscountRate,BC69:BU69)</f>
        <v>273.02452425130429</v>
      </c>
      <c r="AA69" s="215">
        <f t="shared" ref="AA69:AA96" si="103">BW69+NPV(DiscountRate,BX69:CP69)</f>
        <v>2838.8374527452879</v>
      </c>
      <c r="AB69" s="215">
        <f t="shared" ref="AB69:AB96" si="104">CR69+NPV(DiscountRate,CS69:DK69)</f>
        <v>2838.8374527452879</v>
      </c>
      <c r="AC69" s="216">
        <f t="shared" si="20"/>
        <v>0</v>
      </c>
      <c r="AD69" s="216">
        <f t="shared" si="21"/>
        <v>63.311732383231892</v>
      </c>
      <c r="AE69" s="215">
        <f t="shared" ref="AE69:AE96" si="105">DM69+NPV(DiscountRate,DN69:DW69)</f>
        <v>407.72755654801341</v>
      </c>
      <c r="AG69" s="214">
        <f>IF(AND(($E69+$C$1)&gt;AG$4,AG$4&gt;=$C$1),'General Inputs'!D$9*$H69,IF(AND(($D69+$C$1)&gt;AG$4,AG$4&gt;=$C$1),'General Inputs'!D$9*$G69,0))+IF(AND(($E69+$C$1)&gt;AG$4,AG$4&gt;=$C$1),'General Inputs'!D$10*$J69,IF(AND(($D69+$C$1)&gt;AG$4,AG$4&gt;=$C$1),'General Inputs'!D$10*$I69,0))</f>
        <v>0</v>
      </c>
      <c r="AH69" s="214">
        <f>IF(AND(($E69+$C$1)&gt;AH$4,AH$4&gt;=$C$1),'General Inputs'!E$9*$H69,IF(AND(($D69+$C$1)&gt;AH$4,AH$4&gt;=$C$1),'General Inputs'!E$9*$G69,0))+IF(AND(($E69+$C$1)&gt;AH$4,AH$4&gt;=$C$1),'General Inputs'!E$10*$J69,IF(AND(($D69+$C$1)&gt;AH$4,AH$4&gt;=$C$1),'General Inputs'!E$10*$I69,0))</f>
        <v>0</v>
      </c>
      <c r="AI69" s="214">
        <f>IF(AND(($E69+$C$1)&gt;AI$4,AI$4&gt;=$C$1),'General Inputs'!F$9*$H69,IF(AND(($D69+$C$1)&gt;AI$4,AI$4&gt;=$C$1),'General Inputs'!F$9*$G69,0))+IF(AND(($E69+$C$1)&gt;AI$4,AI$4&gt;=$C$1),'General Inputs'!F$10*$J69,IF(AND(($D69+$C$1)&gt;AI$4,AI$4&gt;=$C$1),'General Inputs'!F$10*$I69,0))</f>
        <v>127.8349478545028</v>
      </c>
      <c r="AJ69" s="214">
        <f>IF(AND(($E69+$C$1)&gt;AJ$4,AJ$4&gt;=$C$1),'General Inputs'!G$9*$H69,IF(AND(($D69+$C$1)&gt;AJ$4,AJ$4&gt;=$C$1),'General Inputs'!G$9*$G69,0))+IF(AND(($E69+$C$1)&gt;AJ$4,AJ$4&gt;=$C$1),'General Inputs'!G$10*$J69,IF(AND(($D69+$C$1)&gt;AJ$4,AJ$4&gt;=$C$1),'General Inputs'!G$10*$I69,0))</f>
        <v>129.75247207232033</v>
      </c>
      <c r="AK69" s="214">
        <f>IF(AND(($E69+$C$1)&gt;AK$4,AK$4&gt;=$C$1),'General Inputs'!H$9*$H69,IF(AND(($D69+$C$1)&gt;AK$4,AK$4&gt;=$C$1),'General Inputs'!H$9*$G69,0))+IF(AND(($E69+$C$1)&gt;AK$4,AK$4&gt;=$C$1),'General Inputs'!H$10*$J69,IF(AND(($D69+$C$1)&gt;AK$4,AK$4&gt;=$C$1),'General Inputs'!H$10*$I69,0))</f>
        <v>131.69875915340512</v>
      </c>
      <c r="AL69" s="214">
        <f>IF(AND(($E69+$C$1)&gt;AL$4,AL$4&gt;=$C$1),'General Inputs'!I$9*$H69,IF(AND(($D69+$C$1)&gt;AL$4,AL$4&gt;=$C$1),'General Inputs'!I$9*$G69,0))+IF(AND(($E69+$C$1)&gt;AL$4,AL$4&gt;=$C$1),'General Inputs'!I$10*$J69,IF(AND(($D69+$C$1)&gt;AL$4,AL$4&gt;=$C$1),'General Inputs'!I$10*$I69,0))</f>
        <v>133.67424054070617</v>
      </c>
      <c r="AM69" s="214">
        <f>IF(AND(($E69+$C$1)&gt;AM$4,AM$4&gt;=$C$1),'General Inputs'!J$9*$H69,IF(AND(($D69+$C$1)&gt;AM$4,AM$4&gt;=$C$1),'General Inputs'!J$9*$G69,0))+IF(AND(($E69+$C$1)&gt;AM$4,AM$4&gt;=$C$1),'General Inputs'!J$10*$J69,IF(AND(($D69+$C$1)&gt;AM$4,AM$4&gt;=$C$1),'General Inputs'!J$10*$I69,0))</f>
        <v>135.67935414881674</v>
      </c>
      <c r="AN69" s="214">
        <f>IF(AND(($E69+$C$1)&gt;AN$4,AN$4&gt;=$C$1),'General Inputs'!K$9*$H69,IF(AND(($D69+$C$1)&gt;AN$4,AN$4&gt;=$C$1),'General Inputs'!K$9*$G69,0))+IF(AND(($E69+$C$1)&gt;AN$4,AN$4&gt;=$C$1),'General Inputs'!K$10*$J69,IF(AND(($D69+$C$1)&gt;AN$4,AN$4&gt;=$C$1),'General Inputs'!K$10*$I69,0))</f>
        <v>137.71454446104897</v>
      </c>
      <c r="AO69" s="214">
        <f>IF(AND(($E69+$C$1)&gt;AO$4,AO$4&gt;=$C$1),'General Inputs'!L$9*$H69,IF(AND(($D69+$C$1)&gt;AO$4,AO$4&gt;=$C$1),'General Inputs'!L$9*$G69,0))+IF(AND(($E69+$C$1)&gt;AO$4,AO$4&gt;=$C$1),'General Inputs'!L$10*$J69,IF(AND(($D69+$C$1)&gt;AO$4,AO$4&gt;=$C$1),'General Inputs'!L$10*$I69,0))</f>
        <v>139.7802626279647</v>
      </c>
      <c r="AP69" s="214">
        <f>IF(AND(($E69+$C$1)&gt;AP$4,AP$4&gt;=$C$1),'General Inputs'!M$9*$H69,IF(AND(($D69+$C$1)&gt;AP$4,AP$4&gt;=$C$1),'General Inputs'!M$9*$G69,0))+IF(AND(($E69+$C$1)&gt;AP$4,AP$4&gt;=$C$1),'General Inputs'!M$10*$J69,IF(AND(($D69+$C$1)&gt;AP$4,AP$4&gt;=$C$1),'General Inputs'!M$10*$I69,0))</f>
        <v>141.87696656738413</v>
      </c>
      <c r="AQ69" s="214">
        <f>IF(AND(($E69+$C$1)&gt;AQ$4,AQ$4&gt;=$C$1),'General Inputs'!N$9*$H69,IF(AND(($D69+$C$1)&gt;AQ$4,AQ$4&gt;=$C$1),'General Inputs'!N$9*$G69,0))+IF(AND(($E69+$C$1)&gt;AQ$4,AQ$4&gt;=$C$1),'General Inputs'!N$10*$J69,IF(AND(($D69+$C$1)&gt;AQ$4,AQ$4&gt;=$C$1),'General Inputs'!N$10*$I69,0))</f>
        <v>144.00512106589491</v>
      </c>
      <c r="AR69" s="214">
        <f>IF(AND(($E69+$C$1)&gt;AR$4,AR$4&gt;=$C$1),'General Inputs'!O$9*$H69,IF(AND(($D69+$C$1)&gt;AR$4,AR$4&gt;=$C$1),'General Inputs'!O$9*$G69,0))+IF(AND(($E69+$C$1)&gt;AR$4,AR$4&gt;=$C$1),'General Inputs'!O$10*$J69,IF(AND(($D69+$C$1)&gt;AR$4,AR$4&gt;=$C$1),'General Inputs'!O$10*$I69,0))</f>
        <v>146.1651978818833</v>
      </c>
      <c r="AS69" s="214">
        <f>IF(AND(($E69+$C$1)&gt;AS$4,AS$4&gt;=$C$1),'General Inputs'!P$9*$H69,IF(AND(($D69+$C$1)&gt;AS$4,AS$4&gt;=$C$1),'General Inputs'!P$9*$G69,0))+IF(AND(($E69+$C$1)&gt;AS$4,AS$4&gt;=$C$1),'General Inputs'!P$10*$J69,IF(AND(($D69+$C$1)&gt;AS$4,AS$4&gt;=$C$1),'General Inputs'!P$10*$I69,0))</f>
        <v>148.35767585011155</v>
      </c>
      <c r="AT69" s="214">
        <f>IF(AND(($E69+$C$1)&gt;AT$4,AT$4&gt;=$C$1),'General Inputs'!Q$9*$H69,IF(AND(($D69+$C$1)&gt;AT$4,AT$4&gt;=$C$1),'General Inputs'!Q$9*$G69,0))+IF(AND(($E69+$C$1)&gt;AT$4,AT$4&gt;=$C$1),'General Inputs'!Q$10*$J69,IF(AND(($D69+$C$1)&gt;AT$4,AT$4&gt;=$C$1),'General Inputs'!Q$10*$I69,0))</f>
        <v>150.5830409878632</v>
      </c>
      <c r="AU69" s="214">
        <f>IF(AND(($E69+$C$1)&gt;AU$4,AU$4&gt;=$C$1),'General Inputs'!R$9*$H69,IF(AND(($D69+$C$1)&gt;AU$4,AU$4&gt;=$C$1),'General Inputs'!R$9*$G69,0))+IF(AND(($E69+$C$1)&gt;AU$4,AU$4&gt;=$C$1),'General Inputs'!R$10*$J69,IF(AND(($D69+$C$1)&gt;AU$4,AU$4&gt;=$C$1),'General Inputs'!R$10*$I69,0))</f>
        <v>152.84178660268114</v>
      </c>
      <c r="AV69" s="214">
        <f>IF(AND(($E69+$C$1)&gt;AV$4,AV$4&gt;=$C$1),'General Inputs'!S$9*$H69,IF(AND(($D69+$C$1)&gt;AV$4,AV$4&gt;=$C$1),'General Inputs'!S$9*$G69,0))+IF(AND(($E69+$C$1)&gt;AV$4,AV$4&gt;=$C$1),'General Inputs'!S$10*$J69,IF(AND(($D69+$C$1)&gt;AV$4,AV$4&gt;=$C$1),'General Inputs'!S$10*$I69,0))</f>
        <v>155.13441340172136</v>
      </c>
      <c r="AW69" s="214">
        <f>IF(AND(($E69+$C$1)&gt;AW$4,AW$4&gt;=$C$1),'General Inputs'!T$9*$H69,IF(AND(($D69+$C$1)&gt;AW$4,AW$4&gt;=$C$1),'General Inputs'!T$9*$G69,0))+IF(AND(($E69+$C$1)&gt;AW$4,AW$4&gt;=$C$1),'General Inputs'!T$10*$J69,IF(AND(($D69+$C$1)&gt;AW$4,AW$4&gt;=$C$1),'General Inputs'!T$10*$I69,0))</f>
        <v>157.46142960274716</v>
      </c>
      <c r="AX69" s="214">
        <f>IF(AND(($E69+$C$1)&gt;AX$4,AX$4&gt;=$C$1),'General Inputs'!U$9*$H69,IF(AND(($D69+$C$1)&gt;AX$4,AX$4&gt;=$C$1),'General Inputs'!U$9*$G69,0))+IF(AND(($E69+$C$1)&gt;AX$4,AX$4&gt;=$C$1),'General Inputs'!U$10*$J69,IF(AND(($D69+$C$1)&gt;AX$4,AX$4&gt;=$C$1),'General Inputs'!U$10*$I69,0))</f>
        <v>159.82335104678836</v>
      </c>
      <c r="AY69" s="214">
        <f>IF(AND(($E69+$C$1)&gt;AY$4,AY$4&gt;=$C$1),'General Inputs'!V$9*$H69,IF(AND(($D69+$C$1)&gt;AY$4,AY$4&gt;=$C$1),'General Inputs'!V$9*$G69,0))+IF(AND(($E69+$C$1)&gt;AY$4,AY$4&gt;=$C$1),'General Inputs'!V$10*$J69,IF(AND(($D69+$C$1)&gt;AY$4,AY$4&gt;=$C$1),'General Inputs'!V$10*$I69,0))</f>
        <v>162.22070131249018</v>
      </c>
      <c r="AZ69" s="214">
        <f>IF(AND(($E69+$C$1)&gt;AZ$4,AZ$4&gt;=$C$1),'General Inputs'!W$9*$H69,IF(AND(($D69+$C$1)&gt;AZ$4,AZ$4&gt;=$C$1),'General Inputs'!W$9*$G69,0))+IF(AND(($E69+$C$1)&gt;AZ$4,AZ$4&gt;=$C$1),'General Inputs'!W$10*$J69,IF(AND(($D69+$C$1)&gt;AZ$4,AZ$4&gt;=$C$1),'General Inputs'!W$10*$I69,0))</f>
        <v>164.65401183217753</v>
      </c>
      <c r="BB69" s="214">
        <f>IF(AND(($E69+$C$1)&gt;BB$4,BB$4&gt;=$C$1),'General Inputs'!D$11*$H69,IF(AND(($D69+$C$1)&gt;BB$4,BB$4&gt;=$C$1),'General Inputs'!D$11*$G69,0))</f>
        <v>0</v>
      </c>
      <c r="BC69" s="214">
        <f>IF(AND(($E69+$C$1)&gt;BC$4,BC$4&gt;=$C$1),'General Inputs'!E$11*$H69,IF(AND(($D69+$C$1)&gt;BC$4,BC$4&gt;=$C$1),'General Inputs'!E$11*$G69,0))</f>
        <v>0</v>
      </c>
      <c r="BD69" s="214">
        <f>IF(AND(($E69+$C$1)&gt;BD$4,BD$4&gt;=$C$1),'General Inputs'!F$11*$H69,IF(AND(($D69+$C$1)&gt;BD$4,BD$4&gt;=$C$1),'General Inputs'!F$11*$G69,0))</f>
        <v>33.577986516750002</v>
      </c>
      <c r="BE69" s="214">
        <f>IF(AND(($E69+$C$1)&gt;BE$4,BE$4&gt;=$C$1),'General Inputs'!G$11*$H69,IF(AND(($D69+$C$1)&gt;BE$4,BE$4&gt;=$C$1),'General Inputs'!G$11*$G69,0))</f>
        <v>33.577986516750002</v>
      </c>
      <c r="BF69" s="214">
        <f>IF(AND(($E69+$C$1)&gt;BF$4,BF$4&gt;=$C$1),'General Inputs'!H$11*$H69,IF(AND(($D69+$C$1)&gt;BF$4,BF$4&gt;=$C$1),'General Inputs'!H$11*$G69,0))</f>
        <v>33.577986516750002</v>
      </c>
      <c r="BG69" s="214">
        <f>IF(AND(($E69+$C$1)&gt;BG$4,BG$4&gt;=$C$1),'General Inputs'!I$11*$H69,IF(AND(($D69+$C$1)&gt;BG$4,BG$4&gt;=$C$1),'General Inputs'!I$11*$G69,0))</f>
        <v>33.577986516750002</v>
      </c>
      <c r="BH69" s="214">
        <f>IF(AND(($E69+$C$1)&gt;BH$4,BH$4&gt;=$C$1),'General Inputs'!J$11*$H69,IF(AND(($D69+$C$1)&gt;BH$4,BH$4&gt;=$C$1),'General Inputs'!J$11*$G69,0))</f>
        <v>33.577986516750002</v>
      </c>
      <c r="BI69" s="214">
        <f>IF(AND(($E69+$C$1)&gt;BI$4,BI$4&gt;=$C$1),'General Inputs'!K$11*$H69,IF(AND(($D69+$C$1)&gt;BI$4,BI$4&gt;=$C$1),'General Inputs'!K$11*$G69,0))</f>
        <v>33.577986516750002</v>
      </c>
      <c r="BJ69" s="214">
        <f>IF(AND(($E69+$C$1)&gt;BJ$4,BJ$4&gt;=$C$1),'General Inputs'!L$11*$H69,IF(AND(($D69+$C$1)&gt;BJ$4,BJ$4&gt;=$C$1),'General Inputs'!L$11*$G69,0))</f>
        <v>33.577986516750002</v>
      </c>
      <c r="BK69" s="214">
        <f>IF(AND(($E69+$C$1)&gt;BK$4,BK$4&gt;=$C$1),'General Inputs'!M$11*$H69,IF(AND(($D69+$C$1)&gt;BK$4,BK$4&gt;=$C$1),'General Inputs'!M$11*$G69,0))</f>
        <v>33.577986516750002</v>
      </c>
      <c r="BL69" s="214">
        <f>IF(AND(($E69+$C$1)&gt;BL$4,BL$4&gt;=$C$1),'General Inputs'!N$11*$H69,IF(AND(($D69+$C$1)&gt;BL$4,BL$4&gt;=$C$1),'General Inputs'!N$11*$G69,0))</f>
        <v>33.577986516750002</v>
      </c>
      <c r="BM69" s="214">
        <f>IF(AND(($E69+$C$1)&gt;BM$4,BM$4&gt;=$C$1),'General Inputs'!O$11*$H69,IF(AND(($D69+$C$1)&gt;BM$4,BM$4&gt;=$C$1),'General Inputs'!O$11*$G69,0))</f>
        <v>33.577986516750002</v>
      </c>
      <c r="BN69" s="214">
        <f>IF(AND(($E69+$C$1)&gt;BN$4,BN$4&gt;=$C$1),'General Inputs'!P$11*$H69,IF(AND(($D69+$C$1)&gt;BN$4,BN$4&gt;=$C$1),'General Inputs'!P$11*$G69,0))</f>
        <v>33.577986516750002</v>
      </c>
      <c r="BO69" s="214">
        <f>IF(AND(($E69+$C$1)&gt;BO$4,BO$4&gt;=$C$1),'General Inputs'!Q$11*$H69,IF(AND(($D69+$C$1)&gt;BO$4,BO$4&gt;=$C$1),'General Inputs'!Q$11*$G69,0))</f>
        <v>33.577986516750002</v>
      </c>
      <c r="BP69" s="214">
        <f>IF(AND(($E69+$C$1)&gt;BP$4,BP$4&gt;=$C$1),'General Inputs'!R$11*$H69,IF(AND(($D69+$C$1)&gt;BP$4,BP$4&gt;=$C$1),'General Inputs'!R$11*$G69,0))</f>
        <v>33.577986516750002</v>
      </c>
      <c r="BQ69" s="214">
        <f>IF(AND(($E69+$C$1)&gt;BQ$4,BQ$4&gt;=$C$1),'General Inputs'!S$11*$H69,IF(AND(($D69+$C$1)&gt;BQ$4,BQ$4&gt;=$C$1),'General Inputs'!S$11*$G69,0))</f>
        <v>33.577986516750002</v>
      </c>
      <c r="BR69" s="214">
        <f>IF(AND(($E69+$C$1)&gt;BR$4,BR$4&gt;=$C$1),'General Inputs'!T$11*$H69,IF(AND(($D69+$C$1)&gt;BR$4,BR$4&gt;=$C$1),'General Inputs'!T$11*$G69,0))</f>
        <v>33.577986516750002</v>
      </c>
      <c r="BS69" s="214">
        <f>IF(AND(($E69+$C$1)&gt;BS$4,BS$4&gt;=$C$1),'General Inputs'!U$11*$H69,IF(AND(($D69+$C$1)&gt;BS$4,BS$4&gt;=$C$1),'General Inputs'!U$11*$G69,0))</f>
        <v>33.577986516750002</v>
      </c>
      <c r="BT69" s="214">
        <f>IF(AND(($E69+$C$1)&gt;BT$4,BT$4&gt;=$C$1),'General Inputs'!V$11*$H69,IF(AND(($D69+$C$1)&gt;BT$4,BT$4&gt;=$C$1),'General Inputs'!V$11*$G69,0))</f>
        <v>33.577986516750002</v>
      </c>
      <c r="BU69" s="214">
        <f>IF(AND(($E69+$C$1)&gt;BU$4,BU$4&gt;=$C$1),'General Inputs'!W$11*$H69,IF(AND(($D69+$C$1)&gt;BU$4,BU$4&gt;=$C$1),'General Inputs'!W$11*$G69,0))</f>
        <v>33.577986516750002</v>
      </c>
      <c r="BW69" s="214">
        <f>IF(AND(($E69+$C$1)&gt;BW$4,BW$4&gt;=$C$1),$H69,IF(AND(($D69+$C$1)&gt;BW$4,BW$4&gt;=$C$1),$G69,0))*IF($A69="Residential",'General Inputs'!D$14,'General Inputs'!D$19)</f>
        <v>0</v>
      </c>
      <c r="BX69" s="214">
        <f>IF(AND(($E69+$C$1)&gt;BX$4,BX$4&gt;=$C$1),$H69,IF(AND(($D69+$C$1)&gt;BX$4,BX$4&gt;=$C$1),$G69,0))*IF($A69="Residential",'General Inputs'!E$14,'General Inputs'!E$19)</f>
        <v>0</v>
      </c>
      <c r="BY69" s="214">
        <f>IF(AND(($E69+$C$1)&gt;BY$4,BY$4&gt;=$C$1),$H69,IF(AND(($D69+$C$1)&gt;BY$4,BY$4&gt;=$C$1),$G69,0))*IF($A69="Residential",'General Inputs'!F$14,'General Inputs'!F$19)</f>
        <v>317.00081488100636</v>
      </c>
      <c r="BZ69" s="214">
        <f>IF(AND(($E69+$C$1)&gt;BZ$4,BZ$4&gt;=$C$1),$H69,IF(AND(($D69+$C$1)&gt;BZ$4,BZ$4&gt;=$C$1),$G69,0))*IF($A69="Residential",'General Inputs'!G$14,'General Inputs'!G$19)</f>
        <v>321.7558271042214</v>
      </c>
      <c r="CA69" s="214">
        <f>IF(AND(($E69+$C$1)&gt;CA$4,CA$4&gt;=$C$1),$H69,IF(AND(($D69+$C$1)&gt;CA$4,CA$4&gt;=$C$1),$G69,0))*IF($A69="Residential",'General Inputs'!H$14,'General Inputs'!H$19)</f>
        <v>326.58216451078465</v>
      </c>
      <c r="CB69" s="214">
        <f>IF(AND(($E69+$C$1)&gt;CB$4,CB$4&gt;=$C$1),$H69,IF(AND(($D69+$C$1)&gt;CB$4,CB$4&gt;=$C$1),$G69,0))*IF($A69="Residential",'General Inputs'!I$14,'General Inputs'!I$19)</f>
        <v>331.48089697844637</v>
      </c>
      <c r="CC69" s="214">
        <f>IF(AND(($E69+$C$1)&gt;CC$4,CC$4&gt;=$C$1),$H69,IF(AND(($D69+$C$1)&gt;CC$4,CC$4&gt;=$C$1),$G69,0))*IF($A69="Residential",'General Inputs'!J$14,'General Inputs'!J$19)</f>
        <v>336.45311043312307</v>
      </c>
      <c r="CD69" s="214">
        <f>IF(AND(($E69+$C$1)&gt;CD$4,CD$4&gt;=$C$1),$H69,IF(AND(($D69+$C$1)&gt;CD$4,CD$4&gt;=$C$1),$G69,0))*IF($A69="Residential",'General Inputs'!K$14,'General Inputs'!K$19)</f>
        <v>341.49990708961985</v>
      </c>
      <c r="CE69" s="214">
        <f>IF(AND(($E69+$C$1)&gt;CE$4,CE$4&gt;=$C$1),$H69,IF(AND(($D69+$C$1)&gt;CE$4,CE$4&gt;=$C$1),$G69,0))*IF($A69="Residential",'General Inputs'!L$14,'General Inputs'!L$19)</f>
        <v>346.62240569596412</v>
      </c>
      <c r="CF69" s="214">
        <f>IF(AND(($E69+$C$1)&gt;CF$4,CF$4&gt;=$C$1),$H69,IF(AND(($D69+$C$1)&gt;CF$4,CF$4&gt;=$C$1),$G69,0))*IF($A69="Residential",'General Inputs'!M$14,'General Inputs'!M$19)</f>
        <v>351.82174178140355</v>
      </c>
      <c r="CG69" s="214">
        <f>IF(AND(($E69+$C$1)&gt;CG$4,CG$4&gt;=$C$1),$H69,IF(AND(($D69+$C$1)&gt;CG$4,CG$4&gt;=$C$1),$G69,0))*IF($A69="Residential",'General Inputs'!N$14,'General Inputs'!N$19)</f>
        <v>357.0990679081246</v>
      </c>
      <c r="CH69" s="214">
        <f>IF(AND(($E69+$C$1)&gt;CH$4,CH$4&gt;=$C$1),$H69,IF(AND(($D69+$C$1)&gt;CH$4,CH$4&gt;=$C$1),$G69,0))*IF($A69="Residential",'General Inputs'!O$14,'General Inputs'!O$19)</f>
        <v>362.4555539267464</v>
      </c>
      <c r="CI69" s="214">
        <f>IF(AND(($E69+$C$1)&gt;CI$4,CI$4&gt;=$C$1),$H69,IF(AND(($D69+$C$1)&gt;CI$4,CI$4&gt;=$C$1),$G69,0))*IF($A69="Residential",'General Inputs'!P$14,'General Inputs'!P$19)</f>
        <v>367.89238723564762</v>
      </c>
      <c r="CJ69" s="214">
        <f>IF(AND(($E69+$C$1)&gt;CJ$4,CJ$4&gt;=$C$1),$H69,IF(AND(($D69+$C$1)&gt;CJ$4,CJ$4&gt;=$C$1),$G69,0))*IF($A69="Residential",'General Inputs'!Q$14,'General Inputs'!Q$19)</f>
        <v>373.41077304418229</v>
      </c>
      <c r="CK69" s="214">
        <f>IF(AND(($E69+$C$1)&gt;CK$4,CK$4&gt;=$C$1),$H69,IF(AND(($D69+$C$1)&gt;CK$4,CK$4&gt;=$C$1),$G69,0))*IF($A69="Residential",'General Inputs'!R$14,'General Inputs'!R$19)</f>
        <v>379.01193463984492</v>
      </c>
      <c r="CL69" s="214">
        <f>IF(AND(($E69+$C$1)&gt;CL$4,CL$4&gt;=$C$1),$H69,IF(AND(($D69+$C$1)&gt;CL$4,CL$4&gt;=$C$1),$G69,0))*IF($A69="Residential",'General Inputs'!S$14,'General Inputs'!S$19)</f>
        <v>384.69711365944261</v>
      </c>
      <c r="CM69" s="214">
        <f>IF(AND(($E69+$C$1)&gt;CM$4,CM$4&gt;=$C$1),$H69,IF(AND(($D69+$C$1)&gt;CM$4,CM$4&gt;=$C$1),$G69,0))*IF($A69="Residential",'General Inputs'!T$14,'General Inputs'!T$19)</f>
        <v>390.46757036433422</v>
      </c>
      <c r="CN69" s="214">
        <f>IF(AND(($E69+$C$1)&gt;CN$4,CN$4&gt;=$C$1),$H69,IF(AND(($D69+$C$1)&gt;CN$4,CN$4&gt;=$C$1),$G69,0))*IF($A69="Residential",'General Inputs'!U$14,'General Inputs'!U$19)</f>
        <v>396.32458391979918</v>
      </c>
      <c r="CO69" s="214">
        <f>IF(AND(($E69+$C$1)&gt;CO$4,CO$4&gt;=$C$1),$H69,IF(AND(($D69+$C$1)&gt;CO$4,CO$4&gt;=$C$1),$G69,0))*IF($A69="Residential",'General Inputs'!V$14,'General Inputs'!V$19)</f>
        <v>402.26945267859611</v>
      </c>
      <c r="CP69" s="214">
        <f>IF(AND(($E69+$C$1)&gt;CP$4,CP$4&gt;=$C$1),$H69,IF(AND(($D69+$C$1)&gt;CP$4,CP$4&gt;=$C$1),$G69,0))*IF($A69="Residential",'General Inputs'!W$14,'General Inputs'!W$19)</f>
        <v>408.30349446877506</v>
      </c>
      <c r="CR69" s="214">
        <f>IF(AND(($E69+$C$1)&gt;CR$4,CR$4&gt;=$C$1),$H69,IF(AND(($D69+$C$1)&gt;CR$4,CR$4&gt;=$C$1),$G69,0))*IF($A69="Residential",'General Inputs'!D$15,'General Inputs'!D$19)</f>
        <v>0</v>
      </c>
      <c r="CS69" s="214">
        <f>IF(AND(($E69+$C$1)&gt;CS$4,CS$4&gt;=$C$1),$H69,IF(AND(($D69+$C$1)&gt;CS$4,CS$4&gt;=$C$1),$G69,0))*IF($A69="Residential",'General Inputs'!E$15,'General Inputs'!E$19)</f>
        <v>0</v>
      </c>
      <c r="CT69" s="214">
        <f>IF(AND(($E69+$C$1)&gt;CT$4,CT$4&gt;=$C$1),$H69,IF(AND(($D69+$C$1)&gt;CT$4,CT$4&gt;=$C$1),$G69,0))*IF($A69="Residential",'General Inputs'!F$15,'General Inputs'!F$19)</f>
        <v>317.00081488100636</v>
      </c>
      <c r="CU69" s="214">
        <f>IF(AND(($E69+$C$1)&gt;CU$4,CU$4&gt;=$C$1),$H69,IF(AND(($D69+$C$1)&gt;CU$4,CU$4&gt;=$C$1),$G69,0))*IF($A69="Residential",'General Inputs'!G$15,'General Inputs'!G$19)</f>
        <v>321.7558271042214</v>
      </c>
      <c r="CV69" s="214">
        <f>IF(AND(($E69+$C$1)&gt;CV$4,CV$4&gt;=$C$1),$H69,IF(AND(($D69+$C$1)&gt;CV$4,CV$4&gt;=$C$1),$G69,0))*IF($A69="Residential",'General Inputs'!H$15,'General Inputs'!H$19)</f>
        <v>326.58216451078465</v>
      </c>
      <c r="CW69" s="214">
        <f>IF(AND(($E69+$C$1)&gt;CW$4,CW$4&gt;=$C$1),$H69,IF(AND(($D69+$C$1)&gt;CW$4,CW$4&gt;=$C$1),$G69,0))*IF($A69="Residential",'General Inputs'!I$15,'General Inputs'!I$19)</f>
        <v>331.48089697844637</v>
      </c>
      <c r="CX69" s="214">
        <f>IF(AND(($E69+$C$1)&gt;CX$4,CX$4&gt;=$C$1),$H69,IF(AND(($D69+$C$1)&gt;CX$4,CX$4&gt;=$C$1),$G69,0))*IF($A69="Residential",'General Inputs'!J$15,'General Inputs'!J$19)</f>
        <v>336.45311043312307</v>
      </c>
      <c r="CY69" s="214">
        <f>IF(AND(($E69+$C$1)&gt;CY$4,CY$4&gt;=$C$1),$H69,IF(AND(($D69+$C$1)&gt;CY$4,CY$4&gt;=$C$1),$G69,0))*IF($A69="Residential",'General Inputs'!K$15,'General Inputs'!K$19)</f>
        <v>341.49990708961985</v>
      </c>
      <c r="CZ69" s="214">
        <f>IF(AND(($E69+$C$1)&gt;CZ$4,CZ$4&gt;=$C$1),$H69,IF(AND(($D69+$C$1)&gt;CZ$4,CZ$4&gt;=$C$1),$G69,0))*IF($A69="Residential",'General Inputs'!L$15,'General Inputs'!L$19)</f>
        <v>346.62240569596412</v>
      </c>
      <c r="DA69" s="214">
        <f>IF(AND(($E69+$C$1)&gt;DA$4,DA$4&gt;=$C$1),$H69,IF(AND(($D69+$C$1)&gt;DA$4,DA$4&gt;=$C$1),$G69,0))*IF($A69="Residential",'General Inputs'!M$15,'General Inputs'!M$19)</f>
        <v>351.82174178140355</v>
      </c>
      <c r="DB69" s="214">
        <f>IF(AND(($E69+$C$1)&gt;DB$4,DB$4&gt;=$C$1),$H69,IF(AND(($D69+$C$1)&gt;DB$4,DB$4&gt;=$C$1),$G69,0))*IF($A69="Residential",'General Inputs'!N$15,'General Inputs'!N$19)</f>
        <v>357.0990679081246</v>
      </c>
      <c r="DC69" s="214">
        <f>IF(AND(($E69+$C$1)&gt;DC$4,DC$4&gt;=$C$1),$H69,IF(AND(($D69+$C$1)&gt;DC$4,DC$4&gt;=$C$1),$G69,0))*IF($A69="Residential",'General Inputs'!O$15,'General Inputs'!O$19)</f>
        <v>362.4555539267464</v>
      </c>
      <c r="DD69" s="214">
        <f>IF(AND(($E69+$C$1)&gt;DD$4,DD$4&gt;=$C$1),$H69,IF(AND(($D69+$C$1)&gt;DD$4,DD$4&gt;=$C$1),$G69,0))*IF($A69="Residential",'General Inputs'!P$15,'General Inputs'!P$19)</f>
        <v>367.89238723564762</v>
      </c>
      <c r="DE69" s="214">
        <f>IF(AND(($E69+$C$1)&gt;DE$4,DE$4&gt;=$C$1),$H69,IF(AND(($D69+$C$1)&gt;DE$4,DE$4&gt;=$C$1),$G69,0))*IF($A69="Residential",'General Inputs'!Q$15,'General Inputs'!Q$19)</f>
        <v>373.41077304418229</v>
      </c>
      <c r="DF69" s="214">
        <f>IF(AND(($E69+$C$1)&gt;DF$4,DF$4&gt;=$C$1),$H69,IF(AND(($D69+$C$1)&gt;DF$4,DF$4&gt;=$C$1),$G69,0))*IF($A69="Residential",'General Inputs'!R$15,'General Inputs'!R$19)</f>
        <v>379.01193463984492</v>
      </c>
      <c r="DG69" s="214">
        <f>IF(AND(($E69+$C$1)&gt;DG$4,DG$4&gt;=$C$1),$H69,IF(AND(($D69+$C$1)&gt;DG$4,DG$4&gt;=$C$1),$G69,0))*IF($A69="Residential",'General Inputs'!S$15,'General Inputs'!S$19)</f>
        <v>384.69711365944261</v>
      </c>
      <c r="DH69" s="214">
        <f>IF(AND(($E69+$C$1)&gt;DH$4,DH$4&gt;=$C$1),$H69,IF(AND(($D69+$C$1)&gt;DH$4,DH$4&gt;=$C$1),$G69,0))*IF($A69="Residential",'General Inputs'!T$15,'General Inputs'!T$19)</f>
        <v>390.46757036433422</v>
      </c>
      <c r="DI69" s="214">
        <f>IF(AND(($E69+$C$1)&gt;DI$4,DI$4&gt;=$C$1),$H69,IF(AND(($D69+$C$1)&gt;DI$4,DI$4&gt;=$C$1),$G69,0))*IF($A69="Residential",'General Inputs'!U$15,'General Inputs'!U$19)</f>
        <v>396.32458391979918</v>
      </c>
      <c r="DJ69" s="214">
        <f>IF(AND(($E69+$C$1)&gt;DJ$4,DJ$4&gt;=$C$1),$H69,IF(AND(($D69+$C$1)&gt;DJ$4,DJ$4&gt;=$C$1),$G69,0))*IF($A69="Residential",'General Inputs'!V$15,'General Inputs'!V$19)</f>
        <v>402.26945267859611</v>
      </c>
      <c r="DK69" s="214">
        <f>IF(AND(($E69+$C$1)&gt;DK$4,DK$4&gt;=$C$1),$H69,IF(AND(($D69+$C$1)&gt;DK$4,DK$4&gt;=$C$1),$G69,0))*IF($A69="Residential",'General Inputs'!W$15,'General Inputs'!W$19)</f>
        <v>408.30349446877506</v>
      </c>
      <c r="DM69" s="214">
        <f t="shared" si="100"/>
        <v>0</v>
      </c>
      <c r="DN69" s="214">
        <f t="shared" si="100"/>
        <v>0</v>
      </c>
      <c r="DO69" s="214">
        <f t="shared" si="100"/>
        <v>483</v>
      </c>
      <c r="DP69" s="214">
        <f t="shared" si="100"/>
        <v>0</v>
      </c>
      <c r="DQ69" s="214">
        <f t="shared" si="100"/>
        <v>0</v>
      </c>
      <c r="DR69" s="214">
        <f t="shared" si="100"/>
        <v>0</v>
      </c>
      <c r="DS69" s="214">
        <f t="shared" si="100"/>
        <v>0</v>
      </c>
      <c r="DT69" s="214">
        <f t="shared" si="100"/>
        <v>0</v>
      </c>
      <c r="DU69" s="214">
        <f t="shared" si="100"/>
        <v>0</v>
      </c>
      <c r="DV69" s="214">
        <f t="shared" si="100"/>
        <v>0</v>
      </c>
      <c r="DW69" s="214">
        <f t="shared" si="100"/>
        <v>0</v>
      </c>
      <c r="DZ69" s="650"/>
      <c r="FI69" s="195"/>
      <c r="FJ69" s="195"/>
      <c r="FK69" s="195"/>
      <c r="FL69" s="195"/>
      <c r="FM69" s="195"/>
      <c r="FN69" s="195"/>
      <c r="FO69" s="195"/>
    </row>
    <row r="70" spans="1:171">
      <c r="A70" s="342" t="s">
        <v>112</v>
      </c>
      <c r="B70" s="427" t="str">
        <f>'Portfolio Inputs'!A69</f>
        <v>Pulse Start Metal Halide (175 &lt; 320 W)</v>
      </c>
      <c r="C70" s="217">
        <f>IF($C$1=2014,'Portfolio Inputs'!$C69,IF($C$1=2015,'Portfolio Inputs'!$D69,'Portfolio Inputs'!$E69))</f>
        <v>3</v>
      </c>
      <c r="D70" s="504">
        <f>VLOOKUP(B70,Sources!$B$4:$J$104,2,FALSE)</f>
        <v>18</v>
      </c>
      <c r="E70" s="504">
        <f>VLOOKUP(B70,Sources!$B$4:$J$104,3,FALSE)</f>
        <v>0</v>
      </c>
      <c r="G70" s="504">
        <f>IF($C$1=2014,'Portfolio Inputs'!$G69,IF($C$1=2015,'Portfolio Inputs'!$H69,'Portfolio Inputs'!$I69))*EnergyLineLoss</f>
        <v>2056.5776025</v>
      </c>
      <c r="H70" s="504"/>
      <c r="I70" s="595">
        <f>IF($C$1=2014,'Portfolio Inputs'!$K69,IF($C$1=2015,'Portfolio Inputs'!$L69,'Portfolio Inputs'!$M69))*PeakLineLoss</f>
        <v>0.31800740400000005</v>
      </c>
      <c r="J70" s="510"/>
      <c r="L70" s="606">
        <f>IF($C$1=2014,'Portfolio Inputs'!$O69,IF($C$1=2015,'Portfolio Inputs'!$P69,'Portfolio Inputs'!$Q69))</f>
        <v>185</v>
      </c>
      <c r="M70" s="518">
        <f>VLOOKUP($B70,Sources!$B$4:$K$104,10,FALSE)</f>
        <v>0</v>
      </c>
      <c r="N70" s="419">
        <f>IF($C$1=2014,'Portfolio Inputs'!$W69,IF($C$1=2015,'Portfolio Inputs'!$X69,'Portfolio Inputs'!$Y69))</f>
        <v>120</v>
      </c>
      <c r="O70" s="419">
        <f>IF($C$1=2014,'Portfolio Inputs'!$AA69,IF($C$1=2015,'Portfolio Inputs'!$AB69,'Portfolio Inputs'!$AC69))</f>
        <v>0</v>
      </c>
      <c r="Q70" s="438">
        <f t="shared" si="67"/>
        <v>1.7061182636437282</v>
      </c>
      <c r="R70" s="439">
        <f t="shared" si="68"/>
        <v>7.890796969352242</v>
      </c>
      <c r="S70" s="439">
        <f t="shared" si="69"/>
        <v>2.1130120377946939</v>
      </c>
      <c r="T70" s="439">
        <f t="shared" si="70"/>
        <v>4.4469910468516973</v>
      </c>
      <c r="U70" s="439">
        <f t="shared" si="98"/>
        <v>4.4469910468516973</v>
      </c>
      <c r="V70" s="439">
        <f t="shared" si="72"/>
        <v>0.38365677953221788</v>
      </c>
      <c r="W70" s="439">
        <f t="shared" si="73"/>
        <v>0.38365677953221788</v>
      </c>
      <c r="Y70" s="215">
        <f t="shared" si="101"/>
        <v>799.3280416224743</v>
      </c>
      <c r="Z70" s="215">
        <f t="shared" si="102"/>
        <v>190.63250805712374</v>
      </c>
      <c r="AA70" s="215">
        <f t="shared" si="103"/>
        <v>1982.1468604967099</v>
      </c>
      <c r="AB70" s="215">
        <f t="shared" si="104"/>
        <v>1982.1468604967099</v>
      </c>
      <c r="AC70" s="216">
        <f t="shared" si="20"/>
        <v>0</v>
      </c>
      <c r="AD70" s="216">
        <f t="shared" si="21"/>
        <v>101.29877181317103</v>
      </c>
      <c r="AE70" s="215">
        <f t="shared" si="105"/>
        <v>468.50681963591597</v>
      </c>
      <c r="AG70" s="214">
        <f>IF(AND(($E70+$C$1)&gt;AG$4,AG$4&gt;=$C$1),'General Inputs'!D$9*$H70,IF(AND(($D70+$C$1)&gt;AG$4,AG$4&gt;=$C$1),'General Inputs'!D$9*$G70,0))+IF(AND(($E70+$C$1)&gt;AG$4,AG$4&gt;=$C$1),'General Inputs'!D$10*$J70,IF(AND(($D70+$C$1)&gt;AG$4,AG$4&gt;=$C$1),'General Inputs'!D$10*$I70,0))</f>
        <v>0</v>
      </c>
      <c r="AH70" s="214">
        <f>IF(AND(($E70+$C$1)&gt;AH$4,AH$4&gt;=$C$1),'General Inputs'!E$9*$H70,IF(AND(($D70+$C$1)&gt;AH$4,AH$4&gt;=$C$1),'General Inputs'!E$9*$G70,0))+IF(AND(($E70+$C$1)&gt;AH$4,AH$4&gt;=$C$1),'General Inputs'!E$10*$J70,IF(AND(($D70+$C$1)&gt;AH$4,AH$4&gt;=$C$1),'General Inputs'!E$10*$I70,0))</f>
        <v>0</v>
      </c>
      <c r="AI70" s="214">
        <f>IF(AND(($E70+$C$1)&gt;AI$4,AI$4&gt;=$C$1),'General Inputs'!F$9*$H70,IF(AND(($D70+$C$1)&gt;AI$4,AI$4&gt;=$C$1),'General Inputs'!F$9*$G70,0))+IF(AND(($E70+$C$1)&gt;AI$4,AI$4&gt;=$C$1),'General Inputs'!F$10*$J70,IF(AND(($D70+$C$1)&gt;AI$4,AI$4&gt;=$C$1),'General Inputs'!F$10*$I70,0))</f>
        <v>89.257537555214981</v>
      </c>
      <c r="AJ70" s="214">
        <f>IF(AND(($E70+$C$1)&gt;AJ$4,AJ$4&gt;=$C$1),'General Inputs'!G$9*$H70,IF(AND(($D70+$C$1)&gt;AJ$4,AJ$4&gt;=$C$1),'General Inputs'!G$9*$G70,0))+IF(AND(($E70+$C$1)&gt;AJ$4,AJ$4&gt;=$C$1),'General Inputs'!G$10*$J70,IF(AND(($D70+$C$1)&gt;AJ$4,AJ$4&gt;=$C$1),'General Inputs'!G$10*$I70,0))</f>
        <v>90.5964006185432</v>
      </c>
      <c r="AK70" s="214">
        <f>IF(AND(($E70+$C$1)&gt;AK$4,AK$4&gt;=$C$1),'General Inputs'!H$9*$H70,IF(AND(($D70+$C$1)&gt;AK$4,AK$4&gt;=$C$1),'General Inputs'!H$9*$G70,0))+IF(AND(($E70+$C$1)&gt;AK$4,AK$4&gt;=$C$1),'General Inputs'!H$10*$J70,IF(AND(($D70+$C$1)&gt;AK$4,AK$4&gt;=$C$1),'General Inputs'!H$10*$I70,0))</f>
        <v>91.955346627821328</v>
      </c>
      <c r="AL70" s="214">
        <f>IF(AND(($E70+$C$1)&gt;AL$4,AL$4&gt;=$C$1),'General Inputs'!I$9*$H70,IF(AND(($D70+$C$1)&gt;AL$4,AL$4&gt;=$C$1),'General Inputs'!I$9*$G70,0))+IF(AND(($E70+$C$1)&gt;AL$4,AL$4&gt;=$C$1),'General Inputs'!I$10*$J70,IF(AND(($D70+$C$1)&gt;AL$4,AL$4&gt;=$C$1),'General Inputs'!I$10*$I70,0))</f>
        <v>93.334676827238638</v>
      </c>
      <c r="AM70" s="214">
        <f>IF(AND(($E70+$C$1)&gt;AM$4,AM$4&gt;=$C$1),'General Inputs'!J$9*$H70,IF(AND(($D70+$C$1)&gt;AM$4,AM$4&gt;=$C$1),'General Inputs'!J$9*$G70,0))+IF(AND(($E70+$C$1)&gt;AM$4,AM$4&gt;=$C$1),'General Inputs'!J$10*$J70,IF(AND(($D70+$C$1)&gt;AM$4,AM$4&gt;=$C$1),'General Inputs'!J$10*$I70,0))</f>
        <v>94.734696979647197</v>
      </c>
      <c r="AN70" s="214">
        <f>IF(AND(($E70+$C$1)&gt;AN$4,AN$4&gt;=$C$1),'General Inputs'!K$9*$H70,IF(AND(($D70+$C$1)&gt;AN$4,AN$4&gt;=$C$1),'General Inputs'!K$9*$G70,0))+IF(AND(($E70+$C$1)&gt;AN$4,AN$4&gt;=$C$1),'General Inputs'!K$10*$J70,IF(AND(($D70+$C$1)&gt;AN$4,AN$4&gt;=$C$1),'General Inputs'!K$10*$I70,0))</f>
        <v>96.155717434341895</v>
      </c>
      <c r="AO70" s="214">
        <f>IF(AND(($E70+$C$1)&gt;AO$4,AO$4&gt;=$C$1),'General Inputs'!L$9*$H70,IF(AND(($D70+$C$1)&gt;AO$4,AO$4&gt;=$C$1),'General Inputs'!L$9*$G70,0))+IF(AND(($E70+$C$1)&gt;AO$4,AO$4&gt;=$C$1),'General Inputs'!L$10*$J70,IF(AND(($D70+$C$1)&gt;AO$4,AO$4&gt;=$C$1),'General Inputs'!L$10*$I70,0))</f>
        <v>97.59805319585702</v>
      </c>
      <c r="AP70" s="214">
        <f>IF(AND(($E70+$C$1)&gt;AP$4,AP$4&gt;=$C$1),'General Inputs'!M$9*$H70,IF(AND(($D70+$C$1)&gt;AP$4,AP$4&gt;=$C$1),'General Inputs'!M$9*$G70,0))+IF(AND(($E70+$C$1)&gt;AP$4,AP$4&gt;=$C$1),'General Inputs'!M$10*$J70,IF(AND(($D70+$C$1)&gt;AP$4,AP$4&gt;=$C$1),'General Inputs'!M$10*$I70,0))</f>
        <v>99.062023993794853</v>
      </c>
      <c r="AQ70" s="214">
        <f>IF(AND(($E70+$C$1)&gt;AQ$4,AQ$4&gt;=$C$1),'General Inputs'!N$9*$H70,IF(AND(($D70+$C$1)&gt;AQ$4,AQ$4&gt;=$C$1),'General Inputs'!N$9*$G70,0))+IF(AND(($E70+$C$1)&gt;AQ$4,AQ$4&gt;=$C$1),'General Inputs'!N$10*$J70,IF(AND(($D70+$C$1)&gt;AQ$4,AQ$4&gt;=$C$1),'General Inputs'!N$10*$I70,0))</f>
        <v>100.54795435370177</v>
      </c>
      <c r="AR70" s="214">
        <f>IF(AND(($E70+$C$1)&gt;AR$4,AR$4&gt;=$C$1),'General Inputs'!O$9*$H70,IF(AND(($D70+$C$1)&gt;AR$4,AR$4&gt;=$C$1),'General Inputs'!O$9*$G70,0))+IF(AND(($E70+$C$1)&gt;AR$4,AR$4&gt;=$C$1),'General Inputs'!O$10*$J70,IF(AND(($D70+$C$1)&gt;AR$4,AR$4&gt;=$C$1),'General Inputs'!O$10*$I70,0))</f>
        <v>102.05617366900728</v>
      </c>
      <c r="AS70" s="214">
        <f>IF(AND(($E70+$C$1)&gt;AS$4,AS$4&gt;=$C$1),'General Inputs'!P$9*$H70,IF(AND(($D70+$C$1)&gt;AS$4,AS$4&gt;=$C$1),'General Inputs'!P$9*$G70,0))+IF(AND(($E70+$C$1)&gt;AS$4,AS$4&gt;=$C$1),'General Inputs'!P$10*$J70,IF(AND(($D70+$C$1)&gt;AS$4,AS$4&gt;=$C$1),'General Inputs'!P$10*$I70,0))</f>
        <v>103.58701627404238</v>
      </c>
      <c r="AT70" s="214">
        <f>IF(AND(($E70+$C$1)&gt;AT$4,AT$4&gt;=$C$1),'General Inputs'!Q$9*$H70,IF(AND(($D70+$C$1)&gt;AT$4,AT$4&gt;=$C$1),'General Inputs'!Q$9*$G70,0))+IF(AND(($E70+$C$1)&gt;AT$4,AT$4&gt;=$C$1),'General Inputs'!Q$10*$J70,IF(AND(($D70+$C$1)&gt;AT$4,AT$4&gt;=$C$1),'General Inputs'!Q$10*$I70,0))</f>
        <v>105.14082151815302</v>
      </c>
      <c r="AU70" s="214">
        <f>IF(AND(($E70+$C$1)&gt;AU$4,AU$4&gt;=$C$1),'General Inputs'!R$9*$H70,IF(AND(($D70+$C$1)&gt;AU$4,AU$4&gt;=$C$1),'General Inputs'!R$9*$G70,0))+IF(AND(($E70+$C$1)&gt;AU$4,AU$4&gt;=$C$1),'General Inputs'!R$10*$J70,IF(AND(($D70+$C$1)&gt;AU$4,AU$4&gt;=$C$1),'General Inputs'!R$10*$I70,0))</f>
        <v>106.71793384092531</v>
      </c>
      <c r="AV70" s="214">
        <f>IF(AND(($E70+$C$1)&gt;AV$4,AV$4&gt;=$C$1),'General Inputs'!S$9*$H70,IF(AND(($D70+$C$1)&gt;AV$4,AV$4&gt;=$C$1),'General Inputs'!S$9*$G70,0))+IF(AND(($E70+$C$1)&gt;AV$4,AV$4&gt;=$C$1),'General Inputs'!S$10*$J70,IF(AND(($D70+$C$1)&gt;AV$4,AV$4&gt;=$C$1),'General Inputs'!S$10*$I70,0))</f>
        <v>108.31870284853919</v>
      </c>
      <c r="AW70" s="214">
        <f>IF(AND(($E70+$C$1)&gt;AW$4,AW$4&gt;=$C$1),'General Inputs'!T$9*$H70,IF(AND(($D70+$C$1)&gt;AW$4,AW$4&gt;=$C$1),'General Inputs'!T$9*$G70,0))+IF(AND(($E70+$C$1)&gt;AW$4,AW$4&gt;=$C$1),'General Inputs'!T$10*$J70,IF(AND(($D70+$C$1)&gt;AW$4,AW$4&gt;=$C$1),'General Inputs'!T$10*$I70,0))</f>
        <v>109.94348339126725</v>
      </c>
      <c r="AX70" s="214">
        <f>IF(AND(($E70+$C$1)&gt;AX$4,AX$4&gt;=$C$1),'General Inputs'!U$9*$H70,IF(AND(($D70+$C$1)&gt;AX$4,AX$4&gt;=$C$1),'General Inputs'!U$9*$G70,0))+IF(AND(($E70+$C$1)&gt;AX$4,AX$4&gt;=$C$1),'General Inputs'!U$10*$J70,IF(AND(($D70+$C$1)&gt;AX$4,AX$4&gt;=$C$1),'General Inputs'!U$10*$I70,0))</f>
        <v>111.59263564213626</v>
      </c>
      <c r="AY70" s="214">
        <f>IF(AND(($E70+$C$1)&gt;AY$4,AY$4&gt;=$C$1),'General Inputs'!V$9*$H70,IF(AND(($D70+$C$1)&gt;AY$4,AY$4&gt;=$C$1),'General Inputs'!V$9*$G70,0))+IF(AND(($E70+$C$1)&gt;AY$4,AY$4&gt;=$C$1),'General Inputs'!V$10*$J70,IF(AND(($D70+$C$1)&gt;AY$4,AY$4&gt;=$C$1),'General Inputs'!V$10*$I70,0))</f>
        <v>113.2665251767683</v>
      </c>
      <c r="AZ70" s="214">
        <f>IF(AND(($E70+$C$1)&gt;AZ$4,AZ$4&gt;=$C$1),'General Inputs'!W$9*$H70,IF(AND(($D70+$C$1)&gt;AZ$4,AZ$4&gt;=$C$1),'General Inputs'!W$9*$G70,0))+IF(AND(($E70+$C$1)&gt;AZ$4,AZ$4&gt;=$C$1),'General Inputs'!W$10*$J70,IF(AND(($D70+$C$1)&gt;AZ$4,AZ$4&gt;=$C$1),'General Inputs'!W$10*$I70,0))</f>
        <v>114.9655230544198</v>
      </c>
      <c r="BB70" s="214">
        <f>IF(AND(($E70+$C$1)&gt;BB$4,BB$4&gt;=$C$1),'General Inputs'!D$11*$H70,IF(AND(($D70+$C$1)&gt;BB$4,BB$4&gt;=$C$1),'General Inputs'!D$11*$G70,0))</f>
        <v>0</v>
      </c>
      <c r="BC70" s="214">
        <f>IF(AND(($E70+$C$1)&gt;BC$4,BC$4&gt;=$C$1),'General Inputs'!E$11*$H70,IF(AND(($D70+$C$1)&gt;BC$4,BC$4&gt;=$C$1),'General Inputs'!E$11*$G70,0))</f>
        <v>0</v>
      </c>
      <c r="BD70" s="214">
        <f>IF(AND(($E70+$C$1)&gt;BD$4,BD$4&gt;=$C$1),'General Inputs'!F$11*$H70,IF(AND(($D70+$C$1)&gt;BD$4,BD$4&gt;=$C$1),'General Inputs'!F$11*$G70,0))</f>
        <v>23.444984668500002</v>
      </c>
      <c r="BE70" s="214">
        <f>IF(AND(($E70+$C$1)&gt;BE$4,BE$4&gt;=$C$1),'General Inputs'!G$11*$H70,IF(AND(($D70+$C$1)&gt;BE$4,BE$4&gt;=$C$1),'General Inputs'!G$11*$G70,0))</f>
        <v>23.444984668500002</v>
      </c>
      <c r="BF70" s="214">
        <f>IF(AND(($E70+$C$1)&gt;BF$4,BF$4&gt;=$C$1),'General Inputs'!H$11*$H70,IF(AND(($D70+$C$1)&gt;BF$4,BF$4&gt;=$C$1),'General Inputs'!H$11*$G70,0))</f>
        <v>23.444984668500002</v>
      </c>
      <c r="BG70" s="214">
        <f>IF(AND(($E70+$C$1)&gt;BG$4,BG$4&gt;=$C$1),'General Inputs'!I$11*$H70,IF(AND(($D70+$C$1)&gt;BG$4,BG$4&gt;=$C$1),'General Inputs'!I$11*$G70,0))</f>
        <v>23.444984668500002</v>
      </c>
      <c r="BH70" s="214">
        <f>IF(AND(($E70+$C$1)&gt;BH$4,BH$4&gt;=$C$1),'General Inputs'!J$11*$H70,IF(AND(($D70+$C$1)&gt;BH$4,BH$4&gt;=$C$1),'General Inputs'!J$11*$G70,0))</f>
        <v>23.444984668500002</v>
      </c>
      <c r="BI70" s="214">
        <f>IF(AND(($E70+$C$1)&gt;BI$4,BI$4&gt;=$C$1),'General Inputs'!K$11*$H70,IF(AND(($D70+$C$1)&gt;BI$4,BI$4&gt;=$C$1),'General Inputs'!K$11*$G70,0))</f>
        <v>23.444984668500002</v>
      </c>
      <c r="BJ70" s="214">
        <f>IF(AND(($E70+$C$1)&gt;BJ$4,BJ$4&gt;=$C$1),'General Inputs'!L$11*$H70,IF(AND(($D70+$C$1)&gt;BJ$4,BJ$4&gt;=$C$1),'General Inputs'!L$11*$G70,0))</f>
        <v>23.444984668500002</v>
      </c>
      <c r="BK70" s="214">
        <f>IF(AND(($E70+$C$1)&gt;BK$4,BK$4&gt;=$C$1),'General Inputs'!M$11*$H70,IF(AND(($D70+$C$1)&gt;BK$4,BK$4&gt;=$C$1),'General Inputs'!M$11*$G70,0))</f>
        <v>23.444984668500002</v>
      </c>
      <c r="BL70" s="214">
        <f>IF(AND(($E70+$C$1)&gt;BL$4,BL$4&gt;=$C$1),'General Inputs'!N$11*$H70,IF(AND(($D70+$C$1)&gt;BL$4,BL$4&gt;=$C$1),'General Inputs'!N$11*$G70,0))</f>
        <v>23.444984668500002</v>
      </c>
      <c r="BM70" s="214">
        <f>IF(AND(($E70+$C$1)&gt;BM$4,BM$4&gt;=$C$1),'General Inputs'!O$11*$H70,IF(AND(($D70+$C$1)&gt;BM$4,BM$4&gt;=$C$1),'General Inputs'!O$11*$G70,0))</f>
        <v>23.444984668500002</v>
      </c>
      <c r="BN70" s="214">
        <f>IF(AND(($E70+$C$1)&gt;BN$4,BN$4&gt;=$C$1),'General Inputs'!P$11*$H70,IF(AND(($D70+$C$1)&gt;BN$4,BN$4&gt;=$C$1),'General Inputs'!P$11*$G70,0))</f>
        <v>23.444984668500002</v>
      </c>
      <c r="BO70" s="214">
        <f>IF(AND(($E70+$C$1)&gt;BO$4,BO$4&gt;=$C$1),'General Inputs'!Q$11*$H70,IF(AND(($D70+$C$1)&gt;BO$4,BO$4&gt;=$C$1),'General Inputs'!Q$11*$G70,0))</f>
        <v>23.444984668500002</v>
      </c>
      <c r="BP70" s="214">
        <f>IF(AND(($E70+$C$1)&gt;BP$4,BP$4&gt;=$C$1),'General Inputs'!R$11*$H70,IF(AND(($D70+$C$1)&gt;BP$4,BP$4&gt;=$C$1),'General Inputs'!R$11*$G70,0))</f>
        <v>23.444984668500002</v>
      </c>
      <c r="BQ70" s="214">
        <f>IF(AND(($E70+$C$1)&gt;BQ$4,BQ$4&gt;=$C$1),'General Inputs'!S$11*$H70,IF(AND(($D70+$C$1)&gt;BQ$4,BQ$4&gt;=$C$1),'General Inputs'!S$11*$G70,0))</f>
        <v>23.444984668500002</v>
      </c>
      <c r="BR70" s="214">
        <f>IF(AND(($E70+$C$1)&gt;BR$4,BR$4&gt;=$C$1),'General Inputs'!T$11*$H70,IF(AND(($D70+$C$1)&gt;BR$4,BR$4&gt;=$C$1),'General Inputs'!T$11*$G70,0))</f>
        <v>23.444984668500002</v>
      </c>
      <c r="BS70" s="214">
        <f>IF(AND(($E70+$C$1)&gt;BS$4,BS$4&gt;=$C$1),'General Inputs'!U$11*$H70,IF(AND(($D70+$C$1)&gt;BS$4,BS$4&gt;=$C$1),'General Inputs'!U$11*$G70,0))</f>
        <v>23.444984668500002</v>
      </c>
      <c r="BT70" s="214">
        <f>IF(AND(($E70+$C$1)&gt;BT$4,BT$4&gt;=$C$1),'General Inputs'!V$11*$H70,IF(AND(($D70+$C$1)&gt;BT$4,BT$4&gt;=$C$1),'General Inputs'!V$11*$G70,0))</f>
        <v>23.444984668500002</v>
      </c>
      <c r="BU70" s="214">
        <f>IF(AND(($E70+$C$1)&gt;BU$4,BU$4&gt;=$C$1),'General Inputs'!W$11*$H70,IF(AND(($D70+$C$1)&gt;BU$4,BU$4&gt;=$C$1),'General Inputs'!W$11*$G70,0))</f>
        <v>23.444984668500002</v>
      </c>
      <c r="BW70" s="214">
        <f>IF(AND(($E70+$C$1)&gt;BW$4,BW$4&gt;=$C$1),$H70,IF(AND(($D70+$C$1)&gt;BW$4,BW$4&gt;=$C$1),$G70,0))*IF($A70="Residential",'General Inputs'!D$14,'General Inputs'!D$19)</f>
        <v>0</v>
      </c>
      <c r="BX70" s="214">
        <f>IF(AND(($E70+$C$1)&gt;BX$4,BX$4&gt;=$C$1),$H70,IF(AND(($D70+$C$1)&gt;BX$4,BX$4&gt;=$C$1),$G70,0))*IF($A70="Residential",'General Inputs'!E$14,'General Inputs'!E$19)</f>
        <v>0</v>
      </c>
      <c r="BY70" s="214">
        <f>IF(AND(($E70+$C$1)&gt;BY$4,BY$4&gt;=$C$1),$H70,IF(AND(($D70+$C$1)&gt;BY$4,BY$4&gt;=$C$1),$G70,0))*IF($A70="Residential",'General Inputs'!F$14,'General Inputs'!F$19)</f>
        <v>221.337847076679</v>
      </c>
      <c r="BZ70" s="214">
        <f>IF(AND(($E70+$C$1)&gt;BZ$4,BZ$4&gt;=$C$1),$H70,IF(AND(($D70+$C$1)&gt;BZ$4,BZ$4&gt;=$C$1),$G70,0))*IF($A70="Residential",'General Inputs'!G$14,'General Inputs'!G$19)</f>
        <v>224.65791478282915</v>
      </c>
      <c r="CA70" s="214">
        <f>IF(AND(($E70+$C$1)&gt;CA$4,CA$4&gt;=$C$1),$H70,IF(AND(($D70+$C$1)&gt;CA$4,CA$4&gt;=$C$1),$G70,0))*IF($A70="Residential",'General Inputs'!H$14,'General Inputs'!H$19)</f>
        <v>228.02778350457154</v>
      </c>
      <c r="CB70" s="214">
        <f>IF(AND(($E70+$C$1)&gt;CB$4,CB$4&gt;=$C$1),$H70,IF(AND(($D70+$C$1)&gt;CB$4,CB$4&gt;=$C$1),$G70,0))*IF($A70="Residential",'General Inputs'!I$14,'General Inputs'!I$19)</f>
        <v>231.44820025714009</v>
      </c>
      <c r="CC70" s="214">
        <f>IF(AND(($E70+$C$1)&gt;CC$4,CC$4&gt;=$C$1),$H70,IF(AND(($D70+$C$1)&gt;CC$4,CC$4&gt;=$C$1),$G70,0))*IF($A70="Residential",'General Inputs'!J$14,'General Inputs'!J$19)</f>
        <v>234.91992326099719</v>
      </c>
      <c r="CD70" s="214">
        <f>IF(AND(($E70+$C$1)&gt;CD$4,CD$4&gt;=$C$1),$H70,IF(AND(($D70+$C$1)&gt;CD$4,CD$4&gt;=$C$1),$G70,0))*IF($A70="Residential",'General Inputs'!K$14,'General Inputs'!K$19)</f>
        <v>238.4437221099121</v>
      </c>
      <c r="CE70" s="214">
        <f>IF(AND(($E70+$C$1)&gt;CE$4,CE$4&gt;=$C$1),$H70,IF(AND(($D70+$C$1)&gt;CE$4,CE$4&gt;=$C$1),$G70,0))*IF($A70="Residential",'General Inputs'!L$14,'General Inputs'!L$19)</f>
        <v>242.02037794156075</v>
      </c>
      <c r="CF70" s="214">
        <f>IF(AND(($E70+$C$1)&gt;CF$4,CF$4&gt;=$C$1),$H70,IF(AND(($D70+$C$1)&gt;CF$4,CF$4&gt;=$C$1),$G70,0))*IF($A70="Residential",'General Inputs'!M$14,'General Inputs'!M$19)</f>
        <v>245.65068361068415</v>
      </c>
      <c r="CG70" s="214">
        <f>IF(AND(($E70+$C$1)&gt;CG$4,CG$4&gt;=$C$1),$H70,IF(AND(($D70+$C$1)&gt;CG$4,CG$4&gt;=$C$1),$G70,0))*IF($A70="Residential",'General Inputs'!N$14,'General Inputs'!N$19)</f>
        <v>249.33544386484442</v>
      </c>
      <c r="CH70" s="214">
        <f>IF(AND(($E70+$C$1)&gt;CH$4,CH$4&gt;=$C$1),$H70,IF(AND(($D70+$C$1)&gt;CH$4,CH$4&gt;=$C$1),$G70,0))*IF($A70="Residential",'General Inputs'!O$14,'General Inputs'!O$19)</f>
        <v>253.07547552281702</v>
      </c>
      <c r="CI70" s="214">
        <f>IF(AND(($E70+$C$1)&gt;CI$4,CI$4&gt;=$C$1),$H70,IF(AND(($D70+$C$1)&gt;CI$4,CI$4&gt;=$C$1),$G70,0))*IF($A70="Residential",'General Inputs'!P$14,'General Inputs'!P$19)</f>
        <v>256.87160765565926</v>
      </c>
      <c r="CJ70" s="214">
        <f>IF(AND(($E70+$C$1)&gt;CJ$4,CJ$4&gt;=$C$1),$H70,IF(AND(($D70+$C$1)&gt;CJ$4,CJ$4&gt;=$C$1),$G70,0))*IF($A70="Residential",'General Inputs'!Q$14,'General Inputs'!Q$19)</f>
        <v>260.72468177049416</v>
      </c>
      <c r="CK70" s="214">
        <f>IF(AND(($E70+$C$1)&gt;CK$4,CK$4&gt;=$C$1),$H70,IF(AND(($D70+$C$1)&gt;CK$4,CK$4&gt;=$C$1),$G70,0))*IF($A70="Residential",'General Inputs'!R$14,'General Inputs'!R$19)</f>
        <v>264.63555199705149</v>
      </c>
      <c r="CL70" s="214">
        <f>IF(AND(($E70+$C$1)&gt;CL$4,CL$4&gt;=$C$1),$H70,IF(AND(($D70+$C$1)&gt;CL$4,CL$4&gt;=$C$1),$G70,0))*IF($A70="Residential",'General Inputs'!S$14,'General Inputs'!S$19)</f>
        <v>268.60508527700728</v>
      </c>
      <c r="CM70" s="214">
        <f>IF(AND(($E70+$C$1)&gt;CM$4,CM$4&gt;=$C$1),$H70,IF(AND(($D70+$C$1)&gt;CM$4,CM$4&gt;=$C$1),$G70,0))*IF($A70="Residential",'General Inputs'!T$14,'General Inputs'!T$19)</f>
        <v>272.63416155616238</v>
      </c>
      <c r="CN70" s="214">
        <f>IF(AND(($E70+$C$1)&gt;CN$4,CN$4&gt;=$C$1),$H70,IF(AND(($D70+$C$1)&gt;CN$4,CN$4&gt;=$C$1),$G70,0))*IF($A70="Residential",'General Inputs'!U$14,'General Inputs'!U$19)</f>
        <v>276.72367397950478</v>
      </c>
      <c r="CO70" s="214">
        <f>IF(AND(($E70+$C$1)&gt;CO$4,CO$4&gt;=$C$1),$H70,IF(AND(($D70+$C$1)&gt;CO$4,CO$4&gt;=$C$1),$G70,0))*IF($A70="Residential",'General Inputs'!V$14,'General Inputs'!V$19)</f>
        <v>280.87452908919727</v>
      </c>
      <c r="CP70" s="214">
        <f>IF(AND(($E70+$C$1)&gt;CP$4,CP$4&gt;=$C$1),$H70,IF(AND(($D70+$C$1)&gt;CP$4,CP$4&gt;=$C$1),$G70,0))*IF($A70="Residential",'General Inputs'!W$14,'General Inputs'!W$19)</f>
        <v>285.08764702553526</v>
      </c>
      <c r="CR70" s="214">
        <f>IF(AND(($E70+$C$1)&gt;CR$4,CR$4&gt;=$C$1),$H70,IF(AND(($D70+$C$1)&gt;CR$4,CR$4&gt;=$C$1),$G70,0))*IF($A70="Residential",'General Inputs'!D$15,'General Inputs'!D$19)</f>
        <v>0</v>
      </c>
      <c r="CS70" s="214">
        <f>IF(AND(($E70+$C$1)&gt;CS$4,CS$4&gt;=$C$1),$H70,IF(AND(($D70+$C$1)&gt;CS$4,CS$4&gt;=$C$1),$G70,0))*IF($A70="Residential",'General Inputs'!E$15,'General Inputs'!E$19)</f>
        <v>0</v>
      </c>
      <c r="CT70" s="214">
        <f>IF(AND(($E70+$C$1)&gt;CT$4,CT$4&gt;=$C$1),$H70,IF(AND(($D70+$C$1)&gt;CT$4,CT$4&gt;=$C$1),$G70,0))*IF($A70="Residential",'General Inputs'!F$15,'General Inputs'!F$19)</f>
        <v>221.337847076679</v>
      </c>
      <c r="CU70" s="214">
        <f>IF(AND(($E70+$C$1)&gt;CU$4,CU$4&gt;=$C$1),$H70,IF(AND(($D70+$C$1)&gt;CU$4,CU$4&gt;=$C$1),$G70,0))*IF($A70="Residential",'General Inputs'!G$15,'General Inputs'!G$19)</f>
        <v>224.65791478282915</v>
      </c>
      <c r="CV70" s="214">
        <f>IF(AND(($E70+$C$1)&gt;CV$4,CV$4&gt;=$C$1),$H70,IF(AND(($D70+$C$1)&gt;CV$4,CV$4&gt;=$C$1),$G70,0))*IF($A70="Residential",'General Inputs'!H$15,'General Inputs'!H$19)</f>
        <v>228.02778350457154</v>
      </c>
      <c r="CW70" s="214">
        <f>IF(AND(($E70+$C$1)&gt;CW$4,CW$4&gt;=$C$1),$H70,IF(AND(($D70+$C$1)&gt;CW$4,CW$4&gt;=$C$1),$G70,0))*IF($A70="Residential",'General Inputs'!I$15,'General Inputs'!I$19)</f>
        <v>231.44820025714009</v>
      </c>
      <c r="CX70" s="214">
        <f>IF(AND(($E70+$C$1)&gt;CX$4,CX$4&gt;=$C$1),$H70,IF(AND(($D70+$C$1)&gt;CX$4,CX$4&gt;=$C$1),$G70,0))*IF($A70="Residential",'General Inputs'!J$15,'General Inputs'!J$19)</f>
        <v>234.91992326099719</v>
      </c>
      <c r="CY70" s="214">
        <f>IF(AND(($E70+$C$1)&gt;CY$4,CY$4&gt;=$C$1),$H70,IF(AND(($D70+$C$1)&gt;CY$4,CY$4&gt;=$C$1),$G70,0))*IF($A70="Residential",'General Inputs'!K$15,'General Inputs'!K$19)</f>
        <v>238.4437221099121</v>
      </c>
      <c r="CZ70" s="214">
        <f>IF(AND(($E70+$C$1)&gt;CZ$4,CZ$4&gt;=$C$1),$H70,IF(AND(($D70+$C$1)&gt;CZ$4,CZ$4&gt;=$C$1),$G70,0))*IF($A70="Residential",'General Inputs'!L$15,'General Inputs'!L$19)</f>
        <v>242.02037794156075</v>
      </c>
      <c r="DA70" s="214">
        <f>IF(AND(($E70+$C$1)&gt;DA$4,DA$4&gt;=$C$1),$H70,IF(AND(($D70+$C$1)&gt;DA$4,DA$4&gt;=$C$1),$G70,0))*IF($A70="Residential",'General Inputs'!M$15,'General Inputs'!M$19)</f>
        <v>245.65068361068415</v>
      </c>
      <c r="DB70" s="214">
        <f>IF(AND(($E70+$C$1)&gt;DB$4,DB$4&gt;=$C$1),$H70,IF(AND(($D70+$C$1)&gt;DB$4,DB$4&gt;=$C$1),$G70,0))*IF($A70="Residential",'General Inputs'!N$15,'General Inputs'!N$19)</f>
        <v>249.33544386484442</v>
      </c>
      <c r="DC70" s="214">
        <f>IF(AND(($E70+$C$1)&gt;DC$4,DC$4&gt;=$C$1),$H70,IF(AND(($D70+$C$1)&gt;DC$4,DC$4&gt;=$C$1),$G70,0))*IF($A70="Residential",'General Inputs'!O$15,'General Inputs'!O$19)</f>
        <v>253.07547552281702</v>
      </c>
      <c r="DD70" s="214">
        <f>IF(AND(($E70+$C$1)&gt;DD$4,DD$4&gt;=$C$1),$H70,IF(AND(($D70+$C$1)&gt;DD$4,DD$4&gt;=$C$1),$G70,0))*IF($A70="Residential",'General Inputs'!P$15,'General Inputs'!P$19)</f>
        <v>256.87160765565926</v>
      </c>
      <c r="DE70" s="214">
        <f>IF(AND(($E70+$C$1)&gt;DE$4,DE$4&gt;=$C$1),$H70,IF(AND(($D70+$C$1)&gt;DE$4,DE$4&gt;=$C$1),$G70,0))*IF($A70="Residential",'General Inputs'!Q$15,'General Inputs'!Q$19)</f>
        <v>260.72468177049416</v>
      </c>
      <c r="DF70" s="214">
        <f>IF(AND(($E70+$C$1)&gt;DF$4,DF$4&gt;=$C$1),$H70,IF(AND(($D70+$C$1)&gt;DF$4,DF$4&gt;=$C$1),$G70,0))*IF($A70="Residential",'General Inputs'!R$15,'General Inputs'!R$19)</f>
        <v>264.63555199705149</v>
      </c>
      <c r="DG70" s="214">
        <f>IF(AND(($E70+$C$1)&gt;DG$4,DG$4&gt;=$C$1),$H70,IF(AND(($D70+$C$1)&gt;DG$4,DG$4&gt;=$C$1),$G70,0))*IF($A70="Residential",'General Inputs'!S$15,'General Inputs'!S$19)</f>
        <v>268.60508527700728</v>
      </c>
      <c r="DH70" s="214">
        <f>IF(AND(($E70+$C$1)&gt;DH$4,DH$4&gt;=$C$1),$H70,IF(AND(($D70+$C$1)&gt;DH$4,DH$4&gt;=$C$1),$G70,0))*IF($A70="Residential",'General Inputs'!T$15,'General Inputs'!T$19)</f>
        <v>272.63416155616238</v>
      </c>
      <c r="DI70" s="214">
        <f>IF(AND(($E70+$C$1)&gt;DI$4,DI$4&gt;=$C$1),$H70,IF(AND(($D70+$C$1)&gt;DI$4,DI$4&gt;=$C$1),$G70,0))*IF($A70="Residential",'General Inputs'!U$15,'General Inputs'!U$19)</f>
        <v>276.72367397950478</v>
      </c>
      <c r="DJ70" s="214">
        <f>IF(AND(($E70+$C$1)&gt;DJ$4,DJ$4&gt;=$C$1),$H70,IF(AND(($D70+$C$1)&gt;DJ$4,DJ$4&gt;=$C$1),$G70,0))*IF($A70="Residential",'General Inputs'!V$15,'General Inputs'!V$19)</f>
        <v>280.87452908919727</v>
      </c>
      <c r="DK70" s="214">
        <f>IF(AND(($E70+$C$1)&gt;DK$4,DK$4&gt;=$C$1),$H70,IF(AND(($D70+$C$1)&gt;DK$4,DK$4&gt;=$C$1),$G70,0))*IF($A70="Residential",'General Inputs'!W$15,'General Inputs'!W$19)</f>
        <v>285.08764702553526</v>
      </c>
      <c r="DM70" s="214">
        <f t="shared" si="100"/>
        <v>0</v>
      </c>
      <c r="DN70" s="214">
        <f t="shared" si="100"/>
        <v>0</v>
      </c>
      <c r="DO70" s="214">
        <f t="shared" si="100"/>
        <v>555</v>
      </c>
      <c r="DP70" s="214">
        <f t="shared" si="100"/>
        <v>0</v>
      </c>
      <c r="DQ70" s="214">
        <f t="shared" si="100"/>
        <v>0</v>
      </c>
      <c r="DR70" s="214">
        <f t="shared" si="100"/>
        <v>0</v>
      </c>
      <c r="DS70" s="214">
        <f t="shared" si="100"/>
        <v>0</v>
      </c>
      <c r="DT70" s="214">
        <f t="shared" si="100"/>
        <v>0</v>
      </c>
      <c r="DU70" s="214">
        <f t="shared" si="100"/>
        <v>0</v>
      </c>
      <c r="DV70" s="214">
        <f t="shared" si="100"/>
        <v>0</v>
      </c>
      <c r="DW70" s="214">
        <f t="shared" si="100"/>
        <v>0</v>
      </c>
      <c r="DZ70" s="650"/>
      <c r="FI70" s="195"/>
      <c r="FJ70" s="195"/>
      <c r="FK70" s="195"/>
      <c r="FL70" s="195"/>
      <c r="FM70" s="195"/>
      <c r="FN70" s="195"/>
      <c r="FO70" s="195"/>
    </row>
    <row r="71" spans="1:171">
      <c r="A71" s="342" t="s">
        <v>112</v>
      </c>
      <c r="B71" s="427" t="str">
        <f>'Portfolio Inputs'!A70</f>
        <v>Pulse Start Metal Halide (320 &lt; 750 W)</v>
      </c>
      <c r="C71" s="217">
        <f>IF($C$1=2014,'Portfolio Inputs'!$C70,IF($C$1=2015,'Portfolio Inputs'!$D70,'Portfolio Inputs'!$E70))</f>
        <v>3</v>
      </c>
      <c r="D71" s="504">
        <f>VLOOKUP(B71,Sources!$B$4:$J$104,2,FALSE)</f>
        <v>18</v>
      </c>
      <c r="E71" s="504">
        <f>VLOOKUP(B71,Sources!$B$4:$J$104,3,FALSE)</f>
        <v>0</v>
      </c>
      <c r="G71" s="504">
        <f>IF($C$1=2014,'Portfolio Inputs'!$G70,IF($C$1=2015,'Portfolio Inputs'!$H70,'Portfolio Inputs'!$I70))*EnergyLineLoss</f>
        <v>1411.71852375</v>
      </c>
      <c r="H71" s="504"/>
      <c r="I71" s="595">
        <f>IF($C$1=2014,'Portfolio Inputs'!$K70,IF($C$1=2015,'Portfolio Inputs'!$L70,'Portfolio Inputs'!$M70))*PeakLineLoss</f>
        <v>0.21829321800000007</v>
      </c>
      <c r="J71" s="510"/>
      <c r="L71" s="606">
        <f>IF($C$1=2014,'Portfolio Inputs'!$O70,IF($C$1=2015,'Portfolio Inputs'!$P70,'Portfolio Inputs'!$Q70))</f>
        <v>283</v>
      </c>
      <c r="M71" s="518">
        <f>VLOOKUP($B71,Sources!$B$4:$K$104,10,FALSE)</f>
        <v>0</v>
      </c>
      <c r="N71" s="419">
        <f>IF($C$1=2014,'Portfolio Inputs'!$W70,IF($C$1=2015,'Portfolio Inputs'!$X70,'Portfolio Inputs'!$Y70))</f>
        <v>165</v>
      </c>
      <c r="O71" s="419">
        <f>IF($C$1=2014,'Portfolio Inputs'!$AA70,IF($C$1=2015,'Portfolio Inputs'!$AB70,'Portfolio Inputs'!$AC70))</f>
        <v>0</v>
      </c>
      <c r="Q71" s="438">
        <f t="shared" si="67"/>
        <v>0.76559208782120347</v>
      </c>
      <c r="R71" s="439">
        <f t="shared" si="68"/>
        <v>3.9393192882436465</v>
      </c>
      <c r="S71" s="439">
        <f t="shared" si="69"/>
        <v>0.94817887603621887</v>
      </c>
      <c r="T71" s="439">
        <f t="shared" si="70"/>
        <v>2.0928358638399911</v>
      </c>
      <c r="U71" s="439">
        <f t="shared" si="98"/>
        <v>2.0928358638399911</v>
      </c>
      <c r="V71" s="439">
        <f t="shared" si="72"/>
        <v>0.36581563850710902</v>
      </c>
      <c r="W71" s="439">
        <f t="shared" si="73"/>
        <v>0.36581563850710902</v>
      </c>
      <c r="Y71" s="215">
        <f t="shared" si="101"/>
        <v>548.69128280864766</v>
      </c>
      <c r="Z71" s="215">
        <f t="shared" si="102"/>
        <v>130.85790807311037</v>
      </c>
      <c r="AA71" s="215">
        <f t="shared" si="103"/>
        <v>1360.6262347477414</v>
      </c>
      <c r="AB71" s="215">
        <f t="shared" si="104"/>
        <v>1360.6262347477414</v>
      </c>
      <c r="AC71" s="216">
        <f t="shared" si="20"/>
        <v>0</v>
      </c>
      <c r="AD71" s="216">
        <f t="shared" si="21"/>
        <v>139.28581124311017</v>
      </c>
      <c r="AE71" s="215">
        <f t="shared" si="105"/>
        <v>716.68881057818498</v>
      </c>
      <c r="AG71" s="214">
        <f>IF(AND(($E71+$C$1)&gt;AG$4,AG$4&gt;=$C$1),'General Inputs'!D$9*$H71,IF(AND(($D71+$C$1)&gt;AG$4,AG$4&gt;=$C$1),'General Inputs'!D$9*$G71,0))+IF(AND(($E71+$C$1)&gt;AG$4,AG$4&gt;=$C$1),'General Inputs'!D$10*$J71,IF(AND(($D71+$C$1)&gt;AG$4,AG$4&gt;=$C$1),'General Inputs'!D$10*$I71,0))</f>
        <v>0</v>
      </c>
      <c r="AH71" s="214">
        <f>IF(AND(($E71+$C$1)&gt;AH$4,AH$4&gt;=$C$1),'General Inputs'!E$9*$H71,IF(AND(($D71+$C$1)&gt;AH$4,AH$4&gt;=$C$1),'General Inputs'!E$9*$G71,0))+IF(AND(($E71+$C$1)&gt;AH$4,AH$4&gt;=$C$1),'General Inputs'!E$10*$J71,IF(AND(($D71+$C$1)&gt;AH$4,AH$4&gt;=$C$1),'General Inputs'!E$10*$I71,0))</f>
        <v>0</v>
      </c>
      <c r="AI71" s="214">
        <f>IF(AND(($E71+$C$1)&gt;AI$4,AI$4&gt;=$C$1),'General Inputs'!F$9*$H71,IF(AND(($D71+$C$1)&gt;AI$4,AI$4&gt;=$C$1),'General Inputs'!F$9*$G71,0))+IF(AND(($E71+$C$1)&gt;AI$4,AI$4&gt;=$C$1),'General Inputs'!F$10*$J71,IF(AND(($D71+$C$1)&gt;AI$4,AI$4&gt;=$C$1),'General Inputs'!F$10*$I71,0))</f>
        <v>61.270004592986552</v>
      </c>
      <c r="AJ71" s="214">
        <f>IF(AND(($E71+$C$1)&gt;AJ$4,AJ$4&gt;=$C$1),'General Inputs'!G$9*$H71,IF(AND(($D71+$C$1)&gt;AJ$4,AJ$4&gt;=$C$1),'General Inputs'!G$9*$G71,0))+IF(AND(($E71+$C$1)&gt;AJ$4,AJ$4&gt;=$C$1),'General Inputs'!G$10*$J71,IF(AND(($D71+$C$1)&gt;AJ$4,AJ$4&gt;=$C$1),'General Inputs'!G$10*$I71,0))</f>
        <v>62.189054661881343</v>
      </c>
      <c r="AK71" s="214">
        <f>IF(AND(($E71+$C$1)&gt;AK$4,AK$4&gt;=$C$1),'General Inputs'!H$9*$H71,IF(AND(($D71+$C$1)&gt;AK$4,AK$4&gt;=$C$1),'General Inputs'!H$9*$G71,0))+IF(AND(($E71+$C$1)&gt;AK$4,AK$4&gt;=$C$1),'General Inputs'!H$10*$J71,IF(AND(($D71+$C$1)&gt;AK$4,AK$4&gt;=$C$1),'General Inputs'!H$10*$I71,0))</f>
        <v>63.121890481809558</v>
      </c>
      <c r="AL71" s="214">
        <f>IF(AND(($E71+$C$1)&gt;AL$4,AL$4&gt;=$C$1),'General Inputs'!I$9*$H71,IF(AND(($D71+$C$1)&gt;AL$4,AL$4&gt;=$C$1),'General Inputs'!I$9*$G71,0))+IF(AND(($E71+$C$1)&gt;AL$4,AL$4&gt;=$C$1),'General Inputs'!I$10*$J71,IF(AND(($D71+$C$1)&gt;AL$4,AL$4&gt;=$C$1),'General Inputs'!I$10*$I71,0))</f>
        <v>64.068718839036691</v>
      </c>
      <c r="AM71" s="214">
        <f>IF(AND(($E71+$C$1)&gt;AM$4,AM$4&gt;=$C$1),'General Inputs'!J$9*$H71,IF(AND(($D71+$C$1)&gt;AM$4,AM$4&gt;=$C$1),'General Inputs'!J$9*$G71,0))+IF(AND(($E71+$C$1)&gt;AM$4,AM$4&gt;=$C$1),'General Inputs'!J$10*$J71,IF(AND(($D71+$C$1)&gt;AM$4,AM$4&gt;=$C$1),'General Inputs'!J$10*$I71,0))</f>
        <v>65.02974962162223</v>
      </c>
      <c r="AN71" s="214">
        <f>IF(AND(($E71+$C$1)&gt;AN$4,AN$4&gt;=$C$1),'General Inputs'!K$9*$H71,IF(AND(($D71+$C$1)&gt;AN$4,AN$4&gt;=$C$1),'General Inputs'!K$9*$G71,0))+IF(AND(($E71+$C$1)&gt;AN$4,AN$4&gt;=$C$1),'General Inputs'!K$10*$J71,IF(AND(($D71+$C$1)&gt;AN$4,AN$4&gt;=$C$1),'General Inputs'!K$10*$I71,0))</f>
        <v>66.005195865946547</v>
      </c>
      <c r="AO71" s="214">
        <f>IF(AND(($E71+$C$1)&gt;AO$4,AO$4&gt;=$C$1),'General Inputs'!L$9*$H71,IF(AND(($D71+$C$1)&gt;AO$4,AO$4&gt;=$C$1),'General Inputs'!L$9*$G71,0))+IF(AND(($E71+$C$1)&gt;AO$4,AO$4&gt;=$C$1),'General Inputs'!L$10*$J71,IF(AND(($D71+$C$1)&gt;AO$4,AO$4&gt;=$C$1),'General Inputs'!L$10*$I71,0))</f>
        <v>66.995273803935746</v>
      </c>
      <c r="AP71" s="214">
        <f>IF(AND(($E71+$C$1)&gt;AP$4,AP$4&gt;=$C$1),'General Inputs'!M$9*$H71,IF(AND(($D71+$C$1)&gt;AP$4,AP$4&gt;=$C$1),'General Inputs'!M$9*$G71,0))+IF(AND(($E71+$C$1)&gt;AP$4,AP$4&gt;=$C$1),'General Inputs'!M$10*$J71,IF(AND(($D71+$C$1)&gt;AP$4,AP$4&gt;=$C$1),'General Inputs'!M$10*$I71,0))</f>
        <v>68.000202910994773</v>
      </c>
      <c r="AQ71" s="214">
        <f>IF(AND(($E71+$C$1)&gt;AQ$4,AQ$4&gt;=$C$1),'General Inputs'!N$9*$H71,IF(AND(($D71+$C$1)&gt;AQ$4,AQ$4&gt;=$C$1),'General Inputs'!N$9*$G71,0))+IF(AND(($E71+$C$1)&gt;AQ$4,AQ$4&gt;=$C$1),'General Inputs'!N$10*$J71,IF(AND(($D71+$C$1)&gt;AQ$4,AQ$4&gt;=$C$1),'General Inputs'!N$10*$I71,0))</f>
        <v>69.020205954659701</v>
      </c>
      <c r="AR71" s="214">
        <f>IF(AND(($E71+$C$1)&gt;AR$4,AR$4&gt;=$C$1),'General Inputs'!O$9*$H71,IF(AND(($D71+$C$1)&gt;AR$4,AR$4&gt;=$C$1),'General Inputs'!O$9*$G71,0))+IF(AND(($E71+$C$1)&gt;AR$4,AR$4&gt;=$C$1),'General Inputs'!O$10*$J71,IF(AND(($D71+$C$1)&gt;AR$4,AR$4&gt;=$C$1),'General Inputs'!O$10*$I71,0))</f>
        <v>70.055509043979569</v>
      </c>
      <c r="AS71" s="214">
        <f>IF(AND(($E71+$C$1)&gt;AS$4,AS$4&gt;=$C$1),'General Inputs'!P$9*$H71,IF(AND(($D71+$C$1)&gt;AS$4,AS$4&gt;=$C$1),'General Inputs'!P$9*$G71,0))+IF(AND(($E71+$C$1)&gt;AS$4,AS$4&gt;=$C$1),'General Inputs'!P$10*$J71,IF(AND(($D71+$C$1)&gt;AS$4,AS$4&gt;=$C$1),'General Inputs'!P$10*$I71,0))</f>
        <v>71.106341679639272</v>
      </c>
      <c r="AT71" s="214">
        <f>IF(AND(($E71+$C$1)&gt;AT$4,AT$4&gt;=$C$1),'General Inputs'!Q$9*$H71,IF(AND(($D71+$C$1)&gt;AT$4,AT$4&gt;=$C$1),'General Inputs'!Q$9*$G71,0))+IF(AND(($E71+$C$1)&gt;AT$4,AT$4&gt;=$C$1),'General Inputs'!Q$10*$J71,IF(AND(($D71+$C$1)&gt;AT$4,AT$4&gt;=$C$1),'General Inputs'!Q$10*$I71,0))</f>
        <v>72.172936804833853</v>
      </c>
      <c r="AU71" s="214">
        <f>IF(AND(($E71+$C$1)&gt;AU$4,AU$4&gt;=$C$1),'General Inputs'!R$9*$H71,IF(AND(($D71+$C$1)&gt;AU$4,AU$4&gt;=$C$1),'General Inputs'!R$9*$G71,0))+IF(AND(($E71+$C$1)&gt;AU$4,AU$4&gt;=$C$1),'General Inputs'!R$10*$J71,IF(AND(($D71+$C$1)&gt;AU$4,AU$4&gt;=$C$1),'General Inputs'!R$10*$I71,0))</f>
        <v>73.255530856906361</v>
      </c>
      <c r="AV71" s="214">
        <f>IF(AND(($E71+$C$1)&gt;AV$4,AV$4&gt;=$C$1),'General Inputs'!S$9*$H71,IF(AND(($D71+$C$1)&gt;AV$4,AV$4&gt;=$C$1),'General Inputs'!S$9*$G71,0))+IF(AND(($E71+$C$1)&gt;AV$4,AV$4&gt;=$C$1),'General Inputs'!S$10*$J71,IF(AND(($D71+$C$1)&gt;AV$4,AV$4&gt;=$C$1),'General Inputs'!S$10*$I71,0))</f>
        <v>74.354363819759939</v>
      </c>
      <c r="AW71" s="214">
        <f>IF(AND(($E71+$C$1)&gt;AW$4,AW$4&gt;=$C$1),'General Inputs'!T$9*$H71,IF(AND(($D71+$C$1)&gt;AW$4,AW$4&gt;=$C$1),'General Inputs'!T$9*$G71,0))+IF(AND(($E71+$C$1)&gt;AW$4,AW$4&gt;=$C$1),'General Inputs'!T$10*$J71,IF(AND(($D71+$C$1)&gt;AW$4,AW$4&gt;=$C$1),'General Inputs'!T$10*$I71,0))</f>
        <v>75.469679277056343</v>
      </c>
      <c r="AX71" s="214">
        <f>IF(AND(($E71+$C$1)&gt;AX$4,AX$4&gt;=$C$1),'General Inputs'!U$9*$H71,IF(AND(($D71+$C$1)&gt;AX$4,AX$4&gt;=$C$1),'General Inputs'!U$9*$G71,0))+IF(AND(($E71+$C$1)&gt;AX$4,AX$4&gt;=$C$1),'General Inputs'!U$10*$J71,IF(AND(($D71+$C$1)&gt;AX$4,AX$4&gt;=$C$1),'General Inputs'!U$10*$I71,0))</f>
        <v>76.601724466212175</v>
      </c>
      <c r="AY71" s="214">
        <f>IF(AND(($E71+$C$1)&gt;AY$4,AY$4&gt;=$C$1),'General Inputs'!V$9*$H71,IF(AND(($D71+$C$1)&gt;AY$4,AY$4&gt;=$C$1),'General Inputs'!V$9*$G71,0))+IF(AND(($E71+$C$1)&gt;AY$4,AY$4&gt;=$C$1),'General Inputs'!V$10*$J71,IF(AND(($D71+$C$1)&gt;AY$4,AY$4&gt;=$C$1),'General Inputs'!V$10*$I71,0))</f>
        <v>77.750750333205346</v>
      </c>
      <c r="AZ71" s="214">
        <f>IF(AND(($E71+$C$1)&gt;AZ$4,AZ$4&gt;=$C$1),'General Inputs'!W$9*$H71,IF(AND(($D71+$C$1)&gt;AZ$4,AZ$4&gt;=$C$1),'General Inputs'!W$9*$G71,0))+IF(AND(($E71+$C$1)&gt;AZ$4,AZ$4&gt;=$C$1),'General Inputs'!W$10*$J71,IF(AND(($D71+$C$1)&gt;AZ$4,AZ$4&gt;=$C$1),'General Inputs'!W$10*$I71,0))</f>
        <v>78.917011588203437</v>
      </c>
      <c r="BB71" s="214">
        <f>IF(AND(($E71+$C$1)&gt;BB$4,BB$4&gt;=$C$1),'General Inputs'!D$11*$H71,IF(AND(($D71+$C$1)&gt;BB$4,BB$4&gt;=$C$1),'General Inputs'!D$11*$G71,0))</f>
        <v>0</v>
      </c>
      <c r="BC71" s="214">
        <f>IF(AND(($E71+$C$1)&gt;BC$4,BC$4&gt;=$C$1),'General Inputs'!E$11*$H71,IF(AND(($D71+$C$1)&gt;BC$4,BC$4&gt;=$C$1),'General Inputs'!E$11*$G71,0))</f>
        <v>0</v>
      </c>
      <c r="BD71" s="214">
        <f>IF(AND(($E71+$C$1)&gt;BD$4,BD$4&gt;=$C$1),'General Inputs'!F$11*$H71,IF(AND(($D71+$C$1)&gt;BD$4,BD$4&gt;=$C$1),'General Inputs'!F$11*$G71,0))</f>
        <v>16.093591170750003</v>
      </c>
      <c r="BE71" s="214">
        <f>IF(AND(($E71+$C$1)&gt;BE$4,BE$4&gt;=$C$1),'General Inputs'!G$11*$H71,IF(AND(($D71+$C$1)&gt;BE$4,BE$4&gt;=$C$1),'General Inputs'!G$11*$G71,0))</f>
        <v>16.093591170750003</v>
      </c>
      <c r="BF71" s="214">
        <f>IF(AND(($E71+$C$1)&gt;BF$4,BF$4&gt;=$C$1),'General Inputs'!H$11*$H71,IF(AND(($D71+$C$1)&gt;BF$4,BF$4&gt;=$C$1),'General Inputs'!H$11*$G71,0))</f>
        <v>16.093591170750003</v>
      </c>
      <c r="BG71" s="214">
        <f>IF(AND(($E71+$C$1)&gt;BG$4,BG$4&gt;=$C$1),'General Inputs'!I$11*$H71,IF(AND(($D71+$C$1)&gt;BG$4,BG$4&gt;=$C$1),'General Inputs'!I$11*$G71,0))</f>
        <v>16.093591170750003</v>
      </c>
      <c r="BH71" s="214">
        <f>IF(AND(($E71+$C$1)&gt;BH$4,BH$4&gt;=$C$1),'General Inputs'!J$11*$H71,IF(AND(($D71+$C$1)&gt;BH$4,BH$4&gt;=$C$1),'General Inputs'!J$11*$G71,0))</f>
        <v>16.093591170750003</v>
      </c>
      <c r="BI71" s="214">
        <f>IF(AND(($E71+$C$1)&gt;BI$4,BI$4&gt;=$C$1),'General Inputs'!K$11*$H71,IF(AND(($D71+$C$1)&gt;BI$4,BI$4&gt;=$C$1),'General Inputs'!K$11*$G71,0))</f>
        <v>16.093591170750003</v>
      </c>
      <c r="BJ71" s="214">
        <f>IF(AND(($E71+$C$1)&gt;BJ$4,BJ$4&gt;=$C$1),'General Inputs'!L$11*$H71,IF(AND(($D71+$C$1)&gt;BJ$4,BJ$4&gt;=$C$1),'General Inputs'!L$11*$G71,0))</f>
        <v>16.093591170750003</v>
      </c>
      <c r="BK71" s="214">
        <f>IF(AND(($E71+$C$1)&gt;BK$4,BK$4&gt;=$C$1),'General Inputs'!M$11*$H71,IF(AND(($D71+$C$1)&gt;BK$4,BK$4&gt;=$C$1),'General Inputs'!M$11*$G71,0))</f>
        <v>16.093591170750003</v>
      </c>
      <c r="BL71" s="214">
        <f>IF(AND(($E71+$C$1)&gt;BL$4,BL$4&gt;=$C$1),'General Inputs'!N$11*$H71,IF(AND(($D71+$C$1)&gt;BL$4,BL$4&gt;=$C$1),'General Inputs'!N$11*$G71,0))</f>
        <v>16.093591170750003</v>
      </c>
      <c r="BM71" s="214">
        <f>IF(AND(($E71+$C$1)&gt;BM$4,BM$4&gt;=$C$1),'General Inputs'!O$11*$H71,IF(AND(($D71+$C$1)&gt;BM$4,BM$4&gt;=$C$1),'General Inputs'!O$11*$G71,0))</f>
        <v>16.093591170750003</v>
      </c>
      <c r="BN71" s="214">
        <f>IF(AND(($E71+$C$1)&gt;BN$4,BN$4&gt;=$C$1),'General Inputs'!P$11*$H71,IF(AND(($D71+$C$1)&gt;BN$4,BN$4&gt;=$C$1),'General Inputs'!P$11*$G71,0))</f>
        <v>16.093591170750003</v>
      </c>
      <c r="BO71" s="214">
        <f>IF(AND(($E71+$C$1)&gt;BO$4,BO$4&gt;=$C$1),'General Inputs'!Q$11*$H71,IF(AND(($D71+$C$1)&gt;BO$4,BO$4&gt;=$C$1),'General Inputs'!Q$11*$G71,0))</f>
        <v>16.093591170750003</v>
      </c>
      <c r="BP71" s="214">
        <f>IF(AND(($E71+$C$1)&gt;BP$4,BP$4&gt;=$C$1),'General Inputs'!R$11*$H71,IF(AND(($D71+$C$1)&gt;BP$4,BP$4&gt;=$C$1),'General Inputs'!R$11*$G71,0))</f>
        <v>16.093591170750003</v>
      </c>
      <c r="BQ71" s="214">
        <f>IF(AND(($E71+$C$1)&gt;BQ$4,BQ$4&gt;=$C$1),'General Inputs'!S$11*$H71,IF(AND(($D71+$C$1)&gt;BQ$4,BQ$4&gt;=$C$1),'General Inputs'!S$11*$G71,0))</f>
        <v>16.093591170750003</v>
      </c>
      <c r="BR71" s="214">
        <f>IF(AND(($E71+$C$1)&gt;BR$4,BR$4&gt;=$C$1),'General Inputs'!T$11*$H71,IF(AND(($D71+$C$1)&gt;BR$4,BR$4&gt;=$C$1),'General Inputs'!T$11*$G71,0))</f>
        <v>16.093591170750003</v>
      </c>
      <c r="BS71" s="214">
        <f>IF(AND(($E71+$C$1)&gt;BS$4,BS$4&gt;=$C$1),'General Inputs'!U$11*$H71,IF(AND(($D71+$C$1)&gt;BS$4,BS$4&gt;=$C$1),'General Inputs'!U$11*$G71,0))</f>
        <v>16.093591170750003</v>
      </c>
      <c r="BT71" s="214">
        <f>IF(AND(($E71+$C$1)&gt;BT$4,BT$4&gt;=$C$1),'General Inputs'!V$11*$H71,IF(AND(($D71+$C$1)&gt;BT$4,BT$4&gt;=$C$1),'General Inputs'!V$11*$G71,0))</f>
        <v>16.093591170750003</v>
      </c>
      <c r="BU71" s="214">
        <f>IF(AND(($E71+$C$1)&gt;BU$4,BU$4&gt;=$C$1),'General Inputs'!W$11*$H71,IF(AND(($D71+$C$1)&gt;BU$4,BU$4&gt;=$C$1),'General Inputs'!W$11*$G71,0))</f>
        <v>16.093591170750003</v>
      </c>
      <c r="BW71" s="214">
        <f>IF(AND(($E71+$C$1)&gt;BW$4,BW$4&gt;=$C$1),$H71,IF(AND(($D71+$C$1)&gt;BW$4,BW$4&gt;=$C$1),$G71,0))*IF($A71="Residential",'General Inputs'!D$14,'General Inputs'!D$19)</f>
        <v>0</v>
      </c>
      <c r="BX71" s="214">
        <f>IF(AND(($E71+$C$1)&gt;BX$4,BX$4&gt;=$C$1),$H71,IF(AND(($D71+$C$1)&gt;BX$4,BX$4&gt;=$C$1),$G71,0))*IF($A71="Residential",'General Inputs'!E$14,'General Inputs'!E$19)</f>
        <v>0</v>
      </c>
      <c r="BY71" s="214">
        <f>IF(AND(($E71+$C$1)&gt;BY$4,BY$4&gt;=$C$1),$H71,IF(AND(($D71+$C$1)&gt;BY$4,BY$4&gt;=$C$1),$G71,0))*IF($A71="Residential",'General Inputs'!F$14,'General Inputs'!F$19)</f>
        <v>151.93530180687287</v>
      </c>
      <c r="BZ71" s="214">
        <f>IF(AND(($E71+$C$1)&gt;BZ$4,BZ$4&gt;=$C$1),$H71,IF(AND(($D71+$C$1)&gt;BZ$4,BZ$4&gt;=$C$1),$G71,0))*IF($A71="Residential",'General Inputs'!G$14,'General Inputs'!G$19)</f>
        <v>154.21433133397596</v>
      </c>
      <c r="CA71" s="214">
        <f>IF(AND(($E71+$C$1)&gt;CA$4,CA$4&gt;=$C$1),$H71,IF(AND(($D71+$C$1)&gt;CA$4,CA$4&gt;=$C$1),$G71,0))*IF($A71="Residential",'General Inputs'!H$14,'General Inputs'!H$19)</f>
        <v>156.52754630398556</v>
      </c>
      <c r="CB71" s="214">
        <f>IF(AND(($E71+$C$1)&gt;CB$4,CB$4&gt;=$C$1),$H71,IF(AND(($D71+$C$1)&gt;CB$4,CB$4&gt;=$C$1),$G71,0))*IF($A71="Residential",'General Inputs'!I$14,'General Inputs'!I$19)</f>
        <v>158.87545949854533</v>
      </c>
      <c r="CC71" s="214">
        <f>IF(AND(($E71+$C$1)&gt;CC$4,CC$4&gt;=$C$1),$H71,IF(AND(($D71+$C$1)&gt;CC$4,CC$4&gt;=$C$1),$G71,0))*IF($A71="Residential",'General Inputs'!J$14,'General Inputs'!J$19)</f>
        <v>161.25859139102349</v>
      </c>
      <c r="CD71" s="214">
        <f>IF(AND(($E71+$C$1)&gt;CD$4,CD$4&gt;=$C$1),$H71,IF(AND(($D71+$C$1)&gt;CD$4,CD$4&gt;=$C$1),$G71,0))*IF($A71="Residential",'General Inputs'!K$14,'General Inputs'!K$19)</f>
        <v>163.67747026188883</v>
      </c>
      <c r="CE71" s="214">
        <f>IF(AND(($E71+$C$1)&gt;CE$4,CE$4&gt;=$C$1),$H71,IF(AND(($D71+$C$1)&gt;CE$4,CE$4&gt;=$C$1),$G71,0))*IF($A71="Residential",'General Inputs'!L$14,'General Inputs'!L$19)</f>
        <v>166.13263231581715</v>
      </c>
      <c r="CF71" s="214">
        <f>IF(AND(($E71+$C$1)&gt;CF$4,CF$4&gt;=$C$1),$H71,IF(AND(($D71+$C$1)&gt;CF$4,CF$4&gt;=$C$1),$G71,0))*IF($A71="Residential",'General Inputs'!M$14,'General Inputs'!M$19)</f>
        <v>168.62462180055437</v>
      </c>
      <c r="CG71" s="214">
        <f>IF(AND(($E71+$C$1)&gt;CG$4,CG$4&gt;=$C$1),$H71,IF(AND(($D71+$C$1)&gt;CG$4,CG$4&gt;=$C$1),$G71,0))*IF($A71="Residential",'General Inputs'!N$14,'General Inputs'!N$19)</f>
        <v>171.1539911275627</v>
      </c>
      <c r="CH71" s="214">
        <f>IF(AND(($E71+$C$1)&gt;CH$4,CH$4&gt;=$C$1),$H71,IF(AND(($D71+$C$1)&gt;CH$4,CH$4&gt;=$C$1),$G71,0))*IF($A71="Residential",'General Inputs'!O$14,'General Inputs'!O$19)</f>
        <v>173.72130099447611</v>
      </c>
      <c r="CI71" s="214">
        <f>IF(AND(($E71+$C$1)&gt;CI$4,CI$4&gt;=$C$1),$H71,IF(AND(($D71+$C$1)&gt;CI$4,CI$4&gt;=$C$1),$G71,0))*IF($A71="Residential",'General Inputs'!P$14,'General Inputs'!P$19)</f>
        <v>176.32712050939324</v>
      </c>
      <c r="CJ71" s="214">
        <f>IF(AND(($E71+$C$1)&gt;CJ$4,CJ$4&gt;=$C$1),$H71,IF(AND(($D71+$C$1)&gt;CJ$4,CJ$4&gt;=$C$1),$G71,0))*IF($A71="Residential",'General Inputs'!Q$14,'General Inputs'!Q$19)</f>
        <v>178.97202731703413</v>
      </c>
      <c r="CK71" s="214">
        <f>IF(AND(($E71+$C$1)&gt;CK$4,CK$4&gt;=$C$1),$H71,IF(AND(($D71+$C$1)&gt;CK$4,CK$4&gt;=$C$1),$G71,0))*IF($A71="Residential",'General Inputs'!R$14,'General Inputs'!R$19)</f>
        <v>181.65660772678959</v>
      </c>
      <c r="CL71" s="214">
        <f>IF(AND(($E71+$C$1)&gt;CL$4,CL$4&gt;=$C$1),$H71,IF(AND(($D71+$C$1)&gt;CL$4,CL$4&gt;=$C$1),$G71,0))*IF($A71="Residential",'General Inputs'!S$14,'General Inputs'!S$19)</f>
        <v>184.38145684269145</v>
      </c>
      <c r="CM71" s="214">
        <f>IF(AND(($E71+$C$1)&gt;CM$4,CM$4&gt;=$C$1),$H71,IF(AND(($D71+$C$1)&gt;CM$4,CM$4&gt;=$C$1),$G71,0))*IF($A71="Residential",'General Inputs'!T$14,'General Inputs'!T$19)</f>
        <v>187.1471786953318</v>
      </c>
      <c r="CN71" s="214">
        <f>IF(AND(($E71+$C$1)&gt;CN$4,CN$4&gt;=$C$1),$H71,IF(AND(($D71+$C$1)&gt;CN$4,CN$4&gt;=$C$1),$G71,0))*IF($A71="Residential",'General Inputs'!U$14,'General Inputs'!U$19)</f>
        <v>189.95438637576174</v>
      </c>
      <c r="CO71" s="214">
        <f>IF(AND(($E71+$C$1)&gt;CO$4,CO$4&gt;=$C$1),$H71,IF(AND(($D71+$C$1)&gt;CO$4,CO$4&gt;=$C$1),$G71,0))*IF($A71="Residential",'General Inputs'!V$14,'General Inputs'!V$19)</f>
        <v>192.80370217139813</v>
      </c>
      <c r="CP71" s="214">
        <f>IF(AND(($E71+$C$1)&gt;CP$4,CP$4&gt;=$C$1),$H71,IF(AND(($D71+$C$1)&gt;CP$4,CP$4&gt;=$C$1),$G71,0))*IF($A71="Residential",'General Inputs'!W$14,'General Inputs'!W$19)</f>
        <v>195.69575770396912</v>
      </c>
      <c r="CR71" s="214">
        <f>IF(AND(($E71+$C$1)&gt;CR$4,CR$4&gt;=$C$1),$H71,IF(AND(($D71+$C$1)&gt;CR$4,CR$4&gt;=$C$1),$G71,0))*IF($A71="Residential",'General Inputs'!D$15,'General Inputs'!D$19)</f>
        <v>0</v>
      </c>
      <c r="CS71" s="214">
        <f>IF(AND(($E71+$C$1)&gt;CS$4,CS$4&gt;=$C$1),$H71,IF(AND(($D71+$C$1)&gt;CS$4,CS$4&gt;=$C$1),$G71,0))*IF($A71="Residential",'General Inputs'!E$15,'General Inputs'!E$19)</f>
        <v>0</v>
      </c>
      <c r="CT71" s="214">
        <f>IF(AND(($E71+$C$1)&gt;CT$4,CT$4&gt;=$C$1),$H71,IF(AND(($D71+$C$1)&gt;CT$4,CT$4&gt;=$C$1),$G71,0))*IF($A71="Residential",'General Inputs'!F$15,'General Inputs'!F$19)</f>
        <v>151.93530180687287</v>
      </c>
      <c r="CU71" s="214">
        <f>IF(AND(($E71+$C$1)&gt;CU$4,CU$4&gt;=$C$1),$H71,IF(AND(($D71+$C$1)&gt;CU$4,CU$4&gt;=$C$1),$G71,0))*IF($A71="Residential",'General Inputs'!G$15,'General Inputs'!G$19)</f>
        <v>154.21433133397596</v>
      </c>
      <c r="CV71" s="214">
        <f>IF(AND(($E71+$C$1)&gt;CV$4,CV$4&gt;=$C$1),$H71,IF(AND(($D71+$C$1)&gt;CV$4,CV$4&gt;=$C$1),$G71,0))*IF($A71="Residential",'General Inputs'!H$15,'General Inputs'!H$19)</f>
        <v>156.52754630398556</v>
      </c>
      <c r="CW71" s="214">
        <f>IF(AND(($E71+$C$1)&gt;CW$4,CW$4&gt;=$C$1),$H71,IF(AND(($D71+$C$1)&gt;CW$4,CW$4&gt;=$C$1),$G71,0))*IF($A71="Residential",'General Inputs'!I$15,'General Inputs'!I$19)</f>
        <v>158.87545949854533</v>
      </c>
      <c r="CX71" s="214">
        <f>IF(AND(($E71+$C$1)&gt;CX$4,CX$4&gt;=$C$1),$H71,IF(AND(($D71+$C$1)&gt;CX$4,CX$4&gt;=$C$1),$G71,0))*IF($A71="Residential",'General Inputs'!J$15,'General Inputs'!J$19)</f>
        <v>161.25859139102349</v>
      </c>
      <c r="CY71" s="214">
        <f>IF(AND(($E71+$C$1)&gt;CY$4,CY$4&gt;=$C$1),$H71,IF(AND(($D71+$C$1)&gt;CY$4,CY$4&gt;=$C$1),$G71,0))*IF($A71="Residential",'General Inputs'!K$15,'General Inputs'!K$19)</f>
        <v>163.67747026188883</v>
      </c>
      <c r="CZ71" s="214">
        <f>IF(AND(($E71+$C$1)&gt;CZ$4,CZ$4&gt;=$C$1),$H71,IF(AND(($D71+$C$1)&gt;CZ$4,CZ$4&gt;=$C$1),$G71,0))*IF($A71="Residential",'General Inputs'!L$15,'General Inputs'!L$19)</f>
        <v>166.13263231581715</v>
      </c>
      <c r="DA71" s="214">
        <f>IF(AND(($E71+$C$1)&gt;DA$4,DA$4&gt;=$C$1),$H71,IF(AND(($D71+$C$1)&gt;DA$4,DA$4&gt;=$C$1),$G71,0))*IF($A71="Residential",'General Inputs'!M$15,'General Inputs'!M$19)</f>
        <v>168.62462180055437</v>
      </c>
      <c r="DB71" s="214">
        <f>IF(AND(($E71+$C$1)&gt;DB$4,DB$4&gt;=$C$1),$H71,IF(AND(($D71+$C$1)&gt;DB$4,DB$4&gt;=$C$1),$G71,0))*IF($A71="Residential",'General Inputs'!N$15,'General Inputs'!N$19)</f>
        <v>171.1539911275627</v>
      </c>
      <c r="DC71" s="214">
        <f>IF(AND(($E71+$C$1)&gt;DC$4,DC$4&gt;=$C$1),$H71,IF(AND(($D71+$C$1)&gt;DC$4,DC$4&gt;=$C$1),$G71,0))*IF($A71="Residential",'General Inputs'!O$15,'General Inputs'!O$19)</f>
        <v>173.72130099447611</v>
      </c>
      <c r="DD71" s="214">
        <f>IF(AND(($E71+$C$1)&gt;DD$4,DD$4&gt;=$C$1),$H71,IF(AND(($D71+$C$1)&gt;DD$4,DD$4&gt;=$C$1),$G71,0))*IF($A71="Residential",'General Inputs'!P$15,'General Inputs'!P$19)</f>
        <v>176.32712050939324</v>
      </c>
      <c r="DE71" s="214">
        <f>IF(AND(($E71+$C$1)&gt;DE$4,DE$4&gt;=$C$1),$H71,IF(AND(($D71+$C$1)&gt;DE$4,DE$4&gt;=$C$1),$G71,0))*IF($A71="Residential",'General Inputs'!Q$15,'General Inputs'!Q$19)</f>
        <v>178.97202731703413</v>
      </c>
      <c r="DF71" s="214">
        <f>IF(AND(($E71+$C$1)&gt;DF$4,DF$4&gt;=$C$1),$H71,IF(AND(($D71+$C$1)&gt;DF$4,DF$4&gt;=$C$1),$G71,0))*IF($A71="Residential",'General Inputs'!R$15,'General Inputs'!R$19)</f>
        <v>181.65660772678959</v>
      </c>
      <c r="DG71" s="214">
        <f>IF(AND(($E71+$C$1)&gt;DG$4,DG$4&gt;=$C$1),$H71,IF(AND(($D71+$C$1)&gt;DG$4,DG$4&gt;=$C$1),$G71,0))*IF($A71="Residential",'General Inputs'!S$15,'General Inputs'!S$19)</f>
        <v>184.38145684269145</v>
      </c>
      <c r="DH71" s="214">
        <f>IF(AND(($E71+$C$1)&gt;DH$4,DH$4&gt;=$C$1),$H71,IF(AND(($D71+$C$1)&gt;DH$4,DH$4&gt;=$C$1),$G71,0))*IF($A71="Residential",'General Inputs'!T$15,'General Inputs'!T$19)</f>
        <v>187.1471786953318</v>
      </c>
      <c r="DI71" s="214">
        <f>IF(AND(($E71+$C$1)&gt;DI$4,DI$4&gt;=$C$1),$H71,IF(AND(($D71+$C$1)&gt;DI$4,DI$4&gt;=$C$1),$G71,0))*IF($A71="Residential",'General Inputs'!U$15,'General Inputs'!U$19)</f>
        <v>189.95438637576174</v>
      </c>
      <c r="DJ71" s="214">
        <f>IF(AND(($E71+$C$1)&gt;DJ$4,DJ$4&gt;=$C$1),$H71,IF(AND(($D71+$C$1)&gt;DJ$4,DJ$4&gt;=$C$1),$G71,0))*IF($A71="Residential",'General Inputs'!V$15,'General Inputs'!V$19)</f>
        <v>192.80370217139813</v>
      </c>
      <c r="DK71" s="214">
        <f>IF(AND(($E71+$C$1)&gt;DK$4,DK$4&gt;=$C$1),$H71,IF(AND(($D71+$C$1)&gt;DK$4,DK$4&gt;=$C$1),$G71,0))*IF($A71="Residential",'General Inputs'!W$15,'General Inputs'!W$19)</f>
        <v>195.69575770396912</v>
      </c>
      <c r="DM71" s="214">
        <f t="shared" si="100"/>
        <v>0</v>
      </c>
      <c r="DN71" s="214">
        <f t="shared" si="100"/>
        <v>0</v>
      </c>
      <c r="DO71" s="214">
        <f t="shared" si="100"/>
        <v>849</v>
      </c>
      <c r="DP71" s="214">
        <f t="shared" si="100"/>
        <v>0</v>
      </c>
      <c r="DQ71" s="214">
        <f t="shared" si="100"/>
        <v>0</v>
      </c>
      <c r="DR71" s="214">
        <f t="shared" si="100"/>
        <v>0</v>
      </c>
      <c r="DS71" s="214">
        <f t="shared" si="100"/>
        <v>0</v>
      </c>
      <c r="DT71" s="214">
        <f t="shared" si="100"/>
        <v>0</v>
      </c>
      <c r="DU71" s="214">
        <f t="shared" si="100"/>
        <v>0</v>
      </c>
      <c r="DV71" s="214">
        <f t="shared" si="100"/>
        <v>0</v>
      </c>
      <c r="DW71" s="214">
        <f t="shared" si="100"/>
        <v>0</v>
      </c>
      <c r="DZ71" s="650"/>
      <c r="FI71" s="195"/>
      <c r="FJ71" s="195"/>
      <c r="FK71" s="195"/>
      <c r="FL71" s="195"/>
      <c r="FM71" s="195"/>
      <c r="FN71" s="195"/>
      <c r="FO71" s="195"/>
    </row>
    <row r="72" spans="1:171">
      <c r="A72" s="342" t="s">
        <v>112</v>
      </c>
      <c r="B72" s="427" t="str">
        <f>'Portfolio Inputs'!A71</f>
        <v>Pulse Start Metal Halide (≥750 W)</v>
      </c>
      <c r="C72" s="217">
        <f>IF($C$1=2014,'Portfolio Inputs'!$C71,IF($C$1=2015,'Portfolio Inputs'!$D71,'Portfolio Inputs'!$E71))</f>
        <v>3</v>
      </c>
      <c r="D72" s="504">
        <f>VLOOKUP(B72,Sources!$B$4:$J$104,2,FALSE)</f>
        <v>18</v>
      </c>
      <c r="E72" s="504">
        <f>VLOOKUP(B72,Sources!$B$4:$J$104,3,FALSE)</f>
        <v>0</v>
      </c>
      <c r="G72" s="504">
        <f>IF($C$1=2014,'Portfolio Inputs'!$G71,IF($C$1=2015,'Portfolio Inputs'!$H71,'Portfolio Inputs'!$I71))*EnergyLineLoss</f>
        <v>6117.4469362499995</v>
      </c>
      <c r="H72" s="504"/>
      <c r="I72" s="595">
        <f>IF($C$1=2014,'Portfolio Inputs'!$K71,IF($C$1=2015,'Portfolio Inputs'!$L71,'Portfolio Inputs'!$M71))*PeakLineLoss</f>
        <v>0.94593727800000005</v>
      </c>
      <c r="J72" s="510"/>
      <c r="L72" s="606">
        <f>IF($C$1=2014,'Portfolio Inputs'!$O71,IF($C$1=2015,'Portfolio Inputs'!$P71,'Portfolio Inputs'!$Q71))</f>
        <v>381</v>
      </c>
      <c r="M72" s="518">
        <f>VLOOKUP($B72,Sources!$B$4:$K$104,10,FALSE)</f>
        <v>0</v>
      </c>
      <c r="N72" s="419">
        <f>IF($C$1=2014,'Portfolio Inputs'!$W71,IF($C$1=2015,'Portfolio Inputs'!$X71,'Portfolio Inputs'!$Y71))</f>
        <v>195</v>
      </c>
      <c r="O72" s="419">
        <f>IF($C$1=2014,'Portfolio Inputs'!$AA71,IF($C$1=2015,'Portfolio Inputs'!$AB71,'Portfolio Inputs'!$AC71))</f>
        <v>0</v>
      </c>
      <c r="Q72" s="438">
        <f t="shared" si="67"/>
        <v>2.46422860113229</v>
      </c>
      <c r="R72" s="439">
        <f t="shared" si="68"/>
        <v>14.444170723560037</v>
      </c>
      <c r="S72" s="439">
        <f t="shared" si="69"/>
        <v>3.0519248337158782</v>
      </c>
      <c r="T72" s="439">
        <f t="shared" si="70"/>
        <v>6.2813150857981856</v>
      </c>
      <c r="U72" s="439">
        <f t="shared" si="98"/>
        <v>6.2813150857981856</v>
      </c>
      <c r="V72" s="439">
        <f t="shared" si="72"/>
        <v>0.39231093608149303</v>
      </c>
      <c r="W72" s="439">
        <f t="shared" si="73"/>
        <v>0.39231093608149303</v>
      </c>
      <c r="Y72" s="215">
        <f t="shared" si="101"/>
        <v>2377.6622255041398</v>
      </c>
      <c r="Z72" s="215">
        <f t="shared" si="102"/>
        <v>567.0509349834781</v>
      </c>
      <c r="AA72" s="215">
        <f t="shared" si="103"/>
        <v>5896.047017240212</v>
      </c>
      <c r="AB72" s="215">
        <f t="shared" si="104"/>
        <v>5896.047017240212</v>
      </c>
      <c r="AC72" s="216">
        <f t="shared" si="20"/>
        <v>0</v>
      </c>
      <c r="AD72" s="216">
        <f t="shared" si="21"/>
        <v>164.61050419640293</v>
      </c>
      <c r="AE72" s="215">
        <f t="shared" si="105"/>
        <v>964.87080152045405</v>
      </c>
      <c r="AG72" s="214">
        <f>IF(AND(($E72+$C$1)&gt;AG$4,AG$4&gt;=$C$1),'General Inputs'!D$9*$H72,IF(AND(($D72+$C$1)&gt;AG$4,AG$4&gt;=$C$1),'General Inputs'!D$9*$G72,0))+IF(AND(($E72+$C$1)&gt;AG$4,AG$4&gt;=$C$1),'General Inputs'!D$10*$J72,IF(AND(($D72+$C$1)&gt;AG$4,AG$4&gt;=$C$1),'General Inputs'!D$10*$I72,0))</f>
        <v>0</v>
      </c>
      <c r="AH72" s="214">
        <f>IF(AND(($E72+$C$1)&gt;AH$4,AH$4&gt;=$C$1),'General Inputs'!E$9*$H72,IF(AND(($D72+$C$1)&gt;AH$4,AH$4&gt;=$C$1),'General Inputs'!E$9*$G72,0))+IF(AND(($E72+$C$1)&gt;AH$4,AH$4&gt;=$C$1),'General Inputs'!E$10*$J72,IF(AND(($D72+$C$1)&gt;AH$4,AH$4&gt;=$C$1),'General Inputs'!E$10*$I72,0))</f>
        <v>0</v>
      </c>
      <c r="AI72" s="214">
        <f>IF(AND(($E72+$C$1)&gt;AI$4,AI$4&gt;=$C$1),'General Inputs'!F$9*$H72,IF(AND(($D72+$C$1)&gt;AI$4,AI$4&gt;=$C$1),'General Inputs'!F$9*$G72,0))+IF(AND(($E72+$C$1)&gt;AI$4,AI$4&gt;=$C$1),'General Inputs'!F$10*$J72,IF(AND(($D72+$C$1)&gt;AI$4,AI$4&gt;=$C$1),'General Inputs'!F$10*$I72,0))</f>
        <v>265.50335323627502</v>
      </c>
      <c r="AJ72" s="214">
        <f>IF(AND(($E72+$C$1)&gt;AJ$4,AJ$4&gt;=$C$1),'General Inputs'!G$9*$H72,IF(AND(($D72+$C$1)&gt;AJ$4,AJ$4&gt;=$C$1),'General Inputs'!G$9*$G72,0))+IF(AND(($E72+$C$1)&gt;AJ$4,AJ$4&gt;=$C$1),'General Inputs'!G$10*$J72,IF(AND(($D72+$C$1)&gt;AJ$4,AJ$4&gt;=$C$1),'General Inputs'!G$10*$I72,0))</f>
        <v>269.48590353481916</v>
      </c>
      <c r="AK72" s="214">
        <f>IF(AND(($E72+$C$1)&gt;AK$4,AK$4&gt;=$C$1),'General Inputs'!H$9*$H72,IF(AND(($D72+$C$1)&gt;AK$4,AK$4&gt;=$C$1),'General Inputs'!H$9*$G72,0))+IF(AND(($E72+$C$1)&gt;AK$4,AK$4&gt;=$C$1),'General Inputs'!H$10*$J72,IF(AND(($D72+$C$1)&gt;AK$4,AK$4&gt;=$C$1),'General Inputs'!H$10*$I72,0))</f>
        <v>273.52819208784143</v>
      </c>
      <c r="AL72" s="214">
        <f>IF(AND(($E72+$C$1)&gt;AL$4,AL$4&gt;=$C$1),'General Inputs'!I$9*$H72,IF(AND(($D72+$C$1)&gt;AL$4,AL$4&gt;=$C$1),'General Inputs'!I$9*$G72,0))+IF(AND(($E72+$C$1)&gt;AL$4,AL$4&gt;=$C$1),'General Inputs'!I$10*$J72,IF(AND(($D72+$C$1)&gt;AL$4,AL$4&gt;=$C$1),'General Inputs'!I$10*$I72,0))</f>
        <v>277.63111496915894</v>
      </c>
      <c r="AM72" s="214">
        <f>IF(AND(($E72+$C$1)&gt;AM$4,AM$4&gt;=$C$1),'General Inputs'!J$9*$H72,IF(AND(($D72+$C$1)&gt;AM$4,AM$4&gt;=$C$1),'General Inputs'!J$9*$G72,0))+IF(AND(($E72+$C$1)&gt;AM$4,AM$4&gt;=$C$1),'General Inputs'!J$10*$J72,IF(AND(($D72+$C$1)&gt;AM$4,AM$4&gt;=$C$1),'General Inputs'!J$10*$I72,0))</f>
        <v>281.79558169369631</v>
      </c>
      <c r="AN72" s="214">
        <f>IF(AND(($E72+$C$1)&gt;AN$4,AN$4&gt;=$C$1),'General Inputs'!K$9*$H72,IF(AND(($D72+$C$1)&gt;AN$4,AN$4&gt;=$C$1),'General Inputs'!K$9*$G72,0))+IF(AND(($E72+$C$1)&gt;AN$4,AN$4&gt;=$C$1),'General Inputs'!K$10*$J72,IF(AND(($D72+$C$1)&gt;AN$4,AN$4&gt;=$C$1),'General Inputs'!K$10*$I72,0))</f>
        <v>286.02251541910169</v>
      </c>
      <c r="AO72" s="214">
        <f>IF(AND(($E72+$C$1)&gt;AO$4,AO$4&gt;=$C$1),'General Inputs'!L$9*$H72,IF(AND(($D72+$C$1)&gt;AO$4,AO$4&gt;=$C$1),'General Inputs'!L$9*$G72,0))+IF(AND(($E72+$C$1)&gt;AO$4,AO$4&gt;=$C$1),'General Inputs'!L$10*$J72,IF(AND(($D72+$C$1)&gt;AO$4,AO$4&gt;=$C$1),'General Inputs'!L$10*$I72,0))</f>
        <v>290.31285315038821</v>
      </c>
      <c r="AP72" s="214">
        <f>IF(AND(($E72+$C$1)&gt;AP$4,AP$4&gt;=$C$1),'General Inputs'!M$9*$H72,IF(AND(($D72+$C$1)&gt;AP$4,AP$4&gt;=$C$1),'General Inputs'!M$9*$G72,0))+IF(AND(($E72+$C$1)&gt;AP$4,AP$4&gt;=$C$1),'General Inputs'!M$10*$J72,IF(AND(($D72+$C$1)&gt;AP$4,AP$4&gt;=$C$1),'General Inputs'!M$10*$I72,0))</f>
        <v>294.66754594764399</v>
      </c>
      <c r="AQ72" s="214">
        <f>IF(AND(($E72+$C$1)&gt;AQ$4,AQ$4&gt;=$C$1),'General Inputs'!N$9*$H72,IF(AND(($D72+$C$1)&gt;AQ$4,AQ$4&gt;=$C$1),'General Inputs'!N$9*$G72,0))+IF(AND(($E72+$C$1)&gt;AQ$4,AQ$4&gt;=$C$1),'General Inputs'!N$10*$J72,IF(AND(($D72+$C$1)&gt;AQ$4,AQ$4&gt;=$C$1),'General Inputs'!N$10*$I72,0))</f>
        <v>299.08755913685866</v>
      </c>
      <c r="AR72" s="214">
        <f>IF(AND(($E72+$C$1)&gt;AR$4,AR$4&gt;=$C$1),'General Inputs'!O$9*$H72,IF(AND(($D72+$C$1)&gt;AR$4,AR$4&gt;=$C$1),'General Inputs'!O$9*$G72,0))+IF(AND(($E72+$C$1)&gt;AR$4,AR$4&gt;=$C$1),'General Inputs'!O$10*$J72,IF(AND(($D72+$C$1)&gt;AR$4,AR$4&gt;=$C$1),'General Inputs'!O$10*$I72,0))</f>
        <v>303.57387252391152</v>
      </c>
      <c r="AS72" s="214">
        <f>IF(AND(($E72+$C$1)&gt;AS$4,AS$4&gt;=$C$1),'General Inputs'!P$9*$H72,IF(AND(($D72+$C$1)&gt;AS$4,AS$4&gt;=$C$1),'General Inputs'!P$9*$G72,0))+IF(AND(($E72+$C$1)&gt;AS$4,AS$4&gt;=$C$1),'General Inputs'!P$10*$J72,IF(AND(($D72+$C$1)&gt;AS$4,AS$4&gt;=$C$1),'General Inputs'!P$10*$I72,0))</f>
        <v>308.12748061177012</v>
      </c>
      <c r="AT72" s="214">
        <f>IF(AND(($E72+$C$1)&gt;AT$4,AT$4&gt;=$C$1),'General Inputs'!Q$9*$H72,IF(AND(($D72+$C$1)&gt;AT$4,AT$4&gt;=$C$1),'General Inputs'!Q$9*$G72,0))+IF(AND(($E72+$C$1)&gt;AT$4,AT$4&gt;=$C$1),'General Inputs'!Q$10*$J72,IF(AND(($D72+$C$1)&gt;AT$4,AT$4&gt;=$C$1),'General Inputs'!Q$10*$I72,0))</f>
        <v>312.74939282094664</v>
      </c>
      <c r="AU72" s="214">
        <f>IF(AND(($E72+$C$1)&gt;AU$4,AU$4&gt;=$C$1),'General Inputs'!R$9*$H72,IF(AND(($D72+$C$1)&gt;AU$4,AU$4&gt;=$C$1),'General Inputs'!R$9*$G72,0))+IF(AND(($E72+$C$1)&gt;AU$4,AU$4&gt;=$C$1),'General Inputs'!R$10*$J72,IF(AND(($D72+$C$1)&gt;AU$4,AU$4&gt;=$C$1),'General Inputs'!R$10*$I72,0))</f>
        <v>317.44063371326081</v>
      </c>
      <c r="AV72" s="214">
        <f>IF(AND(($E72+$C$1)&gt;AV$4,AV$4&gt;=$C$1),'General Inputs'!S$9*$H72,IF(AND(($D72+$C$1)&gt;AV$4,AV$4&gt;=$C$1),'General Inputs'!S$9*$G72,0))+IF(AND(($E72+$C$1)&gt;AV$4,AV$4&gt;=$C$1),'General Inputs'!S$10*$J72,IF(AND(($D72+$C$1)&gt;AV$4,AV$4&gt;=$C$1),'General Inputs'!S$10*$I72,0))</f>
        <v>322.20224321895972</v>
      </c>
      <c r="AW72" s="214">
        <f>IF(AND(($E72+$C$1)&gt;AW$4,AW$4&gt;=$C$1),'General Inputs'!T$9*$H72,IF(AND(($D72+$C$1)&gt;AW$4,AW$4&gt;=$C$1),'General Inputs'!T$9*$G72,0))+IF(AND(($E72+$C$1)&gt;AW$4,AW$4&gt;=$C$1),'General Inputs'!T$10*$J72,IF(AND(($D72+$C$1)&gt;AW$4,AW$4&gt;=$C$1),'General Inputs'!T$10*$I72,0))</f>
        <v>327.03527686724414</v>
      </c>
      <c r="AX72" s="214">
        <f>IF(AND(($E72+$C$1)&gt;AX$4,AX$4&gt;=$C$1),'General Inputs'!U$9*$H72,IF(AND(($D72+$C$1)&gt;AX$4,AX$4&gt;=$C$1),'General Inputs'!U$9*$G72,0))+IF(AND(($E72+$C$1)&gt;AX$4,AX$4&gt;=$C$1),'General Inputs'!U$10*$J72,IF(AND(($D72+$C$1)&gt;AX$4,AX$4&gt;=$C$1),'General Inputs'!U$10*$I72,0))</f>
        <v>331.94080602025275</v>
      </c>
      <c r="AY72" s="214">
        <f>IF(AND(($E72+$C$1)&gt;AY$4,AY$4&gt;=$C$1),'General Inputs'!V$9*$H72,IF(AND(($D72+$C$1)&gt;AY$4,AY$4&gt;=$C$1),'General Inputs'!V$9*$G72,0))+IF(AND(($E72+$C$1)&gt;AY$4,AY$4&gt;=$C$1),'General Inputs'!V$10*$J72,IF(AND(($D72+$C$1)&gt;AY$4,AY$4&gt;=$C$1),'General Inputs'!V$10*$I72,0))</f>
        <v>336.91991811055652</v>
      </c>
      <c r="AZ72" s="214">
        <f>IF(AND(($E72+$C$1)&gt;AZ$4,AZ$4&gt;=$C$1),'General Inputs'!W$9*$H72,IF(AND(($D72+$C$1)&gt;AZ$4,AZ$4&gt;=$C$1),'General Inputs'!W$9*$G72,0))+IF(AND(($E72+$C$1)&gt;AZ$4,AZ$4&gt;=$C$1),'General Inputs'!W$10*$J72,IF(AND(($D72+$C$1)&gt;AZ$4,AZ$4&gt;=$C$1),'General Inputs'!W$10*$I72,0))</f>
        <v>341.97371688221477</v>
      </c>
      <c r="BB72" s="214">
        <f>IF(AND(($E72+$C$1)&gt;BB$4,BB$4&gt;=$C$1),'General Inputs'!D$11*$H72,IF(AND(($D72+$C$1)&gt;BB$4,BB$4&gt;=$C$1),'General Inputs'!D$11*$G72,0))</f>
        <v>0</v>
      </c>
      <c r="BC72" s="214">
        <f>IF(AND(($E72+$C$1)&gt;BC$4,BC$4&gt;=$C$1),'General Inputs'!E$11*$H72,IF(AND(($D72+$C$1)&gt;BC$4,BC$4&gt;=$C$1),'General Inputs'!E$11*$G72,0))</f>
        <v>0</v>
      </c>
      <c r="BD72" s="214">
        <f>IF(AND(($E72+$C$1)&gt;BD$4,BD$4&gt;=$C$1),'General Inputs'!F$11*$H72,IF(AND(($D72+$C$1)&gt;BD$4,BD$4&gt;=$C$1),'General Inputs'!F$11*$G72,0))</f>
        <v>69.738895073249992</v>
      </c>
      <c r="BE72" s="214">
        <f>IF(AND(($E72+$C$1)&gt;BE$4,BE$4&gt;=$C$1),'General Inputs'!G$11*$H72,IF(AND(($D72+$C$1)&gt;BE$4,BE$4&gt;=$C$1),'General Inputs'!G$11*$G72,0))</f>
        <v>69.738895073249992</v>
      </c>
      <c r="BF72" s="214">
        <f>IF(AND(($E72+$C$1)&gt;BF$4,BF$4&gt;=$C$1),'General Inputs'!H$11*$H72,IF(AND(($D72+$C$1)&gt;BF$4,BF$4&gt;=$C$1),'General Inputs'!H$11*$G72,0))</f>
        <v>69.738895073249992</v>
      </c>
      <c r="BG72" s="214">
        <f>IF(AND(($E72+$C$1)&gt;BG$4,BG$4&gt;=$C$1),'General Inputs'!I$11*$H72,IF(AND(($D72+$C$1)&gt;BG$4,BG$4&gt;=$C$1),'General Inputs'!I$11*$G72,0))</f>
        <v>69.738895073249992</v>
      </c>
      <c r="BH72" s="214">
        <f>IF(AND(($E72+$C$1)&gt;BH$4,BH$4&gt;=$C$1),'General Inputs'!J$11*$H72,IF(AND(($D72+$C$1)&gt;BH$4,BH$4&gt;=$C$1),'General Inputs'!J$11*$G72,0))</f>
        <v>69.738895073249992</v>
      </c>
      <c r="BI72" s="214">
        <f>IF(AND(($E72+$C$1)&gt;BI$4,BI$4&gt;=$C$1),'General Inputs'!K$11*$H72,IF(AND(($D72+$C$1)&gt;BI$4,BI$4&gt;=$C$1),'General Inputs'!K$11*$G72,0))</f>
        <v>69.738895073249992</v>
      </c>
      <c r="BJ72" s="214">
        <f>IF(AND(($E72+$C$1)&gt;BJ$4,BJ$4&gt;=$C$1),'General Inputs'!L$11*$H72,IF(AND(($D72+$C$1)&gt;BJ$4,BJ$4&gt;=$C$1),'General Inputs'!L$11*$G72,0))</f>
        <v>69.738895073249992</v>
      </c>
      <c r="BK72" s="214">
        <f>IF(AND(($E72+$C$1)&gt;BK$4,BK$4&gt;=$C$1),'General Inputs'!M$11*$H72,IF(AND(($D72+$C$1)&gt;BK$4,BK$4&gt;=$C$1),'General Inputs'!M$11*$G72,0))</f>
        <v>69.738895073249992</v>
      </c>
      <c r="BL72" s="214">
        <f>IF(AND(($E72+$C$1)&gt;BL$4,BL$4&gt;=$C$1),'General Inputs'!N$11*$H72,IF(AND(($D72+$C$1)&gt;BL$4,BL$4&gt;=$C$1),'General Inputs'!N$11*$G72,0))</f>
        <v>69.738895073249992</v>
      </c>
      <c r="BM72" s="214">
        <f>IF(AND(($E72+$C$1)&gt;BM$4,BM$4&gt;=$C$1),'General Inputs'!O$11*$H72,IF(AND(($D72+$C$1)&gt;BM$4,BM$4&gt;=$C$1),'General Inputs'!O$11*$G72,0))</f>
        <v>69.738895073249992</v>
      </c>
      <c r="BN72" s="214">
        <f>IF(AND(($E72+$C$1)&gt;BN$4,BN$4&gt;=$C$1),'General Inputs'!P$11*$H72,IF(AND(($D72+$C$1)&gt;BN$4,BN$4&gt;=$C$1),'General Inputs'!P$11*$G72,0))</f>
        <v>69.738895073249992</v>
      </c>
      <c r="BO72" s="214">
        <f>IF(AND(($E72+$C$1)&gt;BO$4,BO$4&gt;=$C$1),'General Inputs'!Q$11*$H72,IF(AND(($D72+$C$1)&gt;BO$4,BO$4&gt;=$C$1),'General Inputs'!Q$11*$G72,0))</f>
        <v>69.738895073249992</v>
      </c>
      <c r="BP72" s="214">
        <f>IF(AND(($E72+$C$1)&gt;BP$4,BP$4&gt;=$C$1),'General Inputs'!R$11*$H72,IF(AND(($D72+$C$1)&gt;BP$4,BP$4&gt;=$C$1),'General Inputs'!R$11*$G72,0))</f>
        <v>69.738895073249992</v>
      </c>
      <c r="BQ72" s="214">
        <f>IF(AND(($E72+$C$1)&gt;BQ$4,BQ$4&gt;=$C$1),'General Inputs'!S$11*$H72,IF(AND(($D72+$C$1)&gt;BQ$4,BQ$4&gt;=$C$1),'General Inputs'!S$11*$G72,0))</f>
        <v>69.738895073249992</v>
      </c>
      <c r="BR72" s="214">
        <f>IF(AND(($E72+$C$1)&gt;BR$4,BR$4&gt;=$C$1),'General Inputs'!T$11*$H72,IF(AND(($D72+$C$1)&gt;BR$4,BR$4&gt;=$C$1),'General Inputs'!T$11*$G72,0))</f>
        <v>69.738895073249992</v>
      </c>
      <c r="BS72" s="214">
        <f>IF(AND(($E72+$C$1)&gt;BS$4,BS$4&gt;=$C$1),'General Inputs'!U$11*$H72,IF(AND(($D72+$C$1)&gt;BS$4,BS$4&gt;=$C$1),'General Inputs'!U$11*$G72,0))</f>
        <v>69.738895073249992</v>
      </c>
      <c r="BT72" s="214">
        <f>IF(AND(($E72+$C$1)&gt;BT$4,BT$4&gt;=$C$1),'General Inputs'!V$11*$H72,IF(AND(($D72+$C$1)&gt;BT$4,BT$4&gt;=$C$1),'General Inputs'!V$11*$G72,0))</f>
        <v>69.738895073249992</v>
      </c>
      <c r="BU72" s="214">
        <f>IF(AND(($E72+$C$1)&gt;BU$4,BU$4&gt;=$C$1),'General Inputs'!W$11*$H72,IF(AND(($D72+$C$1)&gt;BU$4,BU$4&gt;=$C$1),'General Inputs'!W$11*$G72,0))</f>
        <v>69.738895073249992</v>
      </c>
      <c r="BW72" s="214">
        <f>IF(AND(($E72+$C$1)&gt;BW$4,BW$4&gt;=$C$1),$H72,IF(AND(($D72+$C$1)&gt;BW$4,BW$4&gt;=$C$1),$G72,0))*IF($A72="Residential",'General Inputs'!D$14,'General Inputs'!D$19)</f>
        <v>0</v>
      </c>
      <c r="BX72" s="214">
        <f>IF(AND(($E72+$C$1)&gt;BX$4,BX$4&gt;=$C$1),$H72,IF(AND(($D72+$C$1)&gt;BX$4,BX$4&gt;=$C$1),$G72,0))*IF($A72="Residential",'General Inputs'!E$14,'General Inputs'!E$19)</f>
        <v>0</v>
      </c>
      <c r="BY72" s="214">
        <f>IF(AND(($E72+$C$1)&gt;BY$4,BY$4&gt;=$C$1),$H72,IF(AND(($D72+$C$1)&gt;BY$4,BY$4&gt;=$C$1),$G72,0))*IF($A72="Residential",'General Inputs'!F$14,'General Inputs'!F$19)</f>
        <v>658.38630782978237</v>
      </c>
      <c r="BZ72" s="214">
        <f>IF(AND(($E72+$C$1)&gt;BZ$4,BZ$4&gt;=$C$1),$H72,IF(AND(($D72+$C$1)&gt;BZ$4,BZ$4&gt;=$C$1),$G72,0))*IF($A72="Residential",'General Inputs'!G$14,'General Inputs'!G$19)</f>
        <v>668.26210244722904</v>
      </c>
      <c r="CA72" s="214">
        <f>IF(AND(($E72+$C$1)&gt;CA$4,CA$4&gt;=$C$1),$H72,IF(AND(($D72+$C$1)&gt;CA$4,CA$4&gt;=$C$1),$G72,0))*IF($A72="Residential",'General Inputs'!H$14,'General Inputs'!H$19)</f>
        <v>678.28603398393727</v>
      </c>
      <c r="CB72" s="214">
        <f>IF(AND(($E72+$C$1)&gt;CB$4,CB$4&gt;=$C$1),$H72,IF(AND(($D72+$C$1)&gt;CB$4,CB$4&gt;=$C$1),$G72,0))*IF($A72="Residential",'General Inputs'!I$14,'General Inputs'!I$19)</f>
        <v>688.46032449369625</v>
      </c>
      <c r="CC72" s="214">
        <f>IF(AND(($E72+$C$1)&gt;CC$4,CC$4&gt;=$C$1),$H72,IF(AND(($D72+$C$1)&gt;CC$4,CC$4&gt;=$C$1),$G72,0))*IF($A72="Residential",'General Inputs'!J$14,'General Inputs'!J$19)</f>
        <v>698.78722936110171</v>
      </c>
      <c r="CD72" s="214">
        <f>IF(AND(($E72+$C$1)&gt;CD$4,CD$4&gt;=$C$1),$H72,IF(AND(($D72+$C$1)&gt;CD$4,CD$4&gt;=$C$1),$G72,0))*IF($A72="Residential",'General Inputs'!K$14,'General Inputs'!K$19)</f>
        <v>709.26903780151815</v>
      </c>
      <c r="CE72" s="214">
        <f>IF(AND(($E72+$C$1)&gt;CE$4,CE$4&gt;=$C$1),$H72,IF(AND(($D72+$C$1)&gt;CE$4,CE$4&gt;=$C$1),$G72,0))*IF($A72="Residential",'General Inputs'!L$14,'General Inputs'!L$19)</f>
        <v>719.90807336854084</v>
      </c>
      <c r="CF72" s="214">
        <f>IF(AND(($E72+$C$1)&gt;CF$4,CF$4&gt;=$C$1),$H72,IF(AND(($D72+$C$1)&gt;CF$4,CF$4&gt;=$C$1),$G72,0))*IF($A72="Residential",'General Inputs'!M$14,'General Inputs'!M$19)</f>
        <v>730.70669446906891</v>
      </c>
      <c r="CG72" s="214">
        <f>IF(AND(($E72+$C$1)&gt;CG$4,CG$4&gt;=$C$1),$H72,IF(AND(($D72+$C$1)&gt;CG$4,CG$4&gt;=$C$1),$G72,0))*IF($A72="Residential",'General Inputs'!N$14,'General Inputs'!N$19)</f>
        <v>741.66729488610497</v>
      </c>
      <c r="CH72" s="214">
        <f>IF(AND(($E72+$C$1)&gt;CH$4,CH$4&gt;=$C$1),$H72,IF(AND(($D72+$C$1)&gt;CH$4,CH$4&gt;=$C$1),$G72,0))*IF($A72="Residential",'General Inputs'!O$14,'General Inputs'!O$19)</f>
        <v>752.79230430939629</v>
      </c>
      <c r="CI72" s="214">
        <f>IF(AND(($E72+$C$1)&gt;CI$4,CI$4&gt;=$C$1),$H72,IF(AND(($D72+$C$1)&gt;CI$4,CI$4&gt;=$C$1),$G72,0))*IF($A72="Residential",'General Inputs'!P$14,'General Inputs'!P$19)</f>
        <v>764.0841888740373</v>
      </c>
      <c r="CJ72" s="214">
        <f>IF(AND(($E72+$C$1)&gt;CJ$4,CJ$4&gt;=$C$1),$H72,IF(AND(($D72+$C$1)&gt;CJ$4,CJ$4&gt;=$C$1),$G72,0))*IF($A72="Residential",'General Inputs'!Q$14,'General Inputs'!Q$19)</f>
        <v>775.54545170714778</v>
      </c>
      <c r="CK72" s="214">
        <f>IF(AND(($E72+$C$1)&gt;CK$4,CK$4&gt;=$C$1),$H72,IF(AND(($D72+$C$1)&gt;CK$4,CK$4&gt;=$C$1),$G72,0))*IF($A72="Residential",'General Inputs'!R$14,'General Inputs'!R$19)</f>
        <v>787.17863348275489</v>
      </c>
      <c r="CL72" s="214">
        <f>IF(AND(($E72+$C$1)&gt;CL$4,CL$4&gt;=$C$1),$H72,IF(AND(($D72+$C$1)&gt;CL$4,CL$4&gt;=$C$1),$G72,0))*IF($A72="Residential",'General Inputs'!S$14,'General Inputs'!S$19)</f>
        <v>798.98631298499618</v>
      </c>
      <c r="CM72" s="214">
        <f>IF(AND(($E72+$C$1)&gt;CM$4,CM$4&gt;=$C$1),$H72,IF(AND(($D72+$C$1)&gt;CM$4,CM$4&gt;=$C$1),$G72,0))*IF($A72="Residential",'General Inputs'!T$14,'General Inputs'!T$19)</f>
        <v>810.97110767977108</v>
      </c>
      <c r="CN72" s="214">
        <f>IF(AND(($E72+$C$1)&gt;CN$4,CN$4&gt;=$C$1),$H72,IF(AND(($D72+$C$1)&gt;CN$4,CN$4&gt;=$C$1),$G72,0))*IF($A72="Residential",'General Inputs'!U$14,'General Inputs'!U$19)</f>
        <v>823.13567429496743</v>
      </c>
      <c r="CO72" s="214">
        <f>IF(AND(($E72+$C$1)&gt;CO$4,CO$4&gt;=$C$1),$H72,IF(AND(($D72+$C$1)&gt;CO$4,CO$4&gt;=$C$1),$G72,0))*IF($A72="Residential",'General Inputs'!V$14,'General Inputs'!V$19)</f>
        <v>835.48270940939187</v>
      </c>
      <c r="CP72" s="214">
        <f>IF(AND(($E72+$C$1)&gt;CP$4,CP$4&gt;=$C$1),$H72,IF(AND(($D72+$C$1)&gt;CP$4,CP$4&gt;=$C$1),$G72,0))*IF($A72="Residential",'General Inputs'!W$14,'General Inputs'!W$19)</f>
        <v>848.01495005053278</v>
      </c>
      <c r="CR72" s="214">
        <f>IF(AND(($E72+$C$1)&gt;CR$4,CR$4&gt;=$C$1),$H72,IF(AND(($D72+$C$1)&gt;CR$4,CR$4&gt;=$C$1),$G72,0))*IF($A72="Residential",'General Inputs'!D$15,'General Inputs'!D$19)</f>
        <v>0</v>
      </c>
      <c r="CS72" s="214">
        <f>IF(AND(($E72+$C$1)&gt;CS$4,CS$4&gt;=$C$1),$H72,IF(AND(($D72+$C$1)&gt;CS$4,CS$4&gt;=$C$1),$G72,0))*IF($A72="Residential",'General Inputs'!E$15,'General Inputs'!E$19)</f>
        <v>0</v>
      </c>
      <c r="CT72" s="214">
        <f>IF(AND(($E72+$C$1)&gt;CT$4,CT$4&gt;=$C$1),$H72,IF(AND(($D72+$C$1)&gt;CT$4,CT$4&gt;=$C$1),$G72,0))*IF($A72="Residential",'General Inputs'!F$15,'General Inputs'!F$19)</f>
        <v>658.38630782978237</v>
      </c>
      <c r="CU72" s="214">
        <f>IF(AND(($E72+$C$1)&gt;CU$4,CU$4&gt;=$C$1),$H72,IF(AND(($D72+$C$1)&gt;CU$4,CU$4&gt;=$C$1),$G72,0))*IF($A72="Residential",'General Inputs'!G$15,'General Inputs'!G$19)</f>
        <v>668.26210244722904</v>
      </c>
      <c r="CV72" s="214">
        <f>IF(AND(($E72+$C$1)&gt;CV$4,CV$4&gt;=$C$1),$H72,IF(AND(($D72+$C$1)&gt;CV$4,CV$4&gt;=$C$1),$G72,0))*IF($A72="Residential",'General Inputs'!H$15,'General Inputs'!H$19)</f>
        <v>678.28603398393727</v>
      </c>
      <c r="CW72" s="214">
        <f>IF(AND(($E72+$C$1)&gt;CW$4,CW$4&gt;=$C$1),$H72,IF(AND(($D72+$C$1)&gt;CW$4,CW$4&gt;=$C$1),$G72,0))*IF($A72="Residential",'General Inputs'!I$15,'General Inputs'!I$19)</f>
        <v>688.46032449369625</v>
      </c>
      <c r="CX72" s="214">
        <f>IF(AND(($E72+$C$1)&gt;CX$4,CX$4&gt;=$C$1),$H72,IF(AND(($D72+$C$1)&gt;CX$4,CX$4&gt;=$C$1),$G72,0))*IF($A72="Residential",'General Inputs'!J$15,'General Inputs'!J$19)</f>
        <v>698.78722936110171</v>
      </c>
      <c r="CY72" s="214">
        <f>IF(AND(($E72+$C$1)&gt;CY$4,CY$4&gt;=$C$1),$H72,IF(AND(($D72+$C$1)&gt;CY$4,CY$4&gt;=$C$1),$G72,0))*IF($A72="Residential",'General Inputs'!K$15,'General Inputs'!K$19)</f>
        <v>709.26903780151815</v>
      </c>
      <c r="CZ72" s="214">
        <f>IF(AND(($E72+$C$1)&gt;CZ$4,CZ$4&gt;=$C$1),$H72,IF(AND(($D72+$C$1)&gt;CZ$4,CZ$4&gt;=$C$1),$G72,0))*IF($A72="Residential",'General Inputs'!L$15,'General Inputs'!L$19)</f>
        <v>719.90807336854084</v>
      </c>
      <c r="DA72" s="214">
        <f>IF(AND(($E72+$C$1)&gt;DA$4,DA$4&gt;=$C$1),$H72,IF(AND(($D72+$C$1)&gt;DA$4,DA$4&gt;=$C$1),$G72,0))*IF($A72="Residential",'General Inputs'!M$15,'General Inputs'!M$19)</f>
        <v>730.70669446906891</v>
      </c>
      <c r="DB72" s="214">
        <f>IF(AND(($E72+$C$1)&gt;DB$4,DB$4&gt;=$C$1),$H72,IF(AND(($D72+$C$1)&gt;DB$4,DB$4&gt;=$C$1),$G72,0))*IF($A72="Residential",'General Inputs'!N$15,'General Inputs'!N$19)</f>
        <v>741.66729488610497</v>
      </c>
      <c r="DC72" s="214">
        <f>IF(AND(($E72+$C$1)&gt;DC$4,DC$4&gt;=$C$1),$H72,IF(AND(($D72+$C$1)&gt;DC$4,DC$4&gt;=$C$1),$G72,0))*IF($A72="Residential",'General Inputs'!O$15,'General Inputs'!O$19)</f>
        <v>752.79230430939629</v>
      </c>
      <c r="DD72" s="214">
        <f>IF(AND(($E72+$C$1)&gt;DD$4,DD$4&gt;=$C$1),$H72,IF(AND(($D72+$C$1)&gt;DD$4,DD$4&gt;=$C$1),$G72,0))*IF($A72="Residential",'General Inputs'!P$15,'General Inputs'!P$19)</f>
        <v>764.0841888740373</v>
      </c>
      <c r="DE72" s="214">
        <f>IF(AND(($E72+$C$1)&gt;DE$4,DE$4&gt;=$C$1),$H72,IF(AND(($D72+$C$1)&gt;DE$4,DE$4&gt;=$C$1),$G72,0))*IF($A72="Residential",'General Inputs'!Q$15,'General Inputs'!Q$19)</f>
        <v>775.54545170714778</v>
      </c>
      <c r="DF72" s="214">
        <f>IF(AND(($E72+$C$1)&gt;DF$4,DF$4&gt;=$C$1),$H72,IF(AND(($D72+$C$1)&gt;DF$4,DF$4&gt;=$C$1),$G72,0))*IF($A72="Residential",'General Inputs'!R$15,'General Inputs'!R$19)</f>
        <v>787.17863348275489</v>
      </c>
      <c r="DG72" s="214">
        <f>IF(AND(($E72+$C$1)&gt;DG$4,DG$4&gt;=$C$1),$H72,IF(AND(($D72+$C$1)&gt;DG$4,DG$4&gt;=$C$1),$G72,0))*IF($A72="Residential",'General Inputs'!S$15,'General Inputs'!S$19)</f>
        <v>798.98631298499618</v>
      </c>
      <c r="DH72" s="214">
        <f>IF(AND(($E72+$C$1)&gt;DH$4,DH$4&gt;=$C$1),$H72,IF(AND(($D72+$C$1)&gt;DH$4,DH$4&gt;=$C$1),$G72,0))*IF($A72="Residential",'General Inputs'!T$15,'General Inputs'!T$19)</f>
        <v>810.97110767977108</v>
      </c>
      <c r="DI72" s="214">
        <f>IF(AND(($E72+$C$1)&gt;DI$4,DI$4&gt;=$C$1),$H72,IF(AND(($D72+$C$1)&gt;DI$4,DI$4&gt;=$C$1),$G72,0))*IF($A72="Residential",'General Inputs'!U$15,'General Inputs'!U$19)</f>
        <v>823.13567429496743</v>
      </c>
      <c r="DJ72" s="214">
        <f>IF(AND(($E72+$C$1)&gt;DJ$4,DJ$4&gt;=$C$1),$H72,IF(AND(($D72+$C$1)&gt;DJ$4,DJ$4&gt;=$C$1),$G72,0))*IF($A72="Residential",'General Inputs'!V$15,'General Inputs'!V$19)</f>
        <v>835.48270940939187</v>
      </c>
      <c r="DK72" s="214">
        <f>IF(AND(($E72+$C$1)&gt;DK$4,DK$4&gt;=$C$1),$H72,IF(AND(($D72+$C$1)&gt;DK$4,DK$4&gt;=$C$1),$G72,0))*IF($A72="Residential",'General Inputs'!W$15,'General Inputs'!W$19)</f>
        <v>848.01495005053278</v>
      </c>
      <c r="DM72" s="214">
        <f t="shared" si="100"/>
        <v>0</v>
      </c>
      <c r="DN72" s="214">
        <f t="shared" si="100"/>
        <v>0</v>
      </c>
      <c r="DO72" s="214">
        <f t="shared" si="100"/>
        <v>1143</v>
      </c>
      <c r="DP72" s="214">
        <f t="shared" si="100"/>
        <v>0</v>
      </c>
      <c r="DQ72" s="214">
        <f t="shared" si="100"/>
        <v>0</v>
      </c>
      <c r="DR72" s="214">
        <f t="shared" si="100"/>
        <v>0</v>
      </c>
      <c r="DS72" s="214">
        <f t="shared" si="100"/>
        <v>0</v>
      </c>
      <c r="DT72" s="214">
        <f t="shared" si="100"/>
        <v>0</v>
      </c>
      <c r="DU72" s="214">
        <f t="shared" si="100"/>
        <v>0</v>
      </c>
      <c r="DV72" s="214">
        <f t="shared" si="100"/>
        <v>0</v>
      </c>
      <c r="DW72" s="214">
        <f t="shared" si="100"/>
        <v>0</v>
      </c>
      <c r="DZ72" s="650"/>
      <c r="FI72" s="195"/>
      <c r="FJ72" s="195"/>
      <c r="FK72" s="195"/>
      <c r="FL72" s="195"/>
      <c r="FM72" s="195"/>
      <c r="FN72" s="195"/>
      <c r="FO72" s="195"/>
    </row>
    <row r="73" spans="1:171">
      <c r="A73" s="342" t="s">
        <v>112</v>
      </c>
      <c r="B73" s="427" t="str">
        <f>'Portfolio Inputs'!A72</f>
        <v>Ceiling Mount Occupancy</v>
      </c>
      <c r="C73" s="217">
        <f>IF($C$1=2014,'Portfolio Inputs'!$C72,IF($C$1=2015,'Portfolio Inputs'!$D72,'Portfolio Inputs'!$E72))</f>
        <v>0</v>
      </c>
      <c r="D73" s="504">
        <f>VLOOKUP(B73,Sources!$B$4:$J$104,2,FALSE)</f>
        <v>8</v>
      </c>
      <c r="E73" s="504">
        <f>VLOOKUP(B73,Sources!$B$4:$J$104,3,FALSE)</f>
        <v>0</v>
      </c>
      <c r="G73" s="504">
        <f>IF($C$1=2014,'Portfolio Inputs'!$G72,IF($C$1=2015,'Portfolio Inputs'!$H72,'Portfolio Inputs'!$I72))*EnergyLineLoss</f>
        <v>0</v>
      </c>
      <c r="H73" s="504"/>
      <c r="I73" s="595">
        <f>IF($C$1=2014,'Portfolio Inputs'!$K72,IF($C$1=2015,'Portfolio Inputs'!$L72,'Portfolio Inputs'!$M72))*PeakLineLoss</f>
        <v>0</v>
      </c>
      <c r="J73" s="510"/>
      <c r="L73" s="606">
        <f>IF($C$1=2014,'Portfolio Inputs'!$O72,IF($C$1=2015,'Portfolio Inputs'!$P72,'Portfolio Inputs'!$Q72))</f>
        <v>125</v>
      </c>
      <c r="M73" s="518">
        <f>VLOOKUP($B73,Sources!$B$4:$K$104,10,FALSE)</f>
        <v>0</v>
      </c>
      <c r="N73" s="419">
        <f>IF($C$1=2014,'Portfolio Inputs'!$W72,IF($C$1=2015,'Portfolio Inputs'!$X72,'Portfolio Inputs'!$Y72))</f>
        <v>0</v>
      </c>
      <c r="O73" s="419">
        <f>IF($C$1=2014,'Portfolio Inputs'!$AA72,IF($C$1=2015,'Portfolio Inputs'!$AB72,'Portfolio Inputs'!$AC72))</f>
        <v>0</v>
      </c>
      <c r="Q73" s="438" t="str">
        <f t="shared" si="67"/>
        <v>n/a</v>
      </c>
      <c r="R73" s="439" t="str">
        <f t="shared" si="68"/>
        <v>n/a</v>
      </c>
      <c r="S73" s="439" t="str">
        <f t="shared" si="69"/>
        <v>n/a</v>
      </c>
      <c r="T73" s="439" t="str">
        <f t="shared" si="70"/>
        <v>n/a</v>
      </c>
      <c r="U73" s="439" t="str">
        <f t="shared" si="98"/>
        <v>n/a</v>
      </c>
      <c r="V73" s="439" t="str">
        <f t="shared" si="72"/>
        <v>n/a</v>
      </c>
      <c r="W73" s="439" t="str">
        <f t="shared" si="73"/>
        <v>n/a</v>
      </c>
      <c r="Y73" s="215">
        <f t="shared" si="101"/>
        <v>0</v>
      </c>
      <c r="Z73" s="215">
        <f t="shared" si="102"/>
        <v>0</v>
      </c>
      <c r="AA73" s="215">
        <f t="shared" si="103"/>
        <v>0</v>
      </c>
      <c r="AB73" s="215">
        <f t="shared" si="104"/>
        <v>0</v>
      </c>
      <c r="AC73" s="216">
        <f t="shared" si="20"/>
        <v>0</v>
      </c>
      <c r="AD73" s="216">
        <f t="shared" si="21"/>
        <v>0</v>
      </c>
      <c r="AE73" s="215">
        <f t="shared" si="105"/>
        <v>0</v>
      </c>
      <c r="AG73" s="214">
        <f>IF(AND(($E73+$C$1)&gt;AG$4,AG$4&gt;=$C$1),'General Inputs'!D$9*$H73,IF(AND(($D73+$C$1)&gt;AG$4,AG$4&gt;=$C$1),'General Inputs'!D$9*$G73,0))+IF(AND(($E73+$C$1)&gt;AG$4,AG$4&gt;=$C$1),'General Inputs'!D$10*$J73,IF(AND(($D73+$C$1)&gt;AG$4,AG$4&gt;=$C$1),'General Inputs'!D$10*$I73,0))</f>
        <v>0</v>
      </c>
      <c r="AH73" s="214">
        <f>IF(AND(($E73+$C$1)&gt;AH$4,AH$4&gt;=$C$1),'General Inputs'!E$9*$H73,IF(AND(($D73+$C$1)&gt;AH$4,AH$4&gt;=$C$1),'General Inputs'!E$9*$G73,0))+IF(AND(($E73+$C$1)&gt;AH$4,AH$4&gt;=$C$1),'General Inputs'!E$10*$J73,IF(AND(($D73+$C$1)&gt;AH$4,AH$4&gt;=$C$1),'General Inputs'!E$10*$I73,0))</f>
        <v>0</v>
      </c>
      <c r="AI73" s="214">
        <f>IF(AND(($E73+$C$1)&gt;AI$4,AI$4&gt;=$C$1),'General Inputs'!F$9*$H73,IF(AND(($D73+$C$1)&gt;AI$4,AI$4&gt;=$C$1),'General Inputs'!F$9*$G73,0))+IF(AND(($E73+$C$1)&gt;AI$4,AI$4&gt;=$C$1),'General Inputs'!F$10*$J73,IF(AND(($D73+$C$1)&gt;AI$4,AI$4&gt;=$C$1),'General Inputs'!F$10*$I73,0))</f>
        <v>0</v>
      </c>
      <c r="AJ73" s="214">
        <f>IF(AND(($E73+$C$1)&gt;AJ$4,AJ$4&gt;=$C$1),'General Inputs'!G$9*$H73,IF(AND(($D73+$C$1)&gt;AJ$4,AJ$4&gt;=$C$1),'General Inputs'!G$9*$G73,0))+IF(AND(($E73+$C$1)&gt;AJ$4,AJ$4&gt;=$C$1),'General Inputs'!G$10*$J73,IF(AND(($D73+$C$1)&gt;AJ$4,AJ$4&gt;=$C$1),'General Inputs'!G$10*$I73,0))</f>
        <v>0</v>
      </c>
      <c r="AK73" s="214">
        <f>IF(AND(($E73+$C$1)&gt;AK$4,AK$4&gt;=$C$1),'General Inputs'!H$9*$H73,IF(AND(($D73+$C$1)&gt;AK$4,AK$4&gt;=$C$1),'General Inputs'!H$9*$G73,0))+IF(AND(($E73+$C$1)&gt;AK$4,AK$4&gt;=$C$1),'General Inputs'!H$10*$J73,IF(AND(($D73+$C$1)&gt;AK$4,AK$4&gt;=$C$1),'General Inputs'!H$10*$I73,0))</f>
        <v>0</v>
      </c>
      <c r="AL73" s="214">
        <f>IF(AND(($E73+$C$1)&gt;AL$4,AL$4&gt;=$C$1),'General Inputs'!I$9*$H73,IF(AND(($D73+$C$1)&gt;AL$4,AL$4&gt;=$C$1),'General Inputs'!I$9*$G73,0))+IF(AND(($E73+$C$1)&gt;AL$4,AL$4&gt;=$C$1),'General Inputs'!I$10*$J73,IF(AND(($D73+$C$1)&gt;AL$4,AL$4&gt;=$C$1),'General Inputs'!I$10*$I73,0))</f>
        <v>0</v>
      </c>
      <c r="AM73" s="214">
        <f>IF(AND(($E73+$C$1)&gt;AM$4,AM$4&gt;=$C$1),'General Inputs'!J$9*$H73,IF(AND(($D73+$C$1)&gt;AM$4,AM$4&gt;=$C$1),'General Inputs'!J$9*$G73,0))+IF(AND(($E73+$C$1)&gt;AM$4,AM$4&gt;=$C$1),'General Inputs'!J$10*$J73,IF(AND(($D73+$C$1)&gt;AM$4,AM$4&gt;=$C$1),'General Inputs'!J$10*$I73,0))</f>
        <v>0</v>
      </c>
      <c r="AN73" s="214">
        <f>IF(AND(($E73+$C$1)&gt;AN$4,AN$4&gt;=$C$1),'General Inputs'!K$9*$H73,IF(AND(($D73+$C$1)&gt;AN$4,AN$4&gt;=$C$1),'General Inputs'!K$9*$G73,0))+IF(AND(($E73+$C$1)&gt;AN$4,AN$4&gt;=$C$1),'General Inputs'!K$10*$J73,IF(AND(($D73+$C$1)&gt;AN$4,AN$4&gt;=$C$1),'General Inputs'!K$10*$I73,0))</f>
        <v>0</v>
      </c>
      <c r="AO73" s="214">
        <f>IF(AND(($E73+$C$1)&gt;AO$4,AO$4&gt;=$C$1),'General Inputs'!L$9*$H73,IF(AND(($D73+$C$1)&gt;AO$4,AO$4&gt;=$C$1),'General Inputs'!L$9*$G73,0))+IF(AND(($E73+$C$1)&gt;AO$4,AO$4&gt;=$C$1),'General Inputs'!L$10*$J73,IF(AND(($D73+$C$1)&gt;AO$4,AO$4&gt;=$C$1),'General Inputs'!L$10*$I73,0))</f>
        <v>0</v>
      </c>
      <c r="AP73" s="214">
        <f>IF(AND(($E73+$C$1)&gt;AP$4,AP$4&gt;=$C$1),'General Inputs'!M$9*$H73,IF(AND(($D73+$C$1)&gt;AP$4,AP$4&gt;=$C$1),'General Inputs'!M$9*$G73,0))+IF(AND(($E73+$C$1)&gt;AP$4,AP$4&gt;=$C$1),'General Inputs'!M$10*$J73,IF(AND(($D73+$C$1)&gt;AP$4,AP$4&gt;=$C$1),'General Inputs'!M$10*$I73,0))</f>
        <v>0</v>
      </c>
      <c r="AQ73" s="214">
        <f>IF(AND(($E73+$C$1)&gt;AQ$4,AQ$4&gt;=$C$1),'General Inputs'!N$9*$H73,IF(AND(($D73+$C$1)&gt;AQ$4,AQ$4&gt;=$C$1),'General Inputs'!N$9*$G73,0))+IF(AND(($E73+$C$1)&gt;AQ$4,AQ$4&gt;=$C$1),'General Inputs'!N$10*$J73,IF(AND(($D73+$C$1)&gt;AQ$4,AQ$4&gt;=$C$1),'General Inputs'!N$10*$I73,0))</f>
        <v>0</v>
      </c>
      <c r="AR73" s="214">
        <f>IF(AND(($E73+$C$1)&gt;AR$4,AR$4&gt;=$C$1),'General Inputs'!O$9*$H73,IF(AND(($D73+$C$1)&gt;AR$4,AR$4&gt;=$C$1),'General Inputs'!O$9*$G73,0))+IF(AND(($E73+$C$1)&gt;AR$4,AR$4&gt;=$C$1),'General Inputs'!O$10*$J73,IF(AND(($D73+$C$1)&gt;AR$4,AR$4&gt;=$C$1),'General Inputs'!O$10*$I73,0))</f>
        <v>0</v>
      </c>
      <c r="AS73" s="214">
        <f>IF(AND(($E73+$C$1)&gt;AS$4,AS$4&gt;=$C$1),'General Inputs'!P$9*$H73,IF(AND(($D73+$C$1)&gt;AS$4,AS$4&gt;=$C$1),'General Inputs'!P$9*$G73,0))+IF(AND(($E73+$C$1)&gt;AS$4,AS$4&gt;=$C$1),'General Inputs'!P$10*$J73,IF(AND(($D73+$C$1)&gt;AS$4,AS$4&gt;=$C$1),'General Inputs'!P$10*$I73,0))</f>
        <v>0</v>
      </c>
      <c r="AT73" s="214">
        <f>IF(AND(($E73+$C$1)&gt;AT$4,AT$4&gt;=$C$1),'General Inputs'!Q$9*$H73,IF(AND(($D73+$C$1)&gt;AT$4,AT$4&gt;=$C$1),'General Inputs'!Q$9*$G73,0))+IF(AND(($E73+$C$1)&gt;AT$4,AT$4&gt;=$C$1),'General Inputs'!Q$10*$J73,IF(AND(($D73+$C$1)&gt;AT$4,AT$4&gt;=$C$1),'General Inputs'!Q$10*$I73,0))</f>
        <v>0</v>
      </c>
      <c r="AU73" s="214">
        <f>IF(AND(($E73+$C$1)&gt;AU$4,AU$4&gt;=$C$1),'General Inputs'!R$9*$H73,IF(AND(($D73+$C$1)&gt;AU$4,AU$4&gt;=$C$1),'General Inputs'!R$9*$G73,0))+IF(AND(($E73+$C$1)&gt;AU$4,AU$4&gt;=$C$1),'General Inputs'!R$10*$J73,IF(AND(($D73+$C$1)&gt;AU$4,AU$4&gt;=$C$1),'General Inputs'!R$10*$I73,0))</f>
        <v>0</v>
      </c>
      <c r="AV73" s="214">
        <f>IF(AND(($E73+$C$1)&gt;AV$4,AV$4&gt;=$C$1),'General Inputs'!S$9*$H73,IF(AND(($D73+$C$1)&gt;AV$4,AV$4&gt;=$C$1),'General Inputs'!S$9*$G73,0))+IF(AND(($E73+$C$1)&gt;AV$4,AV$4&gt;=$C$1),'General Inputs'!S$10*$J73,IF(AND(($D73+$C$1)&gt;AV$4,AV$4&gt;=$C$1),'General Inputs'!S$10*$I73,0))</f>
        <v>0</v>
      </c>
      <c r="AW73" s="214">
        <f>IF(AND(($E73+$C$1)&gt;AW$4,AW$4&gt;=$C$1),'General Inputs'!T$9*$H73,IF(AND(($D73+$C$1)&gt;AW$4,AW$4&gt;=$C$1),'General Inputs'!T$9*$G73,0))+IF(AND(($E73+$C$1)&gt;AW$4,AW$4&gt;=$C$1),'General Inputs'!T$10*$J73,IF(AND(($D73+$C$1)&gt;AW$4,AW$4&gt;=$C$1),'General Inputs'!T$10*$I73,0))</f>
        <v>0</v>
      </c>
      <c r="AX73" s="214">
        <f>IF(AND(($E73+$C$1)&gt;AX$4,AX$4&gt;=$C$1),'General Inputs'!U$9*$H73,IF(AND(($D73+$C$1)&gt;AX$4,AX$4&gt;=$C$1),'General Inputs'!U$9*$G73,0))+IF(AND(($E73+$C$1)&gt;AX$4,AX$4&gt;=$C$1),'General Inputs'!U$10*$J73,IF(AND(($D73+$C$1)&gt;AX$4,AX$4&gt;=$C$1),'General Inputs'!U$10*$I73,0))</f>
        <v>0</v>
      </c>
      <c r="AY73" s="214">
        <f>IF(AND(($E73+$C$1)&gt;AY$4,AY$4&gt;=$C$1),'General Inputs'!V$9*$H73,IF(AND(($D73+$C$1)&gt;AY$4,AY$4&gt;=$C$1),'General Inputs'!V$9*$G73,0))+IF(AND(($E73+$C$1)&gt;AY$4,AY$4&gt;=$C$1),'General Inputs'!V$10*$J73,IF(AND(($D73+$C$1)&gt;AY$4,AY$4&gt;=$C$1),'General Inputs'!V$10*$I73,0))</f>
        <v>0</v>
      </c>
      <c r="AZ73" s="214">
        <f>IF(AND(($E73+$C$1)&gt;AZ$4,AZ$4&gt;=$C$1),'General Inputs'!W$9*$H73,IF(AND(($D73+$C$1)&gt;AZ$4,AZ$4&gt;=$C$1),'General Inputs'!W$9*$G73,0))+IF(AND(($E73+$C$1)&gt;AZ$4,AZ$4&gt;=$C$1),'General Inputs'!W$10*$J73,IF(AND(($D73+$C$1)&gt;AZ$4,AZ$4&gt;=$C$1),'General Inputs'!W$10*$I73,0))</f>
        <v>0</v>
      </c>
      <c r="BB73" s="214">
        <f>IF(AND(($E73+$C$1)&gt;BB$4,BB$4&gt;=$C$1),'General Inputs'!D$11*$H73,IF(AND(($D73+$C$1)&gt;BB$4,BB$4&gt;=$C$1),'General Inputs'!D$11*$G73,0))</f>
        <v>0</v>
      </c>
      <c r="BC73" s="214">
        <f>IF(AND(($E73+$C$1)&gt;BC$4,BC$4&gt;=$C$1),'General Inputs'!E$11*$H73,IF(AND(($D73+$C$1)&gt;BC$4,BC$4&gt;=$C$1),'General Inputs'!E$11*$G73,0))</f>
        <v>0</v>
      </c>
      <c r="BD73" s="214">
        <f>IF(AND(($E73+$C$1)&gt;BD$4,BD$4&gt;=$C$1),'General Inputs'!F$11*$H73,IF(AND(($D73+$C$1)&gt;BD$4,BD$4&gt;=$C$1),'General Inputs'!F$11*$G73,0))</f>
        <v>0</v>
      </c>
      <c r="BE73" s="214">
        <f>IF(AND(($E73+$C$1)&gt;BE$4,BE$4&gt;=$C$1),'General Inputs'!G$11*$H73,IF(AND(($D73+$C$1)&gt;BE$4,BE$4&gt;=$C$1),'General Inputs'!G$11*$G73,0))</f>
        <v>0</v>
      </c>
      <c r="BF73" s="214">
        <f>IF(AND(($E73+$C$1)&gt;BF$4,BF$4&gt;=$C$1),'General Inputs'!H$11*$H73,IF(AND(($D73+$C$1)&gt;BF$4,BF$4&gt;=$C$1),'General Inputs'!H$11*$G73,0))</f>
        <v>0</v>
      </c>
      <c r="BG73" s="214">
        <f>IF(AND(($E73+$C$1)&gt;BG$4,BG$4&gt;=$C$1),'General Inputs'!I$11*$H73,IF(AND(($D73+$C$1)&gt;BG$4,BG$4&gt;=$C$1),'General Inputs'!I$11*$G73,0))</f>
        <v>0</v>
      </c>
      <c r="BH73" s="214">
        <f>IF(AND(($E73+$C$1)&gt;BH$4,BH$4&gt;=$C$1),'General Inputs'!J$11*$H73,IF(AND(($D73+$C$1)&gt;BH$4,BH$4&gt;=$C$1),'General Inputs'!J$11*$G73,0))</f>
        <v>0</v>
      </c>
      <c r="BI73" s="214">
        <f>IF(AND(($E73+$C$1)&gt;BI$4,BI$4&gt;=$C$1),'General Inputs'!K$11*$H73,IF(AND(($D73+$C$1)&gt;BI$4,BI$4&gt;=$C$1),'General Inputs'!K$11*$G73,0))</f>
        <v>0</v>
      </c>
      <c r="BJ73" s="214">
        <f>IF(AND(($E73+$C$1)&gt;BJ$4,BJ$4&gt;=$C$1),'General Inputs'!L$11*$H73,IF(AND(($D73+$C$1)&gt;BJ$4,BJ$4&gt;=$C$1),'General Inputs'!L$11*$G73,0))</f>
        <v>0</v>
      </c>
      <c r="BK73" s="214">
        <f>IF(AND(($E73+$C$1)&gt;BK$4,BK$4&gt;=$C$1),'General Inputs'!M$11*$H73,IF(AND(($D73+$C$1)&gt;BK$4,BK$4&gt;=$C$1),'General Inputs'!M$11*$G73,0))</f>
        <v>0</v>
      </c>
      <c r="BL73" s="214">
        <f>IF(AND(($E73+$C$1)&gt;BL$4,BL$4&gt;=$C$1),'General Inputs'!N$11*$H73,IF(AND(($D73+$C$1)&gt;BL$4,BL$4&gt;=$C$1),'General Inputs'!N$11*$G73,0))</f>
        <v>0</v>
      </c>
      <c r="BM73" s="214">
        <f>IF(AND(($E73+$C$1)&gt;BM$4,BM$4&gt;=$C$1),'General Inputs'!O$11*$H73,IF(AND(($D73+$C$1)&gt;BM$4,BM$4&gt;=$C$1),'General Inputs'!O$11*$G73,0))</f>
        <v>0</v>
      </c>
      <c r="BN73" s="214">
        <f>IF(AND(($E73+$C$1)&gt;BN$4,BN$4&gt;=$C$1),'General Inputs'!P$11*$H73,IF(AND(($D73+$C$1)&gt;BN$4,BN$4&gt;=$C$1),'General Inputs'!P$11*$G73,0))</f>
        <v>0</v>
      </c>
      <c r="BO73" s="214">
        <f>IF(AND(($E73+$C$1)&gt;BO$4,BO$4&gt;=$C$1),'General Inputs'!Q$11*$H73,IF(AND(($D73+$C$1)&gt;BO$4,BO$4&gt;=$C$1),'General Inputs'!Q$11*$G73,0))</f>
        <v>0</v>
      </c>
      <c r="BP73" s="214">
        <f>IF(AND(($E73+$C$1)&gt;BP$4,BP$4&gt;=$C$1),'General Inputs'!R$11*$H73,IF(AND(($D73+$C$1)&gt;BP$4,BP$4&gt;=$C$1),'General Inputs'!R$11*$G73,0))</f>
        <v>0</v>
      </c>
      <c r="BQ73" s="214">
        <f>IF(AND(($E73+$C$1)&gt;BQ$4,BQ$4&gt;=$C$1),'General Inputs'!S$11*$H73,IF(AND(($D73+$C$1)&gt;BQ$4,BQ$4&gt;=$C$1),'General Inputs'!S$11*$G73,0))</f>
        <v>0</v>
      </c>
      <c r="BR73" s="214">
        <f>IF(AND(($E73+$C$1)&gt;BR$4,BR$4&gt;=$C$1),'General Inputs'!T$11*$H73,IF(AND(($D73+$C$1)&gt;BR$4,BR$4&gt;=$C$1),'General Inputs'!T$11*$G73,0))</f>
        <v>0</v>
      </c>
      <c r="BS73" s="214">
        <f>IF(AND(($E73+$C$1)&gt;BS$4,BS$4&gt;=$C$1),'General Inputs'!U$11*$H73,IF(AND(($D73+$C$1)&gt;BS$4,BS$4&gt;=$C$1),'General Inputs'!U$11*$G73,0))</f>
        <v>0</v>
      </c>
      <c r="BT73" s="214">
        <f>IF(AND(($E73+$C$1)&gt;BT$4,BT$4&gt;=$C$1),'General Inputs'!V$11*$H73,IF(AND(($D73+$C$1)&gt;BT$4,BT$4&gt;=$C$1),'General Inputs'!V$11*$G73,0))</f>
        <v>0</v>
      </c>
      <c r="BU73" s="214">
        <f>IF(AND(($E73+$C$1)&gt;BU$4,BU$4&gt;=$C$1),'General Inputs'!W$11*$H73,IF(AND(($D73+$C$1)&gt;BU$4,BU$4&gt;=$C$1),'General Inputs'!W$11*$G73,0))</f>
        <v>0</v>
      </c>
      <c r="BW73" s="214">
        <f>IF(AND(($E73+$C$1)&gt;BW$4,BW$4&gt;=$C$1),$H73,IF(AND(($D73+$C$1)&gt;BW$4,BW$4&gt;=$C$1),$G73,0))*IF($A73="Residential",'General Inputs'!D$14,'General Inputs'!D$19)</f>
        <v>0</v>
      </c>
      <c r="BX73" s="214">
        <f>IF(AND(($E73+$C$1)&gt;BX$4,BX$4&gt;=$C$1),$H73,IF(AND(($D73+$C$1)&gt;BX$4,BX$4&gt;=$C$1),$G73,0))*IF($A73="Residential",'General Inputs'!E$14,'General Inputs'!E$19)</f>
        <v>0</v>
      </c>
      <c r="BY73" s="214">
        <f>IF(AND(($E73+$C$1)&gt;BY$4,BY$4&gt;=$C$1),$H73,IF(AND(($D73+$C$1)&gt;BY$4,BY$4&gt;=$C$1),$G73,0))*IF($A73="Residential",'General Inputs'!F$14,'General Inputs'!F$19)</f>
        <v>0</v>
      </c>
      <c r="BZ73" s="214">
        <f>IF(AND(($E73+$C$1)&gt;BZ$4,BZ$4&gt;=$C$1),$H73,IF(AND(($D73+$C$1)&gt;BZ$4,BZ$4&gt;=$C$1),$G73,0))*IF($A73="Residential",'General Inputs'!G$14,'General Inputs'!G$19)</f>
        <v>0</v>
      </c>
      <c r="CA73" s="214">
        <f>IF(AND(($E73+$C$1)&gt;CA$4,CA$4&gt;=$C$1),$H73,IF(AND(($D73+$C$1)&gt;CA$4,CA$4&gt;=$C$1),$G73,0))*IF($A73="Residential",'General Inputs'!H$14,'General Inputs'!H$19)</f>
        <v>0</v>
      </c>
      <c r="CB73" s="214">
        <f>IF(AND(($E73+$C$1)&gt;CB$4,CB$4&gt;=$C$1),$H73,IF(AND(($D73+$C$1)&gt;CB$4,CB$4&gt;=$C$1),$G73,0))*IF($A73="Residential",'General Inputs'!I$14,'General Inputs'!I$19)</f>
        <v>0</v>
      </c>
      <c r="CC73" s="214">
        <f>IF(AND(($E73+$C$1)&gt;CC$4,CC$4&gt;=$C$1),$H73,IF(AND(($D73+$C$1)&gt;CC$4,CC$4&gt;=$C$1),$G73,0))*IF($A73="Residential",'General Inputs'!J$14,'General Inputs'!J$19)</f>
        <v>0</v>
      </c>
      <c r="CD73" s="214">
        <f>IF(AND(($E73+$C$1)&gt;CD$4,CD$4&gt;=$C$1),$H73,IF(AND(($D73+$C$1)&gt;CD$4,CD$4&gt;=$C$1),$G73,0))*IF($A73="Residential",'General Inputs'!K$14,'General Inputs'!K$19)</f>
        <v>0</v>
      </c>
      <c r="CE73" s="214">
        <f>IF(AND(($E73+$C$1)&gt;CE$4,CE$4&gt;=$C$1),$H73,IF(AND(($D73+$C$1)&gt;CE$4,CE$4&gt;=$C$1),$G73,0))*IF($A73="Residential",'General Inputs'!L$14,'General Inputs'!L$19)</f>
        <v>0</v>
      </c>
      <c r="CF73" s="214">
        <f>IF(AND(($E73+$C$1)&gt;CF$4,CF$4&gt;=$C$1),$H73,IF(AND(($D73+$C$1)&gt;CF$4,CF$4&gt;=$C$1),$G73,0))*IF($A73="Residential",'General Inputs'!M$14,'General Inputs'!M$19)</f>
        <v>0</v>
      </c>
      <c r="CG73" s="214">
        <f>IF(AND(($E73+$C$1)&gt;CG$4,CG$4&gt;=$C$1),$H73,IF(AND(($D73+$C$1)&gt;CG$4,CG$4&gt;=$C$1),$G73,0))*IF($A73="Residential",'General Inputs'!N$14,'General Inputs'!N$19)</f>
        <v>0</v>
      </c>
      <c r="CH73" s="214">
        <f>IF(AND(($E73+$C$1)&gt;CH$4,CH$4&gt;=$C$1),$H73,IF(AND(($D73+$C$1)&gt;CH$4,CH$4&gt;=$C$1),$G73,0))*IF($A73="Residential",'General Inputs'!O$14,'General Inputs'!O$19)</f>
        <v>0</v>
      </c>
      <c r="CI73" s="214">
        <f>IF(AND(($E73+$C$1)&gt;CI$4,CI$4&gt;=$C$1),$H73,IF(AND(($D73+$C$1)&gt;CI$4,CI$4&gt;=$C$1),$G73,0))*IF($A73="Residential",'General Inputs'!P$14,'General Inputs'!P$19)</f>
        <v>0</v>
      </c>
      <c r="CJ73" s="214">
        <f>IF(AND(($E73+$C$1)&gt;CJ$4,CJ$4&gt;=$C$1),$H73,IF(AND(($D73+$C$1)&gt;CJ$4,CJ$4&gt;=$C$1),$G73,0))*IF($A73="Residential",'General Inputs'!Q$14,'General Inputs'!Q$19)</f>
        <v>0</v>
      </c>
      <c r="CK73" s="214">
        <f>IF(AND(($E73+$C$1)&gt;CK$4,CK$4&gt;=$C$1),$H73,IF(AND(($D73+$C$1)&gt;CK$4,CK$4&gt;=$C$1),$G73,0))*IF($A73="Residential",'General Inputs'!R$14,'General Inputs'!R$19)</f>
        <v>0</v>
      </c>
      <c r="CL73" s="214">
        <f>IF(AND(($E73+$C$1)&gt;CL$4,CL$4&gt;=$C$1),$H73,IF(AND(($D73+$C$1)&gt;CL$4,CL$4&gt;=$C$1),$G73,0))*IF($A73="Residential",'General Inputs'!S$14,'General Inputs'!S$19)</f>
        <v>0</v>
      </c>
      <c r="CM73" s="214">
        <f>IF(AND(($E73+$C$1)&gt;CM$4,CM$4&gt;=$C$1),$H73,IF(AND(($D73+$C$1)&gt;CM$4,CM$4&gt;=$C$1),$G73,0))*IF($A73="Residential",'General Inputs'!T$14,'General Inputs'!T$19)</f>
        <v>0</v>
      </c>
      <c r="CN73" s="214">
        <f>IF(AND(($E73+$C$1)&gt;CN$4,CN$4&gt;=$C$1),$H73,IF(AND(($D73+$C$1)&gt;CN$4,CN$4&gt;=$C$1),$G73,0))*IF($A73="Residential",'General Inputs'!U$14,'General Inputs'!U$19)</f>
        <v>0</v>
      </c>
      <c r="CO73" s="214">
        <f>IF(AND(($E73+$C$1)&gt;CO$4,CO$4&gt;=$C$1),$H73,IF(AND(($D73+$C$1)&gt;CO$4,CO$4&gt;=$C$1),$G73,0))*IF($A73="Residential",'General Inputs'!V$14,'General Inputs'!V$19)</f>
        <v>0</v>
      </c>
      <c r="CP73" s="214">
        <f>IF(AND(($E73+$C$1)&gt;CP$4,CP$4&gt;=$C$1),$H73,IF(AND(($D73+$C$1)&gt;CP$4,CP$4&gt;=$C$1),$G73,0))*IF($A73="Residential",'General Inputs'!W$14,'General Inputs'!W$19)</f>
        <v>0</v>
      </c>
      <c r="CR73" s="214">
        <f>IF(AND(($E73+$C$1)&gt;CR$4,CR$4&gt;=$C$1),$H73,IF(AND(($D73+$C$1)&gt;CR$4,CR$4&gt;=$C$1),$G73,0))*IF($A73="Residential",'General Inputs'!D$15,'General Inputs'!D$19)</f>
        <v>0</v>
      </c>
      <c r="CS73" s="214">
        <f>IF(AND(($E73+$C$1)&gt;CS$4,CS$4&gt;=$C$1),$H73,IF(AND(($D73+$C$1)&gt;CS$4,CS$4&gt;=$C$1),$G73,0))*IF($A73="Residential",'General Inputs'!E$15,'General Inputs'!E$19)</f>
        <v>0</v>
      </c>
      <c r="CT73" s="214">
        <f>IF(AND(($E73+$C$1)&gt;CT$4,CT$4&gt;=$C$1),$H73,IF(AND(($D73+$C$1)&gt;CT$4,CT$4&gt;=$C$1),$G73,0))*IF($A73="Residential",'General Inputs'!F$15,'General Inputs'!F$19)</f>
        <v>0</v>
      </c>
      <c r="CU73" s="214">
        <f>IF(AND(($E73+$C$1)&gt;CU$4,CU$4&gt;=$C$1),$H73,IF(AND(($D73+$C$1)&gt;CU$4,CU$4&gt;=$C$1),$G73,0))*IF($A73="Residential",'General Inputs'!G$15,'General Inputs'!G$19)</f>
        <v>0</v>
      </c>
      <c r="CV73" s="214">
        <f>IF(AND(($E73+$C$1)&gt;CV$4,CV$4&gt;=$C$1),$H73,IF(AND(($D73+$C$1)&gt;CV$4,CV$4&gt;=$C$1),$G73,0))*IF($A73="Residential",'General Inputs'!H$15,'General Inputs'!H$19)</f>
        <v>0</v>
      </c>
      <c r="CW73" s="214">
        <f>IF(AND(($E73+$C$1)&gt;CW$4,CW$4&gt;=$C$1),$H73,IF(AND(($D73+$C$1)&gt;CW$4,CW$4&gt;=$C$1),$G73,0))*IF($A73="Residential",'General Inputs'!I$15,'General Inputs'!I$19)</f>
        <v>0</v>
      </c>
      <c r="CX73" s="214">
        <f>IF(AND(($E73+$C$1)&gt;CX$4,CX$4&gt;=$C$1),$H73,IF(AND(($D73+$C$1)&gt;CX$4,CX$4&gt;=$C$1),$G73,0))*IF($A73="Residential",'General Inputs'!J$15,'General Inputs'!J$19)</f>
        <v>0</v>
      </c>
      <c r="CY73" s="214">
        <f>IF(AND(($E73+$C$1)&gt;CY$4,CY$4&gt;=$C$1),$H73,IF(AND(($D73+$C$1)&gt;CY$4,CY$4&gt;=$C$1),$G73,0))*IF($A73="Residential",'General Inputs'!K$15,'General Inputs'!K$19)</f>
        <v>0</v>
      </c>
      <c r="CZ73" s="214">
        <f>IF(AND(($E73+$C$1)&gt;CZ$4,CZ$4&gt;=$C$1),$H73,IF(AND(($D73+$C$1)&gt;CZ$4,CZ$4&gt;=$C$1),$G73,0))*IF($A73="Residential",'General Inputs'!L$15,'General Inputs'!L$19)</f>
        <v>0</v>
      </c>
      <c r="DA73" s="214">
        <f>IF(AND(($E73+$C$1)&gt;DA$4,DA$4&gt;=$C$1),$H73,IF(AND(($D73+$C$1)&gt;DA$4,DA$4&gt;=$C$1),$G73,0))*IF($A73="Residential",'General Inputs'!M$15,'General Inputs'!M$19)</f>
        <v>0</v>
      </c>
      <c r="DB73" s="214">
        <f>IF(AND(($E73+$C$1)&gt;DB$4,DB$4&gt;=$C$1),$H73,IF(AND(($D73+$C$1)&gt;DB$4,DB$4&gt;=$C$1),$G73,0))*IF($A73="Residential",'General Inputs'!N$15,'General Inputs'!N$19)</f>
        <v>0</v>
      </c>
      <c r="DC73" s="214">
        <f>IF(AND(($E73+$C$1)&gt;DC$4,DC$4&gt;=$C$1),$H73,IF(AND(($D73+$C$1)&gt;DC$4,DC$4&gt;=$C$1),$G73,0))*IF($A73="Residential",'General Inputs'!O$15,'General Inputs'!O$19)</f>
        <v>0</v>
      </c>
      <c r="DD73" s="214">
        <f>IF(AND(($E73+$C$1)&gt;DD$4,DD$4&gt;=$C$1),$H73,IF(AND(($D73+$C$1)&gt;DD$4,DD$4&gt;=$C$1),$G73,0))*IF($A73="Residential",'General Inputs'!P$15,'General Inputs'!P$19)</f>
        <v>0</v>
      </c>
      <c r="DE73" s="214">
        <f>IF(AND(($E73+$C$1)&gt;DE$4,DE$4&gt;=$C$1),$H73,IF(AND(($D73+$C$1)&gt;DE$4,DE$4&gt;=$C$1),$G73,0))*IF($A73="Residential",'General Inputs'!Q$15,'General Inputs'!Q$19)</f>
        <v>0</v>
      </c>
      <c r="DF73" s="214">
        <f>IF(AND(($E73+$C$1)&gt;DF$4,DF$4&gt;=$C$1),$H73,IF(AND(($D73+$C$1)&gt;DF$4,DF$4&gt;=$C$1),$G73,0))*IF($A73="Residential",'General Inputs'!R$15,'General Inputs'!R$19)</f>
        <v>0</v>
      </c>
      <c r="DG73" s="214">
        <f>IF(AND(($E73+$C$1)&gt;DG$4,DG$4&gt;=$C$1),$H73,IF(AND(($D73+$C$1)&gt;DG$4,DG$4&gt;=$C$1),$G73,0))*IF($A73="Residential",'General Inputs'!S$15,'General Inputs'!S$19)</f>
        <v>0</v>
      </c>
      <c r="DH73" s="214">
        <f>IF(AND(($E73+$C$1)&gt;DH$4,DH$4&gt;=$C$1),$H73,IF(AND(($D73+$C$1)&gt;DH$4,DH$4&gt;=$C$1),$G73,0))*IF($A73="Residential",'General Inputs'!T$15,'General Inputs'!T$19)</f>
        <v>0</v>
      </c>
      <c r="DI73" s="214">
        <f>IF(AND(($E73+$C$1)&gt;DI$4,DI$4&gt;=$C$1),$H73,IF(AND(($D73+$C$1)&gt;DI$4,DI$4&gt;=$C$1),$G73,0))*IF($A73="Residential",'General Inputs'!U$15,'General Inputs'!U$19)</f>
        <v>0</v>
      </c>
      <c r="DJ73" s="214">
        <f>IF(AND(($E73+$C$1)&gt;DJ$4,DJ$4&gt;=$C$1),$H73,IF(AND(($D73+$C$1)&gt;DJ$4,DJ$4&gt;=$C$1),$G73,0))*IF($A73="Residential",'General Inputs'!V$15,'General Inputs'!V$19)</f>
        <v>0</v>
      </c>
      <c r="DK73" s="214">
        <f>IF(AND(($E73+$C$1)&gt;DK$4,DK$4&gt;=$C$1),$H73,IF(AND(($D73+$C$1)&gt;DK$4,DK$4&gt;=$C$1),$G73,0))*IF($A73="Residential",'General Inputs'!W$15,'General Inputs'!W$19)</f>
        <v>0</v>
      </c>
      <c r="DM73" s="214">
        <f t="shared" si="100"/>
        <v>0</v>
      </c>
      <c r="DN73" s="214">
        <f t="shared" si="100"/>
        <v>0</v>
      </c>
      <c r="DO73" s="214">
        <f t="shared" si="100"/>
        <v>0</v>
      </c>
      <c r="DP73" s="214">
        <f t="shared" si="100"/>
        <v>0</v>
      </c>
      <c r="DQ73" s="214">
        <f t="shared" si="100"/>
        <v>0</v>
      </c>
      <c r="DR73" s="214">
        <f t="shared" si="100"/>
        <v>0</v>
      </c>
      <c r="DS73" s="214">
        <f t="shared" si="100"/>
        <v>0</v>
      </c>
      <c r="DT73" s="214">
        <f t="shared" si="100"/>
        <v>0</v>
      </c>
      <c r="DU73" s="214">
        <f t="shared" si="100"/>
        <v>0</v>
      </c>
      <c r="DV73" s="214">
        <f t="shared" si="100"/>
        <v>0</v>
      </c>
      <c r="DW73" s="214">
        <f t="shared" si="100"/>
        <v>0</v>
      </c>
      <c r="DZ73" s="650"/>
      <c r="FI73" s="195"/>
      <c r="FJ73" s="195"/>
      <c r="FK73" s="195"/>
      <c r="FL73" s="195"/>
      <c r="FM73" s="195"/>
      <c r="FN73" s="195"/>
      <c r="FO73" s="195"/>
    </row>
    <row r="74" spans="1:171">
      <c r="A74" s="342" t="s">
        <v>112</v>
      </c>
      <c r="B74" s="427" t="str">
        <f>'Portfolio Inputs'!A73</f>
        <v>Wall Mount Occupancy</v>
      </c>
      <c r="C74" s="217">
        <f>IF($C$1=2014,'Portfolio Inputs'!$C73,IF($C$1=2015,'Portfolio Inputs'!$D73,'Portfolio Inputs'!$E73))</f>
        <v>3</v>
      </c>
      <c r="D74" s="504">
        <f>VLOOKUP(B74,Sources!$B$4:$J$104,2,FALSE)</f>
        <v>8</v>
      </c>
      <c r="E74" s="504">
        <f>VLOOKUP(B74,Sources!$B$4:$J$104,3,FALSE)</f>
        <v>0</v>
      </c>
      <c r="G74" s="504">
        <f>IF($C$1=2014,'Portfolio Inputs'!$G73,IF($C$1=2015,'Portfolio Inputs'!$H73,'Portfolio Inputs'!$I73))*EnergyLineLoss</f>
        <v>1050.63309</v>
      </c>
      <c r="H74" s="504"/>
      <c r="I74" s="595">
        <f>IF($C$1=2014,'Portfolio Inputs'!$K73,IF($C$1=2015,'Portfolio Inputs'!$L73,'Portfolio Inputs'!$M73))*PeakLineLoss</f>
        <v>3.3552476100000006E-2</v>
      </c>
      <c r="J74" s="510"/>
      <c r="L74" s="606">
        <f>IF($C$1=2014,'Portfolio Inputs'!$O73,IF($C$1=2015,'Portfolio Inputs'!$P73,'Portfolio Inputs'!$Q73))</f>
        <v>55</v>
      </c>
      <c r="M74" s="518">
        <f>VLOOKUP($B74,Sources!$B$4:$K$104,10,FALSE)</f>
        <v>0</v>
      </c>
      <c r="N74" s="419">
        <f>IF($C$1=2014,'Portfolio Inputs'!$W73,IF($C$1=2015,'Portfolio Inputs'!$X73,'Portfolio Inputs'!$Y73))</f>
        <v>36</v>
      </c>
      <c r="O74" s="419">
        <f>IF($C$1=2014,'Portfolio Inputs'!$AA73,IF($C$1=2015,'Portfolio Inputs'!$AB73,'Portfolio Inputs'!$AC73))</f>
        <v>0</v>
      </c>
      <c r="Q74" s="438">
        <f t="shared" si="67"/>
        <v>1.6772804387641693</v>
      </c>
      <c r="R74" s="439">
        <f t="shared" si="68"/>
        <v>7.6875353443357746</v>
      </c>
      <c r="S74" s="439">
        <f t="shared" si="69"/>
        <v>2.1171772880173232</v>
      </c>
      <c r="T74" s="439">
        <f t="shared" si="70"/>
        <v>4.5671058000915394</v>
      </c>
      <c r="U74" s="439">
        <f t="shared" si="98"/>
        <v>4.5671058000915394</v>
      </c>
      <c r="V74" s="439">
        <f t="shared" si="72"/>
        <v>0.36725237211070327</v>
      </c>
      <c r="W74" s="439">
        <f t="shared" si="73"/>
        <v>0.36725237211070327</v>
      </c>
      <c r="Y74" s="215">
        <f t="shared" si="101"/>
        <v>233.62136659546707</v>
      </c>
      <c r="Z74" s="215">
        <f t="shared" si="102"/>
        <v>61.271389511513611</v>
      </c>
      <c r="AA74" s="215">
        <f t="shared" si="103"/>
        <v>605.74340485491246</v>
      </c>
      <c r="AB74" s="215">
        <f t="shared" si="104"/>
        <v>605.74340485491246</v>
      </c>
      <c r="AC74" s="216">
        <f t="shared" si="20"/>
        <v>0</v>
      </c>
      <c r="AD74" s="216">
        <f t="shared" si="21"/>
        <v>30.38963154395131</v>
      </c>
      <c r="AE74" s="215">
        <f t="shared" si="105"/>
        <v>139.28581124311015</v>
      </c>
      <c r="AG74" s="214">
        <f>IF(AND(($E74+$C$1)&gt;AG$4,AG$4&gt;=$C$1),'General Inputs'!D$9*$H74,IF(AND(($D74+$C$1)&gt;AG$4,AG$4&gt;=$C$1),'General Inputs'!D$9*$G74,0))+IF(AND(($E74+$C$1)&gt;AG$4,AG$4&gt;=$C$1),'General Inputs'!D$10*$J74,IF(AND(($D74+$C$1)&gt;AG$4,AG$4&gt;=$C$1),'General Inputs'!D$10*$I74,0))</f>
        <v>0</v>
      </c>
      <c r="AH74" s="214">
        <f>IF(AND(($E74+$C$1)&gt;AH$4,AH$4&gt;=$C$1),'General Inputs'!E$9*$H74,IF(AND(($D74+$C$1)&gt;AH$4,AH$4&gt;=$C$1),'General Inputs'!E$9*$G74,0))+IF(AND(($E74+$C$1)&gt;AH$4,AH$4&gt;=$C$1),'General Inputs'!E$10*$J74,IF(AND(($D74+$C$1)&gt;AH$4,AH$4&gt;=$C$1),'General Inputs'!E$10*$I74,0))</f>
        <v>0</v>
      </c>
      <c r="AI74" s="214">
        <f>IF(AND(($E74+$C$1)&gt;AI$4,AI$4&gt;=$C$1),'General Inputs'!F$9*$H74,IF(AND(($D74+$C$1)&gt;AI$4,AI$4&gt;=$C$1),'General Inputs'!F$9*$G74,0))+IF(AND(($E74+$C$1)&gt;AI$4,AI$4&gt;=$C$1),'General Inputs'!F$10*$J74,IF(AND(($D74+$C$1)&gt;AI$4,AI$4&gt;=$C$1),'General Inputs'!F$10*$I74,0))</f>
        <v>43.609943114333447</v>
      </c>
      <c r="AJ74" s="214">
        <f>IF(AND(($E74+$C$1)&gt;AJ$4,AJ$4&gt;=$C$1),'General Inputs'!G$9*$H74,IF(AND(($D74+$C$1)&gt;AJ$4,AJ$4&gt;=$C$1),'General Inputs'!G$9*$G74,0))+IF(AND(($E74+$C$1)&gt;AJ$4,AJ$4&gt;=$C$1),'General Inputs'!G$10*$J74,IF(AND(($D74+$C$1)&gt;AJ$4,AJ$4&gt;=$C$1),'General Inputs'!G$10*$I74,0))</f>
        <v>44.264092261048447</v>
      </c>
      <c r="AK74" s="214">
        <f>IF(AND(($E74+$C$1)&gt;AK$4,AK$4&gt;=$C$1),'General Inputs'!H$9*$H74,IF(AND(($D74+$C$1)&gt;AK$4,AK$4&gt;=$C$1),'General Inputs'!H$9*$G74,0))+IF(AND(($E74+$C$1)&gt;AK$4,AK$4&gt;=$C$1),'General Inputs'!H$10*$J74,IF(AND(($D74+$C$1)&gt;AK$4,AK$4&gt;=$C$1),'General Inputs'!H$10*$I74,0))</f>
        <v>44.928053644964166</v>
      </c>
      <c r="AL74" s="214">
        <f>IF(AND(($E74+$C$1)&gt;AL$4,AL$4&gt;=$C$1),'General Inputs'!I$9*$H74,IF(AND(($D74+$C$1)&gt;AL$4,AL$4&gt;=$C$1),'General Inputs'!I$9*$G74,0))+IF(AND(($E74+$C$1)&gt;AL$4,AL$4&gt;=$C$1),'General Inputs'!I$10*$J74,IF(AND(($D74+$C$1)&gt;AL$4,AL$4&gt;=$C$1),'General Inputs'!I$10*$I74,0))</f>
        <v>45.601974449638625</v>
      </c>
      <c r="AM74" s="214">
        <f>IF(AND(($E74+$C$1)&gt;AM$4,AM$4&gt;=$C$1),'General Inputs'!J$9*$H74,IF(AND(($D74+$C$1)&gt;AM$4,AM$4&gt;=$C$1),'General Inputs'!J$9*$G74,0))+IF(AND(($E74+$C$1)&gt;AM$4,AM$4&gt;=$C$1),'General Inputs'!J$10*$J74,IF(AND(($D74+$C$1)&gt;AM$4,AM$4&gt;=$C$1),'General Inputs'!J$10*$I74,0))</f>
        <v>46.2860040663832</v>
      </c>
      <c r="AN74" s="214">
        <f>IF(AND(($E74+$C$1)&gt;AN$4,AN$4&gt;=$C$1),'General Inputs'!K$9*$H74,IF(AND(($D74+$C$1)&gt;AN$4,AN$4&gt;=$C$1),'General Inputs'!K$9*$G74,0))+IF(AND(($E74+$C$1)&gt;AN$4,AN$4&gt;=$C$1),'General Inputs'!K$10*$J74,IF(AND(($D74+$C$1)&gt;AN$4,AN$4&gt;=$C$1),'General Inputs'!K$10*$I74,0))</f>
        <v>46.980294127378933</v>
      </c>
      <c r="AO74" s="214">
        <f>IF(AND(($E74+$C$1)&gt;AO$4,AO$4&gt;=$C$1),'General Inputs'!L$9*$H74,IF(AND(($D74+$C$1)&gt;AO$4,AO$4&gt;=$C$1),'General Inputs'!L$9*$G74,0))+IF(AND(($E74+$C$1)&gt;AO$4,AO$4&gt;=$C$1),'General Inputs'!L$10*$J74,IF(AND(($D74+$C$1)&gt;AO$4,AO$4&gt;=$C$1),'General Inputs'!L$10*$I74,0))</f>
        <v>47.684998539289616</v>
      </c>
      <c r="AP74" s="214">
        <f>IF(AND(($E74+$C$1)&gt;AP$4,AP$4&gt;=$C$1),'General Inputs'!M$9*$H74,IF(AND(($D74+$C$1)&gt;AP$4,AP$4&gt;=$C$1),'General Inputs'!M$9*$G74,0))+IF(AND(($E74+$C$1)&gt;AP$4,AP$4&gt;=$C$1),'General Inputs'!M$10*$J74,IF(AND(($D74+$C$1)&gt;AP$4,AP$4&gt;=$C$1),'General Inputs'!M$10*$I74,0))</f>
        <v>48.400273517378956</v>
      </c>
      <c r="AQ74" s="214">
        <f>IF(AND(($E74+$C$1)&gt;AQ$4,AQ$4&gt;=$C$1),'General Inputs'!N$9*$H74,IF(AND(($D74+$C$1)&gt;AQ$4,AQ$4&gt;=$C$1),'General Inputs'!N$9*$G74,0))+IF(AND(($E74+$C$1)&gt;AQ$4,AQ$4&gt;=$C$1),'General Inputs'!N$10*$J74,IF(AND(($D74+$C$1)&gt;AQ$4,AQ$4&gt;=$C$1),'General Inputs'!N$10*$I74,0))</f>
        <v>0</v>
      </c>
      <c r="AR74" s="214">
        <f>IF(AND(($E74+$C$1)&gt;AR$4,AR$4&gt;=$C$1),'General Inputs'!O$9*$H74,IF(AND(($D74+$C$1)&gt;AR$4,AR$4&gt;=$C$1),'General Inputs'!O$9*$G74,0))+IF(AND(($E74+$C$1)&gt;AR$4,AR$4&gt;=$C$1),'General Inputs'!O$10*$J74,IF(AND(($D74+$C$1)&gt;AR$4,AR$4&gt;=$C$1),'General Inputs'!O$10*$I74,0))</f>
        <v>0</v>
      </c>
      <c r="AS74" s="214">
        <f>IF(AND(($E74+$C$1)&gt;AS$4,AS$4&gt;=$C$1),'General Inputs'!P$9*$H74,IF(AND(($D74+$C$1)&gt;AS$4,AS$4&gt;=$C$1),'General Inputs'!P$9*$G74,0))+IF(AND(($E74+$C$1)&gt;AS$4,AS$4&gt;=$C$1),'General Inputs'!P$10*$J74,IF(AND(($D74+$C$1)&gt;AS$4,AS$4&gt;=$C$1),'General Inputs'!P$10*$I74,0))</f>
        <v>0</v>
      </c>
      <c r="AT74" s="214">
        <f>IF(AND(($E74+$C$1)&gt;AT$4,AT$4&gt;=$C$1),'General Inputs'!Q$9*$H74,IF(AND(($D74+$C$1)&gt;AT$4,AT$4&gt;=$C$1),'General Inputs'!Q$9*$G74,0))+IF(AND(($E74+$C$1)&gt;AT$4,AT$4&gt;=$C$1),'General Inputs'!Q$10*$J74,IF(AND(($D74+$C$1)&gt;AT$4,AT$4&gt;=$C$1),'General Inputs'!Q$10*$I74,0))</f>
        <v>0</v>
      </c>
      <c r="AU74" s="214">
        <f>IF(AND(($E74+$C$1)&gt;AU$4,AU$4&gt;=$C$1),'General Inputs'!R$9*$H74,IF(AND(($D74+$C$1)&gt;AU$4,AU$4&gt;=$C$1),'General Inputs'!R$9*$G74,0))+IF(AND(($E74+$C$1)&gt;AU$4,AU$4&gt;=$C$1),'General Inputs'!R$10*$J74,IF(AND(($D74+$C$1)&gt;AU$4,AU$4&gt;=$C$1),'General Inputs'!R$10*$I74,0))</f>
        <v>0</v>
      </c>
      <c r="AV74" s="214">
        <f>IF(AND(($E74+$C$1)&gt;AV$4,AV$4&gt;=$C$1),'General Inputs'!S$9*$H74,IF(AND(($D74+$C$1)&gt;AV$4,AV$4&gt;=$C$1),'General Inputs'!S$9*$G74,0))+IF(AND(($E74+$C$1)&gt;AV$4,AV$4&gt;=$C$1),'General Inputs'!S$10*$J74,IF(AND(($D74+$C$1)&gt;AV$4,AV$4&gt;=$C$1),'General Inputs'!S$10*$I74,0))</f>
        <v>0</v>
      </c>
      <c r="AW74" s="214">
        <f>IF(AND(($E74+$C$1)&gt;AW$4,AW$4&gt;=$C$1),'General Inputs'!T$9*$H74,IF(AND(($D74+$C$1)&gt;AW$4,AW$4&gt;=$C$1),'General Inputs'!T$9*$G74,0))+IF(AND(($E74+$C$1)&gt;AW$4,AW$4&gt;=$C$1),'General Inputs'!T$10*$J74,IF(AND(($D74+$C$1)&gt;AW$4,AW$4&gt;=$C$1),'General Inputs'!T$10*$I74,0))</f>
        <v>0</v>
      </c>
      <c r="AX74" s="214">
        <f>IF(AND(($E74+$C$1)&gt;AX$4,AX$4&gt;=$C$1),'General Inputs'!U$9*$H74,IF(AND(($D74+$C$1)&gt;AX$4,AX$4&gt;=$C$1),'General Inputs'!U$9*$G74,0))+IF(AND(($E74+$C$1)&gt;AX$4,AX$4&gt;=$C$1),'General Inputs'!U$10*$J74,IF(AND(($D74+$C$1)&gt;AX$4,AX$4&gt;=$C$1),'General Inputs'!U$10*$I74,0))</f>
        <v>0</v>
      </c>
      <c r="AY74" s="214">
        <f>IF(AND(($E74+$C$1)&gt;AY$4,AY$4&gt;=$C$1),'General Inputs'!V$9*$H74,IF(AND(($D74+$C$1)&gt;AY$4,AY$4&gt;=$C$1),'General Inputs'!V$9*$G74,0))+IF(AND(($E74+$C$1)&gt;AY$4,AY$4&gt;=$C$1),'General Inputs'!V$10*$J74,IF(AND(($D74+$C$1)&gt;AY$4,AY$4&gt;=$C$1),'General Inputs'!V$10*$I74,0))</f>
        <v>0</v>
      </c>
      <c r="AZ74" s="214">
        <f>IF(AND(($E74+$C$1)&gt;AZ$4,AZ$4&gt;=$C$1),'General Inputs'!W$9*$H74,IF(AND(($D74+$C$1)&gt;AZ$4,AZ$4&gt;=$C$1),'General Inputs'!W$9*$G74,0))+IF(AND(($E74+$C$1)&gt;AZ$4,AZ$4&gt;=$C$1),'General Inputs'!W$10*$J74,IF(AND(($D74+$C$1)&gt;AZ$4,AZ$4&gt;=$C$1),'General Inputs'!W$10*$I74,0))</f>
        <v>0</v>
      </c>
      <c r="BB74" s="214">
        <f>IF(AND(($E74+$C$1)&gt;BB$4,BB$4&gt;=$C$1),'General Inputs'!D$11*$H74,IF(AND(($D74+$C$1)&gt;BB$4,BB$4&gt;=$C$1),'General Inputs'!D$11*$G74,0))</f>
        <v>0</v>
      </c>
      <c r="BC74" s="214">
        <f>IF(AND(($E74+$C$1)&gt;BC$4,BC$4&gt;=$C$1),'General Inputs'!E$11*$H74,IF(AND(($D74+$C$1)&gt;BC$4,BC$4&gt;=$C$1),'General Inputs'!E$11*$G74,0))</f>
        <v>0</v>
      </c>
      <c r="BD74" s="214">
        <f>IF(AND(($E74+$C$1)&gt;BD$4,BD$4&gt;=$C$1),'General Inputs'!F$11*$H74,IF(AND(($D74+$C$1)&gt;BD$4,BD$4&gt;=$C$1),'General Inputs'!F$11*$G74,0))</f>
        <v>11.977217226</v>
      </c>
      <c r="BE74" s="214">
        <f>IF(AND(($E74+$C$1)&gt;BE$4,BE$4&gt;=$C$1),'General Inputs'!G$11*$H74,IF(AND(($D74+$C$1)&gt;BE$4,BE$4&gt;=$C$1),'General Inputs'!G$11*$G74,0))</f>
        <v>11.977217226</v>
      </c>
      <c r="BF74" s="214">
        <f>IF(AND(($E74+$C$1)&gt;BF$4,BF$4&gt;=$C$1),'General Inputs'!H$11*$H74,IF(AND(($D74+$C$1)&gt;BF$4,BF$4&gt;=$C$1),'General Inputs'!H$11*$G74,0))</f>
        <v>11.977217226</v>
      </c>
      <c r="BG74" s="214">
        <f>IF(AND(($E74+$C$1)&gt;BG$4,BG$4&gt;=$C$1),'General Inputs'!I$11*$H74,IF(AND(($D74+$C$1)&gt;BG$4,BG$4&gt;=$C$1),'General Inputs'!I$11*$G74,0))</f>
        <v>11.977217226</v>
      </c>
      <c r="BH74" s="214">
        <f>IF(AND(($E74+$C$1)&gt;BH$4,BH$4&gt;=$C$1),'General Inputs'!J$11*$H74,IF(AND(($D74+$C$1)&gt;BH$4,BH$4&gt;=$C$1),'General Inputs'!J$11*$G74,0))</f>
        <v>11.977217226</v>
      </c>
      <c r="BI74" s="214">
        <f>IF(AND(($E74+$C$1)&gt;BI$4,BI$4&gt;=$C$1),'General Inputs'!K$11*$H74,IF(AND(($D74+$C$1)&gt;BI$4,BI$4&gt;=$C$1),'General Inputs'!K$11*$G74,0))</f>
        <v>11.977217226</v>
      </c>
      <c r="BJ74" s="214">
        <f>IF(AND(($E74+$C$1)&gt;BJ$4,BJ$4&gt;=$C$1),'General Inputs'!L$11*$H74,IF(AND(($D74+$C$1)&gt;BJ$4,BJ$4&gt;=$C$1),'General Inputs'!L$11*$G74,0))</f>
        <v>11.977217226</v>
      </c>
      <c r="BK74" s="214">
        <f>IF(AND(($E74+$C$1)&gt;BK$4,BK$4&gt;=$C$1),'General Inputs'!M$11*$H74,IF(AND(($D74+$C$1)&gt;BK$4,BK$4&gt;=$C$1),'General Inputs'!M$11*$G74,0))</f>
        <v>11.977217226</v>
      </c>
      <c r="BL74" s="214">
        <f>IF(AND(($E74+$C$1)&gt;BL$4,BL$4&gt;=$C$1),'General Inputs'!N$11*$H74,IF(AND(($D74+$C$1)&gt;BL$4,BL$4&gt;=$C$1),'General Inputs'!N$11*$G74,0))</f>
        <v>0</v>
      </c>
      <c r="BM74" s="214">
        <f>IF(AND(($E74+$C$1)&gt;BM$4,BM$4&gt;=$C$1),'General Inputs'!O$11*$H74,IF(AND(($D74+$C$1)&gt;BM$4,BM$4&gt;=$C$1),'General Inputs'!O$11*$G74,0))</f>
        <v>0</v>
      </c>
      <c r="BN74" s="214">
        <f>IF(AND(($E74+$C$1)&gt;BN$4,BN$4&gt;=$C$1),'General Inputs'!P$11*$H74,IF(AND(($D74+$C$1)&gt;BN$4,BN$4&gt;=$C$1),'General Inputs'!P$11*$G74,0))</f>
        <v>0</v>
      </c>
      <c r="BO74" s="214">
        <f>IF(AND(($E74+$C$1)&gt;BO$4,BO$4&gt;=$C$1),'General Inputs'!Q$11*$H74,IF(AND(($D74+$C$1)&gt;BO$4,BO$4&gt;=$C$1),'General Inputs'!Q$11*$G74,0))</f>
        <v>0</v>
      </c>
      <c r="BP74" s="214">
        <f>IF(AND(($E74+$C$1)&gt;BP$4,BP$4&gt;=$C$1),'General Inputs'!R$11*$H74,IF(AND(($D74+$C$1)&gt;BP$4,BP$4&gt;=$C$1),'General Inputs'!R$11*$G74,0))</f>
        <v>0</v>
      </c>
      <c r="BQ74" s="214">
        <f>IF(AND(($E74+$C$1)&gt;BQ$4,BQ$4&gt;=$C$1),'General Inputs'!S$11*$H74,IF(AND(($D74+$C$1)&gt;BQ$4,BQ$4&gt;=$C$1),'General Inputs'!S$11*$G74,0))</f>
        <v>0</v>
      </c>
      <c r="BR74" s="214">
        <f>IF(AND(($E74+$C$1)&gt;BR$4,BR$4&gt;=$C$1),'General Inputs'!T$11*$H74,IF(AND(($D74+$C$1)&gt;BR$4,BR$4&gt;=$C$1),'General Inputs'!T$11*$G74,0))</f>
        <v>0</v>
      </c>
      <c r="BS74" s="214">
        <f>IF(AND(($E74+$C$1)&gt;BS$4,BS$4&gt;=$C$1),'General Inputs'!U$11*$H74,IF(AND(($D74+$C$1)&gt;BS$4,BS$4&gt;=$C$1),'General Inputs'!U$11*$G74,0))</f>
        <v>0</v>
      </c>
      <c r="BT74" s="214">
        <f>IF(AND(($E74+$C$1)&gt;BT$4,BT$4&gt;=$C$1),'General Inputs'!V$11*$H74,IF(AND(($D74+$C$1)&gt;BT$4,BT$4&gt;=$C$1),'General Inputs'!V$11*$G74,0))</f>
        <v>0</v>
      </c>
      <c r="BU74" s="214">
        <f>IF(AND(($E74+$C$1)&gt;BU$4,BU$4&gt;=$C$1),'General Inputs'!W$11*$H74,IF(AND(($D74+$C$1)&gt;BU$4,BU$4&gt;=$C$1),'General Inputs'!W$11*$G74,0))</f>
        <v>0</v>
      </c>
      <c r="BW74" s="214">
        <f>IF(AND(($E74+$C$1)&gt;BW$4,BW$4&gt;=$C$1),$H74,IF(AND(($D74+$C$1)&gt;BW$4,BW$4&gt;=$C$1),$G74,0))*IF($A74="Residential",'General Inputs'!D$14,'General Inputs'!D$19)</f>
        <v>0</v>
      </c>
      <c r="BX74" s="214">
        <f>IF(AND(($E74+$C$1)&gt;BX$4,BX$4&gt;=$C$1),$H74,IF(AND(($D74+$C$1)&gt;BX$4,BX$4&gt;=$C$1),$G74,0))*IF($A74="Residential",'General Inputs'!E$14,'General Inputs'!E$19)</f>
        <v>0</v>
      </c>
      <c r="BY74" s="214">
        <f>IF(AND(($E74+$C$1)&gt;BY$4,BY$4&gt;=$C$1),$H74,IF(AND(($D74+$C$1)&gt;BY$4,BY$4&gt;=$C$1),$G74,0))*IF($A74="Residential",'General Inputs'!F$14,'General Inputs'!F$19)</f>
        <v>113.07371330186346</v>
      </c>
      <c r="BZ74" s="214">
        <f>IF(AND(($E74+$C$1)&gt;BZ$4,BZ$4&gt;=$C$1),$H74,IF(AND(($D74+$C$1)&gt;BZ$4,BZ$4&gt;=$C$1),$G74,0))*IF($A74="Residential",'General Inputs'!G$14,'General Inputs'!G$19)</f>
        <v>114.76981900139141</v>
      </c>
      <c r="CA74" s="214">
        <f>IF(AND(($E74+$C$1)&gt;CA$4,CA$4&gt;=$C$1),$H74,IF(AND(($D74+$C$1)&gt;CA$4,CA$4&gt;=$C$1),$G74,0))*IF($A74="Residential",'General Inputs'!H$14,'General Inputs'!H$19)</f>
        <v>116.49136628641226</v>
      </c>
      <c r="CB74" s="214">
        <f>IF(AND(($E74+$C$1)&gt;CB$4,CB$4&gt;=$C$1),$H74,IF(AND(($D74+$C$1)&gt;CB$4,CB$4&gt;=$C$1),$G74,0))*IF($A74="Residential",'General Inputs'!I$14,'General Inputs'!I$19)</f>
        <v>118.23873678070842</v>
      </c>
      <c r="CC74" s="214">
        <f>IF(AND(($E74+$C$1)&gt;CC$4,CC$4&gt;=$C$1),$H74,IF(AND(($D74+$C$1)&gt;CC$4,CC$4&gt;=$C$1),$G74,0))*IF($A74="Residential",'General Inputs'!J$14,'General Inputs'!J$19)</f>
        <v>120.01231783241904</v>
      </c>
      <c r="CD74" s="214">
        <f>IF(AND(($E74+$C$1)&gt;CD$4,CD$4&gt;=$C$1),$H74,IF(AND(($D74+$C$1)&gt;CD$4,CD$4&gt;=$C$1),$G74,0))*IF($A74="Residential",'General Inputs'!K$14,'General Inputs'!K$19)</f>
        <v>121.81250259990532</v>
      </c>
      <c r="CE74" s="214">
        <f>IF(AND(($E74+$C$1)&gt;CE$4,CE$4&gt;=$C$1),$H74,IF(AND(($D74+$C$1)&gt;CE$4,CE$4&gt;=$C$1),$G74,0))*IF($A74="Residential",'General Inputs'!L$14,'General Inputs'!L$19)</f>
        <v>123.63969013890387</v>
      </c>
      <c r="CF74" s="214">
        <f>IF(AND(($E74+$C$1)&gt;CF$4,CF$4&gt;=$C$1),$H74,IF(AND(($D74+$C$1)&gt;CF$4,CF$4&gt;=$C$1),$G74,0))*IF($A74="Residential",'General Inputs'!M$14,'General Inputs'!M$19)</f>
        <v>125.49428549098742</v>
      </c>
      <c r="CG74" s="214">
        <f>IF(AND(($E74+$C$1)&gt;CG$4,CG$4&gt;=$C$1),$H74,IF(AND(($D74+$C$1)&gt;CG$4,CG$4&gt;=$C$1),$G74,0))*IF($A74="Residential",'General Inputs'!N$14,'General Inputs'!N$19)</f>
        <v>0</v>
      </c>
      <c r="CH74" s="214">
        <f>IF(AND(($E74+$C$1)&gt;CH$4,CH$4&gt;=$C$1),$H74,IF(AND(($D74+$C$1)&gt;CH$4,CH$4&gt;=$C$1),$G74,0))*IF($A74="Residential",'General Inputs'!O$14,'General Inputs'!O$19)</f>
        <v>0</v>
      </c>
      <c r="CI74" s="214">
        <f>IF(AND(($E74+$C$1)&gt;CI$4,CI$4&gt;=$C$1),$H74,IF(AND(($D74+$C$1)&gt;CI$4,CI$4&gt;=$C$1),$G74,0))*IF($A74="Residential",'General Inputs'!P$14,'General Inputs'!P$19)</f>
        <v>0</v>
      </c>
      <c r="CJ74" s="214">
        <f>IF(AND(($E74+$C$1)&gt;CJ$4,CJ$4&gt;=$C$1),$H74,IF(AND(($D74+$C$1)&gt;CJ$4,CJ$4&gt;=$C$1),$G74,0))*IF($A74="Residential",'General Inputs'!Q$14,'General Inputs'!Q$19)</f>
        <v>0</v>
      </c>
      <c r="CK74" s="214">
        <f>IF(AND(($E74+$C$1)&gt;CK$4,CK$4&gt;=$C$1),$H74,IF(AND(($D74+$C$1)&gt;CK$4,CK$4&gt;=$C$1),$G74,0))*IF($A74="Residential",'General Inputs'!R$14,'General Inputs'!R$19)</f>
        <v>0</v>
      </c>
      <c r="CL74" s="214">
        <f>IF(AND(($E74+$C$1)&gt;CL$4,CL$4&gt;=$C$1),$H74,IF(AND(($D74+$C$1)&gt;CL$4,CL$4&gt;=$C$1),$G74,0))*IF($A74="Residential",'General Inputs'!S$14,'General Inputs'!S$19)</f>
        <v>0</v>
      </c>
      <c r="CM74" s="214">
        <f>IF(AND(($E74+$C$1)&gt;CM$4,CM$4&gt;=$C$1),$H74,IF(AND(($D74+$C$1)&gt;CM$4,CM$4&gt;=$C$1),$G74,0))*IF($A74="Residential",'General Inputs'!T$14,'General Inputs'!T$19)</f>
        <v>0</v>
      </c>
      <c r="CN74" s="214">
        <f>IF(AND(($E74+$C$1)&gt;CN$4,CN$4&gt;=$C$1),$H74,IF(AND(($D74+$C$1)&gt;CN$4,CN$4&gt;=$C$1),$G74,0))*IF($A74="Residential",'General Inputs'!U$14,'General Inputs'!U$19)</f>
        <v>0</v>
      </c>
      <c r="CO74" s="214">
        <f>IF(AND(($E74+$C$1)&gt;CO$4,CO$4&gt;=$C$1),$H74,IF(AND(($D74+$C$1)&gt;CO$4,CO$4&gt;=$C$1),$G74,0))*IF($A74="Residential",'General Inputs'!V$14,'General Inputs'!V$19)</f>
        <v>0</v>
      </c>
      <c r="CP74" s="214">
        <f>IF(AND(($E74+$C$1)&gt;CP$4,CP$4&gt;=$C$1),$H74,IF(AND(($D74+$C$1)&gt;CP$4,CP$4&gt;=$C$1),$G74,0))*IF($A74="Residential",'General Inputs'!W$14,'General Inputs'!W$19)</f>
        <v>0</v>
      </c>
      <c r="CR74" s="214">
        <f>IF(AND(($E74+$C$1)&gt;CR$4,CR$4&gt;=$C$1),$H74,IF(AND(($D74+$C$1)&gt;CR$4,CR$4&gt;=$C$1),$G74,0))*IF($A74="Residential",'General Inputs'!D$15,'General Inputs'!D$19)</f>
        <v>0</v>
      </c>
      <c r="CS74" s="214">
        <f>IF(AND(($E74+$C$1)&gt;CS$4,CS$4&gt;=$C$1),$H74,IF(AND(($D74+$C$1)&gt;CS$4,CS$4&gt;=$C$1),$G74,0))*IF($A74="Residential",'General Inputs'!E$15,'General Inputs'!E$19)</f>
        <v>0</v>
      </c>
      <c r="CT74" s="214">
        <f>IF(AND(($E74+$C$1)&gt;CT$4,CT$4&gt;=$C$1),$H74,IF(AND(($D74+$C$1)&gt;CT$4,CT$4&gt;=$C$1),$G74,0))*IF($A74="Residential",'General Inputs'!F$15,'General Inputs'!F$19)</f>
        <v>113.07371330186346</v>
      </c>
      <c r="CU74" s="214">
        <f>IF(AND(($E74+$C$1)&gt;CU$4,CU$4&gt;=$C$1),$H74,IF(AND(($D74+$C$1)&gt;CU$4,CU$4&gt;=$C$1),$G74,0))*IF($A74="Residential",'General Inputs'!G$15,'General Inputs'!G$19)</f>
        <v>114.76981900139141</v>
      </c>
      <c r="CV74" s="214">
        <f>IF(AND(($E74+$C$1)&gt;CV$4,CV$4&gt;=$C$1),$H74,IF(AND(($D74+$C$1)&gt;CV$4,CV$4&gt;=$C$1),$G74,0))*IF($A74="Residential",'General Inputs'!H$15,'General Inputs'!H$19)</f>
        <v>116.49136628641226</v>
      </c>
      <c r="CW74" s="214">
        <f>IF(AND(($E74+$C$1)&gt;CW$4,CW$4&gt;=$C$1),$H74,IF(AND(($D74+$C$1)&gt;CW$4,CW$4&gt;=$C$1),$G74,0))*IF($A74="Residential",'General Inputs'!I$15,'General Inputs'!I$19)</f>
        <v>118.23873678070842</v>
      </c>
      <c r="CX74" s="214">
        <f>IF(AND(($E74+$C$1)&gt;CX$4,CX$4&gt;=$C$1),$H74,IF(AND(($D74+$C$1)&gt;CX$4,CX$4&gt;=$C$1),$G74,0))*IF($A74="Residential",'General Inputs'!J$15,'General Inputs'!J$19)</f>
        <v>120.01231783241904</v>
      </c>
      <c r="CY74" s="214">
        <f>IF(AND(($E74+$C$1)&gt;CY$4,CY$4&gt;=$C$1),$H74,IF(AND(($D74+$C$1)&gt;CY$4,CY$4&gt;=$C$1),$G74,0))*IF($A74="Residential",'General Inputs'!K$15,'General Inputs'!K$19)</f>
        <v>121.81250259990532</v>
      </c>
      <c r="CZ74" s="214">
        <f>IF(AND(($E74+$C$1)&gt;CZ$4,CZ$4&gt;=$C$1),$H74,IF(AND(($D74+$C$1)&gt;CZ$4,CZ$4&gt;=$C$1),$G74,0))*IF($A74="Residential",'General Inputs'!L$15,'General Inputs'!L$19)</f>
        <v>123.63969013890387</v>
      </c>
      <c r="DA74" s="214">
        <f>IF(AND(($E74+$C$1)&gt;DA$4,DA$4&gt;=$C$1),$H74,IF(AND(($D74+$C$1)&gt;DA$4,DA$4&gt;=$C$1),$G74,0))*IF($A74="Residential",'General Inputs'!M$15,'General Inputs'!M$19)</f>
        <v>125.49428549098742</v>
      </c>
      <c r="DB74" s="214">
        <f>IF(AND(($E74+$C$1)&gt;DB$4,DB$4&gt;=$C$1),$H74,IF(AND(($D74+$C$1)&gt;DB$4,DB$4&gt;=$C$1),$G74,0))*IF($A74="Residential",'General Inputs'!N$15,'General Inputs'!N$19)</f>
        <v>0</v>
      </c>
      <c r="DC74" s="214">
        <f>IF(AND(($E74+$C$1)&gt;DC$4,DC$4&gt;=$C$1),$H74,IF(AND(($D74+$C$1)&gt;DC$4,DC$4&gt;=$C$1),$G74,0))*IF($A74="Residential",'General Inputs'!O$15,'General Inputs'!O$19)</f>
        <v>0</v>
      </c>
      <c r="DD74" s="214">
        <f>IF(AND(($E74+$C$1)&gt;DD$4,DD$4&gt;=$C$1),$H74,IF(AND(($D74+$C$1)&gt;DD$4,DD$4&gt;=$C$1),$G74,0))*IF($A74="Residential",'General Inputs'!P$15,'General Inputs'!P$19)</f>
        <v>0</v>
      </c>
      <c r="DE74" s="214">
        <f>IF(AND(($E74+$C$1)&gt;DE$4,DE$4&gt;=$C$1),$H74,IF(AND(($D74+$C$1)&gt;DE$4,DE$4&gt;=$C$1),$G74,0))*IF($A74="Residential",'General Inputs'!Q$15,'General Inputs'!Q$19)</f>
        <v>0</v>
      </c>
      <c r="DF74" s="214">
        <f>IF(AND(($E74+$C$1)&gt;DF$4,DF$4&gt;=$C$1),$H74,IF(AND(($D74+$C$1)&gt;DF$4,DF$4&gt;=$C$1),$G74,0))*IF($A74="Residential",'General Inputs'!R$15,'General Inputs'!R$19)</f>
        <v>0</v>
      </c>
      <c r="DG74" s="214">
        <f>IF(AND(($E74+$C$1)&gt;DG$4,DG$4&gt;=$C$1),$H74,IF(AND(($D74+$C$1)&gt;DG$4,DG$4&gt;=$C$1),$G74,0))*IF($A74="Residential",'General Inputs'!S$15,'General Inputs'!S$19)</f>
        <v>0</v>
      </c>
      <c r="DH74" s="214">
        <f>IF(AND(($E74+$C$1)&gt;DH$4,DH$4&gt;=$C$1),$H74,IF(AND(($D74+$C$1)&gt;DH$4,DH$4&gt;=$C$1),$G74,0))*IF($A74="Residential",'General Inputs'!T$15,'General Inputs'!T$19)</f>
        <v>0</v>
      </c>
      <c r="DI74" s="214">
        <f>IF(AND(($E74+$C$1)&gt;DI$4,DI$4&gt;=$C$1),$H74,IF(AND(($D74+$C$1)&gt;DI$4,DI$4&gt;=$C$1),$G74,0))*IF($A74="Residential",'General Inputs'!U$15,'General Inputs'!U$19)</f>
        <v>0</v>
      </c>
      <c r="DJ74" s="214">
        <f>IF(AND(($E74+$C$1)&gt;DJ$4,DJ$4&gt;=$C$1),$H74,IF(AND(($D74+$C$1)&gt;DJ$4,DJ$4&gt;=$C$1),$G74,0))*IF($A74="Residential",'General Inputs'!V$15,'General Inputs'!V$19)</f>
        <v>0</v>
      </c>
      <c r="DK74" s="214">
        <f>IF(AND(($E74+$C$1)&gt;DK$4,DK$4&gt;=$C$1),$H74,IF(AND(($D74+$C$1)&gt;DK$4,DK$4&gt;=$C$1),$G74,0))*IF($A74="Residential",'General Inputs'!W$15,'General Inputs'!W$19)</f>
        <v>0</v>
      </c>
      <c r="DM74" s="214">
        <f t="shared" si="100"/>
        <v>0</v>
      </c>
      <c r="DN74" s="214">
        <f t="shared" si="100"/>
        <v>0</v>
      </c>
      <c r="DO74" s="214">
        <f t="shared" si="100"/>
        <v>165</v>
      </c>
      <c r="DP74" s="214">
        <f t="shared" si="100"/>
        <v>0</v>
      </c>
      <c r="DQ74" s="214">
        <f t="shared" si="100"/>
        <v>0</v>
      </c>
      <c r="DR74" s="214">
        <f t="shared" si="100"/>
        <v>0</v>
      </c>
      <c r="DS74" s="214">
        <f t="shared" si="100"/>
        <v>0</v>
      </c>
      <c r="DT74" s="214">
        <f t="shared" si="100"/>
        <v>0</v>
      </c>
      <c r="DU74" s="214">
        <f t="shared" si="100"/>
        <v>0</v>
      </c>
      <c r="DV74" s="214">
        <f t="shared" si="100"/>
        <v>0</v>
      </c>
      <c r="DW74" s="214">
        <f t="shared" si="100"/>
        <v>0</v>
      </c>
      <c r="DZ74" s="650"/>
      <c r="FI74" s="195"/>
      <c r="FJ74" s="195"/>
      <c r="FK74" s="195"/>
      <c r="FL74" s="195"/>
      <c r="FM74" s="195"/>
      <c r="FN74" s="195"/>
      <c r="FO74" s="195"/>
    </row>
    <row r="75" spans="1:171">
      <c r="A75" s="342" t="s">
        <v>112</v>
      </c>
      <c r="B75" s="427" t="str">
        <f>'Portfolio Inputs'!A74</f>
        <v>Fixture Mount Photo Sensor</v>
      </c>
      <c r="C75" s="217">
        <f>IF($C$1=2014,'Portfolio Inputs'!$C74,IF($C$1=2015,'Portfolio Inputs'!$D74,'Portfolio Inputs'!$E74))</f>
        <v>0</v>
      </c>
      <c r="D75" s="504">
        <f>VLOOKUP(B75,Sources!$B$4:$J$104,2,FALSE)</f>
        <v>8</v>
      </c>
      <c r="E75" s="504">
        <f>VLOOKUP(B75,Sources!$B$4:$J$104,3,FALSE)</f>
        <v>0</v>
      </c>
      <c r="G75" s="504">
        <f>IF($C$1=2014,'Portfolio Inputs'!$G74,IF($C$1=2015,'Portfolio Inputs'!$H74,'Portfolio Inputs'!$I74))*EnergyLineLoss</f>
        <v>0</v>
      </c>
      <c r="H75" s="504"/>
      <c r="I75" s="595">
        <f>IF($C$1=2014,'Portfolio Inputs'!$K74,IF($C$1=2015,'Portfolio Inputs'!$L74,'Portfolio Inputs'!$M74))*PeakLineLoss</f>
        <v>0</v>
      </c>
      <c r="J75" s="510"/>
      <c r="L75" s="606">
        <f>IF($C$1=2014,'Portfolio Inputs'!$O74,IF($C$1=2015,'Portfolio Inputs'!$P74,'Portfolio Inputs'!$Q74))</f>
        <v>65</v>
      </c>
      <c r="M75" s="518">
        <f>VLOOKUP($B75,Sources!$B$4:$K$104,10,FALSE)</f>
        <v>0</v>
      </c>
      <c r="N75" s="419">
        <f>IF($C$1=2014,'Portfolio Inputs'!$W74,IF($C$1=2015,'Portfolio Inputs'!$X74,'Portfolio Inputs'!$Y74))</f>
        <v>0</v>
      </c>
      <c r="O75" s="419">
        <f>IF($C$1=2014,'Portfolio Inputs'!$AA74,IF($C$1=2015,'Portfolio Inputs'!$AB74,'Portfolio Inputs'!$AC74))</f>
        <v>0</v>
      </c>
      <c r="Q75" s="438" t="str">
        <f t="shared" si="67"/>
        <v>n/a</v>
      </c>
      <c r="R75" s="439" t="str">
        <f t="shared" si="68"/>
        <v>n/a</v>
      </c>
      <c r="S75" s="439" t="str">
        <f t="shared" si="69"/>
        <v>n/a</v>
      </c>
      <c r="T75" s="439" t="str">
        <f t="shared" si="70"/>
        <v>n/a</v>
      </c>
      <c r="U75" s="439" t="str">
        <f t="shared" si="98"/>
        <v>n/a</v>
      </c>
      <c r="V75" s="439" t="str">
        <f t="shared" si="72"/>
        <v>n/a</v>
      </c>
      <c r="W75" s="439" t="str">
        <f t="shared" si="73"/>
        <v>n/a</v>
      </c>
      <c r="Y75" s="215">
        <f t="shared" si="101"/>
        <v>0</v>
      </c>
      <c r="Z75" s="215">
        <f t="shared" si="102"/>
        <v>0</v>
      </c>
      <c r="AA75" s="215">
        <f t="shared" si="103"/>
        <v>0</v>
      </c>
      <c r="AB75" s="215">
        <f t="shared" si="104"/>
        <v>0</v>
      </c>
      <c r="AC75" s="216">
        <f t="shared" si="20"/>
        <v>0</v>
      </c>
      <c r="AD75" s="216">
        <f t="shared" si="21"/>
        <v>0</v>
      </c>
      <c r="AE75" s="215">
        <f t="shared" si="105"/>
        <v>0</v>
      </c>
      <c r="AG75" s="214">
        <f>IF(AND(($E75+$C$1)&gt;AG$4,AG$4&gt;=$C$1),'General Inputs'!D$9*$H75,IF(AND(($D75+$C$1)&gt;AG$4,AG$4&gt;=$C$1),'General Inputs'!D$9*$G75,0))+IF(AND(($E75+$C$1)&gt;AG$4,AG$4&gt;=$C$1),'General Inputs'!D$10*$J75,IF(AND(($D75+$C$1)&gt;AG$4,AG$4&gt;=$C$1),'General Inputs'!D$10*$I75,0))</f>
        <v>0</v>
      </c>
      <c r="AH75" s="214">
        <f>IF(AND(($E75+$C$1)&gt;AH$4,AH$4&gt;=$C$1),'General Inputs'!E$9*$H75,IF(AND(($D75+$C$1)&gt;AH$4,AH$4&gt;=$C$1),'General Inputs'!E$9*$G75,0))+IF(AND(($E75+$C$1)&gt;AH$4,AH$4&gt;=$C$1),'General Inputs'!E$10*$J75,IF(AND(($D75+$C$1)&gt;AH$4,AH$4&gt;=$C$1),'General Inputs'!E$10*$I75,0))</f>
        <v>0</v>
      </c>
      <c r="AI75" s="214">
        <f>IF(AND(($E75+$C$1)&gt;AI$4,AI$4&gt;=$C$1),'General Inputs'!F$9*$H75,IF(AND(($D75+$C$1)&gt;AI$4,AI$4&gt;=$C$1),'General Inputs'!F$9*$G75,0))+IF(AND(($E75+$C$1)&gt;AI$4,AI$4&gt;=$C$1),'General Inputs'!F$10*$J75,IF(AND(($D75+$C$1)&gt;AI$4,AI$4&gt;=$C$1),'General Inputs'!F$10*$I75,0))</f>
        <v>0</v>
      </c>
      <c r="AJ75" s="214">
        <f>IF(AND(($E75+$C$1)&gt;AJ$4,AJ$4&gt;=$C$1),'General Inputs'!G$9*$H75,IF(AND(($D75+$C$1)&gt;AJ$4,AJ$4&gt;=$C$1),'General Inputs'!G$9*$G75,0))+IF(AND(($E75+$C$1)&gt;AJ$4,AJ$4&gt;=$C$1),'General Inputs'!G$10*$J75,IF(AND(($D75+$C$1)&gt;AJ$4,AJ$4&gt;=$C$1),'General Inputs'!G$10*$I75,0))</f>
        <v>0</v>
      </c>
      <c r="AK75" s="214">
        <f>IF(AND(($E75+$C$1)&gt;AK$4,AK$4&gt;=$C$1),'General Inputs'!H$9*$H75,IF(AND(($D75+$C$1)&gt;AK$4,AK$4&gt;=$C$1),'General Inputs'!H$9*$G75,0))+IF(AND(($E75+$C$1)&gt;AK$4,AK$4&gt;=$C$1),'General Inputs'!H$10*$J75,IF(AND(($D75+$C$1)&gt;AK$4,AK$4&gt;=$C$1),'General Inputs'!H$10*$I75,0))</f>
        <v>0</v>
      </c>
      <c r="AL75" s="214">
        <f>IF(AND(($E75+$C$1)&gt;AL$4,AL$4&gt;=$C$1),'General Inputs'!I$9*$H75,IF(AND(($D75+$C$1)&gt;AL$4,AL$4&gt;=$C$1),'General Inputs'!I$9*$G75,0))+IF(AND(($E75+$C$1)&gt;AL$4,AL$4&gt;=$C$1),'General Inputs'!I$10*$J75,IF(AND(($D75+$C$1)&gt;AL$4,AL$4&gt;=$C$1),'General Inputs'!I$10*$I75,0))</f>
        <v>0</v>
      </c>
      <c r="AM75" s="214">
        <f>IF(AND(($E75+$C$1)&gt;AM$4,AM$4&gt;=$C$1),'General Inputs'!J$9*$H75,IF(AND(($D75+$C$1)&gt;AM$4,AM$4&gt;=$C$1),'General Inputs'!J$9*$G75,0))+IF(AND(($E75+$C$1)&gt;AM$4,AM$4&gt;=$C$1),'General Inputs'!J$10*$J75,IF(AND(($D75+$C$1)&gt;AM$4,AM$4&gt;=$C$1),'General Inputs'!J$10*$I75,0))</f>
        <v>0</v>
      </c>
      <c r="AN75" s="214">
        <f>IF(AND(($E75+$C$1)&gt;AN$4,AN$4&gt;=$C$1),'General Inputs'!K$9*$H75,IF(AND(($D75+$C$1)&gt;AN$4,AN$4&gt;=$C$1),'General Inputs'!K$9*$G75,0))+IF(AND(($E75+$C$1)&gt;AN$4,AN$4&gt;=$C$1),'General Inputs'!K$10*$J75,IF(AND(($D75+$C$1)&gt;AN$4,AN$4&gt;=$C$1),'General Inputs'!K$10*$I75,0))</f>
        <v>0</v>
      </c>
      <c r="AO75" s="214">
        <f>IF(AND(($E75+$C$1)&gt;AO$4,AO$4&gt;=$C$1),'General Inputs'!L$9*$H75,IF(AND(($D75+$C$1)&gt;AO$4,AO$4&gt;=$C$1),'General Inputs'!L$9*$G75,0))+IF(AND(($E75+$C$1)&gt;AO$4,AO$4&gt;=$C$1),'General Inputs'!L$10*$J75,IF(AND(($D75+$C$1)&gt;AO$4,AO$4&gt;=$C$1),'General Inputs'!L$10*$I75,0))</f>
        <v>0</v>
      </c>
      <c r="AP75" s="214">
        <f>IF(AND(($E75+$C$1)&gt;AP$4,AP$4&gt;=$C$1),'General Inputs'!M$9*$H75,IF(AND(($D75+$C$1)&gt;AP$4,AP$4&gt;=$C$1),'General Inputs'!M$9*$G75,0))+IF(AND(($E75+$C$1)&gt;AP$4,AP$4&gt;=$C$1),'General Inputs'!M$10*$J75,IF(AND(($D75+$C$1)&gt;AP$4,AP$4&gt;=$C$1),'General Inputs'!M$10*$I75,0))</f>
        <v>0</v>
      </c>
      <c r="AQ75" s="214">
        <f>IF(AND(($E75+$C$1)&gt;AQ$4,AQ$4&gt;=$C$1),'General Inputs'!N$9*$H75,IF(AND(($D75+$C$1)&gt;AQ$4,AQ$4&gt;=$C$1),'General Inputs'!N$9*$G75,0))+IF(AND(($E75+$C$1)&gt;AQ$4,AQ$4&gt;=$C$1),'General Inputs'!N$10*$J75,IF(AND(($D75+$C$1)&gt;AQ$4,AQ$4&gt;=$C$1),'General Inputs'!N$10*$I75,0))</f>
        <v>0</v>
      </c>
      <c r="AR75" s="214">
        <f>IF(AND(($E75+$C$1)&gt;AR$4,AR$4&gt;=$C$1),'General Inputs'!O$9*$H75,IF(AND(($D75+$C$1)&gt;AR$4,AR$4&gt;=$C$1),'General Inputs'!O$9*$G75,0))+IF(AND(($E75+$C$1)&gt;AR$4,AR$4&gt;=$C$1),'General Inputs'!O$10*$J75,IF(AND(($D75+$C$1)&gt;AR$4,AR$4&gt;=$C$1),'General Inputs'!O$10*$I75,0))</f>
        <v>0</v>
      </c>
      <c r="AS75" s="214">
        <f>IF(AND(($E75+$C$1)&gt;AS$4,AS$4&gt;=$C$1),'General Inputs'!P$9*$H75,IF(AND(($D75+$C$1)&gt;AS$4,AS$4&gt;=$C$1),'General Inputs'!P$9*$G75,0))+IF(AND(($E75+$C$1)&gt;AS$4,AS$4&gt;=$C$1),'General Inputs'!P$10*$J75,IF(AND(($D75+$C$1)&gt;AS$4,AS$4&gt;=$C$1),'General Inputs'!P$10*$I75,0))</f>
        <v>0</v>
      </c>
      <c r="AT75" s="214">
        <f>IF(AND(($E75+$C$1)&gt;AT$4,AT$4&gt;=$C$1),'General Inputs'!Q$9*$H75,IF(AND(($D75+$C$1)&gt;AT$4,AT$4&gt;=$C$1),'General Inputs'!Q$9*$G75,0))+IF(AND(($E75+$C$1)&gt;AT$4,AT$4&gt;=$C$1),'General Inputs'!Q$10*$J75,IF(AND(($D75+$C$1)&gt;AT$4,AT$4&gt;=$C$1),'General Inputs'!Q$10*$I75,0))</f>
        <v>0</v>
      </c>
      <c r="AU75" s="214">
        <f>IF(AND(($E75+$C$1)&gt;AU$4,AU$4&gt;=$C$1),'General Inputs'!R$9*$H75,IF(AND(($D75+$C$1)&gt;AU$4,AU$4&gt;=$C$1),'General Inputs'!R$9*$G75,0))+IF(AND(($E75+$C$1)&gt;AU$4,AU$4&gt;=$C$1),'General Inputs'!R$10*$J75,IF(AND(($D75+$C$1)&gt;AU$4,AU$4&gt;=$C$1),'General Inputs'!R$10*$I75,0))</f>
        <v>0</v>
      </c>
      <c r="AV75" s="214">
        <f>IF(AND(($E75+$C$1)&gt;AV$4,AV$4&gt;=$C$1),'General Inputs'!S$9*$H75,IF(AND(($D75+$C$1)&gt;AV$4,AV$4&gt;=$C$1),'General Inputs'!S$9*$G75,0))+IF(AND(($E75+$C$1)&gt;AV$4,AV$4&gt;=$C$1),'General Inputs'!S$10*$J75,IF(AND(($D75+$C$1)&gt;AV$4,AV$4&gt;=$C$1),'General Inputs'!S$10*$I75,0))</f>
        <v>0</v>
      </c>
      <c r="AW75" s="214">
        <f>IF(AND(($E75+$C$1)&gt;AW$4,AW$4&gt;=$C$1),'General Inputs'!T$9*$H75,IF(AND(($D75+$C$1)&gt;AW$4,AW$4&gt;=$C$1),'General Inputs'!T$9*$G75,0))+IF(AND(($E75+$C$1)&gt;AW$4,AW$4&gt;=$C$1),'General Inputs'!T$10*$J75,IF(AND(($D75+$C$1)&gt;AW$4,AW$4&gt;=$C$1),'General Inputs'!T$10*$I75,0))</f>
        <v>0</v>
      </c>
      <c r="AX75" s="214">
        <f>IF(AND(($E75+$C$1)&gt;AX$4,AX$4&gt;=$C$1),'General Inputs'!U$9*$H75,IF(AND(($D75+$C$1)&gt;AX$4,AX$4&gt;=$C$1),'General Inputs'!U$9*$G75,0))+IF(AND(($E75+$C$1)&gt;AX$4,AX$4&gt;=$C$1),'General Inputs'!U$10*$J75,IF(AND(($D75+$C$1)&gt;AX$4,AX$4&gt;=$C$1),'General Inputs'!U$10*$I75,0))</f>
        <v>0</v>
      </c>
      <c r="AY75" s="214">
        <f>IF(AND(($E75+$C$1)&gt;AY$4,AY$4&gt;=$C$1),'General Inputs'!V$9*$H75,IF(AND(($D75+$C$1)&gt;AY$4,AY$4&gt;=$C$1),'General Inputs'!V$9*$G75,0))+IF(AND(($E75+$C$1)&gt;AY$4,AY$4&gt;=$C$1),'General Inputs'!V$10*$J75,IF(AND(($D75+$C$1)&gt;AY$4,AY$4&gt;=$C$1),'General Inputs'!V$10*$I75,0))</f>
        <v>0</v>
      </c>
      <c r="AZ75" s="214">
        <f>IF(AND(($E75+$C$1)&gt;AZ$4,AZ$4&gt;=$C$1),'General Inputs'!W$9*$H75,IF(AND(($D75+$C$1)&gt;AZ$4,AZ$4&gt;=$C$1),'General Inputs'!W$9*$G75,0))+IF(AND(($E75+$C$1)&gt;AZ$4,AZ$4&gt;=$C$1),'General Inputs'!W$10*$J75,IF(AND(($D75+$C$1)&gt;AZ$4,AZ$4&gt;=$C$1),'General Inputs'!W$10*$I75,0))</f>
        <v>0</v>
      </c>
      <c r="BB75" s="214">
        <f>IF(AND(($E75+$C$1)&gt;BB$4,BB$4&gt;=$C$1),'General Inputs'!D$11*$H75,IF(AND(($D75+$C$1)&gt;BB$4,BB$4&gt;=$C$1),'General Inputs'!D$11*$G75,0))</f>
        <v>0</v>
      </c>
      <c r="BC75" s="214">
        <f>IF(AND(($E75+$C$1)&gt;BC$4,BC$4&gt;=$C$1),'General Inputs'!E$11*$H75,IF(AND(($D75+$C$1)&gt;BC$4,BC$4&gt;=$C$1),'General Inputs'!E$11*$G75,0))</f>
        <v>0</v>
      </c>
      <c r="BD75" s="214">
        <f>IF(AND(($E75+$C$1)&gt;BD$4,BD$4&gt;=$C$1),'General Inputs'!F$11*$H75,IF(AND(($D75+$C$1)&gt;BD$4,BD$4&gt;=$C$1),'General Inputs'!F$11*$G75,0))</f>
        <v>0</v>
      </c>
      <c r="BE75" s="214">
        <f>IF(AND(($E75+$C$1)&gt;BE$4,BE$4&gt;=$C$1),'General Inputs'!G$11*$H75,IF(AND(($D75+$C$1)&gt;BE$4,BE$4&gt;=$C$1),'General Inputs'!G$11*$G75,0))</f>
        <v>0</v>
      </c>
      <c r="BF75" s="214">
        <f>IF(AND(($E75+$C$1)&gt;BF$4,BF$4&gt;=$C$1),'General Inputs'!H$11*$H75,IF(AND(($D75+$C$1)&gt;BF$4,BF$4&gt;=$C$1),'General Inputs'!H$11*$G75,0))</f>
        <v>0</v>
      </c>
      <c r="BG75" s="214">
        <f>IF(AND(($E75+$C$1)&gt;BG$4,BG$4&gt;=$C$1),'General Inputs'!I$11*$H75,IF(AND(($D75+$C$1)&gt;BG$4,BG$4&gt;=$C$1),'General Inputs'!I$11*$G75,0))</f>
        <v>0</v>
      </c>
      <c r="BH75" s="214">
        <f>IF(AND(($E75+$C$1)&gt;BH$4,BH$4&gt;=$C$1),'General Inputs'!J$11*$H75,IF(AND(($D75+$C$1)&gt;BH$4,BH$4&gt;=$C$1),'General Inputs'!J$11*$G75,0))</f>
        <v>0</v>
      </c>
      <c r="BI75" s="214">
        <f>IF(AND(($E75+$C$1)&gt;BI$4,BI$4&gt;=$C$1),'General Inputs'!K$11*$H75,IF(AND(($D75+$C$1)&gt;BI$4,BI$4&gt;=$C$1),'General Inputs'!K$11*$G75,0))</f>
        <v>0</v>
      </c>
      <c r="BJ75" s="214">
        <f>IF(AND(($E75+$C$1)&gt;BJ$4,BJ$4&gt;=$C$1),'General Inputs'!L$11*$H75,IF(AND(($D75+$C$1)&gt;BJ$4,BJ$4&gt;=$C$1),'General Inputs'!L$11*$G75,0))</f>
        <v>0</v>
      </c>
      <c r="BK75" s="214">
        <f>IF(AND(($E75+$C$1)&gt;BK$4,BK$4&gt;=$C$1),'General Inputs'!M$11*$H75,IF(AND(($D75+$C$1)&gt;BK$4,BK$4&gt;=$C$1),'General Inputs'!M$11*$G75,0))</f>
        <v>0</v>
      </c>
      <c r="BL75" s="214">
        <f>IF(AND(($E75+$C$1)&gt;BL$4,BL$4&gt;=$C$1),'General Inputs'!N$11*$H75,IF(AND(($D75+$C$1)&gt;BL$4,BL$4&gt;=$C$1),'General Inputs'!N$11*$G75,0))</f>
        <v>0</v>
      </c>
      <c r="BM75" s="214">
        <f>IF(AND(($E75+$C$1)&gt;BM$4,BM$4&gt;=$C$1),'General Inputs'!O$11*$H75,IF(AND(($D75+$C$1)&gt;BM$4,BM$4&gt;=$C$1),'General Inputs'!O$11*$G75,0))</f>
        <v>0</v>
      </c>
      <c r="BN75" s="214">
        <f>IF(AND(($E75+$C$1)&gt;BN$4,BN$4&gt;=$C$1),'General Inputs'!P$11*$H75,IF(AND(($D75+$C$1)&gt;BN$4,BN$4&gt;=$C$1),'General Inputs'!P$11*$G75,0))</f>
        <v>0</v>
      </c>
      <c r="BO75" s="214">
        <f>IF(AND(($E75+$C$1)&gt;BO$4,BO$4&gt;=$C$1),'General Inputs'!Q$11*$H75,IF(AND(($D75+$C$1)&gt;BO$4,BO$4&gt;=$C$1),'General Inputs'!Q$11*$G75,0))</f>
        <v>0</v>
      </c>
      <c r="BP75" s="214">
        <f>IF(AND(($E75+$C$1)&gt;BP$4,BP$4&gt;=$C$1),'General Inputs'!R$11*$H75,IF(AND(($D75+$C$1)&gt;BP$4,BP$4&gt;=$C$1),'General Inputs'!R$11*$G75,0))</f>
        <v>0</v>
      </c>
      <c r="BQ75" s="214">
        <f>IF(AND(($E75+$C$1)&gt;BQ$4,BQ$4&gt;=$C$1),'General Inputs'!S$11*$H75,IF(AND(($D75+$C$1)&gt;BQ$4,BQ$4&gt;=$C$1),'General Inputs'!S$11*$G75,0))</f>
        <v>0</v>
      </c>
      <c r="BR75" s="214">
        <f>IF(AND(($E75+$C$1)&gt;BR$4,BR$4&gt;=$C$1),'General Inputs'!T$11*$H75,IF(AND(($D75+$C$1)&gt;BR$4,BR$4&gt;=$C$1),'General Inputs'!T$11*$G75,0))</f>
        <v>0</v>
      </c>
      <c r="BS75" s="214">
        <f>IF(AND(($E75+$C$1)&gt;BS$4,BS$4&gt;=$C$1),'General Inputs'!U$11*$H75,IF(AND(($D75+$C$1)&gt;BS$4,BS$4&gt;=$C$1),'General Inputs'!U$11*$G75,0))</f>
        <v>0</v>
      </c>
      <c r="BT75" s="214">
        <f>IF(AND(($E75+$C$1)&gt;BT$4,BT$4&gt;=$C$1),'General Inputs'!V$11*$H75,IF(AND(($D75+$C$1)&gt;BT$4,BT$4&gt;=$C$1),'General Inputs'!V$11*$G75,0))</f>
        <v>0</v>
      </c>
      <c r="BU75" s="214">
        <f>IF(AND(($E75+$C$1)&gt;BU$4,BU$4&gt;=$C$1),'General Inputs'!W$11*$H75,IF(AND(($D75+$C$1)&gt;BU$4,BU$4&gt;=$C$1),'General Inputs'!W$11*$G75,0))</f>
        <v>0</v>
      </c>
      <c r="BW75" s="214">
        <f>IF(AND(($E75+$C$1)&gt;BW$4,BW$4&gt;=$C$1),$H75,IF(AND(($D75+$C$1)&gt;BW$4,BW$4&gt;=$C$1),$G75,0))*IF($A75="Residential",'General Inputs'!D$14,'General Inputs'!D$19)</f>
        <v>0</v>
      </c>
      <c r="BX75" s="214">
        <f>IF(AND(($E75+$C$1)&gt;BX$4,BX$4&gt;=$C$1),$H75,IF(AND(($D75+$C$1)&gt;BX$4,BX$4&gt;=$C$1),$G75,0))*IF($A75="Residential",'General Inputs'!E$14,'General Inputs'!E$19)</f>
        <v>0</v>
      </c>
      <c r="BY75" s="214">
        <f>IF(AND(($E75+$C$1)&gt;BY$4,BY$4&gt;=$C$1),$H75,IF(AND(($D75+$C$1)&gt;BY$4,BY$4&gt;=$C$1),$G75,0))*IF($A75="Residential",'General Inputs'!F$14,'General Inputs'!F$19)</f>
        <v>0</v>
      </c>
      <c r="BZ75" s="214">
        <f>IF(AND(($E75+$C$1)&gt;BZ$4,BZ$4&gt;=$C$1),$H75,IF(AND(($D75+$C$1)&gt;BZ$4,BZ$4&gt;=$C$1),$G75,0))*IF($A75="Residential",'General Inputs'!G$14,'General Inputs'!G$19)</f>
        <v>0</v>
      </c>
      <c r="CA75" s="214">
        <f>IF(AND(($E75+$C$1)&gt;CA$4,CA$4&gt;=$C$1),$H75,IF(AND(($D75+$C$1)&gt;CA$4,CA$4&gt;=$C$1),$G75,0))*IF($A75="Residential",'General Inputs'!H$14,'General Inputs'!H$19)</f>
        <v>0</v>
      </c>
      <c r="CB75" s="214">
        <f>IF(AND(($E75+$C$1)&gt;CB$4,CB$4&gt;=$C$1),$H75,IF(AND(($D75+$C$1)&gt;CB$4,CB$4&gt;=$C$1),$G75,0))*IF($A75="Residential",'General Inputs'!I$14,'General Inputs'!I$19)</f>
        <v>0</v>
      </c>
      <c r="CC75" s="214">
        <f>IF(AND(($E75+$C$1)&gt;CC$4,CC$4&gt;=$C$1),$H75,IF(AND(($D75+$C$1)&gt;CC$4,CC$4&gt;=$C$1),$G75,0))*IF($A75="Residential",'General Inputs'!J$14,'General Inputs'!J$19)</f>
        <v>0</v>
      </c>
      <c r="CD75" s="214">
        <f>IF(AND(($E75+$C$1)&gt;CD$4,CD$4&gt;=$C$1),$H75,IF(AND(($D75+$C$1)&gt;CD$4,CD$4&gt;=$C$1),$G75,0))*IF($A75="Residential",'General Inputs'!K$14,'General Inputs'!K$19)</f>
        <v>0</v>
      </c>
      <c r="CE75" s="214">
        <f>IF(AND(($E75+$C$1)&gt;CE$4,CE$4&gt;=$C$1),$H75,IF(AND(($D75+$C$1)&gt;CE$4,CE$4&gt;=$C$1),$G75,0))*IF($A75="Residential",'General Inputs'!L$14,'General Inputs'!L$19)</f>
        <v>0</v>
      </c>
      <c r="CF75" s="214">
        <f>IF(AND(($E75+$C$1)&gt;CF$4,CF$4&gt;=$C$1),$H75,IF(AND(($D75+$C$1)&gt;CF$4,CF$4&gt;=$C$1),$G75,0))*IF($A75="Residential",'General Inputs'!M$14,'General Inputs'!M$19)</f>
        <v>0</v>
      </c>
      <c r="CG75" s="214">
        <f>IF(AND(($E75+$C$1)&gt;CG$4,CG$4&gt;=$C$1),$H75,IF(AND(($D75+$C$1)&gt;CG$4,CG$4&gt;=$C$1),$G75,0))*IF($A75="Residential",'General Inputs'!N$14,'General Inputs'!N$19)</f>
        <v>0</v>
      </c>
      <c r="CH75" s="214">
        <f>IF(AND(($E75+$C$1)&gt;CH$4,CH$4&gt;=$C$1),$H75,IF(AND(($D75+$C$1)&gt;CH$4,CH$4&gt;=$C$1),$G75,0))*IF($A75="Residential",'General Inputs'!O$14,'General Inputs'!O$19)</f>
        <v>0</v>
      </c>
      <c r="CI75" s="214">
        <f>IF(AND(($E75+$C$1)&gt;CI$4,CI$4&gt;=$C$1),$H75,IF(AND(($D75+$C$1)&gt;CI$4,CI$4&gt;=$C$1),$G75,0))*IF($A75="Residential",'General Inputs'!P$14,'General Inputs'!P$19)</f>
        <v>0</v>
      </c>
      <c r="CJ75" s="214">
        <f>IF(AND(($E75+$C$1)&gt;CJ$4,CJ$4&gt;=$C$1),$H75,IF(AND(($D75+$C$1)&gt;CJ$4,CJ$4&gt;=$C$1),$G75,0))*IF($A75="Residential",'General Inputs'!Q$14,'General Inputs'!Q$19)</f>
        <v>0</v>
      </c>
      <c r="CK75" s="214">
        <f>IF(AND(($E75+$C$1)&gt;CK$4,CK$4&gt;=$C$1),$H75,IF(AND(($D75+$C$1)&gt;CK$4,CK$4&gt;=$C$1),$G75,0))*IF($A75="Residential",'General Inputs'!R$14,'General Inputs'!R$19)</f>
        <v>0</v>
      </c>
      <c r="CL75" s="214">
        <f>IF(AND(($E75+$C$1)&gt;CL$4,CL$4&gt;=$C$1),$H75,IF(AND(($D75+$C$1)&gt;CL$4,CL$4&gt;=$C$1),$G75,0))*IF($A75="Residential",'General Inputs'!S$14,'General Inputs'!S$19)</f>
        <v>0</v>
      </c>
      <c r="CM75" s="214">
        <f>IF(AND(($E75+$C$1)&gt;CM$4,CM$4&gt;=$C$1),$H75,IF(AND(($D75+$C$1)&gt;CM$4,CM$4&gt;=$C$1),$G75,0))*IF($A75="Residential",'General Inputs'!T$14,'General Inputs'!T$19)</f>
        <v>0</v>
      </c>
      <c r="CN75" s="214">
        <f>IF(AND(($E75+$C$1)&gt;CN$4,CN$4&gt;=$C$1),$H75,IF(AND(($D75+$C$1)&gt;CN$4,CN$4&gt;=$C$1),$G75,0))*IF($A75="Residential",'General Inputs'!U$14,'General Inputs'!U$19)</f>
        <v>0</v>
      </c>
      <c r="CO75" s="214">
        <f>IF(AND(($E75+$C$1)&gt;CO$4,CO$4&gt;=$C$1),$H75,IF(AND(($D75+$C$1)&gt;CO$4,CO$4&gt;=$C$1),$G75,0))*IF($A75="Residential",'General Inputs'!V$14,'General Inputs'!V$19)</f>
        <v>0</v>
      </c>
      <c r="CP75" s="214">
        <f>IF(AND(($E75+$C$1)&gt;CP$4,CP$4&gt;=$C$1),$H75,IF(AND(($D75+$C$1)&gt;CP$4,CP$4&gt;=$C$1),$G75,0))*IF($A75="Residential",'General Inputs'!W$14,'General Inputs'!W$19)</f>
        <v>0</v>
      </c>
      <c r="CR75" s="214">
        <f>IF(AND(($E75+$C$1)&gt;CR$4,CR$4&gt;=$C$1),$H75,IF(AND(($D75+$C$1)&gt;CR$4,CR$4&gt;=$C$1),$G75,0))*IF($A75="Residential",'General Inputs'!D$15,'General Inputs'!D$19)</f>
        <v>0</v>
      </c>
      <c r="CS75" s="214">
        <f>IF(AND(($E75+$C$1)&gt;CS$4,CS$4&gt;=$C$1),$H75,IF(AND(($D75+$C$1)&gt;CS$4,CS$4&gt;=$C$1),$G75,0))*IF($A75="Residential",'General Inputs'!E$15,'General Inputs'!E$19)</f>
        <v>0</v>
      </c>
      <c r="CT75" s="214">
        <f>IF(AND(($E75+$C$1)&gt;CT$4,CT$4&gt;=$C$1),$H75,IF(AND(($D75+$C$1)&gt;CT$4,CT$4&gt;=$C$1),$G75,0))*IF($A75="Residential",'General Inputs'!F$15,'General Inputs'!F$19)</f>
        <v>0</v>
      </c>
      <c r="CU75" s="214">
        <f>IF(AND(($E75+$C$1)&gt;CU$4,CU$4&gt;=$C$1),$H75,IF(AND(($D75+$C$1)&gt;CU$4,CU$4&gt;=$C$1),$G75,0))*IF($A75="Residential",'General Inputs'!G$15,'General Inputs'!G$19)</f>
        <v>0</v>
      </c>
      <c r="CV75" s="214">
        <f>IF(AND(($E75+$C$1)&gt;CV$4,CV$4&gt;=$C$1),$H75,IF(AND(($D75+$C$1)&gt;CV$4,CV$4&gt;=$C$1),$G75,0))*IF($A75="Residential",'General Inputs'!H$15,'General Inputs'!H$19)</f>
        <v>0</v>
      </c>
      <c r="CW75" s="214">
        <f>IF(AND(($E75+$C$1)&gt;CW$4,CW$4&gt;=$C$1),$H75,IF(AND(($D75+$C$1)&gt;CW$4,CW$4&gt;=$C$1),$G75,0))*IF($A75="Residential",'General Inputs'!I$15,'General Inputs'!I$19)</f>
        <v>0</v>
      </c>
      <c r="CX75" s="214">
        <f>IF(AND(($E75+$C$1)&gt;CX$4,CX$4&gt;=$C$1),$H75,IF(AND(($D75+$C$1)&gt;CX$4,CX$4&gt;=$C$1),$G75,0))*IF($A75="Residential",'General Inputs'!J$15,'General Inputs'!J$19)</f>
        <v>0</v>
      </c>
      <c r="CY75" s="214">
        <f>IF(AND(($E75+$C$1)&gt;CY$4,CY$4&gt;=$C$1),$H75,IF(AND(($D75+$C$1)&gt;CY$4,CY$4&gt;=$C$1),$G75,0))*IF($A75="Residential",'General Inputs'!K$15,'General Inputs'!K$19)</f>
        <v>0</v>
      </c>
      <c r="CZ75" s="214">
        <f>IF(AND(($E75+$C$1)&gt;CZ$4,CZ$4&gt;=$C$1),$H75,IF(AND(($D75+$C$1)&gt;CZ$4,CZ$4&gt;=$C$1),$G75,0))*IF($A75="Residential",'General Inputs'!L$15,'General Inputs'!L$19)</f>
        <v>0</v>
      </c>
      <c r="DA75" s="214">
        <f>IF(AND(($E75+$C$1)&gt;DA$4,DA$4&gt;=$C$1),$H75,IF(AND(($D75+$C$1)&gt;DA$4,DA$4&gt;=$C$1),$G75,0))*IF($A75="Residential",'General Inputs'!M$15,'General Inputs'!M$19)</f>
        <v>0</v>
      </c>
      <c r="DB75" s="214">
        <f>IF(AND(($E75+$C$1)&gt;DB$4,DB$4&gt;=$C$1),$H75,IF(AND(($D75+$C$1)&gt;DB$4,DB$4&gt;=$C$1),$G75,0))*IF($A75="Residential",'General Inputs'!N$15,'General Inputs'!N$19)</f>
        <v>0</v>
      </c>
      <c r="DC75" s="214">
        <f>IF(AND(($E75+$C$1)&gt;DC$4,DC$4&gt;=$C$1),$H75,IF(AND(($D75+$C$1)&gt;DC$4,DC$4&gt;=$C$1),$G75,0))*IF($A75="Residential",'General Inputs'!O$15,'General Inputs'!O$19)</f>
        <v>0</v>
      </c>
      <c r="DD75" s="214">
        <f>IF(AND(($E75+$C$1)&gt;DD$4,DD$4&gt;=$C$1),$H75,IF(AND(($D75+$C$1)&gt;DD$4,DD$4&gt;=$C$1),$G75,0))*IF($A75="Residential",'General Inputs'!P$15,'General Inputs'!P$19)</f>
        <v>0</v>
      </c>
      <c r="DE75" s="214">
        <f>IF(AND(($E75+$C$1)&gt;DE$4,DE$4&gt;=$C$1),$H75,IF(AND(($D75+$C$1)&gt;DE$4,DE$4&gt;=$C$1),$G75,0))*IF($A75="Residential",'General Inputs'!Q$15,'General Inputs'!Q$19)</f>
        <v>0</v>
      </c>
      <c r="DF75" s="214">
        <f>IF(AND(($E75+$C$1)&gt;DF$4,DF$4&gt;=$C$1),$H75,IF(AND(($D75+$C$1)&gt;DF$4,DF$4&gt;=$C$1),$G75,0))*IF($A75="Residential",'General Inputs'!R$15,'General Inputs'!R$19)</f>
        <v>0</v>
      </c>
      <c r="DG75" s="214">
        <f>IF(AND(($E75+$C$1)&gt;DG$4,DG$4&gt;=$C$1),$H75,IF(AND(($D75+$C$1)&gt;DG$4,DG$4&gt;=$C$1),$G75,0))*IF($A75="Residential",'General Inputs'!S$15,'General Inputs'!S$19)</f>
        <v>0</v>
      </c>
      <c r="DH75" s="214">
        <f>IF(AND(($E75+$C$1)&gt;DH$4,DH$4&gt;=$C$1),$H75,IF(AND(($D75+$C$1)&gt;DH$4,DH$4&gt;=$C$1),$G75,0))*IF($A75="Residential",'General Inputs'!T$15,'General Inputs'!T$19)</f>
        <v>0</v>
      </c>
      <c r="DI75" s="214">
        <f>IF(AND(($E75+$C$1)&gt;DI$4,DI$4&gt;=$C$1),$H75,IF(AND(($D75+$C$1)&gt;DI$4,DI$4&gt;=$C$1),$G75,0))*IF($A75="Residential",'General Inputs'!U$15,'General Inputs'!U$19)</f>
        <v>0</v>
      </c>
      <c r="DJ75" s="214">
        <f>IF(AND(($E75+$C$1)&gt;DJ$4,DJ$4&gt;=$C$1),$H75,IF(AND(($D75+$C$1)&gt;DJ$4,DJ$4&gt;=$C$1),$G75,0))*IF($A75="Residential",'General Inputs'!V$15,'General Inputs'!V$19)</f>
        <v>0</v>
      </c>
      <c r="DK75" s="214">
        <f>IF(AND(($E75+$C$1)&gt;DK$4,DK$4&gt;=$C$1),$H75,IF(AND(($D75+$C$1)&gt;DK$4,DK$4&gt;=$C$1),$G75,0))*IF($A75="Residential",'General Inputs'!W$15,'General Inputs'!W$19)</f>
        <v>0</v>
      </c>
      <c r="DM75" s="214">
        <f t="shared" si="100"/>
        <v>0</v>
      </c>
      <c r="DN75" s="214">
        <f t="shared" si="100"/>
        <v>0</v>
      </c>
      <c r="DO75" s="214">
        <f t="shared" si="100"/>
        <v>0</v>
      </c>
      <c r="DP75" s="214">
        <f t="shared" si="100"/>
        <v>0</v>
      </c>
      <c r="DQ75" s="214">
        <f t="shared" si="100"/>
        <v>0</v>
      </c>
      <c r="DR75" s="214">
        <f t="shared" si="100"/>
        <v>0</v>
      </c>
      <c r="DS75" s="214">
        <f t="shared" si="100"/>
        <v>0</v>
      </c>
      <c r="DT75" s="214">
        <f t="shared" si="100"/>
        <v>0</v>
      </c>
      <c r="DU75" s="214">
        <f t="shared" si="100"/>
        <v>0</v>
      </c>
      <c r="DV75" s="214">
        <f t="shared" si="100"/>
        <v>0</v>
      </c>
      <c r="DW75" s="214">
        <f t="shared" si="100"/>
        <v>0</v>
      </c>
      <c r="DZ75" s="650"/>
      <c r="FI75" s="195"/>
      <c r="FJ75" s="195"/>
      <c r="FK75" s="195"/>
      <c r="FL75" s="195"/>
      <c r="FM75" s="195"/>
      <c r="FN75" s="195"/>
      <c r="FO75" s="195"/>
    </row>
    <row r="76" spans="1:171">
      <c r="A76" s="342" t="s">
        <v>112</v>
      </c>
      <c r="B76" s="427" t="str">
        <f>'Portfolio Inputs'!A75</f>
        <v>Fixture Mount Occupancy</v>
      </c>
      <c r="C76" s="217">
        <f>IF($C$1=2014,'Portfolio Inputs'!$C75,IF($C$1=2015,'Portfolio Inputs'!$D75,'Portfolio Inputs'!$E75))</f>
        <v>3</v>
      </c>
      <c r="D76" s="504">
        <f>VLOOKUP(B76,Sources!$B$4:$J$104,2,FALSE)</f>
        <v>8</v>
      </c>
      <c r="E76" s="504">
        <f>VLOOKUP(B76,Sources!$B$4:$J$104,3,FALSE)</f>
        <v>0</v>
      </c>
      <c r="G76" s="504">
        <f>IF($C$1=2014,'Portfolio Inputs'!$G75,IF($C$1=2015,'Portfolio Inputs'!$H75,'Portfolio Inputs'!$I75))*EnergyLineLoss</f>
        <v>1050.63309</v>
      </c>
      <c r="H76" s="504"/>
      <c r="I76" s="595">
        <f>IF($C$1=2014,'Portfolio Inputs'!$K75,IF($C$1=2015,'Portfolio Inputs'!$L75,'Portfolio Inputs'!$M75))*PeakLineLoss</f>
        <v>3.3552476100000006E-2</v>
      </c>
      <c r="J76" s="510"/>
      <c r="L76" s="606">
        <f>IF($C$1=2014,'Portfolio Inputs'!$O75,IF($C$1=2015,'Portfolio Inputs'!$P75,'Portfolio Inputs'!$Q75))</f>
        <v>55</v>
      </c>
      <c r="M76" s="518">
        <f>VLOOKUP($B76,Sources!$B$4:$K$104,10,FALSE)</f>
        <v>0</v>
      </c>
      <c r="N76" s="419">
        <f>IF($C$1=2014,'Portfolio Inputs'!$W75,IF($C$1=2015,'Portfolio Inputs'!$X75,'Portfolio Inputs'!$Y75))</f>
        <v>84</v>
      </c>
      <c r="O76" s="419">
        <f>IF($C$1=2014,'Portfolio Inputs'!$AA75,IF($C$1=2015,'Portfolio Inputs'!$AB75,'Portfolio Inputs'!$AC75))</f>
        <v>0</v>
      </c>
      <c r="Q76" s="438">
        <f t="shared" si="67"/>
        <v>1.6772804387641693</v>
      </c>
      <c r="R76" s="439">
        <f t="shared" si="68"/>
        <v>3.2946580047153322</v>
      </c>
      <c r="S76" s="439">
        <f t="shared" si="69"/>
        <v>2.1171772880173232</v>
      </c>
      <c r="T76" s="439">
        <f t="shared" si="70"/>
        <v>4.8580148910006313</v>
      </c>
      <c r="U76" s="439">
        <f t="shared" si="98"/>
        <v>4.8580148910006313</v>
      </c>
      <c r="V76" s="439">
        <f t="shared" si="72"/>
        <v>0.34526045646160858</v>
      </c>
      <c r="W76" s="439">
        <f t="shared" si="73"/>
        <v>0.34526045646160858</v>
      </c>
      <c r="Y76" s="215">
        <f t="shared" si="101"/>
        <v>233.62136659546707</v>
      </c>
      <c r="Z76" s="215">
        <f t="shared" si="102"/>
        <v>61.271389511513611</v>
      </c>
      <c r="AA76" s="215">
        <f t="shared" si="103"/>
        <v>605.74340485491246</v>
      </c>
      <c r="AB76" s="215">
        <f t="shared" si="104"/>
        <v>605.74340485491246</v>
      </c>
      <c r="AC76" s="216">
        <f t="shared" si="20"/>
        <v>0</v>
      </c>
      <c r="AD76" s="216">
        <f t="shared" si="21"/>
        <v>70.909140269219719</v>
      </c>
      <c r="AE76" s="215">
        <f t="shared" si="105"/>
        <v>139.28581124311015</v>
      </c>
      <c r="AG76" s="214">
        <f>IF(AND(($E76+$C$1)&gt;AG$4,AG$4&gt;=$C$1),'General Inputs'!D$9*$H76,IF(AND(($D76+$C$1)&gt;AG$4,AG$4&gt;=$C$1),'General Inputs'!D$9*$G76,0))+IF(AND(($E76+$C$1)&gt;AG$4,AG$4&gt;=$C$1),'General Inputs'!D$10*$J76,IF(AND(($D76+$C$1)&gt;AG$4,AG$4&gt;=$C$1),'General Inputs'!D$10*$I76,0))</f>
        <v>0</v>
      </c>
      <c r="AH76" s="214">
        <f>IF(AND(($E76+$C$1)&gt;AH$4,AH$4&gt;=$C$1),'General Inputs'!E$9*$H76,IF(AND(($D76+$C$1)&gt;AH$4,AH$4&gt;=$C$1),'General Inputs'!E$9*$G76,0))+IF(AND(($E76+$C$1)&gt;AH$4,AH$4&gt;=$C$1),'General Inputs'!E$10*$J76,IF(AND(($D76+$C$1)&gt;AH$4,AH$4&gt;=$C$1),'General Inputs'!E$10*$I76,0))</f>
        <v>0</v>
      </c>
      <c r="AI76" s="214">
        <f>IF(AND(($E76+$C$1)&gt;AI$4,AI$4&gt;=$C$1),'General Inputs'!F$9*$H76,IF(AND(($D76+$C$1)&gt;AI$4,AI$4&gt;=$C$1),'General Inputs'!F$9*$G76,0))+IF(AND(($E76+$C$1)&gt;AI$4,AI$4&gt;=$C$1),'General Inputs'!F$10*$J76,IF(AND(($D76+$C$1)&gt;AI$4,AI$4&gt;=$C$1),'General Inputs'!F$10*$I76,0))</f>
        <v>43.609943114333447</v>
      </c>
      <c r="AJ76" s="214">
        <f>IF(AND(($E76+$C$1)&gt;AJ$4,AJ$4&gt;=$C$1),'General Inputs'!G$9*$H76,IF(AND(($D76+$C$1)&gt;AJ$4,AJ$4&gt;=$C$1),'General Inputs'!G$9*$G76,0))+IF(AND(($E76+$C$1)&gt;AJ$4,AJ$4&gt;=$C$1),'General Inputs'!G$10*$J76,IF(AND(($D76+$C$1)&gt;AJ$4,AJ$4&gt;=$C$1),'General Inputs'!G$10*$I76,0))</f>
        <v>44.264092261048447</v>
      </c>
      <c r="AK76" s="214">
        <f>IF(AND(($E76+$C$1)&gt;AK$4,AK$4&gt;=$C$1),'General Inputs'!H$9*$H76,IF(AND(($D76+$C$1)&gt;AK$4,AK$4&gt;=$C$1),'General Inputs'!H$9*$G76,0))+IF(AND(($E76+$C$1)&gt;AK$4,AK$4&gt;=$C$1),'General Inputs'!H$10*$J76,IF(AND(($D76+$C$1)&gt;AK$4,AK$4&gt;=$C$1),'General Inputs'!H$10*$I76,0))</f>
        <v>44.928053644964166</v>
      </c>
      <c r="AL76" s="214">
        <f>IF(AND(($E76+$C$1)&gt;AL$4,AL$4&gt;=$C$1),'General Inputs'!I$9*$H76,IF(AND(($D76+$C$1)&gt;AL$4,AL$4&gt;=$C$1),'General Inputs'!I$9*$G76,0))+IF(AND(($E76+$C$1)&gt;AL$4,AL$4&gt;=$C$1),'General Inputs'!I$10*$J76,IF(AND(($D76+$C$1)&gt;AL$4,AL$4&gt;=$C$1),'General Inputs'!I$10*$I76,0))</f>
        <v>45.601974449638625</v>
      </c>
      <c r="AM76" s="214">
        <f>IF(AND(($E76+$C$1)&gt;AM$4,AM$4&gt;=$C$1),'General Inputs'!J$9*$H76,IF(AND(($D76+$C$1)&gt;AM$4,AM$4&gt;=$C$1),'General Inputs'!J$9*$G76,0))+IF(AND(($E76+$C$1)&gt;AM$4,AM$4&gt;=$C$1),'General Inputs'!J$10*$J76,IF(AND(($D76+$C$1)&gt;AM$4,AM$4&gt;=$C$1),'General Inputs'!J$10*$I76,0))</f>
        <v>46.2860040663832</v>
      </c>
      <c r="AN76" s="214">
        <f>IF(AND(($E76+$C$1)&gt;AN$4,AN$4&gt;=$C$1),'General Inputs'!K$9*$H76,IF(AND(($D76+$C$1)&gt;AN$4,AN$4&gt;=$C$1),'General Inputs'!K$9*$G76,0))+IF(AND(($E76+$C$1)&gt;AN$4,AN$4&gt;=$C$1),'General Inputs'!K$10*$J76,IF(AND(($D76+$C$1)&gt;AN$4,AN$4&gt;=$C$1),'General Inputs'!K$10*$I76,0))</f>
        <v>46.980294127378933</v>
      </c>
      <c r="AO76" s="214">
        <f>IF(AND(($E76+$C$1)&gt;AO$4,AO$4&gt;=$C$1),'General Inputs'!L$9*$H76,IF(AND(($D76+$C$1)&gt;AO$4,AO$4&gt;=$C$1),'General Inputs'!L$9*$G76,0))+IF(AND(($E76+$C$1)&gt;AO$4,AO$4&gt;=$C$1),'General Inputs'!L$10*$J76,IF(AND(($D76+$C$1)&gt;AO$4,AO$4&gt;=$C$1),'General Inputs'!L$10*$I76,0))</f>
        <v>47.684998539289616</v>
      </c>
      <c r="AP76" s="214">
        <f>IF(AND(($E76+$C$1)&gt;AP$4,AP$4&gt;=$C$1),'General Inputs'!M$9*$H76,IF(AND(($D76+$C$1)&gt;AP$4,AP$4&gt;=$C$1),'General Inputs'!M$9*$G76,0))+IF(AND(($E76+$C$1)&gt;AP$4,AP$4&gt;=$C$1),'General Inputs'!M$10*$J76,IF(AND(($D76+$C$1)&gt;AP$4,AP$4&gt;=$C$1),'General Inputs'!M$10*$I76,0))</f>
        <v>48.400273517378956</v>
      </c>
      <c r="AQ76" s="214">
        <f>IF(AND(($E76+$C$1)&gt;AQ$4,AQ$4&gt;=$C$1),'General Inputs'!N$9*$H76,IF(AND(($D76+$C$1)&gt;AQ$4,AQ$4&gt;=$C$1),'General Inputs'!N$9*$G76,0))+IF(AND(($E76+$C$1)&gt;AQ$4,AQ$4&gt;=$C$1),'General Inputs'!N$10*$J76,IF(AND(($D76+$C$1)&gt;AQ$4,AQ$4&gt;=$C$1),'General Inputs'!N$10*$I76,0))</f>
        <v>0</v>
      </c>
      <c r="AR76" s="214">
        <f>IF(AND(($E76+$C$1)&gt;AR$4,AR$4&gt;=$C$1),'General Inputs'!O$9*$H76,IF(AND(($D76+$C$1)&gt;AR$4,AR$4&gt;=$C$1),'General Inputs'!O$9*$G76,0))+IF(AND(($E76+$C$1)&gt;AR$4,AR$4&gt;=$C$1),'General Inputs'!O$10*$J76,IF(AND(($D76+$C$1)&gt;AR$4,AR$4&gt;=$C$1),'General Inputs'!O$10*$I76,0))</f>
        <v>0</v>
      </c>
      <c r="AS76" s="214">
        <f>IF(AND(($E76+$C$1)&gt;AS$4,AS$4&gt;=$C$1),'General Inputs'!P$9*$H76,IF(AND(($D76+$C$1)&gt;AS$4,AS$4&gt;=$C$1),'General Inputs'!P$9*$G76,0))+IF(AND(($E76+$C$1)&gt;AS$4,AS$4&gt;=$C$1),'General Inputs'!P$10*$J76,IF(AND(($D76+$C$1)&gt;AS$4,AS$4&gt;=$C$1),'General Inputs'!P$10*$I76,0))</f>
        <v>0</v>
      </c>
      <c r="AT76" s="214">
        <f>IF(AND(($E76+$C$1)&gt;AT$4,AT$4&gt;=$C$1),'General Inputs'!Q$9*$H76,IF(AND(($D76+$C$1)&gt;AT$4,AT$4&gt;=$C$1),'General Inputs'!Q$9*$G76,0))+IF(AND(($E76+$C$1)&gt;AT$4,AT$4&gt;=$C$1),'General Inputs'!Q$10*$J76,IF(AND(($D76+$C$1)&gt;AT$4,AT$4&gt;=$C$1),'General Inputs'!Q$10*$I76,0))</f>
        <v>0</v>
      </c>
      <c r="AU76" s="214">
        <f>IF(AND(($E76+$C$1)&gt;AU$4,AU$4&gt;=$C$1),'General Inputs'!R$9*$H76,IF(AND(($D76+$C$1)&gt;AU$4,AU$4&gt;=$C$1),'General Inputs'!R$9*$G76,0))+IF(AND(($E76+$C$1)&gt;AU$4,AU$4&gt;=$C$1),'General Inputs'!R$10*$J76,IF(AND(($D76+$C$1)&gt;AU$4,AU$4&gt;=$C$1),'General Inputs'!R$10*$I76,0))</f>
        <v>0</v>
      </c>
      <c r="AV76" s="214">
        <f>IF(AND(($E76+$C$1)&gt;AV$4,AV$4&gt;=$C$1),'General Inputs'!S$9*$H76,IF(AND(($D76+$C$1)&gt;AV$4,AV$4&gt;=$C$1),'General Inputs'!S$9*$G76,0))+IF(AND(($E76+$C$1)&gt;AV$4,AV$4&gt;=$C$1),'General Inputs'!S$10*$J76,IF(AND(($D76+$C$1)&gt;AV$4,AV$4&gt;=$C$1),'General Inputs'!S$10*$I76,0))</f>
        <v>0</v>
      </c>
      <c r="AW76" s="214">
        <f>IF(AND(($E76+$C$1)&gt;AW$4,AW$4&gt;=$C$1),'General Inputs'!T$9*$H76,IF(AND(($D76+$C$1)&gt;AW$4,AW$4&gt;=$C$1),'General Inputs'!T$9*$G76,0))+IF(AND(($E76+$C$1)&gt;AW$4,AW$4&gt;=$C$1),'General Inputs'!T$10*$J76,IF(AND(($D76+$C$1)&gt;AW$4,AW$4&gt;=$C$1),'General Inputs'!T$10*$I76,0))</f>
        <v>0</v>
      </c>
      <c r="AX76" s="214">
        <f>IF(AND(($E76+$C$1)&gt;AX$4,AX$4&gt;=$C$1),'General Inputs'!U$9*$H76,IF(AND(($D76+$C$1)&gt;AX$4,AX$4&gt;=$C$1),'General Inputs'!U$9*$G76,0))+IF(AND(($E76+$C$1)&gt;AX$4,AX$4&gt;=$C$1),'General Inputs'!U$10*$J76,IF(AND(($D76+$C$1)&gt;AX$4,AX$4&gt;=$C$1),'General Inputs'!U$10*$I76,0))</f>
        <v>0</v>
      </c>
      <c r="AY76" s="214">
        <f>IF(AND(($E76+$C$1)&gt;AY$4,AY$4&gt;=$C$1),'General Inputs'!V$9*$H76,IF(AND(($D76+$C$1)&gt;AY$4,AY$4&gt;=$C$1),'General Inputs'!V$9*$G76,0))+IF(AND(($E76+$C$1)&gt;AY$4,AY$4&gt;=$C$1),'General Inputs'!V$10*$J76,IF(AND(($D76+$C$1)&gt;AY$4,AY$4&gt;=$C$1),'General Inputs'!V$10*$I76,0))</f>
        <v>0</v>
      </c>
      <c r="AZ76" s="214">
        <f>IF(AND(($E76+$C$1)&gt;AZ$4,AZ$4&gt;=$C$1),'General Inputs'!W$9*$H76,IF(AND(($D76+$C$1)&gt;AZ$4,AZ$4&gt;=$C$1),'General Inputs'!W$9*$G76,0))+IF(AND(($E76+$C$1)&gt;AZ$4,AZ$4&gt;=$C$1),'General Inputs'!W$10*$J76,IF(AND(($D76+$C$1)&gt;AZ$4,AZ$4&gt;=$C$1),'General Inputs'!W$10*$I76,0))</f>
        <v>0</v>
      </c>
      <c r="BB76" s="214">
        <f>IF(AND(($E76+$C$1)&gt;BB$4,BB$4&gt;=$C$1),'General Inputs'!D$11*$H76,IF(AND(($D76+$C$1)&gt;BB$4,BB$4&gt;=$C$1),'General Inputs'!D$11*$G76,0))</f>
        <v>0</v>
      </c>
      <c r="BC76" s="214">
        <f>IF(AND(($E76+$C$1)&gt;BC$4,BC$4&gt;=$C$1),'General Inputs'!E$11*$H76,IF(AND(($D76+$C$1)&gt;BC$4,BC$4&gt;=$C$1),'General Inputs'!E$11*$G76,0))</f>
        <v>0</v>
      </c>
      <c r="BD76" s="214">
        <f>IF(AND(($E76+$C$1)&gt;BD$4,BD$4&gt;=$C$1),'General Inputs'!F$11*$H76,IF(AND(($D76+$C$1)&gt;BD$4,BD$4&gt;=$C$1),'General Inputs'!F$11*$G76,0))</f>
        <v>11.977217226</v>
      </c>
      <c r="BE76" s="214">
        <f>IF(AND(($E76+$C$1)&gt;BE$4,BE$4&gt;=$C$1),'General Inputs'!G$11*$H76,IF(AND(($D76+$C$1)&gt;BE$4,BE$4&gt;=$C$1),'General Inputs'!G$11*$G76,0))</f>
        <v>11.977217226</v>
      </c>
      <c r="BF76" s="214">
        <f>IF(AND(($E76+$C$1)&gt;BF$4,BF$4&gt;=$C$1),'General Inputs'!H$11*$H76,IF(AND(($D76+$C$1)&gt;BF$4,BF$4&gt;=$C$1),'General Inputs'!H$11*$G76,0))</f>
        <v>11.977217226</v>
      </c>
      <c r="BG76" s="214">
        <f>IF(AND(($E76+$C$1)&gt;BG$4,BG$4&gt;=$C$1),'General Inputs'!I$11*$H76,IF(AND(($D76+$C$1)&gt;BG$4,BG$4&gt;=$C$1),'General Inputs'!I$11*$G76,0))</f>
        <v>11.977217226</v>
      </c>
      <c r="BH76" s="214">
        <f>IF(AND(($E76+$C$1)&gt;BH$4,BH$4&gt;=$C$1),'General Inputs'!J$11*$H76,IF(AND(($D76+$C$1)&gt;BH$4,BH$4&gt;=$C$1),'General Inputs'!J$11*$G76,0))</f>
        <v>11.977217226</v>
      </c>
      <c r="BI76" s="214">
        <f>IF(AND(($E76+$C$1)&gt;BI$4,BI$4&gt;=$C$1),'General Inputs'!K$11*$H76,IF(AND(($D76+$C$1)&gt;BI$4,BI$4&gt;=$C$1),'General Inputs'!K$11*$G76,0))</f>
        <v>11.977217226</v>
      </c>
      <c r="BJ76" s="214">
        <f>IF(AND(($E76+$C$1)&gt;BJ$4,BJ$4&gt;=$C$1),'General Inputs'!L$11*$H76,IF(AND(($D76+$C$1)&gt;BJ$4,BJ$4&gt;=$C$1),'General Inputs'!L$11*$G76,0))</f>
        <v>11.977217226</v>
      </c>
      <c r="BK76" s="214">
        <f>IF(AND(($E76+$C$1)&gt;BK$4,BK$4&gt;=$C$1),'General Inputs'!M$11*$H76,IF(AND(($D76+$C$1)&gt;BK$4,BK$4&gt;=$C$1),'General Inputs'!M$11*$G76,0))</f>
        <v>11.977217226</v>
      </c>
      <c r="BL76" s="214">
        <f>IF(AND(($E76+$C$1)&gt;BL$4,BL$4&gt;=$C$1),'General Inputs'!N$11*$H76,IF(AND(($D76+$C$1)&gt;BL$4,BL$4&gt;=$C$1),'General Inputs'!N$11*$G76,0))</f>
        <v>0</v>
      </c>
      <c r="BM76" s="214">
        <f>IF(AND(($E76+$C$1)&gt;BM$4,BM$4&gt;=$C$1),'General Inputs'!O$11*$H76,IF(AND(($D76+$C$1)&gt;BM$4,BM$4&gt;=$C$1),'General Inputs'!O$11*$G76,0))</f>
        <v>0</v>
      </c>
      <c r="BN76" s="214">
        <f>IF(AND(($E76+$C$1)&gt;BN$4,BN$4&gt;=$C$1),'General Inputs'!P$11*$H76,IF(AND(($D76+$C$1)&gt;BN$4,BN$4&gt;=$C$1),'General Inputs'!P$11*$G76,0))</f>
        <v>0</v>
      </c>
      <c r="BO76" s="214">
        <f>IF(AND(($E76+$C$1)&gt;BO$4,BO$4&gt;=$C$1),'General Inputs'!Q$11*$H76,IF(AND(($D76+$C$1)&gt;BO$4,BO$4&gt;=$C$1),'General Inputs'!Q$11*$G76,0))</f>
        <v>0</v>
      </c>
      <c r="BP76" s="214">
        <f>IF(AND(($E76+$C$1)&gt;BP$4,BP$4&gt;=$C$1),'General Inputs'!R$11*$H76,IF(AND(($D76+$C$1)&gt;BP$4,BP$4&gt;=$C$1),'General Inputs'!R$11*$G76,0))</f>
        <v>0</v>
      </c>
      <c r="BQ76" s="214">
        <f>IF(AND(($E76+$C$1)&gt;BQ$4,BQ$4&gt;=$C$1),'General Inputs'!S$11*$H76,IF(AND(($D76+$C$1)&gt;BQ$4,BQ$4&gt;=$C$1),'General Inputs'!S$11*$G76,0))</f>
        <v>0</v>
      </c>
      <c r="BR76" s="214">
        <f>IF(AND(($E76+$C$1)&gt;BR$4,BR$4&gt;=$C$1),'General Inputs'!T$11*$H76,IF(AND(($D76+$C$1)&gt;BR$4,BR$4&gt;=$C$1),'General Inputs'!T$11*$G76,0))</f>
        <v>0</v>
      </c>
      <c r="BS76" s="214">
        <f>IF(AND(($E76+$C$1)&gt;BS$4,BS$4&gt;=$C$1),'General Inputs'!U$11*$H76,IF(AND(($D76+$C$1)&gt;BS$4,BS$4&gt;=$C$1),'General Inputs'!U$11*$G76,0))</f>
        <v>0</v>
      </c>
      <c r="BT76" s="214">
        <f>IF(AND(($E76+$C$1)&gt;BT$4,BT$4&gt;=$C$1),'General Inputs'!V$11*$H76,IF(AND(($D76+$C$1)&gt;BT$4,BT$4&gt;=$C$1),'General Inputs'!V$11*$G76,0))</f>
        <v>0</v>
      </c>
      <c r="BU76" s="214">
        <f>IF(AND(($E76+$C$1)&gt;BU$4,BU$4&gt;=$C$1),'General Inputs'!W$11*$H76,IF(AND(($D76+$C$1)&gt;BU$4,BU$4&gt;=$C$1),'General Inputs'!W$11*$G76,0))</f>
        <v>0</v>
      </c>
      <c r="BW76" s="214">
        <f>IF(AND(($E76+$C$1)&gt;BW$4,BW$4&gt;=$C$1),$H76,IF(AND(($D76+$C$1)&gt;BW$4,BW$4&gt;=$C$1),$G76,0))*IF($A76="Residential",'General Inputs'!D$14,'General Inputs'!D$19)</f>
        <v>0</v>
      </c>
      <c r="BX76" s="214">
        <f>IF(AND(($E76+$C$1)&gt;BX$4,BX$4&gt;=$C$1),$H76,IF(AND(($D76+$C$1)&gt;BX$4,BX$4&gt;=$C$1),$G76,0))*IF($A76="Residential",'General Inputs'!E$14,'General Inputs'!E$19)</f>
        <v>0</v>
      </c>
      <c r="BY76" s="214">
        <f>IF(AND(($E76+$C$1)&gt;BY$4,BY$4&gt;=$C$1),$H76,IF(AND(($D76+$C$1)&gt;BY$4,BY$4&gt;=$C$1),$G76,0))*IF($A76="Residential",'General Inputs'!F$14,'General Inputs'!F$19)</f>
        <v>113.07371330186346</v>
      </c>
      <c r="BZ76" s="214">
        <f>IF(AND(($E76+$C$1)&gt;BZ$4,BZ$4&gt;=$C$1),$H76,IF(AND(($D76+$C$1)&gt;BZ$4,BZ$4&gt;=$C$1),$G76,0))*IF($A76="Residential",'General Inputs'!G$14,'General Inputs'!G$19)</f>
        <v>114.76981900139141</v>
      </c>
      <c r="CA76" s="214">
        <f>IF(AND(($E76+$C$1)&gt;CA$4,CA$4&gt;=$C$1),$H76,IF(AND(($D76+$C$1)&gt;CA$4,CA$4&gt;=$C$1),$G76,0))*IF($A76="Residential",'General Inputs'!H$14,'General Inputs'!H$19)</f>
        <v>116.49136628641226</v>
      </c>
      <c r="CB76" s="214">
        <f>IF(AND(($E76+$C$1)&gt;CB$4,CB$4&gt;=$C$1),$H76,IF(AND(($D76+$C$1)&gt;CB$4,CB$4&gt;=$C$1),$G76,0))*IF($A76="Residential",'General Inputs'!I$14,'General Inputs'!I$19)</f>
        <v>118.23873678070842</v>
      </c>
      <c r="CC76" s="214">
        <f>IF(AND(($E76+$C$1)&gt;CC$4,CC$4&gt;=$C$1),$H76,IF(AND(($D76+$C$1)&gt;CC$4,CC$4&gt;=$C$1),$G76,0))*IF($A76="Residential",'General Inputs'!J$14,'General Inputs'!J$19)</f>
        <v>120.01231783241904</v>
      </c>
      <c r="CD76" s="214">
        <f>IF(AND(($E76+$C$1)&gt;CD$4,CD$4&gt;=$C$1),$H76,IF(AND(($D76+$C$1)&gt;CD$4,CD$4&gt;=$C$1),$G76,0))*IF($A76="Residential",'General Inputs'!K$14,'General Inputs'!K$19)</f>
        <v>121.81250259990532</v>
      </c>
      <c r="CE76" s="214">
        <f>IF(AND(($E76+$C$1)&gt;CE$4,CE$4&gt;=$C$1),$H76,IF(AND(($D76+$C$1)&gt;CE$4,CE$4&gt;=$C$1),$G76,0))*IF($A76="Residential",'General Inputs'!L$14,'General Inputs'!L$19)</f>
        <v>123.63969013890387</v>
      </c>
      <c r="CF76" s="214">
        <f>IF(AND(($E76+$C$1)&gt;CF$4,CF$4&gt;=$C$1),$H76,IF(AND(($D76+$C$1)&gt;CF$4,CF$4&gt;=$C$1),$G76,0))*IF($A76="Residential",'General Inputs'!M$14,'General Inputs'!M$19)</f>
        <v>125.49428549098742</v>
      </c>
      <c r="CG76" s="214">
        <f>IF(AND(($E76+$C$1)&gt;CG$4,CG$4&gt;=$C$1),$H76,IF(AND(($D76+$C$1)&gt;CG$4,CG$4&gt;=$C$1),$G76,0))*IF($A76="Residential",'General Inputs'!N$14,'General Inputs'!N$19)</f>
        <v>0</v>
      </c>
      <c r="CH76" s="214">
        <f>IF(AND(($E76+$C$1)&gt;CH$4,CH$4&gt;=$C$1),$H76,IF(AND(($D76+$C$1)&gt;CH$4,CH$4&gt;=$C$1),$G76,0))*IF($A76="Residential",'General Inputs'!O$14,'General Inputs'!O$19)</f>
        <v>0</v>
      </c>
      <c r="CI76" s="214">
        <f>IF(AND(($E76+$C$1)&gt;CI$4,CI$4&gt;=$C$1),$H76,IF(AND(($D76+$C$1)&gt;CI$4,CI$4&gt;=$C$1),$G76,0))*IF($A76="Residential",'General Inputs'!P$14,'General Inputs'!P$19)</f>
        <v>0</v>
      </c>
      <c r="CJ76" s="214">
        <f>IF(AND(($E76+$C$1)&gt;CJ$4,CJ$4&gt;=$C$1),$H76,IF(AND(($D76+$C$1)&gt;CJ$4,CJ$4&gt;=$C$1),$G76,0))*IF($A76="Residential",'General Inputs'!Q$14,'General Inputs'!Q$19)</f>
        <v>0</v>
      </c>
      <c r="CK76" s="214">
        <f>IF(AND(($E76+$C$1)&gt;CK$4,CK$4&gt;=$C$1),$H76,IF(AND(($D76+$C$1)&gt;CK$4,CK$4&gt;=$C$1),$G76,0))*IF($A76="Residential",'General Inputs'!R$14,'General Inputs'!R$19)</f>
        <v>0</v>
      </c>
      <c r="CL76" s="214">
        <f>IF(AND(($E76+$C$1)&gt;CL$4,CL$4&gt;=$C$1),$H76,IF(AND(($D76+$C$1)&gt;CL$4,CL$4&gt;=$C$1),$G76,0))*IF($A76="Residential",'General Inputs'!S$14,'General Inputs'!S$19)</f>
        <v>0</v>
      </c>
      <c r="CM76" s="214">
        <f>IF(AND(($E76+$C$1)&gt;CM$4,CM$4&gt;=$C$1),$H76,IF(AND(($D76+$C$1)&gt;CM$4,CM$4&gt;=$C$1),$G76,0))*IF($A76="Residential",'General Inputs'!T$14,'General Inputs'!T$19)</f>
        <v>0</v>
      </c>
      <c r="CN76" s="214">
        <f>IF(AND(($E76+$C$1)&gt;CN$4,CN$4&gt;=$C$1),$H76,IF(AND(($D76+$C$1)&gt;CN$4,CN$4&gt;=$C$1),$G76,0))*IF($A76="Residential",'General Inputs'!U$14,'General Inputs'!U$19)</f>
        <v>0</v>
      </c>
      <c r="CO76" s="214">
        <f>IF(AND(($E76+$C$1)&gt;CO$4,CO$4&gt;=$C$1),$H76,IF(AND(($D76+$C$1)&gt;CO$4,CO$4&gt;=$C$1),$G76,0))*IF($A76="Residential",'General Inputs'!V$14,'General Inputs'!V$19)</f>
        <v>0</v>
      </c>
      <c r="CP76" s="214">
        <f>IF(AND(($E76+$C$1)&gt;CP$4,CP$4&gt;=$C$1),$H76,IF(AND(($D76+$C$1)&gt;CP$4,CP$4&gt;=$C$1),$G76,0))*IF($A76="Residential",'General Inputs'!W$14,'General Inputs'!W$19)</f>
        <v>0</v>
      </c>
      <c r="CR76" s="214">
        <f>IF(AND(($E76+$C$1)&gt;CR$4,CR$4&gt;=$C$1),$H76,IF(AND(($D76+$C$1)&gt;CR$4,CR$4&gt;=$C$1),$G76,0))*IF($A76="Residential",'General Inputs'!D$15,'General Inputs'!D$19)</f>
        <v>0</v>
      </c>
      <c r="CS76" s="214">
        <f>IF(AND(($E76+$C$1)&gt;CS$4,CS$4&gt;=$C$1),$H76,IF(AND(($D76+$C$1)&gt;CS$4,CS$4&gt;=$C$1),$G76,0))*IF($A76="Residential",'General Inputs'!E$15,'General Inputs'!E$19)</f>
        <v>0</v>
      </c>
      <c r="CT76" s="214">
        <f>IF(AND(($E76+$C$1)&gt;CT$4,CT$4&gt;=$C$1),$H76,IF(AND(($D76+$C$1)&gt;CT$4,CT$4&gt;=$C$1),$G76,0))*IF($A76="Residential",'General Inputs'!F$15,'General Inputs'!F$19)</f>
        <v>113.07371330186346</v>
      </c>
      <c r="CU76" s="214">
        <f>IF(AND(($E76+$C$1)&gt;CU$4,CU$4&gt;=$C$1),$H76,IF(AND(($D76+$C$1)&gt;CU$4,CU$4&gt;=$C$1),$G76,0))*IF($A76="Residential",'General Inputs'!G$15,'General Inputs'!G$19)</f>
        <v>114.76981900139141</v>
      </c>
      <c r="CV76" s="214">
        <f>IF(AND(($E76+$C$1)&gt;CV$4,CV$4&gt;=$C$1),$H76,IF(AND(($D76+$C$1)&gt;CV$4,CV$4&gt;=$C$1),$G76,0))*IF($A76="Residential",'General Inputs'!H$15,'General Inputs'!H$19)</f>
        <v>116.49136628641226</v>
      </c>
      <c r="CW76" s="214">
        <f>IF(AND(($E76+$C$1)&gt;CW$4,CW$4&gt;=$C$1),$H76,IF(AND(($D76+$C$1)&gt;CW$4,CW$4&gt;=$C$1),$G76,0))*IF($A76="Residential",'General Inputs'!I$15,'General Inputs'!I$19)</f>
        <v>118.23873678070842</v>
      </c>
      <c r="CX76" s="214">
        <f>IF(AND(($E76+$C$1)&gt;CX$4,CX$4&gt;=$C$1),$H76,IF(AND(($D76+$C$1)&gt;CX$4,CX$4&gt;=$C$1),$G76,0))*IF($A76="Residential",'General Inputs'!J$15,'General Inputs'!J$19)</f>
        <v>120.01231783241904</v>
      </c>
      <c r="CY76" s="214">
        <f>IF(AND(($E76+$C$1)&gt;CY$4,CY$4&gt;=$C$1),$H76,IF(AND(($D76+$C$1)&gt;CY$4,CY$4&gt;=$C$1),$G76,0))*IF($A76="Residential",'General Inputs'!K$15,'General Inputs'!K$19)</f>
        <v>121.81250259990532</v>
      </c>
      <c r="CZ76" s="214">
        <f>IF(AND(($E76+$C$1)&gt;CZ$4,CZ$4&gt;=$C$1),$H76,IF(AND(($D76+$C$1)&gt;CZ$4,CZ$4&gt;=$C$1),$G76,0))*IF($A76="Residential",'General Inputs'!L$15,'General Inputs'!L$19)</f>
        <v>123.63969013890387</v>
      </c>
      <c r="DA76" s="214">
        <f>IF(AND(($E76+$C$1)&gt;DA$4,DA$4&gt;=$C$1),$H76,IF(AND(($D76+$C$1)&gt;DA$4,DA$4&gt;=$C$1),$G76,0))*IF($A76="Residential",'General Inputs'!M$15,'General Inputs'!M$19)</f>
        <v>125.49428549098742</v>
      </c>
      <c r="DB76" s="214">
        <f>IF(AND(($E76+$C$1)&gt;DB$4,DB$4&gt;=$C$1),$H76,IF(AND(($D76+$C$1)&gt;DB$4,DB$4&gt;=$C$1),$G76,0))*IF($A76="Residential",'General Inputs'!N$15,'General Inputs'!N$19)</f>
        <v>0</v>
      </c>
      <c r="DC76" s="214">
        <f>IF(AND(($E76+$C$1)&gt;DC$4,DC$4&gt;=$C$1),$H76,IF(AND(($D76+$C$1)&gt;DC$4,DC$4&gt;=$C$1),$G76,0))*IF($A76="Residential",'General Inputs'!O$15,'General Inputs'!O$19)</f>
        <v>0</v>
      </c>
      <c r="DD76" s="214">
        <f>IF(AND(($E76+$C$1)&gt;DD$4,DD$4&gt;=$C$1),$H76,IF(AND(($D76+$C$1)&gt;DD$4,DD$4&gt;=$C$1),$G76,0))*IF($A76="Residential",'General Inputs'!P$15,'General Inputs'!P$19)</f>
        <v>0</v>
      </c>
      <c r="DE76" s="214">
        <f>IF(AND(($E76+$C$1)&gt;DE$4,DE$4&gt;=$C$1),$H76,IF(AND(($D76+$C$1)&gt;DE$4,DE$4&gt;=$C$1),$G76,0))*IF($A76="Residential",'General Inputs'!Q$15,'General Inputs'!Q$19)</f>
        <v>0</v>
      </c>
      <c r="DF76" s="214">
        <f>IF(AND(($E76+$C$1)&gt;DF$4,DF$4&gt;=$C$1),$H76,IF(AND(($D76+$C$1)&gt;DF$4,DF$4&gt;=$C$1),$G76,0))*IF($A76="Residential",'General Inputs'!R$15,'General Inputs'!R$19)</f>
        <v>0</v>
      </c>
      <c r="DG76" s="214">
        <f>IF(AND(($E76+$C$1)&gt;DG$4,DG$4&gt;=$C$1),$H76,IF(AND(($D76+$C$1)&gt;DG$4,DG$4&gt;=$C$1),$G76,0))*IF($A76="Residential",'General Inputs'!S$15,'General Inputs'!S$19)</f>
        <v>0</v>
      </c>
      <c r="DH76" s="214">
        <f>IF(AND(($E76+$C$1)&gt;DH$4,DH$4&gt;=$C$1),$H76,IF(AND(($D76+$C$1)&gt;DH$4,DH$4&gt;=$C$1),$G76,0))*IF($A76="Residential",'General Inputs'!T$15,'General Inputs'!T$19)</f>
        <v>0</v>
      </c>
      <c r="DI76" s="214">
        <f>IF(AND(($E76+$C$1)&gt;DI$4,DI$4&gt;=$C$1),$H76,IF(AND(($D76+$C$1)&gt;DI$4,DI$4&gt;=$C$1),$G76,0))*IF($A76="Residential",'General Inputs'!U$15,'General Inputs'!U$19)</f>
        <v>0</v>
      </c>
      <c r="DJ76" s="214">
        <f>IF(AND(($E76+$C$1)&gt;DJ$4,DJ$4&gt;=$C$1),$H76,IF(AND(($D76+$C$1)&gt;DJ$4,DJ$4&gt;=$C$1),$G76,0))*IF($A76="Residential",'General Inputs'!V$15,'General Inputs'!V$19)</f>
        <v>0</v>
      </c>
      <c r="DK76" s="214">
        <f>IF(AND(($E76+$C$1)&gt;DK$4,DK$4&gt;=$C$1),$H76,IF(AND(($D76+$C$1)&gt;DK$4,DK$4&gt;=$C$1),$G76,0))*IF($A76="Residential",'General Inputs'!W$15,'General Inputs'!W$19)</f>
        <v>0</v>
      </c>
      <c r="DM76" s="214">
        <f t="shared" si="100"/>
        <v>0</v>
      </c>
      <c r="DN76" s="214">
        <f t="shared" si="100"/>
        <v>0</v>
      </c>
      <c r="DO76" s="214">
        <f t="shared" si="100"/>
        <v>165</v>
      </c>
      <c r="DP76" s="214">
        <f t="shared" si="100"/>
        <v>0</v>
      </c>
      <c r="DQ76" s="214">
        <f t="shared" si="100"/>
        <v>0</v>
      </c>
      <c r="DR76" s="214">
        <f t="shared" si="100"/>
        <v>0</v>
      </c>
      <c r="DS76" s="214">
        <f t="shared" si="100"/>
        <v>0</v>
      </c>
      <c r="DT76" s="214">
        <f t="shared" si="100"/>
        <v>0</v>
      </c>
      <c r="DU76" s="214">
        <f t="shared" si="100"/>
        <v>0</v>
      </c>
      <c r="DV76" s="214">
        <f t="shared" si="100"/>
        <v>0</v>
      </c>
      <c r="DW76" s="214">
        <f t="shared" si="100"/>
        <v>0</v>
      </c>
      <c r="DZ76" s="650"/>
      <c r="FI76" s="195"/>
      <c r="FJ76" s="195"/>
      <c r="FK76" s="195"/>
      <c r="FL76" s="195"/>
      <c r="FM76" s="195"/>
      <c r="FN76" s="195"/>
      <c r="FO76" s="195"/>
    </row>
    <row r="77" spans="1:171">
      <c r="A77" s="342" t="s">
        <v>112</v>
      </c>
      <c r="B77" s="427" t="str">
        <f>'Portfolio Inputs'!A76</f>
        <v>Exit Sign</v>
      </c>
      <c r="C77" s="217">
        <f>IF($C$1=2014,'Portfolio Inputs'!$C76,IF($C$1=2015,'Portfolio Inputs'!$D76,'Portfolio Inputs'!$E76))</f>
        <v>15</v>
      </c>
      <c r="D77" s="504">
        <f>VLOOKUP(B77,Sources!$B$4:$J$104,2,FALSE)</f>
        <v>15</v>
      </c>
      <c r="E77" s="504">
        <f>VLOOKUP(B77,Sources!$B$4:$J$104,3,FALSE)</f>
        <v>0</v>
      </c>
      <c r="G77" s="504">
        <f>IF($C$1=2014,'Portfolio Inputs'!$G76,IF($C$1=2015,'Portfolio Inputs'!$H76,'Portfolio Inputs'!$I76))*EnergyLineLoss</f>
        <v>2841.214243725</v>
      </c>
      <c r="H77" s="504"/>
      <c r="I77" s="595">
        <f>IF($C$1=2014,'Portfolio Inputs'!$K76,IF($C$1=2015,'Portfolio Inputs'!$L76,'Portfolio Inputs'!$M76))*PeakLineLoss</f>
        <v>0.51204581999999998</v>
      </c>
      <c r="J77" s="510"/>
      <c r="L77" s="606">
        <f>IF($C$1=2014,'Portfolio Inputs'!$O76,IF($C$1=2015,'Portfolio Inputs'!$P76,'Portfolio Inputs'!$Q76))</f>
        <v>25</v>
      </c>
      <c r="M77" s="518">
        <f>VLOOKUP($B77,Sources!$B$4:$K$104,10,FALSE)</f>
        <v>0</v>
      </c>
      <c r="N77" s="419">
        <f>IF($C$1=2014,'Portfolio Inputs'!$W76,IF($C$1=2015,'Portfolio Inputs'!$X76,'Portfolio Inputs'!$Y76))</f>
        <v>90</v>
      </c>
      <c r="O77" s="419">
        <f>IF($C$1=2014,'Portfolio Inputs'!$AA76,IF($C$1=2015,'Portfolio Inputs'!$AB76,'Portfolio Inputs'!$AC76))</f>
        <v>0</v>
      </c>
      <c r="Q77" s="438">
        <f t="shared" si="67"/>
        <v>3.193893390063522</v>
      </c>
      <c r="R77" s="439">
        <f t="shared" si="68"/>
        <v>13.307889125264673</v>
      </c>
      <c r="S77" s="439">
        <f t="shared" si="69"/>
        <v>3.9588756584071016</v>
      </c>
      <c r="T77" s="439">
        <f t="shared" si="70"/>
        <v>8.0887154462963444</v>
      </c>
      <c r="U77" s="439">
        <f t="shared" si="98"/>
        <v>8.0887154462963444</v>
      </c>
      <c r="V77" s="439">
        <f t="shared" si="72"/>
        <v>0.39485792413750193</v>
      </c>
      <c r="W77" s="439">
        <f t="shared" si="73"/>
        <v>0.39485792413750193</v>
      </c>
      <c r="Y77" s="215">
        <f t="shared" si="101"/>
        <v>1011.0546178613748</v>
      </c>
      <c r="Z77" s="215">
        <f t="shared" si="102"/>
        <v>242.16176325643207</v>
      </c>
      <c r="AA77" s="215">
        <f t="shared" si="103"/>
        <v>2484.5788594402629</v>
      </c>
      <c r="AB77" s="215">
        <f t="shared" si="104"/>
        <v>2484.5788594402629</v>
      </c>
      <c r="AC77" s="216">
        <f t="shared" si="20"/>
        <v>0</v>
      </c>
      <c r="AD77" s="216">
        <f t="shared" si="21"/>
        <v>75.974078859878276</v>
      </c>
      <c r="AE77" s="215">
        <f t="shared" si="105"/>
        <v>316.55866191615945</v>
      </c>
      <c r="AG77" s="214">
        <f>IF(AND(($E77+$C$1)&gt;AG$4,AG$4&gt;=$C$1),'General Inputs'!D$9*$H77,IF(AND(($D77+$C$1)&gt;AG$4,AG$4&gt;=$C$1),'General Inputs'!D$9*$G77,0))+IF(AND(($E77+$C$1)&gt;AG$4,AG$4&gt;=$C$1),'General Inputs'!D$10*$J77,IF(AND(($D77+$C$1)&gt;AG$4,AG$4&gt;=$C$1),'General Inputs'!D$10*$I77,0))</f>
        <v>0</v>
      </c>
      <c r="AH77" s="214">
        <f>IF(AND(($E77+$C$1)&gt;AH$4,AH$4&gt;=$C$1),'General Inputs'!E$9*$H77,IF(AND(($D77+$C$1)&gt;AH$4,AH$4&gt;=$C$1),'General Inputs'!E$9*$G77,0))+IF(AND(($E77+$C$1)&gt;AH$4,AH$4&gt;=$C$1),'General Inputs'!E$10*$J77,IF(AND(($D77+$C$1)&gt;AH$4,AH$4&gt;=$C$1),'General Inputs'!E$10*$I77,0))</f>
        <v>0</v>
      </c>
      <c r="AI77" s="214">
        <f>IF(AND(($E77+$C$1)&gt;AI$4,AI$4&gt;=$C$1),'General Inputs'!F$9*$H77,IF(AND(($D77+$C$1)&gt;AI$4,AI$4&gt;=$C$1),'General Inputs'!F$9*$G77,0))+IF(AND(($E77+$C$1)&gt;AI$4,AI$4&gt;=$C$1),'General Inputs'!F$10*$J77,IF(AND(($D77+$C$1)&gt;AI$4,AI$4&gt;=$C$1),'General Inputs'!F$10*$I77,0))</f>
        <v>124.43323565619839</v>
      </c>
      <c r="AJ77" s="214">
        <f>IF(AND(($E77+$C$1)&gt;AJ$4,AJ$4&gt;=$C$1),'General Inputs'!G$9*$H77,IF(AND(($D77+$C$1)&gt;AJ$4,AJ$4&gt;=$C$1),'General Inputs'!G$9*$G77,0))+IF(AND(($E77+$C$1)&gt;AJ$4,AJ$4&gt;=$C$1),'General Inputs'!G$10*$J77,IF(AND(($D77+$C$1)&gt;AJ$4,AJ$4&gt;=$C$1),'General Inputs'!G$10*$I77,0))</f>
        <v>126.29973419104137</v>
      </c>
      <c r="AK77" s="214">
        <f>IF(AND(($E77+$C$1)&gt;AK$4,AK$4&gt;=$C$1),'General Inputs'!H$9*$H77,IF(AND(($D77+$C$1)&gt;AK$4,AK$4&gt;=$C$1),'General Inputs'!H$9*$G77,0))+IF(AND(($E77+$C$1)&gt;AK$4,AK$4&gt;=$C$1),'General Inputs'!H$10*$J77,IF(AND(($D77+$C$1)&gt;AK$4,AK$4&gt;=$C$1),'General Inputs'!H$10*$I77,0))</f>
        <v>128.19423020390695</v>
      </c>
      <c r="AL77" s="214">
        <f>IF(AND(($E77+$C$1)&gt;AL$4,AL$4&gt;=$C$1),'General Inputs'!I$9*$H77,IF(AND(($D77+$C$1)&gt;AL$4,AL$4&gt;=$C$1),'General Inputs'!I$9*$G77,0))+IF(AND(($E77+$C$1)&gt;AL$4,AL$4&gt;=$C$1),'General Inputs'!I$10*$J77,IF(AND(($D77+$C$1)&gt;AL$4,AL$4&gt;=$C$1),'General Inputs'!I$10*$I77,0))</f>
        <v>130.11714365696557</v>
      </c>
      <c r="AM77" s="214">
        <f>IF(AND(($E77+$C$1)&gt;AM$4,AM$4&gt;=$C$1),'General Inputs'!J$9*$H77,IF(AND(($D77+$C$1)&gt;AM$4,AM$4&gt;=$C$1),'General Inputs'!J$9*$G77,0))+IF(AND(($E77+$C$1)&gt;AM$4,AM$4&gt;=$C$1),'General Inputs'!J$10*$J77,IF(AND(($D77+$C$1)&gt;AM$4,AM$4&gt;=$C$1),'General Inputs'!J$10*$I77,0))</f>
        <v>132.06890081182001</v>
      </c>
      <c r="AN77" s="214">
        <f>IF(AND(($E77+$C$1)&gt;AN$4,AN$4&gt;=$C$1),'General Inputs'!K$9*$H77,IF(AND(($D77+$C$1)&gt;AN$4,AN$4&gt;=$C$1),'General Inputs'!K$9*$G77,0))+IF(AND(($E77+$C$1)&gt;AN$4,AN$4&gt;=$C$1),'General Inputs'!K$10*$J77,IF(AND(($D77+$C$1)&gt;AN$4,AN$4&gt;=$C$1),'General Inputs'!K$10*$I77,0))</f>
        <v>134.04993432399729</v>
      </c>
      <c r="AO77" s="214">
        <f>IF(AND(($E77+$C$1)&gt;AO$4,AO$4&gt;=$C$1),'General Inputs'!L$9*$H77,IF(AND(($D77+$C$1)&gt;AO$4,AO$4&gt;=$C$1),'General Inputs'!L$9*$G77,0))+IF(AND(($E77+$C$1)&gt;AO$4,AO$4&gt;=$C$1),'General Inputs'!L$10*$J77,IF(AND(($D77+$C$1)&gt;AO$4,AO$4&gt;=$C$1),'General Inputs'!L$10*$I77,0))</f>
        <v>136.06068333885725</v>
      </c>
      <c r="AP77" s="214">
        <f>IF(AND(($E77+$C$1)&gt;AP$4,AP$4&gt;=$C$1),'General Inputs'!M$9*$H77,IF(AND(($D77+$C$1)&gt;AP$4,AP$4&gt;=$C$1),'General Inputs'!M$9*$G77,0))+IF(AND(($E77+$C$1)&gt;AP$4,AP$4&gt;=$C$1),'General Inputs'!M$10*$J77,IF(AND(($D77+$C$1)&gt;AP$4,AP$4&gt;=$C$1),'General Inputs'!M$10*$I77,0))</f>
        <v>138.10159358894006</v>
      </c>
      <c r="AQ77" s="214">
        <f>IF(AND(($E77+$C$1)&gt;AQ$4,AQ$4&gt;=$C$1),'General Inputs'!N$9*$H77,IF(AND(($D77+$C$1)&gt;AQ$4,AQ$4&gt;=$C$1),'General Inputs'!N$9*$G77,0))+IF(AND(($E77+$C$1)&gt;AQ$4,AQ$4&gt;=$C$1),'General Inputs'!N$10*$J77,IF(AND(($D77+$C$1)&gt;AQ$4,AQ$4&gt;=$C$1),'General Inputs'!N$10*$I77,0))</f>
        <v>140.17311749277417</v>
      </c>
      <c r="AR77" s="214">
        <f>IF(AND(($E77+$C$1)&gt;AR$4,AR$4&gt;=$C$1),'General Inputs'!O$9*$H77,IF(AND(($D77+$C$1)&gt;AR$4,AR$4&gt;=$C$1),'General Inputs'!O$9*$G77,0))+IF(AND(($E77+$C$1)&gt;AR$4,AR$4&gt;=$C$1),'General Inputs'!O$10*$J77,IF(AND(($D77+$C$1)&gt;AR$4,AR$4&gt;=$C$1),'General Inputs'!O$10*$I77,0))</f>
        <v>142.27571425516575</v>
      </c>
      <c r="AS77" s="214">
        <f>IF(AND(($E77+$C$1)&gt;AS$4,AS$4&gt;=$C$1),'General Inputs'!P$9*$H77,IF(AND(($D77+$C$1)&gt;AS$4,AS$4&gt;=$C$1),'General Inputs'!P$9*$G77,0))+IF(AND(($E77+$C$1)&gt;AS$4,AS$4&gt;=$C$1),'General Inputs'!P$10*$J77,IF(AND(($D77+$C$1)&gt;AS$4,AS$4&gt;=$C$1),'General Inputs'!P$10*$I77,0))</f>
        <v>144.40984996899326</v>
      </c>
      <c r="AT77" s="214">
        <f>IF(AND(($E77+$C$1)&gt;AT$4,AT$4&gt;=$C$1),'General Inputs'!Q$9*$H77,IF(AND(($D77+$C$1)&gt;AT$4,AT$4&gt;=$C$1),'General Inputs'!Q$9*$G77,0))+IF(AND(($E77+$C$1)&gt;AT$4,AT$4&gt;=$C$1),'General Inputs'!Q$10*$J77,IF(AND(($D77+$C$1)&gt;AT$4,AT$4&gt;=$C$1),'General Inputs'!Q$10*$I77,0))</f>
        <v>146.57599771852813</v>
      </c>
      <c r="AU77" s="214">
        <f>IF(AND(($E77+$C$1)&gt;AU$4,AU$4&gt;=$C$1),'General Inputs'!R$9*$H77,IF(AND(($D77+$C$1)&gt;AU$4,AU$4&gt;=$C$1),'General Inputs'!R$9*$G77,0))+IF(AND(($E77+$C$1)&gt;AU$4,AU$4&gt;=$C$1),'General Inputs'!R$10*$J77,IF(AND(($D77+$C$1)&gt;AU$4,AU$4&gt;=$C$1),'General Inputs'!R$10*$I77,0))</f>
        <v>148.77463768430604</v>
      </c>
      <c r="AV77" s="214">
        <f>IF(AND(($E77+$C$1)&gt;AV$4,AV$4&gt;=$C$1),'General Inputs'!S$9*$H77,IF(AND(($D77+$C$1)&gt;AV$4,AV$4&gt;=$C$1),'General Inputs'!S$9*$G77,0))+IF(AND(($E77+$C$1)&gt;AV$4,AV$4&gt;=$C$1),'General Inputs'!S$10*$J77,IF(AND(($D77+$C$1)&gt;AV$4,AV$4&gt;=$C$1),'General Inputs'!S$10*$I77,0))</f>
        <v>151.00625724957064</v>
      </c>
      <c r="AW77" s="214">
        <f>IF(AND(($E77+$C$1)&gt;AW$4,AW$4&gt;=$C$1),'General Inputs'!T$9*$H77,IF(AND(($D77+$C$1)&gt;AW$4,AW$4&gt;=$C$1),'General Inputs'!T$9*$G77,0))+IF(AND(($E77+$C$1)&gt;AW$4,AW$4&gt;=$C$1),'General Inputs'!T$10*$J77,IF(AND(($D77+$C$1)&gt;AW$4,AW$4&gt;=$C$1),'General Inputs'!T$10*$I77,0))</f>
        <v>153.27135110831418</v>
      </c>
      <c r="AX77" s="214">
        <f>IF(AND(($E77+$C$1)&gt;AX$4,AX$4&gt;=$C$1),'General Inputs'!U$9*$H77,IF(AND(($D77+$C$1)&gt;AX$4,AX$4&gt;=$C$1),'General Inputs'!U$9*$G77,0))+IF(AND(($E77+$C$1)&gt;AX$4,AX$4&gt;=$C$1),'General Inputs'!U$10*$J77,IF(AND(($D77+$C$1)&gt;AX$4,AX$4&gt;=$C$1),'General Inputs'!U$10*$I77,0))</f>
        <v>0</v>
      </c>
      <c r="AY77" s="214">
        <f>IF(AND(($E77+$C$1)&gt;AY$4,AY$4&gt;=$C$1),'General Inputs'!V$9*$H77,IF(AND(($D77+$C$1)&gt;AY$4,AY$4&gt;=$C$1),'General Inputs'!V$9*$G77,0))+IF(AND(($E77+$C$1)&gt;AY$4,AY$4&gt;=$C$1),'General Inputs'!V$10*$J77,IF(AND(($D77+$C$1)&gt;AY$4,AY$4&gt;=$C$1),'General Inputs'!V$10*$I77,0))</f>
        <v>0</v>
      </c>
      <c r="AZ77" s="214">
        <f>IF(AND(($E77+$C$1)&gt;AZ$4,AZ$4&gt;=$C$1),'General Inputs'!W$9*$H77,IF(AND(($D77+$C$1)&gt;AZ$4,AZ$4&gt;=$C$1),'General Inputs'!W$9*$G77,0))+IF(AND(($E77+$C$1)&gt;AZ$4,AZ$4&gt;=$C$1),'General Inputs'!W$10*$J77,IF(AND(($D77+$C$1)&gt;AZ$4,AZ$4&gt;=$C$1),'General Inputs'!W$10*$I77,0))</f>
        <v>0</v>
      </c>
      <c r="BB77" s="214">
        <f>IF(AND(($E77+$C$1)&gt;BB$4,BB$4&gt;=$C$1),'General Inputs'!D$11*$H77,IF(AND(($D77+$C$1)&gt;BB$4,BB$4&gt;=$C$1),'General Inputs'!D$11*$G77,0))</f>
        <v>0</v>
      </c>
      <c r="BC77" s="214">
        <f>IF(AND(($E77+$C$1)&gt;BC$4,BC$4&gt;=$C$1),'General Inputs'!E$11*$H77,IF(AND(($D77+$C$1)&gt;BC$4,BC$4&gt;=$C$1),'General Inputs'!E$11*$G77,0))</f>
        <v>0</v>
      </c>
      <c r="BD77" s="214">
        <f>IF(AND(($E77+$C$1)&gt;BD$4,BD$4&gt;=$C$1),'General Inputs'!F$11*$H77,IF(AND(($D77+$C$1)&gt;BD$4,BD$4&gt;=$C$1),'General Inputs'!F$11*$G77,0))</f>
        <v>32.389842378464998</v>
      </c>
      <c r="BE77" s="214">
        <f>IF(AND(($E77+$C$1)&gt;BE$4,BE$4&gt;=$C$1),'General Inputs'!G$11*$H77,IF(AND(($D77+$C$1)&gt;BE$4,BE$4&gt;=$C$1),'General Inputs'!G$11*$G77,0))</f>
        <v>32.389842378464998</v>
      </c>
      <c r="BF77" s="214">
        <f>IF(AND(($E77+$C$1)&gt;BF$4,BF$4&gt;=$C$1),'General Inputs'!H$11*$H77,IF(AND(($D77+$C$1)&gt;BF$4,BF$4&gt;=$C$1),'General Inputs'!H$11*$G77,0))</f>
        <v>32.389842378464998</v>
      </c>
      <c r="BG77" s="214">
        <f>IF(AND(($E77+$C$1)&gt;BG$4,BG$4&gt;=$C$1),'General Inputs'!I$11*$H77,IF(AND(($D77+$C$1)&gt;BG$4,BG$4&gt;=$C$1),'General Inputs'!I$11*$G77,0))</f>
        <v>32.389842378464998</v>
      </c>
      <c r="BH77" s="214">
        <f>IF(AND(($E77+$C$1)&gt;BH$4,BH$4&gt;=$C$1),'General Inputs'!J$11*$H77,IF(AND(($D77+$C$1)&gt;BH$4,BH$4&gt;=$C$1),'General Inputs'!J$11*$G77,0))</f>
        <v>32.389842378464998</v>
      </c>
      <c r="BI77" s="214">
        <f>IF(AND(($E77+$C$1)&gt;BI$4,BI$4&gt;=$C$1),'General Inputs'!K$11*$H77,IF(AND(($D77+$C$1)&gt;BI$4,BI$4&gt;=$C$1),'General Inputs'!K$11*$G77,0))</f>
        <v>32.389842378464998</v>
      </c>
      <c r="BJ77" s="214">
        <f>IF(AND(($E77+$C$1)&gt;BJ$4,BJ$4&gt;=$C$1),'General Inputs'!L$11*$H77,IF(AND(($D77+$C$1)&gt;BJ$4,BJ$4&gt;=$C$1),'General Inputs'!L$11*$G77,0))</f>
        <v>32.389842378464998</v>
      </c>
      <c r="BK77" s="214">
        <f>IF(AND(($E77+$C$1)&gt;BK$4,BK$4&gt;=$C$1),'General Inputs'!M$11*$H77,IF(AND(($D77+$C$1)&gt;BK$4,BK$4&gt;=$C$1),'General Inputs'!M$11*$G77,0))</f>
        <v>32.389842378464998</v>
      </c>
      <c r="BL77" s="214">
        <f>IF(AND(($E77+$C$1)&gt;BL$4,BL$4&gt;=$C$1),'General Inputs'!N$11*$H77,IF(AND(($D77+$C$1)&gt;BL$4,BL$4&gt;=$C$1),'General Inputs'!N$11*$G77,0))</f>
        <v>32.389842378464998</v>
      </c>
      <c r="BM77" s="214">
        <f>IF(AND(($E77+$C$1)&gt;BM$4,BM$4&gt;=$C$1),'General Inputs'!O$11*$H77,IF(AND(($D77+$C$1)&gt;BM$4,BM$4&gt;=$C$1),'General Inputs'!O$11*$G77,0))</f>
        <v>32.389842378464998</v>
      </c>
      <c r="BN77" s="214">
        <f>IF(AND(($E77+$C$1)&gt;BN$4,BN$4&gt;=$C$1),'General Inputs'!P$11*$H77,IF(AND(($D77+$C$1)&gt;BN$4,BN$4&gt;=$C$1),'General Inputs'!P$11*$G77,0))</f>
        <v>32.389842378464998</v>
      </c>
      <c r="BO77" s="214">
        <f>IF(AND(($E77+$C$1)&gt;BO$4,BO$4&gt;=$C$1),'General Inputs'!Q$11*$H77,IF(AND(($D77+$C$1)&gt;BO$4,BO$4&gt;=$C$1),'General Inputs'!Q$11*$G77,0))</f>
        <v>32.389842378464998</v>
      </c>
      <c r="BP77" s="214">
        <f>IF(AND(($E77+$C$1)&gt;BP$4,BP$4&gt;=$C$1),'General Inputs'!R$11*$H77,IF(AND(($D77+$C$1)&gt;BP$4,BP$4&gt;=$C$1),'General Inputs'!R$11*$G77,0))</f>
        <v>32.389842378464998</v>
      </c>
      <c r="BQ77" s="214">
        <f>IF(AND(($E77+$C$1)&gt;BQ$4,BQ$4&gt;=$C$1),'General Inputs'!S$11*$H77,IF(AND(($D77+$C$1)&gt;BQ$4,BQ$4&gt;=$C$1),'General Inputs'!S$11*$G77,0))</f>
        <v>32.389842378464998</v>
      </c>
      <c r="BR77" s="214">
        <f>IF(AND(($E77+$C$1)&gt;BR$4,BR$4&gt;=$C$1),'General Inputs'!T$11*$H77,IF(AND(($D77+$C$1)&gt;BR$4,BR$4&gt;=$C$1),'General Inputs'!T$11*$G77,0))</f>
        <v>32.389842378464998</v>
      </c>
      <c r="BS77" s="214">
        <f>IF(AND(($E77+$C$1)&gt;BS$4,BS$4&gt;=$C$1),'General Inputs'!U$11*$H77,IF(AND(($D77+$C$1)&gt;BS$4,BS$4&gt;=$C$1),'General Inputs'!U$11*$G77,0))</f>
        <v>0</v>
      </c>
      <c r="BT77" s="214">
        <f>IF(AND(($E77+$C$1)&gt;BT$4,BT$4&gt;=$C$1),'General Inputs'!V$11*$H77,IF(AND(($D77+$C$1)&gt;BT$4,BT$4&gt;=$C$1),'General Inputs'!V$11*$G77,0))</f>
        <v>0</v>
      </c>
      <c r="BU77" s="214">
        <f>IF(AND(($E77+$C$1)&gt;BU$4,BU$4&gt;=$C$1),'General Inputs'!W$11*$H77,IF(AND(($D77+$C$1)&gt;BU$4,BU$4&gt;=$C$1),'General Inputs'!W$11*$G77,0))</f>
        <v>0</v>
      </c>
      <c r="BW77" s="214">
        <f>IF(AND(($E77+$C$1)&gt;BW$4,BW$4&gt;=$C$1),$H77,IF(AND(($D77+$C$1)&gt;BW$4,BW$4&gt;=$C$1),$G77,0))*IF($A77="Residential",'General Inputs'!D$14,'General Inputs'!D$19)</f>
        <v>0</v>
      </c>
      <c r="BX77" s="214">
        <f>IF(AND(($E77+$C$1)&gt;BX$4,BX$4&gt;=$C$1),$H77,IF(AND(($D77+$C$1)&gt;BX$4,BX$4&gt;=$C$1),$G77,0))*IF($A77="Residential",'General Inputs'!E$14,'General Inputs'!E$19)</f>
        <v>0</v>
      </c>
      <c r="BY77" s="214">
        <f>IF(AND(($E77+$C$1)&gt;BY$4,BY$4&gt;=$C$1),$H77,IF(AND(($D77+$C$1)&gt;BY$4,BY$4&gt;=$C$1),$G77,0))*IF($A77="Residential",'General Inputs'!F$14,'General Inputs'!F$19)</f>
        <v>305.78386296983228</v>
      </c>
      <c r="BZ77" s="214">
        <f>IF(AND(($E77+$C$1)&gt;BZ$4,BZ$4&gt;=$C$1),$H77,IF(AND(($D77+$C$1)&gt;BZ$4,BZ$4&gt;=$C$1),$G77,0))*IF($A77="Residential",'General Inputs'!G$14,'General Inputs'!G$19)</f>
        <v>310.37062091437974</v>
      </c>
      <c r="CA77" s="214">
        <f>IF(AND(($E77+$C$1)&gt;CA$4,CA$4&gt;=$C$1),$H77,IF(AND(($D77+$C$1)&gt;CA$4,CA$4&gt;=$C$1),$G77,0))*IF($A77="Residential",'General Inputs'!H$14,'General Inputs'!H$19)</f>
        <v>315.02618022809537</v>
      </c>
      <c r="CB77" s="214">
        <f>IF(AND(($E77+$C$1)&gt;CB$4,CB$4&gt;=$C$1),$H77,IF(AND(($D77+$C$1)&gt;CB$4,CB$4&gt;=$C$1),$G77,0))*IF($A77="Residential",'General Inputs'!I$14,'General Inputs'!I$19)</f>
        <v>319.75157293151676</v>
      </c>
      <c r="CC77" s="214">
        <f>IF(AND(($E77+$C$1)&gt;CC$4,CC$4&gt;=$C$1),$H77,IF(AND(($D77+$C$1)&gt;CC$4,CC$4&gt;=$C$1),$G77,0))*IF($A77="Residential",'General Inputs'!J$14,'General Inputs'!J$19)</f>
        <v>324.54784652548949</v>
      </c>
      <c r="CD77" s="214">
        <f>IF(AND(($E77+$C$1)&gt;CD$4,CD$4&gt;=$C$1),$H77,IF(AND(($D77+$C$1)&gt;CD$4,CD$4&gt;=$C$1),$G77,0))*IF($A77="Residential",'General Inputs'!K$14,'General Inputs'!K$19)</f>
        <v>329.41606422337179</v>
      </c>
      <c r="CE77" s="214">
        <f>IF(AND(($E77+$C$1)&gt;CE$4,CE$4&gt;=$C$1),$H77,IF(AND(($D77+$C$1)&gt;CE$4,CE$4&gt;=$C$1),$G77,0))*IF($A77="Residential",'General Inputs'!L$14,'General Inputs'!L$19)</f>
        <v>334.35730518672233</v>
      </c>
      <c r="CF77" s="214">
        <f>IF(AND(($E77+$C$1)&gt;CF$4,CF$4&gt;=$C$1),$H77,IF(AND(($D77+$C$1)&gt;CF$4,CF$4&gt;=$C$1),$G77,0))*IF($A77="Residential",'General Inputs'!M$14,'General Inputs'!M$19)</f>
        <v>339.37266476452311</v>
      </c>
      <c r="CG77" s="214">
        <f>IF(AND(($E77+$C$1)&gt;CG$4,CG$4&gt;=$C$1),$H77,IF(AND(($D77+$C$1)&gt;CG$4,CG$4&gt;=$C$1),$G77,0))*IF($A77="Residential",'General Inputs'!N$14,'General Inputs'!N$19)</f>
        <v>344.46325473599097</v>
      </c>
      <c r="CH77" s="214">
        <f>IF(AND(($E77+$C$1)&gt;CH$4,CH$4&gt;=$C$1),$H77,IF(AND(($D77+$C$1)&gt;CH$4,CH$4&gt;=$C$1),$G77,0))*IF($A77="Residential",'General Inputs'!O$14,'General Inputs'!O$19)</f>
        <v>349.63020355703077</v>
      </c>
      <c r="CI77" s="214">
        <f>IF(AND(($E77+$C$1)&gt;CI$4,CI$4&gt;=$C$1),$H77,IF(AND(($D77+$C$1)&gt;CI$4,CI$4&gt;=$C$1),$G77,0))*IF($A77="Residential",'General Inputs'!P$14,'General Inputs'!P$19)</f>
        <v>354.87465661038624</v>
      </c>
      <c r="CJ77" s="214">
        <f>IF(AND(($E77+$C$1)&gt;CJ$4,CJ$4&gt;=$C$1),$H77,IF(AND(($D77+$C$1)&gt;CJ$4,CJ$4&gt;=$C$1),$G77,0))*IF($A77="Residential",'General Inputs'!Q$14,'General Inputs'!Q$19)</f>
        <v>360.19777645954201</v>
      </c>
      <c r="CK77" s="214">
        <f>IF(AND(($E77+$C$1)&gt;CK$4,CK$4&gt;=$C$1),$H77,IF(AND(($D77+$C$1)&gt;CK$4,CK$4&gt;=$C$1),$G77,0))*IF($A77="Residential",'General Inputs'!R$14,'General Inputs'!R$19)</f>
        <v>365.60074310643506</v>
      </c>
      <c r="CL77" s="214">
        <f>IF(AND(($E77+$C$1)&gt;CL$4,CL$4&gt;=$C$1),$H77,IF(AND(($D77+$C$1)&gt;CL$4,CL$4&gt;=$C$1),$G77,0))*IF($A77="Residential",'General Inputs'!S$14,'General Inputs'!S$19)</f>
        <v>371.08475425303158</v>
      </c>
      <c r="CM77" s="214">
        <f>IF(AND(($E77+$C$1)&gt;CM$4,CM$4&gt;=$C$1),$H77,IF(AND(($D77+$C$1)&gt;CM$4,CM$4&gt;=$C$1),$G77,0))*IF($A77="Residential",'General Inputs'!T$14,'General Inputs'!T$19)</f>
        <v>376.651025566827</v>
      </c>
      <c r="CN77" s="214">
        <f>IF(AND(($E77+$C$1)&gt;CN$4,CN$4&gt;=$C$1),$H77,IF(AND(($D77+$C$1)&gt;CN$4,CN$4&gt;=$C$1),$G77,0))*IF($A77="Residential",'General Inputs'!U$14,'General Inputs'!U$19)</f>
        <v>0</v>
      </c>
      <c r="CO77" s="214">
        <f>IF(AND(($E77+$C$1)&gt;CO$4,CO$4&gt;=$C$1),$H77,IF(AND(($D77+$C$1)&gt;CO$4,CO$4&gt;=$C$1),$G77,0))*IF($A77="Residential",'General Inputs'!V$14,'General Inputs'!V$19)</f>
        <v>0</v>
      </c>
      <c r="CP77" s="214">
        <f>IF(AND(($E77+$C$1)&gt;CP$4,CP$4&gt;=$C$1),$H77,IF(AND(($D77+$C$1)&gt;CP$4,CP$4&gt;=$C$1),$G77,0))*IF($A77="Residential",'General Inputs'!W$14,'General Inputs'!W$19)</f>
        <v>0</v>
      </c>
      <c r="CR77" s="214">
        <f>IF(AND(($E77+$C$1)&gt;CR$4,CR$4&gt;=$C$1),$H77,IF(AND(($D77+$C$1)&gt;CR$4,CR$4&gt;=$C$1),$G77,0))*IF($A77="Residential",'General Inputs'!D$15,'General Inputs'!D$19)</f>
        <v>0</v>
      </c>
      <c r="CS77" s="214">
        <f>IF(AND(($E77+$C$1)&gt;CS$4,CS$4&gt;=$C$1),$H77,IF(AND(($D77+$C$1)&gt;CS$4,CS$4&gt;=$C$1),$G77,0))*IF($A77="Residential",'General Inputs'!E$15,'General Inputs'!E$19)</f>
        <v>0</v>
      </c>
      <c r="CT77" s="214">
        <f>IF(AND(($E77+$C$1)&gt;CT$4,CT$4&gt;=$C$1),$H77,IF(AND(($D77+$C$1)&gt;CT$4,CT$4&gt;=$C$1),$G77,0))*IF($A77="Residential",'General Inputs'!F$15,'General Inputs'!F$19)</f>
        <v>305.78386296983228</v>
      </c>
      <c r="CU77" s="214">
        <f>IF(AND(($E77+$C$1)&gt;CU$4,CU$4&gt;=$C$1),$H77,IF(AND(($D77+$C$1)&gt;CU$4,CU$4&gt;=$C$1),$G77,0))*IF($A77="Residential",'General Inputs'!G$15,'General Inputs'!G$19)</f>
        <v>310.37062091437974</v>
      </c>
      <c r="CV77" s="214">
        <f>IF(AND(($E77+$C$1)&gt;CV$4,CV$4&gt;=$C$1),$H77,IF(AND(($D77+$C$1)&gt;CV$4,CV$4&gt;=$C$1),$G77,0))*IF($A77="Residential",'General Inputs'!H$15,'General Inputs'!H$19)</f>
        <v>315.02618022809537</v>
      </c>
      <c r="CW77" s="214">
        <f>IF(AND(($E77+$C$1)&gt;CW$4,CW$4&gt;=$C$1),$H77,IF(AND(($D77+$C$1)&gt;CW$4,CW$4&gt;=$C$1),$G77,0))*IF($A77="Residential",'General Inputs'!I$15,'General Inputs'!I$19)</f>
        <v>319.75157293151676</v>
      </c>
      <c r="CX77" s="214">
        <f>IF(AND(($E77+$C$1)&gt;CX$4,CX$4&gt;=$C$1),$H77,IF(AND(($D77+$C$1)&gt;CX$4,CX$4&gt;=$C$1),$G77,0))*IF($A77="Residential",'General Inputs'!J$15,'General Inputs'!J$19)</f>
        <v>324.54784652548949</v>
      </c>
      <c r="CY77" s="214">
        <f>IF(AND(($E77+$C$1)&gt;CY$4,CY$4&gt;=$C$1),$H77,IF(AND(($D77+$C$1)&gt;CY$4,CY$4&gt;=$C$1),$G77,0))*IF($A77="Residential",'General Inputs'!K$15,'General Inputs'!K$19)</f>
        <v>329.41606422337179</v>
      </c>
      <c r="CZ77" s="214">
        <f>IF(AND(($E77+$C$1)&gt;CZ$4,CZ$4&gt;=$C$1),$H77,IF(AND(($D77+$C$1)&gt;CZ$4,CZ$4&gt;=$C$1),$G77,0))*IF($A77="Residential",'General Inputs'!L$15,'General Inputs'!L$19)</f>
        <v>334.35730518672233</v>
      </c>
      <c r="DA77" s="214">
        <f>IF(AND(($E77+$C$1)&gt;DA$4,DA$4&gt;=$C$1),$H77,IF(AND(($D77+$C$1)&gt;DA$4,DA$4&gt;=$C$1),$G77,0))*IF($A77="Residential",'General Inputs'!M$15,'General Inputs'!M$19)</f>
        <v>339.37266476452311</v>
      </c>
      <c r="DB77" s="214">
        <f>IF(AND(($E77+$C$1)&gt;DB$4,DB$4&gt;=$C$1),$H77,IF(AND(($D77+$C$1)&gt;DB$4,DB$4&gt;=$C$1),$G77,0))*IF($A77="Residential",'General Inputs'!N$15,'General Inputs'!N$19)</f>
        <v>344.46325473599097</v>
      </c>
      <c r="DC77" s="214">
        <f>IF(AND(($E77+$C$1)&gt;DC$4,DC$4&gt;=$C$1),$H77,IF(AND(($D77+$C$1)&gt;DC$4,DC$4&gt;=$C$1),$G77,0))*IF($A77="Residential",'General Inputs'!O$15,'General Inputs'!O$19)</f>
        <v>349.63020355703077</v>
      </c>
      <c r="DD77" s="214">
        <f>IF(AND(($E77+$C$1)&gt;DD$4,DD$4&gt;=$C$1),$H77,IF(AND(($D77+$C$1)&gt;DD$4,DD$4&gt;=$C$1),$G77,0))*IF($A77="Residential",'General Inputs'!P$15,'General Inputs'!P$19)</f>
        <v>354.87465661038624</v>
      </c>
      <c r="DE77" s="214">
        <f>IF(AND(($E77+$C$1)&gt;DE$4,DE$4&gt;=$C$1),$H77,IF(AND(($D77+$C$1)&gt;DE$4,DE$4&gt;=$C$1),$G77,0))*IF($A77="Residential",'General Inputs'!Q$15,'General Inputs'!Q$19)</f>
        <v>360.19777645954201</v>
      </c>
      <c r="DF77" s="214">
        <f>IF(AND(($E77+$C$1)&gt;DF$4,DF$4&gt;=$C$1),$H77,IF(AND(($D77+$C$1)&gt;DF$4,DF$4&gt;=$C$1),$G77,0))*IF($A77="Residential",'General Inputs'!R$15,'General Inputs'!R$19)</f>
        <v>365.60074310643506</v>
      </c>
      <c r="DG77" s="214">
        <f>IF(AND(($E77+$C$1)&gt;DG$4,DG$4&gt;=$C$1),$H77,IF(AND(($D77+$C$1)&gt;DG$4,DG$4&gt;=$C$1),$G77,0))*IF($A77="Residential",'General Inputs'!S$15,'General Inputs'!S$19)</f>
        <v>371.08475425303158</v>
      </c>
      <c r="DH77" s="214">
        <f>IF(AND(($E77+$C$1)&gt;DH$4,DH$4&gt;=$C$1),$H77,IF(AND(($D77+$C$1)&gt;DH$4,DH$4&gt;=$C$1),$G77,0))*IF($A77="Residential",'General Inputs'!T$15,'General Inputs'!T$19)</f>
        <v>376.651025566827</v>
      </c>
      <c r="DI77" s="214">
        <f>IF(AND(($E77+$C$1)&gt;DI$4,DI$4&gt;=$C$1),$H77,IF(AND(($D77+$C$1)&gt;DI$4,DI$4&gt;=$C$1),$G77,0))*IF($A77="Residential",'General Inputs'!U$15,'General Inputs'!U$19)</f>
        <v>0</v>
      </c>
      <c r="DJ77" s="214">
        <f>IF(AND(($E77+$C$1)&gt;DJ$4,DJ$4&gt;=$C$1),$H77,IF(AND(($D77+$C$1)&gt;DJ$4,DJ$4&gt;=$C$1),$G77,0))*IF($A77="Residential",'General Inputs'!V$15,'General Inputs'!V$19)</f>
        <v>0</v>
      </c>
      <c r="DK77" s="214">
        <f>IF(AND(($E77+$C$1)&gt;DK$4,DK$4&gt;=$C$1),$H77,IF(AND(($D77+$C$1)&gt;DK$4,DK$4&gt;=$C$1),$G77,0))*IF($A77="Residential",'General Inputs'!W$15,'General Inputs'!W$19)</f>
        <v>0</v>
      </c>
      <c r="DM77" s="214">
        <f t="shared" si="100"/>
        <v>0</v>
      </c>
      <c r="DN77" s="214">
        <f t="shared" si="100"/>
        <v>0</v>
      </c>
      <c r="DO77" s="214">
        <f t="shared" si="100"/>
        <v>375</v>
      </c>
      <c r="DP77" s="214">
        <f t="shared" si="100"/>
        <v>0</v>
      </c>
      <c r="DQ77" s="214">
        <f t="shared" si="100"/>
        <v>0</v>
      </c>
      <c r="DR77" s="214">
        <f t="shared" si="100"/>
        <v>0</v>
      </c>
      <c r="DS77" s="214">
        <f t="shared" si="100"/>
        <v>0</v>
      </c>
      <c r="DT77" s="214">
        <f t="shared" si="100"/>
        <v>0</v>
      </c>
      <c r="DU77" s="214">
        <f t="shared" si="100"/>
        <v>0</v>
      </c>
      <c r="DV77" s="214">
        <f t="shared" si="100"/>
        <v>0</v>
      </c>
      <c r="DW77" s="214">
        <f t="shared" si="100"/>
        <v>0</v>
      </c>
      <c r="DZ77" s="650"/>
      <c r="FI77" s="195"/>
      <c r="FJ77" s="195"/>
      <c r="FK77" s="195"/>
      <c r="FL77" s="195"/>
      <c r="FM77" s="195"/>
      <c r="FN77" s="195"/>
      <c r="FO77" s="195"/>
    </row>
    <row r="78" spans="1:171">
      <c r="A78" s="342" t="s">
        <v>112</v>
      </c>
      <c r="B78" s="427" t="str">
        <f>'Portfolio Inputs'!A77</f>
        <v>LED (≤5W)</v>
      </c>
      <c r="C78" s="217">
        <f>IF($C$1=2014,'Portfolio Inputs'!$C77,IF($C$1=2015,'Portfolio Inputs'!$D77,'Portfolio Inputs'!$E77))</f>
        <v>6</v>
      </c>
      <c r="D78" s="504">
        <f>VLOOKUP(B78,Sources!$B$4:$J$104,2,FALSE)</f>
        <v>10</v>
      </c>
      <c r="E78" s="504">
        <f>VLOOKUP(B78,Sources!$B$4:$J$104,3,FALSE)</f>
        <v>0</v>
      </c>
      <c r="G78" s="504">
        <f>IF($C$1=2014,'Portfolio Inputs'!$G77,IF($C$1=2015,'Portfolio Inputs'!$H77,'Portfolio Inputs'!$I77))*EnergyLineLoss</f>
        <v>1847.4341175</v>
      </c>
      <c r="H78" s="504"/>
      <c r="I78" s="595">
        <f>IF($C$1=2014,'Portfolio Inputs'!$K77,IF($C$1=2015,'Portfolio Inputs'!$L77,'Portfolio Inputs'!$M77))*PeakLineLoss</f>
        <v>0.28566766799999993</v>
      </c>
      <c r="J78" s="510"/>
      <c r="L78" s="606">
        <f>IF($C$1=2014,'Portfolio Inputs'!$O77,IF($C$1=2015,'Portfolio Inputs'!$P77,'Portfolio Inputs'!$Q77))</f>
        <v>34</v>
      </c>
      <c r="M78" s="518">
        <f>VLOOKUP($B78,Sources!$B$4:$K$104,10,FALSE)</f>
        <v>0</v>
      </c>
      <c r="N78" s="419">
        <f>IF($C$1=2014,'Portfolio Inputs'!$W77,IF($C$1=2015,'Portfolio Inputs'!$X77,'Portfolio Inputs'!$Y77))</f>
        <v>60</v>
      </c>
      <c r="O78" s="419">
        <f>IF($C$1=2014,'Portfolio Inputs'!$AA77,IF($C$1=2015,'Portfolio Inputs'!$AB77,'Portfolio Inputs'!$AC77))</f>
        <v>0</v>
      </c>
      <c r="Q78" s="438">
        <f t="shared" si="67"/>
        <v>2.9287678264628965</v>
      </c>
      <c r="R78" s="439">
        <f t="shared" si="68"/>
        <v>9.9578106099738477</v>
      </c>
      <c r="S78" s="439">
        <f t="shared" si="69"/>
        <v>3.6549962786621863</v>
      </c>
      <c r="T78" s="439">
        <f t="shared" si="70"/>
        <v>7.5567778441960636</v>
      </c>
      <c r="U78" s="439">
        <f t="shared" si="98"/>
        <v>7.5567778441960636</v>
      </c>
      <c r="V78" s="439">
        <f t="shared" si="72"/>
        <v>0.38756833757026726</v>
      </c>
      <c r="W78" s="439">
        <f t="shared" si="73"/>
        <v>0.38756833757026726</v>
      </c>
      <c r="Y78" s="215">
        <f t="shared" si="101"/>
        <v>504.35699236925711</v>
      </c>
      <c r="Z78" s="215">
        <f t="shared" si="102"/>
        <v>125.06228544806609</v>
      </c>
      <c r="AA78" s="215">
        <f t="shared" si="103"/>
        <v>1250.6875487128884</v>
      </c>
      <c r="AB78" s="215">
        <f t="shared" si="104"/>
        <v>1250.6875487128884</v>
      </c>
      <c r="AC78" s="216">
        <f t="shared" si="20"/>
        <v>0</v>
      </c>
      <c r="AD78" s="216">
        <f t="shared" si="21"/>
        <v>50.649385906585515</v>
      </c>
      <c r="AE78" s="215">
        <f t="shared" si="105"/>
        <v>172.20791208239075</v>
      </c>
      <c r="AG78" s="214">
        <f>IF(AND(($E78+$C$1)&gt;AG$4,AG$4&gt;=$C$1),'General Inputs'!D$9*$H78,IF(AND(($D78+$C$1)&gt;AG$4,AG$4&gt;=$C$1),'General Inputs'!D$9*$G78,0))+IF(AND(($E78+$C$1)&gt;AG$4,AG$4&gt;=$C$1),'General Inputs'!D$10*$J78,IF(AND(($D78+$C$1)&gt;AG$4,AG$4&gt;=$C$1),'General Inputs'!D$10*$I78,0))</f>
        <v>0</v>
      </c>
      <c r="AH78" s="214">
        <f>IF(AND(($E78+$C$1)&gt;AH$4,AH$4&gt;=$C$1),'General Inputs'!E$9*$H78,IF(AND(($D78+$C$1)&gt;AH$4,AH$4&gt;=$C$1),'General Inputs'!E$9*$G78,0))+IF(AND(($E78+$C$1)&gt;AH$4,AH$4&gt;=$C$1),'General Inputs'!E$10*$J78,IF(AND(($D78+$C$1)&gt;AH$4,AH$4&gt;=$C$1),'General Inputs'!E$10*$I78,0))</f>
        <v>0</v>
      </c>
      <c r="AI78" s="214">
        <f>IF(AND(($E78+$C$1)&gt;AI$4,AI$4&gt;=$C$1),'General Inputs'!F$9*$H78,IF(AND(($D78+$C$1)&gt;AI$4,AI$4&gt;=$C$1),'General Inputs'!F$9*$G78,0))+IF(AND(($E78+$C$1)&gt;AI$4,AI$4&gt;=$C$1),'General Inputs'!F$10*$J78,IF(AND(($D78+$C$1)&gt;AI$4,AI$4&gt;=$C$1),'General Inputs'!F$10*$I78,0))</f>
        <v>80.180499837735482</v>
      </c>
      <c r="AJ78" s="214">
        <f>IF(AND(($E78+$C$1)&gt;AJ$4,AJ$4&gt;=$C$1),'General Inputs'!G$9*$H78,IF(AND(($D78+$C$1)&gt;AJ$4,AJ$4&gt;=$C$1),'General Inputs'!G$9*$G78,0))+IF(AND(($E78+$C$1)&gt;AJ$4,AJ$4&gt;=$C$1),'General Inputs'!G$10*$J78,IF(AND(($D78+$C$1)&gt;AJ$4,AJ$4&gt;=$C$1),'General Inputs'!G$10*$I78,0))</f>
        <v>81.383207335301506</v>
      </c>
      <c r="AK78" s="214">
        <f>IF(AND(($E78+$C$1)&gt;AK$4,AK$4&gt;=$C$1),'General Inputs'!H$9*$H78,IF(AND(($D78+$C$1)&gt;AK$4,AK$4&gt;=$C$1),'General Inputs'!H$9*$G78,0))+IF(AND(($E78+$C$1)&gt;AK$4,AK$4&gt;=$C$1),'General Inputs'!H$10*$J78,IF(AND(($D78+$C$1)&gt;AK$4,AK$4&gt;=$C$1),'General Inputs'!H$10*$I78,0))</f>
        <v>82.60395544533101</v>
      </c>
      <c r="AL78" s="214">
        <f>IF(AND(($E78+$C$1)&gt;AL$4,AL$4&gt;=$C$1),'General Inputs'!I$9*$H78,IF(AND(($D78+$C$1)&gt;AL$4,AL$4&gt;=$C$1),'General Inputs'!I$9*$G78,0))+IF(AND(($E78+$C$1)&gt;AL$4,AL$4&gt;=$C$1),'General Inputs'!I$10*$J78,IF(AND(($D78+$C$1)&gt;AL$4,AL$4&gt;=$C$1),'General Inputs'!I$10*$I78,0))</f>
        <v>83.843014777010964</v>
      </c>
      <c r="AM78" s="214">
        <f>IF(AND(($E78+$C$1)&gt;AM$4,AM$4&gt;=$C$1),'General Inputs'!J$9*$H78,IF(AND(($D78+$C$1)&gt;AM$4,AM$4&gt;=$C$1),'General Inputs'!J$9*$G78,0))+IF(AND(($E78+$C$1)&gt;AM$4,AM$4&gt;=$C$1),'General Inputs'!J$10*$J78,IF(AND(($D78+$C$1)&gt;AM$4,AM$4&gt;=$C$1),'General Inputs'!J$10*$I78,0))</f>
        <v>85.100659998666117</v>
      </c>
      <c r="AN78" s="214">
        <f>IF(AND(($E78+$C$1)&gt;AN$4,AN$4&gt;=$C$1),'General Inputs'!K$9*$H78,IF(AND(($D78+$C$1)&gt;AN$4,AN$4&gt;=$C$1),'General Inputs'!K$9*$G78,0))+IF(AND(($E78+$C$1)&gt;AN$4,AN$4&gt;=$C$1),'General Inputs'!K$10*$J78,IF(AND(($D78+$C$1)&gt;AN$4,AN$4&gt;=$C$1),'General Inputs'!K$10*$I78,0))</f>
        <v>86.377169898646116</v>
      </c>
      <c r="AO78" s="214">
        <f>IF(AND(($E78+$C$1)&gt;AO$4,AO$4&gt;=$C$1),'General Inputs'!L$9*$H78,IF(AND(($D78+$C$1)&gt;AO$4,AO$4&gt;=$C$1),'General Inputs'!L$9*$G78,0))+IF(AND(($E78+$C$1)&gt;AO$4,AO$4&gt;=$C$1),'General Inputs'!L$10*$J78,IF(AND(($D78+$C$1)&gt;AO$4,AO$4&gt;=$C$1),'General Inputs'!L$10*$I78,0))</f>
        <v>87.672827447125783</v>
      </c>
      <c r="AP78" s="214">
        <f>IF(AND(($E78+$C$1)&gt;AP$4,AP$4&gt;=$C$1),'General Inputs'!M$9*$H78,IF(AND(($D78+$C$1)&gt;AP$4,AP$4&gt;=$C$1),'General Inputs'!M$9*$G78,0))+IF(AND(($E78+$C$1)&gt;AP$4,AP$4&gt;=$C$1),'General Inputs'!M$10*$J78,IF(AND(($D78+$C$1)&gt;AP$4,AP$4&gt;=$C$1),'General Inputs'!M$10*$I78,0))</f>
        <v>88.987919858832669</v>
      </c>
      <c r="AQ78" s="214">
        <f>IF(AND(($E78+$C$1)&gt;AQ$4,AQ$4&gt;=$C$1),'General Inputs'!N$9*$H78,IF(AND(($D78+$C$1)&gt;AQ$4,AQ$4&gt;=$C$1),'General Inputs'!N$9*$G78,0))+IF(AND(($E78+$C$1)&gt;AQ$4,AQ$4&gt;=$C$1),'General Inputs'!N$10*$J78,IF(AND(($D78+$C$1)&gt;AQ$4,AQ$4&gt;=$C$1),'General Inputs'!N$10*$I78,0))</f>
        <v>90.322738656715146</v>
      </c>
      <c r="AR78" s="214">
        <f>IF(AND(($E78+$C$1)&gt;AR$4,AR$4&gt;=$C$1),'General Inputs'!O$9*$H78,IF(AND(($D78+$C$1)&gt;AR$4,AR$4&gt;=$C$1),'General Inputs'!O$9*$G78,0))+IF(AND(($E78+$C$1)&gt;AR$4,AR$4&gt;=$C$1),'General Inputs'!O$10*$J78,IF(AND(($D78+$C$1)&gt;AR$4,AR$4&gt;=$C$1),'General Inputs'!O$10*$I78,0))</f>
        <v>91.67757973656586</v>
      </c>
      <c r="AS78" s="214">
        <f>IF(AND(($E78+$C$1)&gt;AS$4,AS$4&gt;=$C$1),'General Inputs'!P$9*$H78,IF(AND(($D78+$C$1)&gt;AS$4,AS$4&gt;=$C$1),'General Inputs'!P$9*$G78,0))+IF(AND(($E78+$C$1)&gt;AS$4,AS$4&gt;=$C$1),'General Inputs'!P$10*$J78,IF(AND(($D78+$C$1)&gt;AS$4,AS$4&gt;=$C$1),'General Inputs'!P$10*$I78,0))</f>
        <v>0</v>
      </c>
      <c r="AT78" s="214">
        <f>IF(AND(($E78+$C$1)&gt;AT$4,AT$4&gt;=$C$1),'General Inputs'!Q$9*$H78,IF(AND(($D78+$C$1)&gt;AT$4,AT$4&gt;=$C$1),'General Inputs'!Q$9*$G78,0))+IF(AND(($E78+$C$1)&gt;AT$4,AT$4&gt;=$C$1),'General Inputs'!Q$10*$J78,IF(AND(($D78+$C$1)&gt;AT$4,AT$4&gt;=$C$1),'General Inputs'!Q$10*$I78,0))</f>
        <v>0</v>
      </c>
      <c r="AU78" s="214">
        <f>IF(AND(($E78+$C$1)&gt;AU$4,AU$4&gt;=$C$1),'General Inputs'!R$9*$H78,IF(AND(($D78+$C$1)&gt;AU$4,AU$4&gt;=$C$1),'General Inputs'!R$9*$G78,0))+IF(AND(($E78+$C$1)&gt;AU$4,AU$4&gt;=$C$1),'General Inputs'!R$10*$J78,IF(AND(($D78+$C$1)&gt;AU$4,AU$4&gt;=$C$1),'General Inputs'!R$10*$I78,0))</f>
        <v>0</v>
      </c>
      <c r="AV78" s="214">
        <f>IF(AND(($E78+$C$1)&gt;AV$4,AV$4&gt;=$C$1),'General Inputs'!S$9*$H78,IF(AND(($D78+$C$1)&gt;AV$4,AV$4&gt;=$C$1),'General Inputs'!S$9*$G78,0))+IF(AND(($E78+$C$1)&gt;AV$4,AV$4&gt;=$C$1),'General Inputs'!S$10*$J78,IF(AND(($D78+$C$1)&gt;AV$4,AV$4&gt;=$C$1),'General Inputs'!S$10*$I78,0))</f>
        <v>0</v>
      </c>
      <c r="AW78" s="214">
        <f>IF(AND(($E78+$C$1)&gt;AW$4,AW$4&gt;=$C$1),'General Inputs'!T$9*$H78,IF(AND(($D78+$C$1)&gt;AW$4,AW$4&gt;=$C$1),'General Inputs'!T$9*$G78,0))+IF(AND(($E78+$C$1)&gt;AW$4,AW$4&gt;=$C$1),'General Inputs'!T$10*$J78,IF(AND(($D78+$C$1)&gt;AW$4,AW$4&gt;=$C$1),'General Inputs'!T$10*$I78,0))</f>
        <v>0</v>
      </c>
      <c r="AX78" s="214">
        <f>IF(AND(($E78+$C$1)&gt;AX$4,AX$4&gt;=$C$1),'General Inputs'!U$9*$H78,IF(AND(($D78+$C$1)&gt;AX$4,AX$4&gt;=$C$1),'General Inputs'!U$9*$G78,0))+IF(AND(($E78+$C$1)&gt;AX$4,AX$4&gt;=$C$1),'General Inputs'!U$10*$J78,IF(AND(($D78+$C$1)&gt;AX$4,AX$4&gt;=$C$1),'General Inputs'!U$10*$I78,0))</f>
        <v>0</v>
      </c>
      <c r="AY78" s="214">
        <f>IF(AND(($E78+$C$1)&gt;AY$4,AY$4&gt;=$C$1),'General Inputs'!V$9*$H78,IF(AND(($D78+$C$1)&gt;AY$4,AY$4&gt;=$C$1),'General Inputs'!V$9*$G78,0))+IF(AND(($E78+$C$1)&gt;AY$4,AY$4&gt;=$C$1),'General Inputs'!V$10*$J78,IF(AND(($D78+$C$1)&gt;AY$4,AY$4&gt;=$C$1),'General Inputs'!V$10*$I78,0))</f>
        <v>0</v>
      </c>
      <c r="AZ78" s="214">
        <f>IF(AND(($E78+$C$1)&gt;AZ$4,AZ$4&gt;=$C$1),'General Inputs'!W$9*$H78,IF(AND(($D78+$C$1)&gt;AZ$4,AZ$4&gt;=$C$1),'General Inputs'!W$9*$G78,0))+IF(AND(($E78+$C$1)&gt;AZ$4,AZ$4&gt;=$C$1),'General Inputs'!W$10*$J78,IF(AND(($D78+$C$1)&gt;AZ$4,AZ$4&gt;=$C$1),'General Inputs'!W$10*$I78,0))</f>
        <v>0</v>
      </c>
      <c r="BB78" s="214">
        <f>IF(AND(($E78+$C$1)&gt;BB$4,BB$4&gt;=$C$1),'General Inputs'!D$11*$H78,IF(AND(($D78+$C$1)&gt;BB$4,BB$4&gt;=$C$1),'General Inputs'!D$11*$G78,0))</f>
        <v>0</v>
      </c>
      <c r="BC78" s="214">
        <f>IF(AND(($E78+$C$1)&gt;BC$4,BC$4&gt;=$C$1),'General Inputs'!E$11*$H78,IF(AND(($D78+$C$1)&gt;BC$4,BC$4&gt;=$C$1),'General Inputs'!E$11*$G78,0))</f>
        <v>0</v>
      </c>
      <c r="BD78" s="214">
        <f>IF(AND(($E78+$C$1)&gt;BD$4,BD$4&gt;=$C$1),'General Inputs'!F$11*$H78,IF(AND(($D78+$C$1)&gt;BD$4,BD$4&gt;=$C$1),'General Inputs'!F$11*$G78,0))</f>
        <v>21.060748939500002</v>
      </c>
      <c r="BE78" s="214">
        <f>IF(AND(($E78+$C$1)&gt;BE$4,BE$4&gt;=$C$1),'General Inputs'!G$11*$H78,IF(AND(($D78+$C$1)&gt;BE$4,BE$4&gt;=$C$1),'General Inputs'!G$11*$G78,0))</f>
        <v>21.060748939500002</v>
      </c>
      <c r="BF78" s="214">
        <f>IF(AND(($E78+$C$1)&gt;BF$4,BF$4&gt;=$C$1),'General Inputs'!H$11*$H78,IF(AND(($D78+$C$1)&gt;BF$4,BF$4&gt;=$C$1),'General Inputs'!H$11*$G78,0))</f>
        <v>21.060748939500002</v>
      </c>
      <c r="BG78" s="214">
        <f>IF(AND(($E78+$C$1)&gt;BG$4,BG$4&gt;=$C$1),'General Inputs'!I$11*$H78,IF(AND(($D78+$C$1)&gt;BG$4,BG$4&gt;=$C$1),'General Inputs'!I$11*$G78,0))</f>
        <v>21.060748939500002</v>
      </c>
      <c r="BH78" s="214">
        <f>IF(AND(($E78+$C$1)&gt;BH$4,BH$4&gt;=$C$1),'General Inputs'!J$11*$H78,IF(AND(($D78+$C$1)&gt;BH$4,BH$4&gt;=$C$1),'General Inputs'!J$11*$G78,0))</f>
        <v>21.060748939500002</v>
      </c>
      <c r="BI78" s="214">
        <f>IF(AND(($E78+$C$1)&gt;BI$4,BI$4&gt;=$C$1),'General Inputs'!K$11*$H78,IF(AND(($D78+$C$1)&gt;BI$4,BI$4&gt;=$C$1),'General Inputs'!K$11*$G78,0))</f>
        <v>21.060748939500002</v>
      </c>
      <c r="BJ78" s="214">
        <f>IF(AND(($E78+$C$1)&gt;BJ$4,BJ$4&gt;=$C$1),'General Inputs'!L$11*$H78,IF(AND(($D78+$C$1)&gt;BJ$4,BJ$4&gt;=$C$1),'General Inputs'!L$11*$G78,0))</f>
        <v>21.060748939500002</v>
      </c>
      <c r="BK78" s="214">
        <f>IF(AND(($E78+$C$1)&gt;BK$4,BK$4&gt;=$C$1),'General Inputs'!M$11*$H78,IF(AND(($D78+$C$1)&gt;BK$4,BK$4&gt;=$C$1),'General Inputs'!M$11*$G78,0))</f>
        <v>21.060748939500002</v>
      </c>
      <c r="BL78" s="214">
        <f>IF(AND(($E78+$C$1)&gt;BL$4,BL$4&gt;=$C$1),'General Inputs'!N$11*$H78,IF(AND(($D78+$C$1)&gt;BL$4,BL$4&gt;=$C$1),'General Inputs'!N$11*$G78,0))</f>
        <v>21.060748939500002</v>
      </c>
      <c r="BM78" s="214">
        <f>IF(AND(($E78+$C$1)&gt;BM$4,BM$4&gt;=$C$1),'General Inputs'!O$11*$H78,IF(AND(($D78+$C$1)&gt;BM$4,BM$4&gt;=$C$1),'General Inputs'!O$11*$G78,0))</f>
        <v>21.060748939500002</v>
      </c>
      <c r="BN78" s="214">
        <f>IF(AND(($E78+$C$1)&gt;BN$4,BN$4&gt;=$C$1),'General Inputs'!P$11*$H78,IF(AND(($D78+$C$1)&gt;BN$4,BN$4&gt;=$C$1),'General Inputs'!P$11*$G78,0))</f>
        <v>0</v>
      </c>
      <c r="BO78" s="214">
        <f>IF(AND(($E78+$C$1)&gt;BO$4,BO$4&gt;=$C$1),'General Inputs'!Q$11*$H78,IF(AND(($D78+$C$1)&gt;BO$4,BO$4&gt;=$C$1),'General Inputs'!Q$11*$G78,0))</f>
        <v>0</v>
      </c>
      <c r="BP78" s="214">
        <f>IF(AND(($E78+$C$1)&gt;BP$4,BP$4&gt;=$C$1),'General Inputs'!R$11*$H78,IF(AND(($D78+$C$1)&gt;BP$4,BP$4&gt;=$C$1),'General Inputs'!R$11*$G78,0))</f>
        <v>0</v>
      </c>
      <c r="BQ78" s="214">
        <f>IF(AND(($E78+$C$1)&gt;BQ$4,BQ$4&gt;=$C$1),'General Inputs'!S$11*$H78,IF(AND(($D78+$C$1)&gt;BQ$4,BQ$4&gt;=$C$1),'General Inputs'!S$11*$G78,0))</f>
        <v>0</v>
      </c>
      <c r="BR78" s="214">
        <f>IF(AND(($E78+$C$1)&gt;BR$4,BR$4&gt;=$C$1),'General Inputs'!T$11*$H78,IF(AND(($D78+$C$1)&gt;BR$4,BR$4&gt;=$C$1),'General Inputs'!T$11*$G78,0))</f>
        <v>0</v>
      </c>
      <c r="BS78" s="214">
        <f>IF(AND(($E78+$C$1)&gt;BS$4,BS$4&gt;=$C$1),'General Inputs'!U$11*$H78,IF(AND(($D78+$C$1)&gt;BS$4,BS$4&gt;=$C$1),'General Inputs'!U$11*$G78,0))</f>
        <v>0</v>
      </c>
      <c r="BT78" s="214">
        <f>IF(AND(($E78+$C$1)&gt;BT$4,BT$4&gt;=$C$1),'General Inputs'!V$11*$H78,IF(AND(($D78+$C$1)&gt;BT$4,BT$4&gt;=$C$1),'General Inputs'!V$11*$G78,0))</f>
        <v>0</v>
      </c>
      <c r="BU78" s="214">
        <f>IF(AND(($E78+$C$1)&gt;BU$4,BU$4&gt;=$C$1),'General Inputs'!W$11*$H78,IF(AND(($D78+$C$1)&gt;BU$4,BU$4&gt;=$C$1),'General Inputs'!W$11*$G78,0))</f>
        <v>0</v>
      </c>
      <c r="BW78" s="214">
        <f>IF(AND(($E78+$C$1)&gt;BW$4,BW$4&gt;=$C$1),$H78,IF(AND(($D78+$C$1)&gt;BW$4,BW$4&gt;=$C$1),$G78,0))*IF($A78="Residential",'General Inputs'!D$14,'General Inputs'!D$19)</f>
        <v>0</v>
      </c>
      <c r="BX78" s="214">
        <f>IF(AND(($E78+$C$1)&gt;BX$4,BX$4&gt;=$C$1),$H78,IF(AND(($D78+$C$1)&gt;BX$4,BX$4&gt;=$C$1),$G78,0))*IF($A78="Residential",'General Inputs'!E$14,'General Inputs'!E$19)</f>
        <v>0</v>
      </c>
      <c r="BY78" s="214">
        <f>IF(AND(($E78+$C$1)&gt;BY$4,BY$4&gt;=$C$1),$H78,IF(AND(($D78+$C$1)&gt;BY$4,BY$4&gt;=$C$1),$G78,0))*IF($A78="Residential",'General Inputs'!F$14,'General Inputs'!F$19)</f>
        <v>198.82891347566078</v>
      </c>
      <c r="BZ78" s="214">
        <f>IF(AND(($E78+$C$1)&gt;BZ$4,BZ$4&gt;=$C$1),$H78,IF(AND(($D78+$C$1)&gt;BZ$4,BZ$4&gt;=$C$1),$G78,0))*IF($A78="Residential",'General Inputs'!G$14,'General Inputs'!G$19)</f>
        <v>201.81134717779568</v>
      </c>
      <c r="CA78" s="214">
        <f>IF(AND(($E78+$C$1)&gt;CA$4,CA$4&gt;=$C$1),$H78,IF(AND(($D78+$C$1)&gt;CA$4,CA$4&gt;=$C$1),$G78,0))*IF($A78="Residential",'General Inputs'!H$14,'General Inputs'!H$19)</f>
        <v>204.83851738546258</v>
      </c>
      <c r="CB78" s="214">
        <f>IF(AND(($E78+$C$1)&gt;CB$4,CB$4&gt;=$C$1),$H78,IF(AND(($D78+$C$1)&gt;CB$4,CB$4&gt;=$C$1),$G78,0))*IF($A78="Residential",'General Inputs'!I$14,'General Inputs'!I$19)</f>
        <v>207.91109514624446</v>
      </c>
      <c r="CC78" s="214">
        <f>IF(AND(($E78+$C$1)&gt;CC$4,CC$4&gt;=$C$1),$H78,IF(AND(($D78+$C$1)&gt;CC$4,CC$4&gt;=$C$1),$G78,0))*IF($A78="Residential",'General Inputs'!J$14,'General Inputs'!J$19)</f>
        <v>211.02976157343815</v>
      </c>
      <c r="CD78" s="214">
        <f>IF(AND(($E78+$C$1)&gt;CD$4,CD$4&gt;=$C$1),$H78,IF(AND(($D78+$C$1)&gt;CD$4,CD$4&gt;=$C$1),$G78,0))*IF($A78="Residential",'General Inputs'!K$14,'General Inputs'!K$19)</f>
        <v>214.19520799703969</v>
      </c>
      <c r="CE78" s="214">
        <f>IF(AND(($E78+$C$1)&gt;CE$4,CE$4&gt;=$C$1),$H78,IF(AND(($D78+$C$1)&gt;CE$4,CE$4&gt;=$C$1),$G78,0))*IF($A78="Residential",'General Inputs'!L$14,'General Inputs'!L$19)</f>
        <v>217.40813611699525</v>
      </c>
      <c r="CF78" s="214">
        <f>IF(AND(($E78+$C$1)&gt;CF$4,CF$4&gt;=$C$1),$H78,IF(AND(($D78+$C$1)&gt;CF$4,CF$4&gt;=$C$1),$G78,0))*IF($A78="Residential",'General Inputs'!M$14,'General Inputs'!M$19)</f>
        <v>220.66925815875015</v>
      </c>
      <c r="CG78" s="214">
        <f>IF(AND(($E78+$C$1)&gt;CG$4,CG$4&gt;=$C$1),$H78,IF(AND(($D78+$C$1)&gt;CG$4,CG$4&gt;=$C$1),$G78,0))*IF($A78="Residential",'General Inputs'!N$14,'General Inputs'!N$19)</f>
        <v>223.97929703113141</v>
      </c>
      <c r="CH78" s="214">
        <f>IF(AND(($E78+$C$1)&gt;CH$4,CH$4&gt;=$C$1),$H78,IF(AND(($D78+$C$1)&gt;CH$4,CH$4&gt;=$C$1),$G78,0))*IF($A78="Residential",'General Inputs'!O$14,'General Inputs'!O$19)</f>
        <v>227.33898648659834</v>
      </c>
      <c r="CI78" s="214">
        <f>IF(AND(($E78+$C$1)&gt;CI$4,CI$4&gt;=$C$1),$H78,IF(AND(($D78+$C$1)&gt;CI$4,CI$4&gt;=$C$1),$G78,0))*IF($A78="Residential",'General Inputs'!P$14,'General Inputs'!P$19)</f>
        <v>0</v>
      </c>
      <c r="CJ78" s="214">
        <f>IF(AND(($E78+$C$1)&gt;CJ$4,CJ$4&gt;=$C$1),$H78,IF(AND(($D78+$C$1)&gt;CJ$4,CJ$4&gt;=$C$1),$G78,0))*IF($A78="Residential",'General Inputs'!Q$14,'General Inputs'!Q$19)</f>
        <v>0</v>
      </c>
      <c r="CK78" s="214">
        <f>IF(AND(($E78+$C$1)&gt;CK$4,CK$4&gt;=$C$1),$H78,IF(AND(($D78+$C$1)&gt;CK$4,CK$4&gt;=$C$1),$G78,0))*IF($A78="Residential",'General Inputs'!R$14,'General Inputs'!R$19)</f>
        <v>0</v>
      </c>
      <c r="CL78" s="214">
        <f>IF(AND(($E78+$C$1)&gt;CL$4,CL$4&gt;=$C$1),$H78,IF(AND(($D78+$C$1)&gt;CL$4,CL$4&gt;=$C$1),$G78,0))*IF($A78="Residential",'General Inputs'!S$14,'General Inputs'!S$19)</f>
        <v>0</v>
      </c>
      <c r="CM78" s="214">
        <f>IF(AND(($E78+$C$1)&gt;CM$4,CM$4&gt;=$C$1),$H78,IF(AND(($D78+$C$1)&gt;CM$4,CM$4&gt;=$C$1),$G78,0))*IF($A78="Residential",'General Inputs'!T$14,'General Inputs'!T$19)</f>
        <v>0</v>
      </c>
      <c r="CN78" s="214">
        <f>IF(AND(($E78+$C$1)&gt;CN$4,CN$4&gt;=$C$1),$H78,IF(AND(($D78+$C$1)&gt;CN$4,CN$4&gt;=$C$1),$G78,0))*IF($A78="Residential",'General Inputs'!U$14,'General Inputs'!U$19)</f>
        <v>0</v>
      </c>
      <c r="CO78" s="214">
        <f>IF(AND(($E78+$C$1)&gt;CO$4,CO$4&gt;=$C$1),$H78,IF(AND(($D78+$C$1)&gt;CO$4,CO$4&gt;=$C$1),$G78,0))*IF($A78="Residential",'General Inputs'!V$14,'General Inputs'!V$19)</f>
        <v>0</v>
      </c>
      <c r="CP78" s="214">
        <f>IF(AND(($E78+$C$1)&gt;CP$4,CP$4&gt;=$C$1),$H78,IF(AND(($D78+$C$1)&gt;CP$4,CP$4&gt;=$C$1),$G78,0))*IF($A78="Residential",'General Inputs'!W$14,'General Inputs'!W$19)</f>
        <v>0</v>
      </c>
      <c r="CR78" s="214">
        <f>IF(AND(($E78+$C$1)&gt;CR$4,CR$4&gt;=$C$1),$H78,IF(AND(($D78+$C$1)&gt;CR$4,CR$4&gt;=$C$1),$G78,0))*IF($A78="Residential",'General Inputs'!D$15,'General Inputs'!D$19)</f>
        <v>0</v>
      </c>
      <c r="CS78" s="214">
        <f>IF(AND(($E78+$C$1)&gt;CS$4,CS$4&gt;=$C$1),$H78,IF(AND(($D78+$C$1)&gt;CS$4,CS$4&gt;=$C$1),$G78,0))*IF($A78="Residential",'General Inputs'!E$15,'General Inputs'!E$19)</f>
        <v>0</v>
      </c>
      <c r="CT78" s="214">
        <f>IF(AND(($E78+$C$1)&gt;CT$4,CT$4&gt;=$C$1),$H78,IF(AND(($D78+$C$1)&gt;CT$4,CT$4&gt;=$C$1),$G78,0))*IF($A78="Residential",'General Inputs'!F$15,'General Inputs'!F$19)</f>
        <v>198.82891347566078</v>
      </c>
      <c r="CU78" s="214">
        <f>IF(AND(($E78+$C$1)&gt;CU$4,CU$4&gt;=$C$1),$H78,IF(AND(($D78+$C$1)&gt;CU$4,CU$4&gt;=$C$1),$G78,0))*IF($A78="Residential",'General Inputs'!G$15,'General Inputs'!G$19)</f>
        <v>201.81134717779568</v>
      </c>
      <c r="CV78" s="214">
        <f>IF(AND(($E78+$C$1)&gt;CV$4,CV$4&gt;=$C$1),$H78,IF(AND(($D78+$C$1)&gt;CV$4,CV$4&gt;=$C$1),$G78,0))*IF($A78="Residential",'General Inputs'!H$15,'General Inputs'!H$19)</f>
        <v>204.83851738546258</v>
      </c>
      <c r="CW78" s="214">
        <f>IF(AND(($E78+$C$1)&gt;CW$4,CW$4&gt;=$C$1),$H78,IF(AND(($D78+$C$1)&gt;CW$4,CW$4&gt;=$C$1),$G78,0))*IF($A78="Residential",'General Inputs'!I$15,'General Inputs'!I$19)</f>
        <v>207.91109514624446</v>
      </c>
      <c r="CX78" s="214">
        <f>IF(AND(($E78+$C$1)&gt;CX$4,CX$4&gt;=$C$1),$H78,IF(AND(($D78+$C$1)&gt;CX$4,CX$4&gt;=$C$1),$G78,0))*IF($A78="Residential",'General Inputs'!J$15,'General Inputs'!J$19)</f>
        <v>211.02976157343815</v>
      </c>
      <c r="CY78" s="214">
        <f>IF(AND(($E78+$C$1)&gt;CY$4,CY$4&gt;=$C$1),$H78,IF(AND(($D78+$C$1)&gt;CY$4,CY$4&gt;=$C$1),$G78,0))*IF($A78="Residential",'General Inputs'!K$15,'General Inputs'!K$19)</f>
        <v>214.19520799703969</v>
      </c>
      <c r="CZ78" s="214">
        <f>IF(AND(($E78+$C$1)&gt;CZ$4,CZ$4&gt;=$C$1),$H78,IF(AND(($D78+$C$1)&gt;CZ$4,CZ$4&gt;=$C$1),$G78,0))*IF($A78="Residential",'General Inputs'!L$15,'General Inputs'!L$19)</f>
        <v>217.40813611699525</v>
      </c>
      <c r="DA78" s="214">
        <f>IF(AND(($E78+$C$1)&gt;DA$4,DA$4&gt;=$C$1),$H78,IF(AND(($D78+$C$1)&gt;DA$4,DA$4&gt;=$C$1),$G78,0))*IF($A78="Residential",'General Inputs'!M$15,'General Inputs'!M$19)</f>
        <v>220.66925815875015</v>
      </c>
      <c r="DB78" s="214">
        <f>IF(AND(($E78+$C$1)&gt;DB$4,DB$4&gt;=$C$1),$H78,IF(AND(($D78+$C$1)&gt;DB$4,DB$4&gt;=$C$1),$G78,0))*IF($A78="Residential",'General Inputs'!N$15,'General Inputs'!N$19)</f>
        <v>223.97929703113141</v>
      </c>
      <c r="DC78" s="214">
        <f>IF(AND(($E78+$C$1)&gt;DC$4,DC$4&gt;=$C$1),$H78,IF(AND(($D78+$C$1)&gt;DC$4,DC$4&gt;=$C$1),$G78,0))*IF($A78="Residential",'General Inputs'!O$15,'General Inputs'!O$19)</f>
        <v>227.33898648659834</v>
      </c>
      <c r="DD78" s="214">
        <f>IF(AND(($E78+$C$1)&gt;DD$4,DD$4&gt;=$C$1),$H78,IF(AND(($D78+$C$1)&gt;DD$4,DD$4&gt;=$C$1),$G78,0))*IF($A78="Residential",'General Inputs'!P$15,'General Inputs'!P$19)</f>
        <v>0</v>
      </c>
      <c r="DE78" s="214">
        <f>IF(AND(($E78+$C$1)&gt;DE$4,DE$4&gt;=$C$1),$H78,IF(AND(($D78+$C$1)&gt;DE$4,DE$4&gt;=$C$1),$G78,0))*IF($A78="Residential",'General Inputs'!Q$15,'General Inputs'!Q$19)</f>
        <v>0</v>
      </c>
      <c r="DF78" s="214">
        <f>IF(AND(($E78+$C$1)&gt;DF$4,DF$4&gt;=$C$1),$H78,IF(AND(($D78+$C$1)&gt;DF$4,DF$4&gt;=$C$1),$G78,0))*IF($A78="Residential",'General Inputs'!R$15,'General Inputs'!R$19)</f>
        <v>0</v>
      </c>
      <c r="DG78" s="214">
        <f>IF(AND(($E78+$C$1)&gt;DG$4,DG$4&gt;=$C$1),$H78,IF(AND(($D78+$C$1)&gt;DG$4,DG$4&gt;=$C$1),$G78,0))*IF($A78="Residential",'General Inputs'!S$15,'General Inputs'!S$19)</f>
        <v>0</v>
      </c>
      <c r="DH78" s="214">
        <f>IF(AND(($E78+$C$1)&gt;DH$4,DH$4&gt;=$C$1),$H78,IF(AND(($D78+$C$1)&gt;DH$4,DH$4&gt;=$C$1),$G78,0))*IF($A78="Residential",'General Inputs'!T$15,'General Inputs'!T$19)</f>
        <v>0</v>
      </c>
      <c r="DI78" s="214">
        <f>IF(AND(($E78+$C$1)&gt;DI$4,DI$4&gt;=$C$1),$H78,IF(AND(($D78+$C$1)&gt;DI$4,DI$4&gt;=$C$1),$G78,0))*IF($A78="Residential",'General Inputs'!U$15,'General Inputs'!U$19)</f>
        <v>0</v>
      </c>
      <c r="DJ78" s="214">
        <f>IF(AND(($E78+$C$1)&gt;DJ$4,DJ$4&gt;=$C$1),$H78,IF(AND(($D78+$C$1)&gt;DJ$4,DJ$4&gt;=$C$1),$G78,0))*IF($A78="Residential",'General Inputs'!V$15,'General Inputs'!V$19)</f>
        <v>0</v>
      </c>
      <c r="DK78" s="214">
        <f>IF(AND(($E78+$C$1)&gt;DK$4,DK$4&gt;=$C$1),$H78,IF(AND(($D78+$C$1)&gt;DK$4,DK$4&gt;=$C$1),$G78,0))*IF($A78="Residential",'General Inputs'!W$15,'General Inputs'!W$19)</f>
        <v>0</v>
      </c>
      <c r="DM78" s="214">
        <f t="shared" si="100"/>
        <v>0</v>
      </c>
      <c r="DN78" s="214">
        <f t="shared" si="100"/>
        <v>0</v>
      </c>
      <c r="DO78" s="214">
        <f t="shared" si="100"/>
        <v>204</v>
      </c>
      <c r="DP78" s="214">
        <f t="shared" si="100"/>
        <v>0</v>
      </c>
      <c r="DQ78" s="214">
        <f t="shared" si="100"/>
        <v>0</v>
      </c>
      <c r="DR78" s="214">
        <f t="shared" si="100"/>
        <v>0</v>
      </c>
      <c r="DS78" s="214">
        <f t="shared" si="100"/>
        <v>0</v>
      </c>
      <c r="DT78" s="214">
        <f t="shared" si="100"/>
        <v>0</v>
      </c>
      <c r="DU78" s="214">
        <f t="shared" si="100"/>
        <v>0</v>
      </c>
      <c r="DV78" s="214">
        <f t="shared" si="100"/>
        <v>0</v>
      </c>
      <c r="DW78" s="214">
        <f t="shared" si="100"/>
        <v>0</v>
      </c>
      <c r="DZ78" s="650"/>
      <c r="FI78" s="195"/>
      <c r="FJ78" s="195"/>
      <c r="FK78" s="195"/>
      <c r="FL78" s="195"/>
      <c r="FM78" s="195"/>
      <c r="FN78" s="195"/>
      <c r="FO78" s="195"/>
    </row>
    <row r="79" spans="1:171">
      <c r="A79" s="342" t="s">
        <v>112</v>
      </c>
      <c r="B79" s="427" t="str">
        <f>'Portfolio Inputs'!A78</f>
        <v>LED (5 ≤ 10W)</v>
      </c>
      <c r="C79" s="217">
        <f>IF($C$1=2014,'Portfolio Inputs'!$C78,IF($C$1=2015,'Portfolio Inputs'!$D78,'Portfolio Inputs'!$E78))</f>
        <v>6</v>
      </c>
      <c r="D79" s="504">
        <f>VLOOKUP(B79,Sources!$B$4:$J$104,2,FALSE)</f>
        <v>10</v>
      </c>
      <c r="E79" s="504">
        <f>VLOOKUP(B79,Sources!$B$4:$J$104,3,FALSE)</f>
        <v>0</v>
      </c>
      <c r="G79" s="504">
        <f>IF($C$1=2014,'Portfolio Inputs'!$G78,IF($C$1=2015,'Portfolio Inputs'!$H78,'Portfolio Inputs'!$I78))*EnergyLineLoss</f>
        <v>1533.7188900000001</v>
      </c>
      <c r="H79" s="504"/>
      <c r="I79" s="595">
        <f>IF($C$1=2014,'Portfolio Inputs'!$K78,IF($C$1=2015,'Portfolio Inputs'!$L78,'Portfolio Inputs'!$M78))*PeakLineLoss</f>
        <v>0.23715806399999997</v>
      </c>
      <c r="J79" s="510"/>
      <c r="L79" s="606">
        <f>IF($C$1=2014,'Portfolio Inputs'!$O78,IF($C$1=2015,'Portfolio Inputs'!$P78,'Portfolio Inputs'!$Q78))</f>
        <v>40</v>
      </c>
      <c r="M79" s="518">
        <f>VLOOKUP($B79,Sources!$B$4:$K$104,10,FALSE)</f>
        <v>0</v>
      </c>
      <c r="N79" s="419">
        <f>IF($C$1=2014,'Portfolio Inputs'!$W78,IF($C$1=2015,'Portfolio Inputs'!$X78,'Portfolio Inputs'!$Y78))</f>
        <v>102</v>
      </c>
      <c r="O79" s="419">
        <f>IF($C$1=2014,'Portfolio Inputs'!$AA78,IF($C$1=2015,'Portfolio Inputs'!$AB78,'Portfolio Inputs'!$AC78))</f>
        <v>0</v>
      </c>
      <c r="Q79" s="438">
        <f t="shared" si="67"/>
        <v>2.0667154096172138</v>
      </c>
      <c r="R79" s="439">
        <f t="shared" si="68"/>
        <v>4.8628597873346209</v>
      </c>
      <c r="S79" s="439">
        <f t="shared" si="69"/>
        <v>2.5791860532446376</v>
      </c>
      <c r="T79" s="439">
        <f t="shared" si="70"/>
        <v>5.5499715353383552</v>
      </c>
      <c r="U79" s="439">
        <f t="shared" si="98"/>
        <v>5.5499715353383552</v>
      </c>
      <c r="V79" s="439">
        <f t="shared" si="72"/>
        <v>0.37238306475228</v>
      </c>
      <c r="W79" s="439">
        <f t="shared" si="73"/>
        <v>0.37238306475228</v>
      </c>
      <c r="Y79" s="215">
        <f t="shared" si="101"/>
        <v>418.71146536315689</v>
      </c>
      <c r="Z79" s="215">
        <f t="shared" si="102"/>
        <v>103.82529357952659</v>
      </c>
      <c r="AA79" s="215">
        <f t="shared" si="103"/>
        <v>1038.3066442144736</v>
      </c>
      <c r="AB79" s="215">
        <f t="shared" si="104"/>
        <v>1038.3066442144736</v>
      </c>
      <c r="AC79" s="216">
        <f t="shared" si="20"/>
        <v>0</v>
      </c>
      <c r="AD79" s="216">
        <f t="shared" si="21"/>
        <v>86.103956041195374</v>
      </c>
      <c r="AE79" s="215">
        <f t="shared" si="105"/>
        <v>202.59754362634206</v>
      </c>
      <c r="AG79" s="214">
        <f>IF(AND(($E79+$C$1)&gt;AG$4,AG$4&gt;=$C$1),'General Inputs'!D$9*$H79,IF(AND(($D79+$C$1)&gt;AG$4,AG$4&gt;=$C$1),'General Inputs'!D$9*$G79,0))+IF(AND(($E79+$C$1)&gt;AG$4,AG$4&gt;=$C$1),'General Inputs'!D$10*$J79,IF(AND(($D79+$C$1)&gt;AG$4,AG$4&gt;=$C$1),'General Inputs'!D$10*$I79,0))</f>
        <v>0</v>
      </c>
      <c r="AH79" s="214">
        <f>IF(AND(($E79+$C$1)&gt;AH$4,AH$4&gt;=$C$1),'General Inputs'!E$9*$H79,IF(AND(($D79+$C$1)&gt;AH$4,AH$4&gt;=$C$1),'General Inputs'!E$9*$G79,0))+IF(AND(($E79+$C$1)&gt;AH$4,AH$4&gt;=$C$1),'General Inputs'!E$10*$J79,IF(AND(($D79+$C$1)&gt;AH$4,AH$4&gt;=$C$1),'General Inputs'!E$10*$I79,0))</f>
        <v>0</v>
      </c>
      <c r="AI79" s="214">
        <f>IF(AND(($E79+$C$1)&gt;AI$4,AI$4&gt;=$C$1),'General Inputs'!F$9*$H79,IF(AND(($D79+$C$1)&gt;AI$4,AI$4&gt;=$C$1),'General Inputs'!F$9*$G79,0))+IF(AND(($E79+$C$1)&gt;AI$4,AI$4&gt;=$C$1),'General Inputs'!F$10*$J79,IF(AND(($D79+$C$1)&gt;AI$4,AI$4&gt;=$C$1),'General Inputs'!F$10*$I79,0))</f>
        <v>66.564943261516262</v>
      </c>
      <c r="AJ79" s="214">
        <f>IF(AND(($E79+$C$1)&gt;AJ$4,AJ$4&gt;=$C$1),'General Inputs'!G$9*$H79,IF(AND(($D79+$C$1)&gt;AJ$4,AJ$4&gt;=$C$1),'General Inputs'!G$9*$G79,0))+IF(AND(($E79+$C$1)&gt;AJ$4,AJ$4&gt;=$C$1),'General Inputs'!G$10*$J79,IF(AND(($D79+$C$1)&gt;AJ$4,AJ$4&gt;=$C$1),'General Inputs'!G$10*$I79,0))</f>
        <v>67.563417410439001</v>
      </c>
      <c r="AK79" s="214">
        <f>IF(AND(($E79+$C$1)&gt;AK$4,AK$4&gt;=$C$1),'General Inputs'!H$9*$H79,IF(AND(($D79+$C$1)&gt;AK$4,AK$4&gt;=$C$1),'General Inputs'!H$9*$G79,0))+IF(AND(($E79+$C$1)&gt;AK$4,AK$4&gt;=$C$1),'General Inputs'!H$10*$J79,IF(AND(($D79+$C$1)&gt;AK$4,AK$4&gt;=$C$1),'General Inputs'!H$10*$I79,0))</f>
        <v>68.576868671595577</v>
      </c>
      <c r="AL79" s="214">
        <f>IF(AND(($E79+$C$1)&gt;AL$4,AL$4&gt;=$C$1),'General Inputs'!I$9*$H79,IF(AND(($D79+$C$1)&gt;AL$4,AL$4&gt;=$C$1),'General Inputs'!I$9*$G79,0))+IF(AND(($E79+$C$1)&gt;AL$4,AL$4&gt;=$C$1),'General Inputs'!I$10*$J79,IF(AND(($D79+$C$1)&gt;AL$4,AL$4&gt;=$C$1),'General Inputs'!I$10*$I79,0))</f>
        <v>69.605521701669488</v>
      </c>
      <c r="AM79" s="214">
        <f>IF(AND(($E79+$C$1)&gt;AM$4,AM$4&gt;=$C$1),'General Inputs'!J$9*$H79,IF(AND(($D79+$C$1)&gt;AM$4,AM$4&gt;=$C$1),'General Inputs'!J$9*$G79,0))+IF(AND(($E79+$C$1)&gt;AM$4,AM$4&gt;=$C$1),'General Inputs'!J$10*$J79,IF(AND(($D79+$C$1)&gt;AM$4,AM$4&gt;=$C$1),'General Inputs'!J$10*$I79,0))</f>
        <v>70.649604527194526</v>
      </c>
      <c r="AN79" s="214">
        <f>IF(AND(($E79+$C$1)&gt;AN$4,AN$4&gt;=$C$1),'General Inputs'!K$9*$H79,IF(AND(($D79+$C$1)&gt;AN$4,AN$4&gt;=$C$1),'General Inputs'!K$9*$G79,0))+IF(AND(($E79+$C$1)&gt;AN$4,AN$4&gt;=$C$1),'General Inputs'!K$10*$J79,IF(AND(($D79+$C$1)&gt;AN$4,AN$4&gt;=$C$1),'General Inputs'!K$10*$I79,0))</f>
        <v>71.709348595102426</v>
      </c>
      <c r="AO79" s="214">
        <f>IF(AND(($E79+$C$1)&gt;AO$4,AO$4&gt;=$C$1),'General Inputs'!L$9*$H79,IF(AND(($D79+$C$1)&gt;AO$4,AO$4&gt;=$C$1),'General Inputs'!L$9*$G79,0))+IF(AND(($E79+$C$1)&gt;AO$4,AO$4&gt;=$C$1),'General Inputs'!L$10*$J79,IF(AND(($D79+$C$1)&gt;AO$4,AO$4&gt;=$C$1),'General Inputs'!L$10*$I79,0))</f>
        <v>72.784988824028957</v>
      </c>
      <c r="AP79" s="214">
        <f>IF(AND(($E79+$C$1)&gt;AP$4,AP$4&gt;=$C$1),'General Inputs'!M$9*$H79,IF(AND(($D79+$C$1)&gt;AP$4,AP$4&gt;=$C$1),'General Inputs'!M$9*$G79,0))+IF(AND(($E79+$C$1)&gt;AP$4,AP$4&gt;=$C$1),'General Inputs'!M$10*$J79,IF(AND(($D79+$C$1)&gt;AP$4,AP$4&gt;=$C$1),'General Inputs'!M$10*$I79,0))</f>
        <v>73.876763656389386</v>
      </c>
      <c r="AQ79" s="214">
        <f>IF(AND(($E79+$C$1)&gt;AQ$4,AQ$4&gt;=$C$1),'General Inputs'!N$9*$H79,IF(AND(($D79+$C$1)&gt;AQ$4,AQ$4&gt;=$C$1),'General Inputs'!N$9*$G79,0))+IF(AND(($E79+$C$1)&gt;AQ$4,AQ$4&gt;=$C$1),'General Inputs'!N$10*$J79,IF(AND(($D79+$C$1)&gt;AQ$4,AQ$4&gt;=$C$1),'General Inputs'!N$10*$I79,0))</f>
        <v>74.984915111235225</v>
      </c>
      <c r="AR79" s="214">
        <f>IF(AND(($E79+$C$1)&gt;AR$4,AR$4&gt;=$C$1),'General Inputs'!O$9*$H79,IF(AND(($D79+$C$1)&gt;AR$4,AR$4&gt;=$C$1),'General Inputs'!O$9*$G79,0))+IF(AND(($E79+$C$1)&gt;AR$4,AR$4&gt;=$C$1),'General Inputs'!O$10*$J79,IF(AND(($D79+$C$1)&gt;AR$4,AR$4&gt;=$C$1),'General Inputs'!O$10*$I79,0))</f>
        <v>76.109688837903732</v>
      </c>
      <c r="AS79" s="214">
        <f>IF(AND(($E79+$C$1)&gt;AS$4,AS$4&gt;=$C$1),'General Inputs'!P$9*$H79,IF(AND(($D79+$C$1)&gt;AS$4,AS$4&gt;=$C$1),'General Inputs'!P$9*$G79,0))+IF(AND(($E79+$C$1)&gt;AS$4,AS$4&gt;=$C$1),'General Inputs'!P$10*$J79,IF(AND(($D79+$C$1)&gt;AS$4,AS$4&gt;=$C$1),'General Inputs'!P$10*$I79,0))</f>
        <v>0</v>
      </c>
      <c r="AT79" s="214">
        <f>IF(AND(($E79+$C$1)&gt;AT$4,AT$4&gt;=$C$1),'General Inputs'!Q$9*$H79,IF(AND(($D79+$C$1)&gt;AT$4,AT$4&gt;=$C$1),'General Inputs'!Q$9*$G79,0))+IF(AND(($E79+$C$1)&gt;AT$4,AT$4&gt;=$C$1),'General Inputs'!Q$10*$J79,IF(AND(($D79+$C$1)&gt;AT$4,AT$4&gt;=$C$1),'General Inputs'!Q$10*$I79,0))</f>
        <v>0</v>
      </c>
      <c r="AU79" s="214">
        <f>IF(AND(($E79+$C$1)&gt;AU$4,AU$4&gt;=$C$1),'General Inputs'!R$9*$H79,IF(AND(($D79+$C$1)&gt;AU$4,AU$4&gt;=$C$1),'General Inputs'!R$9*$G79,0))+IF(AND(($E79+$C$1)&gt;AU$4,AU$4&gt;=$C$1),'General Inputs'!R$10*$J79,IF(AND(($D79+$C$1)&gt;AU$4,AU$4&gt;=$C$1),'General Inputs'!R$10*$I79,0))</f>
        <v>0</v>
      </c>
      <c r="AV79" s="214">
        <f>IF(AND(($E79+$C$1)&gt;AV$4,AV$4&gt;=$C$1),'General Inputs'!S$9*$H79,IF(AND(($D79+$C$1)&gt;AV$4,AV$4&gt;=$C$1),'General Inputs'!S$9*$G79,0))+IF(AND(($E79+$C$1)&gt;AV$4,AV$4&gt;=$C$1),'General Inputs'!S$10*$J79,IF(AND(($D79+$C$1)&gt;AV$4,AV$4&gt;=$C$1),'General Inputs'!S$10*$I79,0))</f>
        <v>0</v>
      </c>
      <c r="AW79" s="214">
        <f>IF(AND(($E79+$C$1)&gt;AW$4,AW$4&gt;=$C$1),'General Inputs'!T$9*$H79,IF(AND(($D79+$C$1)&gt;AW$4,AW$4&gt;=$C$1),'General Inputs'!T$9*$G79,0))+IF(AND(($E79+$C$1)&gt;AW$4,AW$4&gt;=$C$1),'General Inputs'!T$10*$J79,IF(AND(($D79+$C$1)&gt;AW$4,AW$4&gt;=$C$1),'General Inputs'!T$10*$I79,0))</f>
        <v>0</v>
      </c>
      <c r="AX79" s="214">
        <f>IF(AND(($E79+$C$1)&gt;AX$4,AX$4&gt;=$C$1),'General Inputs'!U$9*$H79,IF(AND(($D79+$C$1)&gt;AX$4,AX$4&gt;=$C$1),'General Inputs'!U$9*$G79,0))+IF(AND(($E79+$C$1)&gt;AX$4,AX$4&gt;=$C$1),'General Inputs'!U$10*$J79,IF(AND(($D79+$C$1)&gt;AX$4,AX$4&gt;=$C$1),'General Inputs'!U$10*$I79,0))</f>
        <v>0</v>
      </c>
      <c r="AY79" s="214">
        <f>IF(AND(($E79+$C$1)&gt;AY$4,AY$4&gt;=$C$1),'General Inputs'!V$9*$H79,IF(AND(($D79+$C$1)&gt;AY$4,AY$4&gt;=$C$1),'General Inputs'!V$9*$G79,0))+IF(AND(($E79+$C$1)&gt;AY$4,AY$4&gt;=$C$1),'General Inputs'!V$10*$J79,IF(AND(($D79+$C$1)&gt;AY$4,AY$4&gt;=$C$1),'General Inputs'!V$10*$I79,0))</f>
        <v>0</v>
      </c>
      <c r="AZ79" s="214">
        <f>IF(AND(($E79+$C$1)&gt;AZ$4,AZ$4&gt;=$C$1),'General Inputs'!W$9*$H79,IF(AND(($D79+$C$1)&gt;AZ$4,AZ$4&gt;=$C$1),'General Inputs'!W$9*$G79,0))+IF(AND(($E79+$C$1)&gt;AZ$4,AZ$4&gt;=$C$1),'General Inputs'!W$10*$J79,IF(AND(($D79+$C$1)&gt;AZ$4,AZ$4&gt;=$C$1),'General Inputs'!W$10*$I79,0))</f>
        <v>0</v>
      </c>
      <c r="BB79" s="214">
        <f>IF(AND(($E79+$C$1)&gt;BB$4,BB$4&gt;=$C$1),'General Inputs'!D$11*$H79,IF(AND(($D79+$C$1)&gt;BB$4,BB$4&gt;=$C$1),'General Inputs'!D$11*$G79,0))</f>
        <v>0</v>
      </c>
      <c r="BC79" s="214">
        <f>IF(AND(($E79+$C$1)&gt;BC$4,BC$4&gt;=$C$1),'General Inputs'!E$11*$H79,IF(AND(($D79+$C$1)&gt;BC$4,BC$4&gt;=$C$1),'General Inputs'!E$11*$G79,0))</f>
        <v>0</v>
      </c>
      <c r="BD79" s="214">
        <f>IF(AND(($E79+$C$1)&gt;BD$4,BD$4&gt;=$C$1),'General Inputs'!F$11*$H79,IF(AND(($D79+$C$1)&gt;BD$4,BD$4&gt;=$C$1),'General Inputs'!F$11*$G79,0))</f>
        <v>17.484395346000003</v>
      </c>
      <c r="BE79" s="214">
        <f>IF(AND(($E79+$C$1)&gt;BE$4,BE$4&gt;=$C$1),'General Inputs'!G$11*$H79,IF(AND(($D79+$C$1)&gt;BE$4,BE$4&gt;=$C$1),'General Inputs'!G$11*$G79,0))</f>
        <v>17.484395346000003</v>
      </c>
      <c r="BF79" s="214">
        <f>IF(AND(($E79+$C$1)&gt;BF$4,BF$4&gt;=$C$1),'General Inputs'!H$11*$H79,IF(AND(($D79+$C$1)&gt;BF$4,BF$4&gt;=$C$1),'General Inputs'!H$11*$G79,0))</f>
        <v>17.484395346000003</v>
      </c>
      <c r="BG79" s="214">
        <f>IF(AND(($E79+$C$1)&gt;BG$4,BG$4&gt;=$C$1),'General Inputs'!I$11*$H79,IF(AND(($D79+$C$1)&gt;BG$4,BG$4&gt;=$C$1),'General Inputs'!I$11*$G79,0))</f>
        <v>17.484395346000003</v>
      </c>
      <c r="BH79" s="214">
        <f>IF(AND(($E79+$C$1)&gt;BH$4,BH$4&gt;=$C$1),'General Inputs'!J$11*$H79,IF(AND(($D79+$C$1)&gt;BH$4,BH$4&gt;=$C$1),'General Inputs'!J$11*$G79,0))</f>
        <v>17.484395346000003</v>
      </c>
      <c r="BI79" s="214">
        <f>IF(AND(($E79+$C$1)&gt;BI$4,BI$4&gt;=$C$1),'General Inputs'!K$11*$H79,IF(AND(($D79+$C$1)&gt;BI$4,BI$4&gt;=$C$1),'General Inputs'!K$11*$G79,0))</f>
        <v>17.484395346000003</v>
      </c>
      <c r="BJ79" s="214">
        <f>IF(AND(($E79+$C$1)&gt;BJ$4,BJ$4&gt;=$C$1),'General Inputs'!L$11*$H79,IF(AND(($D79+$C$1)&gt;BJ$4,BJ$4&gt;=$C$1),'General Inputs'!L$11*$G79,0))</f>
        <v>17.484395346000003</v>
      </c>
      <c r="BK79" s="214">
        <f>IF(AND(($E79+$C$1)&gt;BK$4,BK$4&gt;=$C$1),'General Inputs'!M$11*$H79,IF(AND(($D79+$C$1)&gt;BK$4,BK$4&gt;=$C$1),'General Inputs'!M$11*$G79,0))</f>
        <v>17.484395346000003</v>
      </c>
      <c r="BL79" s="214">
        <f>IF(AND(($E79+$C$1)&gt;BL$4,BL$4&gt;=$C$1),'General Inputs'!N$11*$H79,IF(AND(($D79+$C$1)&gt;BL$4,BL$4&gt;=$C$1),'General Inputs'!N$11*$G79,0))</f>
        <v>17.484395346000003</v>
      </c>
      <c r="BM79" s="214">
        <f>IF(AND(($E79+$C$1)&gt;BM$4,BM$4&gt;=$C$1),'General Inputs'!O$11*$H79,IF(AND(($D79+$C$1)&gt;BM$4,BM$4&gt;=$C$1),'General Inputs'!O$11*$G79,0))</f>
        <v>17.484395346000003</v>
      </c>
      <c r="BN79" s="214">
        <f>IF(AND(($E79+$C$1)&gt;BN$4,BN$4&gt;=$C$1),'General Inputs'!P$11*$H79,IF(AND(($D79+$C$1)&gt;BN$4,BN$4&gt;=$C$1),'General Inputs'!P$11*$G79,0))</f>
        <v>0</v>
      </c>
      <c r="BO79" s="214">
        <f>IF(AND(($E79+$C$1)&gt;BO$4,BO$4&gt;=$C$1),'General Inputs'!Q$11*$H79,IF(AND(($D79+$C$1)&gt;BO$4,BO$4&gt;=$C$1),'General Inputs'!Q$11*$G79,0))</f>
        <v>0</v>
      </c>
      <c r="BP79" s="214">
        <f>IF(AND(($E79+$C$1)&gt;BP$4,BP$4&gt;=$C$1),'General Inputs'!R$11*$H79,IF(AND(($D79+$C$1)&gt;BP$4,BP$4&gt;=$C$1),'General Inputs'!R$11*$G79,0))</f>
        <v>0</v>
      </c>
      <c r="BQ79" s="214">
        <f>IF(AND(($E79+$C$1)&gt;BQ$4,BQ$4&gt;=$C$1),'General Inputs'!S$11*$H79,IF(AND(($D79+$C$1)&gt;BQ$4,BQ$4&gt;=$C$1),'General Inputs'!S$11*$G79,0))</f>
        <v>0</v>
      </c>
      <c r="BR79" s="214">
        <f>IF(AND(($E79+$C$1)&gt;BR$4,BR$4&gt;=$C$1),'General Inputs'!T$11*$H79,IF(AND(($D79+$C$1)&gt;BR$4,BR$4&gt;=$C$1),'General Inputs'!T$11*$G79,0))</f>
        <v>0</v>
      </c>
      <c r="BS79" s="214">
        <f>IF(AND(($E79+$C$1)&gt;BS$4,BS$4&gt;=$C$1),'General Inputs'!U$11*$H79,IF(AND(($D79+$C$1)&gt;BS$4,BS$4&gt;=$C$1),'General Inputs'!U$11*$G79,0))</f>
        <v>0</v>
      </c>
      <c r="BT79" s="214">
        <f>IF(AND(($E79+$C$1)&gt;BT$4,BT$4&gt;=$C$1),'General Inputs'!V$11*$H79,IF(AND(($D79+$C$1)&gt;BT$4,BT$4&gt;=$C$1),'General Inputs'!V$11*$G79,0))</f>
        <v>0</v>
      </c>
      <c r="BU79" s="214">
        <f>IF(AND(($E79+$C$1)&gt;BU$4,BU$4&gt;=$C$1),'General Inputs'!W$11*$H79,IF(AND(($D79+$C$1)&gt;BU$4,BU$4&gt;=$C$1),'General Inputs'!W$11*$G79,0))</f>
        <v>0</v>
      </c>
      <c r="BW79" s="214">
        <f>IF(AND(($E79+$C$1)&gt;BW$4,BW$4&gt;=$C$1),$H79,IF(AND(($D79+$C$1)&gt;BW$4,BW$4&gt;=$C$1),$G79,0))*IF($A79="Residential",'General Inputs'!D$14,'General Inputs'!D$19)</f>
        <v>0</v>
      </c>
      <c r="BX79" s="214">
        <f>IF(AND(($E79+$C$1)&gt;BX$4,BX$4&gt;=$C$1),$H79,IF(AND(($D79+$C$1)&gt;BX$4,BX$4&gt;=$C$1),$G79,0))*IF($A79="Residential",'General Inputs'!E$14,'General Inputs'!E$19)</f>
        <v>0</v>
      </c>
      <c r="BY79" s="214">
        <f>IF(AND(($E79+$C$1)&gt;BY$4,BY$4&gt;=$C$1),$H79,IF(AND(($D79+$C$1)&gt;BY$4,BY$4&gt;=$C$1),$G79,0))*IF($A79="Residential",'General Inputs'!F$14,'General Inputs'!F$19)</f>
        <v>165.06551307413349</v>
      </c>
      <c r="BZ79" s="214">
        <f>IF(AND(($E79+$C$1)&gt;BZ$4,BZ$4&gt;=$C$1),$H79,IF(AND(($D79+$C$1)&gt;BZ$4,BZ$4&gt;=$C$1),$G79,0))*IF($A79="Residential",'General Inputs'!G$14,'General Inputs'!G$19)</f>
        <v>167.54149577024549</v>
      </c>
      <c r="CA79" s="214">
        <f>IF(AND(($E79+$C$1)&gt;CA$4,CA$4&gt;=$C$1),$H79,IF(AND(($D79+$C$1)&gt;CA$4,CA$4&gt;=$C$1),$G79,0))*IF($A79="Residential",'General Inputs'!H$14,'General Inputs'!H$19)</f>
        <v>170.05461820679912</v>
      </c>
      <c r="CB79" s="214">
        <f>IF(AND(($E79+$C$1)&gt;CB$4,CB$4&gt;=$C$1),$H79,IF(AND(($D79+$C$1)&gt;CB$4,CB$4&gt;=$C$1),$G79,0))*IF($A79="Residential",'General Inputs'!I$14,'General Inputs'!I$19)</f>
        <v>172.6054374799011</v>
      </c>
      <c r="CC79" s="214">
        <f>IF(AND(($E79+$C$1)&gt;CC$4,CC$4&gt;=$C$1),$H79,IF(AND(($D79+$C$1)&gt;CC$4,CC$4&gt;=$C$1),$G79,0))*IF($A79="Residential",'General Inputs'!J$14,'General Inputs'!J$19)</f>
        <v>175.19451904209961</v>
      </c>
      <c r="CD79" s="214">
        <f>IF(AND(($E79+$C$1)&gt;CD$4,CD$4&gt;=$C$1),$H79,IF(AND(($D79+$C$1)&gt;CD$4,CD$4&gt;=$C$1),$G79,0))*IF($A79="Residential",'General Inputs'!K$14,'General Inputs'!K$19)</f>
        <v>177.82243682773108</v>
      </c>
      <c r="CE79" s="214">
        <f>IF(AND(($E79+$C$1)&gt;CE$4,CE$4&gt;=$C$1),$H79,IF(AND(($D79+$C$1)&gt;CE$4,CE$4&gt;=$C$1),$G79,0))*IF($A79="Residential",'General Inputs'!L$14,'General Inputs'!L$19)</f>
        <v>180.48977338014703</v>
      </c>
      <c r="CF79" s="214">
        <f>IF(AND(($E79+$C$1)&gt;CF$4,CF$4&gt;=$C$1),$H79,IF(AND(($D79+$C$1)&gt;CF$4,CF$4&gt;=$C$1),$G79,0))*IF($A79="Residential",'General Inputs'!M$14,'General Inputs'!M$19)</f>
        <v>183.19711998084921</v>
      </c>
      <c r="CG79" s="214">
        <f>IF(AND(($E79+$C$1)&gt;CG$4,CG$4&gt;=$C$1),$H79,IF(AND(($D79+$C$1)&gt;CG$4,CG$4&gt;=$C$1),$G79,0))*IF($A79="Residential",'General Inputs'!N$14,'General Inputs'!N$19)</f>
        <v>185.94507678056195</v>
      </c>
      <c r="CH79" s="214">
        <f>IF(AND(($E79+$C$1)&gt;CH$4,CH$4&gt;=$C$1),$H79,IF(AND(($D79+$C$1)&gt;CH$4,CH$4&gt;=$C$1),$G79,0))*IF($A79="Residential",'General Inputs'!O$14,'General Inputs'!O$19)</f>
        <v>188.73425293227032</v>
      </c>
      <c r="CI79" s="214">
        <f>IF(AND(($E79+$C$1)&gt;CI$4,CI$4&gt;=$C$1),$H79,IF(AND(($D79+$C$1)&gt;CI$4,CI$4&gt;=$C$1),$G79,0))*IF($A79="Residential",'General Inputs'!P$14,'General Inputs'!P$19)</f>
        <v>0</v>
      </c>
      <c r="CJ79" s="214">
        <f>IF(AND(($E79+$C$1)&gt;CJ$4,CJ$4&gt;=$C$1),$H79,IF(AND(($D79+$C$1)&gt;CJ$4,CJ$4&gt;=$C$1),$G79,0))*IF($A79="Residential",'General Inputs'!Q$14,'General Inputs'!Q$19)</f>
        <v>0</v>
      </c>
      <c r="CK79" s="214">
        <f>IF(AND(($E79+$C$1)&gt;CK$4,CK$4&gt;=$C$1),$H79,IF(AND(($D79+$C$1)&gt;CK$4,CK$4&gt;=$C$1),$G79,0))*IF($A79="Residential",'General Inputs'!R$14,'General Inputs'!R$19)</f>
        <v>0</v>
      </c>
      <c r="CL79" s="214">
        <f>IF(AND(($E79+$C$1)&gt;CL$4,CL$4&gt;=$C$1),$H79,IF(AND(($D79+$C$1)&gt;CL$4,CL$4&gt;=$C$1),$G79,0))*IF($A79="Residential",'General Inputs'!S$14,'General Inputs'!S$19)</f>
        <v>0</v>
      </c>
      <c r="CM79" s="214">
        <f>IF(AND(($E79+$C$1)&gt;CM$4,CM$4&gt;=$C$1),$H79,IF(AND(($D79+$C$1)&gt;CM$4,CM$4&gt;=$C$1),$G79,0))*IF($A79="Residential",'General Inputs'!T$14,'General Inputs'!T$19)</f>
        <v>0</v>
      </c>
      <c r="CN79" s="214">
        <f>IF(AND(($E79+$C$1)&gt;CN$4,CN$4&gt;=$C$1),$H79,IF(AND(($D79+$C$1)&gt;CN$4,CN$4&gt;=$C$1),$G79,0))*IF($A79="Residential",'General Inputs'!U$14,'General Inputs'!U$19)</f>
        <v>0</v>
      </c>
      <c r="CO79" s="214">
        <f>IF(AND(($E79+$C$1)&gt;CO$4,CO$4&gt;=$C$1),$H79,IF(AND(($D79+$C$1)&gt;CO$4,CO$4&gt;=$C$1),$G79,0))*IF($A79="Residential",'General Inputs'!V$14,'General Inputs'!V$19)</f>
        <v>0</v>
      </c>
      <c r="CP79" s="214">
        <f>IF(AND(($E79+$C$1)&gt;CP$4,CP$4&gt;=$C$1),$H79,IF(AND(($D79+$C$1)&gt;CP$4,CP$4&gt;=$C$1),$G79,0))*IF($A79="Residential",'General Inputs'!W$14,'General Inputs'!W$19)</f>
        <v>0</v>
      </c>
      <c r="CR79" s="214">
        <f>IF(AND(($E79+$C$1)&gt;CR$4,CR$4&gt;=$C$1),$H79,IF(AND(($D79+$C$1)&gt;CR$4,CR$4&gt;=$C$1),$G79,0))*IF($A79="Residential",'General Inputs'!D$15,'General Inputs'!D$19)</f>
        <v>0</v>
      </c>
      <c r="CS79" s="214">
        <f>IF(AND(($E79+$C$1)&gt;CS$4,CS$4&gt;=$C$1),$H79,IF(AND(($D79+$C$1)&gt;CS$4,CS$4&gt;=$C$1),$G79,0))*IF($A79="Residential",'General Inputs'!E$15,'General Inputs'!E$19)</f>
        <v>0</v>
      </c>
      <c r="CT79" s="214">
        <f>IF(AND(($E79+$C$1)&gt;CT$4,CT$4&gt;=$C$1),$H79,IF(AND(($D79+$C$1)&gt;CT$4,CT$4&gt;=$C$1),$G79,0))*IF($A79="Residential",'General Inputs'!F$15,'General Inputs'!F$19)</f>
        <v>165.06551307413349</v>
      </c>
      <c r="CU79" s="214">
        <f>IF(AND(($E79+$C$1)&gt;CU$4,CU$4&gt;=$C$1),$H79,IF(AND(($D79+$C$1)&gt;CU$4,CU$4&gt;=$C$1),$G79,0))*IF($A79="Residential",'General Inputs'!G$15,'General Inputs'!G$19)</f>
        <v>167.54149577024549</v>
      </c>
      <c r="CV79" s="214">
        <f>IF(AND(($E79+$C$1)&gt;CV$4,CV$4&gt;=$C$1),$H79,IF(AND(($D79+$C$1)&gt;CV$4,CV$4&gt;=$C$1),$G79,0))*IF($A79="Residential",'General Inputs'!H$15,'General Inputs'!H$19)</f>
        <v>170.05461820679912</v>
      </c>
      <c r="CW79" s="214">
        <f>IF(AND(($E79+$C$1)&gt;CW$4,CW$4&gt;=$C$1),$H79,IF(AND(($D79+$C$1)&gt;CW$4,CW$4&gt;=$C$1),$G79,0))*IF($A79="Residential",'General Inputs'!I$15,'General Inputs'!I$19)</f>
        <v>172.6054374799011</v>
      </c>
      <c r="CX79" s="214">
        <f>IF(AND(($E79+$C$1)&gt;CX$4,CX$4&gt;=$C$1),$H79,IF(AND(($D79+$C$1)&gt;CX$4,CX$4&gt;=$C$1),$G79,0))*IF($A79="Residential",'General Inputs'!J$15,'General Inputs'!J$19)</f>
        <v>175.19451904209961</v>
      </c>
      <c r="CY79" s="214">
        <f>IF(AND(($E79+$C$1)&gt;CY$4,CY$4&gt;=$C$1),$H79,IF(AND(($D79+$C$1)&gt;CY$4,CY$4&gt;=$C$1),$G79,0))*IF($A79="Residential",'General Inputs'!K$15,'General Inputs'!K$19)</f>
        <v>177.82243682773108</v>
      </c>
      <c r="CZ79" s="214">
        <f>IF(AND(($E79+$C$1)&gt;CZ$4,CZ$4&gt;=$C$1),$H79,IF(AND(($D79+$C$1)&gt;CZ$4,CZ$4&gt;=$C$1),$G79,0))*IF($A79="Residential",'General Inputs'!L$15,'General Inputs'!L$19)</f>
        <v>180.48977338014703</v>
      </c>
      <c r="DA79" s="214">
        <f>IF(AND(($E79+$C$1)&gt;DA$4,DA$4&gt;=$C$1),$H79,IF(AND(($D79+$C$1)&gt;DA$4,DA$4&gt;=$C$1),$G79,0))*IF($A79="Residential",'General Inputs'!M$15,'General Inputs'!M$19)</f>
        <v>183.19711998084921</v>
      </c>
      <c r="DB79" s="214">
        <f>IF(AND(($E79+$C$1)&gt;DB$4,DB$4&gt;=$C$1),$H79,IF(AND(($D79+$C$1)&gt;DB$4,DB$4&gt;=$C$1),$G79,0))*IF($A79="Residential",'General Inputs'!N$15,'General Inputs'!N$19)</f>
        <v>185.94507678056195</v>
      </c>
      <c r="DC79" s="214">
        <f>IF(AND(($E79+$C$1)&gt;DC$4,DC$4&gt;=$C$1),$H79,IF(AND(($D79+$C$1)&gt;DC$4,DC$4&gt;=$C$1),$G79,0))*IF($A79="Residential",'General Inputs'!O$15,'General Inputs'!O$19)</f>
        <v>188.73425293227032</v>
      </c>
      <c r="DD79" s="214">
        <f>IF(AND(($E79+$C$1)&gt;DD$4,DD$4&gt;=$C$1),$H79,IF(AND(($D79+$C$1)&gt;DD$4,DD$4&gt;=$C$1),$G79,0))*IF($A79="Residential",'General Inputs'!P$15,'General Inputs'!P$19)</f>
        <v>0</v>
      </c>
      <c r="DE79" s="214">
        <f>IF(AND(($E79+$C$1)&gt;DE$4,DE$4&gt;=$C$1),$H79,IF(AND(($D79+$C$1)&gt;DE$4,DE$4&gt;=$C$1),$G79,0))*IF($A79="Residential",'General Inputs'!Q$15,'General Inputs'!Q$19)</f>
        <v>0</v>
      </c>
      <c r="DF79" s="214">
        <f>IF(AND(($E79+$C$1)&gt;DF$4,DF$4&gt;=$C$1),$H79,IF(AND(($D79+$C$1)&gt;DF$4,DF$4&gt;=$C$1),$G79,0))*IF($A79="Residential",'General Inputs'!R$15,'General Inputs'!R$19)</f>
        <v>0</v>
      </c>
      <c r="DG79" s="214">
        <f>IF(AND(($E79+$C$1)&gt;DG$4,DG$4&gt;=$C$1),$H79,IF(AND(($D79+$C$1)&gt;DG$4,DG$4&gt;=$C$1),$G79,0))*IF($A79="Residential",'General Inputs'!S$15,'General Inputs'!S$19)</f>
        <v>0</v>
      </c>
      <c r="DH79" s="214">
        <f>IF(AND(($E79+$C$1)&gt;DH$4,DH$4&gt;=$C$1),$H79,IF(AND(($D79+$C$1)&gt;DH$4,DH$4&gt;=$C$1),$G79,0))*IF($A79="Residential",'General Inputs'!T$15,'General Inputs'!T$19)</f>
        <v>0</v>
      </c>
      <c r="DI79" s="214">
        <f>IF(AND(($E79+$C$1)&gt;DI$4,DI$4&gt;=$C$1),$H79,IF(AND(($D79+$C$1)&gt;DI$4,DI$4&gt;=$C$1),$G79,0))*IF($A79="Residential",'General Inputs'!U$15,'General Inputs'!U$19)</f>
        <v>0</v>
      </c>
      <c r="DJ79" s="214">
        <f>IF(AND(($E79+$C$1)&gt;DJ$4,DJ$4&gt;=$C$1),$H79,IF(AND(($D79+$C$1)&gt;DJ$4,DJ$4&gt;=$C$1),$G79,0))*IF($A79="Residential",'General Inputs'!V$15,'General Inputs'!V$19)</f>
        <v>0</v>
      </c>
      <c r="DK79" s="214">
        <f>IF(AND(($E79+$C$1)&gt;DK$4,DK$4&gt;=$C$1),$H79,IF(AND(($D79+$C$1)&gt;DK$4,DK$4&gt;=$C$1),$G79,0))*IF($A79="Residential",'General Inputs'!W$15,'General Inputs'!W$19)</f>
        <v>0</v>
      </c>
      <c r="DM79" s="214">
        <f t="shared" si="100"/>
        <v>0</v>
      </c>
      <c r="DN79" s="214">
        <f t="shared" si="100"/>
        <v>0</v>
      </c>
      <c r="DO79" s="214">
        <f t="shared" si="100"/>
        <v>240</v>
      </c>
      <c r="DP79" s="214">
        <f t="shared" si="100"/>
        <v>0</v>
      </c>
      <c r="DQ79" s="214">
        <f t="shared" si="100"/>
        <v>0</v>
      </c>
      <c r="DR79" s="214">
        <f t="shared" si="100"/>
        <v>0</v>
      </c>
      <c r="DS79" s="214">
        <f t="shared" si="100"/>
        <v>0</v>
      </c>
      <c r="DT79" s="214">
        <f t="shared" si="100"/>
        <v>0</v>
      </c>
      <c r="DU79" s="214">
        <f t="shared" si="100"/>
        <v>0</v>
      </c>
      <c r="DV79" s="214">
        <f t="shared" si="100"/>
        <v>0</v>
      </c>
      <c r="DW79" s="214">
        <f t="shared" si="100"/>
        <v>0</v>
      </c>
      <c r="DZ79" s="650"/>
      <c r="FI79" s="195"/>
      <c r="FJ79" s="195"/>
      <c r="FK79" s="195"/>
      <c r="FL79" s="195"/>
      <c r="FM79" s="195"/>
      <c r="FN79" s="195"/>
      <c r="FO79" s="195"/>
    </row>
    <row r="80" spans="1:171">
      <c r="A80" s="342" t="s">
        <v>112</v>
      </c>
      <c r="B80" s="427" t="str">
        <f>'Portfolio Inputs'!A79</f>
        <v>LED (&gt;10W)</v>
      </c>
      <c r="C80" s="217">
        <f>IF($C$1=2014,'Portfolio Inputs'!$C79,IF($C$1=2015,'Portfolio Inputs'!$D79,'Portfolio Inputs'!$E79))</f>
        <v>6</v>
      </c>
      <c r="D80" s="504">
        <f>VLOOKUP(B80,Sources!$B$4:$J$104,2,FALSE)</f>
        <v>10</v>
      </c>
      <c r="E80" s="504">
        <f>VLOOKUP(B80,Sources!$B$4:$J$104,3,FALSE)</f>
        <v>0</v>
      </c>
      <c r="G80" s="504">
        <f>IF($C$1=2014,'Portfolio Inputs'!$G79,IF($C$1=2015,'Portfolio Inputs'!$H79,'Portfolio Inputs'!$I79))*EnergyLineLoss</f>
        <v>3485.7247499999999</v>
      </c>
      <c r="H80" s="504"/>
      <c r="I80" s="595">
        <f>IF($C$1=2014,'Portfolio Inputs'!$K79,IF($C$1=2015,'Portfolio Inputs'!$L79,'Portfolio Inputs'!$M79))*PeakLineLoss</f>
        <v>0.53899560000000002</v>
      </c>
      <c r="J80" s="510"/>
      <c r="L80" s="606">
        <f>IF($C$1=2014,'Portfolio Inputs'!$O79,IF($C$1=2015,'Portfolio Inputs'!$P79,'Portfolio Inputs'!$Q79))</f>
        <v>65</v>
      </c>
      <c r="M80" s="518">
        <f>VLOOKUP($B80,Sources!$B$4:$K$104,10,FALSE)</f>
        <v>0</v>
      </c>
      <c r="N80" s="419">
        <f>IF($C$1=2014,'Portfolio Inputs'!$W79,IF($C$1=2015,'Portfolio Inputs'!$X79,'Portfolio Inputs'!$Y79))</f>
        <v>150</v>
      </c>
      <c r="O80" s="419">
        <f>IF($C$1=2014,'Portfolio Inputs'!$AA79,IF($C$1=2015,'Portfolio Inputs'!$AB79,'Portfolio Inputs'!$AC79))</f>
        <v>0</v>
      </c>
      <c r="Q80" s="438">
        <f t="shared" si="67"/>
        <v>2.8905110624016976</v>
      </c>
      <c r="R80" s="439">
        <f t="shared" si="68"/>
        <v>7.5153287622444145</v>
      </c>
      <c r="S80" s="439">
        <f t="shared" si="69"/>
        <v>3.6072532213211712</v>
      </c>
      <c r="T80" s="439">
        <f t="shared" si="70"/>
        <v>7.5524077417319644</v>
      </c>
      <c r="U80" s="439">
        <f t="shared" si="98"/>
        <v>7.5524077417319644</v>
      </c>
      <c r="V80" s="439">
        <f t="shared" si="72"/>
        <v>0.38272709329896804</v>
      </c>
      <c r="W80" s="439">
        <f t="shared" si="73"/>
        <v>0.38272709329896804</v>
      </c>
      <c r="Y80" s="215">
        <f t="shared" si="101"/>
        <v>951.61696673444749</v>
      </c>
      <c r="Z80" s="215">
        <f t="shared" si="102"/>
        <v>235.96657631710588</v>
      </c>
      <c r="AA80" s="215">
        <f t="shared" si="103"/>
        <v>2359.7878277601671</v>
      </c>
      <c r="AB80" s="215">
        <f t="shared" si="104"/>
        <v>2359.7878277601671</v>
      </c>
      <c r="AC80" s="216">
        <f t="shared" si="20"/>
        <v>0</v>
      </c>
      <c r="AD80" s="216">
        <f t="shared" si="21"/>
        <v>126.62346476646378</v>
      </c>
      <c r="AE80" s="215">
        <f t="shared" si="105"/>
        <v>329.22100839280586</v>
      </c>
      <c r="AG80" s="214">
        <f>IF(AND(($E80+$C$1)&gt;AG$4,AG$4&gt;=$C$1),'General Inputs'!D$9*$H80,IF(AND(($D80+$C$1)&gt;AG$4,AG$4&gt;=$C$1),'General Inputs'!D$9*$G80,0))+IF(AND(($E80+$C$1)&gt;AG$4,AG$4&gt;=$C$1),'General Inputs'!D$10*$J80,IF(AND(($D80+$C$1)&gt;AG$4,AG$4&gt;=$C$1),'General Inputs'!D$10*$I80,0))</f>
        <v>0</v>
      </c>
      <c r="AH80" s="214">
        <f>IF(AND(($E80+$C$1)&gt;AH$4,AH$4&gt;=$C$1),'General Inputs'!E$9*$H80,IF(AND(($D80+$C$1)&gt;AH$4,AH$4&gt;=$C$1),'General Inputs'!E$9*$G80,0))+IF(AND(($E80+$C$1)&gt;AH$4,AH$4&gt;=$C$1),'General Inputs'!E$10*$J80,IF(AND(($D80+$C$1)&gt;AH$4,AH$4&gt;=$C$1),'General Inputs'!E$10*$I80,0))</f>
        <v>0</v>
      </c>
      <c r="AI80" s="214">
        <f>IF(AND(($E80+$C$1)&gt;AI$4,AI$4&gt;=$C$1),'General Inputs'!F$9*$H80,IF(AND(($D80+$C$1)&gt;AI$4,AI$4&gt;=$C$1),'General Inputs'!F$9*$G80,0))+IF(AND(($E80+$C$1)&gt;AI$4,AI$4&gt;=$C$1),'General Inputs'!F$10*$J80,IF(AND(($D80+$C$1)&gt;AI$4,AI$4&gt;=$C$1),'General Inputs'!F$10*$I80,0))</f>
        <v>151.28396195799147</v>
      </c>
      <c r="AJ80" s="214">
        <f>IF(AND(($E80+$C$1)&gt;AJ$4,AJ$4&gt;=$C$1),'General Inputs'!G$9*$H80,IF(AND(($D80+$C$1)&gt;AJ$4,AJ$4&gt;=$C$1),'General Inputs'!G$9*$G80,0))+IF(AND(($E80+$C$1)&gt;AJ$4,AJ$4&gt;=$C$1),'General Inputs'!G$10*$J80,IF(AND(($D80+$C$1)&gt;AJ$4,AJ$4&gt;=$C$1),'General Inputs'!G$10*$I80,0))</f>
        <v>153.55322138736133</v>
      </c>
      <c r="AK80" s="214">
        <f>IF(AND(($E80+$C$1)&gt;AK$4,AK$4&gt;=$C$1),'General Inputs'!H$9*$H80,IF(AND(($D80+$C$1)&gt;AK$4,AK$4&gt;=$C$1),'General Inputs'!H$9*$G80,0))+IF(AND(($E80+$C$1)&gt;AK$4,AK$4&gt;=$C$1),'General Inputs'!H$10*$J80,IF(AND(($D80+$C$1)&gt;AK$4,AK$4&gt;=$C$1),'General Inputs'!H$10*$I80,0))</f>
        <v>155.85651970817173</v>
      </c>
      <c r="AL80" s="214">
        <f>IF(AND(($E80+$C$1)&gt;AL$4,AL$4&gt;=$C$1),'General Inputs'!I$9*$H80,IF(AND(($D80+$C$1)&gt;AL$4,AL$4&gt;=$C$1),'General Inputs'!I$9*$G80,0))+IF(AND(($E80+$C$1)&gt;AL$4,AL$4&gt;=$C$1),'General Inputs'!I$10*$J80,IF(AND(($D80+$C$1)&gt;AL$4,AL$4&gt;=$C$1),'General Inputs'!I$10*$I80,0))</f>
        <v>158.19436750379427</v>
      </c>
      <c r="AM80" s="214">
        <f>IF(AND(($E80+$C$1)&gt;AM$4,AM$4&gt;=$C$1),'General Inputs'!J$9*$H80,IF(AND(($D80+$C$1)&gt;AM$4,AM$4&gt;=$C$1),'General Inputs'!J$9*$G80,0))+IF(AND(($E80+$C$1)&gt;AM$4,AM$4&gt;=$C$1),'General Inputs'!J$10*$J80,IF(AND(($D80+$C$1)&gt;AM$4,AM$4&gt;=$C$1),'General Inputs'!J$10*$I80,0))</f>
        <v>160.56728301635118</v>
      </c>
      <c r="AN80" s="214">
        <f>IF(AND(($E80+$C$1)&gt;AN$4,AN$4&gt;=$C$1),'General Inputs'!K$9*$H80,IF(AND(($D80+$C$1)&gt;AN$4,AN$4&gt;=$C$1),'General Inputs'!K$9*$G80,0))+IF(AND(($E80+$C$1)&gt;AN$4,AN$4&gt;=$C$1),'General Inputs'!K$10*$J80,IF(AND(($D80+$C$1)&gt;AN$4,AN$4&gt;=$C$1),'General Inputs'!K$10*$I80,0))</f>
        <v>162.97579226159644</v>
      </c>
      <c r="AO80" s="214">
        <f>IF(AND(($E80+$C$1)&gt;AO$4,AO$4&gt;=$C$1),'General Inputs'!L$9*$H80,IF(AND(($D80+$C$1)&gt;AO$4,AO$4&gt;=$C$1),'General Inputs'!L$9*$G80,0))+IF(AND(($E80+$C$1)&gt;AO$4,AO$4&gt;=$C$1),'General Inputs'!L$10*$J80,IF(AND(($D80+$C$1)&gt;AO$4,AO$4&gt;=$C$1),'General Inputs'!L$10*$I80,0))</f>
        <v>165.42042914552036</v>
      </c>
      <c r="AP80" s="214">
        <f>IF(AND(($E80+$C$1)&gt;AP$4,AP$4&gt;=$C$1),'General Inputs'!M$9*$H80,IF(AND(($D80+$C$1)&gt;AP$4,AP$4&gt;=$C$1),'General Inputs'!M$9*$G80,0))+IF(AND(($E80+$C$1)&gt;AP$4,AP$4&gt;=$C$1),'General Inputs'!M$10*$J80,IF(AND(($D80+$C$1)&gt;AP$4,AP$4&gt;=$C$1),'General Inputs'!M$10*$I80,0))</f>
        <v>167.90173558270314</v>
      </c>
      <c r="AQ80" s="214">
        <f>IF(AND(($E80+$C$1)&gt;AQ$4,AQ$4&gt;=$C$1),'General Inputs'!N$9*$H80,IF(AND(($D80+$C$1)&gt;AQ$4,AQ$4&gt;=$C$1),'General Inputs'!N$9*$G80,0))+IF(AND(($E80+$C$1)&gt;AQ$4,AQ$4&gt;=$C$1),'General Inputs'!N$10*$J80,IF(AND(($D80+$C$1)&gt;AQ$4,AQ$4&gt;=$C$1),'General Inputs'!N$10*$I80,0))</f>
        <v>170.42026161644367</v>
      </c>
      <c r="AR80" s="214">
        <f>IF(AND(($E80+$C$1)&gt;AR$4,AR$4&gt;=$C$1),'General Inputs'!O$9*$H80,IF(AND(($D80+$C$1)&gt;AR$4,AR$4&gt;=$C$1),'General Inputs'!O$9*$G80,0))+IF(AND(($E80+$C$1)&gt;AR$4,AR$4&gt;=$C$1),'General Inputs'!O$10*$J80,IF(AND(($D80+$C$1)&gt;AR$4,AR$4&gt;=$C$1),'General Inputs'!O$10*$I80,0))</f>
        <v>172.9765655406903</v>
      </c>
      <c r="AS80" s="214">
        <f>IF(AND(($E80+$C$1)&gt;AS$4,AS$4&gt;=$C$1),'General Inputs'!P$9*$H80,IF(AND(($D80+$C$1)&gt;AS$4,AS$4&gt;=$C$1),'General Inputs'!P$9*$G80,0))+IF(AND(($E80+$C$1)&gt;AS$4,AS$4&gt;=$C$1),'General Inputs'!P$10*$J80,IF(AND(($D80+$C$1)&gt;AS$4,AS$4&gt;=$C$1),'General Inputs'!P$10*$I80,0))</f>
        <v>0</v>
      </c>
      <c r="AT80" s="214">
        <f>IF(AND(($E80+$C$1)&gt;AT$4,AT$4&gt;=$C$1),'General Inputs'!Q$9*$H80,IF(AND(($D80+$C$1)&gt;AT$4,AT$4&gt;=$C$1),'General Inputs'!Q$9*$G80,0))+IF(AND(($E80+$C$1)&gt;AT$4,AT$4&gt;=$C$1),'General Inputs'!Q$10*$J80,IF(AND(($D80+$C$1)&gt;AT$4,AT$4&gt;=$C$1),'General Inputs'!Q$10*$I80,0))</f>
        <v>0</v>
      </c>
      <c r="AU80" s="214">
        <f>IF(AND(($E80+$C$1)&gt;AU$4,AU$4&gt;=$C$1),'General Inputs'!R$9*$H80,IF(AND(($D80+$C$1)&gt;AU$4,AU$4&gt;=$C$1),'General Inputs'!R$9*$G80,0))+IF(AND(($E80+$C$1)&gt;AU$4,AU$4&gt;=$C$1),'General Inputs'!R$10*$J80,IF(AND(($D80+$C$1)&gt;AU$4,AU$4&gt;=$C$1),'General Inputs'!R$10*$I80,0))</f>
        <v>0</v>
      </c>
      <c r="AV80" s="214">
        <f>IF(AND(($E80+$C$1)&gt;AV$4,AV$4&gt;=$C$1),'General Inputs'!S$9*$H80,IF(AND(($D80+$C$1)&gt;AV$4,AV$4&gt;=$C$1),'General Inputs'!S$9*$G80,0))+IF(AND(($E80+$C$1)&gt;AV$4,AV$4&gt;=$C$1),'General Inputs'!S$10*$J80,IF(AND(($D80+$C$1)&gt;AV$4,AV$4&gt;=$C$1),'General Inputs'!S$10*$I80,0))</f>
        <v>0</v>
      </c>
      <c r="AW80" s="214">
        <f>IF(AND(($E80+$C$1)&gt;AW$4,AW$4&gt;=$C$1),'General Inputs'!T$9*$H80,IF(AND(($D80+$C$1)&gt;AW$4,AW$4&gt;=$C$1),'General Inputs'!T$9*$G80,0))+IF(AND(($E80+$C$1)&gt;AW$4,AW$4&gt;=$C$1),'General Inputs'!T$10*$J80,IF(AND(($D80+$C$1)&gt;AW$4,AW$4&gt;=$C$1),'General Inputs'!T$10*$I80,0))</f>
        <v>0</v>
      </c>
      <c r="AX80" s="214">
        <f>IF(AND(($E80+$C$1)&gt;AX$4,AX$4&gt;=$C$1),'General Inputs'!U$9*$H80,IF(AND(($D80+$C$1)&gt;AX$4,AX$4&gt;=$C$1),'General Inputs'!U$9*$G80,0))+IF(AND(($E80+$C$1)&gt;AX$4,AX$4&gt;=$C$1),'General Inputs'!U$10*$J80,IF(AND(($D80+$C$1)&gt;AX$4,AX$4&gt;=$C$1),'General Inputs'!U$10*$I80,0))</f>
        <v>0</v>
      </c>
      <c r="AY80" s="214">
        <f>IF(AND(($E80+$C$1)&gt;AY$4,AY$4&gt;=$C$1),'General Inputs'!V$9*$H80,IF(AND(($D80+$C$1)&gt;AY$4,AY$4&gt;=$C$1),'General Inputs'!V$9*$G80,0))+IF(AND(($E80+$C$1)&gt;AY$4,AY$4&gt;=$C$1),'General Inputs'!V$10*$J80,IF(AND(($D80+$C$1)&gt;AY$4,AY$4&gt;=$C$1),'General Inputs'!V$10*$I80,0))</f>
        <v>0</v>
      </c>
      <c r="AZ80" s="214">
        <f>IF(AND(($E80+$C$1)&gt;AZ$4,AZ$4&gt;=$C$1),'General Inputs'!W$9*$H80,IF(AND(($D80+$C$1)&gt;AZ$4,AZ$4&gt;=$C$1),'General Inputs'!W$9*$G80,0))+IF(AND(($E80+$C$1)&gt;AZ$4,AZ$4&gt;=$C$1),'General Inputs'!W$10*$J80,IF(AND(($D80+$C$1)&gt;AZ$4,AZ$4&gt;=$C$1),'General Inputs'!W$10*$I80,0))</f>
        <v>0</v>
      </c>
      <c r="BB80" s="214">
        <f>IF(AND(($E80+$C$1)&gt;BB$4,BB$4&gt;=$C$1),'General Inputs'!D$11*$H80,IF(AND(($D80+$C$1)&gt;BB$4,BB$4&gt;=$C$1),'General Inputs'!D$11*$G80,0))</f>
        <v>0</v>
      </c>
      <c r="BC80" s="214">
        <f>IF(AND(($E80+$C$1)&gt;BC$4,BC$4&gt;=$C$1),'General Inputs'!E$11*$H80,IF(AND(($D80+$C$1)&gt;BC$4,BC$4&gt;=$C$1),'General Inputs'!E$11*$G80,0))</f>
        <v>0</v>
      </c>
      <c r="BD80" s="214">
        <f>IF(AND(($E80+$C$1)&gt;BD$4,BD$4&gt;=$C$1),'General Inputs'!F$11*$H80,IF(AND(($D80+$C$1)&gt;BD$4,BD$4&gt;=$C$1),'General Inputs'!F$11*$G80,0))</f>
        <v>39.737262149999999</v>
      </c>
      <c r="BE80" s="214">
        <f>IF(AND(($E80+$C$1)&gt;BE$4,BE$4&gt;=$C$1),'General Inputs'!G$11*$H80,IF(AND(($D80+$C$1)&gt;BE$4,BE$4&gt;=$C$1),'General Inputs'!G$11*$G80,0))</f>
        <v>39.737262149999999</v>
      </c>
      <c r="BF80" s="214">
        <f>IF(AND(($E80+$C$1)&gt;BF$4,BF$4&gt;=$C$1),'General Inputs'!H$11*$H80,IF(AND(($D80+$C$1)&gt;BF$4,BF$4&gt;=$C$1),'General Inputs'!H$11*$G80,0))</f>
        <v>39.737262149999999</v>
      </c>
      <c r="BG80" s="214">
        <f>IF(AND(($E80+$C$1)&gt;BG$4,BG$4&gt;=$C$1),'General Inputs'!I$11*$H80,IF(AND(($D80+$C$1)&gt;BG$4,BG$4&gt;=$C$1),'General Inputs'!I$11*$G80,0))</f>
        <v>39.737262149999999</v>
      </c>
      <c r="BH80" s="214">
        <f>IF(AND(($E80+$C$1)&gt;BH$4,BH$4&gt;=$C$1),'General Inputs'!J$11*$H80,IF(AND(($D80+$C$1)&gt;BH$4,BH$4&gt;=$C$1),'General Inputs'!J$11*$G80,0))</f>
        <v>39.737262149999999</v>
      </c>
      <c r="BI80" s="214">
        <f>IF(AND(($E80+$C$1)&gt;BI$4,BI$4&gt;=$C$1),'General Inputs'!K$11*$H80,IF(AND(($D80+$C$1)&gt;BI$4,BI$4&gt;=$C$1),'General Inputs'!K$11*$G80,0))</f>
        <v>39.737262149999999</v>
      </c>
      <c r="BJ80" s="214">
        <f>IF(AND(($E80+$C$1)&gt;BJ$4,BJ$4&gt;=$C$1),'General Inputs'!L$11*$H80,IF(AND(($D80+$C$1)&gt;BJ$4,BJ$4&gt;=$C$1),'General Inputs'!L$11*$G80,0))</f>
        <v>39.737262149999999</v>
      </c>
      <c r="BK80" s="214">
        <f>IF(AND(($E80+$C$1)&gt;BK$4,BK$4&gt;=$C$1),'General Inputs'!M$11*$H80,IF(AND(($D80+$C$1)&gt;BK$4,BK$4&gt;=$C$1),'General Inputs'!M$11*$G80,0))</f>
        <v>39.737262149999999</v>
      </c>
      <c r="BL80" s="214">
        <f>IF(AND(($E80+$C$1)&gt;BL$4,BL$4&gt;=$C$1),'General Inputs'!N$11*$H80,IF(AND(($D80+$C$1)&gt;BL$4,BL$4&gt;=$C$1),'General Inputs'!N$11*$G80,0))</f>
        <v>39.737262149999999</v>
      </c>
      <c r="BM80" s="214">
        <f>IF(AND(($E80+$C$1)&gt;BM$4,BM$4&gt;=$C$1),'General Inputs'!O$11*$H80,IF(AND(($D80+$C$1)&gt;BM$4,BM$4&gt;=$C$1),'General Inputs'!O$11*$G80,0))</f>
        <v>39.737262149999999</v>
      </c>
      <c r="BN80" s="214">
        <f>IF(AND(($E80+$C$1)&gt;BN$4,BN$4&gt;=$C$1),'General Inputs'!P$11*$H80,IF(AND(($D80+$C$1)&gt;BN$4,BN$4&gt;=$C$1),'General Inputs'!P$11*$G80,0))</f>
        <v>0</v>
      </c>
      <c r="BO80" s="214">
        <f>IF(AND(($E80+$C$1)&gt;BO$4,BO$4&gt;=$C$1),'General Inputs'!Q$11*$H80,IF(AND(($D80+$C$1)&gt;BO$4,BO$4&gt;=$C$1),'General Inputs'!Q$11*$G80,0))</f>
        <v>0</v>
      </c>
      <c r="BP80" s="214">
        <f>IF(AND(($E80+$C$1)&gt;BP$4,BP$4&gt;=$C$1),'General Inputs'!R$11*$H80,IF(AND(($D80+$C$1)&gt;BP$4,BP$4&gt;=$C$1),'General Inputs'!R$11*$G80,0))</f>
        <v>0</v>
      </c>
      <c r="BQ80" s="214">
        <f>IF(AND(($E80+$C$1)&gt;BQ$4,BQ$4&gt;=$C$1),'General Inputs'!S$11*$H80,IF(AND(($D80+$C$1)&gt;BQ$4,BQ$4&gt;=$C$1),'General Inputs'!S$11*$G80,0))</f>
        <v>0</v>
      </c>
      <c r="BR80" s="214">
        <f>IF(AND(($E80+$C$1)&gt;BR$4,BR$4&gt;=$C$1),'General Inputs'!T$11*$H80,IF(AND(($D80+$C$1)&gt;BR$4,BR$4&gt;=$C$1),'General Inputs'!T$11*$G80,0))</f>
        <v>0</v>
      </c>
      <c r="BS80" s="214">
        <f>IF(AND(($E80+$C$1)&gt;BS$4,BS$4&gt;=$C$1),'General Inputs'!U$11*$H80,IF(AND(($D80+$C$1)&gt;BS$4,BS$4&gt;=$C$1),'General Inputs'!U$11*$G80,0))</f>
        <v>0</v>
      </c>
      <c r="BT80" s="214">
        <f>IF(AND(($E80+$C$1)&gt;BT$4,BT$4&gt;=$C$1),'General Inputs'!V$11*$H80,IF(AND(($D80+$C$1)&gt;BT$4,BT$4&gt;=$C$1),'General Inputs'!V$11*$G80,0))</f>
        <v>0</v>
      </c>
      <c r="BU80" s="214">
        <f>IF(AND(($E80+$C$1)&gt;BU$4,BU$4&gt;=$C$1),'General Inputs'!W$11*$H80,IF(AND(($D80+$C$1)&gt;BU$4,BU$4&gt;=$C$1),'General Inputs'!W$11*$G80,0))</f>
        <v>0</v>
      </c>
      <c r="BW80" s="214">
        <f>IF(AND(($E80+$C$1)&gt;BW$4,BW$4&gt;=$C$1),$H80,IF(AND(($D80+$C$1)&gt;BW$4,BW$4&gt;=$C$1),$G80,0))*IF($A80="Residential",'General Inputs'!D$14,'General Inputs'!D$19)</f>
        <v>0</v>
      </c>
      <c r="BX80" s="214">
        <f>IF(AND(($E80+$C$1)&gt;BX$4,BX$4&gt;=$C$1),$H80,IF(AND(($D80+$C$1)&gt;BX$4,BX$4&gt;=$C$1),$G80,0))*IF($A80="Residential",'General Inputs'!E$14,'General Inputs'!E$19)</f>
        <v>0</v>
      </c>
      <c r="BY80" s="214">
        <f>IF(AND(($E80+$C$1)&gt;BY$4,BY$4&gt;=$C$1),$H80,IF(AND(($D80+$C$1)&gt;BY$4,BY$4&gt;=$C$1),$G80,0))*IF($A80="Residential",'General Inputs'!F$14,'General Inputs'!F$19)</f>
        <v>375.14889335030335</v>
      </c>
      <c r="BZ80" s="214">
        <f>IF(AND(($E80+$C$1)&gt;BZ$4,BZ$4&gt;=$C$1),$H80,IF(AND(($D80+$C$1)&gt;BZ$4,BZ$4&gt;=$C$1),$G80,0))*IF($A80="Residential",'General Inputs'!G$14,'General Inputs'!G$19)</f>
        <v>380.77612675055786</v>
      </c>
      <c r="CA80" s="214">
        <f>IF(AND(($E80+$C$1)&gt;CA$4,CA$4&gt;=$C$1),$H80,IF(AND(($D80+$C$1)&gt;CA$4,CA$4&gt;=$C$1),$G80,0))*IF($A80="Residential",'General Inputs'!H$14,'General Inputs'!H$19)</f>
        <v>386.48776865181617</v>
      </c>
      <c r="CB80" s="214">
        <f>IF(AND(($E80+$C$1)&gt;CB$4,CB$4&gt;=$C$1),$H80,IF(AND(($D80+$C$1)&gt;CB$4,CB$4&gt;=$C$1),$G80,0))*IF($A80="Residential",'General Inputs'!I$14,'General Inputs'!I$19)</f>
        <v>392.28508518159333</v>
      </c>
      <c r="CC80" s="214">
        <f>IF(AND(($E80+$C$1)&gt;CC$4,CC$4&gt;=$C$1),$H80,IF(AND(($D80+$C$1)&gt;CC$4,CC$4&gt;=$C$1),$G80,0))*IF($A80="Residential",'General Inputs'!J$14,'General Inputs'!J$19)</f>
        <v>398.16936145931726</v>
      </c>
      <c r="CD80" s="214">
        <f>IF(AND(($E80+$C$1)&gt;CD$4,CD$4&gt;=$C$1),$H80,IF(AND(($D80+$C$1)&gt;CD$4,CD$4&gt;=$C$1),$G80,0))*IF($A80="Residential",'General Inputs'!K$14,'General Inputs'!K$19)</f>
        <v>404.14190188120693</v>
      </c>
      <c r="CE80" s="214">
        <f>IF(AND(($E80+$C$1)&gt;CE$4,CE$4&gt;=$C$1),$H80,IF(AND(($D80+$C$1)&gt;CE$4,CE$4&gt;=$C$1),$G80,0))*IF($A80="Residential",'General Inputs'!L$14,'General Inputs'!L$19)</f>
        <v>410.204030409425</v>
      </c>
      <c r="CF80" s="214">
        <f>IF(AND(($E80+$C$1)&gt;CF$4,CF$4&gt;=$C$1),$H80,IF(AND(($D80+$C$1)&gt;CF$4,CF$4&gt;=$C$1),$G80,0))*IF($A80="Residential",'General Inputs'!M$14,'General Inputs'!M$19)</f>
        <v>416.35709086556636</v>
      </c>
      <c r="CG80" s="214">
        <f>IF(AND(($E80+$C$1)&gt;CG$4,CG$4&gt;=$C$1),$H80,IF(AND(($D80+$C$1)&gt;CG$4,CG$4&gt;=$C$1),$G80,0))*IF($A80="Residential",'General Inputs'!N$14,'General Inputs'!N$19)</f>
        <v>422.60244722854981</v>
      </c>
      <c r="CH80" s="214">
        <f>IF(AND(($E80+$C$1)&gt;CH$4,CH$4&gt;=$C$1),$H80,IF(AND(($D80+$C$1)&gt;CH$4,CH$4&gt;=$C$1),$G80,0))*IF($A80="Residential",'General Inputs'!O$14,'General Inputs'!O$19)</f>
        <v>428.94148393697799</v>
      </c>
      <c r="CI80" s="214">
        <f>IF(AND(($E80+$C$1)&gt;CI$4,CI$4&gt;=$C$1),$H80,IF(AND(($D80+$C$1)&gt;CI$4,CI$4&gt;=$C$1),$G80,0))*IF($A80="Residential",'General Inputs'!P$14,'General Inputs'!P$19)</f>
        <v>0</v>
      </c>
      <c r="CJ80" s="214">
        <f>IF(AND(($E80+$C$1)&gt;CJ$4,CJ$4&gt;=$C$1),$H80,IF(AND(($D80+$C$1)&gt;CJ$4,CJ$4&gt;=$C$1),$G80,0))*IF($A80="Residential",'General Inputs'!Q$14,'General Inputs'!Q$19)</f>
        <v>0</v>
      </c>
      <c r="CK80" s="214">
        <f>IF(AND(($E80+$C$1)&gt;CK$4,CK$4&gt;=$C$1),$H80,IF(AND(($D80+$C$1)&gt;CK$4,CK$4&gt;=$C$1),$G80,0))*IF($A80="Residential",'General Inputs'!R$14,'General Inputs'!R$19)</f>
        <v>0</v>
      </c>
      <c r="CL80" s="214">
        <f>IF(AND(($E80+$C$1)&gt;CL$4,CL$4&gt;=$C$1),$H80,IF(AND(($D80+$C$1)&gt;CL$4,CL$4&gt;=$C$1),$G80,0))*IF($A80="Residential",'General Inputs'!S$14,'General Inputs'!S$19)</f>
        <v>0</v>
      </c>
      <c r="CM80" s="214">
        <f>IF(AND(($E80+$C$1)&gt;CM$4,CM$4&gt;=$C$1),$H80,IF(AND(($D80+$C$1)&gt;CM$4,CM$4&gt;=$C$1),$G80,0))*IF($A80="Residential",'General Inputs'!T$14,'General Inputs'!T$19)</f>
        <v>0</v>
      </c>
      <c r="CN80" s="214">
        <f>IF(AND(($E80+$C$1)&gt;CN$4,CN$4&gt;=$C$1),$H80,IF(AND(($D80+$C$1)&gt;CN$4,CN$4&gt;=$C$1),$G80,0))*IF($A80="Residential",'General Inputs'!U$14,'General Inputs'!U$19)</f>
        <v>0</v>
      </c>
      <c r="CO80" s="214">
        <f>IF(AND(($E80+$C$1)&gt;CO$4,CO$4&gt;=$C$1),$H80,IF(AND(($D80+$C$1)&gt;CO$4,CO$4&gt;=$C$1),$G80,0))*IF($A80="Residential",'General Inputs'!V$14,'General Inputs'!V$19)</f>
        <v>0</v>
      </c>
      <c r="CP80" s="214">
        <f>IF(AND(($E80+$C$1)&gt;CP$4,CP$4&gt;=$C$1),$H80,IF(AND(($D80+$C$1)&gt;CP$4,CP$4&gt;=$C$1),$G80,0))*IF($A80="Residential",'General Inputs'!W$14,'General Inputs'!W$19)</f>
        <v>0</v>
      </c>
      <c r="CR80" s="214">
        <f>IF(AND(($E80+$C$1)&gt;CR$4,CR$4&gt;=$C$1),$H80,IF(AND(($D80+$C$1)&gt;CR$4,CR$4&gt;=$C$1),$G80,0))*IF($A80="Residential",'General Inputs'!D$15,'General Inputs'!D$19)</f>
        <v>0</v>
      </c>
      <c r="CS80" s="214">
        <f>IF(AND(($E80+$C$1)&gt;CS$4,CS$4&gt;=$C$1),$H80,IF(AND(($D80+$C$1)&gt;CS$4,CS$4&gt;=$C$1),$G80,0))*IF($A80="Residential",'General Inputs'!E$15,'General Inputs'!E$19)</f>
        <v>0</v>
      </c>
      <c r="CT80" s="214">
        <f>IF(AND(($E80+$C$1)&gt;CT$4,CT$4&gt;=$C$1),$H80,IF(AND(($D80+$C$1)&gt;CT$4,CT$4&gt;=$C$1),$G80,0))*IF($A80="Residential",'General Inputs'!F$15,'General Inputs'!F$19)</f>
        <v>375.14889335030335</v>
      </c>
      <c r="CU80" s="214">
        <f>IF(AND(($E80+$C$1)&gt;CU$4,CU$4&gt;=$C$1),$H80,IF(AND(($D80+$C$1)&gt;CU$4,CU$4&gt;=$C$1),$G80,0))*IF($A80="Residential",'General Inputs'!G$15,'General Inputs'!G$19)</f>
        <v>380.77612675055786</v>
      </c>
      <c r="CV80" s="214">
        <f>IF(AND(($E80+$C$1)&gt;CV$4,CV$4&gt;=$C$1),$H80,IF(AND(($D80+$C$1)&gt;CV$4,CV$4&gt;=$C$1),$G80,0))*IF($A80="Residential",'General Inputs'!H$15,'General Inputs'!H$19)</f>
        <v>386.48776865181617</v>
      </c>
      <c r="CW80" s="214">
        <f>IF(AND(($E80+$C$1)&gt;CW$4,CW$4&gt;=$C$1),$H80,IF(AND(($D80+$C$1)&gt;CW$4,CW$4&gt;=$C$1),$G80,0))*IF($A80="Residential",'General Inputs'!I$15,'General Inputs'!I$19)</f>
        <v>392.28508518159333</v>
      </c>
      <c r="CX80" s="214">
        <f>IF(AND(($E80+$C$1)&gt;CX$4,CX$4&gt;=$C$1),$H80,IF(AND(($D80+$C$1)&gt;CX$4,CX$4&gt;=$C$1),$G80,0))*IF($A80="Residential",'General Inputs'!J$15,'General Inputs'!J$19)</f>
        <v>398.16936145931726</v>
      </c>
      <c r="CY80" s="214">
        <f>IF(AND(($E80+$C$1)&gt;CY$4,CY$4&gt;=$C$1),$H80,IF(AND(($D80+$C$1)&gt;CY$4,CY$4&gt;=$C$1),$G80,0))*IF($A80="Residential",'General Inputs'!K$15,'General Inputs'!K$19)</f>
        <v>404.14190188120693</v>
      </c>
      <c r="CZ80" s="214">
        <f>IF(AND(($E80+$C$1)&gt;CZ$4,CZ$4&gt;=$C$1),$H80,IF(AND(($D80+$C$1)&gt;CZ$4,CZ$4&gt;=$C$1),$G80,0))*IF($A80="Residential",'General Inputs'!L$15,'General Inputs'!L$19)</f>
        <v>410.204030409425</v>
      </c>
      <c r="DA80" s="214">
        <f>IF(AND(($E80+$C$1)&gt;DA$4,DA$4&gt;=$C$1),$H80,IF(AND(($D80+$C$1)&gt;DA$4,DA$4&gt;=$C$1),$G80,0))*IF($A80="Residential",'General Inputs'!M$15,'General Inputs'!M$19)</f>
        <v>416.35709086556636</v>
      </c>
      <c r="DB80" s="214">
        <f>IF(AND(($E80+$C$1)&gt;DB$4,DB$4&gt;=$C$1),$H80,IF(AND(($D80+$C$1)&gt;DB$4,DB$4&gt;=$C$1),$G80,0))*IF($A80="Residential",'General Inputs'!N$15,'General Inputs'!N$19)</f>
        <v>422.60244722854981</v>
      </c>
      <c r="DC80" s="214">
        <f>IF(AND(($E80+$C$1)&gt;DC$4,DC$4&gt;=$C$1),$H80,IF(AND(($D80+$C$1)&gt;DC$4,DC$4&gt;=$C$1),$G80,0))*IF($A80="Residential",'General Inputs'!O$15,'General Inputs'!O$19)</f>
        <v>428.94148393697799</v>
      </c>
      <c r="DD80" s="214">
        <f>IF(AND(($E80+$C$1)&gt;DD$4,DD$4&gt;=$C$1),$H80,IF(AND(($D80+$C$1)&gt;DD$4,DD$4&gt;=$C$1),$G80,0))*IF($A80="Residential",'General Inputs'!P$15,'General Inputs'!P$19)</f>
        <v>0</v>
      </c>
      <c r="DE80" s="214">
        <f>IF(AND(($E80+$C$1)&gt;DE$4,DE$4&gt;=$C$1),$H80,IF(AND(($D80+$C$1)&gt;DE$4,DE$4&gt;=$C$1),$G80,0))*IF($A80="Residential",'General Inputs'!Q$15,'General Inputs'!Q$19)</f>
        <v>0</v>
      </c>
      <c r="DF80" s="214">
        <f>IF(AND(($E80+$C$1)&gt;DF$4,DF$4&gt;=$C$1),$H80,IF(AND(($D80+$C$1)&gt;DF$4,DF$4&gt;=$C$1),$G80,0))*IF($A80="Residential",'General Inputs'!R$15,'General Inputs'!R$19)</f>
        <v>0</v>
      </c>
      <c r="DG80" s="214">
        <f>IF(AND(($E80+$C$1)&gt;DG$4,DG$4&gt;=$C$1),$H80,IF(AND(($D80+$C$1)&gt;DG$4,DG$4&gt;=$C$1),$G80,0))*IF($A80="Residential",'General Inputs'!S$15,'General Inputs'!S$19)</f>
        <v>0</v>
      </c>
      <c r="DH80" s="214">
        <f>IF(AND(($E80+$C$1)&gt;DH$4,DH$4&gt;=$C$1),$H80,IF(AND(($D80+$C$1)&gt;DH$4,DH$4&gt;=$C$1),$G80,0))*IF($A80="Residential",'General Inputs'!T$15,'General Inputs'!T$19)</f>
        <v>0</v>
      </c>
      <c r="DI80" s="214">
        <f>IF(AND(($E80+$C$1)&gt;DI$4,DI$4&gt;=$C$1),$H80,IF(AND(($D80+$C$1)&gt;DI$4,DI$4&gt;=$C$1),$G80,0))*IF($A80="Residential",'General Inputs'!U$15,'General Inputs'!U$19)</f>
        <v>0</v>
      </c>
      <c r="DJ80" s="214">
        <f>IF(AND(($E80+$C$1)&gt;DJ$4,DJ$4&gt;=$C$1),$H80,IF(AND(($D80+$C$1)&gt;DJ$4,DJ$4&gt;=$C$1),$G80,0))*IF($A80="Residential",'General Inputs'!V$15,'General Inputs'!V$19)</f>
        <v>0</v>
      </c>
      <c r="DK80" s="214">
        <f>IF(AND(($E80+$C$1)&gt;DK$4,DK$4&gt;=$C$1),$H80,IF(AND(($D80+$C$1)&gt;DK$4,DK$4&gt;=$C$1),$G80,0))*IF($A80="Residential",'General Inputs'!W$15,'General Inputs'!W$19)</f>
        <v>0</v>
      </c>
      <c r="DM80" s="214">
        <f t="shared" si="100"/>
        <v>0</v>
      </c>
      <c r="DN80" s="214">
        <f t="shared" si="100"/>
        <v>0</v>
      </c>
      <c r="DO80" s="214">
        <f t="shared" si="100"/>
        <v>390</v>
      </c>
      <c r="DP80" s="214">
        <f t="shared" si="100"/>
        <v>0</v>
      </c>
      <c r="DQ80" s="214">
        <f t="shared" si="100"/>
        <v>0</v>
      </c>
      <c r="DR80" s="214">
        <f t="shared" si="100"/>
        <v>0</v>
      </c>
      <c r="DS80" s="214">
        <f t="shared" si="100"/>
        <v>0</v>
      </c>
      <c r="DT80" s="214">
        <f t="shared" si="100"/>
        <v>0</v>
      </c>
      <c r="DU80" s="214">
        <f t="shared" si="100"/>
        <v>0</v>
      </c>
      <c r="DV80" s="214">
        <f t="shared" si="100"/>
        <v>0</v>
      </c>
      <c r="DW80" s="214">
        <f t="shared" si="100"/>
        <v>0</v>
      </c>
      <c r="DZ80" s="650"/>
      <c r="FI80" s="195"/>
      <c r="FJ80" s="195"/>
      <c r="FK80" s="195"/>
      <c r="FL80" s="195"/>
      <c r="FM80" s="195"/>
      <c r="FN80" s="195"/>
      <c r="FO80" s="195"/>
    </row>
    <row r="81" spans="1:171">
      <c r="A81" s="342" t="s">
        <v>112</v>
      </c>
      <c r="B81" s="427" t="str">
        <f>'Portfolio Inputs'!A80</f>
        <v>LED Linear Replacement Lamp (≤4ft)</v>
      </c>
      <c r="C81" s="217">
        <f>IF($C$1=2014,'Portfolio Inputs'!$C80,IF($C$1=2015,'Portfolio Inputs'!$D80,'Portfolio Inputs'!$E80))</f>
        <v>3</v>
      </c>
      <c r="D81" s="504">
        <f>VLOOKUP(B81,Sources!$B$4:$J$104,2,FALSE)</f>
        <v>16</v>
      </c>
      <c r="E81" s="504">
        <f>VLOOKUP(B81,Sources!$B$4:$J$104,3,FALSE)</f>
        <v>0</v>
      </c>
      <c r="G81" s="504">
        <f>IF($C$1=2014,'Portfolio Inputs'!$G80,IF($C$1=2015,'Portfolio Inputs'!$H80,'Portfolio Inputs'!$I80))*EnergyLineLoss</f>
        <v>784.28806874999987</v>
      </c>
      <c r="H81" s="504"/>
      <c r="I81" s="595">
        <f>IF($C$1=2014,'Portfolio Inputs'!$K80,IF($C$1=2015,'Portfolio Inputs'!$L80,'Portfolio Inputs'!$M80))*PeakLineLoss</f>
        <v>0.12127401000000002</v>
      </c>
      <c r="J81" s="510"/>
      <c r="L81" s="606">
        <f>IF($C$1=2014,'Portfolio Inputs'!$O80,IF($C$1=2015,'Portfolio Inputs'!$P80,'Portfolio Inputs'!$Q80))</f>
        <v>9.5</v>
      </c>
      <c r="M81" s="518">
        <f>VLOOKUP($B81,Sources!$B$4:$K$104,10,FALSE)</f>
        <v>0</v>
      </c>
      <c r="N81" s="419">
        <f>IF($C$1=2014,'Portfolio Inputs'!$W80,IF($C$1=2015,'Portfolio Inputs'!$X80,'Portfolio Inputs'!$Y80))</f>
        <v>75</v>
      </c>
      <c r="O81" s="419">
        <f>IF($C$1=2014,'Portfolio Inputs'!$AA80,IF($C$1=2015,'Portfolio Inputs'!$AB80,'Portfolio Inputs'!$AC80))</f>
        <v>0</v>
      </c>
      <c r="Q81" s="438">
        <f t="shared" si="67"/>
        <v>11.91505207265115</v>
      </c>
      <c r="R81" s="439">
        <f t="shared" si="68"/>
        <v>4.5277197876074364</v>
      </c>
      <c r="S81" s="439">
        <f t="shared" si="69"/>
        <v>14.781591265518337</v>
      </c>
      <c r="T81" s="439">
        <f t="shared" si="70"/>
        <v>32.178125332156547</v>
      </c>
      <c r="U81" s="439">
        <f t="shared" si="98"/>
        <v>32.178125332156547</v>
      </c>
      <c r="V81" s="439">
        <f t="shared" si="72"/>
        <v>0.37028422102465014</v>
      </c>
      <c r="W81" s="439">
        <f t="shared" si="73"/>
        <v>0.37028422102465014</v>
      </c>
      <c r="Y81" s="215">
        <f t="shared" si="101"/>
        <v>286.65778349926558</v>
      </c>
      <c r="Z81" s="215">
        <f t="shared" si="102"/>
        <v>68.964513653044094</v>
      </c>
      <c r="AA81" s="215">
        <f t="shared" si="103"/>
        <v>710.84435427373239</v>
      </c>
      <c r="AB81" s="215">
        <f t="shared" si="104"/>
        <v>710.84435427373239</v>
      </c>
      <c r="AC81" s="216">
        <f t="shared" si="20"/>
        <v>0</v>
      </c>
      <c r="AD81" s="216">
        <f t="shared" si="21"/>
        <v>63.311732383231892</v>
      </c>
      <c r="AE81" s="215">
        <f t="shared" si="105"/>
        <v>24.058458305628118</v>
      </c>
      <c r="AG81" s="214">
        <f>IF(AND(($E81+$C$1)&gt;AG$4,AG$4&gt;=$C$1),'General Inputs'!D$9*$H81,IF(AND(($D81+$C$1)&gt;AG$4,AG$4&gt;=$C$1),'General Inputs'!D$9*$G81,0))+IF(AND(($E81+$C$1)&gt;AG$4,AG$4&gt;=$C$1),'General Inputs'!D$10*$J81,IF(AND(($D81+$C$1)&gt;AG$4,AG$4&gt;=$C$1),'General Inputs'!D$10*$I81,0))</f>
        <v>0</v>
      </c>
      <c r="AH81" s="214">
        <f>IF(AND(($E81+$C$1)&gt;AH$4,AH$4&gt;=$C$1),'General Inputs'!E$9*$H81,IF(AND(($D81+$C$1)&gt;AH$4,AH$4&gt;=$C$1),'General Inputs'!E$9*$G81,0))+IF(AND(($E81+$C$1)&gt;AH$4,AH$4&gt;=$C$1),'General Inputs'!E$10*$J81,IF(AND(($D81+$C$1)&gt;AH$4,AH$4&gt;=$C$1),'General Inputs'!E$10*$I81,0))</f>
        <v>0</v>
      </c>
      <c r="AI81" s="214">
        <f>IF(AND(($E81+$C$1)&gt;AI$4,AI$4&gt;=$C$1),'General Inputs'!F$9*$H81,IF(AND(($D81+$C$1)&gt;AI$4,AI$4&gt;=$C$1),'General Inputs'!F$9*$G81,0))+IF(AND(($E81+$C$1)&gt;AI$4,AI$4&gt;=$C$1),'General Inputs'!F$10*$J81,IF(AND(($D81+$C$1)&gt;AI$4,AI$4&gt;=$C$1),'General Inputs'!F$10*$I81,0))</f>
        <v>34.038891440548078</v>
      </c>
      <c r="AJ81" s="214">
        <f>IF(AND(($E81+$C$1)&gt;AJ$4,AJ$4&gt;=$C$1),'General Inputs'!G$9*$H81,IF(AND(($D81+$C$1)&gt;AJ$4,AJ$4&gt;=$C$1),'General Inputs'!G$9*$G81,0))+IF(AND(($E81+$C$1)&gt;AJ$4,AJ$4&gt;=$C$1),'General Inputs'!G$10*$J81,IF(AND(($D81+$C$1)&gt;AJ$4,AJ$4&gt;=$C$1),'General Inputs'!G$10*$I81,0))</f>
        <v>34.549474812156298</v>
      </c>
      <c r="AK81" s="214">
        <f>IF(AND(($E81+$C$1)&gt;AK$4,AK$4&gt;=$C$1),'General Inputs'!H$9*$H81,IF(AND(($D81+$C$1)&gt;AK$4,AK$4&gt;=$C$1),'General Inputs'!H$9*$G81,0))+IF(AND(($E81+$C$1)&gt;AK$4,AK$4&gt;=$C$1),'General Inputs'!H$10*$J81,IF(AND(($D81+$C$1)&gt;AK$4,AK$4&gt;=$C$1),'General Inputs'!H$10*$I81,0))</f>
        <v>35.067716934338634</v>
      </c>
      <c r="AL81" s="214">
        <f>IF(AND(($E81+$C$1)&gt;AL$4,AL$4&gt;=$C$1),'General Inputs'!I$9*$H81,IF(AND(($D81+$C$1)&gt;AL$4,AL$4&gt;=$C$1),'General Inputs'!I$9*$G81,0))+IF(AND(($E81+$C$1)&gt;AL$4,AL$4&gt;=$C$1),'General Inputs'!I$10*$J81,IF(AND(($D81+$C$1)&gt;AL$4,AL$4&gt;=$C$1),'General Inputs'!I$10*$I81,0))</f>
        <v>35.593732688353711</v>
      </c>
      <c r="AM81" s="214">
        <f>IF(AND(($E81+$C$1)&gt;AM$4,AM$4&gt;=$C$1),'General Inputs'!J$9*$H81,IF(AND(($D81+$C$1)&gt;AM$4,AM$4&gt;=$C$1),'General Inputs'!J$9*$G81,0))+IF(AND(($E81+$C$1)&gt;AM$4,AM$4&gt;=$C$1),'General Inputs'!J$10*$J81,IF(AND(($D81+$C$1)&gt;AM$4,AM$4&gt;=$C$1),'General Inputs'!J$10*$I81,0))</f>
        <v>36.127638678679006</v>
      </c>
      <c r="AN81" s="214">
        <f>IF(AND(($E81+$C$1)&gt;AN$4,AN$4&gt;=$C$1),'General Inputs'!K$9*$H81,IF(AND(($D81+$C$1)&gt;AN$4,AN$4&gt;=$C$1),'General Inputs'!K$9*$G81,0))+IF(AND(($E81+$C$1)&gt;AN$4,AN$4&gt;=$C$1),'General Inputs'!K$10*$J81,IF(AND(($D81+$C$1)&gt;AN$4,AN$4&gt;=$C$1),'General Inputs'!K$10*$I81,0))</f>
        <v>36.669553258859189</v>
      </c>
      <c r="AO81" s="214">
        <f>IF(AND(($E81+$C$1)&gt;AO$4,AO$4&gt;=$C$1),'General Inputs'!L$9*$H81,IF(AND(($D81+$C$1)&gt;AO$4,AO$4&gt;=$C$1),'General Inputs'!L$9*$G81,0))+IF(AND(($E81+$C$1)&gt;AO$4,AO$4&gt;=$C$1),'General Inputs'!L$10*$J81,IF(AND(($D81+$C$1)&gt;AO$4,AO$4&gt;=$C$1),'General Inputs'!L$10*$I81,0))</f>
        <v>37.219596557742079</v>
      </c>
      <c r="AP81" s="214">
        <f>IF(AND(($E81+$C$1)&gt;AP$4,AP$4&gt;=$C$1),'General Inputs'!M$9*$H81,IF(AND(($D81+$C$1)&gt;AP$4,AP$4&gt;=$C$1),'General Inputs'!M$9*$G81,0))+IF(AND(($E81+$C$1)&gt;AP$4,AP$4&gt;=$C$1),'General Inputs'!M$10*$J81,IF(AND(($D81+$C$1)&gt;AP$4,AP$4&gt;=$C$1),'General Inputs'!M$10*$I81,0))</f>
        <v>37.7778905061082</v>
      </c>
      <c r="AQ81" s="214">
        <f>IF(AND(($E81+$C$1)&gt;AQ$4,AQ$4&gt;=$C$1),'General Inputs'!N$9*$H81,IF(AND(($D81+$C$1)&gt;AQ$4,AQ$4&gt;=$C$1),'General Inputs'!N$9*$G81,0))+IF(AND(($E81+$C$1)&gt;AQ$4,AQ$4&gt;=$C$1),'General Inputs'!N$10*$J81,IF(AND(($D81+$C$1)&gt;AQ$4,AQ$4&gt;=$C$1),'General Inputs'!N$10*$I81,0))</f>
        <v>38.344558863699817</v>
      </c>
      <c r="AR81" s="214">
        <f>IF(AND(($E81+$C$1)&gt;AR$4,AR$4&gt;=$C$1),'General Inputs'!O$9*$H81,IF(AND(($D81+$C$1)&gt;AR$4,AR$4&gt;=$C$1),'General Inputs'!O$9*$G81,0))+IF(AND(($E81+$C$1)&gt;AR$4,AR$4&gt;=$C$1),'General Inputs'!O$10*$J81,IF(AND(($D81+$C$1)&gt;AR$4,AR$4&gt;=$C$1),'General Inputs'!O$10*$I81,0))</f>
        <v>38.919727246655313</v>
      </c>
      <c r="AS81" s="214">
        <f>IF(AND(($E81+$C$1)&gt;AS$4,AS$4&gt;=$C$1),'General Inputs'!P$9*$H81,IF(AND(($D81+$C$1)&gt;AS$4,AS$4&gt;=$C$1),'General Inputs'!P$9*$G81,0))+IF(AND(($E81+$C$1)&gt;AS$4,AS$4&gt;=$C$1),'General Inputs'!P$10*$J81,IF(AND(($D81+$C$1)&gt;AS$4,AS$4&gt;=$C$1),'General Inputs'!P$10*$I81,0))</f>
        <v>39.50352315535514</v>
      </c>
      <c r="AT81" s="214">
        <f>IF(AND(($E81+$C$1)&gt;AT$4,AT$4&gt;=$C$1),'General Inputs'!Q$9*$H81,IF(AND(($D81+$C$1)&gt;AT$4,AT$4&gt;=$C$1),'General Inputs'!Q$9*$G81,0))+IF(AND(($E81+$C$1)&gt;AT$4,AT$4&gt;=$C$1),'General Inputs'!Q$10*$J81,IF(AND(($D81+$C$1)&gt;AT$4,AT$4&gt;=$C$1),'General Inputs'!Q$10*$I81,0))</f>
        <v>40.096076002685464</v>
      </c>
      <c r="AU81" s="214">
        <f>IF(AND(($E81+$C$1)&gt;AU$4,AU$4&gt;=$C$1),'General Inputs'!R$9*$H81,IF(AND(($D81+$C$1)&gt;AU$4,AU$4&gt;=$C$1),'General Inputs'!R$9*$G81,0))+IF(AND(($E81+$C$1)&gt;AU$4,AU$4&gt;=$C$1),'General Inputs'!R$10*$J81,IF(AND(($D81+$C$1)&gt;AU$4,AU$4&gt;=$C$1),'General Inputs'!R$10*$I81,0))</f>
        <v>40.697517142725744</v>
      </c>
      <c r="AV81" s="214">
        <f>IF(AND(($E81+$C$1)&gt;AV$4,AV$4&gt;=$C$1),'General Inputs'!S$9*$H81,IF(AND(($D81+$C$1)&gt;AV$4,AV$4&gt;=$C$1),'General Inputs'!S$9*$G81,0))+IF(AND(($E81+$C$1)&gt;AV$4,AV$4&gt;=$C$1),'General Inputs'!S$10*$J81,IF(AND(($D81+$C$1)&gt;AV$4,AV$4&gt;=$C$1),'General Inputs'!S$10*$I81,0))</f>
        <v>41.307979899866623</v>
      </c>
      <c r="AW81" s="214">
        <f>IF(AND(($E81+$C$1)&gt;AW$4,AW$4&gt;=$C$1),'General Inputs'!T$9*$H81,IF(AND(($D81+$C$1)&gt;AW$4,AW$4&gt;=$C$1),'General Inputs'!T$9*$G81,0))+IF(AND(($E81+$C$1)&gt;AW$4,AW$4&gt;=$C$1),'General Inputs'!T$10*$J81,IF(AND(($D81+$C$1)&gt;AW$4,AW$4&gt;=$C$1),'General Inputs'!T$10*$I81,0))</f>
        <v>41.927599598364623</v>
      </c>
      <c r="AX81" s="214">
        <f>IF(AND(($E81+$C$1)&gt;AX$4,AX$4&gt;=$C$1),'General Inputs'!U$9*$H81,IF(AND(($D81+$C$1)&gt;AX$4,AX$4&gt;=$C$1),'General Inputs'!U$9*$G81,0))+IF(AND(($E81+$C$1)&gt;AX$4,AX$4&gt;=$C$1),'General Inputs'!U$10*$J81,IF(AND(($D81+$C$1)&gt;AX$4,AX$4&gt;=$C$1),'General Inputs'!U$10*$I81,0))</f>
        <v>42.556513592340096</v>
      </c>
      <c r="AY81" s="214">
        <f>IF(AND(($E81+$C$1)&gt;AY$4,AY$4&gt;=$C$1),'General Inputs'!V$9*$H81,IF(AND(($D81+$C$1)&gt;AY$4,AY$4&gt;=$C$1),'General Inputs'!V$9*$G81,0))+IF(AND(($E81+$C$1)&gt;AY$4,AY$4&gt;=$C$1),'General Inputs'!V$10*$J81,IF(AND(($D81+$C$1)&gt;AY$4,AY$4&gt;=$C$1),'General Inputs'!V$10*$I81,0))</f>
        <v>0</v>
      </c>
      <c r="AZ81" s="214">
        <f>IF(AND(($E81+$C$1)&gt;AZ$4,AZ$4&gt;=$C$1),'General Inputs'!W$9*$H81,IF(AND(($D81+$C$1)&gt;AZ$4,AZ$4&gt;=$C$1),'General Inputs'!W$9*$G81,0))+IF(AND(($E81+$C$1)&gt;AZ$4,AZ$4&gt;=$C$1),'General Inputs'!W$10*$J81,IF(AND(($D81+$C$1)&gt;AZ$4,AZ$4&gt;=$C$1),'General Inputs'!W$10*$I81,0))</f>
        <v>0</v>
      </c>
      <c r="BB81" s="214">
        <f>IF(AND(($E81+$C$1)&gt;BB$4,BB$4&gt;=$C$1),'General Inputs'!D$11*$H81,IF(AND(($D81+$C$1)&gt;BB$4,BB$4&gt;=$C$1),'General Inputs'!D$11*$G81,0))</f>
        <v>0</v>
      </c>
      <c r="BC81" s="214">
        <f>IF(AND(($E81+$C$1)&gt;BC$4,BC$4&gt;=$C$1),'General Inputs'!E$11*$H81,IF(AND(($D81+$C$1)&gt;BC$4,BC$4&gt;=$C$1),'General Inputs'!E$11*$G81,0))</f>
        <v>0</v>
      </c>
      <c r="BD81" s="214">
        <f>IF(AND(($E81+$C$1)&gt;BD$4,BD$4&gt;=$C$1),'General Inputs'!F$11*$H81,IF(AND(($D81+$C$1)&gt;BD$4,BD$4&gt;=$C$1),'General Inputs'!F$11*$G81,0))</f>
        <v>8.9408839837499983</v>
      </c>
      <c r="BE81" s="214">
        <f>IF(AND(($E81+$C$1)&gt;BE$4,BE$4&gt;=$C$1),'General Inputs'!G$11*$H81,IF(AND(($D81+$C$1)&gt;BE$4,BE$4&gt;=$C$1),'General Inputs'!G$11*$G81,0))</f>
        <v>8.9408839837499983</v>
      </c>
      <c r="BF81" s="214">
        <f>IF(AND(($E81+$C$1)&gt;BF$4,BF$4&gt;=$C$1),'General Inputs'!H$11*$H81,IF(AND(($D81+$C$1)&gt;BF$4,BF$4&gt;=$C$1),'General Inputs'!H$11*$G81,0))</f>
        <v>8.9408839837499983</v>
      </c>
      <c r="BG81" s="214">
        <f>IF(AND(($E81+$C$1)&gt;BG$4,BG$4&gt;=$C$1),'General Inputs'!I$11*$H81,IF(AND(($D81+$C$1)&gt;BG$4,BG$4&gt;=$C$1),'General Inputs'!I$11*$G81,0))</f>
        <v>8.9408839837499983</v>
      </c>
      <c r="BH81" s="214">
        <f>IF(AND(($E81+$C$1)&gt;BH$4,BH$4&gt;=$C$1),'General Inputs'!J$11*$H81,IF(AND(($D81+$C$1)&gt;BH$4,BH$4&gt;=$C$1),'General Inputs'!J$11*$G81,0))</f>
        <v>8.9408839837499983</v>
      </c>
      <c r="BI81" s="214">
        <f>IF(AND(($E81+$C$1)&gt;BI$4,BI$4&gt;=$C$1),'General Inputs'!K$11*$H81,IF(AND(($D81+$C$1)&gt;BI$4,BI$4&gt;=$C$1),'General Inputs'!K$11*$G81,0))</f>
        <v>8.9408839837499983</v>
      </c>
      <c r="BJ81" s="214">
        <f>IF(AND(($E81+$C$1)&gt;BJ$4,BJ$4&gt;=$C$1),'General Inputs'!L$11*$H81,IF(AND(($D81+$C$1)&gt;BJ$4,BJ$4&gt;=$C$1),'General Inputs'!L$11*$G81,0))</f>
        <v>8.9408839837499983</v>
      </c>
      <c r="BK81" s="214">
        <f>IF(AND(($E81+$C$1)&gt;BK$4,BK$4&gt;=$C$1),'General Inputs'!M$11*$H81,IF(AND(($D81+$C$1)&gt;BK$4,BK$4&gt;=$C$1),'General Inputs'!M$11*$G81,0))</f>
        <v>8.9408839837499983</v>
      </c>
      <c r="BL81" s="214">
        <f>IF(AND(($E81+$C$1)&gt;BL$4,BL$4&gt;=$C$1),'General Inputs'!N$11*$H81,IF(AND(($D81+$C$1)&gt;BL$4,BL$4&gt;=$C$1),'General Inputs'!N$11*$G81,0))</f>
        <v>8.9408839837499983</v>
      </c>
      <c r="BM81" s="214">
        <f>IF(AND(($E81+$C$1)&gt;BM$4,BM$4&gt;=$C$1),'General Inputs'!O$11*$H81,IF(AND(($D81+$C$1)&gt;BM$4,BM$4&gt;=$C$1),'General Inputs'!O$11*$G81,0))</f>
        <v>8.9408839837499983</v>
      </c>
      <c r="BN81" s="214">
        <f>IF(AND(($E81+$C$1)&gt;BN$4,BN$4&gt;=$C$1),'General Inputs'!P$11*$H81,IF(AND(($D81+$C$1)&gt;BN$4,BN$4&gt;=$C$1),'General Inputs'!P$11*$G81,0))</f>
        <v>8.9408839837499983</v>
      </c>
      <c r="BO81" s="214">
        <f>IF(AND(($E81+$C$1)&gt;BO$4,BO$4&gt;=$C$1),'General Inputs'!Q$11*$H81,IF(AND(($D81+$C$1)&gt;BO$4,BO$4&gt;=$C$1),'General Inputs'!Q$11*$G81,0))</f>
        <v>8.9408839837499983</v>
      </c>
      <c r="BP81" s="214">
        <f>IF(AND(($E81+$C$1)&gt;BP$4,BP$4&gt;=$C$1),'General Inputs'!R$11*$H81,IF(AND(($D81+$C$1)&gt;BP$4,BP$4&gt;=$C$1),'General Inputs'!R$11*$G81,0))</f>
        <v>8.9408839837499983</v>
      </c>
      <c r="BQ81" s="214">
        <f>IF(AND(($E81+$C$1)&gt;BQ$4,BQ$4&gt;=$C$1),'General Inputs'!S$11*$H81,IF(AND(($D81+$C$1)&gt;BQ$4,BQ$4&gt;=$C$1),'General Inputs'!S$11*$G81,0))</f>
        <v>8.9408839837499983</v>
      </c>
      <c r="BR81" s="214">
        <f>IF(AND(($E81+$C$1)&gt;BR$4,BR$4&gt;=$C$1),'General Inputs'!T$11*$H81,IF(AND(($D81+$C$1)&gt;BR$4,BR$4&gt;=$C$1),'General Inputs'!T$11*$G81,0))</f>
        <v>8.9408839837499983</v>
      </c>
      <c r="BS81" s="214">
        <f>IF(AND(($E81+$C$1)&gt;BS$4,BS$4&gt;=$C$1),'General Inputs'!U$11*$H81,IF(AND(($D81+$C$1)&gt;BS$4,BS$4&gt;=$C$1),'General Inputs'!U$11*$G81,0))</f>
        <v>8.9408839837499983</v>
      </c>
      <c r="BT81" s="214">
        <f>IF(AND(($E81+$C$1)&gt;BT$4,BT$4&gt;=$C$1),'General Inputs'!V$11*$H81,IF(AND(($D81+$C$1)&gt;BT$4,BT$4&gt;=$C$1),'General Inputs'!V$11*$G81,0))</f>
        <v>0</v>
      </c>
      <c r="BU81" s="214">
        <f>IF(AND(($E81+$C$1)&gt;BU$4,BU$4&gt;=$C$1),'General Inputs'!W$11*$H81,IF(AND(($D81+$C$1)&gt;BU$4,BU$4&gt;=$C$1),'General Inputs'!W$11*$G81,0))</f>
        <v>0</v>
      </c>
      <c r="BW81" s="214">
        <f>IF(AND(($E81+$C$1)&gt;BW$4,BW$4&gt;=$C$1),$H81,IF(AND(($D81+$C$1)&gt;BW$4,BW$4&gt;=$C$1),$G81,0))*IF($A81="Residential",'General Inputs'!D$14,'General Inputs'!D$19)</f>
        <v>0</v>
      </c>
      <c r="BX81" s="214">
        <f>IF(AND(($E81+$C$1)&gt;BX$4,BX$4&gt;=$C$1),$H81,IF(AND(($D81+$C$1)&gt;BX$4,BX$4&gt;=$C$1),$G81,0))*IF($A81="Residential",'General Inputs'!E$14,'General Inputs'!E$19)</f>
        <v>0</v>
      </c>
      <c r="BY81" s="214">
        <f>IF(AND(($E81+$C$1)&gt;BY$4,BY$4&gt;=$C$1),$H81,IF(AND(($D81+$C$1)&gt;BY$4,BY$4&gt;=$C$1),$G81,0))*IF($A81="Residential",'General Inputs'!F$14,'General Inputs'!F$19)</f>
        <v>84.408501003818245</v>
      </c>
      <c r="BZ81" s="214">
        <f>IF(AND(($E81+$C$1)&gt;BZ$4,BZ$4&gt;=$C$1),$H81,IF(AND(($D81+$C$1)&gt;BZ$4,BZ$4&gt;=$C$1),$G81,0))*IF($A81="Residential",'General Inputs'!G$14,'General Inputs'!G$19)</f>
        <v>85.674628518875508</v>
      </c>
      <c r="CA81" s="214">
        <f>IF(AND(($E81+$C$1)&gt;CA$4,CA$4&gt;=$C$1),$H81,IF(AND(($D81+$C$1)&gt;CA$4,CA$4&gt;=$C$1),$G81,0))*IF($A81="Residential",'General Inputs'!H$14,'General Inputs'!H$19)</f>
        <v>86.959747946658624</v>
      </c>
      <c r="CB81" s="214">
        <f>IF(AND(($E81+$C$1)&gt;CB$4,CB$4&gt;=$C$1),$H81,IF(AND(($D81+$C$1)&gt;CB$4,CB$4&gt;=$C$1),$G81,0))*IF($A81="Residential",'General Inputs'!I$14,'General Inputs'!I$19)</f>
        <v>88.264144165858497</v>
      </c>
      <c r="CC81" s="214">
        <f>IF(AND(($E81+$C$1)&gt;CC$4,CC$4&gt;=$C$1),$H81,IF(AND(($D81+$C$1)&gt;CC$4,CC$4&gt;=$C$1),$G81,0))*IF($A81="Residential",'General Inputs'!J$14,'General Inputs'!J$19)</f>
        <v>89.58810632834637</v>
      </c>
      <c r="CD81" s="214">
        <f>IF(AND(($E81+$C$1)&gt;CD$4,CD$4&gt;=$C$1),$H81,IF(AND(($D81+$C$1)&gt;CD$4,CD$4&gt;=$C$1),$G81,0))*IF($A81="Residential",'General Inputs'!K$14,'General Inputs'!K$19)</f>
        <v>90.931927923271545</v>
      </c>
      <c r="CE81" s="214">
        <f>IF(AND(($E81+$C$1)&gt;CE$4,CE$4&gt;=$C$1),$H81,IF(AND(($D81+$C$1)&gt;CE$4,CE$4&gt;=$C$1),$G81,0))*IF($A81="Residential",'General Inputs'!L$14,'General Inputs'!L$19)</f>
        <v>92.295906842120615</v>
      </c>
      <c r="CF81" s="214">
        <f>IF(AND(($E81+$C$1)&gt;CF$4,CF$4&gt;=$C$1),$H81,IF(AND(($D81+$C$1)&gt;CF$4,CF$4&gt;=$C$1),$G81,0))*IF($A81="Residential",'General Inputs'!M$14,'General Inputs'!M$19)</f>
        <v>93.680345444752419</v>
      </c>
      <c r="CG81" s="214">
        <f>IF(AND(($E81+$C$1)&gt;CG$4,CG$4&gt;=$C$1),$H81,IF(AND(($D81+$C$1)&gt;CG$4,CG$4&gt;=$C$1),$G81,0))*IF($A81="Residential",'General Inputs'!N$14,'General Inputs'!N$19)</f>
        <v>95.085550626423696</v>
      </c>
      <c r="CH81" s="214">
        <f>IF(AND(($E81+$C$1)&gt;CH$4,CH$4&gt;=$C$1),$H81,IF(AND(($D81+$C$1)&gt;CH$4,CH$4&gt;=$C$1),$G81,0))*IF($A81="Residential",'General Inputs'!O$14,'General Inputs'!O$19)</f>
        <v>96.511833885820039</v>
      </c>
      <c r="CI81" s="214">
        <f>IF(AND(($E81+$C$1)&gt;CI$4,CI$4&gt;=$C$1),$H81,IF(AND(($D81+$C$1)&gt;CI$4,CI$4&gt;=$C$1),$G81,0))*IF($A81="Residential",'General Inputs'!P$14,'General Inputs'!P$19)</f>
        <v>97.959511394107338</v>
      </c>
      <c r="CJ81" s="214">
        <f>IF(AND(($E81+$C$1)&gt;CJ$4,CJ$4&gt;=$C$1),$H81,IF(AND(($D81+$C$1)&gt;CJ$4,CJ$4&gt;=$C$1),$G81,0))*IF($A81="Residential",'General Inputs'!Q$14,'General Inputs'!Q$19)</f>
        <v>99.428904065018941</v>
      </c>
      <c r="CK81" s="214">
        <f>IF(AND(($E81+$C$1)&gt;CK$4,CK$4&gt;=$C$1),$H81,IF(AND(($D81+$C$1)&gt;CK$4,CK$4&gt;=$C$1),$G81,0))*IF($A81="Residential",'General Inputs'!R$14,'General Inputs'!R$19)</f>
        <v>100.92033762599421</v>
      </c>
      <c r="CL81" s="214">
        <f>IF(AND(($E81+$C$1)&gt;CL$4,CL$4&gt;=$C$1),$H81,IF(AND(($D81+$C$1)&gt;CL$4,CL$4&gt;=$C$1),$G81,0))*IF($A81="Residential",'General Inputs'!S$14,'General Inputs'!S$19)</f>
        <v>102.43414269038412</v>
      </c>
      <c r="CM81" s="214">
        <f>IF(AND(($E81+$C$1)&gt;CM$4,CM$4&gt;=$C$1),$H81,IF(AND(($D81+$C$1)&gt;CM$4,CM$4&gt;=$C$1),$G81,0))*IF($A81="Residential",'General Inputs'!T$14,'General Inputs'!T$19)</f>
        <v>103.97065483073986</v>
      </c>
      <c r="CN81" s="214">
        <f>IF(AND(($E81+$C$1)&gt;CN$4,CN$4&gt;=$C$1),$H81,IF(AND(($D81+$C$1)&gt;CN$4,CN$4&gt;=$C$1),$G81,0))*IF($A81="Residential",'General Inputs'!U$14,'General Inputs'!U$19)</f>
        <v>105.53021465320094</v>
      </c>
      <c r="CO81" s="214">
        <f>IF(AND(($E81+$C$1)&gt;CO$4,CO$4&gt;=$C$1),$H81,IF(AND(($D81+$C$1)&gt;CO$4,CO$4&gt;=$C$1),$G81,0))*IF($A81="Residential",'General Inputs'!V$14,'General Inputs'!V$19)</f>
        <v>0</v>
      </c>
      <c r="CP81" s="214">
        <f>IF(AND(($E81+$C$1)&gt;CP$4,CP$4&gt;=$C$1),$H81,IF(AND(($D81+$C$1)&gt;CP$4,CP$4&gt;=$C$1),$G81,0))*IF($A81="Residential",'General Inputs'!W$14,'General Inputs'!W$19)</f>
        <v>0</v>
      </c>
      <c r="CR81" s="214">
        <f>IF(AND(($E81+$C$1)&gt;CR$4,CR$4&gt;=$C$1),$H81,IF(AND(($D81+$C$1)&gt;CR$4,CR$4&gt;=$C$1),$G81,0))*IF($A81="Residential",'General Inputs'!D$15,'General Inputs'!D$19)</f>
        <v>0</v>
      </c>
      <c r="CS81" s="214">
        <f>IF(AND(($E81+$C$1)&gt;CS$4,CS$4&gt;=$C$1),$H81,IF(AND(($D81+$C$1)&gt;CS$4,CS$4&gt;=$C$1),$G81,0))*IF($A81="Residential",'General Inputs'!E$15,'General Inputs'!E$19)</f>
        <v>0</v>
      </c>
      <c r="CT81" s="214">
        <f>IF(AND(($E81+$C$1)&gt;CT$4,CT$4&gt;=$C$1),$H81,IF(AND(($D81+$C$1)&gt;CT$4,CT$4&gt;=$C$1),$G81,0))*IF($A81="Residential",'General Inputs'!F$15,'General Inputs'!F$19)</f>
        <v>84.408501003818245</v>
      </c>
      <c r="CU81" s="214">
        <f>IF(AND(($E81+$C$1)&gt;CU$4,CU$4&gt;=$C$1),$H81,IF(AND(($D81+$C$1)&gt;CU$4,CU$4&gt;=$C$1),$G81,0))*IF($A81="Residential",'General Inputs'!G$15,'General Inputs'!G$19)</f>
        <v>85.674628518875508</v>
      </c>
      <c r="CV81" s="214">
        <f>IF(AND(($E81+$C$1)&gt;CV$4,CV$4&gt;=$C$1),$H81,IF(AND(($D81+$C$1)&gt;CV$4,CV$4&gt;=$C$1),$G81,0))*IF($A81="Residential",'General Inputs'!H$15,'General Inputs'!H$19)</f>
        <v>86.959747946658624</v>
      </c>
      <c r="CW81" s="214">
        <f>IF(AND(($E81+$C$1)&gt;CW$4,CW$4&gt;=$C$1),$H81,IF(AND(($D81+$C$1)&gt;CW$4,CW$4&gt;=$C$1),$G81,0))*IF($A81="Residential",'General Inputs'!I$15,'General Inputs'!I$19)</f>
        <v>88.264144165858497</v>
      </c>
      <c r="CX81" s="214">
        <f>IF(AND(($E81+$C$1)&gt;CX$4,CX$4&gt;=$C$1),$H81,IF(AND(($D81+$C$1)&gt;CX$4,CX$4&gt;=$C$1),$G81,0))*IF($A81="Residential",'General Inputs'!J$15,'General Inputs'!J$19)</f>
        <v>89.58810632834637</v>
      </c>
      <c r="CY81" s="214">
        <f>IF(AND(($E81+$C$1)&gt;CY$4,CY$4&gt;=$C$1),$H81,IF(AND(($D81+$C$1)&gt;CY$4,CY$4&gt;=$C$1),$G81,0))*IF($A81="Residential",'General Inputs'!K$15,'General Inputs'!K$19)</f>
        <v>90.931927923271545</v>
      </c>
      <c r="CZ81" s="214">
        <f>IF(AND(($E81+$C$1)&gt;CZ$4,CZ$4&gt;=$C$1),$H81,IF(AND(($D81+$C$1)&gt;CZ$4,CZ$4&gt;=$C$1),$G81,0))*IF($A81="Residential",'General Inputs'!L$15,'General Inputs'!L$19)</f>
        <v>92.295906842120615</v>
      </c>
      <c r="DA81" s="214">
        <f>IF(AND(($E81+$C$1)&gt;DA$4,DA$4&gt;=$C$1),$H81,IF(AND(($D81+$C$1)&gt;DA$4,DA$4&gt;=$C$1),$G81,0))*IF($A81="Residential",'General Inputs'!M$15,'General Inputs'!M$19)</f>
        <v>93.680345444752419</v>
      </c>
      <c r="DB81" s="214">
        <f>IF(AND(($E81+$C$1)&gt;DB$4,DB$4&gt;=$C$1),$H81,IF(AND(($D81+$C$1)&gt;DB$4,DB$4&gt;=$C$1),$G81,0))*IF($A81="Residential",'General Inputs'!N$15,'General Inputs'!N$19)</f>
        <v>95.085550626423696</v>
      </c>
      <c r="DC81" s="214">
        <f>IF(AND(($E81+$C$1)&gt;DC$4,DC$4&gt;=$C$1),$H81,IF(AND(($D81+$C$1)&gt;DC$4,DC$4&gt;=$C$1),$G81,0))*IF($A81="Residential",'General Inputs'!O$15,'General Inputs'!O$19)</f>
        <v>96.511833885820039</v>
      </c>
      <c r="DD81" s="214">
        <f>IF(AND(($E81+$C$1)&gt;DD$4,DD$4&gt;=$C$1),$H81,IF(AND(($D81+$C$1)&gt;DD$4,DD$4&gt;=$C$1),$G81,0))*IF($A81="Residential",'General Inputs'!P$15,'General Inputs'!P$19)</f>
        <v>97.959511394107338</v>
      </c>
      <c r="DE81" s="214">
        <f>IF(AND(($E81+$C$1)&gt;DE$4,DE$4&gt;=$C$1),$H81,IF(AND(($D81+$C$1)&gt;DE$4,DE$4&gt;=$C$1),$G81,0))*IF($A81="Residential",'General Inputs'!Q$15,'General Inputs'!Q$19)</f>
        <v>99.428904065018941</v>
      </c>
      <c r="DF81" s="214">
        <f>IF(AND(($E81+$C$1)&gt;DF$4,DF$4&gt;=$C$1),$H81,IF(AND(($D81+$C$1)&gt;DF$4,DF$4&gt;=$C$1),$G81,0))*IF($A81="Residential",'General Inputs'!R$15,'General Inputs'!R$19)</f>
        <v>100.92033762599421</v>
      </c>
      <c r="DG81" s="214">
        <f>IF(AND(($E81+$C$1)&gt;DG$4,DG$4&gt;=$C$1),$H81,IF(AND(($D81+$C$1)&gt;DG$4,DG$4&gt;=$C$1),$G81,0))*IF($A81="Residential",'General Inputs'!S$15,'General Inputs'!S$19)</f>
        <v>102.43414269038412</v>
      </c>
      <c r="DH81" s="214">
        <f>IF(AND(($E81+$C$1)&gt;DH$4,DH$4&gt;=$C$1),$H81,IF(AND(($D81+$C$1)&gt;DH$4,DH$4&gt;=$C$1),$G81,0))*IF($A81="Residential",'General Inputs'!T$15,'General Inputs'!T$19)</f>
        <v>103.97065483073986</v>
      </c>
      <c r="DI81" s="214">
        <f>IF(AND(($E81+$C$1)&gt;DI$4,DI$4&gt;=$C$1),$H81,IF(AND(($D81+$C$1)&gt;DI$4,DI$4&gt;=$C$1),$G81,0))*IF($A81="Residential",'General Inputs'!U$15,'General Inputs'!U$19)</f>
        <v>105.53021465320094</v>
      </c>
      <c r="DJ81" s="214">
        <f>IF(AND(($E81+$C$1)&gt;DJ$4,DJ$4&gt;=$C$1),$H81,IF(AND(($D81+$C$1)&gt;DJ$4,DJ$4&gt;=$C$1),$G81,0))*IF($A81="Residential",'General Inputs'!V$15,'General Inputs'!V$19)</f>
        <v>0</v>
      </c>
      <c r="DK81" s="214">
        <f>IF(AND(($E81+$C$1)&gt;DK$4,DK$4&gt;=$C$1),$H81,IF(AND(($D81+$C$1)&gt;DK$4,DK$4&gt;=$C$1),$G81,0))*IF($A81="Residential",'General Inputs'!W$15,'General Inputs'!W$19)</f>
        <v>0</v>
      </c>
      <c r="DM81" s="214">
        <f t="shared" si="100"/>
        <v>0</v>
      </c>
      <c r="DN81" s="214">
        <f t="shared" si="100"/>
        <v>0</v>
      </c>
      <c r="DO81" s="214">
        <f t="shared" si="100"/>
        <v>28.5</v>
      </c>
      <c r="DP81" s="214">
        <f t="shared" si="100"/>
        <v>0</v>
      </c>
      <c r="DQ81" s="214">
        <f t="shared" si="100"/>
        <v>0</v>
      </c>
      <c r="DR81" s="214">
        <f t="shared" si="100"/>
        <v>0</v>
      </c>
      <c r="DS81" s="214">
        <f t="shared" si="100"/>
        <v>0</v>
      </c>
      <c r="DT81" s="214">
        <f t="shared" si="100"/>
        <v>0</v>
      </c>
      <c r="DU81" s="214">
        <f t="shared" si="100"/>
        <v>0</v>
      </c>
      <c r="DV81" s="214">
        <f t="shared" si="100"/>
        <v>0</v>
      </c>
      <c r="DW81" s="214">
        <f t="shared" si="100"/>
        <v>0</v>
      </c>
      <c r="DZ81" s="650"/>
      <c r="FI81" s="195"/>
      <c r="FJ81" s="195"/>
      <c r="FK81" s="195"/>
      <c r="FL81" s="195"/>
      <c r="FM81" s="195"/>
      <c r="FN81" s="195"/>
      <c r="FO81" s="195"/>
    </row>
    <row r="82" spans="1:171">
      <c r="A82" s="342" t="s">
        <v>112</v>
      </c>
      <c r="B82" s="427" t="str">
        <f>'Portfolio Inputs'!A81</f>
        <v>LED Linear Replacement Lamp (5-8ft)</v>
      </c>
      <c r="C82" s="217">
        <f>IF($C$1=2014,'Portfolio Inputs'!$C81,IF($C$1=2015,'Portfolio Inputs'!$D81,'Portfolio Inputs'!$E81))</f>
        <v>3</v>
      </c>
      <c r="D82" s="504">
        <f>VLOOKUP(B82,Sources!$B$4:$J$104,2,FALSE)</f>
        <v>16</v>
      </c>
      <c r="E82" s="504">
        <f>VLOOKUP(B82,Sources!$B$4:$J$104,3,FALSE)</f>
        <v>0</v>
      </c>
      <c r="G82" s="504">
        <f>IF($C$1=2014,'Portfolio Inputs'!$G81,IF($C$1=2015,'Portfolio Inputs'!$H81,'Portfolio Inputs'!$I81))*EnergyLineLoss</f>
        <v>958.57430624999995</v>
      </c>
      <c r="H82" s="504"/>
      <c r="I82" s="595">
        <f>IF($C$1=2014,'Portfolio Inputs'!$K81,IF($C$1=2015,'Portfolio Inputs'!$L81,'Portfolio Inputs'!$M81))*PeakLineLoss</f>
        <v>0.14822378999999999</v>
      </c>
      <c r="J82" s="510"/>
      <c r="L82" s="606">
        <f>IF($C$1=2014,'Portfolio Inputs'!$O81,IF($C$1=2015,'Portfolio Inputs'!$P81,'Portfolio Inputs'!$Q81))</f>
        <v>9.5</v>
      </c>
      <c r="M82" s="518">
        <f>VLOOKUP($B82,Sources!$B$4:$K$104,10,FALSE)</f>
        <v>0</v>
      </c>
      <c r="N82" s="419">
        <f>IF($C$1=2014,'Portfolio Inputs'!$W81,IF($C$1=2015,'Portfolio Inputs'!$X81,'Portfolio Inputs'!$Y81))</f>
        <v>105</v>
      </c>
      <c r="O82" s="419">
        <f>IF($C$1=2014,'Portfolio Inputs'!$AA81,IF($C$1=2015,'Portfolio Inputs'!$AB81,'Portfolio Inputs'!$AC81))</f>
        <v>0</v>
      </c>
      <c r="Q82" s="438">
        <f t="shared" si="67"/>
        <v>14.562841422129186</v>
      </c>
      <c r="R82" s="439">
        <f t="shared" si="68"/>
        <v>3.9527712431493502</v>
      </c>
      <c r="S82" s="439">
        <f t="shared" si="69"/>
        <v>18.066389324522415</v>
      </c>
      <c r="T82" s="439">
        <f t="shared" si="70"/>
        <v>39.796656107723507</v>
      </c>
      <c r="U82" s="439">
        <f t="shared" si="98"/>
        <v>39.796656107723507</v>
      </c>
      <c r="V82" s="439">
        <f t="shared" si="72"/>
        <v>0.36593128283717569</v>
      </c>
      <c r="W82" s="439">
        <f t="shared" si="73"/>
        <v>0.36593128283717569</v>
      </c>
      <c r="Y82" s="215">
        <f t="shared" si="101"/>
        <v>350.3595131657691</v>
      </c>
      <c r="Z82" s="215">
        <f t="shared" si="102"/>
        <v>84.289961131498359</v>
      </c>
      <c r="AA82" s="215">
        <f t="shared" si="103"/>
        <v>868.80976633456191</v>
      </c>
      <c r="AB82" s="215">
        <f t="shared" si="104"/>
        <v>868.80976633456191</v>
      </c>
      <c r="AC82" s="216">
        <f t="shared" si="20"/>
        <v>0</v>
      </c>
      <c r="AD82" s="216">
        <f t="shared" si="21"/>
        <v>88.636425336524653</v>
      </c>
      <c r="AE82" s="215">
        <f t="shared" si="105"/>
        <v>24.058458305628118</v>
      </c>
      <c r="AG82" s="214">
        <f>IF(AND(($E82+$C$1)&gt;AG$4,AG$4&gt;=$C$1),'General Inputs'!D$9*$H82,IF(AND(($D82+$C$1)&gt;AG$4,AG$4&gt;=$C$1),'General Inputs'!D$9*$G82,0))+IF(AND(($E82+$C$1)&gt;AG$4,AG$4&gt;=$C$1),'General Inputs'!D$10*$J82,IF(AND(($D82+$C$1)&gt;AG$4,AG$4&gt;=$C$1),'General Inputs'!D$10*$I82,0))</f>
        <v>0</v>
      </c>
      <c r="AH82" s="214">
        <f>IF(AND(($E82+$C$1)&gt;AH$4,AH$4&gt;=$C$1),'General Inputs'!E$9*$H82,IF(AND(($D82+$C$1)&gt;AH$4,AH$4&gt;=$C$1),'General Inputs'!E$9*$G82,0))+IF(AND(($E82+$C$1)&gt;AH$4,AH$4&gt;=$C$1),'General Inputs'!E$10*$J82,IF(AND(($D82+$C$1)&gt;AH$4,AH$4&gt;=$C$1),'General Inputs'!E$10*$I82,0))</f>
        <v>0</v>
      </c>
      <c r="AI82" s="214">
        <f>IF(AND(($E82+$C$1)&gt;AI$4,AI$4&gt;=$C$1),'General Inputs'!F$9*$H82,IF(AND(($D82+$C$1)&gt;AI$4,AI$4&gt;=$C$1),'General Inputs'!F$9*$G82,0))+IF(AND(($E82+$C$1)&gt;AI$4,AI$4&gt;=$C$1),'General Inputs'!F$10*$J82,IF(AND(($D82+$C$1)&gt;AI$4,AI$4&gt;=$C$1),'General Inputs'!F$10*$I82,0))</f>
        <v>41.603089538447655</v>
      </c>
      <c r="AJ82" s="214">
        <f>IF(AND(($E82+$C$1)&gt;AJ$4,AJ$4&gt;=$C$1),'General Inputs'!G$9*$H82,IF(AND(($D82+$C$1)&gt;AJ$4,AJ$4&gt;=$C$1),'General Inputs'!G$9*$G82,0))+IF(AND(($E82+$C$1)&gt;AJ$4,AJ$4&gt;=$C$1),'General Inputs'!G$10*$J82,IF(AND(($D82+$C$1)&gt;AJ$4,AJ$4&gt;=$C$1),'General Inputs'!G$10*$I82,0))</f>
        <v>42.227135881524369</v>
      </c>
      <c r="AK82" s="214">
        <f>IF(AND(($E82+$C$1)&gt;AK$4,AK$4&gt;=$C$1),'General Inputs'!H$9*$H82,IF(AND(($D82+$C$1)&gt;AK$4,AK$4&gt;=$C$1),'General Inputs'!H$9*$G82,0))+IF(AND(($E82+$C$1)&gt;AK$4,AK$4&gt;=$C$1),'General Inputs'!H$10*$J82,IF(AND(($D82+$C$1)&gt;AK$4,AK$4&gt;=$C$1),'General Inputs'!H$10*$I82,0))</f>
        <v>42.860542919747225</v>
      </c>
      <c r="AL82" s="214">
        <f>IF(AND(($E82+$C$1)&gt;AL$4,AL$4&gt;=$C$1),'General Inputs'!I$9*$H82,IF(AND(($D82+$C$1)&gt;AL$4,AL$4&gt;=$C$1),'General Inputs'!I$9*$G82,0))+IF(AND(($E82+$C$1)&gt;AL$4,AL$4&gt;=$C$1),'General Inputs'!I$10*$J82,IF(AND(($D82+$C$1)&gt;AL$4,AL$4&gt;=$C$1),'General Inputs'!I$10*$I82,0))</f>
        <v>43.50345106354343</v>
      </c>
      <c r="AM82" s="214">
        <f>IF(AND(($E82+$C$1)&gt;AM$4,AM$4&gt;=$C$1),'General Inputs'!J$9*$H82,IF(AND(($D82+$C$1)&gt;AM$4,AM$4&gt;=$C$1),'General Inputs'!J$9*$G82,0))+IF(AND(($E82+$C$1)&gt;AM$4,AM$4&gt;=$C$1),'General Inputs'!J$10*$J82,IF(AND(($D82+$C$1)&gt;AM$4,AM$4&gt;=$C$1),'General Inputs'!J$10*$I82,0))</f>
        <v>44.156002829496572</v>
      </c>
      <c r="AN82" s="214">
        <f>IF(AND(($E82+$C$1)&gt;AN$4,AN$4&gt;=$C$1),'General Inputs'!K$9*$H82,IF(AND(($D82+$C$1)&gt;AN$4,AN$4&gt;=$C$1),'General Inputs'!K$9*$G82,0))+IF(AND(($E82+$C$1)&gt;AN$4,AN$4&gt;=$C$1),'General Inputs'!K$10*$J82,IF(AND(($D82+$C$1)&gt;AN$4,AN$4&gt;=$C$1),'General Inputs'!K$10*$I82,0))</f>
        <v>44.818342871939016</v>
      </c>
      <c r="AO82" s="214">
        <f>IF(AND(($E82+$C$1)&gt;AO$4,AO$4&gt;=$C$1),'General Inputs'!L$9*$H82,IF(AND(($D82+$C$1)&gt;AO$4,AO$4&gt;=$C$1),'General Inputs'!L$9*$G82,0))+IF(AND(($E82+$C$1)&gt;AO$4,AO$4&gt;=$C$1),'General Inputs'!L$10*$J82,IF(AND(($D82+$C$1)&gt;AO$4,AO$4&gt;=$C$1),'General Inputs'!L$10*$I82,0))</f>
        <v>45.4906180150181</v>
      </c>
      <c r="AP82" s="214">
        <f>IF(AND(($E82+$C$1)&gt;AP$4,AP$4&gt;=$C$1),'General Inputs'!M$9*$H82,IF(AND(($D82+$C$1)&gt;AP$4,AP$4&gt;=$C$1),'General Inputs'!M$9*$G82,0))+IF(AND(($E82+$C$1)&gt;AP$4,AP$4&gt;=$C$1),'General Inputs'!M$10*$J82,IF(AND(($D82+$C$1)&gt;AP$4,AP$4&gt;=$C$1),'General Inputs'!M$10*$I82,0))</f>
        <v>46.172977285243363</v>
      </c>
      <c r="AQ82" s="214">
        <f>IF(AND(($E82+$C$1)&gt;AQ$4,AQ$4&gt;=$C$1),'General Inputs'!N$9*$H82,IF(AND(($D82+$C$1)&gt;AQ$4,AQ$4&gt;=$C$1),'General Inputs'!N$9*$G82,0))+IF(AND(($E82+$C$1)&gt;AQ$4,AQ$4&gt;=$C$1),'General Inputs'!N$10*$J82,IF(AND(($D82+$C$1)&gt;AQ$4,AQ$4&gt;=$C$1),'General Inputs'!N$10*$I82,0))</f>
        <v>46.86557194452201</v>
      </c>
      <c r="AR82" s="214">
        <f>IF(AND(($E82+$C$1)&gt;AR$4,AR$4&gt;=$C$1),'General Inputs'!O$9*$H82,IF(AND(($D82+$C$1)&gt;AR$4,AR$4&gt;=$C$1),'General Inputs'!O$9*$G82,0))+IF(AND(($E82+$C$1)&gt;AR$4,AR$4&gt;=$C$1),'General Inputs'!O$10*$J82,IF(AND(($D82+$C$1)&gt;AR$4,AR$4&gt;=$C$1),'General Inputs'!O$10*$I82,0))</f>
        <v>47.568555523689831</v>
      </c>
      <c r="AS82" s="214">
        <f>IF(AND(($E82+$C$1)&gt;AS$4,AS$4&gt;=$C$1),'General Inputs'!P$9*$H82,IF(AND(($D82+$C$1)&gt;AS$4,AS$4&gt;=$C$1),'General Inputs'!P$9*$G82,0))+IF(AND(($E82+$C$1)&gt;AS$4,AS$4&gt;=$C$1),'General Inputs'!P$10*$J82,IF(AND(($D82+$C$1)&gt;AS$4,AS$4&gt;=$C$1),'General Inputs'!P$10*$I82,0))</f>
        <v>48.282083856545171</v>
      </c>
      <c r="AT82" s="214">
        <f>IF(AND(($E82+$C$1)&gt;AT$4,AT$4&gt;=$C$1),'General Inputs'!Q$9*$H82,IF(AND(($D82+$C$1)&gt;AT$4,AT$4&gt;=$C$1),'General Inputs'!Q$9*$G82,0))+IF(AND(($E82+$C$1)&gt;AT$4,AT$4&gt;=$C$1),'General Inputs'!Q$10*$J82,IF(AND(($D82+$C$1)&gt;AT$4,AT$4&gt;=$C$1),'General Inputs'!Q$10*$I82,0))</f>
        <v>49.006315114393352</v>
      </c>
      <c r="AU82" s="214">
        <f>IF(AND(($E82+$C$1)&gt;AU$4,AU$4&gt;=$C$1),'General Inputs'!R$9*$H82,IF(AND(($D82+$C$1)&gt;AU$4,AU$4&gt;=$C$1),'General Inputs'!R$9*$G82,0))+IF(AND(($E82+$C$1)&gt;AU$4,AU$4&gt;=$C$1),'General Inputs'!R$10*$J82,IF(AND(($D82+$C$1)&gt;AU$4,AU$4&gt;=$C$1),'General Inputs'!R$10*$I82,0))</f>
        <v>49.741409841109252</v>
      </c>
      <c r="AV82" s="214">
        <f>IF(AND(($E82+$C$1)&gt;AV$4,AV$4&gt;=$C$1),'General Inputs'!S$9*$H82,IF(AND(($D82+$C$1)&gt;AV$4,AV$4&gt;=$C$1),'General Inputs'!S$9*$G82,0))+IF(AND(($E82+$C$1)&gt;AV$4,AV$4&gt;=$C$1),'General Inputs'!S$10*$J82,IF(AND(($D82+$C$1)&gt;AV$4,AV$4&gt;=$C$1),'General Inputs'!S$10*$I82,0))</f>
        <v>50.487530988725887</v>
      </c>
      <c r="AW82" s="214">
        <f>IF(AND(($E82+$C$1)&gt;AW$4,AW$4&gt;=$C$1),'General Inputs'!T$9*$H82,IF(AND(($D82+$C$1)&gt;AW$4,AW$4&gt;=$C$1),'General Inputs'!T$9*$G82,0))+IF(AND(($E82+$C$1)&gt;AW$4,AW$4&gt;=$C$1),'General Inputs'!T$10*$J82,IF(AND(($D82+$C$1)&gt;AW$4,AW$4&gt;=$C$1),'General Inputs'!T$10*$I82,0))</f>
        <v>51.244843953556767</v>
      </c>
      <c r="AX82" s="214">
        <f>IF(AND(($E82+$C$1)&gt;AX$4,AX$4&gt;=$C$1),'General Inputs'!U$9*$H82,IF(AND(($D82+$C$1)&gt;AX$4,AX$4&gt;=$C$1),'General Inputs'!U$9*$G82,0))+IF(AND(($E82+$C$1)&gt;AX$4,AX$4&gt;=$C$1),'General Inputs'!U$10*$J82,IF(AND(($D82+$C$1)&gt;AX$4,AX$4&gt;=$C$1),'General Inputs'!U$10*$I82,0))</f>
        <v>52.013516612860116</v>
      </c>
      <c r="AY82" s="214">
        <f>IF(AND(($E82+$C$1)&gt;AY$4,AY$4&gt;=$C$1),'General Inputs'!V$9*$H82,IF(AND(($D82+$C$1)&gt;AY$4,AY$4&gt;=$C$1),'General Inputs'!V$9*$G82,0))+IF(AND(($E82+$C$1)&gt;AY$4,AY$4&gt;=$C$1),'General Inputs'!V$10*$J82,IF(AND(($D82+$C$1)&gt;AY$4,AY$4&gt;=$C$1),'General Inputs'!V$10*$I82,0))</f>
        <v>0</v>
      </c>
      <c r="AZ82" s="214">
        <f>IF(AND(($E82+$C$1)&gt;AZ$4,AZ$4&gt;=$C$1),'General Inputs'!W$9*$H82,IF(AND(($D82+$C$1)&gt;AZ$4,AZ$4&gt;=$C$1),'General Inputs'!W$9*$G82,0))+IF(AND(($E82+$C$1)&gt;AZ$4,AZ$4&gt;=$C$1),'General Inputs'!W$10*$J82,IF(AND(($D82+$C$1)&gt;AZ$4,AZ$4&gt;=$C$1),'General Inputs'!W$10*$I82,0))</f>
        <v>0</v>
      </c>
      <c r="BB82" s="214">
        <f>IF(AND(($E82+$C$1)&gt;BB$4,BB$4&gt;=$C$1),'General Inputs'!D$11*$H82,IF(AND(($D82+$C$1)&gt;BB$4,BB$4&gt;=$C$1),'General Inputs'!D$11*$G82,0))</f>
        <v>0</v>
      </c>
      <c r="BC82" s="214">
        <f>IF(AND(($E82+$C$1)&gt;BC$4,BC$4&gt;=$C$1),'General Inputs'!E$11*$H82,IF(AND(($D82+$C$1)&gt;BC$4,BC$4&gt;=$C$1),'General Inputs'!E$11*$G82,0))</f>
        <v>0</v>
      </c>
      <c r="BD82" s="214">
        <f>IF(AND(($E82+$C$1)&gt;BD$4,BD$4&gt;=$C$1),'General Inputs'!F$11*$H82,IF(AND(($D82+$C$1)&gt;BD$4,BD$4&gt;=$C$1),'General Inputs'!F$11*$G82,0))</f>
        <v>10.92774709125</v>
      </c>
      <c r="BE82" s="214">
        <f>IF(AND(($E82+$C$1)&gt;BE$4,BE$4&gt;=$C$1),'General Inputs'!G$11*$H82,IF(AND(($D82+$C$1)&gt;BE$4,BE$4&gt;=$C$1),'General Inputs'!G$11*$G82,0))</f>
        <v>10.92774709125</v>
      </c>
      <c r="BF82" s="214">
        <f>IF(AND(($E82+$C$1)&gt;BF$4,BF$4&gt;=$C$1),'General Inputs'!H$11*$H82,IF(AND(($D82+$C$1)&gt;BF$4,BF$4&gt;=$C$1),'General Inputs'!H$11*$G82,0))</f>
        <v>10.92774709125</v>
      </c>
      <c r="BG82" s="214">
        <f>IF(AND(($E82+$C$1)&gt;BG$4,BG$4&gt;=$C$1),'General Inputs'!I$11*$H82,IF(AND(($D82+$C$1)&gt;BG$4,BG$4&gt;=$C$1),'General Inputs'!I$11*$G82,0))</f>
        <v>10.92774709125</v>
      </c>
      <c r="BH82" s="214">
        <f>IF(AND(($E82+$C$1)&gt;BH$4,BH$4&gt;=$C$1),'General Inputs'!J$11*$H82,IF(AND(($D82+$C$1)&gt;BH$4,BH$4&gt;=$C$1),'General Inputs'!J$11*$G82,0))</f>
        <v>10.92774709125</v>
      </c>
      <c r="BI82" s="214">
        <f>IF(AND(($E82+$C$1)&gt;BI$4,BI$4&gt;=$C$1),'General Inputs'!K$11*$H82,IF(AND(($D82+$C$1)&gt;BI$4,BI$4&gt;=$C$1),'General Inputs'!K$11*$G82,0))</f>
        <v>10.92774709125</v>
      </c>
      <c r="BJ82" s="214">
        <f>IF(AND(($E82+$C$1)&gt;BJ$4,BJ$4&gt;=$C$1),'General Inputs'!L$11*$H82,IF(AND(($D82+$C$1)&gt;BJ$4,BJ$4&gt;=$C$1),'General Inputs'!L$11*$G82,0))</f>
        <v>10.92774709125</v>
      </c>
      <c r="BK82" s="214">
        <f>IF(AND(($E82+$C$1)&gt;BK$4,BK$4&gt;=$C$1),'General Inputs'!M$11*$H82,IF(AND(($D82+$C$1)&gt;BK$4,BK$4&gt;=$C$1),'General Inputs'!M$11*$G82,0))</f>
        <v>10.92774709125</v>
      </c>
      <c r="BL82" s="214">
        <f>IF(AND(($E82+$C$1)&gt;BL$4,BL$4&gt;=$C$1),'General Inputs'!N$11*$H82,IF(AND(($D82+$C$1)&gt;BL$4,BL$4&gt;=$C$1),'General Inputs'!N$11*$G82,0))</f>
        <v>10.92774709125</v>
      </c>
      <c r="BM82" s="214">
        <f>IF(AND(($E82+$C$1)&gt;BM$4,BM$4&gt;=$C$1),'General Inputs'!O$11*$H82,IF(AND(($D82+$C$1)&gt;BM$4,BM$4&gt;=$C$1),'General Inputs'!O$11*$G82,0))</f>
        <v>10.92774709125</v>
      </c>
      <c r="BN82" s="214">
        <f>IF(AND(($E82+$C$1)&gt;BN$4,BN$4&gt;=$C$1),'General Inputs'!P$11*$H82,IF(AND(($D82+$C$1)&gt;BN$4,BN$4&gt;=$C$1),'General Inputs'!P$11*$G82,0))</f>
        <v>10.92774709125</v>
      </c>
      <c r="BO82" s="214">
        <f>IF(AND(($E82+$C$1)&gt;BO$4,BO$4&gt;=$C$1),'General Inputs'!Q$11*$H82,IF(AND(($D82+$C$1)&gt;BO$4,BO$4&gt;=$C$1),'General Inputs'!Q$11*$G82,0))</f>
        <v>10.92774709125</v>
      </c>
      <c r="BP82" s="214">
        <f>IF(AND(($E82+$C$1)&gt;BP$4,BP$4&gt;=$C$1),'General Inputs'!R$11*$H82,IF(AND(($D82+$C$1)&gt;BP$4,BP$4&gt;=$C$1),'General Inputs'!R$11*$G82,0))</f>
        <v>10.92774709125</v>
      </c>
      <c r="BQ82" s="214">
        <f>IF(AND(($E82+$C$1)&gt;BQ$4,BQ$4&gt;=$C$1),'General Inputs'!S$11*$H82,IF(AND(($D82+$C$1)&gt;BQ$4,BQ$4&gt;=$C$1),'General Inputs'!S$11*$G82,0))</f>
        <v>10.92774709125</v>
      </c>
      <c r="BR82" s="214">
        <f>IF(AND(($E82+$C$1)&gt;BR$4,BR$4&gt;=$C$1),'General Inputs'!T$11*$H82,IF(AND(($D82+$C$1)&gt;BR$4,BR$4&gt;=$C$1),'General Inputs'!T$11*$G82,0))</f>
        <v>10.92774709125</v>
      </c>
      <c r="BS82" s="214">
        <f>IF(AND(($E82+$C$1)&gt;BS$4,BS$4&gt;=$C$1),'General Inputs'!U$11*$H82,IF(AND(($D82+$C$1)&gt;BS$4,BS$4&gt;=$C$1),'General Inputs'!U$11*$G82,0))</f>
        <v>10.92774709125</v>
      </c>
      <c r="BT82" s="214">
        <f>IF(AND(($E82+$C$1)&gt;BT$4,BT$4&gt;=$C$1),'General Inputs'!V$11*$H82,IF(AND(($D82+$C$1)&gt;BT$4,BT$4&gt;=$C$1),'General Inputs'!V$11*$G82,0))</f>
        <v>0</v>
      </c>
      <c r="BU82" s="214">
        <f>IF(AND(($E82+$C$1)&gt;BU$4,BU$4&gt;=$C$1),'General Inputs'!W$11*$H82,IF(AND(($D82+$C$1)&gt;BU$4,BU$4&gt;=$C$1),'General Inputs'!W$11*$G82,0))</f>
        <v>0</v>
      </c>
      <c r="BW82" s="214">
        <f>IF(AND(($E82+$C$1)&gt;BW$4,BW$4&gt;=$C$1),$H82,IF(AND(($D82+$C$1)&gt;BW$4,BW$4&gt;=$C$1),$G82,0))*IF($A82="Residential",'General Inputs'!D$14,'General Inputs'!D$19)</f>
        <v>0</v>
      </c>
      <c r="BX82" s="214">
        <f>IF(AND(($E82+$C$1)&gt;BX$4,BX$4&gt;=$C$1),$H82,IF(AND(($D82+$C$1)&gt;BX$4,BX$4&gt;=$C$1),$G82,0))*IF($A82="Residential",'General Inputs'!E$14,'General Inputs'!E$19)</f>
        <v>0</v>
      </c>
      <c r="BY82" s="214">
        <f>IF(AND(($E82+$C$1)&gt;BY$4,BY$4&gt;=$C$1),$H82,IF(AND(($D82+$C$1)&gt;BY$4,BY$4&gt;=$C$1),$G82,0))*IF($A82="Residential",'General Inputs'!F$14,'General Inputs'!F$19)</f>
        <v>103.16594567133343</v>
      </c>
      <c r="BZ82" s="214">
        <f>IF(AND(($E82+$C$1)&gt;BZ$4,BZ$4&gt;=$C$1),$H82,IF(AND(($D82+$C$1)&gt;BZ$4,BZ$4&gt;=$C$1),$G82,0))*IF($A82="Residential",'General Inputs'!G$14,'General Inputs'!G$19)</f>
        <v>104.71343485640342</v>
      </c>
      <c r="CA82" s="214">
        <f>IF(AND(($E82+$C$1)&gt;CA$4,CA$4&gt;=$C$1),$H82,IF(AND(($D82+$C$1)&gt;CA$4,CA$4&gt;=$C$1),$G82,0))*IF($A82="Residential",'General Inputs'!H$14,'General Inputs'!H$19)</f>
        <v>106.28413637924945</v>
      </c>
      <c r="CB82" s="214">
        <f>IF(AND(($E82+$C$1)&gt;CB$4,CB$4&gt;=$C$1),$H82,IF(AND(($D82+$C$1)&gt;CB$4,CB$4&gt;=$C$1),$G82,0))*IF($A82="Residential",'General Inputs'!I$14,'General Inputs'!I$19)</f>
        <v>107.87839842493817</v>
      </c>
      <c r="CC82" s="214">
        <f>IF(AND(($E82+$C$1)&gt;CC$4,CC$4&gt;=$C$1),$H82,IF(AND(($D82+$C$1)&gt;CC$4,CC$4&gt;=$C$1),$G82,0))*IF($A82="Residential",'General Inputs'!J$14,'General Inputs'!J$19)</f>
        <v>109.49657440131224</v>
      </c>
      <c r="CD82" s="214">
        <f>IF(AND(($E82+$C$1)&gt;CD$4,CD$4&gt;=$C$1),$H82,IF(AND(($D82+$C$1)&gt;CD$4,CD$4&gt;=$C$1),$G82,0))*IF($A82="Residential",'General Inputs'!K$14,'General Inputs'!K$19)</f>
        <v>111.13902301733191</v>
      </c>
      <c r="CE82" s="214">
        <f>IF(AND(($E82+$C$1)&gt;CE$4,CE$4&gt;=$C$1),$H82,IF(AND(($D82+$C$1)&gt;CE$4,CE$4&gt;=$C$1),$G82,0))*IF($A82="Residential",'General Inputs'!L$14,'General Inputs'!L$19)</f>
        <v>112.80610836259187</v>
      </c>
      <c r="CF82" s="214">
        <f>IF(AND(($E82+$C$1)&gt;CF$4,CF$4&gt;=$C$1),$H82,IF(AND(($D82+$C$1)&gt;CF$4,CF$4&gt;=$C$1),$G82,0))*IF($A82="Residential",'General Inputs'!M$14,'General Inputs'!M$19)</f>
        <v>114.49819998803075</v>
      </c>
      <c r="CG82" s="214">
        <f>IF(AND(($E82+$C$1)&gt;CG$4,CG$4&gt;=$C$1),$H82,IF(AND(($D82+$C$1)&gt;CG$4,CG$4&gt;=$C$1),$G82,0))*IF($A82="Residential",'General Inputs'!N$14,'General Inputs'!N$19)</f>
        <v>116.21567298785121</v>
      </c>
      <c r="CH82" s="214">
        <f>IF(AND(($E82+$C$1)&gt;CH$4,CH$4&gt;=$C$1),$H82,IF(AND(($D82+$C$1)&gt;CH$4,CH$4&gt;=$C$1),$G82,0))*IF($A82="Residential",'General Inputs'!O$14,'General Inputs'!O$19)</f>
        <v>117.95890808266894</v>
      </c>
      <c r="CI82" s="214">
        <f>IF(AND(($E82+$C$1)&gt;CI$4,CI$4&gt;=$C$1),$H82,IF(AND(($D82+$C$1)&gt;CI$4,CI$4&gt;=$C$1),$G82,0))*IF($A82="Residential",'General Inputs'!P$14,'General Inputs'!P$19)</f>
        <v>119.72829170390898</v>
      </c>
      <c r="CJ82" s="214">
        <f>IF(AND(($E82+$C$1)&gt;CJ$4,CJ$4&gt;=$C$1),$H82,IF(AND(($D82+$C$1)&gt;CJ$4,CJ$4&gt;=$C$1),$G82,0))*IF($A82="Residential",'General Inputs'!Q$14,'General Inputs'!Q$19)</f>
        <v>121.52421607946761</v>
      </c>
      <c r="CK82" s="214">
        <f>IF(AND(($E82+$C$1)&gt;CK$4,CK$4&gt;=$C$1),$H82,IF(AND(($D82+$C$1)&gt;CK$4,CK$4&gt;=$C$1),$G82,0))*IF($A82="Residential",'General Inputs'!R$14,'General Inputs'!R$19)</f>
        <v>123.34707932065959</v>
      </c>
      <c r="CL82" s="214">
        <f>IF(AND(($E82+$C$1)&gt;CL$4,CL$4&gt;=$C$1),$H82,IF(AND(($D82+$C$1)&gt;CL$4,CL$4&gt;=$C$1),$G82,0))*IF($A82="Residential",'General Inputs'!S$14,'General Inputs'!S$19)</f>
        <v>125.19728551046948</v>
      </c>
      <c r="CM82" s="214">
        <f>IF(AND(($E82+$C$1)&gt;CM$4,CM$4&gt;=$C$1),$H82,IF(AND(($D82+$C$1)&gt;CM$4,CM$4&gt;=$C$1),$G82,0))*IF($A82="Residential",'General Inputs'!T$14,'General Inputs'!T$19)</f>
        <v>127.07524479312652</v>
      </c>
      <c r="CN82" s="214">
        <f>IF(AND(($E82+$C$1)&gt;CN$4,CN$4&gt;=$C$1),$H82,IF(AND(($D82+$C$1)&gt;CN$4,CN$4&gt;=$C$1),$G82,0))*IF($A82="Residential",'General Inputs'!U$14,'General Inputs'!U$19)</f>
        <v>128.98137346502338</v>
      </c>
      <c r="CO82" s="214">
        <f>IF(AND(($E82+$C$1)&gt;CO$4,CO$4&gt;=$C$1),$H82,IF(AND(($D82+$C$1)&gt;CO$4,CO$4&gt;=$C$1),$G82,0))*IF($A82="Residential",'General Inputs'!V$14,'General Inputs'!V$19)</f>
        <v>0</v>
      </c>
      <c r="CP82" s="214">
        <f>IF(AND(($E82+$C$1)&gt;CP$4,CP$4&gt;=$C$1),$H82,IF(AND(($D82+$C$1)&gt;CP$4,CP$4&gt;=$C$1),$G82,0))*IF($A82="Residential",'General Inputs'!W$14,'General Inputs'!W$19)</f>
        <v>0</v>
      </c>
      <c r="CR82" s="214">
        <f>IF(AND(($E82+$C$1)&gt;CR$4,CR$4&gt;=$C$1),$H82,IF(AND(($D82+$C$1)&gt;CR$4,CR$4&gt;=$C$1),$G82,0))*IF($A82="Residential",'General Inputs'!D$15,'General Inputs'!D$19)</f>
        <v>0</v>
      </c>
      <c r="CS82" s="214">
        <f>IF(AND(($E82+$C$1)&gt;CS$4,CS$4&gt;=$C$1),$H82,IF(AND(($D82+$C$1)&gt;CS$4,CS$4&gt;=$C$1),$G82,0))*IF($A82="Residential",'General Inputs'!E$15,'General Inputs'!E$19)</f>
        <v>0</v>
      </c>
      <c r="CT82" s="214">
        <f>IF(AND(($E82+$C$1)&gt;CT$4,CT$4&gt;=$C$1),$H82,IF(AND(($D82+$C$1)&gt;CT$4,CT$4&gt;=$C$1),$G82,0))*IF($A82="Residential",'General Inputs'!F$15,'General Inputs'!F$19)</f>
        <v>103.16594567133343</v>
      </c>
      <c r="CU82" s="214">
        <f>IF(AND(($E82+$C$1)&gt;CU$4,CU$4&gt;=$C$1),$H82,IF(AND(($D82+$C$1)&gt;CU$4,CU$4&gt;=$C$1),$G82,0))*IF($A82="Residential",'General Inputs'!G$15,'General Inputs'!G$19)</f>
        <v>104.71343485640342</v>
      </c>
      <c r="CV82" s="214">
        <f>IF(AND(($E82+$C$1)&gt;CV$4,CV$4&gt;=$C$1),$H82,IF(AND(($D82+$C$1)&gt;CV$4,CV$4&gt;=$C$1),$G82,0))*IF($A82="Residential",'General Inputs'!H$15,'General Inputs'!H$19)</f>
        <v>106.28413637924945</v>
      </c>
      <c r="CW82" s="214">
        <f>IF(AND(($E82+$C$1)&gt;CW$4,CW$4&gt;=$C$1),$H82,IF(AND(($D82+$C$1)&gt;CW$4,CW$4&gt;=$C$1),$G82,0))*IF($A82="Residential",'General Inputs'!I$15,'General Inputs'!I$19)</f>
        <v>107.87839842493817</v>
      </c>
      <c r="CX82" s="214">
        <f>IF(AND(($E82+$C$1)&gt;CX$4,CX$4&gt;=$C$1),$H82,IF(AND(($D82+$C$1)&gt;CX$4,CX$4&gt;=$C$1),$G82,0))*IF($A82="Residential",'General Inputs'!J$15,'General Inputs'!J$19)</f>
        <v>109.49657440131224</v>
      </c>
      <c r="CY82" s="214">
        <f>IF(AND(($E82+$C$1)&gt;CY$4,CY$4&gt;=$C$1),$H82,IF(AND(($D82+$C$1)&gt;CY$4,CY$4&gt;=$C$1),$G82,0))*IF($A82="Residential",'General Inputs'!K$15,'General Inputs'!K$19)</f>
        <v>111.13902301733191</v>
      </c>
      <c r="CZ82" s="214">
        <f>IF(AND(($E82+$C$1)&gt;CZ$4,CZ$4&gt;=$C$1),$H82,IF(AND(($D82+$C$1)&gt;CZ$4,CZ$4&gt;=$C$1),$G82,0))*IF($A82="Residential",'General Inputs'!L$15,'General Inputs'!L$19)</f>
        <v>112.80610836259187</v>
      </c>
      <c r="DA82" s="214">
        <f>IF(AND(($E82+$C$1)&gt;DA$4,DA$4&gt;=$C$1),$H82,IF(AND(($D82+$C$1)&gt;DA$4,DA$4&gt;=$C$1),$G82,0))*IF($A82="Residential",'General Inputs'!M$15,'General Inputs'!M$19)</f>
        <v>114.49819998803075</v>
      </c>
      <c r="DB82" s="214">
        <f>IF(AND(($E82+$C$1)&gt;DB$4,DB$4&gt;=$C$1),$H82,IF(AND(($D82+$C$1)&gt;DB$4,DB$4&gt;=$C$1),$G82,0))*IF($A82="Residential",'General Inputs'!N$15,'General Inputs'!N$19)</f>
        <v>116.21567298785121</v>
      </c>
      <c r="DC82" s="214">
        <f>IF(AND(($E82+$C$1)&gt;DC$4,DC$4&gt;=$C$1),$H82,IF(AND(($D82+$C$1)&gt;DC$4,DC$4&gt;=$C$1),$G82,0))*IF($A82="Residential",'General Inputs'!O$15,'General Inputs'!O$19)</f>
        <v>117.95890808266894</v>
      </c>
      <c r="DD82" s="214">
        <f>IF(AND(($E82+$C$1)&gt;DD$4,DD$4&gt;=$C$1),$H82,IF(AND(($D82+$C$1)&gt;DD$4,DD$4&gt;=$C$1),$G82,0))*IF($A82="Residential",'General Inputs'!P$15,'General Inputs'!P$19)</f>
        <v>119.72829170390898</v>
      </c>
      <c r="DE82" s="214">
        <f>IF(AND(($E82+$C$1)&gt;DE$4,DE$4&gt;=$C$1),$H82,IF(AND(($D82+$C$1)&gt;DE$4,DE$4&gt;=$C$1),$G82,0))*IF($A82="Residential",'General Inputs'!Q$15,'General Inputs'!Q$19)</f>
        <v>121.52421607946761</v>
      </c>
      <c r="DF82" s="214">
        <f>IF(AND(($E82+$C$1)&gt;DF$4,DF$4&gt;=$C$1),$H82,IF(AND(($D82+$C$1)&gt;DF$4,DF$4&gt;=$C$1),$G82,0))*IF($A82="Residential",'General Inputs'!R$15,'General Inputs'!R$19)</f>
        <v>123.34707932065959</v>
      </c>
      <c r="DG82" s="214">
        <f>IF(AND(($E82+$C$1)&gt;DG$4,DG$4&gt;=$C$1),$H82,IF(AND(($D82+$C$1)&gt;DG$4,DG$4&gt;=$C$1),$G82,0))*IF($A82="Residential",'General Inputs'!S$15,'General Inputs'!S$19)</f>
        <v>125.19728551046948</v>
      </c>
      <c r="DH82" s="214">
        <f>IF(AND(($E82+$C$1)&gt;DH$4,DH$4&gt;=$C$1),$H82,IF(AND(($D82+$C$1)&gt;DH$4,DH$4&gt;=$C$1),$G82,0))*IF($A82="Residential",'General Inputs'!T$15,'General Inputs'!T$19)</f>
        <v>127.07524479312652</v>
      </c>
      <c r="DI82" s="214">
        <f>IF(AND(($E82+$C$1)&gt;DI$4,DI$4&gt;=$C$1),$H82,IF(AND(($D82+$C$1)&gt;DI$4,DI$4&gt;=$C$1),$G82,0))*IF($A82="Residential",'General Inputs'!U$15,'General Inputs'!U$19)</f>
        <v>128.98137346502338</v>
      </c>
      <c r="DJ82" s="214">
        <f>IF(AND(($E82+$C$1)&gt;DJ$4,DJ$4&gt;=$C$1),$H82,IF(AND(($D82+$C$1)&gt;DJ$4,DJ$4&gt;=$C$1),$G82,0))*IF($A82="Residential",'General Inputs'!V$15,'General Inputs'!V$19)</f>
        <v>0</v>
      </c>
      <c r="DK82" s="214">
        <f>IF(AND(($E82+$C$1)&gt;DK$4,DK$4&gt;=$C$1),$H82,IF(AND(($D82+$C$1)&gt;DK$4,DK$4&gt;=$C$1),$G82,0))*IF($A82="Residential",'General Inputs'!W$15,'General Inputs'!W$19)</f>
        <v>0</v>
      </c>
      <c r="DM82" s="214">
        <f t="shared" si="100"/>
        <v>0</v>
      </c>
      <c r="DN82" s="214">
        <f t="shared" si="100"/>
        <v>0</v>
      </c>
      <c r="DO82" s="214">
        <f t="shared" si="100"/>
        <v>28.5</v>
      </c>
      <c r="DP82" s="214">
        <f t="shared" si="100"/>
        <v>0</v>
      </c>
      <c r="DQ82" s="214">
        <f t="shared" si="100"/>
        <v>0</v>
      </c>
      <c r="DR82" s="214">
        <f t="shared" si="100"/>
        <v>0</v>
      </c>
      <c r="DS82" s="214">
        <f t="shared" si="100"/>
        <v>0</v>
      </c>
      <c r="DT82" s="214">
        <f t="shared" si="100"/>
        <v>0</v>
      </c>
      <c r="DU82" s="214">
        <f t="shared" si="100"/>
        <v>0</v>
      </c>
      <c r="DV82" s="214">
        <f t="shared" si="100"/>
        <v>0</v>
      </c>
      <c r="DW82" s="214">
        <f t="shared" si="100"/>
        <v>0</v>
      </c>
      <c r="DZ82" s="650"/>
      <c r="FI82" s="195"/>
      <c r="FJ82" s="195"/>
      <c r="FK82" s="195"/>
      <c r="FL82" s="195"/>
      <c r="FM82" s="195"/>
      <c r="FN82" s="195"/>
      <c r="FO82" s="195"/>
    </row>
    <row r="83" spans="1:171">
      <c r="A83" s="342" t="s">
        <v>112</v>
      </c>
      <c r="B83" s="427" t="str">
        <f>'Portfolio Inputs'!A82</f>
        <v>≤25 W LED Fixtures (Exterior/Parking Garage)</v>
      </c>
      <c r="C83" s="217">
        <f>IF($C$1=2014,'Portfolio Inputs'!$C82,IF($C$1=2015,'Portfolio Inputs'!$D82,'Portfolio Inputs'!$E82))</f>
        <v>0</v>
      </c>
      <c r="D83" s="504">
        <f>VLOOKUP(B83,Sources!$B$4:$J$104,2,FALSE)</f>
        <v>15</v>
      </c>
      <c r="E83" s="504">
        <f>VLOOKUP(B83,Sources!$B$4:$J$104,3,FALSE)</f>
        <v>0</v>
      </c>
      <c r="G83" s="504">
        <f>IF($C$1=2014,'Portfolio Inputs'!$G82,IF($C$1=2015,'Portfolio Inputs'!$H82,'Portfolio Inputs'!$I82))*EnergyLineLoss</f>
        <v>0</v>
      </c>
      <c r="H83" s="504"/>
      <c r="I83" s="595">
        <f>IF($C$1=2014,'Portfolio Inputs'!$K82,IF($C$1=2015,'Portfolio Inputs'!$L82,'Portfolio Inputs'!$M82))*PeakLineLoss</f>
        <v>0</v>
      </c>
      <c r="J83" s="510"/>
      <c r="L83" s="606">
        <f>IF($C$1=2014,'Portfolio Inputs'!$O82,IF($C$1=2015,'Portfolio Inputs'!$P82,'Portfolio Inputs'!$Q82))</f>
        <v>125</v>
      </c>
      <c r="M83" s="518">
        <f>VLOOKUP($B83,Sources!$B$4:$K$104,10,FALSE)</f>
        <v>0</v>
      </c>
      <c r="N83" s="419">
        <f>IF($C$1=2014,'Portfolio Inputs'!$W82,IF($C$1=2015,'Portfolio Inputs'!$X82,'Portfolio Inputs'!$Y82))</f>
        <v>0</v>
      </c>
      <c r="O83" s="419">
        <f>IF($C$1=2014,'Portfolio Inputs'!$AA82,IF($C$1=2015,'Portfolio Inputs'!$AB82,'Portfolio Inputs'!$AC82))</f>
        <v>0</v>
      </c>
      <c r="Q83" s="438" t="str">
        <f t="shared" si="67"/>
        <v>n/a</v>
      </c>
      <c r="R83" s="439" t="str">
        <f t="shared" si="68"/>
        <v>n/a</v>
      </c>
      <c r="S83" s="439" t="str">
        <f t="shared" si="69"/>
        <v>n/a</v>
      </c>
      <c r="T83" s="439" t="str">
        <f t="shared" si="70"/>
        <v>n/a</v>
      </c>
      <c r="U83" s="439" t="str">
        <f t="shared" si="98"/>
        <v>n/a</v>
      </c>
      <c r="V83" s="439" t="str">
        <f t="shared" si="72"/>
        <v>n/a</v>
      </c>
      <c r="W83" s="439" t="str">
        <f t="shared" si="73"/>
        <v>n/a</v>
      </c>
      <c r="Y83" s="215">
        <f t="shared" si="101"/>
        <v>0</v>
      </c>
      <c r="Z83" s="215">
        <f t="shared" si="102"/>
        <v>0</v>
      </c>
      <c r="AA83" s="215">
        <f t="shared" si="103"/>
        <v>0</v>
      </c>
      <c r="AB83" s="215">
        <f t="shared" si="104"/>
        <v>0</v>
      </c>
      <c r="AC83" s="216">
        <f t="shared" si="20"/>
        <v>0</v>
      </c>
      <c r="AD83" s="216">
        <f t="shared" si="21"/>
        <v>0</v>
      </c>
      <c r="AE83" s="215">
        <f t="shared" si="105"/>
        <v>0</v>
      </c>
      <c r="AG83" s="214">
        <f>IF(AND(($E83+$C$1)&gt;AG$4,AG$4&gt;=$C$1),'General Inputs'!D$9*$H83,IF(AND(($D83+$C$1)&gt;AG$4,AG$4&gt;=$C$1),'General Inputs'!D$9*$G83,0))+IF(AND(($E83+$C$1)&gt;AG$4,AG$4&gt;=$C$1),'General Inputs'!D$10*$J83,IF(AND(($D83+$C$1)&gt;AG$4,AG$4&gt;=$C$1),'General Inputs'!D$10*$I83,0))</f>
        <v>0</v>
      </c>
      <c r="AH83" s="214">
        <f>IF(AND(($E83+$C$1)&gt;AH$4,AH$4&gt;=$C$1),'General Inputs'!E$9*$H83,IF(AND(($D83+$C$1)&gt;AH$4,AH$4&gt;=$C$1),'General Inputs'!E$9*$G83,0))+IF(AND(($E83+$C$1)&gt;AH$4,AH$4&gt;=$C$1),'General Inputs'!E$10*$J83,IF(AND(($D83+$C$1)&gt;AH$4,AH$4&gt;=$C$1),'General Inputs'!E$10*$I83,0))</f>
        <v>0</v>
      </c>
      <c r="AI83" s="214">
        <f>IF(AND(($E83+$C$1)&gt;AI$4,AI$4&gt;=$C$1),'General Inputs'!F$9*$H83,IF(AND(($D83+$C$1)&gt;AI$4,AI$4&gt;=$C$1),'General Inputs'!F$9*$G83,0))+IF(AND(($E83+$C$1)&gt;AI$4,AI$4&gt;=$C$1),'General Inputs'!F$10*$J83,IF(AND(($D83+$C$1)&gt;AI$4,AI$4&gt;=$C$1),'General Inputs'!F$10*$I83,0))</f>
        <v>0</v>
      </c>
      <c r="AJ83" s="214">
        <f>IF(AND(($E83+$C$1)&gt;AJ$4,AJ$4&gt;=$C$1),'General Inputs'!G$9*$H83,IF(AND(($D83+$C$1)&gt;AJ$4,AJ$4&gt;=$C$1),'General Inputs'!G$9*$G83,0))+IF(AND(($E83+$C$1)&gt;AJ$4,AJ$4&gt;=$C$1),'General Inputs'!G$10*$J83,IF(AND(($D83+$C$1)&gt;AJ$4,AJ$4&gt;=$C$1),'General Inputs'!G$10*$I83,0))</f>
        <v>0</v>
      </c>
      <c r="AK83" s="214">
        <f>IF(AND(($E83+$C$1)&gt;AK$4,AK$4&gt;=$C$1),'General Inputs'!H$9*$H83,IF(AND(($D83+$C$1)&gt;AK$4,AK$4&gt;=$C$1),'General Inputs'!H$9*$G83,0))+IF(AND(($E83+$C$1)&gt;AK$4,AK$4&gt;=$C$1),'General Inputs'!H$10*$J83,IF(AND(($D83+$C$1)&gt;AK$4,AK$4&gt;=$C$1),'General Inputs'!H$10*$I83,0))</f>
        <v>0</v>
      </c>
      <c r="AL83" s="214">
        <f>IF(AND(($E83+$C$1)&gt;AL$4,AL$4&gt;=$C$1),'General Inputs'!I$9*$H83,IF(AND(($D83+$C$1)&gt;AL$4,AL$4&gt;=$C$1),'General Inputs'!I$9*$G83,0))+IF(AND(($E83+$C$1)&gt;AL$4,AL$4&gt;=$C$1),'General Inputs'!I$10*$J83,IF(AND(($D83+$C$1)&gt;AL$4,AL$4&gt;=$C$1),'General Inputs'!I$10*$I83,0))</f>
        <v>0</v>
      </c>
      <c r="AM83" s="214">
        <f>IF(AND(($E83+$C$1)&gt;AM$4,AM$4&gt;=$C$1),'General Inputs'!J$9*$H83,IF(AND(($D83+$C$1)&gt;AM$4,AM$4&gt;=$C$1),'General Inputs'!J$9*$G83,0))+IF(AND(($E83+$C$1)&gt;AM$4,AM$4&gt;=$C$1),'General Inputs'!J$10*$J83,IF(AND(($D83+$C$1)&gt;AM$4,AM$4&gt;=$C$1),'General Inputs'!J$10*$I83,0))</f>
        <v>0</v>
      </c>
      <c r="AN83" s="214">
        <f>IF(AND(($E83+$C$1)&gt;AN$4,AN$4&gt;=$C$1),'General Inputs'!K$9*$H83,IF(AND(($D83+$C$1)&gt;AN$4,AN$4&gt;=$C$1),'General Inputs'!K$9*$G83,0))+IF(AND(($E83+$C$1)&gt;AN$4,AN$4&gt;=$C$1),'General Inputs'!K$10*$J83,IF(AND(($D83+$C$1)&gt;AN$4,AN$4&gt;=$C$1),'General Inputs'!K$10*$I83,0))</f>
        <v>0</v>
      </c>
      <c r="AO83" s="214">
        <f>IF(AND(($E83+$C$1)&gt;AO$4,AO$4&gt;=$C$1),'General Inputs'!L$9*$H83,IF(AND(($D83+$C$1)&gt;AO$4,AO$4&gt;=$C$1),'General Inputs'!L$9*$G83,0))+IF(AND(($E83+$C$1)&gt;AO$4,AO$4&gt;=$C$1),'General Inputs'!L$10*$J83,IF(AND(($D83+$C$1)&gt;AO$4,AO$4&gt;=$C$1),'General Inputs'!L$10*$I83,0))</f>
        <v>0</v>
      </c>
      <c r="AP83" s="214">
        <f>IF(AND(($E83+$C$1)&gt;AP$4,AP$4&gt;=$C$1),'General Inputs'!M$9*$H83,IF(AND(($D83+$C$1)&gt;AP$4,AP$4&gt;=$C$1),'General Inputs'!M$9*$G83,0))+IF(AND(($E83+$C$1)&gt;AP$4,AP$4&gt;=$C$1),'General Inputs'!M$10*$J83,IF(AND(($D83+$C$1)&gt;AP$4,AP$4&gt;=$C$1),'General Inputs'!M$10*$I83,0))</f>
        <v>0</v>
      </c>
      <c r="AQ83" s="214">
        <f>IF(AND(($E83+$C$1)&gt;AQ$4,AQ$4&gt;=$C$1),'General Inputs'!N$9*$H83,IF(AND(($D83+$C$1)&gt;AQ$4,AQ$4&gt;=$C$1),'General Inputs'!N$9*$G83,0))+IF(AND(($E83+$C$1)&gt;AQ$4,AQ$4&gt;=$C$1),'General Inputs'!N$10*$J83,IF(AND(($D83+$C$1)&gt;AQ$4,AQ$4&gt;=$C$1),'General Inputs'!N$10*$I83,0))</f>
        <v>0</v>
      </c>
      <c r="AR83" s="214">
        <f>IF(AND(($E83+$C$1)&gt;AR$4,AR$4&gt;=$C$1),'General Inputs'!O$9*$H83,IF(AND(($D83+$C$1)&gt;AR$4,AR$4&gt;=$C$1),'General Inputs'!O$9*$G83,0))+IF(AND(($E83+$C$1)&gt;AR$4,AR$4&gt;=$C$1),'General Inputs'!O$10*$J83,IF(AND(($D83+$C$1)&gt;AR$4,AR$4&gt;=$C$1),'General Inputs'!O$10*$I83,0))</f>
        <v>0</v>
      </c>
      <c r="AS83" s="214">
        <f>IF(AND(($E83+$C$1)&gt;AS$4,AS$4&gt;=$C$1),'General Inputs'!P$9*$H83,IF(AND(($D83+$C$1)&gt;AS$4,AS$4&gt;=$C$1),'General Inputs'!P$9*$G83,0))+IF(AND(($E83+$C$1)&gt;AS$4,AS$4&gt;=$C$1),'General Inputs'!P$10*$J83,IF(AND(($D83+$C$1)&gt;AS$4,AS$4&gt;=$C$1),'General Inputs'!P$10*$I83,0))</f>
        <v>0</v>
      </c>
      <c r="AT83" s="214">
        <f>IF(AND(($E83+$C$1)&gt;AT$4,AT$4&gt;=$C$1),'General Inputs'!Q$9*$H83,IF(AND(($D83+$C$1)&gt;AT$4,AT$4&gt;=$C$1),'General Inputs'!Q$9*$G83,0))+IF(AND(($E83+$C$1)&gt;AT$4,AT$4&gt;=$C$1),'General Inputs'!Q$10*$J83,IF(AND(($D83+$C$1)&gt;AT$4,AT$4&gt;=$C$1),'General Inputs'!Q$10*$I83,0))</f>
        <v>0</v>
      </c>
      <c r="AU83" s="214">
        <f>IF(AND(($E83+$C$1)&gt;AU$4,AU$4&gt;=$C$1),'General Inputs'!R$9*$H83,IF(AND(($D83+$C$1)&gt;AU$4,AU$4&gt;=$C$1),'General Inputs'!R$9*$G83,0))+IF(AND(($E83+$C$1)&gt;AU$4,AU$4&gt;=$C$1),'General Inputs'!R$10*$J83,IF(AND(($D83+$C$1)&gt;AU$4,AU$4&gt;=$C$1),'General Inputs'!R$10*$I83,0))</f>
        <v>0</v>
      </c>
      <c r="AV83" s="214">
        <f>IF(AND(($E83+$C$1)&gt;AV$4,AV$4&gt;=$C$1),'General Inputs'!S$9*$H83,IF(AND(($D83+$C$1)&gt;AV$4,AV$4&gt;=$C$1),'General Inputs'!S$9*$G83,0))+IF(AND(($E83+$C$1)&gt;AV$4,AV$4&gt;=$C$1),'General Inputs'!S$10*$J83,IF(AND(($D83+$C$1)&gt;AV$4,AV$4&gt;=$C$1),'General Inputs'!S$10*$I83,0))</f>
        <v>0</v>
      </c>
      <c r="AW83" s="214">
        <f>IF(AND(($E83+$C$1)&gt;AW$4,AW$4&gt;=$C$1),'General Inputs'!T$9*$H83,IF(AND(($D83+$C$1)&gt;AW$4,AW$4&gt;=$C$1),'General Inputs'!T$9*$G83,0))+IF(AND(($E83+$C$1)&gt;AW$4,AW$4&gt;=$C$1),'General Inputs'!T$10*$J83,IF(AND(($D83+$C$1)&gt;AW$4,AW$4&gt;=$C$1),'General Inputs'!T$10*$I83,0))</f>
        <v>0</v>
      </c>
      <c r="AX83" s="214">
        <f>IF(AND(($E83+$C$1)&gt;AX$4,AX$4&gt;=$C$1),'General Inputs'!U$9*$H83,IF(AND(($D83+$C$1)&gt;AX$4,AX$4&gt;=$C$1),'General Inputs'!U$9*$G83,0))+IF(AND(($E83+$C$1)&gt;AX$4,AX$4&gt;=$C$1),'General Inputs'!U$10*$J83,IF(AND(($D83+$C$1)&gt;AX$4,AX$4&gt;=$C$1),'General Inputs'!U$10*$I83,0))</f>
        <v>0</v>
      </c>
      <c r="AY83" s="214">
        <f>IF(AND(($E83+$C$1)&gt;AY$4,AY$4&gt;=$C$1),'General Inputs'!V$9*$H83,IF(AND(($D83+$C$1)&gt;AY$4,AY$4&gt;=$C$1),'General Inputs'!V$9*$G83,0))+IF(AND(($E83+$C$1)&gt;AY$4,AY$4&gt;=$C$1),'General Inputs'!V$10*$J83,IF(AND(($D83+$C$1)&gt;AY$4,AY$4&gt;=$C$1),'General Inputs'!V$10*$I83,0))</f>
        <v>0</v>
      </c>
      <c r="AZ83" s="214">
        <f>IF(AND(($E83+$C$1)&gt;AZ$4,AZ$4&gt;=$C$1),'General Inputs'!W$9*$H83,IF(AND(($D83+$C$1)&gt;AZ$4,AZ$4&gt;=$C$1),'General Inputs'!W$9*$G83,0))+IF(AND(($E83+$C$1)&gt;AZ$4,AZ$4&gt;=$C$1),'General Inputs'!W$10*$J83,IF(AND(($D83+$C$1)&gt;AZ$4,AZ$4&gt;=$C$1),'General Inputs'!W$10*$I83,0))</f>
        <v>0</v>
      </c>
      <c r="BB83" s="214">
        <f>IF(AND(($E83+$C$1)&gt;BB$4,BB$4&gt;=$C$1),'General Inputs'!D$11*$H83,IF(AND(($D83+$C$1)&gt;BB$4,BB$4&gt;=$C$1),'General Inputs'!D$11*$G83,0))</f>
        <v>0</v>
      </c>
      <c r="BC83" s="214">
        <f>IF(AND(($E83+$C$1)&gt;BC$4,BC$4&gt;=$C$1),'General Inputs'!E$11*$H83,IF(AND(($D83+$C$1)&gt;BC$4,BC$4&gt;=$C$1),'General Inputs'!E$11*$G83,0))</f>
        <v>0</v>
      </c>
      <c r="BD83" s="214">
        <f>IF(AND(($E83+$C$1)&gt;BD$4,BD$4&gt;=$C$1),'General Inputs'!F$11*$H83,IF(AND(($D83+$C$1)&gt;BD$4,BD$4&gt;=$C$1),'General Inputs'!F$11*$G83,0))</f>
        <v>0</v>
      </c>
      <c r="BE83" s="214">
        <f>IF(AND(($E83+$C$1)&gt;BE$4,BE$4&gt;=$C$1),'General Inputs'!G$11*$H83,IF(AND(($D83+$C$1)&gt;BE$4,BE$4&gt;=$C$1),'General Inputs'!G$11*$G83,0))</f>
        <v>0</v>
      </c>
      <c r="BF83" s="214">
        <f>IF(AND(($E83+$C$1)&gt;BF$4,BF$4&gt;=$C$1),'General Inputs'!H$11*$H83,IF(AND(($D83+$C$1)&gt;BF$4,BF$4&gt;=$C$1),'General Inputs'!H$11*$G83,0))</f>
        <v>0</v>
      </c>
      <c r="BG83" s="214">
        <f>IF(AND(($E83+$C$1)&gt;BG$4,BG$4&gt;=$C$1),'General Inputs'!I$11*$H83,IF(AND(($D83+$C$1)&gt;BG$4,BG$4&gt;=$C$1),'General Inputs'!I$11*$G83,0))</f>
        <v>0</v>
      </c>
      <c r="BH83" s="214">
        <f>IF(AND(($E83+$C$1)&gt;BH$4,BH$4&gt;=$C$1),'General Inputs'!J$11*$H83,IF(AND(($D83+$C$1)&gt;BH$4,BH$4&gt;=$C$1),'General Inputs'!J$11*$G83,0))</f>
        <v>0</v>
      </c>
      <c r="BI83" s="214">
        <f>IF(AND(($E83+$C$1)&gt;BI$4,BI$4&gt;=$C$1),'General Inputs'!K$11*$H83,IF(AND(($D83+$C$1)&gt;BI$4,BI$4&gt;=$C$1),'General Inputs'!K$11*$G83,0))</f>
        <v>0</v>
      </c>
      <c r="BJ83" s="214">
        <f>IF(AND(($E83+$C$1)&gt;BJ$4,BJ$4&gt;=$C$1),'General Inputs'!L$11*$H83,IF(AND(($D83+$C$1)&gt;BJ$4,BJ$4&gt;=$C$1),'General Inputs'!L$11*$G83,0))</f>
        <v>0</v>
      </c>
      <c r="BK83" s="214">
        <f>IF(AND(($E83+$C$1)&gt;BK$4,BK$4&gt;=$C$1),'General Inputs'!M$11*$H83,IF(AND(($D83+$C$1)&gt;BK$4,BK$4&gt;=$C$1),'General Inputs'!M$11*$G83,0))</f>
        <v>0</v>
      </c>
      <c r="BL83" s="214">
        <f>IF(AND(($E83+$C$1)&gt;BL$4,BL$4&gt;=$C$1),'General Inputs'!N$11*$H83,IF(AND(($D83+$C$1)&gt;BL$4,BL$4&gt;=$C$1),'General Inputs'!N$11*$G83,0))</f>
        <v>0</v>
      </c>
      <c r="BM83" s="214">
        <f>IF(AND(($E83+$C$1)&gt;BM$4,BM$4&gt;=$C$1),'General Inputs'!O$11*$H83,IF(AND(($D83+$C$1)&gt;BM$4,BM$4&gt;=$C$1),'General Inputs'!O$11*$G83,0))</f>
        <v>0</v>
      </c>
      <c r="BN83" s="214">
        <f>IF(AND(($E83+$C$1)&gt;BN$4,BN$4&gt;=$C$1),'General Inputs'!P$11*$H83,IF(AND(($D83+$C$1)&gt;BN$4,BN$4&gt;=$C$1),'General Inputs'!P$11*$G83,0))</f>
        <v>0</v>
      </c>
      <c r="BO83" s="214">
        <f>IF(AND(($E83+$C$1)&gt;BO$4,BO$4&gt;=$C$1),'General Inputs'!Q$11*$H83,IF(AND(($D83+$C$1)&gt;BO$4,BO$4&gt;=$C$1),'General Inputs'!Q$11*$G83,0))</f>
        <v>0</v>
      </c>
      <c r="BP83" s="214">
        <f>IF(AND(($E83+$C$1)&gt;BP$4,BP$4&gt;=$C$1),'General Inputs'!R$11*$H83,IF(AND(($D83+$C$1)&gt;BP$4,BP$4&gt;=$C$1),'General Inputs'!R$11*$G83,0))</f>
        <v>0</v>
      </c>
      <c r="BQ83" s="214">
        <f>IF(AND(($E83+$C$1)&gt;BQ$4,BQ$4&gt;=$C$1),'General Inputs'!S$11*$H83,IF(AND(($D83+$C$1)&gt;BQ$4,BQ$4&gt;=$C$1),'General Inputs'!S$11*$G83,0))</f>
        <v>0</v>
      </c>
      <c r="BR83" s="214">
        <f>IF(AND(($E83+$C$1)&gt;BR$4,BR$4&gt;=$C$1),'General Inputs'!T$11*$H83,IF(AND(($D83+$C$1)&gt;BR$4,BR$4&gt;=$C$1),'General Inputs'!T$11*$G83,0))</f>
        <v>0</v>
      </c>
      <c r="BS83" s="214">
        <f>IF(AND(($E83+$C$1)&gt;BS$4,BS$4&gt;=$C$1),'General Inputs'!U$11*$H83,IF(AND(($D83+$C$1)&gt;BS$4,BS$4&gt;=$C$1),'General Inputs'!U$11*$G83,0))</f>
        <v>0</v>
      </c>
      <c r="BT83" s="214">
        <f>IF(AND(($E83+$C$1)&gt;BT$4,BT$4&gt;=$C$1),'General Inputs'!V$11*$H83,IF(AND(($D83+$C$1)&gt;BT$4,BT$4&gt;=$C$1),'General Inputs'!V$11*$G83,0))</f>
        <v>0</v>
      </c>
      <c r="BU83" s="214">
        <f>IF(AND(($E83+$C$1)&gt;BU$4,BU$4&gt;=$C$1),'General Inputs'!W$11*$H83,IF(AND(($D83+$C$1)&gt;BU$4,BU$4&gt;=$C$1),'General Inputs'!W$11*$G83,0))</f>
        <v>0</v>
      </c>
      <c r="BW83" s="214">
        <f>IF(AND(($E83+$C$1)&gt;BW$4,BW$4&gt;=$C$1),$H83,IF(AND(($D83+$C$1)&gt;BW$4,BW$4&gt;=$C$1),$G83,0))*IF($A83="Residential",'General Inputs'!D$14,'General Inputs'!D$19)</f>
        <v>0</v>
      </c>
      <c r="BX83" s="214">
        <f>IF(AND(($E83+$C$1)&gt;BX$4,BX$4&gt;=$C$1),$H83,IF(AND(($D83+$C$1)&gt;BX$4,BX$4&gt;=$C$1),$G83,0))*IF($A83="Residential",'General Inputs'!E$14,'General Inputs'!E$19)</f>
        <v>0</v>
      </c>
      <c r="BY83" s="214">
        <f>IF(AND(($E83+$C$1)&gt;BY$4,BY$4&gt;=$C$1),$H83,IF(AND(($D83+$C$1)&gt;BY$4,BY$4&gt;=$C$1),$G83,0))*IF($A83="Residential",'General Inputs'!F$14,'General Inputs'!F$19)</f>
        <v>0</v>
      </c>
      <c r="BZ83" s="214">
        <f>IF(AND(($E83+$C$1)&gt;BZ$4,BZ$4&gt;=$C$1),$H83,IF(AND(($D83+$C$1)&gt;BZ$4,BZ$4&gt;=$C$1),$G83,0))*IF($A83="Residential",'General Inputs'!G$14,'General Inputs'!G$19)</f>
        <v>0</v>
      </c>
      <c r="CA83" s="214">
        <f>IF(AND(($E83+$C$1)&gt;CA$4,CA$4&gt;=$C$1),$H83,IF(AND(($D83+$C$1)&gt;CA$4,CA$4&gt;=$C$1),$G83,0))*IF($A83="Residential",'General Inputs'!H$14,'General Inputs'!H$19)</f>
        <v>0</v>
      </c>
      <c r="CB83" s="214">
        <f>IF(AND(($E83+$C$1)&gt;CB$4,CB$4&gt;=$C$1),$H83,IF(AND(($D83+$C$1)&gt;CB$4,CB$4&gt;=$C$1),$G83,0))*IF($A83="Residential",'General Inputs'!I$14,'General Inputs'!I$19)</f>
        <v>0</v>
      </c>
      <c r="CC83" s="214">
        <f>IF(AND(($E83+$C$1)&gt;CC$4,CC$4&gt;=$C$1),$H83,IF(AND(($D83+$C$1)&gt;CC$4,CC$4&gt;=$C$1),$G83,0))*IF($A83="Residential",'General Inputs'!J$14,'General Inputs'!J$19)</f>
        <v>0</v>
      </c>
      <c r="CD83" s="214">
        <f>IF(AND(($E83+$C$1)&gt;CD$4,CD$4&gt;=$C$1),$H83,IF(AND(($D83+$C$1)&gt;CD$4,CD$4&gt;=$C$1),$G83,0))*IF($A83="Residential",'General Inputs'!K$14,'General Inputs'!K$19)</f>
        <v>0</v>
      </c>
      <c r="CE83" s="214">
        <f>IF(AND(($E83+$C$1)&gt;CE$4,CE$4&gt;=$C$1),$H83,IF(AND(($D83+$C$1)&gt;CE$4,CE$4&gt;=$C$1),$G83,0))*IF($A83="Residential",'General Inputs'!L$14,'General Inputs'!L$19)</f>
        <v>0</v>
      </c>
      <c r="CF83" s="214">
        <f>IF(AND(($E83+$C$1)&gt;CF$4,CF$4&gt;=$C$1),$H83,IF(AND(($D83+$C$1)&gt;CF$4,CF$4&gt;=$C$1),$G83,0))*IF($A83="Residential",'General Inputs'!M$14,'General Inputs'!M$19)</f>
        <v>0</v>
      </c>
      <c r="CG83" s="214">
        <f>IF(AND(($E83+$C$1)&gt;CG$4,CG$4&gt;=$C$1),$H83,IF(AND(($D83+$C$1)&gt;CG$4,CG$4&gt;=$C$1),$G83,0))*IF($A83="Residential",'General Inputs'!N$14,'General Inputs'!N$19)</f>
        <v>0</v>
      </c>
      <c r="CH83" s="214">
        <f>IF(AND(($E83+$C$1)&gt;CH$4,CH$4&gt;=$C$1),$H83,IF(AND(($D83+$C$1)&gt;CH$4,CH$4&gt;=$C$1),$G83,0))*IF($A83="Residential",'General Inputs'!O$14,'General Inputs'!O$19)</f>
        <v>0</v>
      </c>
      <c r="CI83" s="214">
        <f>IF(AND(($E83+$C$1)&gt;CI$4,CI$4&gt;=$C$1),$H83,IF(AND(($D83+$C$1)&gt;CI$4,CI$4&gt;=$C$1),$G83,0))*IF($A83="Residential",'General Inputs'!P$14,'General Inputs'!P$19)</f>
        <v>0</v>
      </c>
      <c r="CJ83" s="214">
        <f>IF(AND(($E83+$C$1)&gt;CJ$4,CJ$4&gt;=$C$1),$H83,IF(AND(($D83+$C$1)&gt;CJ$4,CJ$4&gt;=$C$1),$G83,0))*IF($A83="Residential",'General Inputs'!Q$14,'General Inputs'!Q$19)</f>
        <v>0</v>
      </c>
      <c r="CK83" s="214">
        <f>IF(AND(($E83+$C$1)&gt;CK$4,CK$4&gt;=$C$1),$H83,IF(AND(($D83+$C$1)&gt;CK$4,CK$4&gt;=$C$1),$G83,0))*IF($A83="Residential",'General Inputs'!R$14,'General Inputs'!R$19)</f>
        <v>0</v>
      </c>
      <c r="CL83" s="214">
        <f>IF(AND(($E83+$C$1)&gt;CL$4,CL$4&gt;=$C$1),$H83,IF(AND(($D83+$C$1)&gt;CL$4,CL$4&gt;=$C$1),$G83,0))*IF($A83="Residential",'General Inputs'!S$14,'General Inputs'!S$19)</f>
        <v>0</v>
      </c>
      <c r="CM83" s="214">
        <f>IF(AND(($E83+$C$1)&gt;CM$4,CM$4&gt;=$C$1),$H83,IF(AND(($D83+$C$1)&gt;CM$4,CM$4&gt;=$C$1),$G83,0))*IF($A83="Residential",'General Inputs'!T$14,'General Inputs'!T$19)</f>
        <v>0</v>
      </c>
      <c r="CN83" s="214">
        <f>IF(AND(($E83+$C$1)&gt;CN$4,CN$4&gt;=$C$1),$H83,IF(AND(($D83+$C$1)&gt;CN$4,CN$4&gt;=$C$1),$G83,0))*IF($A83="Residential",'General Inputs'!U$14,'General Inputs'!U$19)</f>
        <v>0</v>
      </c>
      <c r="CO83" s="214">
        <f>IF(AND(($E83+$C$1)&gt;CO$4,CO$4&gt;=$C$1),$H83,IF(AND(($D83+$C$1)&gt;CO$4,CO$4&gt;=$C$1),$G83,0))*IF($A83="Residential",'General Inputs'!V$14,'General Inputs'!V$19)</f>
        <v>0</v>
      </c>
      <c r="CP83" s="214">
        <f>IF(AND(($E83+$C$1)&gt;CP$4,CP$4&gt;=$C$1),$H83,IF(AND(($D83+$C$1)&gt;CP$4,CP$4&gt;=$C$1),$G83,0))*IF($A83="Residential",'General Inputs'!W$14,'General Inputs'!W$19)</f>
        <v>0</v>
      </c>
      <c r="CR83" s="214">
        <f>IF(AND(($E83+$C$1)&gt;CR$4,CR$4&gt;=$C$1),$H83,IF(AND(($D83+$C$1)&gt;CR$4,CR$4&gt;=$C$1),$G83,0))*IF($A83="Residential",'General Inputs'!D$15,'General Inputs'!D$19)</f>
        <v>0</v>
      </c>
      <c r="CS83" s="214">
        <f>IF(AND(($E83+$C$1)&gt;CS$4,CS$4&gt;=$C$1),$H83,IF(AND(($D83+$C$1)&gt;CS$4,CS$4&gt;=$C$1),$G83,0))*IF($A83="Residential",'General Inputs'!E$15,'General Inputs'!E$19)</f>
        <v>0</v>
      </c>
      <c r="CT83" s="214">
        <f>IF(AND(($E83+$C$1)&gt;CT$4,CT$4&gt;=$C$1),$H83,IF(AND(($D83+$C$1)&gt;CT$4,CT$4&gt;=$C$1),$G83,0))*IF($A83="Residential",'General Inputs'!F$15,'General Inputs'!F$19)</f>
        <v>0</v>
      </c>
      <c r="CU83" s="214">
        <f>IF(AND(($E83+$C$1)&gt;CU$4,CU$4&gt;=$C$1),$H83,IF(AND(($D83+$C$1)&gt;CU$4,CU$4&gt;=$C$1),$G83,0))*IF($A83="Residential",'General Inputs'!G$15,'General Inputs'!G$19)</f>
        <v>0</v>
      </c>
      <c r="CV83" s="214">
        <f>IF(AND(($E83+$C$1)&gt;CV$4,CV$4&gt;=$C$1),$H83,IF(AND(($D83+$C$1)&gt;CV$4,CV$4&gt;=$C$1),$G83,0))*IF($A83="Residential",'General Inputs'!H$15,'General Inputs'!H$19)</f>
        <v>0</v>
      </c>
      <c r="CW83" s="214">
        <f>IF(AND(($E83+$C$1)&gt;CW$4,CW$4&gt;=$C$1),$H83,IF(AND(($D83+$C$1)&gt;CW$4,CW$4&gt;=$C$1),$G83,0))*IF($A83="Residential",'General Inputs'!I$15,'General Inputs'!I$19)</f>
        <v>0</v>
      </c>
      <c r="CX83" s="214">
        <f>IF(AND(($E83+$C$1)&gt;CX$4,CX$4&gt;=$C$1),$H83,IF(AND(($D83+$C$1)&gt;CX$4,CX$4&gt;=$C$1),$G83,0))*IF($A83="Residential",'General Inputs'!J$15,'General Inputs'!J$19)</f>
        <v>0</v>
      </c>
      <c r="CY83" s="214">
        <f>IF(AND(($E83+$C$1)&gt;CY$4,CY$4&gt;=$C$1),$H83,IF(AND(($D83+$C$1)&gt;CY$4,CY$4&gt;=$C$1),$G83,0))*IF($A83="Residential",'General Inputs'!K$15,'General Inputs'!K$19)</f>
        <v>0</v>
      </c>
      <c r="CZ83" s="214">
        <f>IF(AND(($E83+$C$1)&gt;CZ$4,CZ$4&gt;=$C$1),$H83,IF(AND(($D83+$C$1)&gt;CZ$4,CZ$4&gt;=$C$1),$G83,0))*IF($A83="Residential",'General Inputs'!L$15,'General Inputs'!L$19)</f>
        <v>0</v>
      </c>
      <c r="DA83" s="214">
        <f>IF(AND(($E83+$C$1)&gt;DA$4,DA$4&gt;=$C$1),$H83,IF(AND(($D83+$C$1)&gt;DA$4,DA$4&gt;=$C$1),$G83,0))*IF($A83="Residential",'General Inputs'!M$15,'General Inputs'!M$19)</f>
        <v>0</v>
      </c>
      <c r="DB83" s="214">
        <f>IF(AND(($E83+$C$1)&gt;DB$4,DB$4&gt;=$C$1),$H83,IF(AND(($D83+$C$1)&gt;DB$4,DB$4&gt;=$C$1),$G83,0))*IF($A83="Residential",'General Inputs'!N$15,'General Inputs'!N$19)</f>
        <v>0</v>
      </c>
      <c r="DC83" s="214">
        <f>IF(AND(($E83+$C$1)&gt;DC$4,DC$4&gt;=$C$1),$H83,IF(AND(($D83+$C$1)&gt;DC$4,DC$4&gt;=$C$1),$G83,0))*IF($A83="Residential",'General Inputs'!O$15,'General Inputs'!O$19)</f>
        <v>0</v>
      </c>
      <c r="DD83" s="214">
        <f>IF(AND(($E83+$C$1)&gt;DD$4,DD$4&gt;=$C$1),$H83,IF(AND(($D83+$C$1)&gt;DD$4,DD$4&gt;=$C$1),$G83,0))*IF($A83="Residential",'General Inputs'!P$15,'General Inputs'!P$19)</f>
        <v>0</v>
      </c>
      <c r="DE83" s="214">
        <f>IF(AND(($E83+$C$1)&gt;DE$4,DE$4&gt;=$C$1),$H83,IF(AND(($D83+$C$1)&gt;DE$4,DE$4&gt;=$C$1),$G83,0))*IF($A83="Residential",'General Inputs'!Q$15,'General Inputs'!Q$19)</f>
        <v>0</v>
      </c>
      <c r="DF83" s="214">
        <f>IF(AND(($E83+$C$1)&gt;DF$4,DF$4&gt;=$C$1),$H83,IF(AND(($D83+$C$1)&gt;DF$4,DF$4&gt;=$C$1),$G83,0))*IF($A83="Residential",'General Inputs'!R$15,'General Inputs'!R$19)</f>
        <v>0</v>
      </c>
      <c r="DG83" s="214">
        <f>IF(AND(($E83+$C$1)&gt;DG$4,DG$4&gt;=$C$1),$H83,IF(AND(($D83+$C$1)&gt;DG$4,DG$4&gt;=$C$1),$G83,0))*IF($A83="Residential",'General Inputs'!S$15,'General Inputs'!S$19)</f>
        <v>0</v>
      </c>
      <c r="DH83" s="214">
        <f>IF(AND(($E83+$C$1)&gt;DH$4,DH$4&gt;=$C$1),$H83,IF(AND(($D83+$C$1)&gt;DH$4,DH$4&gt;=$C$1),$G83,0))*IF($A83="Residential",'General Inputs'!T$15,'General Inputs'!T$19)</f>
        <v>0</v>
      </c>
      <c r="DI83" s="214">
        <f>IF(AND(($E83+$C$1)&gt;DI$4,DI$4&gt;=$C$1),$H83,IF(AND(($D83+$C$1)&gt;DI$4,DI$4&gt;=$C$1),$G83,0))*IF($A83="Residential",'General Inputs'!U$15,'General Inputs'!U$19)</f>
        <v>0</v>
      </c>
      <c r="DJ83" s="214">
        <f>IF(AND(($E83+$C$1)&gt;DJ$4,DJ$4&gt;=$C$1),$H83,IF(AND(($D83+$C$1)&gt;DJ$4,DJ$4&gt;=$C$1),$G83,0))*IF($A83="Residential",'General Inputs'!V$15,'General Inputs'!V$19)</f>
        <v>0</v>
      </c>
      <c r="DK83" s="214">
        <f>IF(AND(($E83+$C$1)&gt;DK$4,DK$4&gt;=$C$1),$H83,IF(AND(($D83+$C$1)&gt;DK$4,DK$4&gt;=$C$1),$G83,0))*IF($A83="Residential",'General Inputs'!W$15,'General Inputs'!W$19)</f>
        <v>0</v>
      </c>
      <c r="DM83" s="214">
        <f t="shared" si="100"/>
        <v>0</v>
      </c>
      <c r="DN83" s="214">
        <f t="shared" si="100"/>
        <v>0</v>
      </c>
      <c r="DO83" s="214">
        <f t="shared" si="100"/>
        <v>0</v>
      </c>
      <c r="DP83" s="214">
        <f t="shared" si="100"/>
        <v>0</v>
      </c>
      <c r="DQ83" s="214">
        <f t="shared" si="100"/>
        <v>0</v>
      </c>
      <c r="DR83" s="214">
        <f t="shared" si="100"/>
        <v>0</v>
      </c>
      <c r="DS83" s="214">
        <f t="shared" si="100"/>
        <v>0</v>
      </c>
      <c r="DT83" s="214">
        <f t="shared" si="100"/>
        <v>0</v>
      </c>
      <c r="DU83" s="214">
        <f t="shared" si="100"/>
        <v>0</v>
      </c>
      <c r="DV83" s="214">
        <f t="shared" si="100"/>
        <v>0</v>
      </c>
      <c r="DW83" s="214">
        <f t="shared" si="100"/>
        <v>0</v>
      </c>
      <c r="DZ83" s="650"/>
      <c r="FI83" s="195"/>
      <c r="FJ83" s="195"/>
      <c r="FK83" s="195"/>
      <c r="FL83" s="195"/>
      <c r="FM83" s="195"/>
      <c r="FN83" s="195"/>
      <c r="FO83" s="195"/>
    </row>
    <row r="84" spans="1:171">
      <c r="A84" s="342" t="s">
        <v>112</v>
      </c>
      <c r="B84" s="427" t="str">
        <f>'Portfolio Inputs'!A83</f>
        <v>25≤60 W LED Fixtures (Exterior/Parking Garage)</v>
      </c>
      <c r="C84" s="217">
        <f>IF($C$1=2014,'Portfolio Inputs'!$C83,IF($C$1=2015,'Portfolio Inputs'!$D83,'Portfolio Inputs'!$E83))</f>
        <v>0</v>
      </c>
      <c r="D84" s="504">
        <f>VLOOKUP(B84,Sources!$B$4:$J$104,2,FALSE)</f>
        <v>15</v>
      </c>
      <c r="E84" s="504">
        <f>VLOOKUP(B84,Sources!$B$4:$J$104,3,FALSE)</f>
        <v>0</v>
      </c>
      <c r="G84" s="504">
        <f>IF($C$1=2014,'Portfolio Inputs'!$G83,IF($C$1=2015,'Portfolio Inputs'!$H83,'Portfolio Inputs'!$I83))*EnergyLineLoss</f>
        <v>0</v>
      </c>
      <c r="H84" s="504"/>
      <c r="I84" s="595">
        <f>IF($C$1=2014,'Portfolio Inputs'!$K83,IF($C$1=2015,'Portfolio Inputs'!$L83,'Portfolio Inputs'!$M83))*PeakLineLoss</f>
        <v>0</v>
      </c>
      <c r="J84" s="510"/>
      <c r="L84" s="606">
        <f>IF($C$1=2014,'Portfolio Inputs'!$O83,IF($C$1=2015,'Portfolio Inputs'!$P83,'Portfolio Inputs'!$Q83))</f>
        <v>250</v>
      </c>
      <c r="M84" s="518">
        <f>VLOOKUP($B84,Sources!$B$4:$K$104,10,FALSE)</f>
        <v>0</v>
      </c>
      <c r="N84" s="419">
        <f>IF($C$1=2014,'Portfolio Inputs'!$W83,IF($C$1=2015,'Portfolio Inputs'!$X83,'Portfolio Inputs'!$Y83))</f>
        <v>0</v>
      </c>
      <c r="O84" s="419">
        <f>IF($C$1=2014,'Portfolio Inputs'!$AA83,IF($C$1=2015,'Portfolio Inputs'!$AB83,'Portfolio Inputs'!$AC83))</f>
        <v>0</v>
      </c>
      <c r="Q84" s="438" t="str">
        <f t="shared" si="67"/>
        <v>n/a</v>
      </c>
      <c r="R84" s="439" t="str">
        <f t="shared" si="68"/>
        <v>n/a</v>
      </c>
      <c r="S84" s="439" t="str">
        <f t="shared" si="69"/>
        <v>n/a</v>
      </c>
      <c r="T84" s="439" t="str">
        <f t="shared" si="70"/>
        <v>n/a</v>
      </c>
      <c r="U84" s="439" t="str">
        <f t="shared" si="98"/>
        <v>n/a</v>
      </c>
      <c r="V84" s="439" t="str">
        <f t="shared" si="72"/>
        <v>n/a</v>
      </c>
      <c r="W84" s="439" t="str">
        <f t="shared" si="73"/>
        <v>n/a</v>
      </c>
      <c r="Y84" s="215">
        <f t="shared" si="101"/>
        <v>0</v>
      </c>
      <c r="Z84" s="215">
        <f t="shared" si="102"/>
        <v>0</v>
      </c>
      <c r="AA84" s="215">
        <f t="shared" si="103"/>
        <v>0</v>
      </c>
      <c r="AB84" s="215">
        <f t="shared" si="104"/>
        <v>0</v>
      </c>
      <c r="AC84" s="216">
        <f t="shared" si="20"/>
        <v>0</v>
      </c>
      <c r="AD84" s="216">
        <f t="shared" si="21"/>
        <v>0</v>
      </c>
      <c r="AE84" s="215">
        <f t="shared" si="105"/>
        <v>0</v>
      </c>
      <c r="AG84" s="214">
        <f>IF(AND(($E84+$C$1)&gt;AG$4,AG$4&gt;=$C$1),'General Inputs'!D$9*$H84,IF(AND(($D84+$C$1)&gt;AG$4,AG$4&gt;=$C$1),'General Inputs'!D$9*$G84,0))+IF(AND(($E84+$C$1)&gt;AG$4,AG$4&gt;=$C$1),'General Inputs'!D$10*$J84,IF(AND(($D84+$C$1)&gt;AG$4,AG$4&gt;=$C$1),'General Inputs'!D$10*$I84,0))</f>
        <v>0</v>
      </c>
      <c r="AH84" s="214">
        <f>IF(AND(($E84+$C$1)&gt;AH$4,AH$4&gt;=$C$1),'General Inputs'!E$9*$H84,IF(AND(($D84+$C$1)&gt;AH$4,AH$4&gt;=$C$1),'General Inputs'!E$9*$G84,0))+IF(AND(($E84+$C$1)&gt;AH$4,AH$4&gt;=$C$1),'General Inputs'!E$10*$J84,IF(AND(($D84+$C$1)&gt;AH$4,AH$4&gt;=$C$1),'General Inputs'!E$10*$I84,0))</f>
        <v>0</v>
      </c>
      <c r="AI84" s="214">
        <f>IF(AND(($E84+$C$1)&gt;AI$4,AI$4&gt;=$C$1),'General Inputs'!F$9*$H84,IF(AND(($D84+$C$1)&gt;AI$4,AI$4&gt;=$C$1),'General Inputs'!F$9*$G84,0))+IF(AND(($E84+$C$1)&gt;AI$4,AI$4&gt;=$C$1),'General Inputs'!F$10*$J84,IF(AND(($D84+$C$1)&gt;AI$4,AI$4&gt;=$C$1),'General Inputs'!F$10*$I84,0))</f>
        <v>0</v>
      </c>
      <c r="AJ84" s="214">
        <f>IF(AND(($E84+$C$1)&gt;AJ$4,AJ$4&gt;=$C$1),'General Inputs'!G$9*$H84,IF(AND(($D84+$C$1)&gt;AJ$4,AJ$4&gt;=$C$1),'General Inputs'!G$9*$G84,0))+IF(AND(($E84+$C$1)&gt;AJ$4,AJ$4&gt;=$C$1),'General Inputs'!G$10*$J84,IF(AND(($D84+$C$1)&gt;AJ$4,AJ$4&gt;=$C$1),'General Inputs'!G$10*$I84,0))</f>
        <v>0</v>
      </c>
      <c r="AK84" s="214">
        <f>IF(AND(($E84+$C$1)&gt;AK$4,AK$4&gt;=$C$1),'General Inputs'!H$9*$H84,IF(AND(($D84+$C$1)&gt;AK$4,AK$4&gt;=$C$1),'General Inputs'!H$9*$G84,0))+IF(AND(($E84+$C$1)&gt;AK$4,AK$4&gt;=$C$1),'General Inputs'!H$10*$J84,IF(AND(($D84+$C$1)&gt;AK$4,AK$4&gt;=$C$1),'General Inputs'!H$10*$I84,0))</f>
        <v>0</v>
      </c>
      <c r="AL84" s="214">
        <f>IF(AND(($E84+$C$1)&gt;AL$4,AL$4&gt;=$C$1),'General Inputs'!I$9*$H84,IF(AND(($D84+$C$1)&gt;AL$4,AL$4&gt;=$C$1),'General Inputs'!I$9*$G84,0))+IF(AND(($E84+$C$1)&gt;AL$4,AL$4&gt;=$C$1),'General Inputs'!I$10*$J84,IF(AND(($D84+$C$1)&gt;AL$4,AL$4&gt;=$C$1),'General Inputs'!I$10*$I84,0))</f>
        <v>0</v>
      </c>
      <c r="AM84" s="214">
        <f>IF(AND(($E84+$C$1)&gt;AM$4,AM$4&gt;=$C$1),'General Inputs'!J$9*$H84,IF(AND(($D84+$C$1)&gt;AM$4,AM$4&gt;=$C$1),'General Inputs'!J$9*$G84,0))+IF(AND(($E84+$C$1)&gt;AM$4,AM$4&gt;=$C$1),'General Inputs'!J$10*$J84,IF(AND(($D84+$C$1)&gt;AM$4,AM$4&gt;=$C$1),'General Inputs'!J$10*$I84,0))</f>
        <v>0</v>
      </c>
      <c r="AN84" s="214">
        <f>IF(AND(($E84+$C$1)&gt;AN$4,AN$4&gt;=$C$1),'General Inputs'!K$9*$H84,IF(AND(($D84+$C$1)&gt;AN$4,AN$4&gt;=$C$1),'General Inputs'!K$9*$G84,0))+IF(AND(($E84+$C$1)&gt;AN$4,AN$4&gt;=$C$1),'General Inputs'!K$10*$J84,IF(AND(($D84+$C$1)&gt;AN$4,AN$4&gt;=$C$1),'General Inputs'!K$10*$I84,0))</f>
        <v>0</v>
      </c>
      <c r="AO84" s="214">
        <f>IF(AND(($E84+$C$1)&gt;AO$4,AO$4&gt;=$C$1),'General Inputs'!L$9*$H84,IF(AND(($D84+$C$1)&gt;AO$4,AO$4&gt;=$C$1),'General Inputs'!L$9*$G84,0))+IF(AND(($E84+$C$1)&gt;AO$4,AO$4&gt;=$C$1),'General Inputs'!L$10*$J84,IF(AND(($D84+$C$1)&gt;AO$4,AO$4&gt;=$C$1),'General Inputs'!L$10*$I84,0))</f>
        <v>0</v>
      </c>
      <c r="AP84" s="214">
        <f>IF(AND(($E84+$C$1)&gt;AP$4,AP$4&gt;=$C$1),'General Inputs'!M$9*$H84,IF(AND(($D84+$C$1)&gt;AP$4,AP$4&gt;=$C$1),'General Inputs'!M$9*$G84,0))+IF(AND(($E84+$C$1)&gt;AP$4,AP$4&gt;=$C$1),'General Inputs'!M$10*$J84,IF(AND(($D84+$C$1)&gt;AP$4,AP$4&gt;=$C$1),'General Inputs'!M$10*$I84,0))</f>
        <v>0</v>
      </c>
      <c r="AQ84" s="214">
        <f>IF(AND(($E84+$C$1)&gt;AQ$4,AQ$4&gt;=$C$1),'General Inputs'!N$9*$H84,IF(AND(($D84+$C$1)&gt;AQ$4,AQ$4&gt;=$C$1),'General Inputs'!N$9*$G84,0))+IF(AND(($E84+$C$1)&gt;AQ$4,AQ$4&gt;=$C$1),'General Inputs'!N$10*$J84,IF(AND(($D84+$C$1)&gt;AQ$4,AQ$4&gt;=$C$1),'General Inputs'!N$10*$I84,0))</f>
        <v>0</v>
      </c>
      <c r="AR84" s="214">
        <f>IF(AND(($E84+$C$1)&gt;AR$4,AR$4&gt;=$C$1),'General Inputs'!O$9*$H84,IF(AND(($D84+$C$1)&gt;AR$4,AR$4&gt;=$C$1),'General Inputs'!O$9*$G84,0))+IF(AND(($E84+$C$1)&gt;AR$4,AR$4&gt;=$C$1),'General Inputs'!O$10*$J84,IF(AND(($D84+$C$1)&gt;AR$4,AR$4&gt;=$C$1),'General Inputs'!O$10*$I84,0))</f>
        <v>0</v>
      </c>
      <c r="AS84" s="214">
        <f>IF(AND(($E84+$C$1)&gt;AS$4,AS$4&gt;=$C$1),'General Inputs'!P$9*$H84,IF(AND(($D84+$C$1)&gt;AS$4,AS$4&gt;=$C$1),'General Inputs'!P$9*$G84,0))+IF(AND(($E84+$C$1)&gt;AS$4,AS$4&gt;=$C$1),'General Inputs'!P$10*$J84,IF(AND(($D84+$C$1)&gt;AS$4,AS$4&gt;=$C$1),'General Inputs'!P$10*$I84,0))</f>
        <v>0</v>
      </c>
      <c r="AT84" s="214">
        <f>IF(AND(($E84+$C$1)&gt;AT$4,AT$4&gt;=$C$1),'General Inputs'!Q$9*$H84,IF(AND(($D84+$C$1)&gt;AT$4,AT$4&gt;=$C$1),'General Inputs'!Q$9*$G84,0))+IF(AND(($E84+$C$1)&gt;AT$4,AT$4&gt;=$C$1),'General Inputs'!Q$10*$J84,IF(AND(($D84+$C$1)&gt;AT$4,AT$4&gt;=$C$1),'General Inputs'!Q$10*$I84,0))</f>
        <v>0</v>
      </c>
      <c r="AU84" s="214">
        <f>IF(AND(($E84+$C$1)&gt;AU$4,AU$4&gt;=$C$1),'General Inputs'!R$9*$H84,IF(AND(($D84+$C$1)&gt;AU$4,AU$4&gt;=$C$1),'General Inputs'!R$9*$G84,0))+IF(AND(($E84+$C$1)&gt;AU$4,AU$4&gt;=$C$1),'General Inputs'!R$10*$J84,IF(AND(($D84+$C$1)&gt;AU$4,AU$4&gt;=$C$1),'General Inputs'!R$10*$I84,0))</f>
        <v>0</v>
      </c>
      <c r="AV84" s="214">
        <f>IF(AND(($E84+$C$1)&gt;AV$4,AV$4&gt;=$C$1),'General Inputs'!S$9*$H84,IF(AND(($D84+$C$1)&gt;AV$4,AV$4&gt;=$C$1),'General Inputs'!S$9*$G84,0))+IF(AND(($E84+$C$1)&gt;AV$4,AV$4&gt;=$C$1),'General Inputs'!S$10*$J84,IF(AND(($D84+$C$1)&gt;AV$4,AV$4&gt;=$C$1),'General Inputs'!S$10*$I84,0))</f>
        <v>0</v>
      </c>
      <c r="AW84" s="214">
        <f>IF(AND(($E84+$C$1)&gt;AW$4,AW$4&gt;=$C$1),'General Inputs'!T$9*$H84,IF(AND(($D84+$C$1)&gt;AW$4,AW$4&gt;=$C$1),'General Inputs'!T$9*$G84,0))+IF(AND(($E84+$C$1)&gt;AW$4,AW$4&gt;=$C$1),'General Inputs'!T$10*$J84,IF(AND(($D84+$C$1)&gt;AW$4,AW$4&gt;=$C$1),'General Inputs'!T$10*$I84,0))</f>
        <v>0</v>
      </c>
      <c r="AX84" s="214">
        <f>IF(AND(($E84+$C$1)&gt;AX$4,AX$4&gt;=$C$1),'General Inputs'!U$9*$H84,IF(AND(($D84+$C$1)&gt;AX$4,AX$4&gt;=$C$1),'General Inputs'!U$9*$G84,0))+IF(AND(($E84+$C$1)&gt;AX$4,AX$4&gt;=$C$1),'General Inputs'!U$10*$J84,IF(AND(($D84+$C$1)&gt;AX$4,AX$4&gt;=$C$1),'General Inputs'!U$10*$I84,0))</f>
        <v>0</v>
      </c>
      <c r="AY84" s="214">
        <f>IF(AND(($E84+$C$1)&gt;AY$4,AY$4&gt;=$C$1),'General Inputs'!V$9*$H84,IF(AND(($D84+$C$1)&gt;AY$4,AY$4&gt;=$C$1),'General Inputs'!V$9*$G84,0))+IF(AND(($E84+$C$1)&gt;AY$4,AY$4&gt;=$C$1),'General Inputs'!V$10*$J84,IF(AND(($D84+$C$1)&gt;AY$4,AY$4&gt;=$C$1),'General Inputs'!V$10*$I84,0))</f>
        <v>0</v>
      </c>
      <c r="AZ84" s="214">
        <f>IF(AND(($E84+$C$1)&gt;AZ$4,AZ$4&gt;=$C$1),'General Inputs'!W$9*$H84,IF(AND(($D84+$C$1)&gt;AZ$4,AZ$4&gt;=$C$1),'General Inputs'!W$9*$G84,0))+IF(AND(($E84+$C$1)&gt;AZ$4,AZ$4&gt;=$C$1),'General Inputs'!W$10*$J84,IF(AND(($D84+$C$1)&gt;AZ$4,AZ$4&gt;=$C$1),'General Inputs'!W$10*$I84,0))</f>
        <v>0</v>
      </c>
      <c r="BB84" s="214">
        <f>IF(AND(($E84+$C$1)&gt;BB$4,BB$4&gt;=$C$1),'General Inputs'!D$11*$H84,IF(AND(($D84+$C$1)&gt;BB$4,BB$4&gt;=$C$1),'General Inputs'!D$11*$G84,0))</f>
        <v>0</v>
      </c>
      <c r="BC84" s="214">
        <f>IF(AND(($E84+$C$1)&gt;BC$4,BC$4&gt;=$C$1),'General Inputs'!E$11*$H84,IF(AND(($D84+$C$1)&gt;BC$4,BC$4&gt;=$C$1),'General Inputs'!E$11*$G84,0))</f>
        <v>0</v>
      </c>
      <c r="BD84" s="214">
        <f>IF(AND(($E84+$C$1)&gt;BD$4,BD$4&gt;=$C$1),'General Inputs'!F$11*$H84,IF(AND(($D84+$C$1)&gt;BD$4,BD$4&gt;=$C$1),'General Inputs'!F$11*$G84,0))</f>
        <v>0</v>
      </c>
      <c r="BE84" s="214">
        <f>IF(AND(($E84+$C$1)&gt;BE$4,BE$4&gt;=$C$1),'General Inputs'!G$11*$H84,IF(AND(($D84+$C$1)&gt;BE$4,BE$4&gt;=$C$1),'General Inputs'!G$11*$G84,0))</f>
        <v>0</v>
      </c>
      <c r="BF84" s="214">
        <f>IF(AND(($E84+$C$1)&gt;BF$4,BF$4&gt;=$C$1),'General Inputs'!H$11*$H84,IF(AND(($D84+$C$1)&gt;BF$4,BF$4&gt;=$C$1),'General Inputs'!H$11*$G84,0))</f>
        <v>0</v>
      </c>
      <c r="BG84" s="214">
        <f>IF(AND(($E84+$C$1)&gt;BG$4,BG$4&gt;=$C$1),'General Inputs'!I$11*$H84,IF(AND(($D84+$C$1)&gt;BG$4,BG$4&gt;=$C$1),'General Inputs'!I$11*$G84,0))</f>
        <v>0</v>
      </c>
      <c r="BH84" s="214">
        <f>IF(AND(($E84+$C$1)&gt;BH$4,BH$4&gt;=$C$1),'General Inputs'!J$11*$H84,IF(AND(($D84+$C$1)&gt;BH$4,BH$4&gt;=$C$1),'General Inputs'!J$11*$G84,0))</f>
        <v>0</v>
      </c>
      <c r="BI84" s="214">
        <f>IF(AND(($E84+$C$1)&gt;BI$4,BI$4&gt;=$C$1),'General Inputs'!K$11*$H84,IF(AND(($D84+$C$1)&gt;BI$4,BI$4&gt;=$C$1),'General Inputs'!K$11*$G84,0))</f>
        <v>0</v>
      </c>
      <c r="BJ84" s="214">
        <f>IF(AND(($E84+$C$1)&gt;BJ$4,BJ$4&gt;=$C$1),'General Inputs'!L$11*$H84,IF(AND(($D84+$C$1)&gt;BJ$4,BJ$4&gt;=$C$1),'General Inputs'!L$11*$G84,0))</f>
        <v>0</v>
      </c>
      <c r="BK84" s="214">
        <f>IF(AND(($E84+$C$1)&gt;BK$4,BK$4&gt;=$C$1),'General Inputs'!M$11*$H84,IF(AND(($D84+$C$1)&gt;BK$4,BK$4&gt;=$C$1),'General Inputs'!M$11*$G84,0))</f>
        <v>0</v>
      </c>
      <c r="BL84" s="214">
        <f>IF(AND(($E84+$C$1)&gt;BL$4,BL$4&gt;=$C$1),'General Inputs'!N$11*$H84,IF(AND(($D84+$C$1)&gt;BL$4,BL$4&gt;=$C$1),'General Inputs'!N$11*$G84,0))</f>
        <v>0</v>
      </c>
      <c r="BM84" s="214">
        <f>IF(AND(($E84+$C$1)&gt;BM$4,BM$4&gt;=$C$1),'General Inputs'!O$11*$H84,IF(AND(($D84+$C$1)&gt;BM$4,BM$4&gt;=$C$1),'General Inputs'!O$11*$G84,0))</f>
        <v>0</v>
      </c>
      <c r="BN84" s="214">
        <f>IF(AND(($E84+$C$1)&gt;BN$4,BN$4&gt;=$C$1),'General Inputs'!P$11*$H84,IF(AND(($D84+$C$1)&gt;BN$4,BN$4&gt;=$C$1),'General Inputs'!P$11*$G84,0))</f>
        <v>0</v>
      </c>
      <c r="BO84" s="214">
        <f>IF(AND(($E84+$C$1)&gt;BO$4,BO$4&gt;=$C$1),'General Inputs'!Q$11*$H84,IF(AND(($D84+$C$1)&gt;BO$4,BO$4&gt;=$C$1),'General Inputs'!Q$11*$G84,0))</f>
        <v>0</v>
      </c>
      <c r="BP84" s="214">
        <f>IF(AND(($E84+$C$1)&gt;BP$4,BP$4&gt;=$C$1),'General Inputs'!R$11*$H84,IF(AND(($D84+$C$1)&gt;BP$4,BP$4&gt;=$C$1),'General Inputs'!R$11*$G84,0))</f>
        <v>0</v>
      </c>
      <c r="BQ84" s="214">
        <f>IF(AND(($E84+$C$1)&gt;BQ$4,BQ$4&gt;=$C$1),'General Inputs'!S$11*$H84,IF(AND(($D84+$C$1)&gt;BQ$4,BQ$4&gt;=$C$1),'General Inputs'!S$11*$G84,0))</f>
        <v>0</v>
      </c>
      <c r="BR84" s="214">
        <f>IF(AND(($E84+$C$1)&gt;BR$4,BR$4&gt;=$C$1),'General Inputs'!T$11*$H84,IF(AND(($D84+$C$1)&gt;BR$4,BR$4&gt;=$C$1),'General Inputs'!T$11*$G84,0))</f>
        <v>0</v>
      </c>
      <c r="BS84" s="214">
        <f>IF(AND(($E84+$C$1)&gt;BS$4,BS$4&gt;=$C$1),'General Inputs'!U$11*$H84,IF(AND(($D84+$C$1)&gt;BS$4,BS$4&gt;=$C$1),'General Inputs'!U$11*$G84,0))</f>
        <v>0</v>
      </c>
      <c r="BT84" s="214">
        <f>IF(AND(($E84+$C$1)&gt;BT$4,BT$4&gt;=$C$1),'General Inputs'!V$11*$H84,IF(AND(($D84+$C$1)&gt;BT$4,BT$4&gt;=$C$1),'General Inputs'!V$11*$G84,0))</f>
        <v>0</v>
      </c>
      <c r="BU84" s="214">
        <f>IF(AND(($E84+$C$1)&gt;BU$4,BU$4&gt;=$C$1),'General Inputs'!W$11*$H84,IF(AND(($D84+$C$1)&gt;BU$4,BU$4&gt;=$C$1),'General Inputs'!W$11*$G84,0))</f>
        <v>0</v>
      </c>
      <c r="BW84" s="214">
        <f>IF(AND(($E84+$C$1)&gt;BW$4,BW$4&gt;=$C$1),$H84,IF(AND(($D84+$C$1)&gt;BW$4,BW$4&gt;=$C$1),$G84,0))*IF($A84="Residential",'General Inputs'!D$14,'General Inputs'!D$19)</f>
        <v>0</v>
      </c>
      <c r="BX84" s="214">
        <f>IF(AND(($E84+$C$1)&gt;BX$4,BX$4&gt;=$C$1),$H84,IF(AND(($D84+$C$1)&gt;BX$4,BX$4&gt;=$C$1),$G84,0))*IF($A84="Residential",'General Inputs'!E$14,'General Inputs'!E$19)</f>
        <v>0</v>
      </c>
      <c r="BY84" s="214">
        <f>IF(AND(($E84+$C$1)&gt;BY$4,BY$4&gt;=$C$1),$H84,IF(AND(($D84+$C$1)&gt;BY$4,BY$4&gt;=$C$1),$G84,0))*IF($A84="Residential",'General Inputs'!F$14,'General Inputs'!F$19)</f>
        <v>0</v>
      </c>
      <c r="BZ84" s="214">
        <f>IF(AND(($E84+$C$1)&gt;BZ$4,BZ$4&gt;=$C$1),$H84,IF(AND(($D84+$C$1)&gt;BZ$4,BZ$4&gt;=$C$1),$G84,0))*IF($A84="Residential",'General Inputs'!G$14,'General Inputs'!G$19)</f>
        <v>0</v>
      </c>
      <c r="CA84" s="214">
        <f>IF(AND(($E84+$C$1)&gt;CA$4,CA$4&gt;=$C$1),$H84,IF(AND(($D84+$C$1)&gt;CA$4,CA$4&gt;=$C$1),$G84,0))*IF($A84="Residential",'General Inputs'!H$14,'General Inputs'!H$19)</f>
        <v>0</v>
      </c>
      <c r="CB84" s="214">
        <f>IF(AND(($E84+$C$1)&gt;CB$4,CB$4&gt;=$C$1),$H84,IF(AND(($D84+$C$1)&gt;CB$4,CB$4&gt;=$C$1),$G84,0))*IF($A84="Residential",'General Inputs'!I$14,'General Inputs'!I$19)</f>
        <v>0</v>
      </c>
      <c r="CC84" s="214">
        <f>IF(AND(($E84+$C$1)&gt;CC$4,CC$4&gt;=$C$1),$H84,IF(AND(($D84+$C$1)&gt;CC$4,CC$4&gt;=$C$1),$G84,0))*IF($A84="Residential",'General Inputs'!J$14,'General Inputs'!J$19)</f>
        <v>0</v>
      </c>
      <c r="CD84" s="214">
        <f>IF(AND(($E84+$C$1)&gt;CD$4,CD$4&gt;=$C$1),$H84,IF(AND(($D84+$C$1)&gt;CD$4,CD$4&gt;=$C$1),$G84,0))*IF($A84="Residential",'General Inputs'!K$14,'General Inputs'!K$19)</f>
        <v>0</v>
      </c>
      <c r="CE84" s="214">
        <f>IF(AND(($E84+$C$1)&gt;CE$4,CE$4&gt;=$C$1),$H84,IF(AND(($D84+$C$1)&gt;CE$4,CE$4&gt;=$C$1),$G84,0))*IF($A84="Residential",'General Inputs'!L$14,'General Inputs'!L$19)</f>
        <v>0</v>
      </c>
      <c r="CF84" s="214">
        <f>IF(AND(($E84+$C$1)&gt;CF$4,CF$4&gt;=$C$1),$H84,IF(AND(($D84+$C$1)&gt;CF$4,CF$4&gt;=$C$1),$G84,0))*IF($A84="Residential",'General Inputs'!M$14,'General Inputs'!M$19)</f>
        <v>0</v>
      </c>
      <c r="CG84" s="214">
        <f>IF(AND(($E84+$C$1)&gt;CG$4,CG$4&gt;=$C$1),$H84,IF(AND(($D84+$C$1)&gt;CG$4,CG$4&gt;=$C$1),$G84,0))*IF($A84="Residential",'General Inputs'!N$14,'General Inputs'!N$19)</f>
        <v>0</v>
      </c>
      <c r="CH84" s="214">
        <f>IF(AND(($E84+$C$1)&gt;CH$4,CH$4&gt;=$C$1),$H84,IF(AND(($D84+$C$1)&gt;CH$4,CH$4&gt;=$C$1),$G84,0))*IF($A84="Residential",'General Inputs'!O$14,'General Inputs'!O$19)</f>
        <v>0</v>
      </c>
      <c r="CI84" s="214">
        <f>IF(AND(($E84+$C$1)&gt;CI$4,CI$4&gt;=$C$1),$H84,IF(AND(($D84+$C$1)&gt;CI$4,CI$4&gt;=$C$1),$G84,0))*IF($A84="Residential",'General Inputs'!P$14,'General Inputs'!P$19)</f>
        <v>0</v>
      </c>
      <c r="CJ84" s="214">
        <f>IF(AND(($E84+$C$1)&gt;CJ$4,CJ$4&gt;=$C$1),$H84,IF(AND(($D84+$C$1)&gt;CJ$4,CJ$4&gt;=$C$1),$G84,0))*IF($A84="Residential",'General Inputs'!Q$14,'General Inputs'!Q$19)</f>
        <v>0</v>
      </c>
      <c r="CK84" s="214">
        <f>IF(AND(($E84+$C$1)&gt;CK$4,CK$4&gt;=$C$1),$H84,IF(AND(($D84+$C$1)&gt;CK$4,CK$4&gt;=$C$1),$G84,0))*IF($A84="Residential",'General Inputs'!R$14,'General Inputs'!R$19)</f>
        <v>0</v>
      </c>
      <c r="CL84" s="214">
        <f>IF(AND(($E84+$C$1)&gt;CL$4,CL$4&gt;=$C$1),$H84,IF(AND(($D84+$C$1)&gt;CL$4,CL$4&gt;=$C$1),$G84,0))*IF($A84="Residential",'General Inputs'!S$14,'General Inputs'!S$19)</f>
        <v>0</v>
      </c>
      <c r="CM84" s="214">
        <f>IF(AND(($E84+$C$1)&gt;CM$4,CM$4&gt;=$C$1),$H84,IF(AND(($D84+$C$1)&gt;CM$4,CM$4&gt;=$C$1),$G84,0))*IF($A84="Residential",'General Inputs'!T$14,'General Inputs'!T$19)</f>
        <v>0</v>
      </c>
      <c r="CN84" s="214">
        <f>IF(AND(($E84+$C$1)&gt;CN$4,CN$4&gt;=$C$1),$H84,IF(AND(($D84+$C$1)&gt;CN$4,CN$4&gt;=$C$1),$G84,0))*IF($A84="Residential",'General Inputs'!U$14,'General Inputs'!U$19)</f>
        <v>0</v>
      </c>
      <c r="CO84" s="214">
        <f>IF(AND(($E84+$C$1)&gt;CO$4,CO$4&gt;=$C$1),$H84,IF(AND(($D84+$C$1)&gt;CO$4,CO$4&gt;=$C$1),$G84,0))*IF($A84="Residential",'General Inputs'!V$14,'General Inputs'!V$19)</f>
        <v>0</v>
      </c>
      <c r="CP84" s="214">
        <f>IF(AND(($E84+$C$1)&gt;CP$4,CP$4&gt;=$C$1),$H84,IF(AND(($D84+$C$1)&gt;CP$4,CP$4&gt;=$C$1),$G84,0))*IF($A84="Residential",'General Inputs'!W$14,'General Inputs'!W$19)</f>
        <v>0</v>
      </c>
      <c r="CR84" s="214">
        <f>IF(AND(($E84+$C$1)&gt;CR$4,CR$4&gt;=$C$1),$H84,IF(AND(($D84+$C$1)&gt;CR$4,CR$4&gt;=$C$1),$G84,0))*IF($A84="Residential",'General Inputs'!D$15,'General Inputs'!D$19)</f>
        <v>0</v>
      </c>
      <c r="CS84" s="214">
        <f>IF(AND(($E84+$C$1)&gt;CS$4,CS$4&gt;=$C$1),$H84,IF(AND(($D84+$C$1)&gt;CS$4,CS$4&gt;=$C$1),$G84,0))*IF($A84="Residential",'General Inputs'!E$15,'General Inputs'!E$19)</f>
        <v>0</v>
      </c>
      <c r="CT84" s="214">
        <f>IF(AND(($E84+$C$1)&gt;CT$4,CT$4&gt;=$C$1),$H84,IF(AND(($D84+$C$1)&gt;CT$4,CT$4&gt;=$C$1),$G84,0))*IF($A84="Residential",'General Inputs'!F$15,'General Inputs'!F$19)</f>
        <v>0</v>
      </c>
      <c r="CU84" s="214">
        <f>IF(AND(($E84+$C$1)&gt;CU$4,CU$4&gt;=$C$1),$H84,IF(AND(($D84+$C$1)&gt;CU$4,CU$4&gt;=$C$1),$G84,0))*IF($A84="Residential",'General Inputs'!G$15,'General Inputs'!G$19)</f>
        <v>0</v>
      </c>
      <c r="CV84" s="214">
        <f>IF(AND(($E84+$C$1)&gt;CV$4,CV$4&gt;=$C$1),$H84,IF(AND(($D84+$C$1)&gt;CV$4,CV$4&gt;=$C$1),$G84,0))*IF($A84="Residential",'General Inputs'!H$15,'General Inputs'!H$19)</f>
        <v>0</v>
      </c>
      <c r="CW84" s="214">
        <f>IF(AND(($E84+$C$1)&gt;CW$4,CW$4&gt;=$C$1),$H84,IF(AND(($D84+$C$1)&gt;CW$4,CW$4&gt;=$C$1),$G84,0))*IF($A84="Residential",'General Inputs'!I$15,'General Inputs'!I$19)</f>
        <v>0</v>
      </c>
      <c r="CX84" s="214">
        <f>IF(AND(($E84+$C$1)&gt;CX$4,CX$4&gt;=$C$1),$H84,IF(AND(($D84+$C$1)&gt;CX$4,CX$4&gt;=$C$1),$G84,0))*IF($A84="Residential",'General Inputs'!J$15,'General Inputs'!J$19)</f>
        <v>0</v>
      </c>
      <c r="CY84" s="214">
        <f>IF(AND(($E84+$C$1)&gt;CY$4,CY$4&gt;=$C$1),$H84,IF(AND(($D84+$C$1)&gt;CY$4,CY$4&gt;=$C$1),$G84,0))*IF($A84="Residential",'General Inputs'!K$15,'General Inputs'!K$19)</f>
        <v>0</v>
      </c>
      <c r="CZ84" s="214">
        <f>IF(AND(($E84+$C$1)&gt;CZ$4,CZ$4&gt;=$C$1),$H84,IF(AND(($D84+$C$1)&gt;CZ$4,CZ$4&gt;=$C$1),$G84,0))*IF($A84="Residential",'General Inputs'!L$15,'General Inputs'!L$19)</f>
        <v>0</v>
      </c>
      <c r="DA84" s="214">
        <f>IF(AND(($E84+$C$1)&gt;DA$4,DA$4&gt;=$C$1),$H84,IF(AND(($D84+$C$1)&gt;DA$4,DA$4&gt;=$C$1),$G84,0))*IF($A84="Residential",'General Inputs'!M$15,'General Inputs'!M$19)</f>
        <v>0</v>
      </c>
      <c r="DB84" s="214">
        <f>IF(AND(($E84+$C$1)&gt;DB$4,DB$4&gt;=$C$1),$H84,IF(AND(($D84+$C$1)&gt;DB$4,DB$4&gt;=$C$1),$G84,0))*IF($A84="Residential",'General Inputs'!N$15,'General Inputs'!N$19)</f>
        <v>0</v>
      </c>
      <c r="DC84" s="214">
        <f>IF(AND(($E84+$C$1)&gt;DC$4,DC$4&gt;=$C$1),$H84,IF(AND(($D84+$C$1)&gt;DC$4,DC$4&gt;=$C$1),$G84,0))*IF($A84="Residential",'General Inputs'!O$15,'General Inputs'!O$19)</f>
        <v>0</v>
      </c>
      <c r="DD84" s="214">
        <f>IF(AND(($E84+$C$1)&gt;DD$4,DD$4&gt;=$C$1),$H84,IF(AND(($D84+$C$1)&gt;DD$4,DD$4&gt;=$C$1),$G84,0))*IF($A84="Residential",'General Inputs'!P$15,'General Inputs'!P$19)</f>
        <v>0</v>
      </c>
      <c r="DE84" s="214">
        <f>IF(AND(($E84+$C$1)&gt;DE$4,DE$4&gt;=$C$1),$H84,IF(AND(($D84+$C$1)&gt;DE$4,DE$4&gt;=$C$1),$G84,0))*IF($A84="Residential",'General Inputs'!Q$15,'General Inputs'!Q$19)</f>
        <v>0</v>
      </c>
      <c r="DF84" s="214">
        <f>IF(AND(($E84+$C$1)&gt;DF$4,DF$4&gt;=$C$1),$H84,IF(AND(($D84+$C$1)&gt;DF$4,DF$4&gt;=$C$1),$G84,0))*IF($A84="Residential",'General Inputs'!R$15,'General Inputs'!R$19)</f>
        <v>0</v>
      </c>
      <c r="DG84" s="214">
        <f>IF(AND(($E84+$C$1)&gt;DG$4,DG$4&gt;=$C$1),$H84,IF(AND(($D84+$C$1)&gt;DG$4,DG$4&gt;=$C$1),$G84,0))*IF($A84="Residential",'General Inputs'!S$15,'General Inputs'!S$19)</f>
        <v>0</v>
      </c>
      <c r="DH84" s="214">
        <f>IF(AND(($E84+$C$1)&gt;DH$4,DH$4&gt;=$C$1),$H84,IF(AND(($D84+$C$1)&gt;DH$4,DH$4&gt;=$C$1),$G84,0))*IF($A84="Residential",'General Inputs'!T$15,'General Inputs'!T$19)</f>
        <v>0</v>
      </c>
      <c r="DI84" s="214">
        <f>IF(AND(($E84+$C$1)&gt;DI$4,DI$4&gt;=$C$1),$H84,IF(AND(($D84+$C$1)&gt;DI$4,DI$4&gt;=$C$1),$G84,0))*IF($A84="Residential",'General Inputs'!U$15,'General Inputs'!U$19)</f>
        <v>0</v>
      </c>
      <c r="DJ84" s="214">
        <f>IF(AND(($E84+$C$1)&gt;DJ$4,DJ$4&gt;=$C$1),$H84,IF(AND(($D84+$C$1)&gt;DJ$4,DJ$4&gt;=$C$1),$G84,0))*IF($A84="Residential",'General Inputs'!V$15,'General Inputs'!V$19)</f>
        <v>0</v>
      </c>
      <c r="DK84" s="214">
        <f>IF(AND(($E84+$C$1)&gt;DK$4,DK$4&gt;=$C$1),$H84,IF(AND(($D84+$C$1)&gt;DK$4,DK$4&gt;=$C$1),$G84,0))*IF($A84="Residential",'General Inputs'!W$15,'General Inputs'!W$19)</f>
        <v>0</v>
      </c>
      <c r="DM84" s="214">
        <f t="shared" ref="DM84:DW85" si="106">IF($C$1=DM$4,$L84*$C84,IF($E84+$C$1=DM$4,-$M84*$C84,0))</f>
        <v>0</v>
      </c>
      <c r="DN84" s="214">
        <f t="shared" si="106"/>
        <v>0</v>
      </c>
      <c r="DO84" s="214">
        <f t="shared" si="106"/>
        <v>0</v>
      </c>
      <c r="DP84" s="214">
        <f t="shared" si="106"/>
        <v>0</v>
      </c>
      <c r="DQ84" s="214">
        <f t="shared" si="106"/>
        <v>0</v>
      </c>
      <c r="DR84" s="214">
        <f t="shared" si="106"/>
        <v>0</v>
      </c>
      <c r="DS84" s="214">
        <f t="shared" si="106"/>
        <v>0</v>
      </c>
      <c r="DT84" s="214">
        <f t="shared" si="106"/>
        <v>0</v>
      </c>
      <c r="DU84" s="214">
        <f t="shared" si="106"/>
        <v>0</v>
      </c>
      <c r="DV84" s="214">
        <f t="shared" si="106"/>
        <v>0</v>
      </c>
      <c r="DW84" s="214">
        <f t="shared" si="106"/>
        <v>0</v>
      </c>
      <c r="DZ84" s="650"/>
      <c r="FI84" s="195"/>
      <c r="FJ84" s="195"/>
      <c r="FK84" s="195"/>
      <c r="FL84" s="195"/>
      <c r="FM84" s="195"/>
      <c r="FN84" s="195"/>
      <c r="FO84" s="195"/>
    </row>
    <row r="85" spans="1:171">
      <c r="A85" s="342" t="s">
        <v>112</v>
      </c>
      <c r="B85" s="427" t="str">
        <f>'Portfolio Inputs'!A84</f>
        <v>60≤155 W LED Fixtures (Exterior/Parking Garage)</v>
      </c>
      <c r="C85" s="217">
        <f>IF($C$1=2014,'Portfolio Inputs'!$C84,IF($C$1=2015,'Portfolio Inputs'!$D84,'Portfolio Inputs'!$E84))</f>
        <v>0</v>
      </c>
      <c r="D85" s="504">
        <f>VLOOKUP(B85,Sources!$B$4:$J$104,2,FALSE)</f>
        <v>15</v>
      </c>
      <c r="E85" s="504">
        <f>VLOOKUP(B85,Sources!$B$4:$J$104,3,FALSE)</f>
        <v>0</v>
      </c>
      <c r="G85" s="504">
        <f>IF($C$1=2014,'Portfolio Inputs'!$G84,IF($C$1=2015,'Portfolio Inputs'!$H84,'Portfolio Inputs'!$I84))*EnergyLineLoss</f>
        <v>0</v>
      </c>
      <c r="H85" s="504"/>
      <c r="I85" s="595">
        <f>IF($C$1=2014,'Portfolio Inputs'!$K84,IF($C$1=2015,'Portfolio Inputs'!$L84,'Portfolio Inputs'!$M84))*PeakLineLoss</f>
        <v>0</v>
      </c>
      <c r="J85" s="510"/>
      <c r="L85" s="606">
        <f>IF($C$1=2014,'Portfolio Inputs'!$O84,IF($C$1=2015,'Portfolio Inputs'!$P84,'Portfolio Inputs'!$Q84))</f>
        <v>375</v>
      </c>
      <c r="M85" s="518">
        <f>VLOOKUP($B85,Sources!$B$4:$K$104,10,FALSE)</f>
        <v>0</v>
      </c>
      <c r="N85" s="419">
        <f>IF($C$1=2014,'Portfolio Inputs'!$W84,IF($C$1=2015,'Portfolio Inputs'!$X84,'Portfolio Inputs'!$Y84))</f>
        <v>0</v>
      </c>
      <c r="O85" s="419">
        <f>IF($C$1=2014,'Portfolio Inputs'!$AA84,IF($C$1=2015,'Portfolio Inputs'!$AB84,'Portfolio Inputs'!$AC84))</f>
        <v>0</v>
      </c>
      <c r="Q85" s="438" t="str">
        <f t="shared" si="67"/>
        <v>n/a</v>
      </c>
      <c r="R85" s="439" t="str">
        <f t="shared" si="68"/>
        <v>n/a</v>
      </c>
      <c r="S85" s="439" t="str">
        <f t="shared" si="69"/>
        <v>n/a</v>
      </c>
      <c r="T85" s="439" t="str">
        <f t="shared" si="70"/>
        <v>n/a</v>
      </c>
      <c r="U85" s="439" t="str">
        <f t="shared" si="98"/>
        <v>n/a</v>
      </c>
      <c r="V85" s="439" t="str">
        <f t="shared" si="72"/>
        <v>n/a</v>
      </c>
      <c r="W85" s="439" t="str">
        <f t="shared" si="73"/>
        <v>n/a</v>
      </c>
      <c r="Y85" s="215">
        <f t="shared" si="101"/>
        <v>0</v>
      </c>
      <c r="Z85" s="215">
        <f t="shared" si="102"/>
        <v>0</v>
      </c>
      <c r="AA85" s="215">
        <f t="shared" si="103"/>
        <v>0</v>
      </c>
      <c r="AB85" s="215">
        <f t="shared" si="104"/>
        <v>0</v>
      </c>
      <c r="AC85" s="216">
        <f t="shared" si="20"/>
        <v>0</v>
      </c>
      <c r="AD85" s="216">
        <f t="shared" si="21"/>
        <v>0</v>
      </c>
      <c r="AE85" s="215">
        <f t="shared" si="105"/>
        <v>0</v>
      </c>
      <c r="AG85" s="214">
        <f>IF(AND(($E85+$C$1)&gt;AG$4,AG$4&gt;=$C$1),'General Inputs'!D$9*$H85,IF(AND(($D85+$C$1)&gt;AG$4,AG$4&gt;=$C$1),'General Inputs'!D$9*$G85,0))+IF(AND(($E85+$C$1)&gt;AG$4,AG$4&gt;=$C$1),'General Inputs'!D$10*$J85,IF(AND(($D85+$C$1)&gt;AG$4,AG$4&gt;=$C$1),'General Inputs'!D$10*$I85,0))</f>
        <v>0</v>
      </c>
      <c r="AH85" s="214">
        <f>IF(AND(($E85+$C$1)&gt;AH$4,AH$4&gt;=$C$1),'General Inputs'!E$9*$H85,IF(AND(($D85+$C$1)&gt;AH$4,AH$4&gt;=$C$1),'General Inputs'!E$9*$G85,0))+IF(AND(($E85+$C$1)&gt;AH$4,AH$4&gt;=$C$1),'General Inputs'!E$10*$J85,IF(AND(($D85+$C$1)&gt;AH$4,AH$4&gt;=$C$1),'General Inputs'!E$10*$I85,0))</f>
        <v>0</v>
      </c>
      <c r="AI85" s="214">
        <f>IF(AND(($E85+$C$1)&gt;AI$4,AI$4&gt;=$C$1),'General Inputs'!F$9*$H85,IF(AND(($D85+$C$1)&gt;AI$4,AI$4&gt;=$C$1),'General Inputs'!F$9*$G85,0))+IF(AND(($E85+$C$1)&gt;AI$4,AI$4&gt;=$C$1),'General Inputs'!F$10*$J85,IF(AND(($D85+$C$1)&gt;AI$4,AI$4&gt;=$C$1),'General Inputs'!F$10*$I85,0))</f>
        <v>0</v>
      </c>
      <c r="AJ85" s="214">
        <f>IF(AND(($E85+$C$1)&gt;AJ$4,AJ$4&gt;=$C$1),'General Inputs'!G$9*$H85,IF(AND(($D85+$C$1)&gt;AJ$4,AJ$4&gt;=$C$1),'General Inputs'!G$9*$G85,0))+IF(AND(($E85+$C$1)&gt;AJ$4,AJ$4&gt;=$C$1),'General Inputs'!G$10*$J85,IF(AND(($D85+$C$1)&gt;AJ$4,AJ$4&gt;=$C$1),'General Inputs'!G$10*$I85,0))</f>
        <v>0</v>
      </c>
      <c r="AK85" s="214">
        <f>IF(AND(($E85+$C$1)&gt;AK$4,AK$4&gt;=$C$1),'General Inputs'!H$9*$H85,IF(AND(($D85+$C$1)&gt;AK$4,AK$4&gt;=$C$1),'General Inputs'!H$9*$G85,0))+IF(AND(($E85+$C$1)&gt;AK$4,AK$4&gt;=$C$1),'General Inputs'!H$10*$J85,IF(AND(($D85+$C$1)&gt;AK$4,AK$4&gt;=$C$1),'General Inputs'!H$10*$I85,0))</f>
        <v>0</v>
      </c>
      <c r="AL85" s="214">
        <f>IF(AND(($E85+$C$1)&gt;AL$4,AL$4&gt;=$C$1),'General Inputs'!I$9*$H85,IF(AND(($D85+$C$1)&gt;AL$4,AL$4&gt;=$C$1),'General Inputs'!I$9*$G85,0))+IF(AND(($E85+$C$1)&gt;AL$4,AL$4&gt;=$C$1),'General Inputs'!I$10*$J85,IF(AND(($D85+$C$1)&gt;AL$4,AL$4&gt;=$C$1),'General Inputs'!I$10*$I85,0))</f>
        <v>0</v>
      </c>
      <c r="AM85" s="214">
        <f>IF(AND(($E85+$C$1)&gt;AM$4,AM$4&gt;=$C$1),'General Inputs'!J$9*$H85,IF(AND(($D85+$C$1)&gt;AM$4,AM$4&gt;=$C$1),'General Inputs'!J$9*$G85,0))+IF(AND(($E85+$C$1)&gt;AM$4,AM$4&gt;=$C$1),'General Inputs'!J$10*$J85,IF(AND(($D85+$C$1)&gt;AM$4,AM$4&gt;=$C$1),'General Inputs'!J$10*$I85,0))</f>
        <v>0</v>
      </c>
      <c r="AN85" s="214">
        <f>IF(AND(($E85+$C$1)&gt;AN$4,AN$4&gt;=$C$1),'General Inputs'!K$9*$H85,IF(AND(($D85+$C$1)&gt;AN$4,AN$4&gt;=$C$1),'General Inputs'!K$9*$G85,0))+IF(AND(($E85+$C$1)&gt;AN$4,AN$4&gt;=$C$1),'General Inputs'!K$10*$J85,IF(AND(($D85+$C$1)&gt;AN$4,AN$4&gt;=$C$1),'General Inputs'!K$10*$I85,0))</f>
        <v>0</v>
      </c>
      <c r="AO85" s="214">
        <f>IF(AND(($E85+$C$1)&gt;AO$4,AO$4&gt;=$C$1),'General Inputs'!L$9*$H85,IF(AND(($D85+$C$1)&gt;AO$4,AO$4&gt;=$C$1),'General Inputs'!L$9*$G85,0))+IF(AND(($E85+$C$1)&gt;AO$4,AO$4&gt;=$C$1),'General Inputs'!L$10*$J85,IF(AND(($D85+$C$1)&gt;AO$4,AO$4&gt;=$C$1),'General Inputs'!L$10*$I85,0))</f>
        <v>0</v>
      </c>
      <c r="AP85" s="214">
        <f>IF(AND(($E85+$C$1)&gt;AP$4,AP$4&gt;=$C$1),'General Inputs'!M$9*$H85,IF(AND(($D85+$C$1)&gt;AP$4,AP$4&gt;=$C$1),'General Inputs'!M$9*$G85,0))+IF(AND(($E85+$C$1)&gt;AP$4,AP$4&gt;=$C$1),'General Inputs'!M$10*$J85,IF(AND(($D85+$C$1)&gt;AP$4,AP$4&gt;=$C$1),'General Inputs'!M$10*$I85,0))</f>
        <v>0</v>
      </c>
      <c r="AQ85" s="214">
        <f>IF(AND(($E85+$C$1)&gt;AQ$4,AQ$4&gt;=$C$1),'General Inputs'!N$9*$H85,IF(AND(($D85+$C$1)&gt;AQ$4,AQ$4&gt;=$C$1),'General Inputs'!N$9*$G85,0))+IF(AND(($E85+$C$1)&gt;AQ$4,AQ$4&gt;=$C$1),'General Inputs'!N$10*$J85,IF(AND(($D85+$C$1)&gt;AQ$4,AQ$4&gt;=$C$1),'General Inputs'!N$10*$I85,0))</f>
        <v>0</v>
      </c>
      <c r="AR85" s="214">
        <f>IF(AND(($E85+$C$1)&gt;AR$4,AR$4&gt;=$C$1),'General Inputs'!O$9*$H85,IF(AND(($D85+$C$1)&gt;AR$4,AR$4&gt;=$C$1),'General Inputs'!O$9*$G85,0))+IF(AND(($E85+$C$1)&gt;AR$4,AR$4&gt;=$C$1),'General Inputs'!O$10*$J85,IF(AND(($D85+$C$1)&gt;AR$4,AR$4&gt;=$C$1),'General Inputs'!O$10*$I85,0))</f>
        <v>0</v>
      </c>
      <c r="AS85" s="214">
        <f>IF(AND(($E85+$C$1)&gt;AS$4,AS$4&gt;=$C$1),'General Inputs'!P$9*$H85,IF(AND(($D85+$C$1)&gt;AS$4,AS$4&gt;=$C$1),'General Inputs'!P$9*$G85,0))+IF(AND(($E85+$C$1)&gt;AS$4,AS$4&gt;=$C$1),'General Inputs'!P$10*$J85,IF(AND(($D85+$C$1)&gt;AS$4,AS$4&gt;=$C$1),'General Inputs'!P$10*$I85,0))</f>
        <v>0</v>
      </c>
      <c r="AT85" s="214">
        <f>IF(AND(($E85+$C$1)&gt;AT$4,AT$4&gt;=$C$1),'General Inputs'!Q$9*$H85,IF(AND(($D85+$C$1)&gt;AT$4,AT$4&gt;=$C$1),'General Inputs'!Q$9*$G85,0))+IF(AND(($E85+$C$1)&gt;AT$4,AT$4&gt;=$C$1),'General Inputs'!Q$10*$J85,IF(AND(($D85+$C$1)&gt;AT$4,AT$4&gt;=$C$1),'General Inputs'!Q$10*$I85,0))</f>
        <v>0</v>
      </c>
      <c r="AU85" s="214">
        <f>IF(AND(($E85+$C$1)&gt;AU$4,AU$4&gt;=$C$1),'General Inputs'!R$9*$H85,IF(AND(($D85+$C$1)&gt;AU$4,AU$4&gt;=$C$1),'General Inputs'!R$9*$G85,0))+IF(AND(($E85+$C$1)&gt;AU$4,AU$4&gt;=$C$1),'General Inputs'!R$10*$J85,IF(AND(($D85+$C$1)&gt;AU$4,AU$4&gt;=$C$1),'General Inputs'!R$10*$I85,0))</f>
        <v>0</v>
      </c>
      <c r="AV85" s="214">
        <f>IF(AND(($E85+$C$1)&gt;AV$4,AV$4&gt;=$C$1),'General Inputs'!S$9*$H85,IF(AND(($D85+$C$1)&gt;AV$4,AV$4&gt;=$C$1),'General Inputs'!S$9*$G85,0))+IF(AND(($E85+$C$1)&gt;AV$4,AV$4&gt;=$C$1),'General Inputs'!S$10*$J85,IF(AND(($D85+$C$1)&gt;AV$4,AV$4&gt;=$C$1),'General Inputs'!S$10*$I85,0))</f>
        <v>0</v>
      </c>
      <c r="AW85" s="214">
        <f>IF(AND(($E85+$C$1)&gt;AW$4,AW$4&gt;=$C$1),'General Inputs'!T$9*$H85,IF(AND(($D85+$C$1)&gt;AW$4,AW$4&gt;=$C$1),'General Inputs'!T$9*$G85,0))+IF(AND(($E85+$C$1)&gt;AW$4,AW$4&gt;=$C$1),'General Inputs'!T$10*$J85,IF(AND(($D85+$C$1)&gt;AW$4,AW$4&gt;=$C$1),'General Inputs'!T$10*$I85,0))</f>
        <v>0</v>
      </c>
      <c r="AX85" s="214">
        <f>IF(AND(($E85+$C$1)&gt;AX$4,AX$4&gt;=$C$1),'General Inputs'!U$9*$H85,IF(AND(($D85+$C$1)&gt;AX$4,AX$4&gt;=$C$1),'General Inputs'!U$9*$G85,0))+IF(AND(($E85+$C$1)&gt;AX$4,AX$4&gt;=$C$1),'General Inputs'!U$10*$J85,IF(AND(($D85+$C$1)&gt;AX$4,AX$4&gt;=$C$1),'General Inputs'!U$10*$I85,0))</f>
        <v>0</v>
      </c>
      <c r="AY85" s="214">
        <f>IF(AND(($E85+$C$1)&gt;AY$4,AY$4&gt;=$C$1),'General Inputs'!V$9*$H85,IF(AND(($D85+$C$1)&gt;AY$4,AY$4&gt;=$C$1),'General Inputs'!V$9*$G85,0))+IF(AND(($E85+$C$1)&gt;AY$4,AY$4&gt;=$C$1),'General Inputs'!V$10*$J85,IF(AND(($D85+$C$1)&gt;AY$4,AY$4&gt;=$C$1),'General Inputs'!V$10*$I85,0))</f>
        <v>0</v>
      </c>
      <c r="AZ85" s="214">
        <f>IF(AND(($E85+$C$1)&gt;AZ$4,AZ$4&gt;=$C$1),'General Inputs'!W$9*$H85,IF(AND(($D85+$C$1)&gt;AZ$4,AZ$4&gt;=$C$1),'General Inputs'!W$9*$G85,0))+IF(AND(($E85+$C$1)&gt;AZ$4,AZ$4&gt;=$C$1),'General Inputs'!W$10*$J85,IF(AND(($D85+$C$1)&gt;AZ$4,AZ$4&gt;=$C$1),'General Inputs'!W$10*$I85,0))</f>
        <v>0</v>
      </c>
      <c r="BB85" s="214">
        <f>IF(AND(($E85+$C$1)&gt;BB$4,BB$4&gt;=$C$1),'General Inputs'!D$11*$H85,IF(AND(($D85+$C$1)&gt;BB$4,BB$4&gt;=$C$1),'General Inputs'!D$11*$G85,0))</f>
        <v>0</v>
      </c>
      <c r="BC85" s="214">
        <f>IF(AND(($E85+$C$1)&gt;BC$4,BC$4&gt;=$C$1),'General Inputs'!E$11*$H85,IF(AND(($D85+$C$1)&gt;BC$4,BC$4&gt;=$C$1),'General Inputs'!E$11*$G85,0))</f>
        <v>0</v>
      </c>
      <c r="BD85" s="214">
        <f>IF(AND(($E85+$C$1)&gt;BD$4,BD$4&gt;=$C$1),'General Inputs'!F$11*$H85,IF(AND(($D85+$C$1)&gt;BD$4,BD$4&gt;=$C$1),'General Inputs'!F$11*$G85,0))</f>
        <v>0</v>
      </c>
      <c r="BE85" s="214">
        <f>IF(AND(($E85+$C$1)&gt;BE$4,BE$4&gt;=$C$1),'General Inputs'!G$11*$H85,IF(AND(($D85+$C$1)&gt;BE$4,BE$4&gt;=$C$1),'General Inputs'!G$11*$G85,0))</f>
        <v>0</v>
      </c>
      <c r="BF85" s="214">
        <f>IF(AND(($E85+$C$1)&gt;BF$4,BF$4&gt;=$C$1),'General Inputs'!H$11*$H85,IF(AND(($D85+$C$1)&gt;BF$4,BF$4&gt;=$C$1),'General Inputs'!H$11*$G85,0))</f>
        <v>0</v>
      </c>
      <c r="BG85" s="214">
        <f>IF(AND(($E85+$C$1)&gt;BG$4,BG$4&gt;=$C$1),'General Inputs'!I$11*$H85,IF(AND(($D85+$C$1)&gt;BG$4,BG$4&gt;=$C$1),'General Inputs'!I$11*$G85,0))</f>
        <v>0</v>
      </c>
      <c r="BH85" s="214">
        <f>IF(AND(($E85+$C$1)&gt;BH$4,BH$4&gt;=$C$1),'General Inputs'!J$11*$H85,IF(AND(($D85+$C$1)&gt;BH$4,BH$4&gt;=$C$1),'General Inputs'!J$11*$G85,0))</f>
        <v>0</v>
      </c>
      <c r="BI85" s="214">
        <f>IF(AND(($E85+$C$1)&gt;BI$4,BI$4&gt;=$C$1),'General Inputs'!K$11*$H85,IF(AND(($D85+$C$1)&gt;BI$4,BI$4&gt;=$C$1),'General Inputs'!K$11*$G85,0))</f>
        <v>0</v>
      </c>
      <c r="BJ85" s="214">
        <f>IF(AND(($E85+$C$1)&gt;BJ$4,BJ$4&gt;=$C$1),'General Inputs'!L$11*$H85,IF(AND(($D85+$C$1)&gt;BJ$4,BJ$4&gt;=$C$1),'General Inputs'!L$11*$G85,0))</f>
        <v>0</v>
      </c>
      <c r="BK85" s="214">
        <f>IF(AND(($E85+$C$1)&gt;BK$4,BK$4&gt;=$C$1),'General Inputs'!M$11*$H85,IF(AND(($D85+$C$1)&gt;BK$4,BK$4&gt;=$C$1),'General Inputs'!M$11*$G85,0))</f>
        <v>0</v>
      </c>
      <c r="BL85" s="214">
        <f>IF(AND(($E85+$C$1)&gt;BL$4,BL$4&gt;=$C$1),'General Inputs'!N$11*$H85,IF(AND(($D85+$C$1)&gt;BL$4,BL$4&gt;=$C$1),'General Inputs'!N$11*$G85,0))</f>
        <v>0</v>
      </c>
      <c r="BM85" s="214">
        <f>IF(AND(($E85+$C$1)&gt;BM$4,BM$4&gt;=$C$1),'General Inputs'!O$11*$H85,IF(AND(($D85+$C$1)&gt;BM$4,BM$4&gt;=$C$1),'General Inputs'!O$11*$G85,0))</f>
        <v>0</v>
      </c>
      <c r="BN85" s="214">
        <f>IF(AND(($E85+$C$1)&gt;BN$4,BN$4&gt;=$C$1),'General Inputs'!P$11*$H85,IF(AND(($D85+$C$1)&gt;BN$4,BN$4&gt;=$C$1),'General Inputs'!P$11*$G85,0))</f>
        <v>0</v>
      </c>
      <c r="BO85" s="214">
        <f>IF(AND(($E85+$C$1)&gt;BO$4,BO$4&gt;=$C$1),'General Inputs'!Q$11*$H85,IF(AND(($D85+$C$1)&gt;BO$4,BO$4&gt;=$C$1),'General Inputs'!Q$11*$G85,0))</f>
        <v>0</v>
      </c>
      <c r="BP85" s="214">
        <f>IF(AND(($E85+$C$1)&gt;BP$4,BP$4&gt;=$C$1),'General Inputs'!R$11*$H85,IF(AND(($D85+$C$1)&gt;BP$4,BP$4&gt;=$C$1),'General Inputs'!R$11*$G85,0))</f>
        <v>0</v>
      </c>
      <c r="BQ85" s="214">
        <f>IF(AND(($E85+$C$1)&gt;BQ$4,BQ$4&gt;=$C$1),'General Inputs'!S$11*$H85,IF(AND(($D85+$C$1)&gt;BQ$4,BQ$4&gt;=$C$1),'General Inputs'!S$11*$G85,0))</f>
        <v>0</v>
      </c>
      <c r="BR85" s="214">
        <f>IF(AND(($E85+$C$1)&gt;BR$4,BR$4&gt;=$C$1),'General Inputs'!T$11*$H85,IF(AND(($D85+$C$1)&gt;BR$4,BR$4&gt;=$C$1),'General Inputs'!T$11*$G85,0))</f>
        <v>0</v>
      </c>
      <c r="BS85" s="214">
        <f>IF(AND(($E85+$C$1)&gt;BS$4,BS$4&gt;=$C$1),'General Inputs'!U$11*$H85,IF(AND(($D85+$C$1)&gt;BS$4,BS$4&gt;=$C$1),'General Inputs'!U$11*$G85,0))</f>
        <v>0</v>
      </c>
      <c r="BT85" s="214">
        <f>IF(AND(($E85+$C$1)&gt;BT$4,BT$4&gt;=$C$1),'General Inputs'!V$11*$H85,IF(AND(($D85+$C$1)&gt;BT$4,BT$4&gt;=$C$1),'General Inputs'!V$11*$G85,0))</f>
        <v>0</v>
      </c>
      <c r="BU85" s="214">
        <f>IF(AND(($E85+$C$1)&gt;BU$4,BU$4&gt;=$C$1),'General Inputs'!W$11*$H85,IF(AND(($D85+$C$1)&gt;BU$4,BU$4&gt;=$C$1),'General Inputs'!W$11*$G85,0))</f>
        <v>0</v>
      </c>
      <c r="BW85" s="214">
        <f>IF(AND(($E85+$C$1)&gt;BW$4,BW$4&gt;=$C$1),$H85,IF(AND(($D85+$C$1)&gt;BW$4,BW$4&gt;=$C$1),$G85,0))*IF($A85="Residential",'General Inputs'!D$14,'General Inputs'!D$19)</f>
        <v>0</v>
      </c>
      <c r="BX85" s="214">
        <f>IF(AND(($E85+$C$1)&gt;BX$4,BX$4&gt;=$C$1),$H85,IF(AND(($D85+$C$1)&gt;BX$4,BX$4&gt;=$C$1),$G85,0))*IF($A85="Residential",'General Inputs'!E$14,'General Inputs'!E$19)</f>
        <v>0</v>
      </c>
      <c r="BY85" s="214">
        <f>IF(AND(($E85+$C$1)&gt;BY$4,BY$4&gt;=$C$1),$H85,IF(AND(($D85+$C$1)&gt;BY$4,BY$4&gt;=$C$1),$G85,0))*IF($A85="Residential",'General Inputs'!F$14,'General Inputs'!F$19)</f>
        <v>0</v>
      </c>
      <c r="BZ85" s="214">
        <f>IF(AND(($E85+$C$1)&gt;BZ$4,BZ$4&gt;=$C$1),$H85,IF(AND(($D85+$C$1)&gt;BZ$4,BZ$4&gt;=$C$1),$G85,0))*IF($A85="Residential",'General Inputs'!G$14,'General Inputs'!G$19)</f>
        <v>0</v>
      </c>
      <c r="CA85" s="214">
        <f>IF(AND(($E85+$C$1)&gt;CA$4,CA$4&gt;=$C$1),$H85,IF(AND(($D85+$C$1)&gt;CA$4,CA$4&gt;=$C$1),$G85,0))*IF($A85="Residential",'General Inputs'!H$14,'General Inputs'!H$19)</f>
        <v>0</v>
      </c>
      <c r="CB85" s="214">
        <f>IF(AND(($E85+$C$1)&gt;CB$4,CB$4&gt;=$C$1),$H85,IF(AND(($D85+$C$1)&gt;CB$4,CB$4&gt;=$C$1),$G85,0))*IF($A85="Residential",'General Inputs'!I$14,'General Inputs'!I$19)</f>
        <v>0</v>
      </c>
      <c r="CC85" s="214">
        <f>IF(AND(($E85+$C$1)&gt;CC$4,CC$4&gt;=$C$1),$H85,IF(AND(($D85+$C$1)&gt;CC$4,CC$4&gt;=$C$1),$G85,0))*IF($A85="Residential",'General Inputs'!J$14,'General Inputs'!J$19)</f>
        <v>0</v>
      </c>
      <c r="CD85" s="214">
        <f>IF(AND(($E85+$C$1)&gt;CD$4,CD$4&gt;=$C$1),$H85,IF(AND(($D85+$C$1)&gt;CD$4,CD$4&gt;=$C$1),$G85,0))*IF($A85="Residential",'General Inputs'!K$14,'General Inputs'!K$19)</f>
        <v>0</v>
      </c>
      <c r="CE85" s="214">
        <f>IF(AND(($E85+$C$1)&gt;CE$4,CE$4&gt;=$C$1),$H85,IF(AND(($D85+$C$1)&gt;CE$4,CE$4&gt;=$C$1),$G85,0))*IF($A85="Residential",'General Inputs'!L$14,'General Inputs'!L$19)</f>
        <v>0</v>
      </c>
      <c r="CF85" s="214">
        <f>IF(AND(($E85+$C$1)&gt;CF$4,CF$4&gt;=$C$1),$H85,IF(AND(($D85+$C$1)&gt;CF$4,CF$4&gt;=$C$1),$G85,0))*IF($A85="Residential",'General Inputs'!M$14,'General Inputs'!M$19)</f>
        <v>0</v>
      </c>
      <c r="CG85" s="214">
        <f>IF(AND(($E85+$C$1)&gt;CG$4,CG$4&gt;=$C$1),$H85,IF(AND(($D85+$C$1)&gt;CG$4,CG$4&gt;=$C$1),$G85,0))*IF($A85="Residential",'General Inputs'!N$14,'General Inputs'!N$19)</f>
        <v>0</v>
      </c>
      <c r="CH85" s="214">
        <f>IF(AND(($E85+$C$1)&gt;CH$4,CH$4&gt;=$C$1),$H85,IF(AND(($D85+$C$1)&gt;CH$4,CH$4&gt;=$C$1),$G85,0))*IF($A85="Residential",'General Inputs'!O$14,'General Inputs'!O$19)</f>
        <v>0</v>
      </c>
      <c r="CI85" s="214">
        <f>IF(AND(($E85+$C$1)&gt;CI$4,CI$4&gt;=$C$1),$H85,IF(AND(($D85+$C$1)&gt;CI$4,CI$4&gt;=$C$1),$G85,0))*IF($A85="Residential",'General Inputs'!P$14,'General Inputs'!P$19)</f>
        <v>0</v>
      </c>
      <c r="CJ85" s="214">
        <f>IF(AND(($E85+$C$1)&gt;CJ$4,CJ$4&gt;=$C$1),$H85,IF(AND(($D85+$C$1)&gt;CJ$4,CJ$4&gt;=$C$1),$G85,0))*IF($A85="Residential",'General Inputs'!Q$14,'General Inputs'!Q$19)</f>
        <v>0</v>
      </c>
      <c r="CK85" s="214">
        <f>IF(AND(($E85+$C$1)&gt;CK$4,CK$4&gt;=$C$1),$H85,IF(AND(($D85+$C$1)&gt;CK$4,CK$4&gt;=$C$1),$G85,0))*IF($A85="Residential",'General Inputs'!R$14,'General Inputs'!R$19)</f>
        <v>0</v>
      </c>
      <c r="CL85" s="214">
        <f>IF(AND(($E85+$C$1)&gt;CL$4,CL$4&gt;=$C$1),$H85,IF(AND(($D85+$C$1)&gt;CL$4,CL$4&gt;=$C$1),$G85,0))*IF($A85="Residential",'General Inputs'!S$14,'General Inputs'!S$19)</f>
        <v>0</v>
      </c>
      <c r="CM85" s="214">
        <f>IF(AND(($E85+$C$1)&gt;CM$4,CM$4&gt;=$C$1),$H85,IF(AND(($D85+$C$1)&gt;CM$4,CM$4&gt;=$C$1),$G85,0))*IF($A85="Residential",'General Inputs'!T$14,'General Inputs'!T$19)</f>
        <v>0</v>
      </c>
      <c r="CN85" s="214">
        <f>IF(AND(($E85+$C$1)&gt;CN$4,CN$4&gt;=$C$1),$H85,IF(AND(($D85+$C$1)&gt;CN$4,CN$4&gt;=$C$1),$G85,0))*IF($A85="Residential",'General Inputs'!U$14,'General Inputs'!U$19)</f>
        <v>0</v>
      </c>
      <c r="CO85" s="214">
        <f>IF(AND(($E85+$C$1)&gt;CO$4,CO$4&gt;=$C$1),$H85,IF(AND(($D85+$C$1)&gt;CO$4,CO$4&gt;=$C$1),$G85,0))*IF($A85="Residential",'General Inputs'!V$14,'General Inputs'!V$19)</f>
        <v>0</v>
      </c>
      <c r="CP85" s="214">
        <f>IF(AND(($E85+$C$1)&gt;CP$4,CP$4&gt;=$C$1),$H85,IF(AND(($D85+$C$1)&gt;CP$4,CP$4&gt;=$C$1),$G85,0))*IF($A85="Residential",'General Inputs'!W$14,'General Inputs'!W$19)</f>
        <v>0</v>
      </c>
      <c r="CR85" s="214">
        <f>IF(AND(($E85+$C$1)&gt;CR$4,CR$4&gt;=$C$1),$H85,IF(AND(($D85+$C$1)&gt;CR$4,CR$4&gt;=$C$1),$G85,0))*IF($A85="Residential",'General Inputs'!D$15,'General Inputs'!D$19)</f>
        <v>0</v>
      </c>
      <c r="CS85" s="214">
        <f>IF(AND(($E85+$C$1)&gt;CS$4,CS$4&gt;=$C$1),$H85,IF(AND(($D85+$C$1)&gt;CS$4,CS$4&gt;=$C$1),$G85,0))*IF($A85="Residential",'General Inputs'!E$15,'General Inputs'!E$19)</f>
        <v>0</v>
      </c>
      <c r="CT85" s="214">
        <f>IF(AND(($E85+$C$1)&gt;CT$4,CT$4&gt;=$C$1),$H85,IF(AND(($D85+$C$1)&gt;CT$4,CT$4&gt;=$C$1),$G85,0))*IF($A85="Residential",'General Inputs'!F$15,'General Inputs'!F$19)</f>
        <v>0</v>
      </c>
      <c r="CU85" s="214">
        <f>IF(AND(($E85+$C$1)&gt;CU$4,CU$4&gt;=$C$1),$H85,IF(AND(($D85+$C$1)&gt;CU$4,CU$4&gt;=$C$1),$G85,0))*IF($A85="Residential",'General Inputs'!G$15,'General Inputs'!G$19)</f>
        <v>0</v>
      </c>
      <c r="CV85" s="214">
        <f>IF(AND(($E85+$C$1)&gt;CV$4,CV$4&gt;=$C$1),$H85,IF(AND(($D85+$C$1)&gt;CV$4,CV$4&gt;=$C$1),$G85,0))*IF($A85="Residential",'General Inputs'!H$15,'General Inputs'!H$19)</f>
        <v>0</v>
      </c>
      <c r="CW85" s="214">
        <f>IF(AND(($E85+$C$1)&gt;CW$4,CW$4&gt;=$C$1),$H85,IF(AND(($D85+$C$1)&gt;CW$4,CW$4&gt;=$C$1),$G85,0))*IF($A85="Residential",'General Inputs'!I$15,'General Inputs'!I$19)</f>
        <v>0</v>
      </c>
      <c r="CX85" s="214">
        <f>IF(AND(($E85+$C$1)&gt;CX$4,CX$4&gt;=$C$1),$H85,IF(AND(($D85+$C$1)&gt;CX$4,CX$4&gt;=$C$1),$G85,0))*IF($A85="Residential",'General Inputs'!J$15,'General Inputs'!J$19)</f>
        <v>0</v>
      </c>
      <c r="CY85" s="214">
        <f>IF(AND(($E85+$C$1)&gt;CY$4,CY$4&gt;=$C$1),$H85,IF(AND(($D85+$C$1)&gt;CY$4,CY$4&gt;=$C$1),$G85,0))*IF($A85="Residential",'General Inputs'!K$15,'General Inputs'!K$19)</f>
        <v>0</v>
      </c>
      <c r="CZ85" s="214">
        <f>IF(AND(($E85+$C$1)&gt;CZ$4,CZ$4&gt;=$C$1),$H85,IF(AND(($D85+$C$1)&gt;CZ$4,CZ$4&gt;=$C$1),$G85,0))*IF($A85="Residential",'General Inputs'!L$15,'General Inputs'!L$19)</f>
        <v>0</v>
      </c>
      <c r="DA85" s="214">
        <f>IF(AND(($E85+$C$1)&gt;DA$4,DA$4&gt;=$C$1),$H85,IF(AND(($D85+$C$1)&gt;DA$4,DA$4&gt;=$C$1),$G85,0))*IF($A85="Residential",'General Inputs'!M$15,'General Inputs'!M$19)</f>
        <v>0</v>
      </c>
      <c r="DB85" s="214">
        <f>IF(AND(($E85+$C$1)&gt;DB$4,DB$4&gt;=$C$1),$H85,IF(AND(($D85+$C$1)&gt;DB$4,DB$4&gt;=$C$1),$G85,0))*IF($A85="Residential",'General Inputs'!N$15,'General Inputs'!N$19)</f>
        <v>0</v>
      </c>
      <c r="DC85" s="214">
        <f>IF(AND(($E85+$C$1)&gt;DC$4,DC$4&gt;=$C$1),$H85,IF(AND(($D85+$C$1)&gt;DC$4,DC$4&gt;=$C$1),$G85,0))*IF($A85="Residential",'General Inputs'!O$15,'General Inputs'!O$19)</f>
        <v>0</v>
      </c>
      <c r="DD85" s="214">
        <f>IF(AND(($E85+$C$1)&gt;DD$4,DD$4&gt;=$C$1),$H85,IF(AND(($D85+$C$1)&gt;DD$4,DD$4&gt;=$C$1),$G85,0))*IF($A85="Residential",'General Inputs'!P$15,'General Inputs'!P$19)</f>
        <v>0</v>
      </c>
      <c r="DE85" s="214">
        <f>IF(AND(($E85+$C$1)&gt;DE$4,DE$4&gt;=$C$1),$H85,IF(AND(($D85+$C$1)&gt;DE$4,DE$4&gt;=$C$1),$G85,0))*IF($A85="Residential",'General Inputs'!Q$15,'General Inputs'!Q$19)</f>
        <v>0</v>
      </c>
      <c r="DF85" s="214">
        <f>IF(AND(($E85+$C$1)&gt;DF$4,DF$4&gt;=$C$1),$H85,IF(AND(($D85+$C$1)&gt;DF$4,DF$4&gt;=$C$1),$G85,0))*IF($A85="Residential",'General Inputs'!R$15,'General Inputs'!R$19)</f>
        <v>0</v>
      </c>
      <c r="DG85" s="214">
        <f>IF(AND(($E85+$C$1)&gt;DG$4,DG$4&gt;=$C$1),$H85,IF(AND(($D85+$C$1)&gt;DG$4,DG$4&gt;=$C$1),$G85,0))*IF($A85="Residential",'General Inputs'!S$15,'General Inputs'!S$19)</f>
        <v>0</v>
      </c>
      <c r="DH85" s="214">
        <f>IF(AND(($E85+$C$1)&gt;DH$4,DH$4&gt;=$C$1),$H85,IF(AND(($D85+$C$1)&gt;DH$4,DH$4&gt;=$C$1),$G85,0))*IF($A85="Residential",'General Inputs'!T$15,'General Inputs'!T$19)</f>
        <v>0</v>
      </c>
      <c r="DI85" s="214">
        <f>IF(AND(($E85+$C$1)&gt;DI$4,DI$4&gt;=$C$1),$H85,IF(AND(($D85+$C$1)&gt;DI$4,DI$4&gt;=$C$1),$G85,0))*IF($A85="Residential",'General Inputs'!U$15,'General Inputs'!U$19)</f>
        <v>0</v>
      </c>
      <c r="DJ85" s="214">
        <f>IF(AND(($E85+$C$1)&gt;DJ$4,DJ$4&gt;=$C$1),$H85,IF(AND(($D85+$C$1)&gt;DJ$4,DJ$4&gt;=$C$1),$G85,0))*IF($A85="Residential",'General Inputs'!V$15,'General Inputs'!V$19)</f>
        <v>0</v>
      </c>
      <c r="DK85" s="214">
        <f>IF(AND(($E85+$C$1)&gt;DK$4,DK$4&gt;=$C$1),$H85,IF(AND(($D85+$C$1)&gt;DK$4,DK$4&gt;=$C$1),$G85,0))*IF($A85="Residential",'General Inputs'!W$15,'General Inputs'!W$19)</f>
        <v>0</v>
      </c>
      <c r="DM85" s="214">
        <f t="shared" si="106"/>
        <v>0</v>
      </c>
      <c r="DN85" s="214">
        <f t="shared" si="106"/>
        <v>0</v>
      </c>
      <c r="DO85" s="214">
        <f t="shared" si="106"/>
        <v>0</v>
      </c>
      <c r="DP85" s="214">
        <f t="shared" si="106"/>
        <v>0</v>
      </c>
      <c r="DQ85" s="214">
        <f t="shared" si="106"/>
        <v>0</v>
      </c>
      <c r="DR85" s="214">
        <f t="shared" si="106"/>
        <v>0</v>
      </c>
      <c r="DS85" s="214">
        <f t="shared" si="106"/>
        <v>0</v>
      </c>
      <c r="DT85" s="214">
        <f t="shared" si="106"/>
        <v>0</v>
      </c>
      <c r="DU85" s="214">
        <f t="shared" si="106"/>
        <v>0</v>
      </c>
      <c r="DV85" s="214">
        <f t="shared" si="106"/>
        <v>0</v>
      </c>
      <c r="DW85" s="214">
        <f t="shared" si="106"/>
        <v>0</v>
      </c>
      <c r="DZ85" s="650"/>
      <c r="FI85" s="195"/>
      <c r="FJ85" s="195"/>
      <c r="FK85" s="195"/>
      <c r="FL85" s="195"/>
      <c r="FM85" s="195"/>
      <c r="FN85" s="195"/>
      <c r="FO85" s="195"/>
    </row>
    <row r="86" spans="1:171" s="449" customFormat="1">
      <c r="A86" s="435" t="s">
        <v>112</v>
      </c>
      <c r="B86" s="428" t="str">
        <f>'Portfolio Inputs'!A85</f>
        <v>HVAC</v>
      </c>
      <c r="C86" s="454">
        <f>IF($C$1=2014,'Portfolio Inputs'!$C85,IF($C$1=2015,'Portfolio Inputs'!$D85,'Portfolio Inputs'!$E85))</f>
        <v>80</v>
      </c>
      <c r="D86" s="505"/>
      <c r="E86" s="505"/>
      <c r="F86" s="2"/>
      <c r="G86" s="515">
        <f t="shared" ref="G86:I86" si="107">SUM(G87:G88)</f>
        <v>75574.555907327886</v>
      </c>
      <c r="H86" s="515"/>
      <c r="I86" s="512">
        <f t="shared" si="107"/>
        <v>15.756774725274749</v>
      </c>
      <c r="J86" s="512"/>
      <c r="K86" s="2"/>
      <c r="L86" s="455"/>
      <c r="M86" s="455"/>
      <c r="N86" s="455">
        <f>IF($C$1=2014,'Portfolio Inputs'!$W85,IF($C$1=2015,'Portfolio Inputs'!$X85,'Portfolio Inputs'!$Y85))</f>
        <v>23500</v>
      </c>
      <c r="O86" s="455">
        <f>IF($C$1=2014,'Portfolio Inputs'!$AA85,IF($C$1=2015,'Portfolio Inputs'!$AB85,'Portfolio Inputs'!$AC85))</f>
        <v>0</v>
      </c>
      <c r="P86" s="16"/>
      <c r="Q86" s="433">
        <f t="shared" si="67"/>
        <v>1.9297605099579598</v>
      </c>
      <c r="R86" s="434">
        <f t="shared" si="68"/>
        <v>6.0356339354004263</v>
      </c>
      <c r="S86" s="434">
        <f t="shared" si="69"/>
        <v>2.402925788348159</v>
      </c>
      <c r="T86" s="434">
        <f t="shared" si="70"/>
        <v>5.1744020226152827</v>
      </c>
      <c r="U86" s="434">
        <f>IF(AE86&gt;0,(AD86+AB86)/AE86,"n/a")</f>
        <v>5.1744020226152827</v>
      </c>
      <c r="V86" s="523">
        <f t="shared" si="72"/>
        <v>0.37294367571822462</v>
      </c>
      <c r="W86" s="523">
        <f t="shared" si="73"/>
        <v>0.37294367571822462</v>
      </c>
      <c r="X86" s="16"/>
      <c r="Y86" s="447">
        <f t="shared" si="101"/>
        <v>119732.9513507837</v>
      </c>
      <c r="Z86" s="447">
        <f t="shared" si="102"/>
        <v>29357.775208908166</v>
      </c>
      <c r="AA86" s="447">
        <f t="shared" si="103"/>
        <v>301210.67283034517</v>
      </c>
      <c r="AB86" s="447">
        <f t="shared" si="104"/>
        <v>301210.67283034517</v>
      </c>
      <c r="AC86" s="448">
        <f t="shared" si="20"/>
        <v>0</v>
      </c>
      <c r="AD86" s="448">
        <f t="shared" si="21"/>
        <v>19837.676146745995</v>
      </c>
      <c r="AE86" s="525">
        <f t="shared" si="105"/>
        <v>62045.497735567253</v>
      </c>
      <c r="AF86" s="16"/>
      <c r="AG86" s="432">
        <f t="shared" ref="AG86:AZ86" si="108">SUM(AG87:AG90)</f>
        <v>0</v>
      </c>
      <c r="AH86" s="432">
        <f t="shared" si="108"/>
        <v>0</v>
      </c>
      <c r="AI86" s="432">
        <f t="shared" si="108"/>
        <v>14735.859258284861</v>
      </c>
      <c r="AJ86" s="432">
        <f t="shared" si="108"/>
        <v>14956.897147159134</v>
      </c>
      <c r="AK86" s="432">
        <f t="shared" si="108"/>
        <v>15181.25060436652</v>
      </c>
      <c r="AL86" s="432">
        <f t="shared" si="108"/>
        <v>15408.969363432014</v>
      </c>
      <c r="AM86" s="432">
        <f t="shared" si="108"/>
        <v>15640.103903883492</v>
      </c>
      <c r="AN86" s="432">
        <f t="shared" si="108"/>
        <v>15874.70546244174</v>
      </c>
      <c r="AO86" s="432">
        <f t="shared" si="108"/>
        <v>16112.826044378366</v>
      </c>
      <c r="AP86" s="432">
        <f t="shared" si="108"/>
        <v>16354.518435044038</v>
      </c>
      <c r="AQ86" s="432">
        <f t="shared" si="108"/>
        <v>16599.836211569698</v>
      </c>
      <c r="AR86" s="432">
        <f t="shared" si="108"/>
        <v>16848.833754743242</v>
      </c>
      <c r="AS86" s="432">
        <f t="shared" si="108"/>
        <v>17101.566261064389</v>
      </c>
      <c r="AT86" s="432">
        <f t="shared" si="108"/>
        <v>17358.089754980352</v>
      </c>
      <c r="AU86" s="432">
        <f t="shared" si="108"/>
        <v>17618.461101305056</v>
      </c>
      <c r="AV86" s="432">
        <f t="shared" si="108"/>
        <v>17882.738017824635</v>
      </c>
      <c r="AW86" s="432">
        <f t="shared" si="108"/>
        <v>18150.979088092001</v>
      </c>
      <c r="AX86" s="432">
        <f t="shared" si="108"/>
        <v>0</v>
      </c>
      <c r="AY86" s="432">
        <f t="shared" si="108"/>
        <v>0</v>
      </c>
      <c r="AZ86" s="432">
        <f t="shared" si="108"/>
        <v>0</v>
      </c>
      <c r="BA86" s="16"/>
      <c r="BB86" s="432">
        <f t="shared" ref="BB86:BU86" si="109">SUM(BB87:BB90)</f>
        <v>0</v>
      </c>
      <c r="BC86" s="432">
        <f t="shared" si="109"/>
        <v>0</v>
      </c>
      <c r="BD86" s="432">
        <f t="shared" si="109"/>
        <v>3926.6880898617092</v>
      </c>
      <c r="BE86" s="432">
        <f t="shared" si="109"/>
        <v>3926.6880898617092</v>
      </c>
      <c r="BF86" s="432">
        <f t="shared" si="109"/>
        <v>3926.6880898617092</v>
      </c>
      <c r="BG86" s="432">
        <f t="shared" si="109"/>
        <v>3926.6880898617092</v>
      </c>
      <c r="BH86" s="432">
        <f t="shared" si="109"/>
        <v>3926.6880898617092</v>
      </c>
      <c r="BI86" s="432">
        <f t="shared" si="109"/>
        <v>3926.6880898617092</v>
      </c>
      <c r="BJ86" s="432">
        <f t="shared" si="109"/>
        <v>3926.6880898617092</v>
      </c>
      <c r="BK86" s="432">
        <f t="shared" si="109"/>
        <v>3926.6880898617092</v>
      </c>
      <c r="BL86" s="432">
        <f t="shared" si="109"/>
        <v>3926.6880898617092</v>
      </c>
      <c r="BM86" s="432">
        <f t="shared" si="109"/>
        <v>3926.6880898617092</v>
      </c>
      <c r="BN86" s="432">
        <f t="shared" si="109"/>
        <v>3926.6880898617092</v>
      </c>
      <c r="BO86" s="432">
        <f t="shared" si="109"/>
        <v>3926.6880898617092</v>
      </c>
      <c r="BP86" s="432">
        <f t="shared" si="109"/>
        <v>3926.6880898617092</v>
      </c>
      <c r="BQ86" s="432">
        <f t="shared" si="109"/>
        <v>3926.6880898617092</v>
      </c>
      <c r="BR86" s="432">
        <f t="shared" si="109"/>
        <v>3926.6880898617092</v>
      </c>
      <c r="BS86" s="432">
        <f t="shared" si="109"/>
        <v>0</v>
      </c>
      <c r="BT86" s="432">
        <f t="shared" si="109"/>
        <v>0</v>
      </c>
      <c r="BU86" s="432">
        <f t="shared" si="109"/>
        <v>0</v>
      </c>
      <c r="BV86" s="16"/>
      <c r="BW86" s="432">
        <f t="shared" ref="BW86:CP86" si="110">SUM(BW87:BW90)</f>
        <v>0</v>
      </c>
      <c r="BX86" s="432">
        <f t="shared" si="110"/>
        <v>0</v>
      </c>
      <c r="BY86" s="432">
        <f t="shared" si="110"/>
        <v>37070.814941472679</v>
      </c>
      <c r="BZ86" s="432">
        <f t="shared" si="110"/>
        <v>37626.877165594764</v>
      </c>
      <c r="CA86" s="432">
        <f t="shared" si="110"/>
        <v>38191.280323078674</v>
      </c>
      <c r="CB86" s="432">
        <f t="shared" si="110"/>
        <v>38764.149527924856</v>
      </c>
      <c r="CC86" s="432">
        <f t="shared" si="110"/>
        <v>39345.611770843723</v>
      </c>
      <c r="CD86" s="432">
        <f t="shared" si="110"/>
        <v>39935.795947406368</v>
      </c>
      <c r="CE86" s="432">
        <f t="shared" si="110"/>
        <v>40534.832886617471</v>
      </c>
      <c r="CF86" s="432">
        <f t="shared" si="110"/>
        <v>41142.855379916728</v>
      </c>
      <c r="CG86" s="432">
        <f t="shared" si="110"/>
        <v>41759.998210615478</v>
      </c>
      <c r="CH86" s="432">
        <f t="shared" si="110"/>
        <v>42386.398183774698</v>
      </c>
      <c r="CI86" s="432">
        <f t="shared" si="110"/>
        <v>43022.194156531317</v>
      </c>
      <c r="CJ86" s="432">
        <f t="shared" si="110"/>
        <v>43667.527068879281</v>
      </c>
      <c r="CK86" s="432">
        <f t="shared" si="110"/>
        <v>44322.53997491247</v>
      </c>
      <c r="CL86" s="432">
        <f t="shared" si="110"/>
        <v>44987.378074536151</v>
      </c>
      <c r="CM86" s="432">
        <f t="shared" si="110"/>
        <v>45662.188745654188</v>
      </c>
      <c r="CN86" s="432">
        <f t="shared" si="110"/>
        <v>0</v>
      </c>
      <c r="CO86" s="432">
        <f t="shared" si="110"/>
        <v>0</v>
      </c>
      <c r="CP86" s="432">
        <f t="shared" si="110"/>
        <v>0</v>
      </c>
      <c r="CQ86" s="16"/>
      <c r="CR86" s="432">
        <f t="shared" ref="CR86:DK86" si="111">SUM(CR87:CR90)</f>
        <v>0</v>
      </c>
      <c r="CS86" s="432">
        <f t="shared" si="111"/>
        <v>0</v>
      </c>
      <c r="CT86" s="432">
        <f t="shared" si="111"/>
        <v>37070.814941472679</v>
      </c>
      <c r="CU86" s="432">
        <f t="shared" si="111"/>
        <v>37626.877165594764</v>
      </c>
      <c r="CV86" s="432">
        <f t="shared" si="111"/>
        <v>38191.280323078674</v>
      </c>
      <c r="CW86" s="432">
        <f t="shared" si="111"/>
        <v>38764.149527924856</v>
      </c>
      <c r="CX86" s="432">
        <f t="shared" si="111"/>
        <v>39345.611770843723</v>
      </c>
      <c r="CY86" s="432">
        <f t="shared" si="111"/>
        <v>39935.795947406368</v>
      </c>
      <c r="CZ86" s="432">
        <f t="shared" si="111"/>
        <v>40534.832886617471</v>
      </c>
      <c r="DA86" s="432">
        <f t="shared" si="111"/>
        <v>41142.855379916728</v>
      </c>
      <c r="DB86" s="432">
        <f t="shared" si="111"/>
        <v>41759.998210615478</v>
      </c>
      <c r="DC86" s="432">
        <f t="shared" si="111"/>
        <v>42386.398183774698</v>
      </c>
      <c r="DD86" s="432">
        <f t="shared" si="111"/>
        <v>43022.194156531317</v>
      </c>
      <c r="DE86" s="432">
        <f t="shared" si="111"/>
        <v>43667.527068879281</v>
      </c>
      <c r="DF86" s="432">
        <f t="shared" si="111"/>
        <v>44322.53997491247</v>
      </c>
      <c r="DG86" s="432">
        <f t="shared" si="111"/>
        <v>44987.378074536151</v>
      </c>
      <c r="DH86" s="432">
        <f t="shared" si="111"/>
        <v>45662.188745654188</v>
      </c>
      <c r="DI86" s="432">
        <f t="shared" si="111"/>
        <v>0</v>
      </c>
      <c r="DJ86" s="432">
        <f t="shared" si="111"/>
        <v>0</v>
      </c>
      <c r="DK86" s="432">
        <f t="shared" si="111"/>
        <v>0</v>
      </c>
      <c r="DL86" s="16"/>
      <c r="DM86" s="432">
        <f t="shared" ref="DM86:DW86" si="112">SUM(DM87:DM90)</f>
        <v>0</v>
      </c>
      <c r="DN86" s="432">
        <f t="shared" si="112"/>
        <v>0</v>
      </c>
      <c r="DO86" s="432">
        <f t="shared" si="112"/>
        <v>73500</v>
      </c>
      <c r="DP86" s="432">
        <f t="shared" si="112"/>
        <v>0</v>
      </c>
      <c r="DQ86" s="432">
        <f t="shared" si="112"/>
        <v>0</v>
      </c>
      <c r="DR86" s="432">
        <f t="shared" si="112"/>
        <v>0</v>
      </c>
      <c r="DS86" s="432">
        <f t="shared" si="112"/>
        <v>0</v>
      </c>
      <c r="DT86" s="432">
        <f t="shared" si="112"/>
        <v>0</v>
      </c>
      <c r="DU86" s="432">
        <f t="shared" si="112"/>
        <v>0</v>
      </c>
      <c r="DV86" s="432">
        <f t="shared" si="112"/>
        <v>0</v>
      </c>
      <c r="DW86" s="432">
        <f t="shared" si="112"/>
        <v>0</v>
      </c>
      <c r="DX86" s="16"/>
      <c r="DY86" s="16"/>
      <c r="DZ86" s="650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</row>
    <row r="87" spans="1:171">
      <c r="A87" s="342" t="s">
        <v>112</v>
      </c>
      <c r="B87" s="427" t="str">
        <f>'Portfolio Inputs'!A86</f>
        <v>Split Package Heat Pump</v>
      </c>
      <c r="C87" s="217">
        <f>IF($C$1=2014,'Portfolio Inputs'!$C86,IF($C$1=2015,'Portfolio Inputs'!$D86,'Portfolio Inputs'!$E86))</f>
        <v>25</v>
      </c>
      <c r="D87" s="504">
        <f>VLOOKUP(B87,Sources!$B$4:$J$104,2,FALSE)</f>
        <v>15</v>
      </c>
      <c r="E87" s="504">
        <f>VLOOKUP(B87,Sources!$B$4:$J$104,3,FALSE)</f>
        <v>0</v>
      </c>
      <c r="G87" s="504">
        <f>IF($C$1=2014,'Portfolio Inputs'!$G86,IF($C$1=2015,'Portfolio Inputs'!$H86,'Portfolio Inputs'!$I86))*EnergyLineLoss</f>
        <v>51840.943394840418</v>
      </c>
      <c r="H87" s="504"/>
      <c r="I87" s="595">
        <f>IF($C$1=2014,'Portfolio Inputs'!$K86,IF($C$1=2015,'Portfolio Inputs'!$L86,'Portfolio Inputs'!$M86))*PeakLineLoss</f>
        <v>7.8783873626373744</v>
      </c>
      <c r="J87" s="510"/>
      <c r="L87" s="606">
        <f>IF($C$1=2014,'Portfolio Inputs'!$O86,IF($C$1=2015,'Portfolio Inputs'!$P86,'Portfolio Inputs'!$Q86))</f>
        <v>370</v>
      </c>
      <c r="M87" s="518">
        <f>VLOOKUP($B87,Sources!$B$4:$K$104,10,FALSE)</f>
        <v>0</v>
      </c>
      <c r="N87" s="419">
        <f>IF($C$1=2014,'Portfolio Inputs'!$W86,IF($C$1=2015,'Portfolio Inputs'!$X86,'Portfolio Inputs'!$Y86))</f>
        <v>6250</v>
      </c>
      <c r="O87" s="419">
        <f>IF($C$1=2014,'Portfolio Inputs'!$AA86,IF($C$1=2015,'Portfolio Inputs'!$AB86,'Portfolio Inputs'!$AC86))</f>
        <v>0</v>
      </c>
      <c r="Q87" s="436">
        <f t="shared" si="67"/>
        <v>2.3390305016902353</v>
      </c>
      <c r="R87" s="437">
        <f t="shared" si="68"/>
        <v>3.4617651425015477</v>
      </c>
      <c r="S87" s="437">
        <f t="shared" si="69"/>
        <v>2.9048915718891024</v>
      </c>
      <c r="T87" s="437">
        <f t="shared" si="70"/>
        <v>6.481408312778961</v>
      </c>
      <c r="U87" s="439">
        <f t="shared" ref="U87:U90" si="113">IF(AE87&gt;0,(AD87+AB87)/AE87,"n/a")</f>
        <v>6.481408312778961</v>
      </c>
      <c r="V87" s="439">
        <f t="shared" si="72"/>
        <v>0.36088306565696915</v>
      </c>
      <c r="W87" s="439">
        <f t="shared" si="73"/>
        <v>0.36088306565696915</v>
      </c>
      <c r="Y87" s="215">
        <f t="shared" si="101"/>
        <v>18264.195689638218</v>
      </c>
      <c r="Z87" s="215">
        <f t="shared" si="102"/>
        <v>4418.4961725774483</v>
      </c>
      <c r="AA87" s="215">
        <f t="shared" si="103"/>
        <v>45333.755557761659</v>
      </c>
      <c r="AB87" s="215">
        <f t="shared" si="104"/>
        <v>45333.755557761659</v>
      </c>
      <c r="AC87" s="216">
        <f t="shared" si="20"/>
        <v>0</v>
      </c>
      <c r="AD87" s="216">
        <f t="shared" si="21"/>
        <v>5275.9776986026582</v>
      </c>
      <c r="AE87" s="215">
        <f t="shared" si="105"/>
        <v>7808.4469939319324</v>
      </c>
      <c r="AG87" s="214">
        <f>IF(AND(($E87+$C$1)&gt;AG$4,AG$4&gt;=$C$1),'General Inputs'!D$9*$H87,IF(AND(($D87+$C$1)&gt;AG$4,AG$4&gt;=$C$1),'General Inputs'!D$9*$G87,0))+IF(AND(($E87+$C$1)&gt;AG$4,AG$4&gt;=$C$1),'General Inputs'!D$10*$J87,IF(AND(($D87+$C$1)&gt;AG$4,AG$4&gt;=$C$1),'General Inputs'!D$10*$I87,0))</f>
        <v>0</v>
      </c>
      <c r="AH87" s="214">
        <f>IF(AND(($E87+$C$1)&gt;AH$4,AH$4&gt;=$C$1),'General Inputs'!E$9*$H87,IF(AND(($D87+$C$1)&gt;AH$4,AH$4&gt;=$C$1),'General Inputs'!E$9*$G87,0))+IF(AND(($E87+$C$1)&gt;AH$4,AH$4&gt;=$C$1),'General Inputs'!E$10*$J87,IF(AND(($D87+$C$1)&gt;AH$4,AH$4&gt;=$C$1),'General Inputs'!E$10*$I87,0))</f>
        <v>0</v>
      </c>
      <c r="AI87" s="214">
        <f>IF(AND(($E87+$C$1)&gt;AI$4,AI$4&gt;=$C$1),'General Inputs'!F$9*$H87,IF(AND(($D87+$C$1)&gt;AI$4,AI$4&gt;=$C$1),'General Inputs'!F$9*$G87,0))+IF(AND(($E87+$C$1)&gt;AI$4,AI$4&gt;=$C$1),'General Inputs'!F$10*$J87,IF(AND(($D87+$C$1)&gt;AI$4,AI$4&gt;=$C$1),'General Inputs'!F$10*$I87,0))</f>
        <v>2247.8241295479447</v>
      </c>
      <c r="AJ87" s="214">
        <f>IF(AND(($E87+$C$1)&gt;AJ$4,AJ$4&gt;=$C$1),'General Inputs'!G$9*$H87,IF(AND(($D87+$C$1)&gt;AJ$4,AJ$4&gt;=$C$1),'General Inputs'!G$9*$G87,0))+IF(AND(($E87+$C$1)&gt;AJ$4,AJ$4&gt;=$C$1),'General Inputs'!G$10*$J87,IF(AND(($D87+$C$1)&gt;AJ$4,AJ$4&gt;=$C$1),'General Inputs'!G$10*$I87,0))</f>
        <v>2281.5414914911639</v>
      </c>
      <c r="AK87" s="214">
        <f>IF(AND(($E87+$C$1)&gt;AK$4,AK$4&gt;=$C$1),'General Inputs'!H$9*$H87,IF(AND(($D87+$C$1)&gt;AK$4,AK$4&gt;=$C$1),'General Inputs'!H$9*$G87,0))+IF(AND(($E87+$C$1)&gt;AK$4,AK$4&gt;=$C$1),'General Inputs'!H$10*$J87,IF(AND(($D87+$C$1)&gt;AK$4,AK$4&gt;=$C$1),'General Inputs'!H$10*$I87,0))</f>
        <v>2315.7646138635309</v>
      </c>
      <c r="AL87" s="214">
        <f>IF(AND(($E87+$C$1)&gt;AL$4,AL$4&gt;=$C$1),'General Inputs'!I$9*$H87,IF(AND(($D87+$C$1)&gt;AL$4,AL$4&gt;=$C$1),'General Inputs'!I$9*$G87,0))+IF(AND(($E87+$C$1)&gt;AL$4,AL$4&gt;=$C$1),'General Inputs'!I$10*$J87,IF(AND(($D87+$C$1)&gt;AL$4,AL$4&gt;=$C$1),'General Inputs'!I$10*$I87,0))</f>
        <v>2350.5010830714837</v>
      </c>
      <c r="AM87" s="214">
        <f>IF(AND(($E87+$C$1)&gt;AM$4,AM$4&gt;=$C$1),'General Inputs'!J$9*$H87,IF(AND(($D87+$C$1)&gt;AM$4,AM$4&gt;=$C$1),'General Inputs'!J$9*$G87,0))+IF(AND(($E87+$C$1)&gt;AM$4,AM$4&gt;=$C$1),'General Inputs'!J$10*$J87,IF(AND(($D87+$C$1)&gt;AM$4,AM$4&gt;=$C$1),'General Inputs'!J$10*$I87,0))</f>
        <v>2385.7585993175553</v>
      </c>
      <c r="AN87" s="214">
        <f>IF(AND(($E87+$C$1)&gt;AN$4,AN$4&gt;=$C$1),'General Inputs'!K$9*$H87,IF(AND(($D87+$C$1)&gt;AN$4,AN$4&gt;=$C$1),'General Inputs'!K$9*$G87,0))+IF(AND(($E87+$C$1)&gt;AN$4,AN$4&gt;=$C$1),'General Inputs'!K$10*$J87,IF(AND(($D87+$C$1)&gt;AN$4,AN$4&gt;=$C$1),'General Inputs'!K$10*$I87,0))</f>
        <v>2421.5449783073186</v>
      </c>
      <c r="AO87" s="214">
        <f>IF(AND(($E87+$C$1)&gt;AO$4,AO$4&gt;=$C$1),'General Inputs'!L$9*$H87,IF(AND(($D87+$C$1)&gt;AO$4,AO$4&gt;=$C$1),'General Inputs'!L$9*$G87,0))+IF(AND(($E87+$C$1)&gt;AO$4,AO$4&gt;=$C$1),'General Inputs'!L$10*$J87,IF(AND(($D87+$C$1)&gt;AO$4,AO$4&gt;=$C$1),'General Inputs'!L$10*$I87,0))</f>
        <v>2457.8681529819278</v>
      </c>
      <c r="AP87" s="214">
        <f>IF(AND(($E87+$C$1)&gt;AP$4,AP$4&gt;=$C$1),'General Inputs'!M$9*$H87,IF(AND(($D87+$C$1)&gt;AP$4,AP$4&gt;=$C$1),'General Inputs'!M$9*$G87,0))+IF(AND(($E87+$C$1)&gt;AP$4,AP$4&gt;=$C$1),'General Inputs'!M$10*$J87,IF(AND(($D87+$C$1)&gt;AP$4,AP$4&gt;=$C$1),'General Inputs'!M$10*$I87,0))</f>
        <v>2494.7361752766565</v>
      </c>
      <c r="AQ87" s="214">
        <f>IF(AND(($E87+$C$1)&gt;AQ$4,AQ$4&gt;=$C$1),'General Inputs'!N$9*$H87,IF(AND(($D87+$C$1)&gt;AQ$4,AQ$4&gt;=$C$1),'General Inputs'!N$9*$G87,0))+IF(AND(($E87+$C$1)&gt;AQ$4,AQ$4&gt;=$C$1),'General Inputs'!N$10*$J87,IF(AND(($D87+$C$1)&gt;AQ$4,AQ$4&gt;=$C$1),'General Inputs'!N$10*$I87,0))</f>
        <v>2532.1572179058062</v>
      </c>
      <c r="AR87" s="214">
        <f>IF(AND(($E87+$C$1)&gt;AR$4,AR$4&gt;=$C$1),'General Inputs'!O$9*$H87,IF(AND(($D87+$C$1)&gt;AR$4,AR$4&gt;=$C$1),'General Inputs'!O$9*$G87,0))+IF(AND(($E87+$C$1)&gt;AR$4,AR$4&gt;=$C$1),'General Inputs'!O$10*$J87,IF(AND(($D87+$C$1)&gt;AR$4,AR$4&gt;=$C$1),'General Inputs'!O$10*$I87,0))</f>
        <v>2570.1395761743929</v>
      </c>
      <c r="AS87" s="214">
        <f>IF(AND(($E87+$C$1)&gt;AS$4,AS$4&gt;=$C$1),'General Inputs'!P$9*$H87,IF(AND(($D87+$C$1)&gt;AS$4,AS$4&gt;=$C$1),'General Inputs'!P$9*$G87,0))+IF(AND(($E87+$C$1)&gt;AS$4,AS$4&gt;=$C$1),'General Inputs'!P$10*$J87,IF(AND(($D87+$C$1)&gt;AS$4,AS$4&gt;=$C$1),'General Inputs'!P$10*$I87,0))</f>
        <v>2608.6916698170085</v>
      </c>
      <c r="AT87" s="214">
        <f>IF(AND(($E87+$C$1)&gt;AT$4,AT$4&gt;=$C$1),'General Inputs'!Q$9*$H87,IF(AND(($D87+$C$1)&gt;AT$4,AT$4&gt;=$C$1),'General Inputs'!Q$9*$G87,0))+IF(AND(($E87+$C$1)&gt;AT$4,AT$4&gt;=$C$1),'General Inputs'!Q$10*$J87,IF(AND(($D87+$C$1)&gt;AT$4,AT$4&gt;=$C$1),'General Inputs'!Q$10*$I87,0))</f>
        <v>2647.8220448642637</v>
      </c>
      <c r="AU87" s="214">
        <f>IF(AND(($E87+$C$1)&gt;AU$4,AU$4&gt;=$C$1),'General Inputs'!R$9*$H87,IF(AND(($D87+$C$1)&gt;AU$4,AU$4&gt;=$C$1),'General Inputs'!R$9*$G87,0))+IF(AND(($E87+$C$1)&gt;AU$4,AU$4&gt;=$C$1),'General Inputs'!R$10*$J87,IF(AND(($D87+$C$1)&gt;AU$4,AU$4&gt;=$C$1),'General Inputs'!R$10*$I87,0))</f>
        <v>2687.5393755372274</v>
      </c>
      <c r="AV87" s="214">
        <f>IF(AND(($E87+$C$1)&gt;AV$4,AV$4&gt;=$C$1),'General Inputs'!S$9*$H87,IF(AND(($D87+$C$1)&gt;AV$4,AV$4&gt;=$C$1),'General Inputs'!S$9*$G87,0))+IF(AND(($E87+$C$1)&gt;AV$4,AV$4&gt;=$C$1),'General Inputs'!S$10*$J87,IF(AND(($D87+$C$1)&gt;AV$4,AV$4&gt;=$C$1),'General Inputs'!S$10*$I87,0))</f>
        <v>2727.8524661702854</v>
      </c>
      <c r="AW87" s="214">
        <f>IF(AND(($E87+$C$1)&gt;AW$4,AW$4&gt;=$C$1),'General Inputs'!T$9*$H87,IF(AND(($D87+$C$1)&gt;AW$4,AW$4&gt;=$C$1),'General Inputs'!T$9*$G87,0))+IF(AND(($E87+$C$1)&gt;AW$4,AW$4&gt;=$C$1),'General Inputs'!T$10*$J87,IF(AND(($D87+$C$1)&gt;AW$4,AW$4&gt;=$C$1),'General Inputs'!T$10*$I87,0))</f>
        <v>2768.7702531628402</v>
      </c>
      <c r="AX87" s="214">
        <f>IF(AND(($E87+$C$1)&gt;AX$4,AX$4&gt;=$C$1),'General Inputs'!U$9*$H87,IF(AND(($D87+$C$1)&gt;AX$4,AX$4&gt;=$C$1),'General Inputs'!U$9*$G87,0))+IF(AND(($E87+$C$1)&gt;AX$4,AX$4&gt;=$C$1),'General Inputs'!U$10*$J87,IF(AND(($D87+$C$1)&gt;AX$4,AX$4&gt;=$C$1),'General Inputs'!U$10*$I87,0))</f>
        <v>0</v>
      </c>
      <c r="AY87" s="214">
        <f>IF(AND(($E87+$C$1)&gt;AY$4,AY$4&gt;=$C$1),'General Inputs'!V$9*$H87,IF(AND(($D87+$C$1)&gt;AY$4,AY$4&gt;=$C$1),'General Inputs'!V$9*$G87,0))+IF(AND(($E87+$C$1)&gt;AY$4,AY$4&gt;=$C$1),'General Inputs'!V$10*$J87,IF(AND(($D87+$C$1)&gt;AY$4,AY$4&gt;=$C$1),'General Inputs'!V$10*$I87,0))</f>
        <v>0</v>
      </c>
      <c r="AZ87" s="214">
        <f>IF(AND(($E87+$C$1)&gt;AZ$4,AZ$4&gt;=$C$1),'General Inputs'!W$9*$H87,IF(AND(($D87+$C$1)&gt;AZ$4,AZ$4&gt;=$C$1),'General Inputs'!W$9*$G87,0))+IF(AND(($E87+$C$1)&gt;AZ$4,AZ$4&gt;=$C$1),'General Inputs'!W$10*$J87,IF(AND(($D87+$C$1)&gt;AZ$4,AZ$4&gt;=$C$1),'General Inputs'!W$10*$I87,0))</f>
        <v>0</v>
      </c>
      <c r="BB87" s="214">
        <f>IF(AND(($E87+$C$1)&gt;BB$4,BB$4&gt;=$C$1),'General Inputs'!D$11*$H87,IF(AND(($D87+$C$1)&gt;BB$4,BB$4&gt;=$C$1),'General Inputs'!D$11*$G87,0))</f>
        <v>0</v>
      </c>
      <c r="BC87" s="214">
        <f>IF(AND(($E87+$C$1)&gt;BC$4,BC$4&gt;=$C$1),'General Inputs'!E$11*$H87,IF(AND(($D87+$C$1)&gt;BC$4,BC$4&gt;=$C$1),'General Inputs'!E$11*$G87,0))</f>
        <v>0</v>
      </c>
      <c r="BD87" s="214">
        <f>IF(AND(($E87+$C$1)&gt;BD$4,BD$4&gt;=$C$1),'General Inputs'!F$11*$H87,IF(AND(($D87+$C$1)&gt;BD$4,BD$4&gt;=$C$1),'General Inputs'!F$11*$G87,0))</f>
        <v>590.98675470118076</v>
      </c>
      <c r="BE87" s="214">
        <f>IF(AND(($E87+$C$1)&gt;BE$4,BE$4&gt;=$C$1),'General Inputs'!G$11*$H87,IF(AND(($D87+$C$1)&gt;BE$4,BE$4&gt;=$C$1),'General Inputs'!G$11*$G87,0))</f>
        <v>590.98675470118076</v>
      </c>
      <c r="BF87" s="214">
        <f>IF(AND(($E87+$C$1)&gt;BF$4,BF$4&gt;=$C$1),'General Inputs'!H$11*$H87,IF(AND(($D87+$C$1)&gt;BF$4,BF$4&gt;=$C$1),'General Inputs'!H$11*$G87,0))</f>
        <v>590.98675470118076</v>
      </c>
      <c r="BG87" s="214">
        <f>IF(AND(($E87+$C$1)&gt;BG$4,BG$4&gt;=$C$1),'General Inputs'!I$11*$H87,IF(AND(($D87+$C$1)&gt;BG$4,BG$4&gt;=$C$1),'General Inputs'!I$11*$G87,0))</f>
        <v>590.98675470118076</v>
      </c>
      <c r="BH87" s="214">
        <f>IF(AND(($E87+$C$1)&gt;BH$4,BH$4&gt;=$C$1),'General Inputs'!J$11*$H87,IF(AND(($D87+$C$1)&gt;BH$4,BH$4&gt;=$C$1),'General Inputs'!J$11*$G87,0))</f>
        <v>590.98675470118076</v>
      </c>
      <c r="BI87" s="214">
        <f>IF(AND(($E87+$C$1)&gt;BI$4,BI$4&gt;=$C$1),'General Inputs'!K$11*$H87,IF(AND(($D87+$C$1)&gt;BI$4,BI$4&gt;=$C$1),'General Inputs'!K$11*$G87,0))</f>
        <v>590.98675470118076</v>
      </c>
      <c r="BJ87" s="214">
        <f>IF(AND(($E87+$C$1)&gt;BJ$4,BJ$4&gt;=$C$1),'General Inputs'!L$11*$H87,IF(AND(($D87+$C$1)&gt;BJ$4,BJ$4&gt;=$C$1),'General Inputs'!L$11*$G87,0))</f>
        <v>590.98675470118076</v>
      </c>
      <c r="BK87" s="214">
        <f>IF(AND(($E87+$C$1)&gt;BK$4,BK$4&gt;=$C$1),'General Inputs'!M$11*$H87,IF(AND(($D87+$C$1)&gt;BK$4,BK$4&gt;=$C$1),'General Inputs'!M$11*$G87,0))</f>
        <v>590.98675470118076</v>
      </c>
      <c r="BL87" s="214">
        <f>IF(AND(($E87+$C$1)&gt;BL$4,BL$4&gt;=$C$1),'General Inputs'!N$11*$H87,IF(AND(($D87+$C$1)&gt;BL$4,BL$4&gt;=$C$1),'General Inputs'!N$11*$G87,0))</f>
        <v>590.98675470118076</v>
      </c>
      <c r="BM87" s="214">
        <f>IF(AND(($E87+$C$1)&gt;BM$4,BM$4&gt;=$C$1),'General Inputs'!O$11*$H87,IF(AND(($D87+$C$1)&gt;BM$4,BM$4&gt;=$C$1),'General Inputs'!O$11*$G87,0))</f>
        <v>590.98675470118076</v>
      </c>
      <c r="BN87" s="214">
        <f>IF(AND(($E87+$C$1)&gt;BN$4,BN$4&gt;=$C$1),'General Inputs'!P$11*$H87,IF(AND(($D87+$C$1)&gt;BN$4,BN$4&gt;=$C$1),'General Inputs'!P$11*$G87,0))</f>
        <v>590.98675470118076</v>
      </c>
      <c r="BO87" s="214">
        <f>IF(AND(($E87+$C$1)&gt;BO$4,BO$4&gt;=$C$1),'General Inputs'!Q$11*$H87,IF(AND(($D87+$C$1)&gt;BO$4,BO$4&gt;=$C$1),'General Inputs'!Q$11*$G87,0))</f>
        <v>590.98675470118076</v>
      </c>
      <c r="BP87" s="214">
        <f>IF(AND(($E87+$C$1)&gt;BP$4,BP$4&gt;=$C$1),'General Inputs'!R$11*$H87,IF(AND(($D87+$C$1)&gt;BP$4,BP$4&gt;=$C$1),'General Inputs'!R$11*$G87,0))</f>
        <v>590.98675470118076</v>
      </c>
      <c r="BQ87" s="214">
        <f>IF(AND(($E87+$C$1)&gt;BQ$4,BQ$4&gt;=$C$1),'General Inputs'!S$11*$H87,IF(AND(($D87+$C$1)&gt;BQ$4,BQ$4&gt;=$C$1),'General Inputs'!S$11*$G87,0))</f>
        <v>590.98675470118076</v>
      </c>
      <c r="BR87" s="214">
        <f>IF(AND(($E87+$C$1)&gt;BR$4,BR$4&gt;=$C$1),'General Inputs'!T$11*$H87,IF(AND(($D87+$C$1)&gt;BR$4,BR$4&gt;=$C$1),'General Inputs'!T$11*$G87,0))</f>
        <v>590.98675470118076</v>
      </c>
      <c r="BS87" s="214">
        <f>IF(AND(($E87+$C$1)&gt;BS$4,BS$4&gt;=$C$1),'General Inputs'!U$11*$H87,IF(AND(($D87+$C$1)&gt;BS$4,BS$4&gt;=$C$1),'General Inputs'!U$11*$G87,0))</f>
        <v>0</v>
      </c>
      <c r="BT87" s="214">
        <f>IF(AND(($E87+$C$1)&gt;BT$4,BT$4&gt;=$C$1),'General Inputs'!V$11*$H87,IF(AND(($D87+$C$1)&gt;BT$4,BT$4&gt;=$C$1),'General Inputs'!V$11*$G87,0))</f>
        <v>0</v>
      </c>
      <c r="BU87" s="214">
        <f>IF(AND(($E87+$C$1)&gt;BU$4,BU$4&gt;=$C$1),'General Inputs'!W$11*$H87,IF(AND(($D87+$C$1)&gt;BU$4,BU$4&gt;=$C$1),'General Inputs'!W$11*$G87,0))</f>
        <v>0</v>
      </c>
      <c r="BW87" s="214">
        <f>IF(AND(($E87+$C$1)&gt;BW$4,BW$4&gt;=$C$1),$H87,IF(AND(($D87+$C$1)&gt;BW$4,BW$4&gt;=$C$1),$G87,0))*IF($A87="Residential",'General Inputs'!D$14,'General Inputs'!D$19)</f>
        <v>0</v>
      </c>
      <c r="BX87" s="214">
        <f>IF(AND(($E87+$C$1)&gt;BX$4,BX$4&gt;=$C$1),$H87,IF(AND(($D87+$C$1)&gt;BX$4,BX$4&gt;=$C$1),$G87,0))*IF($A87="Residential",'General Inputs'!E$14,'General Inputs'!E$19)</f>
        <v>0</v>
      </c>
      <c r="BY87" s="214">
        <f>IF(AND(($E87+$C$1)&gt;BY$4,BY$4&gt;=$C$1),$H87,IF(AND(($D87+$C$1)&gt;BY$4,BY$4&gt;=$C$1),$G87,0))*IF($A87="Residential",'General Inputs'!F$14,'General Inputs'!F$19)</f>
        <v>5579.3483248527018</v>
      </c>
      <c r="BZ87" s="214">
        <f>IF(AND(($E87+$C$1)&gt;BZ$4,BZ$4&gt;=$C$1),$H87,IF(AND(($D87+$C$1)&gt;BZ$4,BZ$4&gt;=$C$1),$G87,0))*IF($A87="Residential",'General Inputs'!G$14,'General Inputs'!G$19)</f>
        <v>5663.038549725492</v>
      </c>
      <c r="CA87" s="214">
        <f>IF(AND(($E87+$C$1)&gt;CA$4,CA$4&gt;=$C$1),$H87,IF(AND(($D87+$C$1)&gt;CA$4,CA$4&gt;=$C$1),$G87,0))*IF($A87="Residential",'General Inputs'!H$14,'General Inputs'!H$19)</f>
        <v>5747.9841279713728</v>
      </c>
      <c r="CB87" s="214">
        <f>IF(AND(($E87+$C$1)&gt;CB$4,CB$4&gt;=$C$1),$H87,IF(AND(($D87+$C$1)&gt;CB$4,CB$4&gt;=$C$1),$G87,0))*IF($A87="Residential",'General Inputs'!I$14,'General Inputs'!I$19)</f>
        <v>5834.2038898909423</v>
      </c>
      <c r="CC87" s="214">
        <f>IF(AND(($E87+$C$1)&gt;CC$4,CC$4&gt;=$C$1),$H87,IF(AND(($D87+$C$1)&gt;CC$4,CC$4&gt;=$C$1),$G87,0))*IF($A87="Residential",'General Inputs'!J$14,'General Inputs'!J$19)</f>
        <v>5921.7169482393065</v>
      </c>
      <c r="CD87" s="214">
        <f>IF(AND(($E87+$C$1)&gt;CD$4,CD$4&gt;=$C$1),$H87,IF(AND(($D87+$C$1)&gt;CD$4,CD$4&gt;=$C$1),$G87,0))*IF($A87="Residential",'General Inputs'!K$14,'General Inputs'!K$19)</f>
        <v>6010.5427024628952</v>
      </c>
      <c r="CE87" s="214">
        <f>IF(AND(($E87+$C$1)&gt;CE$4,CE$4&gt;=$C$1),$H87,IF(AND(($D87+$C$1)&gt;CE$4,CE$4&gt;=$C$1),$G87,0))*IF($A87="Residential",'General Inputs'!L$14,'General Inputs'!L$19)</f>
        <v>6100.7008429998386</v>
      </c>
      <c r="CF87" s="214">
        <f>IF(AND(($E87+$C$1)&gt;CF$4,CF$4&gt;=$C$1),$H87,IF(AND(($D87+$C$1)&gt;CF$4,CF$4&gt;=$C$1),$G87,0))*IF($A87="Residential",'General Inputs'!M$14,'General Inputs'!M$19)</f>
        <v>6192.2113556448348</v>
      </c>
      <c r="CG87" s="214">
        <f>IF(AND(($E87+$C$1)&gt;CG$4,CG$4&gt;=$C$1),$H87,IF(AND(($D87+$C$1)&gt;CG$4,CG$4&gt;=$C$1),$G87,0))*IF($A87="Residential",'General Inputs'!N$14,'General Inputs'!N$19)</f>
        <v>6285.094525979508</v>
      </c>
      <c r="CH87" s="214">
        <f>IF(AND(($E87+$C$1)&gt;CH$4,CH$4&gt;=$C$1),$H87,IF(AND(($D87+$C$1)&gt;CH$4,CH$4&gt;=$C$1),$G87,0))*IF($A87="Residential",'General Inputs'!O$14,'General Inputs'!O$19)</f>
        <v>6379.3709438691985</v>
      </c>
      <c r="CI87" s="214">
        <f>IF(AND(($E87+$C$1)&gt;CI$4,CI$4&gt;=$C$1),$H87,IF(AND(($D87+$C$1)&gt;CI$4,CI$4&gt;=$C$1),$G87,0))*IF($A87="Residential",'General Inputs'!P$14,'General Inputs'!P$19)</f>
        <v>6475.0615080272364</v>
      </c>
      <c r="CJ87" s="214">
        <f>IF(AND(($E87+$C$1)&gt;CJ$4,CJ$4&gt;=$C$1),$H87,IF(AND(($D87+$C$1)&gt;CJ$4,CJ$4&gt;=$C$1),$G87,0))*IF($A87="Residential",'General Inputs'!Q$14,'General Inputs'!Q$19)</f>
        <v>6572.1874306476448</v>
      </c>
      <c r="CK87" s="214">
        <f>IF(AND(($E87+$C$1)&gt;CK$4,CK$4&gt;=$C$1),$H87,IF(AND(($D87+$C$1)&gt;CK$4,CK$4&gt;=$C$1),$G87,0))*IF($A87="Residential",'General Inputs'!R$14,'General Inputs'!R$19)</f>
        <v>6670.7702421073582</v>
      </c>
      <c r="CL87" s="214">
        <f>IF(AND(($E87+$C$1)&gt;CL$4,CL$4&gt;=$C$1),$H87,IF(AND(($D87+$C$1)&gt;CL$4,CL$4&gt;=$C$1),$G87,0))*IF($A87="Residential",'General Inputs'!S$14,'General Inputs'!S$19)</f>
        <v>6770.831795738969</v>
      </c>
      <c r="CM87" s="214">
        <f>IF(AND(($E87+$C$1)&gt;CM$4,CM$4&gt;=$C$1),$H87,IF(AND(($D87+$C$1)&gt;CM$4,CM$4&gt;=$C$1),$G87,0))*IF($A87="Residential",'General Inputs'!T$14,'General Inputs'!T$19)</f>
        <v>6872.3942726750529</v>
      </c>
      <c r="CN87" s="214">
        <f>IF(AND(($E87+$C$1)&gt;CN$4,CN$4&gt;=$C$1),$H87,IF(AND(($D87+$C$1)&gt;CN$4,CN$4&gt;=$C$1),$G87,0))*IF($A87="Residential",'General Inputs'!U$14,'General Inputs'!U$19)</f>
        <v>0</v>
      </c>
      <c r="CO87" s="214">
        <f>IF(AND(($E87+$C$1)&gt;CO$4,CO$4&gt;=$C$1),$H87,IF(AND(($D87+$C$1)&gt;CO$4,CO$4&gt;=$C$1),$G87,0))*IF($A87="Residential",'General Inputs'!V$14,'General Inputs'!V$19)</f>
        <v>0</v>
      </c>
      <c r="CP87" s="214">
        <f>IF(AND(($E87+$C$1)&gt;CP$4,CP$4&gt;=$C$1),$H87,IF(AND(($D87+$C$1)&gt;CP$4,CP$4&gt;=$C$1),$G87,0))*IF($A87="Residential",'General Inputs'!W$14,'General Inputs'!W$19)</f>
        <v>0</v>
      </c>
      <c r="CR87" s="214">
        <f>IF(AND(($E87+$C$1)&gt;CR$4,CR$4&gt;=$C$1),$H87,IF(AND(($D87+$C$1)&gt;CR$4,CR$4&gt;=$C$1),$G87,0))*IF($A87="Residential",'General Inputs'!D$15,'General Inputs'!D$19)</f>
        <v>0</v>
      </c>
      <c r="CS87" s="214">
        <f>IF(AND(($E87+$C$1)&gt;CS$4,CS$4&gt;=$C$1),$H87,IF(AND(($D87+$C$1)&gt;CS$4,CS$4&gt;=$C$1),$G87,0))*IF($A87="Residential",'General Inputs'!E$15,'General Inputs'!E$19)</f>
        <v>0</v>
      </c>
      <c r="CT87" s="214">
        <f>IF(AND(($E87+$C$1)&gt;CT$4,CT$4&gt;=$C$1),$H87,IF(AND(($D87+$C$1)&gt;CT$4,CT$4&gt;=$C$1),$G87,0))*IF($A87="Residential",'General Inputs'!F$15,'General Inputs'!F$19)</f>
        <v>5579.3483248527018</v>
      </c>
      <c r="CU87" s="214">
        <f>IF(AND(($E87+$C$1)&gt;CU$4,CU$4&gt;=$C$1),$H87,IF(AND(($D87+$C$1)&gt;CU$4,CU$4&gt;=$C$1),$G87,0))*IF($A87="Residential",'General Inputs'!G$15,'General Inputs'!G$19)</f>
        <v>5663.038549725492</v>
      </c>
      <c r="CV87" s="214">
        <f>IF(AND(($E87+$C$1)&gt;CV$4,CV$4&gt;=$C$1),$H87,IF(AND(($D87+$C$1)&gt;CV$4,CV$4&gt;=$C$1),$G87,0))*IF($A87="Residential",'General Inputs'!H$15,'General Inputs'!H$19)</f>
        <v>5747.9841279713728</v>
      </c>
      <c r="CW87" s="214">
        <f>IF(AND(($E87+$C$1)&gt;CW$4,CW$4&gt;=$C$1),$H87,IF(AND(($D87+$C$1)&gt;CW$4,CW$4&gt;=$C$1),$G87,0))*IF($A87="Residential",'General Inputs'!I$15,'General Inputs'!I$19)</f>
        <v>5834.2038898909423</v>
      </c>
      <c r="CX87" s="214">
        <f>IF(AND(($E87+$C$1)&gt;CX$4,CX$4&gt;=$C$1),$H87,IF(AND(($D87+$C$1)&gt;CX$4,CX$4&gt;=$C$1),$G87,0))*IF($A87="Residential",'General Inputs'!J$15,'General Inputs'!J$19)</f>
        <v>5921.7169482393065</v>
      </c>
      <c r="CY87" s="214">
        <f>IF(AND(($E87+$C$1)&gt;CY$4,CY$4&gt;=$C$1),$H87,IF(AND(($D87+$C$1)&gt;CY$4,CY$4&gt;=$C$1),$G87,0))*IF($A87="Residential",'General Inputs'!K$15,'General Inputs'!K$19)</f>
        <v>6010.5427024628952</v>
      </c>
      <c r="CZ87" s="214">
        <f>IF(AND(($E87+$C$1)&gt;CZ$4,CZ$4&gt;=$C$1),$H87,IF(AND(($D87+$C$1)&gt;CZ$4,CZ$4&gt;=$C$1),$G87,0))*IF($A87="Residential",'General Inputs'!L$15,'General Inputs'!L$19)</f>
        <v>6100.7008429998386</v>
      </c>
      <c r="DA87" s="214">
        <f>IF(AND(($E87+$C$1)&gt;DA$4,DA$4&gt;=$C$1),$H87,IF(AND(($D87+$C$1)&gt;DA$4,DA$4&gt;=$C$1),$G87,0))*IF($A87="Residential",'General Inputs'!M$15,'General Inputs'!M$19)</f>
        <v>6192.2113556448348</v>
      </c>
      <c r="DB87" s="214">
        <f>IF(AND(($E87+$C$1)&gt;DB$4,DB$4&gt;=$C$1),$H87,IF(AND(($D87+$C$1)&gt;DB$4,DB$4&gt;=$C$1),$G87,0))*IF($A87="Residential",'General Inputs'!N$15,'General Inputs'!N$19)</f>
        <v>6285.094525979508</v>
      </c>
      <c r="DC87" s="214">
        <f>IF(AND(($E87+$C$1)&gt;DC$4,DC$4&gt;=$C$1),$H87,IF(AND(($D87+$C$1)&gt;DC$4,DC$4&gt;=$C$1),$G87,0))*IF($A87="Residential",'General Inputs'!O$15,'General Inputs'!O$19)</f>
        <v>6379.3709438691985</v>
      </c>
      <c r="DD87" s="214">
        <f>IF(AND(($E87+$C$1)&gt;DD$4,DD$4&gt;=$C$1),$H87,IF(AND(($D87+$C$1)&gt;DD$4,DD$4&gt;=$C$1),$G87,0))*IF($A87="Residential",'General Inputs'!P$15,'General Inputs'!P$19)</f>
        <v>6475.0615080272364</v>
      </c>
      <c r="DE87" s="214">
        <f>IF(AND(($E87+$C$1)&gt;DE$4,DE$4&gt;=$C$1),$H87,IF(AND(($D87+$C$1)&gt;DE$4,DE$4&gt;=$C$1),$G87,0))*IF($A87="Residential",'General Inputs'!Q$15,'General Inputs'!Q$19)</f>
        <v>6572.1874306476448</v>
      </c>
      <c r="DF87" s="214">
        <f>IF(AND(($E87+$C$1)&gt;DF$4,DF$4&gt;=$C$1),$H87,IF(AND(($D87+$C$1)&gt;DF$4,DF$4&gt;=$C$1),$G87,0))*IF($A87="Residential",'General Inputs'!R$15,'General Inputs'!R$19)</f>
        <v>6670.7702421073582</v>
      </c>
      <c r="DG87" s="214">
        <f>IF(AND(($E87+$C$1)&gt;DG$4,DG$4&gt;=$C$1),$H87,IF(AND(($D87+$C$1)&gt;DG$4,DG$4&gt;=$C$1),$G87,0))*IF($A87="Residential",'General Inputs'!S$15,'General Inputs'!S$19)</f>
        <v>6770.831795738969</v>
      </c>
      <c r="DH87" s="214">
        <f>IF(AND(($E87+$C$1)&gt;DH$4,DH$4&gt;=$C$1),$H87,IF(AND(($D87+$C$1)&gt;DH$4,DH$4&gt;=$C$1),$G87,0))*IF($A87="Residential",'General Inputs'!T$15,'General Inputs'!T$19)</f>
        <v>6872.3942726750529</v>
      </c>
      <c r="DI87" s="214">
        <f>IF(AND(($E87+$C$1)&gt;DI$4,DI$4&gt;=$C$1),$H87,IF(AND(($D87+$C$1)&gt;DI$4,DI$4&gt;=$C$1),$G87,0))*IF($A87="Residential",'General Inputs'!U$15,'General Inputs'!U$19)</f>
        <v>0</v>
      </c>
      <c r="DJ87" s="214">
        <f>IF(AND(($E87+$C$1)&gt;DJ$4,DJ$4&gt;=$C$1),$H87,IF(AND(($D87+$C$1)&gt;DJ$4,DJ$4&gt;=$C$1),$G87,0))*IF($A87="Residential",'General Inputs'!V$15,'General Inputs'!V$19)</f>
        <v>0</v>
      </c>
      <c r="DK87" s="214">
        <f>IF(AND(($E87+$C$1)&gt;DK$4,DK$4&gt;=$C$1),$H87,IF(AND(($D87+$C$1)&gt;DK$4,DK$4&gt;=$C$1),$G87,0))*IF($A87="Residential",'General Inputs'!W$15,'General Inputs'!W$19)</f>
        <v>0</v>
      </c>
      <c r="DM87" s="214">
        <f t="shared" ref="DM87:DW90" si="114">IF($C$1=DM$4,$L87*$C87,IF($E87+$C$1=DM$4,-$M87*$C87,0))</f>
        <v>0</v>
      </c>
      <c r="DN87" s="214">
        <f t="shared" si="114"/>
        <v>0</v>
      </c>
      <c r="DO87" s="214">
        <f t="shared" si="114"/>
        <v>9250</v>
      </c>
      <c r="DP87" s="214">
        <f t="shared" si="114"/>
        <v>0</v>
      </c>
      <c r="DQ87" s="214">
        <f t="shared" si="114"/>
        <v>0</v>
      </c>
      <c r="DR87" s="214">
        <f t="shared" si="114"/>
        <v>0</v>
      </c>
      <c r="DS87" s="214">
        <f t="shared" si="114"/>
        <v>0</v>
      </c>
      <c r="DT87" s="214">
        <f t="shared" si="114"/>
        <v>0</v>
      </c>
      <c r="DU87" s="214">
        <f t="shared" si="114"/>
        <v>0</v>
      </c>
      <c r="DV87" s="214">
        <f t="shared" si="114"/>
        <v>0</v>
      </c>
      <c r="DW87" s="214">
        <f t="shared" si="114"/>
        <v>0</v>
      </c>
      <c r="DZ87" s="650"/>
      <c r="FI87" s="195"/>
      <c r="FJ87" s="195"/>
      <c r="FK87" s="195"/>
      <c r="FL87" s="195"/>
      <c r="FM87" s="195"/>
      <c r="FN87" s="195"/>
      <c r="FO87" s="195"/>
    </row>
    <row r="88" spans="1:171">
      <c r="A88" s="342" t="s">
        <v>112</v>
      </c>
      <c r="B88" s="427" t="str">
        <f>'Portfolio Inputs'!A87</f>
        <v>Single System Heat Pump</v>
      </c>
      <c r="C88" s="217">
        <f>IF($C$1=2014,'Portfolio Inputs'!$C87,IF($C$1=2015,'Portfolio Inputs'!$D87,'Portfolio Inputs'!$E87))</f>
        <v>25</v>
      </c>
      <c r="D88" s="504">
        <f>VLOOKUP(B88,Sources!$B$4:$J$104,2,FALSE)</f>
        <v>15</v>
      </c>
      <c r="E88" s="504">
        <f>VLOOKUP(B88,Sources!$B$4:$J$104,3,FALSE)</f>
        <v>0</v>
      </c>
      <c r="G88" s="504">
        <f>IF($C$1=2014,'Portfolio Inputs'!$G87,IF($C$1=2015,'Portfolio Inputs'!$H87,'Portfolio Inputs'!$I87))*EnergyLineLoss</f>
        <v>23733.612512487471</v>
      </c>
      <c r="H88" s="504"/>
      <c r="I88" s="595">
        <f>IF($C$1=2014,'Portfolio Inputs'!$K87,IF($C$1=2015,'Portfolio Inputs'!$L87,'Portfolio Inputs'!$M87))*PeakLineLoss</f>
        <v>7.8783873626373744</v>
      </c>
      <c r="J88" s="510"/>
      <c r="L88" s="606">
        <f>IF($C$1=2014,'Portfolio Inputs'!$O87,IF($C$1=2015,'Portfolio Inputs'!$P87,'Portfolio Inputs'!$Q87))</f>
        <v>370</v>
      </c>
      <c r="M88" s="518">
        <f>VLOOKUP($B88,Sources!$B$4:$K$104,10,FALSE)</f>
        <v>0</v>
      </c>
      <c r="N88" s="419">
        <f>IF($C$1=2014,'Portfolio Inputs'!$W87,IF($C$1=2015,'Portfolio Inputs'!$X87,'Portfolio Inputs'!$Y87))</f>
        <v>6250</v>
      </c>
      <c r="O88" s="419">
        <f>IF($C$1=2014,'Portfolio Inputs'!$AA87,IF($C$1=2015,'Portfolio Inputs'!$AB87,'Portfolio Inputs'!$AC87))</f>
        <v>0</v>
      </c>
      <c r="Q88" s="436">
        <f t="shared" ref="Q88:Q96" si="115">IF(OR(AE88&gt;0,AC88&gt;0),Y88/(AC88+AE88),"n/a")</f>
        <v>1.1394146953127289</v>
      </c>
      <c r="R88" s="437">
        <f t="shared" ref="R88:R96" si="116">IF(OR(AC88&gt;0,AD88&gt;0),Y88/((AD88+AC88)),"n/a")</f>
        <v>1.6863337490628385</v>
      </c>
      <c r="S88" s="437">
        <f t="shared" ref="S88:S96" si="117">IF(OR(AC88&gt;0,AE88&gt;0),(Y88+Z88)/(AC88+AE88),"n/a")</f>
        <v>1.3984749379806511</v>
      </c>
      <c r="T88" s="437">
        <f t="shared" ref="T88:T96" si="118">IF(AE88&gt;0,(AD88+AA88)/AE88,"n/a")</f>
        <v>3.3336328758493403</v>
      </c>
      <c r="U88" s="439">
        <f t="shared" si="113"/>
        <v>3.3336328758493403</v>
      </c>
      <c r="V88" s="439">
        <f t="shared" ref="V88:V96" si="119">IF((AA88+AC88+AD88)&gt;0,Y88/(AA88+AC88+AD88),"n/a")</f>
        <v>0.34179369407089549</v>
      </c>
      <c r="W88" s="439">
        <f t="shared" ref="W88:W96" si="120">IF((AB88+AC88+AD88)&gt;0,Y88/(AB88+AC88+AD88),"n/a")</f>
        <v>0.34179369407089549</v>
      </c>
      <c r="Y88" s="215">
        <f t="shared" si="101"/>
        <v>8897.0592524565473</v>
      </c>
      <c r="Z88" s="215">
        <f t="shared" si="102"/>
        <v>2022.858173107614</v>
      </c>
      <c r="AA88" s="215">
        <f t="shared" si="103"/>
        <v>20754.517909695784</v>
      </c>
      <c r="AB88" s="215">
        <f t="shared" si="104"/>
        <v>20754.517909695784</v>
      </c>
      <c r="AC88" s="216">
        <f t="shared" si="20"/>
        <v>0</v>
      </c>
      <c r="AD88" s="216">
        <f t="shared" si="21"/>
        <v>5275.9776986026582</v>
      </c>
      <c r="AE88" s="215">
        <f t="shared" si="105"/>
        <v>7808.4469939319324</v>
      </c>
      <c r="AG88" s="214">
        <f>IF(AND(($E88+$C$1)&gt;AG$4,AG$4&gt;=$C$1),'General Inputs'!D$9*$H88,IF(AND(($D88+$C$1)&gt;AG$4,AG$4&gt;=$C$1),'General Inputs'!D$9*$G88,0))+IF(AND(($E88+$C$1)&gt;AG$4,AG$4&gt;=$C$1),'General Inputs'!D$10*$J88,IF(AND(($D88+$C$1)&gt;AG$4,AG$4&gt;=$C$1),'General Inputs'!D$10*$I88,0))</f>
        <v>0</v>
      </c>
      <c r="AH88" s="214">
        <f>IF(AND(($E88+$C$1)&gt;AH$4,AH$4&gt;=$C$1),'General Inputs'!E$9*$H88,IF(AND(($D88+$C$1)&gt;AH$4,AH$4&gt;=$C$1),'General Inputs'!E$9*$G88,0))+IF(AND(($E88+$C$1)&gt;AH$4,AH$4&gt;=$C$1),'General Inputs'!E$10*$J88,IF(AND(($D88+$C$1)&gt;AH$4,AH$4&gt;=$C$1),'General Inputs'!E$10*$I88,0))</f>
        <v>0</v>
      </c>
      <c r="AI88" s="214">
        <f>IF(AND(($E88+$C$1)&gt;AI$4,AI$4&gt;=$C$1),'General Inputs'!F$9*$H88,IF(AND(($D88+$C$1)&gt;AI$4,AI$4&gt;=$C$1),'General Inputs'!F$9*$G88,0))+IF(AND(($E88+$C$1)&gt;AI$4,AI$4&gt;=$C$1),'General Inputs'!F$10*$J88,IF(AND(($D88+$C$1)&gt;AI$4,AI$4&gt;=$C$1),'General Inputs'!F$10*$I88,0))</f>
        <v>1094.9852273558167</v>
      </c>
      <c r="AJ88" s="214">
        <f>IF(AND(($E88+$C$1)&gt;AJ$4,AJ$4&gt;=$C$1),'General Inputs'!G$9*$H88,IF(AND(($D88+$C$1)&gt;AJ$4,AJ$4&gt;=$C$1),'General Inputs'!G$9*$G88,0))+IF(AND(($E88+$C$1)&gt;AJ$4,AJ$4&gt;=$C$1),'General Inputs'!G$10*$J88,IF(AND(($D88+$C$1)&gt;AJ$4,AJ$4&gt;=$C$1),'General Inputs'!G$10*$I88,0))</f>
        <v>1111.4100057661537</v>
      </c>
      <c r="AK88" s="214">
        <f>IF(AND(($E88+$C$1)&gt;AK$4,AK$4&gt;=$C$1),'General Inputs'!H$9*$H88,IF(AND(($D88+$C$1)&gt;AK$4,AK$4&gt;=$C$1),'General Inputs'!H$9*$G88,0))+IF(AND(($E88+$C$1)&gt;AK$4,AK$4&gt;=$C$1),'General Inputs'!H$10*$J88,IF(AND(($D88+$C$1)&gt;AK$4,AK$4&gt;=$C$1),'General Inputs'!H$10*$I88,0))</f>
        <v>1128.0811558526459</v>
      </c>
      <c r="AL88" s="214">
        <f>IF(AND(($E88+$C$1)&gt;AL$4,AL$4&gt;=$C$1),'General Inputs'!I$9*$H88,IF(AND(($D88+$C$1)&gt;AL$4,AL$4&gt;=$C$1),'General Inputs'!I$9*$G88,0))+IF(AND(($E88+$C$1)&gt;AL$4,AL$4&gt;=$C$1),'General Inputs'!I$10*$J88,IF(AND(($D88+$C$1)&gt;AL$4,AL$4&gt;=$C$1),'General Inputs'!I$10*$I88,0))</f>
        <v>1145.0023731904355</v>
      </c>
      <c r="AM88" s="214">
        <f>IF(AND(($E88+$C$1)&gt;AM$4,AM$4&gt;=$C$1),'General Inputs'!J$9*$H88,IF(AND(($D88+$C$1)&gt;AM$4,AM$4&gt;=$C$1),'General Inputs'!J$9*$G88,0))+IF(AND(($E88+$C$1)&gt;AM$4,AM$4&gt;=$C$1),'General Inputs'!J$10*$J88,IF(AND(($D88+$C$1)&gt;AM$4,AM$4&gt;=$C$1),'General Inputs'!J$10*$I88,0))</f>
        <v>1162.1774087882918</v>
      </c>
      <c r="AN88" s="214">
        <f>IF(AND(($E88+$C$1)&gt;AN$4,AN$4&gt;=$C$1),'General Inputs'!K$9*$H88,IF(AND(($D88+$C$1)&gt;AN$4,AN$4&gt;=$C$1),'General Inputs'!K$9*$G88,0))+IF(AND(($E88+$C$1)&gt;AN$4,AN$4&gt;=$C$1),'General Inputs'!K$10*$J88,IF(AND(($D88+$C$1)&gt;AN$4,AN$4&gt;=$C$1),'General Inputs'!K$10*$I88,0))</f>
        <v>1179.6100699201161</v>
      </c>
      <c r="AO88" s="214">
        <f>IF(AND(($E88+$C$1)&gt;AO$4,AO$4&gt;=$C$1),'General Inputs'!L$9*$H88,IF(AND(($D88+$C$1)&gt;AO$4,AO$4&gt;=$C$1),'General Inputs'!L$9*$G88,0))+IF(AND(($E88+$C$1)&gt;AO$4,AO$4&gt;=$C$1),'General Inputs'!L$10*$J88,IF(AND(($D88+$C$1)&gt;AO$4,AO$4&gt;=$C$1),'General Inputs'!L$10*$I88,0))</f>
        <v>1197.3042209689179</v>
      </c>
      <c r="AP88" s="214">
        <f>IF(AND(($E88+$C$1)&gt;AP$4,AP$4&gt;=$C$1),'General Inputs'!M$9*$H88,IF(AND(($D88+$C$1)&gt;AP$4,AP$4&gt;=$C$1),'General Inputs'!M$9*$G88,0))+IF(AND(($E88+$C$1)&gt;AP$4,AP$4&gt;=$C$1),'General Inputs'!M$10*$J88,IF(AND(($D88+$C$1)&gt;AP$4,AP$4&gt;=$C$1),'General Inputs'!M$10*$I88,0))</f>
        <v>1215.2637842834513</v>
      </c>
      <c r="AQ88" s="214">
        <f>IF(AND(($E88+$C$1)&gt;AQ$4,AQ$4&gt;=$C$1),'General Inputs'!N$9*$H88,IF(AND(($D88+$C$1)&gt;AQ$4,AQ$4&gt;=$C$1),'General Inputs'!N$9*$G88,0))+IF(AND(($E88+$C$1)&gt;AQ$4,AQ$4&gt;=$C$1),'General Inputs'!N$10*$J88,IF(AND(($D88+$C$1)&gt;AQ$4,AQ$4&gt;=$C$1),'General Inputs'!N$10*$I88,0))</f>
        <v>1233.492741047703</v>
      </c>
      <c r="AR88" s="214">
        <f>IF(AND(($E88+$C$1)&gt;AR$4,AR$4&gt;=$C$1),'General Inputs'!O$9*$H88,IF(AND(($D88+$C$1)&gt;AR$4,AR$4&gt;=$C$1),'General Inputs'!O$9*$G88,0))+IF(AND(($E88+$C$1)&gt;AR$4,AR$4&gt;=$C$1),'General Inputs'!O$10*$J88,IF(AND(($D88+$C$1)&gt;AR$4,AR$4&gt;=$C$1),'General Inputs'!O$10*$I88,0))</f>
        <v>1251.9951321634185</v>
      </c>
      <c r="AS88" s="214">
        <f>IF(AND(($E88+$C$1)&gt;AS$4,AS$4&gt;=$C$1),'General Inputs'!P$9*$H88,IF(AND(($D88+$C$1)&gt;AS$4,AS$4&gt;=$C$1),'General Inputs'!P$9*$G88,0))+IF(AND(($E88+$C$1)&gt;AS$4,AS$4&gt;=$C$1),'General Inputs'!P$10*$J88,IF(AND(($D88+$C$1)&gt;AS$4,AS$4&gt;=$C$1),'General Inputs'!P$10*$I88,0))</f>
        <v>1270.7750591458696</v>
      </c>
      <c r="AT88" s="214">
        <f>IF(AND(($E88+$C$1)&gt;AT$4,AT$4&gt;=$C$1),'General Inputs'!Q$9*$H88,IF(AND(($D88+$C$1)&gt;AT$4,AT$4&gt;=$C$1),'General Inputs'!Q$9*$G88,0))+IF(AND(($E88+$C$1)&gt;AT$4,AT$4&gt;=$C$1),'General Inputs'!Q$10*$J88,IF(AND(($D88+$C$1)&gt;AT$4,AT$4&gt;=$C$1),'General Inputs'!Q$10*$I88,0))</f>
        <v>1289.8366850330574</v>
      </c>
      <c r="AU88" s="214">
        <f>IF(AND(($E88+$C$1)&gt;AU$4,AU$4&gt;=$C$1),'General Inputs'!R$9*$H88,IF(AND(($D88+$C$1)&gt;AU$4,AU$4&gt;=$C$1),'General Inputs'!R$9*$G88,0))+IF(AND(($E88+$C$1)&gt;AU$4,AU$4&gt;=$C$1),'General Inputs'!R$10*$J88,IF(AND(($D88+$C$1)&gt;AU$4,AU$4&gt;=$C$1),'General Inputs'!R$10*$I88,0))</f>
        <v>1309.1842353085533</v>
      </c>
      <c r="AV88" s="214">
        <f>IF(AND(($E88+$C$1)&gt;AV$4,AV$4&gt;=$C$1),'General Inputs'!S$9*$H88,IF(AND(($D88+$C$1)&gt;AV$4,AV$4&gt;=$C$1),'General Inputs'!S$9*$G88,0))+IF(AND(($E88+$C$1)&gt;AV$4,AV$4&gt;=$C$1),'General Inputs'!S$10*$J88,IF(AND(($D88+$C$1)&gt;AV$4,AV$4&gt;=$C$1),'General Inputs'!S$10*$I88,0))</f>
        <v>1328.8219988381816</v>
      </c>
      <c r="AW88" s="214">
        <f>IF(AND(($E88+$C$1)&gt;AW$4,AW$4&gt;=$C$1),'General Inputs'!T$9*$H88,IF(AND(($D88+$C$1)&gt;AW$4,AW$4&gt;=$C$1),'General Inputs'!T$9*$G88,0))+IF(AND(($E88+$C$1)&gt;AW$4,AW$4&gt;=$C$1),'General Inputs'!T$10*$J88,IF(AND(($D88+$C$1)&gt;AW$4,AW$4&gt;=$C$1),'General Inputs'!T$10*$I88,0))</f>
        <v>1348.7543288207544</v>
      </c>
      <c r="AX88" s="214">
        <f>IF(AND(($E88+$C$1)&gt;AX$4,AX$4&gt;=$C$1),'General Inputs'!U$9*$H88,IF(AND(($D88+$C$1)&gt;AX$4,AX$4&gt;=$C$1),'General Inputs'!U$9*$G88,0))+IF(AND(($E88+$C$1)&gt;AX$4,AX$4&gt;=$C$1),'General Inputs'!U$10*$J88,IF(AND(($D88+$C$1)&gt;AX$4,AX$4&gt;=$C$1),'General Inputs'!U$10*$I88,0))</f>
        <v>0</v>
      </c>
      <c r="AY88" s="214">
        <f>IF(AND(($E88+$C$1)&gt;AY$4,AY$4&gt;=$C$1),'General Inputs'!V$9*$H88,IF(AND(($D88+$C$1)&gt;AY$4,AY$4&gt;=$C$1),'General Inputs'!V$9*$G88,0))+IF(AND(($E88+$C$1)&gt;AY$4,AY$4&gt;=$C$1),'General Inputs'!V$10*$J88,IF(AND(($D88+$C$1)&gt;AY$4,AY$4&gt;=$C$1),'General Inputs'!V$10*$I88,0))</f>
        <v>0</v>
      </c>
      <c r="AZ88" s="214">
        <f>IF(AND(($E88+$C$1)&gt;AZ$4,AZ$4&gt;=$C$1),'General Inputs'!W$9*$H88,IF(AND(($D88+$C$1)&gt;AZ$4,AZ$4&gt;=$C$1),'General Inputs'!W$9*$G88,0))+IF(AND(($E88+$C$1)&gt;AZ$4,AZ$4&gt;=$C$1),'General Inputs'!W$10*$J88,IF(AND(($D88+$C$1)&gt;AZ$4,AZ$4&gt;=$C$1),'General Inputs'!W$10*$I88,0))</f>
        <v>0</v>
      </c>
      <c r="BB88" s="214">
        <f>IF(AND(($E88+$C$1)&gt;BB$4,BB$4&gt;=$C$1),'General Inputs'!D$11*$H88,IF(AND(($D88+$C$1)&gt;BB$4,BB$4&gt;=$C$1),'General Inputs'!D$11*$G88,0))</f>
        <v>0</v>
      </c>
      <c r="BC88" s="214">
        <f>IF(AND(($E88+$C$1)&gt;BC$4,BC$4&gt;=$C$1),'General Inputs'!E$11*$H88,IF(AND(($D88+$C$1)&gt;BC$4,BC$4&gt;=$C$1),'General Inputs'!E$11*$G88,0))</f>
        <v>0</v>
      </c>
      <c r="BD88" s="214">
        <f>IF(AND(($E88+$C$1)&gt;BD$4,BD$4&gt;=$C$1),'General Inputs'!F$11*$H88,IF(AND(($D88+$C$1)&gt;BD$4,BD$4&gt;=$C$1),'General Inputs'!F$11*$G88,0))</f>
        <v>270.56318264235716</v>
      </c>
      <c r="BE88" s="214">
        <f>IF(AND(($E88+$C$1)&gt;BE$4,BE$4&gt;=$C$1),'General Inputs'!G$11*$H88,IF(AND(($D88+$C$1)&gt;BE$4,BE$4&gt;=$C$1),'General Inputs'!G$11*$G88,0))</f>
        <v>270.56318264235716</v>
      </c>
      <c r="BF88" s="214">
        <f>IF(AND(($E88+$C$1)&gt;BF$4,BF$4&gt;=$C$1),'General Inputs'!H$11*$H88,IF(AND(($D88+$C$1)&gt;BF$4,BF$4&gt;=$C$1),'General Inputs'!H$11*$G88,0))</f>
        <v>270.56318264235716</v>
      </c>
      <c r="BG88" s="214">
        <f>IF(AND(($E88+$C$1)&gt;BG$4,BG$4&gt;=$C$1),'General Inputs'!I$11*$H88,IF(AND(($D88+$C$1)&gt;BG$4,BG$4&gt;=$C$1),'General Inputs'!I$11*$G88,0))</f>
        <v>270.56318264235716</v>
      </c>
      <c r="BH88" s="214">
        <f>IF(AND(($E88+$C$1)&gt;BH$4,BH$4&gt;=$C$1),'General Inputs'!J$11*$H88,IF(AND(($D88+$C$1)&gt;BH$4,BH$4&gt;=$C$1),'General Inputs'!J$11*$G88,0))</f>
        <v>270.56318264235716</v>
      </c>
      <c r="BI88" s="214">
        <f>IF(AND(($E88+$C$1)&gt;BI$4,BI$4&gt;=$C$1),'General Inputs'!K$11*$H88,IF(AND(($D88+$C$1)&gt;BI$4,BI$4&gt;=$C$1),'General Inputs'!K$11*$G88,0))</f>
        <v>270.56318264235716</v>
      </c>
      <c r="BJ88" s="214">
        <f>IF(AND(($E88+$C$1)&gt;BJ$4,BJ$4&gt;=$C$1),'General Inputs'!L$11*$H88,IF(AND(($D88+$C$1)&gt;BJ$4,BJ$4&gt;=$C$1),'General Inputs'!L$11*$G88,0))</f>
        <v>270.56318264235716</v>
      </c>
      <c r="BK88" s="214">
        <f>IF(AND(($E88+$C$1)&gt;BK$4,BK$4&gt;=$C$1),'General Inputs'!M$11*$H88,IF(AND(($D88+$C$1)&gt;BK$4,BK$4&gt;=$C$1),'General Inputs'!M$11*$G88,0))</f>
        <v>270.56318264235716</v>
      </c>
      <c r="BL88" s="214">
        <f>IF(AND(($E88+$C$1)&gt;BL$4,BL$4&gt;=$C$1),'General Inputs'!N$11*$H88,IF(AND(($D88+$C$1)&gt;BL$4,BL$4&gt;=$C$1),'General Inputs'!N$11*$G88,0))</f>
        <v>270.56318264235716</v>
      </c>
      <c r="BM88" s="214">
        <f>IF(AND(($E88+$C$1)&gt;BM$4,BM$4&gt;=$C$1),'General Inputs'!O$11*$H88,IF(AND(($D88+$C$1)&gt;BM$4,BM$4&gt;=$C$1),'General Inputs'!O$11*$G88,0))</f>
        <v>270.56318264235716</v>
      </c>
      <c r="BN88" s="214">
        <f>IF(AND(($E88+$C$1)&gt;BN$4,BN$4&gt;=$C$1),'General Inputs'!P$11*$H88,IF(AND(($D88+$C$1)&gt;BN$4,BN$4&gt;=$C$1),'General Inputs'!P$11*$G88,0))</f>
        <v>270.56318264235716</v>
      </c>
      <c r="BO88" s="214">
        <f>IF(AND(($E88+$C$1)&gt;BO$4,BO$4&gt;=$C$1),'General Inputs'!Q$11*$H88,IF(AND(($D88+$C$1)&gt;BO$4,BO$4&gt;=$C$1),'General Inputs'!Q$11*$G88,0))</f>
        <v>270.56318264235716</v>
      </c>
      <c r="BP88" s="214">
        <f>IF(AND(($E88+$C$1)&gt;BP$4,BP$4&gt;=$C$1),'General Inputs'!R$11*$H88,IF(AND(($D88+$C$1)&gt;BP$4,BP$4&gt;=$C$1),'General Inputs'!R$11*$G88,0))</f>
        <v>270.56318264235716</v>
      </c>
      <c r="BQ88" s="214">
        <f>IF(AND(($E88+$C$1)&gt;BQ$4,BQ$4&gt;=$C$1),'General Inputs'!S$11*$H88,IF(AND(($D88+$C$1)&gt;BQ$4,BQ$4&gt;=$C$1),'General Inputs'!S$11*$G88,0))</f>
        <v>270.56318264235716</v>
      </c>
      <c r="BR88" s="214">
        <f>IF(AND(($E88+$C$1)&gt;BR$4,BR$4&gt;=$C$1),'General Inputs'!T$11*$H88,IF(AND(($D88+$C$1)&gt;BR$4,BR$4&gt;=$C$1),'General Inputs'!T$11*$G88,0))</f>
        <v>270.56318264235716</v>
      </c>
      <c r="BS88" s="214">
        <f>IF(AND(($E88+$C$1)&gt;BS$4,BS$4&gt;=$C$1),'General Inputs'!U$11*$H88,IF(AND(($D88+$C$1)&gt;BS$4,BS$4&gt;=$C$1),'General Inputs'!U$11*$G88,0))</f>
        <v>0</v>
      </c>
      <c r="BT88" s="214">
        <f>IF(AND(($E88+$C$1)&gt;BT$4,BT$4&gt;=$C$1),'General Inputs'!V$11*$H88,IF(AND(($D88+$C$1)&gt;BT$4,BT$4&gt;=$C$1),'General Inputs'!V$11*$G88,0))</f>
        <v>0</v>
      </c>
      <c r="BU88" s="214">
        <f>IF(AND(($E88+$C$1)&gt;BU$4,BU$4&gt;=$C$1),'General Inputs'!W$11*$H88,IF(AND(($D88+$C$1)&gt;BU$4,BU$4&gt;=$C$1),'General Inputs'!W$11*$G88,0))</f>
        <v>0</v>
      </c>
      <c r="BW88" s="214">
        <f>IF(AND(($E88+$C$1)&gt;BW$4,BW$4&gt;=$C$1),$H88,IF(AND(($D88+$C$1)&gt;BW$4,BW$4&gt;=$C$1),$G88,0))*IF($A88="Residential",'General Inputs'!D$14,'General Inputs'!D$19)</f>
        <v>0</v>
      </c>
      <c r="BX88" s="214">
        <f>IF(AND(($E88+$C$1)&gt;BX$4,BX$4&gt;=$C$1),$H88,IF(AND(($D88+$C$1)&gt;BX$4,BX$4&gt;=$C$1),$G88,0))*IF($A88="Residential",'General Inputs'!E$14,'General Inputs'!E$19)</f>
        <v>0</v>
      </c>
      <c r="BY88" s="214">
        <f>IF(AND(($E88+$C$1)&gt;BY$4,BY$4&gt;=$C$1),$H88,IF(AND(($D88+$C$1)&gt;BY$4,BY$4&gt;=$C$1),$G88,0))*IF($A88="Residential",'General Inputs'!F$14,'General Inputs'!F$19)</f>
        <v>2554.3148434954851</v>
      </c>
      <c r="BZ88" s="214">
        <f>IF(AND(($E88+$C$1)&gt;BZ$4,BZ$4&gt;=$C$1),$H88,IF(AND(($D88+$C$1)&gt;BZ$4,BZ$4&gt;=$C$1),$G88,0))*IF($A88="Residential",'General Inputs'!G$14,'General Inputs'!G$19)</f>
        <v>2592.6295661479171</v>
      </c>
      <c r="CA88" s="214">
        <f>IF(AND(($E88+$C$1)&gt;CA$4,CA$4&gt;=$C$1),$H88,IF(AND(($D88+$C$1)&gt;CA$4,CA$4&gt;=$C$1),$G88,0))*IF($A88="Residential",'General Inputs'!H$14,'General Inputs'!H$19)</f>
        <v>2631.5190096401352</v>
      </c>
      <c r="CB88" s="214">
        <f>IF(AND(($E88+$C$1)&gt;CB$4,CB$4&gt;=$C$1),$H88,IF(AND(($D88+$C$1)&gt;CB$4,CB$4&gt;=$C$1),$G88,0))*IF($A88="Residential",'General Inputs'!I$14,'General Inputs'!I$19)</f>
        <v>2670.9917947847366</v>
      </c>
      <c r="CC88" s="214">
        <f>IF(AND(($E88+$C$1)&gt;CC$4,CC$4&gt;=$C$1),$H88,IF(AND(($D88+$C$1)&gt;CC$4,CC$4&gt;=$C$1),$G88,0))*IF($A88="Residential",'General Inputs'!J$14,'General Inputs'!J$19)</f>
        <v>2711.0566717065076</v>
      </c>
      <c r="CD88" s="214">
        <f>IF(AND(($E88+$C$1)&gt;CD$4,CD$4&gt;=$C$1),$H88,IF(AND(($D88+$C$1)&gt;CD$4,CD$4&gt;=$C$1),$G88,0))*IF($A88="Residential",'General Inputs'!K$14,'General Inputs'!K$19)</f>
        <v>2751.7225217821051</v>
      </c>
      <c r="CE88" s="214">
        <f>IF(AND(($E88+$C$1)&gt;CE$4,CE$4&gt;=$C$1),$H88,IF(AND(($D88+$C$1)&gt;CE$4,CE$4&gt;=$C$1),$G88,0))*IF($A88="Residential",'General Inputs'!L$14,'General Inputs'!L$19)</f>
        <v>2792.9983596088364</v>
      </c>
      <c r="CF88" s="214">
        <f>IF(AND(($E88+$C$1)&gt;CF$4,CF$4&gt;=$C$1),$H88,IF(AND(($D88+$C$1)&gt;CF$4,CF$4&gt;=$C$1),$G88,0))*IF($A88="Residential",'General Inputs'!M$14,'General Inputs'!M$19)</f>
        <v>2834.8933350029683</v>
      </c>
      <c r="CG88" s="214">
        <f>IF(AND(($E88+$C$1)&gt;CG$4,CG$4&gt;=$C$1),$H88,IF(AND(($D88+$C$1)&gt;CG$4,CG$4&gt;=$C$1),$G88,0))*IF($A88="Residential",'General Inputs'!N$14,'General Inputs'!N$19)</f>
        <v>2877.4167350280131</v>
      </c>
      <c r="CH88" s="214">
        <f>IF(AND(($E88+$C$1)&gt;CH$4,CH$4&gt;=$C$1),$H88,IF(AND(($D88+$C$1)&gt;CH$4,CH$4&gt;=$C$1),$G88,0))*IF($A88="Residential",'General Inputs'!O$14,'General Inputs'!O$19)</f>
        <v>2920.5779860534326</v>
      </c>
      <c r="CI88" s="214">
        <f>IF(AND(($E88+$C$1)&gt;CI$4,CI$4&gt;=$C$1),$H88,IF(AND(($D88+$C$1)&gt;CI$4,CI$4&gt;=$C$1),$G88,0))*IF($A88="Residential",'General Inputs'!P$14,'General Inputs'!P$19)</f>
        <v>2964.3866558442342</v>
      </c>
      <c r="CJ88" s="214">
        <f>IF(AND(($E88+$C$1)&gt;CJ$4,CJ$4&gt;=$C$1),$H88,IF(AND(($D88+$C$1)&gt;CJ$4,CJ$4&gt;=$C$1),$G88,0))*IF($A88="Residential",'General Inputs'!Q$14,'General Inputs'!Q$19)</f>
        <v>3008.8524556818975</v>
      </c>
      <c r="CK88" s="214">
        <f>IF(AND(($E88+$C$1)&gt;CK$4,CK$4&gt;=$C$1),$H88,IF(AND(($D88+$C$1)&gt;CK$4,CK$4&gt;=$C$1),$G88,0))*IF($A88="Residential",'General Inputs'!R$14,'General Inputs'!R$19)</f>
        <v>3053.9852425171252</v>
      </c>
      <c r="CL88" s="214">
        <f>IF(AND(($E88+$C$1)&gt;CL$4,CL$4&gt;=$C$1),$H88,IF(AND(($D88+$C$1)&gt;CL$4,CL$4&gt;=$C$1),$G88,0))*IF($A88="Residential",'General Inputs'!S$14,'General Inputs'!S$19)</f>
        <v>3099.7950211548819</v>
      </c>
      <c r="CM88" s="214">
        <f>IF(AND(($E88+$C$1)&gt;CM$4,CM$4&gt;=$C$1),$H88,IF(AND(($D88+$C$1)&gt;CM$4,CM$4&gt;=$C$1),$G88,0))*IF($A88="Residential",'General Inputs'!T$14,'General Inputs'!T$19)</f>
        <v>3146.2919464722049</v>
      </c>
      <c r="CN88" s="214">
        <f>IF(AND(($E88+$C$1)&gt;CN$4,CN$4&gt;=$C$1),$H88,IF(AND(($D88+$C$1)&gt;CN$4,CN$4&gt;=$C$1),$G88,0))*IF($A88="Residential",'General Inputs'!U$14,'General Inputs'!U$19)</f>
        <v>0</v>
      </c>
      <c r="CO88" s="214">
        <f>IF(AND(($E88+$C$1)&gt;CO$4,CO$4&gt;=$C$1),$H88,IF(AND(($D88+$C$1)&gt;CO$4,CO$4&gt;=$C$1),$G88,0))*IF($A88="Residential",'General Inputs'!V$14,'General Inputs'!V$19)</f>
        <v>0</v>
      </c>
      <c r="CP88" s="214">
        <f>IF(AND(($E88+$C$1)&gt;CP$4,CP$4&gt;=$C$1),$H88,IF(AND(($D88+$C$1)&gt;CP$4,CP$4&gt;=$C$1),$G88,0))*IF($A88="Residential",'General Inputs'!W$14,'General Inputs'!W$19)</f>
        <v>0</v>
      </c>
      <c r="CR88" s="214">
        <f>IF(AND(($E88+$C$1)&gt;CR$4,CR$4&gt;=$C$1),$H88,IF(AND(($D88+$C$1)&gt;CR$4,CR$4&gt;=$C$1),$G88,0))*IF($A88="Residential",'General Inputs'!D$15,'General Inputs'!D$19)</f>
        <v>0</v>
      </c>
      <c r="CS88" s="214">
        <f>IF(AND(($E88+$C$1)&gt;CS$4,CS$4&gt;=$C$1),$H88,IF(AND(($D88+$C$1)&gt;CS$4,CS$4&gt;=$C$1),$G88,0))*IF($A88="Residential",'General Inputs'!E$15,'General Inputs'!E$19)</f>
        <v>0</v>
      </c>
      <c r="CT88" s="214">
        <f>IF(AND(($E88+$C$1)&gt;CT$4,CT$4&gt;=$C$1),$H88,IF(AND(($D88+$C$1)&gt;CT$4,CT$4&gt;=$C$1),$G88,0))*IF($A88="Residential",'General Inputs'!F$15,'General Inputs'!F$19)</f>
        <v>2554.3148434954851</v>
      </c>
      <c r="CU88" s="214">
        <f>IF(AND(($E88+$C$1)&gt;CU$4,CU$4&gt;=$C$1),$H88,IF(AND(($D88+$C$1)&gt;CU$4,CU$4&gt;=$C$1),$G88,0))*IF($A88="Residential",'General Inputs'!G$15,'General Inputs'!G$19)</f>
        <v>2592.6295661479171</v>
      </c>
      <c r="CV88" s="214">
        <f>IF(AND(($E88+$C$1)&gt;CV$4,CV$4&gt;=$C$1),$H88,IF(AND(($D88+$C$1)&gt;CV$4,CV$4&gt;=$C$1),$G88,0))*IF($A88="Residential",'General Inputs'!H$15,'General Inputs'!H$19)</f>
        <v>2631.5190096401352</v>
      </c>
      <c r="CW88" s="214">
        <f>IF(AND(($E88+$C$1)&gt;CW$4,CW$4&gt;=$C$1),$H88,IF(AND(($D88+$C$1)&gt;CW$4,CW$4&gt;=$C$1),$G88,0))*IF($A88="Residential",'General Inputs'!I$15,'General Inputs'!I$19)</f>
        <v>2670.9917947847366</v>
      </c>
      <c r="CX88" s="214">
        <f>IF(AND(($E88+$C$1)&gt;CX$4,CX$4&gt;=$C$1),$H88,IF(AND(($D88+$C$1)&gt;CX$4,CX$4&gt;=$C$1),$G88,0))*IF($A88="Residential",'General Inputs'!J$15,'General Inputs'!J$19)</f>
        <v>2711.0566717065076</v>
      </c>
      <c r="CY88" s="214">
        <f>IF(AND(($E88+$C$1)&gt;CY$4,CY$4&gt;=$C$1),$H88,IF(AND(($D88+$C$1)&gt;CY$4,CY$4&gt;=$C$1),$G88,0))*IF($A88="Residential",'General Inputs'!K$15,'General Inputs'!K$19)</f>
        <v>2751.7225217821051</v>
      </c>
      <c r="CZ88" s="214">
        <f>IF(AND(($E88+$C$1)&gt;CZ$4,CZ$4&gt;=$C$1),$H88,IF(AND(($D88+$C$1)&gt;CZ$4,CZ$4&gt;=$C$1),$G88,0))*IF($A88="Residential",'General Inputs'!L$15,'General Inputs'!L$19)</f>
        <v>2792.9983596088364</v>
      </c>
      <c r="DA88" s="214">
        <f>IF(AND(($E88+$C$1)&gt;DA$4,DA$4&gt;=$C$1),$H88,IF(AND(($D88+$C$1)&gt;DA$4,DA$4&gt;=$C$1),$G88,0))*IF($A88="Residential",'General Inputs'!M$15,'General Inputs'!M$19)</f>
        <v>2834.8933350029683</v>
      </c>
      <c r="DB88" s="214">
        <f>IF(AND(($E88+$C$1)&gt;DB$4,DB$4&gt;=$C$1),$H88,IF(AND(($D88+$C$1)&gt;DB$4,DB$4&gt;=$C$1),$G88,0))*IF($A88="Residential",'General Inputs'!N$15,'General Inputs'!N$19)</f>
        <v>2877.4167350280131</v>
      </c>
      <c r="DC88" s="214">
        <f>IF(AND(($E88+$C$1)&gt;DC$4,DC$4&gt;=$C$1),$H88,IF(AND(($D88+$C$1)&gt;DC$4,DC$4&gt;=$C$1),$G88,0))*IF($A88="Residential",'General Inputs'!O$15,'General Inputs'!O$19)</f>
        <v>2920.5779860534326</v>
      </c>
      <c r="DD88" s="214">
        <f>IF(AND(($E88+$C$1)&gt;DD$4,DD$4&gt;=$C$1),$H88,IF(AND(($D88+$C$1)&gt;DD$4,DD$4&gt;=$C$1),$G88,0))*IF($A88="Residential",'General Inputs'!P$15,'General Inputs'!P$19)</f>
        <v>2964.3866558442342</v>
      </c>
      <c r="DE88" s="214">
        <f>IF(AND(($E88+$C$1)&gt;DE$4,DE$4&gt;=$C$1),$H88,IF(AND(($D88+$C$1)&gt;DE$4,DE$4&gt;=$C$1),$G88,0))*IF($A88="Residential",'General Inputs'!Q$15,'General Inputs'!Q$19)</f>
        <v>3008.8524556818975</v>
      </c>
      <c r="DF88" s="214">
        <f>IF(AND(($E88+$C$1)&gt;DF$4,DF$4&gt;=$C$1),$H88,IF(AND(($D88+$C$1)&gt;DF$4,DF$4&gt;=$C$1),$G88,0))*IF($A88="Residential",'General Inputs'!R$15,'General Inputs'!R$19)</f>
        <v>3053.9852425171252</v>
      </c>
      <c r="DG88" s="214">
        <f>IF(AND(($E88+$C$1)&gt;DG$4,DG$4&gt;=$C$1),$H88,IF(AND(($D88+$C$1)&gt;DG$4,DG$4&gt;=$C$1),$G88,0))*IF($A88="Residential",'General Inputs'!S$15,'General Inputs'!S$19)</f>
        <v>3099.7950211548819</v>
      </c>
      <c r="DH88" s="214">
        <f>IF(AND(($E88+$C$1)&gt;DH$4,DH$4&gt;=$C$1),$H88,IF(AND(($D88+$C$1)&gt;DH$4,DH$4&gt;=$C$1),$G88,0))*IF($A88="Residential",'General Inputs'!T$15,'General Inputs'!T$19)</f>
        <v>3146.2919464722049</v>
      </c>
      <c r="DI88" s="214">
        <f>IF(AND(($E88+$C$1)&gt;DI$4,DI$4&gt;=$C$1),$H88,IF(AND(($D88+$C$1)&gt;DI$4,DI$4&gt;=$C$1),$G88,0))*IF($A88="Residential",'General Inputs'!U$15,'General Inputs'!U$19)</f>
        <v>0</v>
      </c>
      <c r="DJ88" s="214">
        <f>IF(AND(($E88+$C$1)&gt;DJ$4,DJ$4&gt;=$C$1),$H88,IF(AND(($D88+$C$1)&gt;DJ$4,DJ$4&gt;=$C$1),$G88,0))*IF($A88="Residential",'General Inputs'!V$15,'General Inputs'!V$19)</f>
        <v>0</v>
      </c>
      <c r="DK88" s="214">
        <f>IF(AND(($E88+$C$1)&gt;DK$4,DK$4&gt;=$C$1),$H88,IF(AND(($D88+$C$1)&gt;DK$4,DK$4&gt;=$C$1),$G88,0))*IF($A88="Residential",'General Inputs'!W$15,'General Inputs'!W$19)</f>
        <v>0</v>
      </c>
      <c r="DM88" s="214">
        <f t="shared" si="114"/>
        <v>0</v>
      </c>
      <c r="DN88" s="214">
        <f t="shared" si="114"/>
        <v>0</v>
      </c>
      <c r="DO88" s="214">
        <f t="shared" si="114"/>
        <v>9250</v>
      </c>
      <c r="DP88" s="214">
        <f t="shared" si="114"/>
        <v>0</v>
      </c>
      <c r="DQ88" s="214">
        <f t="shared" si="114"/>
        <v>0</v>
      </c>
      <c r="DR88" s="214">
        <f t="shared" si="114"/>
        <v>0</v>
      </c>
      <c r="DS88" s="214">
        <f t="shared" si="114"/>
        <v>0</v>
      </c>
      <c r="DT88" s="214">
        <f t="shared" si="114"/>
        <v>0</v>
      </c>
      <c r="DU88" s="214">
        <f t="shared" si="114"/>
        <v>0</v>
      </c>
      <c r="DV88" s="214">
        <f t="shared" si="114"/>
        <v>0</v>
      </c>
      <c r="DW88" s="214">
        <f t="shared" si="114"/>
        <v>0</v>
      </c>
      <c r="DZ88" s="650"/>
      <c r="FI88" s="195"/>
      <c r="FJ88" s="195"/>
      <c r="FK88" s="195"/>
      <c r="FL88" s="195"/>
      <c r="FM88" s="195"/>
      <c r="FN88" s="195"/>
      <c r="FO88" s="195"/>
    </row>
    <row r="89" spans="1:171">
      <c r="A89" s="342" t="s">
        <v>112</v>
      </c>
      <c r="B89" s="427" t="str">
        <f>'Portfolio Inputs'!A88</f>
        <v>Geothermal Heat Pump</v>
      </c>
      <c r="C89" s="217">
        <f>IF($C$1=2014,'Portfolio Inputs'!$C88,IF($C$1=2015,'Portfolio Inputs'!$D88,'Portfolio Inputs'!$E88))</f>
        <v>10</v>
      </c>
      <c r="D89" s="504">
        <f>VLOOKUP(B89,Sources!$B$4:$J$104,2,FALSE)</f>
        <v>15</v>
      </c>
      <c r="E89" s="504">
        <f>VLOOKUP(B89,Sources!$B$4:$J$104,3,FALSE)</f>
        <v>0</v>
      </c>
      <c r="G89" s="504">
        <f>IF($C$1=2014,'Portfolio Inputs'!$G88,IF($C$1=2015,'Portfolio Inputs'!$H88,'Portfolio Inputs'!$I88))*EnergyLineLoss</f>
        <v>232567.90058789315</v>
      </c>
      <c r="H89" s="504"/>
      <c r="I89" s="595">
        <f>IF($C$1=2014,'Portfolio Inputs'!$K88,IF($C$1=2015,'Portfolio Inputs'!$L88,'Portfolio Inputs'!$M88))*PeakLineLoss</f>
        <v>21.947909920326033</v>
      </c>
      <c r="J89" s="510"/>
      <c r="L89" s="606">
        <f>IF($C$1=2014,'Portfolio Inputs'!$O88,IF($C$1=2015,'Portfolio Inputs'!$P88,'Portfolio Inputs'!$Q88))</f>
        <v>4100</v>
      </c>
      <c r="M89" s="518">
        <f>VLOOKUP($B89,Sources!$B$4:$K$104,10,FALSE)</f>
        <v>0</v>
      </c>
      <c r="N89" s="419">
        <f>IF($C$1=2014,'Portfolio Inputs'!$W88,IF($C$1=2015,'Portfolio Inputs'!$X88,'Portfolio Inputs'!$Y88))</f>
        <v>7000</v>
      </c>
      <c r="O89" s="419">
        <f>IF($C$1=2014,'Portfolio Inputs'!$AA88,IF($C$1=2015,'Portfolio Inputs'!$AB88,'Portfolio Inputs'!$AC88))</f>
        <v>0</v>
      </c>
      <c r="Q89" s="436">
        <f t="shared" si="115"/>
        <v>2.3188794443423673</v>
      </c>
      <c r="R89" s="437">
        <f t="shared" si="116"/>
        <v>13.582008174005292</v>
      </c>
      <c r="S89" s="437">
        <f t="shared" si="117"/>
        <v>2.8916023713161878</v>
      </c>
      <c r="T89" s="437">
        <f t="shared" si="118"/>
        <v>6.0468669713681251</v>
      </c>
      <c r="U89" s="439">
        <f t="shared" si="113"/>
        <v>6.0468669713681251</v>
      </c>
      <c r="V89" s="439">
        <f t="shared" si="119"/>
        <v>0.38348444828077849</v>
      </c>
      <c r="W89" s="439">
        <f t="shared" si="120"/>
        <v>0.38348444828077849</v>
      </c>
      <c r="Y89" s="215">
        <f t="shared" si="101"/>
        <v>80257.37689568584</v>
      </c>
      <c r="Z89" s="215">
        <f t="shared" si="102"/>
        <v>19822.177439661576</v>
      </c>
      <c r="AA89" s="215">
        <f t="shared" si="103"/>
        <v>203375.47246261526</v>
      </c>
      <c r="AB89" s="215">
        <f t="shared" si="104"/>
        <v>203375.47246261526</v>
      </c>
      <c r="AC89" s="216">
        <f t="shared" si="20"/>
        <v>0</v>
      </c>
      <c r="AD89" s="216">
        <f t="shared" si="21"/>
        <v>5909.0950224349772</v>
      </c>
      <c r="AE89" s="215">
        <f t="shared" si="105"/>
        <v>34610.41370283343</v>
      </c>
      <c r="AG89" s="214">
        <f>IF(AND(($E89+$C$1)&gt;AG$4,AG$4&gt;=$C$1),'General Inputs'!D$9*$H89,IF(AND(($D89+$C$1)&gt;AG$4,AG$4&gt;=$C$1),'General Inputs'!D$9*$G89,0))+IF(AND(($E89+$C$1)&gt;AG$4,AG$4&gt;=$C$1),'General Inputs'!D$10*$J89,IF(AND(($D89+$C$1)&gt;AG$4,AG$4&gt;=$C$1),'General Inputs'!D$10*$I89,0))</f>
        <v>0</v>
      </c>
      <c r="AH89" s="214">
        <f>IF(AND(($E89+$C$1)&gt;AH$4,AH$4&gt;=$C$1),'General Inputs'!E$9*$H89,IF(AND(($D89+$C$1)&gt;AH$4,AH$4&gt;=$C$1),'General Inputs'!E$9*$G89,0))+IF(AND(($E89+$C$1)&gt;AH$4,AH$4&gt;=$C$1),'General Inputs'!E$10*$J89,IF(AND(($D89+$C$1)&gt;AH$4,AH$4&gt;=$C$1),'General Inputs'!E$10*$I89,0))</f>
        <v>0</v>
      </c>
      <c r="AI89" s="214">
        <f>IF(AND(($E89+$C$1)&gt;AI$4,AI$4&gt;=$C$1),'General Inputs'!F$9*$H89,IF(AND(($D89+$C$1)&gt;AI$4,AI$4&gt;=$C$1),'General Inputs'!F$9*$G89,0))+IF(AND(($E89+$C$1)&gt;AI$4,AI$4&gt;=$C$1),'General Inputs'!F$10*$J89,IF(AND(($D89+$C$1)&gt;AI$4,AI$4&gt;=$C$1),'General Inputs'!F$10*$I89,0))</f>
        <v>9877.4931798773268</v>
      </c>
      <c r="AJ89" s="214">
        <f>IF(AND(($E89+$C$1)&gt;AJ$4,AJ$4&gt;=$C$1),'General Inputs'!G$9*$H89,IF(AND(($D89+$C$1)&gt;AJ$4,AJ$4&gt;=$C$1),'General Inputs'!G$9*$G89,0))+IF(AND(($E89+$C$1)&gt;AJ$4,AJ$4&gt;=$C$1),'General Inputs'!G$10*$J89,IF(AND(($D89+$C$1)&gt;AJ$4,AJ$4&gt;=$C$1),'General Inputs'!G$10*$I89,0))</f>
        <v>10025.655577575486</v>
      </c>
      <c r="AK89" s="214">
        <f>IF(AND(($E89+$C$1)&gt;AK$4,AK$4&gt;=$C$1),'General Inputs'!H$9*$H89,IF(AND(($D89+$C$1)&gt;AK$4,AK$4&gt;=$C$1),'General Inputs'!H$9*$G89,0))+IF(AND(($E89+$C$1)&gt;AK$4,AK$4&gt;=$C$1),'General Inputs'!H$10*$J89,IF(AND(($D89+$C$1)&gt;AK$4,AK$4&gt;=$C$1),'General Inputs'!H$10*$I89,0))</f>
        <v>10176.040411239117</v>
      </c>
      <c r="AL89" s="214">
        <f>IF(AND(($E89+$C$1)&gt;AL$4,AL$4&gt;=$C$1),'General Inputs'!I$9*$H89,IF(AND(($D89+$C$1)&gt;AL$4,AL$4&gt;=$C$1),'General Inputs'!I$9*$G89,0))+IF(AND(($E89+$C$1)&gt;AL$4,AL$4&gt;=$C$1),'General Inputs'!I$10*$J89,IF(AND(($D89+$C$1)&gt;AL$4,AL$4&gt;=$C$1),'General Inputs'!I$10*$I89,0))</f>
        <v>10328.681017407702</v>
      </c>
      <c r="AM89" s="214">
        <f>IF(AND(($E89+$C$1)&gt;AM$4,AM$4&gt;=$C$1),'General Inputs'!J$9*$H89,IF(AND(($D89+$C$1)&gt;AM$4,AM$4&gt;=$C$1),'General Inputs'!J$9*$G89,0))+IF(AND(($E89+$C$1)&gt;AM$4,AM$4&gt;=$C$1),'General Inputs'!J$10*$J89,IF(AND(($D89+$C$1)&gt;AM$4,AM$4&gt;=$C$1),'General Inputs'!J$10*$I89,0))</f>
        <v>10483.611232668816</v>
      </c>
      <c r="AN89" s="214">
        <f>IF(AND(($E89+$C$1)&gt;AN$4,AN$4&gt;=$C$1),'General Inputs'!K$9*$H89,IF(AND(($D89+$C$1)&gt;AN$4,AN$4&gt;=$C$1),'General Inputs'!K$9*$G89,0))+IF(AND(($E89+$C$1)&gt;AN$4,AN$4&gt;=$C$1),'General Inputs'!K$10*$J89,IF(AND(($D89+$C$1)&gt;AN$4,AN$4&gt;=$C$1),'General Inputs'!K$10*$I89,0))</f>
        <v>10640.865401158846</v>
      </c>
      <c r="AO89" s="214">
        <f>IF(AND(($E89+$C$1)&gt;AO$4,AO$4&gt;=$C$1),'General Inputs'!L$9*$H89,IF(AND(($D89+$C$1)&gt;AO$4,AO$4&gt;=$C$1),'General Inputs'!L$9*$G89,0))+IF(AND(($E89+$C$1)&gt;AO$4,AO$4&gt;=$C$1),'General Inputs'!L$10*$J89,IF(AND(($D89+$C$1)&gt;AO$4,AO$4&gt;=$C$1),'General Inputs'!L$10*$I89,0))</f>
        <v>10800.478382176228</v>
      </c>
      <c r="AP89" s="214">
        <f>IF(AND(($E89+$C$1)&gt;AP$4,AP$4&gt;=$C$1),'General Inputs'!M$9*$H89,IF(AND(($D89+$C$1)&gt;AP$4,AP$4&gt;=$C$1),'General Inputs'!M$9*$G89,0))+IF(AND(($E89+$C$1)&gt;AP$4,AP$4&gt;=$C$1),'General Inputs'!M$10*$J89,IF(AND(($D89+$C$1)&gt;AP$4,AP$4&gt;=$C$1),'General Inputs'!M$10*$I89,0))</f>
        <v>10962.485557908869</v>
      </c>
      <c r="AQ89" s="214">
        <f>IF(AND(($E89+$C$1)&gt;AQ$4,AQ$4&gt;=$C$1),'General Inputs'!N$9*$H89,IF(AND(($D89+$C$1)&gt;AQ$4,AQ$4&gt;=$C$1),'General Inputs'!N$9*$G89,0))+IF(AND(($E89+$C$1)&gt;AQ$4,AQ$4&gt;=$C$1),'General Inputs'!N$10*$J89,IF(AND(($D89+$C$1)&gt;AQ$4,AQ$4&gt;=$C$1),'General Inputs'!N$10*$I89,0))</f>
        <v>11126.922841277503</v>
      </c>
      <c r="AR89" s="214">
        <f>IF(AND(($E89+$C$1)&gt;AR$4,AR$4&gt;=$C$1),'General Inputs'!O$9*$H89,IF(AND(($D89+$C$1)&gt;AR$4,AR$4&gt;=$C$1),'General Inputs'!O$9*$G89,0))+IF(AND(($E89+$C$1)&gt;AR$4,AR$4&gt;=$C$1),'General Inputs'!O$10*$J89,IF(AND(($D89+$C$1)&gt;AR$4,AR$4&gt;=$C$1),'General Inputs'!O$10*$I89,0))</f>
        <v>11293.826683896663</v>
      </c>
      <c r="AS89" s="214">
        <f>IF(AND(($E89+$C$1)&gt;AS$4,AS$4&gt;=$C$1),'General Inputs'!P$9*$H89,IF(AND(($D89+$C$1)&gt;AS$4,AS$4&gt;=$C$1),'General Inputs'!P$9*$G89,0))+IF(AND(($E89+$C$1)&gt;AS$4,AS$4&gt;=$C$1),'General Inputs'!P$10*$J89,IF(AND(($D89+$C$1)&gt;AS$4,AS$4&gt;=$C$1),'General Inputs'!P$10*$I89,0))</f>
        <v>11463.234084155112</v>
      </c>
      <c r="AT89" s="214">
        <f>IF(AND(($E89+$C$1)&gt;AT$4,AT$4&gt;=$C$1),'General Inputs'!Q$9*$H89,IF(AND(($D89+$C$1)&gt;AT$4,AT$4&gt;=$C$1),'General Inputs'!Q$9*$G89,0))+IF(AND(($E89+$C$1)&gt;AT$4,AT$4&gt;=$C$1),'General Inputs'!Q$10*$J89,IF(AND(($D89+$C$1)&gt;AT$4,AT$4&gt;=$C$1),'General Inputs'!Q$10*$I89,0))</f>
        <v>11635.182595417438</v>
      </c>
      <c r="AU89" s="214">
        <f>IF(AND(($E89+$C$1)&gt;AU$4,AU$4&gt;=$C$1),'General Inputs'!R$9*$H89,IF(AND(($D89+$C$1)&gt;AU$4,AU$4&gt;=$C$1),'General Inputs'!R$9*$G89,0))+IF(AND(($E89+$C$1)&gt;AU$4,AU$4&gt;=$C$1),'General Inputs'!R$10*$J89,IF(AND(($D89+$C$1)&gt;AU$4,AU$4&gt;=$C$1),'General Inputs'!R$10*$I89,0))</f>
        <v>11809.7103343487</v>
      </c>
      <c r="AV89" s="214">
        <f>IF(AND(($E89+$C$1)&gt;AV$4,AV$4&gt;=$C$1),'General Inputs'!S$9*$H89,IF(AND(($D89+$C$1)&gt;AV$4,AV$4&gt;=$C$1),'General Inputs'!S$9*$G89,0))+IF(AND(($E89+$C$1)&gt;AV$4,AV$4&gt;=$C$1),'General Inputs'!S$10*$J89,IF(AND(($D89+$C$1)&gt;AV$4,AV$4&gt;=$C$1),'General Inputs'!S$10*$I89,0))</f>
        <v>11986.85598936393</v>
      </c>
      <c r="AW89" s="214">
        <f>IF(AND(($E89+$C$1)&gt;AW$4,AW$4&gt;=$C$1),'General Inputs'!T$9*$H89,IF(AND(($D89+$C$1)&gt;AW$4,AW$4&gt;=$C$1),'General Inputs'!T$9*$G89,0))+IF(AND(($E89+$C$1)&gt;AW$4,AW$4&gt;=$C$1),'General Inputs'!T$10*$J89,IF(AND(($D89+$C$1)&gt;AW$4,AW$4&gt;=$C$1),'General Inputs'!T$10*$I89,0))</f>
        <v>12166.658829204387</v>
      </c>
      <c r="AX89" s="214">
        <f>IF(AND(($E89+$C$1)&gt;AX$4,AX$4&gt;=$C$1),'General Inputs'!U$9*$H89,IF(AND(($D89+$C$1)&gt;AX$4,AX$4&gt;=$C$1),'General Inputs'!U$9*$G89,0))+IF(AND(($E89+$C$1)&gt;AX$4,AX$4&gt;=$C$1),'General Inputs'!U$10*$J89,IF(AND(($D89+$C$1)&gt;AX$4,AX$4&gt;=$C$1),'General Inputs'!U$10*$I89,0))</f>
        <v>0</v>
      </c>
      <c r="AY89" s="214">
        <f>IF(AND(($E89+$C$1)&gt;AY$4,AY$4&gt;=$C$1),'General Inputs'!V$9*$H89,IF(AND(($D89+$C$1)&gt;AY$4,AY$4&gt;=$C$1),'General Inputs'!V$9*$G89,0))+IF(AND(($E89+$C$1)&gt;AY$4,AY$4&gt;=$C$1),'General Inputs'!V$10*$J89,IF(AND(($D89+$C$1)&gt;AY$4,AY$4&gt;=$C$1),'General Inputs'!V$10*$I89,0))</f>
        <v>0</v>
      </c>
      <c r="AZ89" s="214">
        <f>IF(AND(($E89+$C$1)&gt;AZ$4,AZ$4&gt;=$C$1),'General Inputs'!W$9*$H89,IF(AND(($D89+$C$1)&gt;AZ$4,AZ$4&gt;=$C$1),'General Inputs'!W$9*$G89,0))+IF(AND(($E89+$C$1)&gt;AZ$4,AZ$4&gt;=$C$1),'General Inputs'!W$10*$J89,IF(AND(($D89+$C$1)&gt;AZ$4,AZ$4&gt;=$C$1),'General Inputs'!W$10*$I89,0))</f>
        <v>0</v>
      </c>
      <c r="BB89" s="214">
        <f>IF(AND(($E89+$C$1)&gt;BB$4,BB$4&gt;=$C$1),'General Inputs'!D$11*$H89,IF(AND(($D89+$C$1)&gt;BB$4,BB$4&gt;=$C$1),'General Inputs'!D$11*$G89,0))</f>
        <v>0</v>
      </c>
      <c r="BC89" s="214">
        <f>IF(AND(($E89+$C$1)&gt;BC$4,BC$4&gt;=$C$1),'General Inputs'!E$11*$H89,IF(AND(($D89+$C$1)&gt;BC$4,BC$4&gt;=$C$1),'General Inputs'!E$11*$G89,0))</f>
        <v>0</v>
      </c>
      <c r="BD89" s="214">
        <f>IF(AND(($E89+$C$1)&gt;BD$4,BD$4&gt;=$C$1),'General Inputs'!F$11*$H89,IF(AND(($D89+$C$1)&gt;BD$4,BD$4&gt;=$C$1),'General Inputs'!F$11*$G89,0))</f>
        <v>2651.2740667019821</v>
      </c>
      <c r="BE89" s="214">
        <f>IF(AND(($E89+$C$1)&gt;BE$4,BE$4&gt;=$C$1),'General Inputs'!G$11*$H89,IF(AND(($D89+$C$1)&gt;BE$4,BE$4&gt;=$C$1),'General Inputs'!G$11*$G89,0))</f>
        <v>2651.2740667019821</v>
      </c>
      <c r="BF89" s="214">
        <f>IF(AND(($E89+$C$1)&gt;BF$4,BF$4&gt;=$C$1),'General Inputs'!H$11*$H89,IF(AND(($D89+$C$1)&gt;BF$4,BF$4&gt;=$C$1),'General Inputs'!H$11*$G89,0))</f>
        <v>2651.2740667019821</v>
      </c>
      <c r="BG89" s="214">
        <f>IF(AND(($E89+$C$1)&gt;BG$4,BG$4&gt;=$C$1),'General Inputs'!I$11*$H89,IF(AND(($D89+$C$1)&gt;BG$4,BG$4&gt;=$C$1),'General Inputs'!I$11*$G89,0))</f>
        <v>2651.2740667019821</v>
      </c>
      <c r="BH89" s="214">
        <f>IF(AND(($E89+$C$1)&gt;BH$4,BH$4&gt;=$C$1),'General Inputs'!J$11*$H89,IF(AND(($D89+$C$1)&gt;BH$4,BH$4&gt;=$C$1),'General Inputs'!J$11*$G89,0))</f>
        <v>2651.2740667019821</v>
      </c>
      <c r="BI89" s="214">
        <f>IF(AND(($E89+$C$1)&gt;BI$4,BI$4&gt;=$C$1),'General Inputs'!K$11*$H89,IF(AND(($D89+$C$1)&gt;BI$4,BI$4&gt;=$C$1),'General Inputs'!K$11*$G89,0))</f>
        <v>2651.2740667019821</v>
      </c>
      <c r="BJ89" s="214">
        <f>IF(AND(($E89+$C$1)&gt;BJ$4,BJ$4&gt;=$C$1),'General Inputs'!L$11*$H89,IF(AND(($D89+$C$1)&gt;BJ$4,BJ$4&gt;=$C$1),'General Inputs'!L$11*$G89,0))</f>
        <v>2651.2740667019821</v>
      </c>
      <c r="BK89" s="214">
        <f>IF(AND(($E89+$C$1)&gt;BK$4,BK$4&gt;=$C$1),'General Inputs'!M$11*$H89,IF(AND(($D89+$C$1)&gt;BK$4,BK$4&gt;=$C$1),'General Inputs'!M$11*$G89,0))</f>
        <v>2651.2740667019821</v>
      </c>
      <c r="BL89" s="214">
        <f>IF(AND(($E89+$C$1)&gt;BL$4,BL$4&gt;=$C$1),'General Inputs'!N$11*$H89,IF(AND(($D89+$C$1)&gt;BL$4,BL$4&gt;=$C$1),'General Inputs'!N$11*$G89,0))</f>
        <v>2651.2740667019821</v>
      </c>
      <c r="BM89" s="214">
        <f>IF(AND(($E89+$C$1)&gt;BM$4,BM$4&gt;=$C$1),'General Inputs'!O$11*$H89,IF(AND(($D89+$C$1)&gt;BM$4,BM$4&gt;=$C$1),'General Inputs'!O$11*$G89,0))</f>
        <v>2651.2740667019821</v>
      </c>
      <c r="BN89" s="214">
        <f>IF(AND(($E89+$C$1)&gt;BN$4,BN$4&gt;=$C$1),'General Inputs'!P$11*$H89,IF(AND(($D89+$C$1)&gt;BN$4,BN$4&gt;=$C$1),'General Inputs'!P$11*$G89,0))</f>
        <v>2651.2740667019821</v>
      </c>
      <c r="BO89" s="214">
        <f>IF(AND(($E89+$C$1)&gt;BO$4,BO$4&gt;=$C$1),'General Inputs'!Q$11*$H89,IF(AND(($D89+$C$1)&gt;BO$4,BO$4&gt;=$C$1),'General Inputs'!Q$11*$G89,0))</f>
        <v>2651.2740667019821</v>
      </c>
      <c r="BP89" s="214">
        <f>IF(AND(($E89+$C$1)&gt;BP$4,BP$4&gt;=$C$1),'General Inputs'!R$11*$H89,IF(AND(($D89+$C$1)&gt;BP$4,BP$4&gt;=$C$1),'General Inputs'!R$11*$G89,0))</f>
        <v>2651.2740667019821</v>
      </c>
      <c r="BQ89" s="214">
        <f>IF(AND(($E89+$C$1)&gt;BQ$4,BQ$4&gt;=$C$1),'General Inputs'!S$11*$H89,IF(AND(($D89+$C$1)&gt;BQ$4,BQ$4&gt;=$C$1),'General Inputs'!S$11*$G89,0))</f>
        <v>2651.2740667019821</v>
      </c>
      <c r="BR89" s="214">
        <f>IF(AND(($E89+$C$1)&gt;BR$4,BR$4&gt;=$C$1),'General Inputs'!T$11*$H89,IF(AND(($D89+$C$1)&gt;BR$4,BR$4&gt;=$C$1),'General Inputs'!T$11*$G89,0))</f>
        <v>2651.2740667019821</v>
      </c>
      <c r="BS89" s="214">
        <f>IF(AND(($E89+$C$1)&gt;BS$4,BS$4&gt;=$C$1),'General Inputs'!U$11*$H89,IF(AND(($D89+$C$1)&gt;BS$4,BS$4&gt;=$C$1),'General Inputs'!U$11*$G89,0))</f>
        <v>0</v>
      </c>
      <c r="BT89" s="214">
        <f>IF(AND(($E89+$C$1)&gt;BT$4,BT$4&gt;=$C$1),'General Inputs'!V$11*$H89,IF(AND(($D89+$C$1)&gt;BT$4,BT$4&gt;=$C$1),'General Inputs'!V$11*$G89,0))</f>
        <v>0</v>
      </c>
      <c r="BU89" s="214">
        <f>IF(AND(($E89+$C$1)&gt;BU$4,BU$4&gt;=$C$1),'General Inputs'!W$11*$H89,IF(AND(($D89+$C$1)&gt;BU$4,BU$4&gt;=$C$1),'General Inputs'!W$11*$G89,0))</f>
        <v>0</v>
      </c>
      <c r="BW89" s="214">
        <f>IF(AND(($E89+$C$1)&gt;BW$4,BW$4&gt;=$C$1),$H89,IF(AND(($D89+$C$1)&gt;BW$4,BW$4&gt;=$C$1),$G89,0))*IF($A89="Residential",'General Inputs'!D$14,'General Inputs'!D$19)</f>
        <v>0</v>
      </c>
      <c r="BX89" s="214">
        <f>IF(AND(($E89+$C$1)&gt;BX$4,BX$4&gt;=$C$1),$H89,IF(AND(($D89+$C$1)&gt;BX$4,BX$4&gt;=$C$1),$G89,0))*IF($A89="Residential",'General Inputs'!E$14,'General Inputs'!E$19)</f>
        <v>0</v>
      </c>
      <c r="BY89" s="214">
        <f>IF(AND(($E89+$C$1)&gt;BY$4,BY$4&gt;=$C$1),$H89,IF(AND(($D89+$C$1)&gt;BY$4,BY$4&gt;=$C$1),$G89,0))*IF($A89="Residential",'General Inputs'!F$14,'General Inputs'!F$19)</f>
        <v>25029.971323568072</v>
      </c>
      <c r="BZ89" s="214">
        <f>IF(AND(($E89+$C$1)&gt;BZ$4,BZ$4&gt;=$C$1),$H89,IF(AND(($D89+$C$1)&gt;BZ$4,BZ$4&gt;=$C$1),$G89,0))*IF($A89="Residential",'General Inputs'!G$14,'General Inputs'!G$19)</f>
        <v>25405.420893421589</v>
      </c>
      <c r="CA89" s="214">
        <f>IF(AND(($E89+$C$1)&gt;CA$4,CA$4&gt;=$C$1),$H89,IF(AND(($D89+$C$1)&gt;CA$4,CA$4&gt;=$C$1),$G89,0))*IF($A89="Residential",'General Inputs'!H$14,'General Inputs'!H$19)</f>
        <v>25786.502206822908</v>
      </c>
      <c r="CB89" s="214">
        <f>IF(AND(($E89+$C$1)&gt;CB$4,CB$4&gt;=$C$1),$H89,IF(AND(($D89+$C$1)&gt;CB$4,CB$4&gt;=$C$1),$G89,0))*IF($A89="Residential",'General Inputs'!I$14,'General Inputs'!I$19)</f>
        <v>26173.299739925249</v>
      </c>
      <c r="CC89" s="214">
        <f>IF(AND(($E89+$C$1)&gt;CC$4,CC$4&gt;=$C$1),$H89,IF(AND(($D89+$C$1)&gt;CC$4,CC$4&gt;=$C$1),$G89,0))*IF($A89="Residential",'General Inputs'!J$14,'General Inputs'!J$19)</f>
        <v>26565.899236024128</v>
      </c>
      <c r="CD89" s="214">
        <f>IF(AND(($E89+$C$1)&gt;CD$4,CD$4&gt;=$C$1),$H89,IF(AND(($D89+$C$1)&gt;CD$4,CD$4&gt;=$C$1),$G89,0))*IF($A89="Residential",'General Inputs'!K$14,'General Inputs'!K$19)</f>
        <v>26964.387724564484</v>
      </c>
      <c r="CE89" s="214">
        <f>IF(AND(($E89+$C$1)&gt;CE$4,CE$4&gt;=$C$1),$H89,IF(AND(($D89+$C$1)&gt;CE$4,CE$4&gt;=$C$1),$G89,0))*IF($A89="Residential",'General Inputs'!L$14,'General Inputs'!L$19)</f>
        <v>27368.853540432949</v>
      </c>
      <c r="CF89" s="214">
        <f>IF(AND(($E89+$C$1)&gt;CF$4,CF$4&gt;=$C$1),$H89,IF(AND(($D89+$C$1)&gt;CF$4,CF$4&gt;=$C$1),$G89,0))*IF($A89="Residential",'General Inputs'!M$14,'General Inputs'!M$19)</f>
        <v>27779.386343539441</v>
      </c>
      <c r="CG89" s="214">
        <f>IF(AND(($E89+$C$1)&gt;CG$4,CG$4&gt;=$C$1),$H89,IF(AND(($D89+$C$1)&gt;CG$4,CG$4&gt;=$C$1),$G89,0))*IF($A89="Residential",'General Inputs'!N$14,'General Inputs'!N$19)</f>
        <v>28196.077138692533</v>
      </c>
      <c r="CH89" s="214">
        <f>IF(AND(($E89+$C$1)&gt;CH$4,CH$4&gt;=$C$1),$H89,IF(AND(($D89+$C$1)&gt;CH$4,CH$4&gt;=$C$1),$G89,0))*IF($A89="Residential",'General Inputs'!O$14,'General Inputs'!O$19)</f>
        <v>28619.018295772916</v>
      </c>
      <c r="CI89" s="214">
        <f>IF(AND(($E89+$C$1)&gt;CI$4,CI$4&gt;=$C$1),$H89,IF(AND(($D89+$C$1)&gt;CI$4,CI$4&gt;=$C$1),$G89,0))*IF($A89="Residential",'General Inputs'!P$14,'General Inputs'!P$19)</f>
        <v>29048.303570209508</v>
      </c>
      <c r="CJ89" s="214">
        <f>IF(AND(($E89+$C$1)&gt;CJ$4,CJ$4&gt;=$C$1),$H89,IF(AND(($D89+$C$1)&gt;CJ$4,CJ$4&gt;=$C$1),$G89,0))*IF($A89="Residential",'General Inputs'!Q$14,'General Inputs'!Q$19)</f>
        <v>29484.028123762648</v>
      </c>
      <c r="CK89" s="214">
        <f>IF(AND(($E89+$C$1)&gt;CK$4,CK$4&gt;=$C$1),$H89,IF(AND(($D89+$C$1)&gt;CK$4,CK$4&gt;=$C$1),$G89,0))*IF($A89="Residential",'General Inputs'!R$14,'General Inputs'!R$19)</f>
        <v>29926.288545619082</v>
      </c>
      <c r="CL89" s="214">
        <f>IF(AND(($E89+$C$1)&gt;CL$4,CL$4&gt;=$C$1),$H89,IF(AND(($D89+$C$1)&gt;CL$4,CL$4&gt;=$C$1),$G89,0))*IF($A89="Residential",'General Inputs'!S$14,'General Inputs'!S$19)</f>
        <v>30375.182873803369</v>
      </c>
      <c r="CM89" s="214">
        <f>IF(AND(($E89+$C$1)&gt;CM$4,CM$4&gt;=$C$1),$H89,IF(AND(($D89+$C$1)&gt;CM$4,CM$4&gt;=$C$1),$G89,0))*IF($A89="Residential",'General Inputs'!T$14,'General Inputs'!T$19)</f>
        <v>30830.810616910418</v>
      </c>
      <c r="CN89" s="214">
        <f>IF(AND(($E89+$C$1)&gt;CN$4,CN$4&gt;=$C$1),$H89,IF(AND(($D89+$C$1)&gt;CN$4,CN$4&gt;=$C$1),$G89,0))*IF($A89="Residential",'General Inputs'!U$14,'General Inputs'!U$19)</f>
        <v>0</v>
      </c>
      <c r="CO89" s="214">
        <f>IF(AND(($E89+$C$1)&gt;CO$4,CO$4&gt;=$C$1),$H89,IF(AND(($D89+$C$1)&gt;CO$4,CO$4&gt;=$C$1),$G89,0))*IF($A89="Residential",'General Inputs'!V$14,'General Inputs'!V$19)</f>
        <v>0</v>
      </c>
      <c r="CP89" s="214">
        <f>IF(AND(($E89+$C$1)&gt;CP$4,CP$4&gt;=$C$1),$H89,IF(AND(($D89+$C$1)&gt;CP$4,CP$4&gt;=$C$1),$G89,0))*IF($A89="Residential",'General Inputs'!W$14,'General Inputs'!W$19)</f>
        <v>0</v>
      </c>
      <c r="CR89" s="214">
        <f>IF(AND(($E89+$C$1)&gt;CR$4,CR$4&gt;=$C$1),$H89,IF(AND(($D89+$C$1)&gt;CR$4,CR$4&gt;=$C$1),$G89,0))*IF($A89="Residential",'General Inputs'!D$15,'General Inputs'!D$19)</f>
        <v>0</v>
      </c>
      <c r="CS89" s="214">
        <f>IF(AND(($E89+$C$1)&gt;CS$4,CS$4&gt;=$C$1),$H89,IF(AND(($D89+$C$1)&gt;CS$4,CS$4&gt;=$C$1),$G89,0))*IF($A89="Residential",'General Inputs'!E$15,'General Inputs'!E$19)</f>
        <v>0</v>
      </c>
      <c r="CT89" s="214">
        <f>IF(AND(($E89+$C$1)&gt;CT$4,CT$4&gt;=$C$1),$H89,IF(AND(($D89+$C$1)&gt;CT$4,CT$4&gt;=$C$1),$G89,0))*IF($A89="Residential",'General Inputs'!F$15,'General Inputs'!F$19)</f>
        <v>25029.971323568072</v>
      </c>
      <c r="CU89" s="214">
        <f>IF(AND(($E89+$C$1)&gt;CU$4,CU$4&gt;=$C$1),$H89,IF(AND(($D89+$C$1)&gt;CU$4,CU$4&gt;=$C$1),$G89,0))*IF($A89="Residential",'General Inputs'!G$15,'General Inputs'!G$19)</f>
        <v>25405.420893421589</v>
      </c>
      <c r="CV89" s="214">
        <f>IF(AND(($E89+$C$1)&gt;CV$4,CV$4&gt;=$C$1),$H89,IF(AND(($D89+$C$1)&gt;CV$4,CV$4&gt;=$C$1),$G89,0))*IF($A89="Residential",'General Inputs'!H$15,'General Inputs'!H$19)</f>
        <v>25786.502206822908</v>
      </c>
      <c r="CW89" s="214">
        <f>IF(AND(($E89+$C$1)&gt;CW$4,CW$4&gt;=$C$1),$H89,IF(AND(($D89+$C$1)&gt;CW$4,CW$4&gt;=$C$1),$G89,0))*IF($A89="Residential",'General Inputs'!I$15,'General Inputs'!I$19)</f>
        <v>26173.299739925249</v>
      </c>
      <c r="CX89" s="214">
        <f>IF(AND(($E89+$C$1)&gt;CX$4,CX$4&gt;=$C$1),$H89,IF(AND(($D89+$C$1)&gt;CX$4,CX$4&gt;=$C$1),$G89,0))*IF($A89="Residential",'General Inputs'!J$15,'General Inputs'!J$19)</f>
        <v>26565.899236024128</v>
      </c>
      <c r="CY89" s="214">
        <f>IF(AND(($E89+$C$1)&gt;CY$4,CY$4&gt;=$C$1),$H89,IF(AND(($D89+$C$1)&gt;CY$4,CY$4&gt;=$C$1),$G89,0))*IF($A89="Residential",'General Inputs'!K$15,'General Inputs'!K$19)</f>
        <v>26964.387724564484</v>
      </c>
      <c r="CZ89" s="214">
        <f>IF(AND(($E89+$C$1)&gt;CZ$4,CZ$4&gt;=$C$1),$H89,IF(AND(($D89+$C$1)&gt;CZ$4,CZ$4&gt;=$C$1),$G89,0))*IF($A89="Residential",'General Inputs'!L$15,'General Inputs'!L$19)</f>
        <v>27368.853540432949</v>
      </c>
      <c r="DA89" s="214">
        <f>IF(AND(($E89+$C$1)&gt;DA$4,DA$4&gt;=$C$1),$H89,IF(AND(($D89+$C$1)&gt;DA$4,DA$4&gt;=$C$1),$G89,0))*IF($A89="Residential",'General Inputs'!M$15,'General Inputs'!M$19)</f>
        <v>27779.386343539441</v>
      </c>
      <c r="DB89" s="214">
        <f>IF(AND(($E89+$C$1)&gt;DB$4,DB$4&gt;=$C$1),$H89,IF(AND(($D89+$C$1)&gt;DB$4,DB$4&gt;=$C$1),$G89,0))*IF($A89="Residential",'General Inputs'!N$15,'General Inputs'!N$19)</f>
        <v>28196.077138692533</v>
      </c>
      <c r="DC89" s="214">
        <f>IF(AND(($E89+$C$1)&gt;DC$4,DC$4&gt;=$C$1),$H89,IF(AND(($D89+$C$1)&gt;DC$4,DC$4&gt;=$C$1),$G89,0))*IF($A89="Residential",'General Inputs'!O$15,'General Inputs'!O$19)</f>
        <v>28619.018295772916</v>
      </c>
      <c r="DD89" s="214">
        <f>IF(AND(($E89+$C$1)&gt;DD$4,DD$4&gt;=$C$1),$H89,IF(AND(($D89+$C$1)&gt;DD$4,DD$4&gt;=$C$1),$G89,0))*IF($A89="Residential",'General Inputs'!P$15,'General Inputs'!P$19)</f>
        <v>29048.303570209508</v>
      </c>
      <c r="DE89" s="214">
        <f>IF(AND(($E89+$C$1)&gt;DE$4,DE$4&gt;=$C$1),$H89,IF(AND(($D89+$C$1)&gt;DE$4,DE$4&gt;=$C$1),$G89,0))*IF($A89="Residential",'General Inputs'!Q$15,'General Inputs'!Q$19)</f>
        <v>29484.028123762648</v>
      </c>
      <c r="DF89" s="214">
        <f>IF(AND(($E89+$C$1)&gt;DF$4,DF$4&gt;=$C$1),$H89,IF(AND(($D89+$C$1)&gt;DF$4,DF$4&gt;=$C$1),$G89,0))*IF($A89="Residential",'General Inputs'!R$15,'General Inputs'!R$19)</f>
        <v>29926.288545619082</v>
      </c>
      <c r="DG89" s="214">
        <f>IF(AND(($E89+$C$1)&gt;DG$4,DG$4&gt;=$C$1),$H89,IF(AND(($D89+$C$1)&gt;DG$4,DG$4&gt;=$C$1),$G89,0))*IF($A89="Residential",'General Inputs'!S$15,'General Inputs'!S$19)</f>
        <v>30375.182873803369</v>
      </c>
      <c r="DH89" s="214">
        <f>IF(AND(($E89+$C$1)&gt;DH$4,DH$4&gt;=$C$1),$H89,IF(AND(($D89+$C$1)&gt;DH$4,DH$4&gt;=$C$1),$G89,0))*IF($A89="Residential",'General Inputs'!T$15,'General Inputs'!T$19)</f>
        <v>30830.810616910418</v>
      </c>
      <c r="DI89" s="214">
        <f>IF(AND(($E89+$C$1)&gt;DI$4,DI$4&gt;=$C$1),$H89,IF(AND(($D89+$C$1)&gt;DI$4,DI$4&gt;=$C$1),$G89,0))*IF($A89="Residential",'General Inputs'!U$15,'General Inputs'!U$19)</f>
        <v>0</v>
      </c>
      <c r="DJ89" s="214">
        <f>IF(AND(($E89+$C$1)&gt;DJ$4,DJ$4&gt;=$C$1),$H89,IF(AND(($D89+$C$1)&gt;DJ$4,DJ$4&gt;=$C$1),$G89,0))*IF($A89="Residential",'General Inputs'!V$15,'General Inputs'!V$19)</f>
        <v>0</v>
      </c>
      <c r="DK89" s="214">
        <f>IF(AND(($E89+$C$1)&gt;DK$4,DK$4&gt;=$C$1),$H89,IF(AND(($D89+$C$1)&gt;DK$4,DK$4&gt;=$C$1),$G89,0))*IF($A89="Residential",'General Inputs'!W$15,'General Inputs'!W$19)</f>
        <v>0</v>
      </c>
      <c r="DM89" s="214">
        <f t="shared" si="114"/>
        <v>0</v>
      </c>
      <c r="DN89" s="214">
        <f t="shared" si="114"/>
        <v>0</v>
      </c>
      <c r="DO89" s="214">
        <f t="shared" si="114"/>
        <v>41000</v>
      </c>
      <c r="DP89" s="214">
        <f t="shared" si="114"/>
        <v>0</v>
      </c>
      <c r="DQ89" s="214">
        <f t="shared" si="114"/>
        <v>0</v>
      </c>
      <c r="DR89" s="214">
        <f t="shared" si="114"/>
        <v>0</v>
      </c>
      <c r="DS89" s="214">
        <f t="shared" si="114"/>
        <v>0</v>
      </c>
      <c r="DT89" s="214">
        <f t="shared" si="114"/>
        <v>0</v>
      </c>
      <c r="DU89" s="214">
        <f t="shared" si="114"/>
        <v>0</v>
      </c>
      <c r="DV89" s="214">
        <f t="shared" si="114"/>
        <v>0</v>
      </c>
      <c r="DW89" s="214">
        <f t="shared" si="114"/>
        <v>0</v>
      </c>
      <c r="DZ89" s="650"/>
      <c r="FI89" s="195"/>
      <c r="FJ89" s="195"/>
      <c r="FK89" s="195"/>
      <c r="FL89" s="195"/>
      <c r="FM89" s="195"/>
      <c r="FN89" s="195"/>
      <c r="FO89" s="195"/>
    </row>
    <row r="90" spans="1:171">
      <c r="A90" s="342" t="s">
        <v>112</v>
      </c>
      <c r="B90" s="427" t="str">
        <f>'Portfolio Inputs'!A89</f>
        <v>Heat Pump Water Heater</v>
      </c>
      <c r="C90" s="217">
        <f>IF($C$1=2014,'Portfolio Inputs'!$C89,IF($C$1=2015,'Portfolio Inputs'!$D89,'Portfolio Inputs'!$E89))</f>
        <v>20</v>
      </c>
      <c r="D90" s="504">
        <f>VLOOKUP(B90,Sources!$B$4:$J$104,2,FALSE)</f>
        <v>15</v>
      </c>
      <c r="E90" s="504">
        <f>VLOOKUP(B90,Sources!$B$4:$J$104,3,FALSE)</f>
        <v>0</v>
      </c>
      <c r="G90" s="504">
        <f>IF($C$1=2014,'Portfolio Inputs'!$G89,IF($C$1=2015,'Portfolio Inputs'!$H89,'Portfolio Inputs'!$I89))*EnergyLineLoss</f>
        <v>36303.867176858686</v>
      </c>
      <c r="H90" s="504"/>
      <c r="I90" s="595">
        <f>IF($C$1=2014,'Portfolio Inputs'!$K89,IF($C$1=2015,'Portfolio Inputs'!$L89,'Portfolio Inputs'!$M89))*PeakLineLoss</f>
        <v>1.7198831666889229</v>
      </c>
      <c r="J90" s="510"/>
      <c r="L90" s="606">
        <f>IF($C$1=2014,'Portfolio Inputs'!$O89,IF($C$1=2015,'Portfolio Inputs'!$P89,'Portfolio Inputs'!$Q89))</f>
        <v>700</v>
      </c>
      <c r="M90" s="518">
        <f>VLOOKUP($B90,Sources!$B$4:$K$104,10,FALSE)</f>
        <v>0</v>
      </c>
      <c r="N90" s="419">
        <f>IF($C$1=2014,'Portfolio Inputs'!$W89,IF($C$1=2015,'Portfolio Inputs'!$X89,'Portfolio Inputs'!$Y89))</f>
        <v>4000</v>
      </c>
      <c r="O90" s="419">
        <f>IF($C$1=2014,'Portfolio Inputs'!$AA89,IF($C$1=2015,'Portfolio Inputs'!$AB89,'Portfolio Inputs'!$AC89))</f>
        <v>0</v>
      </c>
      <c r="Q90" s="436">
        <f t="shared" si="115"/>
        <v>1.0419801565425408</v>
      </c>
      <c r="R90" s="437">
        <f t="shared" si="116"/>
        <v>3.6469305478988927</v>
      </c>
      <c r="S90" s="437">
        <f t="shared" si="117"/>
        <v>1.3038005716664858</v>
      </c>
      <c r="T90" s="437">
        <f t="shared" si="118"/>
        <v>2.9719908458084552</v>
      </c>
      <c r="U90" s="439">
        <f t="shared" si="113"/>
        <v>2.9719908458084552</v>
      </c>
      <c r="V90" s="439">
        <f t="shared" si="119"/>
        <v>0.35060005585552079</v>
      </c>
      <c r="W90" s="439">
        <f t="shared" si="120"/>
        <v>0.35060005585552079</v>
      </c>
      <c r="Y90" s="215">
        <f t="shared" si="101"/>
        <v>12314.319513003091</v>
      </c>
      <c r="Z90" s="215">
        <f t="shared" si="102"/>
        <v>3094.2434235615242</v>
      </c>
      <c r="AA90" s="215">
        <f t="shared" si="103"/>
        <v>31746.926900272414</v>
      </c>
      <c r="AB90" s="215">
        <f t="shared" si="104"/>
        <v>31746.926900272414</v>
      </c>
      <c r="AC90" s="216">
        <f t="shared" si="20"/>
        <v>0</v>
      </c>
      <c r="AD90" s="216">
        <f t="shared" si="21"/>
        <v>3376.6257271057011</v>
      </c>
      <c r="AE90" s="215">
        <f t="shared" si="105"/>
        <v>11818.190044869953</v>
      </c>
      <c r="AG90" s="214">
        <f>IF(AND(($E90+$C$1)&gt;AG$4,AG$4&gt;=$C$1),'General Inputs'!D$9*$H90,IF(AND(($D90+$C$1)&gt;AG$4,AG$4&gt;=$C$1),'General Inputs'!D$9*$G90,0))+IF(AND(($E90+$C$1)&gt;AG$4,AG$4&gt;=$C$1),'General Inputs'!D$10*$J90,IF(AND(($D90+$C$1)&gt;AG$4,AG$4&gt;=$C$1),'General Inputs'!D$10*$I90,0))</f>
        <v>0</v>
      </c>
      <c r="AH90" s="214">
        <f>IF(AND(($E90+$C$1)&gt;AH$4,AH$4&gt;=$C$1),'General Inputs'!E$9*$H90,IF(AND(($D90+$C$1)&gt;AH$4,AH$4&gt;=$C$1),'General Inputs'!E$9*$G90,0))+IF(AND(($E90+$C$1)&gt;AH$4,AH$4&gt;=$C$1),'General Inputs'!E$10*$J90,IF(AND(($D90+$C$1)&gt;AH$4,AH$4&gt;=$C$1),'General Inputs'!E$10*$I90,0))</f>
        <v>0</v>
      </c>
      <c r="AI90" s="214">
        <f>IF(AND(($E90+$C$1)&gt;AI$4,AI$4&gt;=$C$1),'General Inputs'!F$9*$H90,IF(AND(($D90+$C$1)&gt;AI$4,AI$4&gt;=$C$1),'General Inputs'!F$9*$G90,0))+IF(AND(($E90+$C$1)&gt;AI$4,AI$4&gt;=$C$1),'General Inputs'!F$10*$J90,IF(AND(($D90+$C$1)&gt;AI$4,AI$4&gt;=$C$1),'General Inputs'!F$10*$I90,0))</f>
        <v>1515.5567215037731</v>
      </c>
      <c r="AJ90" s="214">
        <f>IF(AND(($E90+$C$1)&gt;AJ$4,AJ$4&gt;=$C$1),'General Inputs'!G$9*$H90,IF(AND(($D90+$C$1)&gt;AJ$4,AJ$4&gt;=$C$1),'General Inputs'!G$9*$G90,0))+IF(AND(($E90+$C$1)&gt;AJ$4,AJ$4&gt;=$C$1),'General Inputs'!G$10*$J90,IF(AND(($D90+$C$1)&gt;AJ$4,AJ$4&gt;=$C$1),'General Inputs'!G$10*$I90,0))</f>
        <v>1538.2900723263297</v>
      </c>
      <c r="AK90" s="214">
        <f>IF(AND(($E90+$C$1)&gt;AK$4,AK$4&gt;=$C$1),'General Inputs'!H$9*$H90,IF(AND(($D90+$C$1)&gt;AK$4,AK$4&gt;=$C$1),'General Inputs'!H$9*$G90,0))+IF(AND(($E90+$C$1)&gt;AK$4,AK$4&gt;=$C$1),'General Inputs'!H$10*$J90,IF(AND(($D90+$C$1)&gt;AK$4,AK$4&gt;=$C$1),'General Inputs'!H$10*$I90,0))</f>
        <v>1561.3644234112244</v>
      </c>
      <c r="AL90" s="214">
        <f>IF(AND(($E90+$C$1)&gt;AL$4,AL$4&gt;=$C$1),'General Inputs'!I$9*$H90,IF(AND(($D90+$C$1)&gt;AL$4,AL$4&gt;=$C$1),'General Inputs'!I$9*$G90,0))+IF(AND(($E90+$C$1)&gt;AL$4,AL$4&gt;=$C$1),'General Inputs'!I$10*$J90,IF(AND(($D90+$C$1)&gt;AL$4,AL$4&gt;=$C$1),'General Inputs'!I$10*$I90,0))</f>
        <v>1584.7848897623926</v>
      </c>
      <c r="AM90" s="214">
        <f>IF(AND(($E90+$C$1)&gt;AM$4,AM$4&gt;=$C$1),'General Inputs'!J$9*$H90,IF(AND(($D90+$C$1)&gt;AM$4,AM$4&gt;=$C$1),'General Inputs'!J$9*$G90,0))+IF(AND(($E90+$C$1)&gt;AM$4,AM$4&gt;=$C$1),'General Inputs'!J$10*$J90,IF(AND(($D90+$C$1)&gt;AM$4,AM$4&gt;=$C$1),'General Inputs'!J$10*$I90,0))</f>
        <v>1608.5566631088282</v>
      </c>
      <c r="AN90" s="214">
        <f>IF(AND(($E90+$C$1)&gt;AN$4,AN$4&gt;=$C$1),'General Inputs'!K$9*$H90,IF(AND(($D90+$C$1)&gt;AN$4,AN$4&gt;=$C$1),'General Inputs'!K$9*$G90,0))+IF(AND(($E90+$C$1)&gt;AN$4,AN$4&gt;=$C$1),'General Inputs'!K$10*$J90,IF(AND(($D90+$C$1)&gt;AN$4,AN$4&gt;=$C$1),'General Inputs'!K$10*$I90,0))</f>
        <v>1632.6850130554603</v>
      </c>
      <c r="AO90" s="214">
        <f>IF(AND(($E90+$C$1)&gt;AO$4,AO$4&gt;=$C$1),'General Inputs'!L$9*$H90,IF(AND(($D90+$C$1)&gt;AO$4,AO$4&gt;=$C$1),'General Inputs'!L$9*$G90,0))+IF(AND(($E90+$C$1)&gt;AO$4,AO$4&gt;=$C$1),'General Inputs'!L$10*$J90,IF(AND(($D90+$C$1)&gt;AO$4,AO$4&gt;=$C$1),'General Inputs'!L$10*$I90,0))</f>
        <v>1657.1752882512922</v>
      </c>
      <c r="AP90" s="214">
        <f>IF(AND(($E90+$C$1)&gt;AP$4,AP$4&gt;=$C$1),'General Inputs'!M$9*$H90,IF(AND(($D90+$C$1)&gt;AP$4,AP$4&gt;=$C$1),'General Inputs'!M$9*$G90,0))+IF(AND(($E90+$C$1)&gt;AP$4,AP$4&gt;=$C$1),'General Inputs'!M$10*$J90,IF(AND(($D90+$C$1)&gt;AP$4,AP$4&gt;=$C$1),'General Inputs'!M$10*$I90,0))</f>
        <v>1682.0329175750612</v>
      </c>
      <c r="AQ90" s="214">
        <f>IF(AND(($E90+$C$1)&gt;AQ$4,AQ$4&gt;=$C$1),'General Inputs'!N$9*$H90,IF(AND(($D90+$C$1)&gt;AQ$4,AQ$4&gt;=$C$1),'General Inputs'!N$9*$G90,0))+IF(AND(($E90+$C$1)&gt;AQ$4,AQ$4&gt;=$C$1),'General Inputs'!N$10*$J90,IF(AND(($D90+$C$1)&gt;AQ$4,AQ$4&gt;=$C$1),'General Inputs'!N$10*$I90,0))</f>
        <v>1707.2634113386871</v>
      </c>
      <c r="AR90" s="214">
        <f>IF(AND(($E90+$C$1)&gt;AR$4,AR$4&gt;=$C$1),'General Inputs'!O$9*$H90,IF(AND(($D90+$C$1)&gt;AR$4,AR$4&gt;=$C$1),'General Inputs'!O$9*$G90,0))+IF(AND(($E90+$C$1)&gt;AR$4,AR$4&gt;=$C$1),'General Inputs'!O$10*$J90,IF(AND(($D90+$C$1)&gt;AR$4,AR$4&gt;=$C$1),'General Inputs'!O$10*$I90,0))</f>
        <v>1732.8723625087671</v>
      </c>
      <c r="AS90" s="214">
        <f>IF(AND(($E90+$C$1)&gt;AS$4,AS$4&gt;=$C$1),'General Inputs'!P$9*$H90,IF(AND(($D90+$C$1)&gt;AS$4,AS$4&gt;=$C$1),'General Inputs'!P$9*$G90,0))+IF(AND(($E90+$C$1)&gt;AS$4,AS$4&gt;=$C$1),'General Inputs'!P$10*$J90,IF(AND(($D90+$C$1)&gt;AS$4,AS$4&gt;=$C$1),'General Inputs'!P$10*$I90,0))</f>
        <v>1758.8654479463985</v>
      </c>
      <c r="AT90" s="214">
        <f>IF(AND(($E90+$C$1)&gt;AT$4,AT$4&gt;=$C$1),'General Inputs'!Q$9*$H90,IF(AND(($D90+$C$1)&gt;AT$4,AT$4&gt;=$C$1),'General Inputs'!Q$9*$G90,0))+IF(AND(($E90+$C$1)&gt;AT$4,AT$4&gt;=$C$1),'General Inputs'!Q$10*$J90,IF(AND(($D90+$C$1)&gt;AT$4,AT$4&gt;=$C$1),'General Inputs'!Q$10*$I90,0))</f>
        <v>1785.2484296655944</v>
      </c>
      <c r="AU90" s="214">
        <f>IF(AND(($E90+$C$1)&gt;AU$4,AU$4&gt;=$C$1),'General Inputs'!R$9*$H90,IF(AND(($D90+$C$1)&gt;AU$4,AU$4&gt;=$C$1),'General Inputs'!R$9*$G90,0))+IF(AND(($E90+$C$1)&gt;AU$4,AU$4&gt;=$C$1),'General Inputs'!R$10*$J90,IF(AND(($D90+$C$1)&gt;AU$4,AU$4&gt;=$C$1),'General Inputs'!R$10*$I90,0))</f>
        <v>1812.0271561105781</v>
      </c>
      <c r="AV90" s="214">
        <f>IF(AND(($E90+$C$1)&gt;AV$4,AV$4&gt;=$C$1),'General Inputs'!S$9*$H90,IF(AND(($D90+$C$1)&gt;AV$4,AV$4&gt;=$C$1),'General Inputs'!S$9*$G90,0))+IF(AND(($E90+$C$1)&gt;AV$4,AV$4&gt;=$C$1),'General Inputs'!S$10*$J90,IF(AND(($D90+$C$1)&gt;AV$4,AV$4&gt;=$C$1),'General Inputs'!S$10*$I90,0))</f>
        <v>1839.2075634522369</v>
      </c>
      <c r="AW90" s="214">
        <f>IF(AND(($E90+$C$1)&gt;AW$4,AW$4&gt;=$C$1),'General Inputs'!T$9*$H90,IF(AND(($D90+$C$1)&gt;AW$4,AW$4&gt;=$C$1),'General Inputs'!T$9*$G90,0))+IF(AND(($E90+$C$1)&gt;AW$4,AW$4&gt;=$C$1),'General Inputs'!T$10*$J90,IF(AND(($D90+$C$1)&gt;AW$4,AW$4&gt;=$C$1),'General Inputs'!T$10*$I90,0))</f>
        <v>1866.7956769040202</v>
      </c>
      <c r="AX90" s="214">
        <f>IF(AND(($E90+$C$1)&gt;AX$4,AX$4&gt;=$C$1),'General Inputs'!U$9*$H90,IF(AND(($D90+$C$1)&gt;AX$4,AX$4&gt;=$C$1),'General Inputs'!U$9*$G90,0))+IF(AND(($E90+$C$1)&gt;AX$4,AX$4&gt;=$C$1),'General Inputs'!U$10*$J90,IF(AND(($D90+$C$1)&gt;AX$4,AX$4&gt;=$C$1),'General Inputs'!U$10*$I90,0))</f>
        <v>0</v>
      </c>
      <c r="AY90" s="214">
        <f>IF(AND(($E90+$C$1)&gt;AY$4,AY$4&gt;=$C$1),'General Inputs'!V$9*$H90,IF(AND(($D90+$C$1)&gt;AY$4,AY$4&gt;=$C$1),'General Inputs'!V$9*$G90,0))+IF(AND(($E90+$C$1)&gt;AY$4,AY$4&gt;=$C$1),'General Inputs'!V$10*$J90,IF(AND(($D90+$C$1)&gt;AY$4,AY$4&gt;=$C$1),'General Inputs'!V$10*$I90,0))</f>
        <v>0</v>
      </c>
      <c r="AZ90" s="214">
        <f>IF(AND(($E90+$C$1)&gt;AZ$4,AZ$4&gt;=$C$1),'General Inputs'!W$9*$H90,IF(AND(($D90+$C$1)&gt;AZ$4,AZ$4&gt;=$C$1),'General Inputs'!W$9*$G90,0))+IF(AND(($E90+$C$1)&gt;AZ$4,AZ$4&gt;=$C$1),'General Inputs'!W$10*$J90,IF(AND(($D90+$C$1)&gt;AZ$4,AZ$4&gt;=$C$1),'General Inputs'!W$10*$I90,0))</f>
        <v>0</v>
      </c>
      <c r="BB90" s="214">
        <f>IF(AND(($E90+$C$1)&gt;BB$4,BB$4&gt;=$C$1),'General Inputs'!D$11*$H90,IF(AND(($D90+$C$1)&gt;BB$4,BB$4&gt;=$C$1),'General Inputs'!D$11*$G90,0))</f>
        <v>0</v>
      </c>
      <c r="BC90" s="214">
        <f>IF(AND(($E90+$C$1)&gt;BC$4,BC$4&gt;=$C$1),'General Inputs'!E$11*$H90,IF(AND(($D90+$C$1)&gt;BC$4,BC$4&gt;=$C$1),'General Inputs'!E$11*$G90,0))</f>
        <v>0</v>
      </c>
      <c r="BD90" s="214">
        <f>IF(AND(($E90+$C$1)&gt;BD$4,BD$4&gt;=$C$1),'General Inputs'!F$11*$H90,IF(AND(($D90+$C$1)&gt;BD$4,BD$4&gt;=$C$1),'General Inputs'!F$11*$G90,0))</f>
        <v>413.86408581618906</v>
      </c>
      <c r="BE90" s="214">
        <f>IF(AND(($E90+$C$1)&gt;BE$4,BE$4&gt;=$C$1),'General Inputs'!G$11*$H90,IF(AND(($D90+$C$1)&gt;BE$4,BE$4&gt;=$C$1),'General Inputs'!G$11*$G90,0))</f>
        <v>413.86408581618906</v>
      </c>
      <c r="BF90" s="214">
        <f>IF(AND(($E90+$C$1)&gt;BF$4,BF$4&gt;=$C$1),'General Inputs'!H$11*$H90,IF(AND(($D90+$C$1)&gt;BF$4,BF$4&gt;=$C$1),'General Inputs'!H$11*$G90,0))</f>
        <v>413.86408581618906</v>
      </c>
      <c r="BG90" s="214">
        <f>IF(AND(($E90+$C$1)&gt;BG$4,BG$4&gt;=$C$1),'General Inputs'!I$11*$H90,IF(AND(($D90+$C$1)&gt;BG$4,BG$4&gt;=$C$1),'General Inputs'!I$11*$G90,0))</f>
        <v>413.86408581618906</v>
      </c>
      <c r="BH90" s="214">
        <f>IF(AND(($E90+$C$1)&gt;BH$4,BH$4&gt;=$C$1),'General Inputs'!J$11*$H90,IF(AND(($D90+$C$1)&gt;BH$4,BH$4&gt;=$C$1),'General Inputs'!J$11*$G90,0))</f>
        <v>413.86408581618906</v>
      </c>
      <c r="BI90" s="214">
        <f>IF(AND(($E90+$C$1)&gt;BI$4,BI$4&gt;=$C$1),'General Inputs'!K$11*$H90,IF(AND(($D90+$C$1)&gt;BI$4,BI$4&gt;=$C$1),'General Inputs'!K$11*$G90,0))</f>
        <v>413.86408581618906</v>
      </c>
      <c r="BJ90" s="214">
        <f>IF(AND(($E90+$C$1)&gt;BJ$4,BJ$4&gt;=$C$1),'General Inputs'!L$11*$H90,IF(AND(($D90+$C$1)&gt;BJ$4,BJ$4&gt;=$C$1),'General Inputs'!L$11*$G90,0))</f>
        <v>413.86408581618906</v>
      </c>
      <c r="BK90" s="214">
        <f>IF(AND(($E90+$C$1)&gt;BK$4,BK$4&gt;=$C$1),'General Inputs'!M$11*$H90,IF(AND(($D90+$C$1)&gt;BK$4,BK$4&gt;=$C$1),'General Inputs'!M$11*$G90,0))</f>
        <v>413.86408581618906</v>
      </c>
      <c r="BL90" s="214">
        <f>IF(AND(($E90+$C$1)&gt;BL$4,BL$4&gt;=$C$1),'General Inputs'!N$11*$H90,IF(AND(($D90+$C$1)&gt;BL$4,BL$4&gt;=$C$1),'General Inputs'!N$11*$G90,0))</f>
        <v>413.86408581618906</v>
      </c>
      <c r="BM90" s="214">
        <f>IF(AND(($E90+$C$1)&gt;BM$4,BM$4&gt;=$C$1),'General Inputs'!O$11*$H90,IF(AND(($D90+$C$1)&gt;BM$4,BM$4&gt;=$C$1),'General Inputs'!O$11*$G90,0))</f>
        <v>413.86408581618906</v>
      </c>
      <c r="BN90" s="214">
        <f>IF(AND(($E90+$C$1)&gt;BN$4,BN$4&gt;=$C$1),'General Inputs'!P$11*$H90,IF(AND(($D90+$C$1)&gt;BN$4,BN$4&gt;=$C$1),'General Inputs'!P$11*$G90,0))</f>
        <v>413.86408581618906</v>
      </c>
      <c r="BO90" s="214">
        <f>IF(AND(($E90+$C$1)&gt;BO$4,BO$4&gt;=$C$1),'General Inputs'!Q$11*$H90,IF(AND(($D90+$C$1)&gt;BO$4,BO$4&gt;=$C$1),'General Inputs'!Q$11*$G90,0))</f>
        <v>413.86408581618906</v>
      </c>
      <c r="BP90" s="214">
        <f>IF(AND(($E90+$C$1)&gt;BP$4,BP$4&gt;=$C$1),'General Inputs'!R$11*$H90,IF(AND(($D90+$C$1)&gt;BP$4,BP$4&gt;=$C$1),'General Inputs'!R$11*$G90,0))</f>
        <v>413.86408581618906</v>
      </c>
      <c r="BQ90" s="214">
        <f>IF(AND(($E90+$C$1)&gt;BQ$4,BQ$4&gt;=$C$1),'General Inputs'!S$11*$H90,IF(AND(($D90+$C$1)&gt;BQ$4,BQ$4&gt;=$C$1),'General Inputs'!S$11*$G90,0))</f>
        <v>413.86408581618906</v>
      </c>
      <c r="BR90" s="214">
        <f>IF(AND(($E90+$C$1)&gt;BR$4,BR$4&gt;=$C$1),'General Inputs'!T$11*$H90,IF(AND(($D90+$C$1)&gt;BR$4,BR$4&gt;=$C$1),'General Inputs'!T$11*$G90,0))</f>
        <v>413.86408581618906</v>
      </c>
      <c r="BS90" s="214">
        <f>IF(AND(($E90+$C$1)&gt;BS$4,BS$4&gt;=$C$1),'General Inputs'!U$11*$H90,IF(AND(($D90+$C$1)&gt;BS$4,BS$4&gt;=$C$1),'General Inputs'!U$11*$G90,0))</f>
        <v>0</v>
      </c>
      <c r="BT90" s="214">
        <f>IF(AND(($E90+$C$1)&gt;BT$4,BT$4&gt;=$C$1),'General Inputs'!V$11*$H90,IF(AND(($D90+$C$1)&gt;BT$4,BT$4&gt;=$C$1),'General Inputs'!V$11*$G90,0))</f>
        <v>0</v>
      </c>
      <c r="BU90" s="214">
        <f>IF(AND(($E90+$C$1)&gt;BU$4,BU$4&gt;=$C$1),'General Inputs'!W$11*$H90,IF(AND(($D90+$C$1)&gt;BU$4,BU$4&gt;=$C$1),'General Inputs'!W$11*$G90,0))</f>
        <v>0</v>
      </c>
      <c r="BW90" s="214">
        <f>IF(AND(($E90+$C$1)&gt;BW$4,BW$4&gt;=$C$1),$H90,IF(AND(($D90+$C$1)&gt;BW$4,BW$4&gt;=$C$1),$G90,0))*IF($A90="Residential",'General Inputs'!D$14,'General Inputs'!D$19)</f>
        <v>0</v>
      </c>
      <c r="BX90" s="214">
        <f>IF(AND(($E90+$C$1)&gt;BX$4,BX$4&gt;=$C$1),$H90,IF(AND(($D90+$C$1)&gt;BX$4,BX$4&gt;=$C$1),$G90,0))*IF($A90="Residential",'General Inputs'!E$14,'General Inputs'!E$19)</f>
        <v>0</v>
      </c>
      <c r="BY90" s="214">
        <f>IF(AND(($E90+$C$1)&gt;BY$4,BY$4&gt;=$C$1),$H90,IF(AND(($D90+$C$1)&gt;BY$4,BY$4&gt;=$C$1),$G90,0))*IF($A90="Residential",'General Inputs'!F$14,'General Inputs'!F$19)</f>
        <v>3907.1804495564197</v>
      </c>
      <c r="BZ90" s="214">
        <f>IF(AND(($E90+$C$1)&gt;BZ$4,BZ$4&gt;=$C$1),$H90,IF(AND(($D90+$C$1)&gt;BZ$4,BZ$4&gt;=$C$1),$G90,0))*IF($A90="Residential",'General Inputs'!G$14,'General Inputs'!G$19)</f>
        <v>3965.7881562997659</v>
      </c>
      <c r="CA90" s="214">
        <f>IF(AND(($E90+$C$1)&gt;CA$4,CA$4&gt;=$C$1),$H90,IF(AND(($D90+$C$1)&gt;CA$4,CA$4&gt;=$C$1),$G90,0))*IF($A90="Residential",'General Inputs'!H$14,'General Inputs'!H$19)</f>
        <v>4025.2749786442614</v>
      </c>
      <c r="CB90" s="214">
        <f>IF(AND(($E90+$C$1)&gt;CB$4,CB$4&gt;=$C$1),$H90,IF(AND(($D90+$C$1)&gt;CB$4,CB$4&gt;=$C$1),$G90,0))*IF($A90="Residential",'General Inputs'!I$14,'General Inputs'!I$19)</f>
        <v>4085.6541033239246</v>
      </c>
      <c r="CC90" s="214">
        <f>IF(AND(($E90+$C$1)&gt;CC$4,CC$4&gt;=$C$1),$H90,IF(AND(($D90+$C$1)&gt;CC$4,CC$4&gt;=$C$1),$G90,0))*IF($A90="Residential",'General Inputs'!J$14,'General Inputs'!J$19)</f>
        <v>4146.9389148737837</v>
      </c>
      <c r="CD90" s="214">
        <f>IF(AND(($E90+$C$1)&gt;CD$4,CD$4&gt;=$C$1),$H90,IF(AND(($D90+$C$1)&gt;CD$4,CD$4&gt;=$C$1),$G90,0))*IF($A90="Residential",'General Inputs'!K$14,'General Inputs'!K$19)</f>
        <v>4209.1429985968898</v>
      </c>
      <c r="CE90" s="214">
        <f>IF(AND(($E90+$C$1)&gt;CE$4,CE$4&gt;=$C$1),$H90,IF(AND(($D90+$C$1)&gt;CE$4,CE$4&gt;=$C$1),$G90,0))*IF($A90="Residential",'General Inputs'!L$14,'General Inputs'!L$19)</f>
        <v>4272.2801435758429</v>
      </c>
      <c r="CF90" s="214">
        <f>IF(AND(($E90+$C$1)&gt;CF$4,CF$4&gt;=$C$1),$H90,IF(AND(($D90+$C$1)&gt;CF$4,CF$4&gt;=$C$1),$G90,0))*IF($A90="Residential",'General Inputs'!M$14,'General Inputs'!M$19)</f>
        <v>4336.3643457294793</v>
      </c>
      <c r="CG90" s="214">
        <f>IF(AND(($E90+$C$1)&gt;CG$4,CG$4&gt;=$C$1),$H90,IF(AND(($D90+$C$1)&gt;CG$4,CG$4&gt;=$C$1),$G90,0))*IF($A90="Residential",'General Inputs'!N$14,'General Inputs'!N$19)</f>
        <v>4401.409810915422</v>
      </c>
      <c r="CH90" s="214">
        <f>IF(AND(($E90+$C$1)&gt;CH$4,CH$4&gt;=$C$1),$H90,IF(AND(($D90+$C$1)&gt;CH$4,CH$4&gt;=$C$1),$G90,0))*IF($A90="Residential",'General Inputs'!O$14,'General Inputs'!O$19)</f>
        <v>4467.4309580791523</v>
      </c>
      <c r="CI90" s="214">
        <f>IF(AND(($E90+$C$1)&gt;CI$4,CI$4&gt;=$C$1),$H90,IF(AND(($D90+$C$1)&gt;CI$4,CI$4&gt;=$C$1),$G90,0))*IF($A90="Residential",'General Inputs'!P$14,'General Inputs'!P$19)</f>
        <v>4534.4424224503391</v>
      </c>
      <c r="CJ90" s="214">
        <f>IF(AND(($E90+$C$1)&gt;CJ$4,CJ$4&gt;=$C$1),$H90,IF(AND(($D90+$C$1)&gt;CJ$4,CJ$4&gt;=$C$1),$G90,0))*IF($A90="Residential",'General Inputs'!Q$14,'General Inputs'!Q$19)</f>
        <v>4602.4590587870944</v>
      </c>
      <c r="CK90" s="214">
        <f>IF(AND(($E90+$C$1)&gt;CK$4,CK$4&gt;=$C$1),$H90,IF(AND(($D90+$C$1)&gt;CK$4,CK$4&gt;=$C$1),$G90,0))*IF($A90="Residential",'General Inputs'!R$14,'General Inputs'!R$19)</f>
        <v>4671.4959446688999</v>
      </c>
      <c r="CL90" s="214">
        <f>IF(AND(($E90+$C$1)&gt;CL$4,CL$4&gt;=$C$1),$H90,IF(AND(($D90+$C$1)&gt;CL$4,CL$4&gt;=$C$1),$G90,0))*IF($A90="Residential",'General Inputs'!S$14,'General Inputs'!S$19)</f>
        <v>4741.5683838389332</v>
      </c>
      <c r="CM90" s="214">
        <f>IF(AND(($E90+$C$1)&gt;CM$4,CM$4&gt;=$C$1),$H90,IF(AND(($D90+$C$1)&gt;CM$4,CM$4&gt;=$C$1),$G90,0))*IF($A90="Residential",'General Inputs'!T$14,'General Inputs'!T$19)</f>
        <v>4812.6919095965168</v>
      </c>
      <c r="CN90" s="214">
        <f>IF(AND(($E90+$C$1)&gt;CN$4,CN$4&gt;=$C$1),$H90,IF(AND(($D90+$C$1)&gt;CN$4,CN$4&gt;=$C$1),$G90,0))*IF($A90="Residential",'General Inputs'!U$14,'General Inputs'!U$19)</f>
        <v>0</v>
      </c>
      <c r="CO90" s="214">
        <f>IF(AND(($E90+$C$1)&gt;CO$4,CO$4&gt;=$C$1),$H90,IF(AND(($D90+$C$1)&gt;CO$4,CO$4&gt;=$C$1),$G90,0))*IF($A90="Residential",'General Inputs'!V$14,'General Inputs'!V$19)</f>
        <v>0</v>
      </c>
      <c r="CP90" s="214">
        <f>IF(AND(($E90+$C$1)&gt;CP$4,CP$4&gt;=$C$1),$H90,IF(AND(($D90+$C$1)&gt;CP$4,CP$4&gt;=$C$1),$G90,0))*IF($A90="Residential",'General Inputs'!W$14,'General Inputs'!W$19)</f>
        <v>0</v>
      </c>
      <c r="CR90" s="214">
        <f>IF(AND(($E90+$C$1)&gt;CR$4,CR$4&gt;=$C$1),$H90,IF(AND(($D90+$C$1)&gt;CR$4,CR$4&gt;=$C$1),$G90,0))*IF($A90="Residential",'General Inputs'!D$15,'General Inputs'!D$19)</f>
        <v>0</v>
      </c>
      <c r="CS90" s="214">
        <f>IF(AND(($E90+$C$1)&gt;CS$4,CS$4&gt;=$C$1),$H90,IF(AND(($D90+$C$1)&gt;CS$4,CS$4&gt;=$C$1),$G90,0))*IF($A90="Residential",'General Inputs'!E$15,'General Inputs'!E$19)</f>
        <v>0</v>
      </c>
      <c r="CT90" s="214">
        <f>IF(AND(($E90+$C$1)&gt;CT$4,CT$4&gt;=$C$1),$H90,IF(AND(($D90+$C$1)&gt;CT$4,CT$4&gt;=$C$1),$G90,0))*IF($A90="Residential",'General Inputs'!F$15,'General Inputs'!F$19)</f>
        <v>3907.1804495564197</v>
      </c>
      <c r="CU90" s="214">
        <f>IF(AND(($E90+$C$1)&gt;CU$4,CU$4&gt;=$C$1),$H90,IF(AND(($D90+$C$1)&gt;CU$4,CU$4&gt;=$C$1),$G90,0))*IF($A90="Residential",'General Inputs'!G$15,'General Inputs'!G$19)</f>
        <v>3965.7881562997659</v>
      </c>
      <c r="CV90" s="214">
        <f>IF(AND(($E90+$C$1)&gt;CV$4,CV$4&gt;=$C$1),$H90,IF(AND(($D90+$C$1)&gt;CV$4,CV$4&gt;=$C$1),$G90,0))*IF($A90="Residential",'General Inputs'!H$15,'General Inputs'!H$19)</f>
        <v>4025.2749786442614</v>
      </c>
      <c r="CW90" s="214">
        <f>IF(AND(($E90+$C$1)&gt;CW$4,CW$4&gt;=$C$1),$H90,IF(AND(($D90+$C$1)&gt;CW$4,CW$4&gt;=$C$1),$G90,0))*IF($A90="Residential",'General Inputs'!I$15,'General Inputs'!I$19)</f>
        <v>4085.6541033239246</v>
      </c>
      <c r="CX90" s="214">
        <f>IF(AND(($E90+$C$1)&gt;CX$4,CX$4&gt;=$C$1),$H90,IF(AND(($D90+$C$1)&gt;CX$4,CX$4&gt;=$C$1),$G90,0))*IF($A90="Residential",'General Inputs'!J$15,'General Inputs'!J$19)</f>
        <v>4146.9389148737837</v>
      </c>
      <c r="CY90" s="214">
        <f>IF(AND(($E90+$C$1)&gt;CY$4,CY$4&gt;=$C$1),$H90,IF(AND(($D90+$C$1)&gt;CY$4,CY$4&gt;=$C$1),$G90,0))*IF($A90="Residential",'General Inputs'!K$15,'General Inputs'!K$19)</f>
        <v>4209.1429985968898</v>
      </c>
      <c r="CZ90" s="214">
        <f>IF(AND(($E90+$C$1)&gt;CZ$4,CZ$4&gt;=$C$1),$H90,IF(AND(($D90+$C$1)&gt;CZ$4,CZ$4&gt;=$C$1),$G90,0))*IF($A90="Residential",'General Inputs'!L$15,'General Inputs'!L$19)</f>
        <v>4272.2801435758429</v>
      </c>
      <c r="DA90" s="214">
        <f>IF(AND(($E90+$C$1)&gt;DA$4,DA$4&gt;=$C$1),$H90,IF(AND(($D90+$C$1)&gt;DA$4,DA$4&gt;=$C$1),$G90,0))*IF($A90="Residential",'General Inputs'!M$15,'General Inputs'!M$19)</f>
        <v>4336.3643457294793</v>
      </c>
      <c r="DB90" s="214">
        <f>IF(AND(($E90+$C$1)&gt;DB$4,DB$4&gt;=$C$1),$H90,IF(AND(($D90+$C$1)&gt;DB$4,DB$4&gt;=$C$1),$G90,0))*IF($A90="Residential",'General Inputs'!N$15,'General Inputs'!N$19)</f>
        <v>4401.409810915422</v>
      </c>
      <c r="DC90" s="214">
        <f>IF(AND(($E90+$C$1)&gt;DC$4,DC$4&gt;=$C$1),$H90,IF(AND(($D90+$C$1)&gt;DC$4,DC$4&gt;=$C$1),$G90,0))*IF($A90="Residential",'General Inputs'!O$15,'General Inputs'!O$19)</f>
        <v>4467.4309580791523</v>
      </c>
      <c r="DD90" s="214">
        <f>IF(AND(($E90+$C$1)&gt;DD$4,DD$4&gt;=$C$1),$H90,IF(AND(($D90+$C$1)&gt;DD$4,DD$4&gt;=$C$1),$G90,0))*IF($A90="Residential",'General Inputs'!P$15,'General Inputs'!P$19)</f>
        <v>4534.4424224503391</v>
      </c>
      <c r="DE90" s="214">
        <f>IF(AND(($E90+$C$1)&gt;DE$4,DE$4&gt;=$C$1),$H90,IF(AND(($D90+$C$1)&gt;DE$4,DE$4&gt;=$C$1),$G90,0))*IF($A90="Residential",'General Inputs'!Q$15,'General Inputs'!Q$19)</f>
        <v>4602.4590587870944</v>
      </c>
      <c r="DF90" s="214">
        <f>IF(AND(($E90+$C$1)&gt;DF$4,DF$4&gt;=$C$1),$H90,IF(AND(($D90+$C$1)&gt;DF$4,DF$4&gt;=$C$1),$G90,0))*IF($A90="Residential",'General Inputs'!R$15,'General Inputs'!R$19)</f>
        <v>4671.4959446688999</v>
      </c>
      <c r="DG90" s="214">
        <f>IF(AND(($E90+$C$1)&gt;DG$4,DG$4&gt;=$C$1),$H90,IF(AND(($D90+$C$1)&gt;DG$4,DG$4&gt;=$C$1),$G90,0))*IF($A90="Residential",'General Inputs'!S$15,'General Inputs'!S$19)</f>
        <v>4741.5683838389332</v>
      </c>
      <c r="DH90" s="214">
        <f>IF(AND(($E90+$C$1)&gt;DH$4,DH$4&gt;=$C$1),$H90,IF(AND(($D90+$C$1)&gt;DH$4,DH$4&gt;=$C$1),$G90,0))*IF($A90="Residential",'General Inputs'!T$15,'General Inputs'!T$19)</f>
        <v>4812.6919095965168</v>
      </c>
      <c r="DI90" s="214">
        <f>IF(AND(($E90+$C$1)&gt;DI$4,DI$4&gt;=$C$1),$H90,IF(AND(($D90+$C$1)&gt;DI$4,DI$4&gt;=$C$1),$G90,0))*IF($A90="Residential",'General Inputs'!U$15,'General Inputs'!U$19)</f>
        <v>0</v>
      </c>
      <c r="DJ90" s="214">
        <f>IF(AND(($E90+$C$1)&gt;DJ$4,DJ$4&gt;=$C$1),$H90,IF(AND(($D90+$C$1)&gt;DJ$4,DJ$4&gt;=$C$1),$G90,0))*IF($A90="Residential",'General Inputs'!V$15,'General Inputs'!V$19)</f>
        <v>0</v>
      </c>
      <c r="DK90" s="214">
        <f>IF(AND(($E90+$C$1)&gt;DK$4,DK$4&gt;=$C$1),$H90,IF(AND(($D90+$C$1)&gt;DK$4,DK$4&gt;=$C$1),$G90,0))*IF($A90="Residential",'General Inputs'!W$15,'General Inputs'!W$19)</f>
        <v>0</v>
      </c>
      <c r="DM90" s="214">
        <f t="shared" si="114"/>
        <v>0</v>
      </c>
      <c r="DN90" s="214">
        <f t="shared" si="114"/>
        <v>0</v>
      </c>
      <c r="DO90" s="214">
        <f t="shared" si="114"/>
        <v>14000</v>
      </c>
      <c r="DP90" s="214">
        <f t="shared" si="114"/>
        <v>0</v>
      </c>
      <c r="DQ90" s="214">
        <f t="shared" si="114"/>
        <v>0</v>
      </c>
      <c r="DR90" s="214">
        <f t="shared" si="114"/>
        <v>0</v>
      </c>
      <c r="DS90" s="214">
        <f t="shared" si="114"/>
        <v>0</v>
      </c>
      <c r="DT90" s="214">
        <f t="shared" si="114"/>
        <v>0</v>
      </c>
      <c r="DU90" s="214">
        <f t="shared" si="114"/>
        <v>0</v>
      </c>
      <c r="DV90" s="214">
        <f t="shared" si="114"/>
        <v>0</v>
      </c>
      <c r="DW90" s="214">
        <f t="shared" si="114"/>
        <v>0</v>
      </c>
      <c r="DZ90" s="650"/>
      <c r="FI90" s="195"/>
      <c r="FJ90" s="195"/>
      <c r="FK90" s="195"/>
      <c r="FL90" s="195"/>
      <c r="FM90" s="195"/>
      <c r="FN90" s="195"/>
      <c r="FO90" s="195"/>
    </row>
    <row r="91" spans="1:171" s="449" customFormat="1">
      <c r="A91" s="435" t="s">
        <v>112</v>
      </c>
      <c r="B91" s="428" t="str">
        <f>'Portfolio Inputs'!A90</f>
        <v>VFD</v>
      </c>
      <c r="C91" s="454">
        <f>IF($C$1=2014,'Portfolio Inputs'!$C90,IF($C$1=2015,'Portfolio Inputs'!$D90,'Portfolio Inputs'!$E90))</f>
        <v>16</v>
      </c>
      <c r="D91" s="505"/>
      <c r="E91" s="505"/>
      <c r="F91" s="2"/>
      <c r="G91" s="515">
        <f t="shared" ref="G91:I91" si="121">SUM(G92:G93)</f>
        <v>388221.26730726252</v>
      </c>
      <c r="H91" s="515"/>
      <c r="I91" s="512">
        <f t="shared" si="121"/>
        <v>49.956725519999999</v>
      </c>
      <c r="J91" s="512"/>
      <c r="K91" s="2"/>
      <c r="L91" s="455"/>
      <c r="M91" s="455"/>
      <c r="N91" s="455">
        <f>IF($C$1=2014,'Portfolio Inputs'!$W90,IF($C$1=2015,'Portfolio Inputs'!$X90,'Portfolio Inputs'!$Y90))</f>
        <v>12000</v>
      </c>
      <c r="O91" s="455">
        <f>IF($C$1=2014,'Portfolio Inputs'!$AA90,IF($C$1=2015,'Portfolio Inputs'!$AB90,'Portfolio Inputs'!$AC90))</f>
        <v>0</v>
      </c>
      <c r="P91" s="16"/>
      <c r="Q91" s="433">
        <f t="shared" si="115"/>
        <v>3.9883616864803089</v>
      </c>
      <c r="R91" s="434">
        <f t="shared" si="116"/>
        <v>13.390259635409892</v>
      </c>
      <c r="S91" s="434">
        <f t="shared" si="117"/>
        <v>4.9612931936785953</v>
      </c>
      <c r="T91" s="434">
        <f t="shared" si="118"/>
        <v>10.280129363684962</v>
      </c>
      <c r="U91" s="434">
        <f>IF(AE91&gt;0,(AD91+AB91)/AE91,"n/a")</f>
        <v>10.280129363684962</v>
      </c>
      <c r="V91" s="523">
        <f t="shared" si="119"/>
        <v>0.38796804450432149</v>
      </c>
      <c r="W91" s="523">
        <f t="shared" si="120"/>
        <v>0.38796804450432149</v>
      </c>
      <c r="X91" s="16"/>
      <c r="Y91" s="447">
        <f t="shared" si="101"/>
        <v>135641.68553265012</v>
      </c>
      <c r="Z91" s="447">
        <f t="shared" si="102"/>
        <v>33088.791819344668</v>
      </c>
      <c r="AA91" s="447">
        <f t="shared" si="103"/>
        <v>339490.89044130925</v>
      </c>
      <c r="AB91" s="447">
        <f t="shared" si="104"/>
        <v>339490.89044130925</v>
      </c>
      <c r="AC91" s="448">
        <f t="shared" si="20"/>
        <v>0</v>
      </c>
      <c r="AD91" s="448">
        <f t="shared" si="21"/>
        <v>10129.877181317102</v>
      </c>
      <c r="AE91" s="525">
        <f t="shared" si="105"/>
        <v>34009.374323408621</v>
      </c>
      <c r="AF91" s="16"/>
      <c r="AG91" s="432">
        <f>SUM(AG92:AG93)</f>
        <v>0</v>
      </c>
      <c r="AH91" s="432">
        <f t="shared" ref="AH91:AZ91" si="122">SUM(AH92:AH93)</f>
        <v>0</v>
      </c>
      <c r="AI91" s="432">
        <f t="shared" si="122"/>
        <v>16693.790347736074</v>
      </c>
      <c r="AJ91" s="432">
        <f t="shared" si="122"/>
        <v>16944.19720295212</v>
      </c>
      <c r="AK91" s="432">
        <f t="shared" si="122"/>
        <v>17198.360160996395</v>
      </c>
      <c r="AL91" s="432">
        <f t="shared" si="122"/>
        <v>17456.33556341134</v>
      </c>
      <c r="AM91" s="432">
        <f t="shared" si="122"/>
        <v>17718.180596862505</v>
      </c>
      <c r="AN91" s="432">
        <f t="shared" si="122"/>
        <v>17983.953305815441</v>
      </c>
      <c r="AO91" s="432">
        <f t="shared" si="122"/>
        <v>18253.71260540267</v>
      </c>
      <c r="AP91" s="432">
        <f t="shared" si="122"/>
        <v>18527.518294483707</v>
      </c>
      <c r="AQ91" s="432">
        <f t="shared" si="122"/>
        <v>18805.431068900962</v>
      </c>
      <c r="AR91" s="432">
        <f t="shared" si="122"/>
        <v>19087.512534934474</v>
      </c>
      <c r="AS91" s="432">
        <f t="shared" si="122"/>
        <v>19373.82522295849</v>
      </c>
      <c r="AT91" s="432">
        <f t="shared" si="122"/>
        <v>19664.432601302869</v>
      </c>
      <c r="AU91" s="432">
        <f t="shared" si="122"/>
        <v>19959.399090322411</v>
      </c>
      <c r="AV91" s="432">
        <f t="shared" si="122"/>
        <v>20258.790076677244</v>
      </c>
      <c r="AW91" s="432">
        <f t="shared" si="122"/>
        <v>20562.671927827403</v>
      </c>
      <c r="AX91" s="432">
        <f t="shared" si="122"/>
        <v>0</v>
      </c>
      <c r="AY91" s="432">
        <f t="shared" si="122"/>
        <v>0</v>
      </c>
      <c r="AZ91" s="432">
        <f t="shared" si="122"/>
        <v>0</v>
      </c>
      <c r="BA91" s="16"/>
      <c r="BB91" s="432">
        <f>SUM(BB92:BB93)</f>
        <v>0</v>
      </c>
      <c r="BC91" s="432">
        <f t="shared" ref="BC91:BU91" si="123">SUM(BC92:BC93)</f>
        <v>0</v>
      </c>
      <c r="BD91" s="432">
        <f t="shared" si="123"/>
        <v>4425.7224473027927</v>
      </c>
      <c r="BE91" s="432">
        <f t="shared" si="123"/>
        <v>4425.7224473027927</v>
      </c>
      <c r="BF91" s="432">
        <f t="shared" si="123"/>
        <v>4425.7224473027927</v>
      </c>
      <c r="BG91" s="432">
        <f t="shared" si="123"/>
        <v>4425.7224473027927</v>
      </c>
      <c r="BH91" s="432">
        <f t="shared" si="123"/>
        <v>4425.7224473027927</v>
      </c>
      <c r="BI91" s="432">
        <f t="shared" si="123"/>
        <v>4425.7224473027927</v>
      </c>
      <c r="BJ91" s="432">
        <f t="shared" si="123"/>
        <v>4425.7224473027927</v>
      </c>
      <c r="BK91" s="432">
        <f t="shared" si="123"/>
        <v>4425.7224473027927</v>
      </c>
      <c r="BL91" s="432">
        <f t="shared" si="123"/>
        <v>4425.7224473027927</v>
      </c>
      <c r="BM91" s="432">
        <f t="shared" si="123"/>
        <v>4425.7224473027927</v>
      </c>
      <c r="BN91" s="432">
        <f t="shared" si="123"/>
        <v>4425.7224473027927</v>
      </c>
      <c r="BO91" s="432">
        <f t="shared" si="123"/>
        <v>4425.7224473027927</v>
      </c>
      <c r="BP91" s="432">
        <f t="shared" si="123"/>
        <v>4425.7224473027927</v>
      </c>
      <c r="BQ91" s="432">
        <f t="shared" si="123"/>
        <v>4425.7224473027927</v>
      </c>
      <c r="BR91" s="432">
        <f t="shared" si="123"/>
        <v>4425.7224473027927</v>
      </c>
      <c r="BS91" s="432">
        <f t="shared" si="123"/>
        <v>0</v>
      </c>
      <c r="BT91" s="432">
        <f t="shared" si="123"/>
        <v>0</v>
      </c>
      <c r="BU91" s="432">
        <f t="shared" si="123"/>
        <v>0</v>
      </c>
      <c r="BV91" s="16"/>
      <c r="BW91" s="432">
        <f>SUM(BW92:BW93)</f>
        <v>0</v>
      </c>
      <c r="BX91" s="432">
        <f t="shared" ref="BX91:CP91" si="124">SUM(BX92:BX93)</f>
        <v>0</v>
      </c>
      <c r="BY91" s="432">
        <f t="shared" si="124"/>
        <v>41782.065209070752</v>
      </c>
      <c r="BZ91" s="432">
        <f t="shared" si="124"/>
        <v>42408.796187206812</v>
      </c>
      <c r="CA91" s="432">
        <f t="shared" si="124"/>
        <v>43044.928130014901</v>
      </c>
      <c r="CB91" s="432">
        <f t="shared" si="124"/>
        <v>43690.602051965114</v>
      </c>
      <c r="CC91" s="432">
        <f t="shared" si="124"/>
        <v>44345.961082744587</v>
      </c>
      <c r="CD91" s="432">
        <f t="shared" si="124"/>
        <v>45011.150498985749</v>
      </c>
      <c r="CE91" s="432">
        <f t="shared" si="124"/>
        <v>45686.31775647054</v>
      </c>
      <c r="CF91" s="432">
        <f t="shared" si="124"/>
        <v>46371.612522817595</v>
      </c>
      <c r="CG91" s="432">
        <f t="shared" si="124"/>
        <v>47067.186710659851</v>
      </c>
      <c r="CH91" s="432">
        <f t="shared" si="124"/>
        <v>47773.194511319743</v>
      </c>
      <c r="CI91" s="432">
        <f t="shared" si="124"/>
        <v>48489.792428989538</v>
      </c>
      <c r="CJ91" s="432">
        <f t="shared" si="124"/>
        <v>49217.139315424378</v>
      </c>
      <c r="CK91" s="432">
        <f t="shared" si="124"/>
        <v>49955.396405155727</v>
      </c>
      <c r="CL91" s="432">
        <f t="shared" si="124"/>
        <v>50704.727351233065</v>
      </c>
      <c r="CM91" s="432">
        <f t="shared" si="124"/>
        <v>51465.298261501564</v>
      </c>
      <c r="CN91" s="432">
        <f t="shared" si="124"/>
        <v>0</v>
      </c>
      <c r="CO91" s="432">
        <f t="shared" si="124"/>
        <v>0</v>
      </c>
      <c r="CP91" s="432">
        <f t="shared" si="124"/>
        <v>0</v>
      </c>
      <c r="CQ91" s="16"/>
      <c r="CR91" s="432">
        <f>SUM(CR92:CR93)</f>
        <v>0</v>
      </c>
      <c r="CS91" s="432">
        <f t="shared" ref="CS91:DK91" si="125">SUM(CS92:CS93)</f>
        <v>0</v>
      </c>
      <c r="CT91" s="432">
        <f t="shared" si="125"/>
        <v>41782.065209070752</v>
      </c>
      <c r="CU91" s="432">
        <f t="shared" si="125"/>
        <v>42408.796187206812</v>
      </c>
      <c r="CV91" s="432">
        <f t="shared" si="125"/>
        <v>43044.928130014901</v>
      </c>
      <c r="CW91" s="432">
        <f t="shared" si="125"/>
        <v>43690.602051965114</v>
      </c>
      <c r="CX91" s="432">
        <f t="shared" si="125"/>
        <v>44345.961082744587</v>
      </c>
      <c r="CY91" s="432">
        <f t="shared" si="125"/>
        <v>45011.150498985749</v>
      </c>
      <c r="CZ91" s="432">
        <f t="shared" si="125"/>
        <v>45686.31775647054</v>
      </c>
      <c r="DA91" s="432">
        <f t="shared" si="125"/>
        <v>46371.612522817595</v>
      </c>
      <c r="DB91" s="432">
        <f t="shared" si="125"/>
        <v>47067.186710659851</v>
      </c>
      <c r="DC91" s="432">
        <f t="shared" si="125"/>
        <v>47773.194511319743</v>
      </c>
      <c r="DD91" s="432">
        <f t="shared" si="125"/>
        <v>48489.792428989538</v>
      </c>
      <c r="DE91" s="432">
        <f t="shared" si="125"/>
        <v>49217.139315424378</v>
      </c>
      <c r="DF91" s="432">
        <f t="shared" si="125"/>
        <v>49955.396405155727</v>
      </c>
      <c r="DG91" s="432">
        <f t="shared" si="125"/>
        <v>50704.727351233065</v>
      </c>
      <c r="DH91" s="432">
        <f t="shared" si="125"/>
        <v>51465.298261501564</v>
      </c>
      <c r="DI91" s="432">
        <f t="shared" si="125"/>
        <v>0</v>
      </c>
      <c r="DJ91" s="432">
        <f t="shared" si="125"/>
        <v>0</v>
      </c>
      <c r="DK91" s="432">
        <f t="shared" si="125"/>
        <v>0</v>
      </c>
      <c r="DL91" s="16"/>
      <c r="DM91" s="432">
        <f t="shared" ref="DM91:DW91" si="126">SUM(DM92:DM93)</f>
        <v>0</v>
      </c>
      <c r="DN91" s="432">
        <f t="shared" si="126"/>
        <v>0</v>
      </c>
      <c r="DO91" s="432">
        <f t="shared" si="126"/>
        <v>40288</v>
      </c>
      <c r="DP91" s="432">
        <f t="shared" si="126"/>
        <v>0</v>
      </c>
      <c r="DQ91" s="432">
        <f t="shared" si="126"/>
        <v>0</v>
      </c>
      <c r="DR91" s="432">
        <f t="shared" si="126"/>
        <v>0</v>
      </c>
      <c r="DS91" s="432">
        <f t="shared" si="126"/>
        <v>0</v>
      </c>
      <c r="DT91" s="432">
        <f t="shared" si="126"/>
        <v>0</v>
      </c>
      <c r="DU91" s="432">
        <f t="shared" si="126"/>
        <v>0</v>
      </c>
      <c r="DV91" s="432">
        <f t="shared" si="126"/>
        <v>0</v>
      </c>
      <c r="DW91" s="432">
        <f t="shared" si="126"/>
        <v>0</v>
      </c>
      <c r="DX91" s="16"/>
      <c r="DY91" s="16"/>
      <c r="DZ91" s="650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</row>
    <row r="92" spans="1:171">
      <c r="A92" s="342" t="s">
        <v>112</v>
      </c>
      <c r="B92" s="427" t="str">
        <f>'Portfolio Inputs'!A91</f>
        <v>VFD Fan</v>
      </c>
      <c r="C92" s="217">
        <f>IF($C$1=2014,'Portfolio Inputs'!$C91,IF($C$1=2015,'Portfolio Inputs'!$D91,'Portfolio Inputs'!$E91))</f>
        <v>8</v>
      </c>
      <c r="D92" s="504">
        <f>VLOOKUP(B92,Sources!$B$4:$J$104,2,FALSE)</f>
        <v>15</v>
      </c>
      <c r="E92" s="504">
        <f>VLOOKUP(B92,Sources!$B$4:$J$104,3,FALSE)</f>
        <v>0</v>
      </c>
      <c r="G92" s="504">
        <f>IF($C$1=2014,'Portfolio Inputs'!$G91,IF($C$1=2015,'Portfolio Inputs'!$H91,'Portfolio Inputs'!$I91))*EnergyLineLoss</f>
        <v>146612.75530726256</v>
      </c>
      <c r="H92" s="504"/>
      <c r="I92" s="595">
        <f>IF($C$1=2014,'Portfolio Inputs'!$K91,IF($C$1=2015,'Portfolio Inputs'!$L91,'Portfolio Inputs'!$M91))*PeakLineLoss</f>
        <v>31.117510079999999</v>
      </c>
      <c r="J92" s="510"/>
      <c r="L92" s="606">
        <f>IF($C$1=2014,'Portfolio Inputs'!$O91,IF($C$1=2015,'Portfolio Inputs'!$P91,'Portfolio Inputs'!$Q91))</f>
        <v>2518</v>
      </c>
      <c r="M92" s="518">
        <f>VLOOKUP($B92,Sources!$B$4:$K$104,10,FALSE)</f>
        <v>0</v>
      </c>
      <c r="N92" s="419">
        <f>IF($C$1=2014,'Portfolio Inputs'!$W91,IF($C$1=2015,'Portfolio Inputs'!$X91,'Portfolio Inputs'!$Y91))</f>
        <v>6000</v>
      </c>
      <c r="O92" s="419">
        <f>IF($C$1=2014,'Portfolio Inputs'!$AA91,IF($C$1=2015,'Portfolio Inputs'!$AB91,'Portfolio Inputs'!$AC91))</f>
        <v>0</v>
      </c>
      <c r="Q92" s="436">
        <f t="shared" si="115"/>
        <v>3.1027367509190573</v>
      </c>
      <c r="R92" s="437">
        <f t="shared" si="116"/>
        <v>10.416921518418915</v>
      </c>
      <c r="S92" s="437">
        <f t="shared" si="117"/>
        <v>3.8375968990247054</v>
      </c>
      <c r="T92" s="437">
        <f t="shared" si="118"/>
        <v>7.8375180369189854</v>
      </c>
      <c r="U92" s="439">
        <f t="shared" ref="U92:U93" si="127">IF(AE92&gt;0,(AD92+AB92)/AE92,"n/a")</f>
        <v>7.8375180369189854</v>
      </c>
      <c r="V92" s="439">
        <f t="shared" si="119"/>
        <v>0.39588256592246102</v>
      </c>
      <c r="W92" s="439">
        <f t="shared" si="120"/>
        <v>0.39588256592246102</v>
      </c>
      <c r="Y92" s="215">
        <f t="shared" si="101"/>
        <v>52761.067794501439</v>
      </c>
      <c r="Z92" s="215">
        <f t="shared" si="102"/>
        <v>12496.06692614024</v>
      </c>
      <c r="AA92" s="215">
        <f t="shared" si="103"/>
        <v>128209.6037513637</v>
      </c>
      <c r="AB92" s="215">
        <f t="shared" si="104"/>
        <v>128209.6037513637</v>
      </c>
      <c r="AC92" s="216">
        <f t="shared" ref="AC92:AC96" si="128">O92/((1+DiscountRate)^(IF($C$1=2015,1,IF($C$1=2016,2,0))))</f>
        <v>0</v>
      </c>
      <c r="AD92" s="216">
        <f t="shared" ref="AD92:AD96" si="129">N92/((1+DiscountRate)^(IF($C$1=2015,1,IF($C$1=2016,2,0))))</f>
        <v>5064.9385906585512</v>
      </c>
      <c r="AE92" s="215">
        <f t="shared" si="105"/>
        <v>17004.687161704311</v>
      </c>
      <c r="AG92" s="214">
        <f>IF(AND(($E92+$C$1)&gt;AG$4,AG$4&gt;=$C$1),'General Inputs'!D$9*$H92,IF(AND(($D92+$C$1)&gt;AG$4,AG$4&gt;=$C$1),'General Inputs'!D$9*$G92,0))+IF(AND(($E92+$C$1)&gt;AG$4,AG$4&gt;=$C$1),'General Inputs'!D$10*$J92,IF(AND(($D92+$C$1)&gt;AG$4,AG$4&gt;=$C$1),'General Inputs'!D$10*$I92,0))</f>
        <v>0</v>
      </c>
      <c r="AH92" s="214">
        <f>IF(AND(($E92+$C$1)&gt;AH$4,AH$4&gt;=$C$1),'General Inputs'!E$9*$H92,IF(AND(($D92+$C$1)&gt;AH$4,AH$4&gt;=$C$1),'General Inputs'!E$9*$G92,0))+IF(AND(($E92+$C$1)&gt;AH$4,AH$4&gt;=$C$1),'General Inputs'!E$10*$J92,IF(AND(($D92+$C$1)&gt;AH$4,AH$4&gt;=$C$1),'General Inputs'!E$10*$I92,0))</f>
        <v>0</v>
      </c>
      <c r="AI92" s="214">
        <f>IF(AND(($E92+$C$1)&gt;AI$4,AI$4&gt;=$C$1),'General Inputs'!F$9*$H92,IF(AND(($D92+$C$1)&gt;AI$4,AI$4&gt;=$C$1),'General Inputs'!F$9*$G92,0))+IF(AND(($E92+$C$1)&gt;AI$4,AI$4&gt;=$C$1),'General Inputs'!F$10*$J92,IF(AND(($D92+$C$1)&gt;AI$4,AI$4&gt;=$C$1),'General Inputs'!F$10*$I92,0))</f>
        <v>6493.4477983325069</v>
      </c>
      <c r="AJ92" s="214">
        <f>IF(AND(($E92+$C$1)&gt;AJ$4,AJ$4&gt;=$C$1),'General Inputs'!G$9*$H92,IF(AND(($D92+$C$1)&gt;AJ$4,AJ$4&gt;=$C$1),'General Inputs'!G$9*$G92,0))+IF(AND(($E92+$C$1)&gt;AJ$4,AJ$4&gt;=$C$1),'General Inputs'!G$10*$J92,IF(AND(($D92+$C$1)&gt;AJ$4,AJ$4&gt;=$C$1),'General Inputs'!G$10*$I92,0))</f>
        <v>6590.8495153074946</v>
      </c>
      <c r="AK92" s="214">
        <f>IF(AND(($E92+$C$1)&gt;AK$4,AK$4&gt;=$C$1),'General Inputs'!H$9*$H92,IF(AND(($D92+$C$1)&gt;AK$4,AK$4&gt;=$C$1),'General Inputs'!H$9*$G92,0))+IF(AND(($E92+$C$1)&gt;AK$4,AK$4&gt;=$C$1),'General Inputs'!H$10*$J92,IF(AND(($D92+$C$1)&gt;AK$4,AK$4&gt;=$C$1),'General Inputs'!H$10*$I92,0))</f>
        <v>6689.712258037106</v>
      </c>
      <c r="AL92" s="214">
        <f>IF(AND(($E92+$C$1)&gt;AL$4,AL$4&gt;=$C$1),'General Inputs'!I$9*$H92,IF(AND(($D92+$C$1)&gt;AL$4,AL$4&gt;=$C$1),'General Inputs'!I$9*$G92,0))+IF(AND(($E92+$C$1)&gt;AL$4,AL$4&gt;=$C$1),'General Inputs'!I$10*$J92,IF(AND(($D92+$C$1)&gt;AL$4,AL$4&gt;=$C$1),'General Inputs'!I$10*$I92,0))</f>
        <v>6790.0579419076612</v>
      </c>
      <c r="AM92" s="214">
        <f>IF(AND(($E92+$C$1)&gt;AM$4,AM$4&gt;=$C$1),'General Inputs'!J$9*$H92,IF(AND(($D92+$C$1)&gt;AM$4,AM$4&gt;=$C$1),'General Inputs'!J$9*$G92,0))+IF(AND(($E92+$C$1)&gt;AM$4,AM$4&gt;=$C$1),'General Inputs'!J$10*$J92,IF(AND(($D92+$C$1)&gt;AM$4,AM$4&gt;=$C$1),'General Inputs'!J$10*$I92,0))</f>
        <v>6891.9088110362754</v>
      </c>
      <c r="AN92" s="214">
        <f>IF(AND(($E92+$C$1)&gt;AN$4,AN$4&gt;=$C$1),'General Inputs'!K$9*$H92,IF(AND(($D92+$C$1)&gt;AN$4,AN$4&gt;=$C$1),'General Inputs'!K$9*$G92,0))+IF(AND(($E92+$C$1)&gt;AN$4,AN$4&gt;=$C$1),'General Inputs'!K$10*$J92,IF(AND(($D92+$C$1)&gt;AN$4,AN$4&gt;=$C$1),'General Inputs'!K$10*$I92,0))</f>
        <v>6995.287443201818</v>
      </c>
      <c r="AO92" s="214">
        <f>IF(AND(($E92+$C$1)&gt;AO$4,AO$4&gt;=$C$1),'General Inputs'!L$9*$H92,IF(AND(($D92+$C$1)&gt;AO$4,AO$4&gt;=$C$1),'General Inputs'!L$9*$G92,0))+IF(AND(($E92+$C$1)&gt;AO$4,AO$4&gt;=$C$1),'General Inputs'!L$10*$J92,IF(AND(($D92+$C$1)&gt;AO$4,AO$4&gt;=$C$1),'General Inputs'!L$10*$I92,0))</f>
        <v>7100.2167548498446</v>
      </c>
      <c r="AP92" s="214">
        <f>IF(AND(($E92+$C$1)&gt;AP$4,AP$4&gt;=$C$1),'General Inputs'!M$9*$H92,IF(AND(($D92+$C$1)&gt;AP$4,AP$4&gt;=$C$1),'General Inputs'!M$9*$G92,0))+IF(AND(($E92+$C$1)&gt;AP$4,AP$4&gt;=$C$1),'General Inputs'!M$10*$J92,IF(AND(($D92+$C$1)&gt;AP$4,AP$4&gt;=$C$1),'General Inputs'!M$10*$I92,0))</f>
        <v>7206.7200061725916</v>
      </c>
      <c r="AQ92" s="214">
        <f>IF(AND(($E92+$C$1)&gt;AQ$4,AQ$4&gt;=$C$1),'General Inputs'!N$9*$H92,IF(AND(($D92+$C$1)&gt;AQ$4,AQ$4&gt;=$C$1),'General Inputs'!N$9*$G92,0))+IF(AND(($E92+$C$1)&gt;AQ$4,AQ$4&gt;=$C$1),'General Inputs'!N$10*$J92,IF(AND(($D92+$C$1)&gt;AQ$4,AQ$4&gt;=$C$1),'General Inputs'!N$10*$I92,0))</f>
        <v>7314.8208062651802</v>
      </c>
      <c r="AR92" s="214">
        <f>IF(AND(($E92+$C$1)&gt;AR$4,AR$4&gt;=$C$1),'General Inputs'!O$9*$H92,IF(AND(($D92+$C$1)&gt;AR$4,AR$4&gt;=$C$1),'General Inputs'!O$9*$G92,0))+IF(AND(($E92+$C$1)&gt;AR$4,AR$4&gt;=$C$1),'General Inputs'!O$10*$J92,IF(AND(($D92+$C$1)&gt;AR$4,AR$4&gt;=$C$1),'General Inputs'!O$10*$I92,0))</f>
        <v>7424.5431183591572</v>
      </c>
      <c r="AS92" s="214">
        <f>IF(AND(($E92+$C$1)&gt;AS$4,AS$4&gt;=$C$1),'General Inputs'!P$9*$H92,IF(AND(($D92+$C$1)&gt;AS$4,AS$4&gt;=$C$1),'General Inputs'!P$9*$G92,0))+IF(AND(($E92+$C$1)&gt;AS$4,AS$4&gt;=$C$1),'General Inputs'!P$10*$J92,IF(AND(($D92+$C$1)&gt;AS$4,AS$4&gt;=$C$1),'General Inputs'!P$10*$I92,0))</f>
        <v>7535.9112651345431</v>
      </c>
      <c r="AT92" s="214">
        <f>IF(AND(($E92+$C$1)&gt;AT$4,AT$4&gt;=$C$1),'General Inputs'!Q$9*$H92,IF(AND(($D92+$C$1)&gt;AT$4,AT$4&gt;=$C$1),'General Inputs'!Q$9*$G92,0))+IF(AND(($E92+$C$1)&gt;AT$4,AT$4&gt;=$C$1),'General Inputs'!Q$10*$J92,IF(AND(($D92+$C$1)&gt;AT$4,AT$4&gt;=$C$1),'General Inputs'!Q$10*$I92,0))</f>
        <v>7648.9499341115607</v>
      </c>
      <c r="AU92" s="214">
        <f>IF(AND(($E92+$C$1)&gt;AU$4,AU$4&gt;=$C$1),'General Inputs'!R$9*$H92,IF(AND(($D92+$C$1)&gt;AU$4,AU$4&gt;=$C$1),'General Inputs'!R$9*$G92,0))+IF(AND(($E92+$C$1)&gt;AU$4,AU$4&gt;=$C$1),'General Inputs'!R$10*$J92,IF(AND(($D92+$C$1)&gt;AU$4,AU$4&gt;=$C$1),'General Inputs'!R$10*$I92,0))</f>
        <v>7763.6841831232341</v>
      </c>
      <c r="AV92" s="214">
        <f>IF(AND(($E92+$C$1)&gt;AV$4,AV$4&gt;=$C$1),'General Inputs'!S$9*$H92,IF(AND(($D92+$C$1)&gt;AV$4,AV$4&gt;=$C$1),'General Inputs'!S$9*$G92,0))+IF(AND(($E92+$C$1)&gt;AV$4,AV$4&gt;=$C$1),'General Inputs'!S$10*$J92,IF(AND(($D92+$C$1)&gt;AV$4,AV$4&gt;=$C$1),'General Inputs'!S$10*$I92,0))</f>
        <v>7880.1394458700825</v>
      </c>
      <c r="AW92" s="214">
        <f>IF(AND(($E92+$C$1)&gt;AW$4,AW$4&gt;=$C$1),'General Inputs'!T$9*$H92,IF(AND(($D92+$C$1)&gt;AW$4,AW$4&gt;=$C$1),'General Inputs'!T$9*$G92,0))+IF(AND(($E92+$C$1)&gt;AW$4,AW$4&gt;=$C$1),'General Inputs'!T$10*$J92,IF(AND(($D92+$C$1)&gt;AW$4,AW$4&gt;=$C$1),'General Inputs'!T$10*$I92,0))</f>
        <v>7998.3415375581335</v>
      </c>
      <c r="AX92" s="214">
        <f>IF(AND(($E92+$C$1)&gt;AX$4,AX$4&gt;=$C$1),'General Inputs'!U$9*$H92,IF(AND(($D92+$C$1)&gt;AX$4,AX$4&gt;=$C$1),'General Inputs'!U$9*$G92,0))+IF(AND(($E92+$C$1)&gt;AX$4,AX$4&gt;=$C$1),'General Inputs'!U$10*$J92,IF(AND(($D92+$C$1)&gt;AX$4,AX$4&gt;=$C$1),'General Inputs'!U$10*$I92,0))</f>
        <v>0</v>
      </c>
      <c r="AY92" s="214">
        <f>IF(AND(($E92+$C$1)&gt;AY$4,AY$4&gt;=$C$1),'General Inputs'!V$9*$H92,IF(AND(($D92+$C$1)&gt;AY$4,AY$4&gt;=$C$1),'General Inputs'!V$9*$G92,0))+IF(AND(($E92+$C$1)&gt;AY$4,AY$4&gt;=$C$1),'General Inputs'!V$10*$J92,IF(AND(($D92+$C$1)&gt;AY$4,AY$4&gt;=$C$1),'General Inputs'!V$10*$I92,0))</f>
        <v>0</v>
      </c>
      <c r="AZ92" s="214">
        <f>IF(AND(($E92+$C$1)&gt;AZ$4,AZ$4&gt;=$C$1),'General Inputs'!W$9*$H92,IF(AND(($D92+$C$1)&gt;AZ$4,AZ$4&gt;=$C$1),'General Inputs'!W$9*$G92,0))+IF(AND(($E92+$C$1)&gt;AZ$4,AZ$4&gt;=$C$1),'General Inputs'!W$10*$J92,IF(AND(($D92+$C$1)&gt;AZ$4,AZ$4&gt;=$C$1),'General Inputs'!W$10*$I92,0))</f>
        <v>0</v>
      </c>
      <c r="BB92" s="214">
        <f>IF(AND(($E92+$C$1)&gt;BB$4,BB$4&gt;=$C$1),'General Inputs'!D$11*$H92,IF(AND(($D92+$C$1)&gt;BB$4,BB$4&gt;=$C$1),'General Inputs'!D$11*$G92,0))</f>
        <v>0</v>
      </c>
      <c r="BC92" s="214">
        <f>IF(AND(($E92+$C$1)&gt;BC$4,BC$4&gt;=$C$1),'General Inputs'!E$11*$H92,IF(AND(($D92+$C$1)&gt;BC$4,BC$4&gt;=$C$1),'General Inputs'!E$11*$G92,0))</f>
        <v>0</v>
      </c>
      <c r="BD92" s="214">
        <f>IF(AND(($E92+$C$1)&gt;BD$4,BD$4&gt;=$C$1),'General Inputs'!F$11*$H92,IF(AND(($D92+$C$1)&gt;BD$4,BD$4&gt;=$C$1),'General Inputs'!F$11*$G92,0))</f>
        <v>1671.3854105027933</v>
      </c>
      <c r="BE92" s="214">
        <f>IF(AND(($E92+$C$1)&gt;BE$4,BE$4&gt;=$C$1),'General Inputs'!G$11*$H92,IF(AND(($D92+$C$1)&gt;BE$4,BE$4&gt;=$C$1),'General Inputs'!G$11*$G92,0))</f>
        <v>1671.3854105027933</v>
      </c>
      <c r="BF92" s="214">
        <f>IF(AND(($E92+$C$1)&gt;BF$4,BF$4&gt;=$C$1),'General Inputs'!H$11*$H92,IF(AND(($D92+$C$1)&gt;BF$4,BF$4&gt;=$C$1),'General Inputs'!H$11*$G92,0))</f>
        <v>1671.3854105027933</v>
      </c>
      <c r="BG92" s="214">
        <f>IF(AND(($E92+$C$1)&gt;BG$4,BG$4&gt;=$C$1),'General Inputs'!I$11*$H92,IF(AND(($D92+$C$1)&gt;BG$4,BG$4&gt;=$C$1),'General Inputs'!I$11*$G92,0))</f>
        <v>1671.3854105027933</v>
      </c>
      <c r="BH92" s="214">
        <f>IF(AND(($E92+$C$1)&gt;BH$4,BH$4&gt;=$C$1),'General Inputs'!J$11*$H92,IF(AND(($D92+$C$1)&gt;BH$4,BH$4&gt;=$C$1),'General Inputs'!J$11*$G92,0))</f>
        <v>1671.3854105027933</v>
      </c>
      <c r="BI92" s="214">
        <f>IF(AND(($E92+$C$1)&gt;BI$4,BI$4&gt;=$C$1),'General Inputs'!K$11*$H92,IF(AND(($D92+$C$1)&gt;BI$4,BI$4&gt;=$C$1),'General Inputs'!K$11*$G92,0))</f>
        <v>1671.3854105027933</v>
      </c>
      <c r="BJ92" s="214">
        <f>IF(AND(($E92+$C$1)&gt;BJ$4,BJ$4&gt;=$C$1),'General Inputs'!L$11*$H92,IF(AND(($D92+$C$1)&gt;BJ$4,BJ$4&gt;=$C$1),'General Inputs'!L$11*$G92,0))</f>
        <v>1671.3854105027933</v>
      </c>
      <c r="BK92" s="214">
        <f>IF(AND(($E92+$C$1)&gt;BK$4,BK$4&gt;=$C$1),'General Inputs'!M$11*$H92,IF(AND(($D92+$C$1)&gt;BK$4,BK$4&gt;=$C$1),'General Inputs'!M$11*$G92,0))</f>
        <v>1671.3854105027933</v>
      </c>
      <c r="BL92" s="214">
        <f>IF(AND(($E92+$C$1)&gt;BL$4,BL$4&gt;=$C$1),'General Inputs'!N$11*$H92,IF(AND(($D92+$C$1)&gt;BL$4,BL$4&gt;=$C$1),'General Inputs'!N$11*$G92,0))</f>
        <v>1671.3854105027933</v>
      </c>
      <c r="BM92" s="214">
        <f>IF(AND(($E92+$C$1)&gt;BM$4,BM$4&gt;=$C$1),'General Inputs'!O$11*$H92,IF(AND(($D92+$C$1)&gt;BM$4,BM$4&gt;=$C$1),'General Inputs'!O$11*$G92,0))</f>
        <v>1671.3854105027933</v>
      </c>
      <c r="BN92" s="214">
        <f>IF(AND(($E92+$C$1)&gt;BN$4,BN$4&gt;=$C$1),'General Inputs'!P$11*$H92,IF(AND(($D92+$C$1)&gt;BN$4,BN$4&gt;=$C$1),'General Inputs'!P$11*$G92,0))</f>
        <v>1671.3854105027933</v>
      </c>
      <c r="BO92" s="214">
        <f>IF(AND(($E92+$C$1)&gt;BO$4,BO$4&gt;=$C$1),'General Inputs'!Q$11*$H92,IF(AND(($D92+$C$1)&gt;BO$4,BO$4&gt;=$C$1),'General Inputs'!Q$11*$G92,0))</f>
        <v>1671.3854105027933</v>
      </c>
      <c r="BP92" s="214">
        <f>IF(AND(($E92+$C$1)&gt;BP$4,BP$4&gt;=$C$1),'General Inputs'!R$11*$H92,IF(AND(($D92+$C$1)&gt;BP$4,BP$4&gt;=$C$1),'General Inputs'!R$11*$G92,0))</f>
        <v>1671.3854105027933</v>
      </c>
      <c r="BQ92" s="214">
        <f>IF(AND(($E92+$C$1)&gt;BQ$4,BQ$4&gt;=$C$1),'General Inputs'!S$11*$H92,IF(AND(($D92+$C$1)&gt;BQ$4,BQ$4&gt;=$C$1),'General Inputs'!S$11*$G92,0))</f>
        <v>1671.3854105027933</v>
      </c>
      <c r="BR92" s="214">
        <f>IF(AND(($E92+$C$1)&gt;BR$4,BR$4&gt;=$C$1),'General Inputs'!T$11*$H92,IF(AND(($D92+$C$1)&gt;BR$4,BR$4&gt;=$C$1),'General Inputs'!T$11*$G92,0))</f>
        <v>1671.3854105027933</v>
      </c>
      <c r="BS92" s="214">
        <f>IF(AND(($E92+$C$1)&gt;BS$4,BS$4&gt;=$C$1),'General Inputs'!U$11*$H92,IF(AND(($D92+$C$1)&gt;BS$4,BS$4&gt;=$C$1),'General Inputs'!U$11*$G92,0))</f>
        <v>0</v>
      </c>
      <c r="BT92" s="214">
        <f>IF(AND(($E92+$C$1)&gt;BT$4,BT$4&gt;=$C$1),'General Inputs'!V$11*$H92,IF(AND(($D92+$C$1)&gt;BT$4,BT$4&gt;=$C$1),'General Inputs'!V$11*$G92,0))</f>
        <v>0</v>
      </c>
      <c r="BU92" s="214">
        <f>IF(AND(($E92+$C$1)&gt;BU$4,BU$4&gt;=$C$1),'General Inputs'!W$11*$H92,IF(AND(($D92+$C$1)&gt;BU$4,BU$4&gt;=$C$1),'General Inputs'!W$11*$G92,0))</f>
        <v>0</v>
      </c>
      <c r="BW92" s="214">
        <f>IF(AND(($E92+$C$1)&gt;BW$4,BW$4&gt;=$C$1),$H92,IF(AND(($D92+$C$1)&gt;BW$4,BW$4&gt;=$C$1),$G92,0))*IF($A92="Residential",'General Inputs'!D$14,'General Inputs'!D$19)</f>
        <v>0</v>
      </c>
      <c r="BX92" s="214">
        <f>IF(AND(($E92+$C$1)&gt;BX$4,BX$4&gt;=$C$1),$H92,IF(AND(($D92+$C$1)&gt;BX$4,BX$4&gt;=$C$1),$G92,0))*IF($A92="Residential",'General Inputs'!E$14,'General Inputs'!E$19)</f>
        <v>0</v>
      </c>
      <c r="BY92" s="214">
        <f>IF(AND(($E92+$C$1)&gt;BY$4,BY$4&gt;=$C$1),$H92,IF(AND(($D92+$C$1)&gt;BY$4,BY$4&gt;=$C$1),$G92,0))*IF($A92="Residential",'General Inputs'!F$14,'General Inputs'!F$19)</f>
        <v>15779.103873465157</v>
      </c>
      <c r="BZ92" s="214">
        <f>IF(AND(($E92+$C$1)&gt;BZ$4,BZ$4&gt;=$C$1),$H92,IF(AND(($D92+$C$1)&gt;BZ$4,BZ$4&gt;=$C$1),$G92,0))*IF($A92="Residential",'General Inputs'!G$14,'General Inputs'!G$19)</f>
        <v>16015.790431567133</v>
      </c>
      <c r="CA92" s="214">
        <f>IF(AND(($E92+$C$1)&gt;CA$4,CA$4&gt;=$C$1),$H92,IF(AND(($D92+$C$1)&gt;CA$4,CA$4&gt;=$C$1),$G92,0))*IF($A92="Residential",'General Inputs'!H$14,'General Inputs'!H$19)</f>
        <v>16256.027288040637</v>
      </c>
      <c r="CB92" s="214">
        <f>IF(AND(($E92+$C$1)&gt;CB$4,CB$4&gt;=$C$1),$H92,IF(AND(($D92+$C$1)&gt;CB$4,CB$4&gt;=$C$1),$G92,0))*IF($A92="Residential",'General Inputs'!I$14,'General Inputs'!I$19)</f>
        <v>16499.867697361242</v>
      </c>
      <c r="CC92" s="214">
        <f>IF(AND(($E92+$C$1)&gt;CC$4,CC$4&gt;=$C$1),$H92,IF(AND(($D92+$C$1)&gt;CC$4,CC$4&gt;=$C$1),$G92,0))*IF($A92="Residential",'General Inputs'!J$14,'General Inputs'!J$19)</f>
        <v>16747.365712821662</v>
      </c>
      <c r="CD92" s="214">
        <f>IF(AND(($E92+$C$1)&gt;CD$4,CD$4&gt;=$C$1),$H92,IF(AND(($D92+$C$1)&gt;CD$4,CD$4&gt;=$C$1),$G92,0))*IF($A92="Residential",'General Inputs'!K$14,'General Inputs'!K$19)</f>
        <v>16998.576198513983</v>
      </c>
      <c r="CE92" s="214">
        <f>IF(AND(($E92+$C$1)&gt;CE$4,CE$4&gt;=$C$1),$H92,IF(AND(($D92+$C$1)&gt;CE$4,CE$4&gt;=$C$1),$G92,0))*IF($A92="Residential",'General Inputs'!L$14,'General Inputs'!L$19)</f>
        <v>17253.554841491692</v>
      </c>
      <c r="CF92" s="214">
        <f>IF(AND(($E92+$C$1)&gt;CF$4,CF$4&gt;=$C$1),$H92,IF(AND(($D92+$C$1)&gt;CF$4,CF$4&gt;=$C$1),$G92,0))*IF($A92="Residential",'General Inputs'!M$14,'General Inputs'!M$19)</f>
        <v>17512.358164114066</v>
      </c>
      <c r="CG92" s="214">
        <f>IF(AND(($E92+$C$1)&gt;CG$4,CG$4&gt;=$C$1),$H92,IF(AND(($D92+$C$1)&gt;CG$4,CG$4&gt;=$C$1),$G92,0))*IF($A92="Residential",'General Inputs'!N$14,'General Inputs'!N$19)</f>
        <v>17775.043536575777</v>
      </c>
      <c r="CH92" s="214">
        <f>IF(AND(($E92+$C$1)&gt;CH$4,CH$4&gt;=$C$1),$H92,IF(AND(($D92+$C$1)&gt;CH$4,CH$4&gt;=$C$1),$G92,0))*IF($A92="Residential",'General Inputs'!O$14,'General Inputs'!O$19)</f>
        <v>18041.669189624412</v>
      </c>
      <c r="CI92" s="214">
        <f>IF(AND(($E92+$C$1)&gt;CI$4,CI$4&gt;=$C$1),$H92,IF(AND(($D92+$C$1)&gt;CI$4,CI$4&gt;=$C$1),$G92,0))*IF($A92="Residential",'General Inputs'!P$14,'General Inputs'!P$19)</f>
        <v>18312.294227468778</v>
      </c>
      <c r="CJ92" s="214">
        <f>IF(AND(($E92+$C$1)&gt;CJ$4,CJ$4&gt;=$C$1),$H92,IF(AND(($D92+$C$1)&gt;CJ$4,CJ$4&gt;=$C$1),$G92,0))*IF($A92="Residential",'General Inputs'!Q$14,'General Inputs'!Q$19)</f>
        <v>18586.978640880807</v>
      </c>
      <c r="CK92" s="214">
        <f>IF(AND(($E92+$C$1)&gt;CK$4,CK$4&gt;=$C$1),$H92,IF(AND(($D92+$C$1)&gt;CK$4,CK$4&gt;=$C$1),$G92,0))*IF($A92="Residential",'General Inputs'!R$14,'General Inputs'!R$19)</f>
        <v>18865.783320494014</v>
      </c>
      <c r="CL92" s="214">
        <f>IF(AND(($E92+$C$1)&gt;CL$4,CL$4&gt;=$C$1),$H92,IF(AND(($D92+$C$1)&gt;CL$4,CL$4&gt;=$C$1),$G92,0))*IF($A92="Residential",'General Inputs'!S$14,'General Inputs'!S$19)</f>
        <v>19148.770070301423</v>
      </c>
      <c r="CM92" s="214">
        <f>IF(AND(($E92+$C$1)&gt;CM$4,CM$4&gt;=$C$1),$H92,IF(AND(($D92+$C$1)&gt;CM$4,CM$4&gt;=$C$1),$G92,0))*IF($A92="Residential",'General Inputs'!T$14,'General Inputs'!T$19)</f>
        <v>19436.001621355947</v>
      </c>
      <c r="CN92" s="214">
        <f>IF(AND(($E92+$C$1)&gt;CN$4,CN$4&gt;=$C$1),$H92,IF(AND(($D92+$C$1)&gt;CN$4,CN$4&gt;=$C$1),$G92,0))*IF($A92="Residential",'General Inputs'!U$14,'General Inputs'!U$19)</f>
        <v>0</v>
      </c>
      <c r="CO92" s="214">
        <f>IF(AND(($E92+$C$1)&gt;CO$4,CO$4&gt;=$C$1),$H92,IF(AND(($D92+$C$1)&gt;CO$4,CO$4&gt;=$C$1),$G92,0))*IF($A92="Residential",'General Inputs'!V$14,'General Inputs'!V$19)</f>
        <v>0</v>
      </c>
      <c r="CP92" s="214">
        <f>IF(AND(($E92+$C$1)&gt;CP$4,CP$4&gt;=$C$1),$H92,IF(AND(($D92+$C$1)&gt;CP$4,CP$4&gt;=$C$1),$G92,0))*IF($A92="Residential",'General Inputs'!W$14,'General Inputs'!W$19)</f>
        <v>0</v>
      </c>
      <c r="CR92" s="214">
        <f>IF(AND(($E92+$C$1)&gt;CR$4,CR$4&gt;=$C$1),$H92,IF(AND(($D92+$C$1)&gt;CR$4,CR$4&gt;=$C$1),$G92,0))*IF($A92="Residential",'General Inputs'!D$15,'General Inputs'!D$19)</f>
        <v>0</v>
      </c>
      <c r="CS92" s="214">
        <f>IF(AND(($E92+$C$1)&gt;CS$4,CS$4&gt;=$C$1),$H92,IF(AND(($D92+$C$1)&gt;CS$4,CS$4&gt;=$C$1),$G92,0))*IF($A92="Residential",'General Inputs'!E$15,'General Inputs'!E$19)</f>
        <v>0</v>
      </c>
      <c r="CT92" s="214">
        <f>IF(AND(($E92+$C$1)&gt;CT$4,CT$4&gt;=$C$1),$H92,IF(AND(($D92+$C$1)&gt;CT$4,CT$4&gt;=$C$1),$G92,0))*IF($A92="Residential",'General Inputs'!F$15,'General Inputs'!F$19)</f>
        <v>15779.103873465157</v>
      </c>
      <c r="CU92" s="214">
        <f>IF(AND(($E92+$C$1)&gt;CU$4,CU$4&gt;=$C$1),$H92,IF(AND(($D92+$C$1)&gt;CU$4,CU$4&gt;=$C$1),$G92,0))*IF($A92="Residential",'General Inputs'!G$15,'General Inputs'!G$19)</f>
        <v>16015.790431567133</v>
      </c>
      <c r="CV92" s="214">
        <f>IF(AND(($E92+$C$1)&gt;CV$4,CV$4&gt;=$C$1),$H92,IF(AND(($D92+$C$1)&gt;CV$4,CV$4&gt;=$C$1),$G92,0))*IF($A92="Residential",'General Inputs'!H$15,'General Inputs'!H$19)</f>
        <v>16256.027288040637</v>
      </c>
      <c r="CW92" s="214">
        <f>IF(AND(($E92+$C$1)&gt;CW$4,CW$4&gt;=$C$1),$H92,IF(AND(($D92+$C$1)&gt;CW$4,CW$4&gt;=$C$1),$G92,0))*IF($A92="Residential",'General Inputs'!I$15,'General Inputs'!I$19)</f>
        <v>16499.867697361242</v>
      </c>
      <c r="CX92" s="214">
        <f>IF(AND(($E92+$C$1)&gt;CX$4,CX$4&gt;=$C$1),$H92,IF(AND(($D92+$C$1)&gt;CX$4,CX$4&gt;=$C$1),$G92,0))*IF($A92="Residential",'General Inputs'!J$15,'General Inputs'!J$19)</f>
        <v>16747.365712821662</v>
      </c>
      <c r="CY92" s="214">
        <f>IF(AND(($E92+$C$1)&gt;CY$4,CY$4&gt;=$C$1),$H92,IF(AND(($D92+$C$1)&gt;CY$4,CY$4&gt;=$C$1),$G92,0))*IF($A92="Residential",'General Inputs'!K$15,'General Inputs'!K$19)</f>
        <v>16998.576198513983</v>
      </c>
      <c r="CZ92" s="214">
        <f>IF(AND(($E92+$C$1)&gt;CZ$4,CZ$4&gt;=$C$1),$H92,IF(AND(($D92+$C$1)&gt;CZ$4,CZ$4&gt;=$C$1),$G92,0))*IF($A92="Residential",'General Inputs'!L$15,'General Inputs'!L$19)</f>
        <v>17253.554841491692</v>
      </c>
      <c r="DA92" s="214">
        <f>IF(AND(($E92+$C$1)&gt;DA$4,DA$4&gt;=$C$1),$H92,IF(AND(($D92+$C$1)&gt;DA$4,DA$4&gt;=$C$1),$G92,0))*IF($A92="Residential",'General Inputs'!M$15,'General Inputs'!M$19)</f>
        <v>17512.358164114066</v>
      </c>
      <c r="DB92" s="214">
        <f>IF(AND(($E92+$C$1)&gt;DB$4,DB$4&gt;=$C$1),$H92,IF(AND(($D92+$C$1)&gt;DB$4,DB$4&gt;=$C$1),$G92,0))*IF($A92="Residential",'General Inputs'!N$15,'General Inputs'!N$19)</f>
        <v>17775.043536575777</v>
      </c>
      <c r="DC92" s="214">
        <f>IF(AND(($E92+$C$1)&gt;DC$4,DC$4&gt;=$C$1),$H92,IF(AND(($D92+$C$1)&gt;DC$4,DC$4&gt;=$C$1),$G92,0))*IF($A92="Residential",'General Inputs'!O$15,'General Inputs'!O$19)</f>
        <v>18041.669189624412</v>
      </c>
      <c r="DD92" s="214">
        <f>IF(AND(($E92+$C$1)&gt;DD$4,DD$4&gt;=$C$1),$H92,IF(AND(($D92+$C$1)&gt;DD$4,DD$4&gt;=$C$1),$G92,0))*IF($A92="Residential",'General Inputs'!P$15,'General Inputs'!P$19)</f>
        <v>18312.294227468778</v>
      </c>
      <c r="DE92" s="214">
        <f>IF(AND(($E92+$C$1)&gt;DE$4,DE$4&gt;=$C$1),$H92,IF(AND(($D92+$C$1)&gt;DE$4,DE$4&gt;=$C$1),$G92,0))*IF($A92="Residential",'General Inputs'!Q$15,'General Inputs'!Q$19)</f>
        <v>18586.978640880807</v>
      </c>
      <c r="DF92" s="214">
        <f>IF(AND(($E92+$C$1)&gt;DF$4,DF$4&gt;=$C$1),$H92,IF(AND(($D92+$C$1)&gt;DF$4,DF$4&gt;=$C$1),$G92,0))*IF($A92="Residential",'General Inputs'!R$15,'General Inputs'!R$19)</f>
        <v>18865.783320494014</v>
      </c>
      <c r="DG92" s="214">
        <f>IF(AND(($E92+$C$1)&gt;DG$4,DG$4&gt;=$C$1),$H92,IF(AND(($D92+$C$1)&gt;DG$4,DG$4&gt;=$C$1),$G92,0))*IF($A92="Residential",'General Inputs'!S$15,'General Inputs'!S$19)</f>
        <v>19148.770070301423</v>
      </c>
      <c r="DH92" s="214">
        <f>IF(AND(($E92+$C$1)&gt;DH$4,DH$4&gt;=$C$1),$H92,IF(AND(($D92+$C$1)&gt;DH$4,DH$4&gt;=$C$1),$G92,0))*IF($A92="Residential",'General Inputs'!T$15,'General Inputs'!T$19)</f>
        <v>19436.001621355947</v>
      </c>
      <c r="DI92" s="214">
        <f>IF(AND(($E92+$C$1)&gt;DI$4,DI$4&gt;=$C$1),$H92,IF(AND(($D92+$C$1)&gt;DI$4,DI$4&gt;=$C$1),$G92,0))*IF($A92="Residential",'General Inputs'!U$15,'General Inputs'!U$19)</f>
        <v>0</v>
      </c>
      <c r="DJ92" s="214">
        <f>IF(AND(($E92+$C$1)&gt;DJ$4,DJ$4&gt;=$C$1),$H92,IF(AND(($D92+$C$1)&gt;DJ$4,DJ$4&gt;=$C$1),$G92,0))*IF($A92="Residential",'General Inputs'!V$15,'General Inputs'!V$19)</f>
        <v>0</v>
      </c>
      <c r="DK92" s="214">
        <f>IF(AND(($E92+$C$1)&gt;DK$4,DK$4&gt;=$C$1),$H92,IF(AND(($D92+$C$1)&gt;DK$4,DK$4&gt;=$C$1),$G92,0))*IF($A92="Residential",'General Inputs'!W$15,'General Inputs'!W$19)</f>
        <v>0</v>
      </c>
      <c r="DM92" s="214">
        <f t="shared" ref="DM92:DW93" si="130">IF($C$1=DM$4,$L92*$C92,IF($E92+$C$1=DM$4,-$M92*$C92,0))</f>
        <v>0</v>
      </c>
      <c r="DN92" s="214">
        <f t="shared" si="130"/>
        <v>0</v>
      </c>
      <c r="DO92" s="214">
        <f t="shared" si="130"/>
        <v>20144</v>
      </c>
      <c r="DP92" s="214">
        <f t="shared" si="130"/>
        <v>0</v>
      </c>
      <c r="DQ92" s="214">
        <f t="shared" si="130"/>
        <v>0</v>
      </c>
      <c r="DR92" s="214">
        <f t="shared" si="130"/>
        <v>0</v>
      </c>
      <c r="DS92" s="214">
        <f t="shared" si="130"/>
        <v>0</v>
      </c>
      <c r="DT92" s="214">
        <f t="shared" si="130"/>
        <v>0</v>
      </c>
      <c r="DU92" s="214">
        <f t="shared" si="130"/>
        <v>0</v>
      </c>
      <c r="DV92" s="214">
        <f t="shared" si="130"/>
        <v>0</v>
      </c>
      <c r="DW92" s="214">
        <f t="shared" si="130"/>
        <v>0</v>
      </c>
      <c r="DZ92" s="650"/>
      <c r="FI92" s="195"/>
      <c r="FJ92" s="195"/>
      <c r="FK92" s="195"/>
      <c r="FL92" s="195"/>
      <c r="FM92" s="195"/>
      <c r="FN92" s="195"/>
      <c r="FO92" s="195"/>
    </row>
    <row r="93" spans="1:171">
      <c r="A93" s="342" t="s">
        <v>112</v>
      </c>
      <c r="B93" s="427" t="str">
        <f>'Portfolio Inputs'!A92</f>
        <v>VFD Pump</v>
      </c>
      <c r="C93" s="217">
        <f>IF($C$1=2014,'Portfolio Inputs'!$C92,IF($C$1=2015,'Portfolio Inputs'!$D92,'Portfolio Inputs'!$E92))</f>
        <v>8</v>
      </c>
      <c r="D93" s="504">
        <f>VLOOKUP(B93,Sources!$B$4:$J$104,2,FALSE)</f>
        <v>15</v>
      </c>
      <c r="E93" s="504">
        <f>VLOOKUP(B93,Sources!$B$4:$J$104,3,FALSE)</f>
        <v>0</v>
      </c>
      <c r="G93" s="504">
        <f>IF($C$1=2014,'Portfolio Inputs'!$G92,IF($C$1=2015,'Portfolio Inputs'!$H92,'Portfolio Inputs'!$I92))*EnergyLineLoss</f>
        <v>241608.51199999993</v>
      </c>
      <c r="H93" s="504"/>
      <c r="I93" s="595">
        <f>IF($C$1=2014,'Portfolio Inputs'!$K92,IF($C$1=2015,'Portfolio Inputs'!$L92,'Portfolio Inputs'!$M92))*PeakLineLoss</f>
        <v>18.83921544</v>
      </c>
      <c r="J93" s="510"/>
      <c r="L93" s="606">
        <f>IF($C$1=2014,'Portfolio Inputs'!$O92,IF($C$1=2015,'Portfolio Inputs'!$P92,'Portfolio Inputs'!$Q92))</f>
        <v>2518</v>
      </c>
      <c r="M93" s="518">
        <f>VLOOKUP($B93,Sources!$B$4:$K$104,10,FALSE)</f>
        <v>0</v>
      </c>
      <c r="N93" s="419">
        <f>IF($C$1=2014,'Portfolio Inputs'!$W92,IF($C$1=2015,'Portfolio Inputs'!$X92,'Portfolio Inputs'!$Y92))</f>
        <v>6000</v>
      </c>
      <c r="O93" s="419">
        <f>IF($C$1=2014,'Portfolio Inputs'!$AA92,IF($C$1=2015,'Portfolio Inputs'!$AB92,'Portfolio Inputs'!$AC92))</f>
        <v>0</v>
      </c>
      <c r="Q93" s="436">
        <f t="shared" si="115"/>
        <v>4.8739866220415591</v>
      </c>
      <c r="R93" s="437">
        <f t="shared" si="116"/>
        <v>16.363597752400864</v>
      </c>
      <c r="S93" s="437">
        <f t="shared" si="117"/>
        <v>6.0849894883324849</v>
      </c>
      <c r="T93" s="437">
        <f t="shared" si="118"/>
        <v>12.722740690450944</v>
      </c>
      <c r="U93" s="439">
        <f t="shared" si="127"/>
        <v>12.722740690450944</v>
      </c>
      <c r="V93" s="439">
        <f t="shared" si="119"/>
        <v>0.38309250660903049</v>
      </c>
      <c r="W93" s="439">
        <f t="shared" si="120"/>
        <v>0.38309250660903049</v>
      </c>
      <c r="Y93" s="215">
        <f t="shared" si="101"/>
        <v>82880.617738148663</v>
      </c>
      <c r="Z93" s="215">
        <f t="shared" si="102"/>
        <v>20592.724893204431</v>
      </c>
      <c r="AA93" s="215">
        <f t="shared" si="103"/>
        <v>211281.28668994567</v>
      </c>
      <c r="AB93" s="215">
        <f t="shared" si="104"/>
        <v>211281.28668994567</v>
      </c>
      <c r="AC93" s="216">
        <f t="shared" si="128"/>
        <v>0</v>
      </c>
      <c r="AD93" s="216">
        <f t="shared" si="129"/>
        <v>5064.9385906585512</v>
      </c>
      <c r="AE93" s="215">
        <f t="shared" si="105"/>
        <v>17004.687161704311</v>
      </c>
      <c r="AG93" s="214">
        <f>IF(AND(($E93+$C$1)&gt;AG$4,AG$4&gt;=$C$1),'General Inputs'!D$9*$H93,IF(AND(($D93+$C$1)&gt;AG$4,AG$4&gt;=$C$1),'General Inputs'!D$9*$G93,0))+IF(AND(($E93+$C$1)&gt;AG$4,AG$4&gt;=$C$1),'General Inputs'!D$10*$J93,IF(AND(($D93+$C$1)&gt;AG$4,AG$4&gt;=$C$1),'General Inputs'!D$10*$I93,0))</f>
        <v>0</v>
      </c>
      <c r="AH93" s="214">
        <f>IF(AND(($E93+$C$1)&gt;AH$4,AH$4&gt;=$C$1),'General Inputs'!E$9*$H93,IF(AND(($D93+$C$1)&gt;AH$4,AH$4&gt;=$C$1),'General Inputs'!E$9*$G93,0))+IF(AND(($E93+$C$1)&gt;AH$4,AH$4&gt;=$C$1),'General Inputs'!E$10*$J93,IF(AND(($D93+$C$1)&gt;AH$4,AH$4&gt;=$C$1),'General Inputs'!E$10*$I93,0))</f>
        <v>0</v>
      </c>
      <c r="AI93" s="214">
        <f>IF(AND(($E93+$C$1)&gt;AI$4,AI$4&gt;=$C$1),'General Inputs'!F$9*$H93,IF(AND(($D93+$C$1)&gt;AI$4,AI$4&gt;=$C$1),'General Inputs'!F$9*$G93,0))+IF(AND(($E93+$C$1)&gt;AI$4,AI$4&gt;=$C$1),'General Inputs'!F$10*$J93,IF(AND(($D93+$C$1)&gt;AI$4,AI$4&gt;=$C$1),'General Inputs'!F$10*$I93,0))</f>
        <v>10200.342549403569</v>
      </c>
      <c r="AJ93" s="214">
        <f>IF(AND(($E93+$C$1)&gt;AJ$4,AJ$4&gt;=$C$1),'General Inputs'!G$9*$H93,IF(AND(($D93+$C$1)&gt;AJ$4,AJ$4&gt;=$C$1),'General Inputs'!G$9*$G93,0))+IF(AND(($E93+$C$1)&gt;AJ$4,AJ$4&gt;=$C$1),'General Inputs'!G$10*$J93,IF(AND(($D93+$C$1)&gt;AJ$4,AJ$4&gt;=$C$1),'General Inputs'!G$10*$I93,0))</f>
        <v>10353.347687644624</v>
      </c>
      <c r="AK93" s="214">
        <f>IF(AND(($E93+$C$1)&gt;AK$4,AK$4&gt;=$C$1),'General Inputs'!H$9*$H93,IF(AND(($D93+$C$1)&gt;AK$4,AK$4&gt;=$C$1),'General Inputs'!H$9*$G93,0))+IF(AND(($E93+$C$1)&gt;AK$4,AK$4&gt;=$C$1),'General Inputs'!H$10*$J93,IF(AND(($D93+$C$1)&gt;AK$4,AK$4&gt;=$C$1),'General Inputs'!H$10*$I93,0))</f>
        <v>10508.64790295929</v>
      </c>
      <c r="AL93" s="214">
        <f>IF(AND(($E93+$C$1)&gt;AL$4,AL$4&gt;=$C$1),'General Inputs'!I$9*$H93,IF(AND(($D93+$C$1)&gt;AL$4,AL$4&gt;=$C$1),'General Inputs'!I$9*$G93,0))+IF(AND(($E93+$C$1)&gt;AL$4,AL$4&gt;=$C$1),'General Inputs'!I$10*$J93,IF(AND(($D93+$C$1)&gt;AL$4,AL$4&gt;=$C$1),'General Inputs'!I$10*$I93,0))</f>
        <v>10666.277621503677</v>
      </c>
      <c r="AM93" s="214">
        <f>IF(AND(($E93+$C$1)&gt;AM$4,AM$4&gt;=$C$1),'General Inputs'!J$9*$H93,IF(AND(($D93+$C$1)&gt;AM$4,AM$4&gt;=$C$1),'General Inputs'!J$9*$G93,0))+IF(AND(($E93+$C$1)&gt;AM$4,AM$4&gt;=$C$1),'General Inputs'!J$10*$J93,IF(AND(($D93+$C$1)&gt;AM$4,AM$4&gt;=$C$1),'General Inputs'!J$10*$I93,0))</f>
        <v>10826.271785826231</v>
      </c>
      <c r="AN93" s="214">
        <f>IF(AND(($E93+$C$1)&gt;AN$4,AN$4&gt;=$C$1),'General Inputs'!K$9*$H93,IF(AND(($D93+$C$1)&gt;AN$4,AN$4&gt;=$C$1),'General Inputs'!K$9*$G93,0))+IF(AND(($E93+$C$1)&gt;AN$4,AN$4&gt;=$C$1),'General Inputs'!K$10*$J93,IF(AND(($D93+$C$1)&gt;AN$4,AN$4&gt;=$C$1),'General Inputs'!K$10*$I93,0))</f>
        <v>10988.665862613623</v>
      </c>
      <c r="AO93" s="214">
        <f>IF(AND(($E93+$C$1)&gt;AO$4,AO$4&gt;=$C$1),'General Inputs'!L$9*$H93,IF(AND(($D93+$C$1)&gt;AO$4,AO$4&gt;=$C$1),'General Inputs'!L$9*$G93,0))+IF(AND(($E93+$C$1)&gt;AO$4,AO$4&gt;=$C$1),'General Inputs'!L$10*$J93,IF(AND(($D93+$C$1)&gt;AO$4,AO$4&gt;=$C$1),'General Inputs'!L$10*$I93,0))</f>
        <v>11153.495850552827</v>
      </c>
      <c r="AP93" s="214">
        <f>IF(AND(($E93+$C$1)&gt;AP$4,AP$4&gt;=$C$1),'General Inputs'!M$9*$H93,IF(AND(($D93+$C$1)&gt;AP$4,AP$4&gt;=$C$1),'General Inputs'!M$9*$G93,0))+IF(AND(($E93+$C$1)&gt;AP$4,AP$4&gt;=$C$1),'General Inputs'!M$10*$J93,IF(AND(($D93+$C$1)&gt;AP$4,AP$4&gt;=$C$1),'General Inputs'!M$10*$I93,0))</f>
        <v>11320.798288311116</v>
      </c>
      <c r="AQ93" s="214">
        <f>IF(AND(($E93+$C$1)&gt;AQ$4,AQ$4&gt;=$C$1),'General Inputs'!N$9*$H93,IF(AND(($D93+$C$1)&gt;AQ$4,AQ$4&gt;=$C$1),'General Inputs'!N$9*$G93,0))+IF(AND(($E93+$C$1)&gt;AQ$4,AQ$4&gt;=$C$1),'General Inputs'!N$10*$J93,IF(AND(($D93+$C$1)&gt;AQ$4,AQ$4&gt;=$C$1),'General Inputs'!N$10*$I93,0))</f>
        <v>11490.610262635782</v>
      </c>
      <c r="AR93" s="214">
        <f>IF(AND(($E93+$C$1)&gt;AR$4,AR$4&gt;=$C$1),'General Inputs'!O$9*$H93,IF(AND(($D93+$C$1)&gt;AR$4,AR$4&gt;=$C$1),'General Inputs'!O$9*$G93,0))+IF(AND(($E93+$C$1)&gt;AR$4,AR$4&gt;=$C$1),'General Inputs'!O$10*$J93,IF(AND(($D93+$C$1)&gt;AR$4,AR$4&gt;=$C$1),'General Inputs'!O$10*$I93,0))</f>
        <v>11662.969416575319</v>
      </c>
      <c r="AS93" s="214">
        <f>IF(AND(($E93+$C$1)&gt;AS$4,AS$4&gt;=$C$1),'General Inputs'!P$9*$H93,IF(AND(($D93+$C$1)&gt;AS$4,AS$4&gt;=$C$1),'General Inputs'!P$9*$G93,0))+IF(AND(($E93+$C$1)&gt;AS$4,AS$4&gt;=$C$1),'General Inputs'!P$10*$J93,IF(AND(($D93+$C$1)&gt;AS$4,AS$4&gt;=$C$1),'General Inputs'!P$10*$I93,0))</f>
        <v>11837.913957823948</v>
      </c>
      <c r="AT93" s="214">
        <f>IF(AND(($E93+$C$1)&gt;AT$4,AT$4&gt;=$C$1),'General Inputs'!Q$9*$H93,IF(AND(($D93+$C$1)&gt;AT$4,AT$4&gt;=$C$1),'General Inputs'!Q$9*$G93,0))+IF(AND(($E93+$C$1)&gt;AT$4,AT$4&gt;=$C$1),'General Inputs'!Q$10*$J93,IF(AND(($D93+$C$1)&gt;AT$4,AT$4&gt;=$C$1),'General Inputs'!Q$10*$I93,0))</f>
        <v>12015.482667191307</v>
      </c>
      <c r="AU93" s="214">
        <f>IF(AND(($E93+$C$1)&gt;AU$4,AU$4&gt;=$C$1),'General Inputs'!R$9*$H93,IF(AND(($D93+$C$1)&gt;AU$4,AU$4&gt;=$C$1),'General Inputs'!R$9*$G93,0))+IF(AND(($E93+$C$1)&gt;AU$4,AU$4&gt;=$C$1),'General Inputs'!R$10*$J93,IF(AND(($D93+$C$1)&gt;AU$4,AU$4&gt;=$C$1),'General Inputs'!R$10*$I93,0))</f>
        <v>12195.714907199175</v>
      </c>
      <c r="AV93" s="214">
        <f>IF(AND(($E93+$C$1)&gt;AV$4,AV$4&gt;=$C$1),'General Inputs'!S$9*$H93,IF(AND(($D93+$C$1)&gt;AV$4,AV$4&gt;=$C$1),'General Inputs'!S$9*$G93,0))+IF(AND(($E93+$C$1)&gt;AV$4,AV$4&gt;=$C$1),'General Inputs'!S$10*$J93,IF(AND(($D93+$C$1)&gt;AV$4,AV$4&gt;=$C$1),'General Inputs'!S$10*$I93,0))</f>
        <v>12378.650630807162</v>
      </c>
      <c r="AW93" s="214">
        <f>IF(AND(($E93+$C$1)&gt;AW$4,AW$4&gt;=$C$1),'General Inputs'!T$9*$H93,IF(AND(($D93+$C$1)&gt;AW$4,AW$4&gt;=$C$1),'General Inputs'!T$9*$G93,0))+IF(AND(($E93+$C$1)&gt;AW$4,AW$4&gt;=$C$1),'General Inputs'!T$10*$J93,IF(AND(($D93+$C$1)&gt;AW$4,AW$4&gt;=$C$1),'General Inputs'!T$10*$I93,0))</f>
        <v>12564.330390269268</v>
      </c>
      <c r="AX93" s="214">
        <f>IF(AND(($E93+$C$1)&gt;AX$4,AX$4&gt;=$C$1),'General Inputs'!U$9*$H93,IF(AND(($D93+$C$1)&gt;AX$4,AX$4&gt;=$C$1),'General Inputs'!U$9*$G93,0))+IF(AND(($E93+$C$1)&gt;AX$4,AX$4&gt;=$C$1),'General Inputs'!U$10*$J93,IF(AND(($D93+$C$1)&gt;AX$4,AX$4&gt;=$C$1),'General Inputs'!U$10*$I93,0))</f>
        <v>0</v>
      </c>
      <c r="AY93" s="214">
        <f>IF(AND(($E93+$C$1)&gt;AY$4,AY$4&gt;=$C$1),'General Inputs'!V$9*$H93,IF(AND(($D93+$C$1)&gt;AY$4,AY$4&gt;=$C$1),'General Inputs'!V$9*$G93,0))+IF(AND(($E93+$C$1)&gt;AY$4,AY$4&gt;=$C$1),'General Inputs'!V$10*$J93,IF(AND(($D93+$C$1)&gt;AY$4,AY$4&gt;=$C$1),'General Inputs'!V$10*$I93,0))</f>
        <v>0</v>
      </c>
      <c r="AZ93" s="214">
        <f>IF(AND(($E93+$C$1)&gt;AZ$4,AZ$4&gt;=$C$1),'General Inputs'!W$9*$H93,IF(AND(($D93+$C$1)&gt;AZ$4,AZ$4&gt;=$C$1),'General Inputs'!W$9*$G93,0))+IF(AND(($E93+$C$1)&gt;AZ$4,AZ$4&gt;=$C$1),'General Inputs'!W$10*$J93,IF(AND(($D93+$C$1)&gt;AZ$4,AZ$4&gt;=$C$1),'General Inputs'!W$10*$I93,0))</f>
        <v>0</v>
      </c>
      <c r="BB93" s="214">
        <f>IF(AND(($E93+$C$1)&gt;BB$4,BB$4&gt;=$C$1),'General Inputs'!D$11*$H93,IF(AND(($D93+$C$1)&gt;BB$4,BB$4&gt;=$C$1),'General Inputs'!D$11*$G93,0))</f>
        <v>0</v>
      </c>
      <c r="BC93" s="214">
        <f>IF(AND(($E93+$C$1)&gt;BC$4,BC$4&gt;=$C$1),'General Inputs'!E$11*$H93,IF(AND(($D93+$C$1)&gt;BC$4,BC$4&gt;=$C$1),'General Inputs'!E$11*$G93,0))</f>
        <v>0</v>
      </c>
      <c r="BD93" s="214">
        <f>IF(AND(($E93+$C$1)&gt;BD$4,BD$4&gt;=$C$1),'General Inputs'!F$11*$H93,IF(AND(($D93+$C$1)&gt;BD$4,BD$4&gt;=$C$1),'General Inputs'!F$11*$G93,0))</f>
        <v>2754.3370367999992</v>
      </c>
      <c r="BE93" s="214">
        <f>IF(AND(($E93+$C$1)&gt;BE$4,BE$4&gt;=$C$1),'General Inputs'!G$11*$H93,IF(AND(($D93+$C$1)&gt;BE$4,BE$4&gt;=$C$1),'General Inputs'!G$11*$G93,0))</f>
        <v>2754.3370367999992</v>
      </c>
      <c r="BF93" s="214">
        <f>IF(AND(($E93+$C$1)&gt;BF$4,BF$4&gt;=$C$1),'General Inputs'!H$11*$H93,IF(AND(($D93+$C$1)&gt;BF$4,BF$4&gt;=$C$1),'General Inputs'!H$11*$G93,0))</f>
        <v>2754.3370367999992</v>
      </c>
      <c r="BG93" s="214">
        <f>IF(AND(($E93+$C$1)&gt;BG$4,BG$4&gt;=$C$1),'General Inputs'!I$11*$H93,IF(AND(($D93+$C$1)&gt;BG$4,BG$4&gt;=$C$1),'General Inputs'!I$11*$G93,0))</f>
        <v>2754.3370367999992</v>
      </c>
      <c r="BH93" s="214">
        <f>IF(AND(($E93+$C$1)&gt;BH$4,BH$4&gt;=$C$1),'General Inputs'!J$11*$H93,IF(AND(($D93+$C$1)&gt;BH$4,BH$4&gt;=$C$1),'General Inputs'!J$11*$G93,0))</f>
        <v>2754.3370367999992</v>
      </c>
      <c r="BI93" s="214">
        <f>IF(AND(($E93+$C$1)&gt;BI$4,BI$4&gt;=$C$1),'General Inputs'!K$11*$H93,IF(AND(($D93+$C$1)&gt;BI$4,BI$4&gt;=$C$1),'General Inputs'!K$11*$G93,0))</f>
        <v>2754.3370367999992</v>
      </c>
      <c r="BJ93" s="214">
        <f>IF(AND(($E93+$C$1)&gt;BJ$4,BJ$4&gt;=$C$1),'General Inputs'!L$11*$H93,IF(AND(($D93+$C$1)&gt;BJ$4,BJ$4&gt;=$C$1),'General Inputs'!L$11*$G93,0))</f>
        <v>2754.3370367999992</v>
      </c>
      <c r="BK93" s="214">
        <f>IF(AND(($E93+$C$1)&gt;BK$4,BK$4&gt;=$C$1),'General Inputs'!M$11*$H93,IF(AND(($D93+$C$1)&gt;BK$4,BK$4&gt;=$C$1),'General Inputs'!M$11*$G93,0))</f>
        <v>2754.3370367999992</v>
      </c>
      <c r="BL93" s="214">
        <f>IF(AND(($E93+$C$1)&gt;BL$4,BL$4&gt;=$C$1),'General Inputs'!N$11*$H93,IF(AND(($D93+$C$1)&gt;BL$4,BL$4&gt;=$C$1),'General Inputs'!N$11*$G93,0))</f>
        <v>2754.3370367999992</v>
      </c>
      <c r="BM93" s="214">
        <f>IF(AND(($E93+$C$1)&gt;BM$4,BM$4&gt;=$C$1),'General Inputs'!O$11*$H93,IF(AND(($D93+$C$1)&gt;BM$4,BM$4&gt;=$C$1),'General Inputs'!O$11*$G93,0))</f>
        <v>2754.3370367999992</v>
      </c>
      <c r="BN93" s="214">
        <f>IF(AND(($E93+$C$1)&gt;BN$4,BN$4&gt;=$C$1),'General Inputs'!P$11*$H93,IF(AND(($D93+$C$1)&gt;BN$4,BN$4&gt;=$C$1),'General Inputs'!P$11*$G93,0))</f>
        <v>2754.3370367999992</v>
      </c>
      <c r="BO93" s="214">
        <f>IF(AND(($E93+$C$1)&gt;BO$4,BO$4&gt;=$C$1),'General Inputs'!Q$11*$H93,IF(AND(($D93+$C$1)&gt;BO$4,BO$4&gt;=$C$1),'General Inputs'!Q$11*$G93,0))</f>
        <v>2754.3370367999992</v>
      </c>
      <c r="BP93" s="214">
        <f>IF(AND(($E93+$C$1)&gt;BP$4,BP$4&gt;=$C$1),'General Inputs'!R$11*$H93,IF(AND(($D93+$C$1)&gt;BP$4,BP$4&gt;=$C$1),'General Inputs'!R$11*$G93,0))</f>
        <v>2754.3370367999992</v>
      </c>
      <c r="BQ93" s="214">
        <f>IF(AND(($E93+$C$1)&gt;BQ$4,BQ$4&gt;=$C$1),'General Inputs'!S$11*$H93,IF(AND(($D93+$C$1)&gt;BQ$4,BQ$4&gt;=$C$1),'General Inputs'!S$11*$G93,0))</f>
        <v>2754.3370367999992</v>
      </c>
      <c r="BR93" s="214">
        <f>IF(AND(($E93+$C$1)&gt;BR$4,BR$4&gt;=$C$1),'General Inputs'!T$11*$H93,IF(AND(($D93+$C$1)&gt;BR$4,BR$4&gt;=$C$1),'General Inputs'!T$11*$G93,0))</f>
        <v>2754.3370367999992</v>
      </c>
      <c r="BS93" s="214">
        <f>IF(AND(($E93+$C$1)&gt;BS$4,BS$4&gt;=$C$1),'General Inputs'!U$11*$H93,IF(AND(($D93+$C$1)&gt;BS$4,BS$4&gt;=$C$1),'General Inputs'!U$11*$G93,0))</f>
        <v>0</v>
      </c>
      <c r="BT93" s="214">
        <f>IF(AND(($E93+$C$1)&gt;BT$4,BT$4&gt;=$C$1),'General Inputs'!V$11*$H93,IF(AND(($D93+$C$1)&gt;BT$4,BT$4&gt;=$C$1),'General Inputs'!V$11*$G93,0))</f>
        <v>0</v>
      </c>
      <c r="BU93" s="214">
        <f>IF(AND(($E93+$C$1)&gt;BU$4,BU$4&gt;=$C$1),'General Inputs'!W$11*$H93,IF(AND(($D93+$C$1)&gt;BU$4,BU$4&gt;=$C$1),'General Inputs'!W$11*$G93,0))</f>
        <v>0</v>
      </c>
      <c r="BW93" s="214">
        <f>IF(AND(($E93+$C$1)&gt;BW$4,BW$4&gt;=$C$1),$H93,IF(AND(($D93+$C$1)&gt;BW$4,BW$4&gt;=$C$1),$G93,0))*IF($A93="Residential",'General Inputs'!D$14,'General Inputs'!D$19)</f>
        <v>0</v>
      </c>
      <c r="BX93" s="214">
        <f>IF(AND(($E93+$C$1)&gt;BX$4,BX$4&gt;=$C$1),$H93,IF(AND(($D93+$C$1)&gt;BX$4,BX$4&gt;=$C$1),$G93,0))*IF($A93="Residential",'General Inputs'!E$14,'General Inputs'!E$19)</f>
        <v>0</v>
      </c>
      <c r="BY93" s="214">
        <f>IF(AND(($E93+$C$1)&gt;BY$4,BY$4&gt;=$C$1),$H93,IF(AND(($D93+$C$1)&gt;BY$4,BY$4&gt;=$C$1),$G93,0))*IF($A93="Residential",'General Inputs'!F$14,'General Inputs'!F$19)</f>
        <v>26002.961335605592</v>
      </c>
      <c r="BZ93" s="214">
        <f>IF(AND(($E93+$C$1)&gt;BZ$4,BZ$4&gt;=$C$1),$H93,IF(AND(($D93+$C$1)&gt;BZ$4,BZ$4&gt;=$C$1),$G93,0))*IF($A93="Residential",'General Inputs'!G$14,'General Inputs'!G$19)</f>
        <v>26393.005755639675</v>
      </c>
      <c r="CA93" s="214">
        <f>IF(AND(($E93+$C$1)&gt;CA$4,CA$4&gt;=$C$1),$H93,IF(AND(($D93+$C$1)&gt;CA$4,CA$4&gt;=$C$1),$G93,0))*IF($A93="Residential",'General Inputs'!H$14,'General Inputs'!H$19)</f>
        <v>26788.900841974264</v>
      </c>
      <c r="CB93" s="214">
        <f>IF(AND(($E93+$C$1)&gt;CB$4,CB$4&gt;=$C$1),$H93,IF(AND(($D93+$C$1)&gt;CB$4,CB$4&gt;=$C$1),$G93,0))*IF($A93="Residential",'General Inputs'!I$14,'General Inputs'!I$19)</f>
        <v>27190.734354603872</v>
      </c>
      <c r="CC93" s="214">
        <f>IF(AND(($E93+$C$1)&gt;CC$4,CC$4&gt;=$C$1),$H93,IF(AND(($D93+$C$1)&gt;CC$4,CC$4&gt;=$C$1),$G93,0))*IF($A93="Residential",'General Inputs'!J$14,'General Inputs'!J$19)</f>
        <v>27598.595369922929</v>
      </c>
      <c r="CD93" s="214">
        <f>IF(AND(($E93+$C$1)&gt;CD$4,CD$4&gt;=$C$1),$H93,IF(AND(($D93+$C$1)&gt;CD$4,CD$4&gt;=$C$1),$G93,0))*IF($A93="Residential",'General Inputs'!K$14,'General Inputs'!K$19)</f>
        <v>28012.57430047177</v>
      </c>
      <c r="CE93" s="214">
        <f>IF(AND(($E93+$C$1)&gt;CE$4,CE$4&gt;=$C$1),$H93,IF(AND(($D93+$C$1)&gt;CE$4,CE$4&gt;=$C$1),$G93,0))*IF($A93="Residential",'General Inputs'!L$14,'General Inputs'!L$19)</f>
        <v>28432.762914978844</v>
      </c>
      <c r="CF93" s="214">
        <f>IF(AND(($E93+$C$1)&gt;CF$4,CF$4&gt;=$C$1),$H93,IF(AND(($D93+$C$1)&gt;CF$4,CF$4&gt;=$C$1),$G93,0))*IF($A93="Residential",'General Inputs'!M$14,'General Inputs'!M$19)</f>
        <v>28859.254358703525</v>
      </c>
      <c r="CG93" s="214">
        <f>IF(AND(($E93+$C$1)&gt;CG$4,CG$4&gt;=$C$1),$H93,IF(AND(($D93+$C$1)&gt;CG$4,CG$4&gt;=$C$1),$G93,0))*IF($A93="Residential",'General Inputs'!N$14,'General Inputs'!N$19)</f>
        <v>29292.143174084074</v>
      </c>
      <c r="CH93" s="214">
        <f>IF(AND(($E93+$C$1)&gt;CH$4,CH$4&gt;=$C$1),$H93,IF(AND(($D93+$C$1)&gt;CH$4,CH$4&gt;=$C$1),$G93,0))*IF($A93="Residential",'General Inputs'!O$14,'General Inputs'!O$19)</f>
        <v>29731.525321695332</v>
      </c>
      <c r="CI93" s="214">
        <f>IF(AND(($E93+$C$1)&gt;CI$4,CI$4&gt;=$C$1),$H93,IF(AND(($D93+$C$1)&gt;CI$4,CI$4&gt;=$C$1),$G93,0))*IF($A93="Residential",'General Inputs'!P$14,'General Inputs'!P$19)</f>
        <v>30177.498201520761</v>
      </c>
      <c r="CJ93" s="214">
        <f>IF(AND(($E93+$C$1)&gt;CJ$4,CJ$4&gt;=$C$1),$H93,IF(AND(($D93+$C$1)&gt;CJ$4,CJ$4&gt;=$C$1),$G93,0))*IF($A93="Residential",'General Inputs'!Q$14,'General Inputs'!Q$19)</f>
        <v>30630.160674543571</v>
      </c>
      <c r="CK93" s="214">
        <f>IF(AND(($E93+$C$1)&gt;CK$4,CK$4&gt;=$C$1),$H93,IF(AND(($D93+$C$1)&gt;CK$4,CK$4&gt;=$C$1),$G93,0))*IF($A93="Residential",'General Inputs'!R$14,'General Inputs'!R$19)</f>
        <v>31089.613084661716</v>
      </c>
      <c r="CL93" s="214">
        <f>IF(AND(($E93+$C$1)&gt;CL$4,CL$4&gt;=$C$1),$H93,IF(AND(($D93+$C$1)&gt;CL$4,CL$4&gt;=$C$1),$G93,0))*IF($A93="Residential",'General Inputs'!S$14,'General Inputs'!S$19)</f>
        <v>31555.957280931641</v>
      </c>
      <c r="CM93" s="214">
        <f>IF(AND(($E93+$C$1)&gt;CM$4,CM$4&gt;=$C$1),$H93,IF(AND(($D93+$C$1)&gt;CM$4,CM$4&gt;=$C$1),$G93,0))*IF($A93="Residential",'General Inputs'!T$14,'General Inputs'!T$19)</f>
        <v>32029.296640145614</v>
      </c>
      <c r="CN93" s="214">
        <f>IF(AND(($E93+$C$1)&gt;CN$4,CN$4&gt;=$C$1),$H93,IF(AND(($D93+$C$1)&gt;CN$4,CN$4&gt;=$C$1),$G93,0))*IF($A93="Residential",'General Inputs'!U$14,'General Inputs'!U$19)</f>
        <v>0</v>
      </c>
      <c r="CO93" s="214">
        <f>IF(AND(($E93+$C$1)&gt;CO$4,CO$4&gt;=$C$1),$H93,IF(AND(($D93+$C$1)&gt;CO$4,CO$4&gt;=$C$1),$G93,0))*IF($A93="Residential",'General Inputs'!V$14,'General Inputs'!V$19)</f>
        <v>0</v>
      </c>
      <c r="CP93" s="214">
        <f>IF(AND(($E93+$C$1)&gt;CP$4,CP$4&gt;=$C$1),$H93,IF(AND(($D93+$C$1)&gt;CP$4,CP$4&gt;=$C$1),$G93,0))*IF($A93="Residential",'General Inputs'!W$14,'General Inputs'!W$19)</f>
        <v>0</v>
      </c>
      <c r="CR93" s="214">
        <f>IF(AND(($E93+$C$1)&gt;CR$4,CR$4&gt;=$C$1),$H93,IF(AND(($D93+$C$1)&gt;CR$4,CR$4&gt;=$C$1),$G93,0))*IF($A93="Residential",'General Inputs'!D$15,'General Inputs'!D$19)</f>
        <v>0</v>
      </c>
      <c r="CS93" s="214">
        <f>IF(AND(($E93+$C$1)&gt;CS$4,CS$4&gt;=$C$1),$H93,IF(AND(($D93+$C$1)&gt;CS$4,CS$4&gt;=$C$1),$G93,0))*IF($A93="Residential",'General Inputs'!E$15,'General Inputs'!E$19)</f>
        <v>0</v>
      </c>
      <c r="CT93" s="214">
        <f>IF(AND(($E93+$C$1)&gt;CT$4,CT$4&gt;=$C$1),$H93,IF(AND(($D93+$C$1)&gt;CT$4,CT$4&gt;=$C$1),$G93,0))*IF($A93="Residential",'General Inputs'!F$15,'General Inputs'!F$19)</f>
        <v>26002.961335605592</v>
      </c>
      <c r="CU93" s="214">
        <f>IF(AND(($E93+$C$1)&gt;CU$4,CU$4&gt;=$C$1),$H93,IF(AND(($D93+$C$1)&gt;CU$4,CU$4&gt;=$C$1),$G93,0))*IF($A93="Residential",'General Inputs'!G$15,'General Inputs'!G$19)</f>
        <v>26393.005755639675</v>
      </c>
      <c r="CV93" s="214">
        <f>IF(AND(($E93+$C$1)&gt;CV$4,CV$4&gt;=$C$1),$H93,IF(AND(($D93+$C$1)&gt;CV$4,CV$4&gt;=$C$1),$G93,0))*IF($A93="Residential",'General Inputs'!H$15,'General Inputs'!H$19)</f>
        <v>26788.900841974264</v>
      </c>
      <c r="CW93" s="214">
        <f>IF(AND(($E93+$C$1)&gt;CW$4,CW$4&gt;=$C$1),$H93,IF(AND(($D93+$C$1)&gt;CW$4,CW$4&gt;=$C$1),$G93,0))*IF($A93="Residential",'General Inputs'!I$15,'General Inputs'!I$19)</f>
        <v>27190.734354603872</v>
      </c>
      <c r="CX93" s="214">
        <f>IF(AND(($E93+$C$1)&gt;CX$4,CX$4&gt;=$C$1),$H93,IF(AND(($D93+$C$1)&gt;CX$4,CX$4&gt;=$C$1),$G93,0))*IF($A93="Residential",'General Inputs'!J$15,'General Inputs'!J$19)</f>
        <v>27598.595369922929</v>
      </c>
      <c r="CY93" s="214">
        <f>IF(AND(($E93+$C$1)&gt;CY$4,CY$4&gt;=$C$1),$H93,IF(AND(($D93+$C$1)&gt;CY$4,CY$4&gt;=$C$1),$G93,0))*IF($A93="Residential",'General Inputs'!K$15,'General Inputs'!K$19)</f>
        <v>28012.57430047177</v>
      </c>
      <c r="CZ93" s="214">
        <f>IF(AND(($E93+$C$1)&gt;CZ$4,CZ$4&gt;=$C$1),$H93,IF(AND(($D93+$C$1)&gt;CZ$4,CZ$4&gt;=$C$1),$G93,0))*IF($A93="Residential",'General Inputs'!L$15,'General Inputs'!L$19)</f>
        <v>28432.762914978844</v>
      </c>
      <c r="DA93" s="214">
        <f>IF(AND(($E93+$C$1)&gt;DA$4,DA$4&gt;=$C$1),$H93,IF(AND(($D93+$C$1)&gt;DA$4,DA$4&gt;=$C$1),$G93,0))*IF($A93="Residential",'General Inputs'!M$15,'General Inputs'!M$19)</f>
        <v>28859.254358703525</v>
      </c>
      <c r="DB93" s="214">
        <f>IF(AND(($E93+$C$1)&gt;DB$4,DB$4&gt;=$C$1),$H93,IF(AND(($D93+$C$1)&gt;DB$4,DB$4&gt;=$C$1),$G93,0))*IF($A93="Residential",'General Inputs'!N$15,'General Inputs'!N$19)</f>
        <v>29292.143174084074</v>
      </c>
      <c r="DC93" s="214">
        <f>IF(AND(($E93+$C$1)&gt;DC$4,DC$4&gt;=$C$1),$H93,IF(AND(($D93+$C$1)&gt;DC$4,DC$4&gt;=$C$1),$G93,0))*IF($A93="Residential",'General Inputs'!O$15,'General Inputs'!O$19)</f>
        <v>29731.525321695332</v>
      </c>
      <c r="DD93" s="214">
        <f>IF(AND(($E93+$C$1)&gt;DD$4,DD$4&gt;=$C$1),$H93,IF(AND(($D93+$C$1)&gt;DD$4,DD$4&gt;=$C$1),$G93,0))*IF($A93="Residential",'General Inputs'!P$15,'General Inputs'!P$19)</f>
        <v>30177.498201520761</v>
      </c>
      <c r="DE93" s="214">
        <f>IF(AND(($E93+$C$1)&gt;DE$4,DE$4&gt;=$C$1),$H93,IF(AND(($D93+$C$1)&gt;DE$4,DE$4&gt;=$C$1),$G93,0))*IF($A93="Residential",'General Inputs'!Q$15,'General Inputs'!Q$19)</f>
        <v>30630.160674543571</v>
      </c>
      <c r="DF93" s="214">
        <f>IF(AND(($E93+$C$1)&gt;DF$4,DF$4&gt;=$C$1),$H93,IF(AND(($D93+$C$1)&gt;DF$4,DF$4&gt;=$C$1),$G93,0))*IF($A93="Residential",'General Inputs'!R$15,'General Inputs'!R$19)</f>
        <v>31089.613084661716</v>
      </c>
      <c r="DG93" s="214">
        <f>IF(AND(($E93+$C$1)&gt;DG$4,DG$4&gt;=$C$1),$H93,IF(AND(($D93+$C$1)&gt;DG$4,DG$4&gt;=$C$1),$G93,0))*IF($A93="Residential",'General Inputs'!S$15,'General Inputs'!S$19)</f>
        <v>31555.957280931641</v>
      </c>
      <c r="DH93" s="214">
        <f>IF(AND(($E93+$C$1)&gt;DH$4,DH$4&gt;=$C$1),$H93,IF(AND(($D93+$C$1)&gt;DH$4,DH$4&gt;=$C$1),$G93,0))*IF($A93="Residential",'General Inputs'!T$15,'General Inputs'!T$19)</f>
        <v>32029.296640145614</v>
      </c>
      <c r="DI93" s="214">
        <f>IF(AND(($E93+$C$1)&gt;DI$4,DI$4&gt;=$C$1),$H93,IF(AND(($D93+$C$1)&gt;DI$4,DI$4&gt;=$C$1),$G93,0))*IF($A93="Residential",'General Inputs'!U$15,'General Inputs'!U$19)</f>
        <v>0</v>
      </c>
      <c r="DJ93" s="214">
        <f>IF(AND(($E93+$C$1)&gt;DJ$4,DJ$4&gt;=$C$1),$H93,IF(AND(($D93+$C$1)&gt;DJ$4,DJ$4&gt;=$C$1),$G93,0))*IF($A93="Residential",'General Inputs'!V$15,'General Inputs'!V$19)</f>
        <v>0</v>
      </c>
      <c r="DK93" s="214">
        <f>IF(AND(($E93+$C$1)&gt;DK$4,DK$4&gt;=$C$1),$H93,IF(AND(($D93+$C$1)&gt;DK$4,DK$4&gt;=$C$1),$G93,0))*IF($A93="Residential",'General Inputs'!W$15,'General Inputs'!W$19)</f>
        <v>0</v>
      </c>
      <c r="DM93" s="214">
        <f t="shared" si="130"/>
        <v>0</v>
      </c>
      <c r="DN93" s="214">
        <f t="shared" si="130"/>
        <v>0</v>
      </c>
      <c r="DO93" s="214">
        <f t="shared" si="130"/>
        <v>20144</v>
      </c>
      <c r="DP93" s="214">
        <f t="shared" si="130"/>
        <v>0</v>
      </c>
      <c r="DQ93" s="214">
        <f t="shared" si="130"/>
        <v>0</v>
      </c>
      <c r="DR93" s="214">
        <f t="shared" si="130"/>
        <v>0</v>
      </c>
      <c r="DS93" s="214">
        <f t="shared" si="130"/>
        <v>0</v>
      </c>
      <c r="DT93" s="214">
        <f t="shared" si="130"/>
        <v>0</v>
      </c>
      <c r="DU93" s="214">
        <f t="shared" si="130"/>
        <v>0</v>
      </c>
      <c r="DV93" s="214">
        <f t="shared" si="130"/>
        <v>0</v>
      </c>
      <c r="DW93" s="214">
        <f t="shared" si="130"/>
        <v>0</v>
      </c>
      <c r="DZ93" s="650"/>
      <c r="FI93" s="195"/>
      <c r="FJ93" s="195"/>
      <c r="FK93" s="195"/>
      <c r="FL93" s="195"/>
      <c r="FM93" s="195"/>
      <c r="FN93" s="195"/>
      <c r="FO93" s="195"/>
    </row>
    <row r="94" spans="1:171" s="449" customFormat="1">
      <c r="A94" s="435" t="s">
        <v>112</v>
      </c>
      <c r="B94" s="428" t="str">
        <f>'Portfolio Inputs'!A93</f>
        <v>Motors</v>
      </c>
      <c r="C94" s="454">
        <f>IF($C$1=2014,'Portfolio Inputs'!$C93,IF($C$1=2015,'Portfolio Inputs'!$D93,'Portfolio Inputs'!$E93))</f>
        <v>28</v>
      </c>
      <c r="D94" s="505"/>
      <c r="E94" s="505"/>
      <c r="F94" s="2"/>
      <c r="G94" s="515">
        <f t="shared" ref="G94:I94" si="131">SUM(G95:G96)</f>
        <v>8837.8231265508275</v>
      </c>
      <c r="H94" s="515"/>
      <c r="I94" s="512">
        <f t="shared" si="131"/>
        <v>2.008596165125188</v>
      </c>
      <c r="J94" s="512"/>
      <c r="K94" s="2"/>
      <c r="L94" s="455"/>
      <c r="M94" s="455"/>
      <c r="N94" s="455">
        <f>IF($C$1=2014,'Portfolio Inputs'!$W93,IF($C$1=2015,'Portfolio Inputs'!$X93,'Portfolio Inputs'!$Y93))</f>
        <v>1400</v>
      </c>
      <c r="O94" s="455">
        <f>IF($C$1=2014,'Portfolio Inputs'!$AA93,IF($C$1=2015,'Portfolio Inputs'!$AB93,'Portfolio Inputs'!$AC93))</f>
        <v>0</v>
      </c>
      <c r="P94" s="16"/>
      <c r="Q94" s="433">
        <f t="shared" si="115"/>
        <v>1.1761858597803261</v>
      </c>
      <c r="R94" s="434">
        <f t="shared" si="116"/>
        <v>2.7052274774947498</v>
      </c>
      <c r="S94" s="434">
        <f t="shared" si="117"/>
        <v>1.4533059981311147</v>
      </c>
      <c r="T94" s="434">
        <f t="shared" si="118"/>
        <v>3.2780342765587949</v>
      </c>
      <c r="U94" s="434">
        <f>IF(AE94&gt;0,(AD94+AB94)/AE94,"n/a")</f>
        <v>3.2780342765587949</v>
      </c>
      <c r="V94" s="523">
        <f t="shared" si="119"/>
        <v>0.3588082858654727</v>
      </c>
      <c r="W94" s="523">
        <f t="shared" si="120"/>
        <v>0.3588082858654727</v>
      </c>
      <c r="X94" s="16"/>
      <c r="Y94" s="447">
        <f t="shared" si="101"/>
        <v>3197.0892443637108</v>
      </c>
      <c r="Z94" s="447">
        <f t="shared" si="102"/>
        <v>753.26344586676294</v>
      </c>
      <c r="AA94" s="447">
        <f t="shared" si="103"/>
        <v>7728.4803679260176</v>
      </c>
      <c r="AB94" s="447">
        <f t="shared" si="104"/>
        <v>7728.4803679260176</v>
      </c>
      <c r="AC94" s="448">
        <f t="shared" si="128"/>
        <v>0</v>
      </c>
      <c r="AD94" s="448">
        <f t="shared" si="129"/>
        <v>1181.8190044869953</v>
      </c>
      <c r="AE94" s="525">
        <f t="shared" si="105"/>
        <v>2718.1837103200892</v>
      </c>
      <c r="AF94" s="16"/>
      <c r="AG94" s="432">
        <f>SUM(AG95:AG96)</f>
        <v>0</v>
      </c>
      <c r="AH94" s="432">
        <f t="shared" ref="AH94:AZ94" si="132">SUM(AH95:AH96)</f>
        <v>0</v>
      </c>
      <c r="AI94" s="432">
        <f t="shared" si="132"/>
        <v>393.47444967839738</v>
      </c>
      <c r="AJ94" s="432">
        <f t="shared" si="132"/>
        <v>399.37656642357331</v>
      </c>
      <c r="AK94" s="432">
        <f t="shared" si="132"/>
        <v>405.36721491992688</v>
      </c>
      <c r="AL94" s="432">
        <f t="shared" si="132"/>
        <v>411.44772314372568</v>
      </c>
      <c r="AM94" s="432">
        <f t="shared" si="132"/>
        <v>417.61943899088158</v>
      </c>
      <c r="AN94" s="432">
        <f t="shared" si="132"/>
        <v>423.88373057574472</v>
      </c>
      <c r="AO94" s="432">
        <f t="shared" si="132"/>
        <v>430.24198653438089</v>
      </c>
      <c r="AP94" s="432">
        <f t="shared" si="132"/>
        <v>436.69561633239653</v>
      </c>
      <c r="AQ94" s="432">
        <f t="shared" si="132"/>
        <v>443.24605057738245</v>
      </c>
      <c r="AR94" s="432">
        <f t="shared" si="132"/>
        <v>449.89474133604313</v>
      </c>
      <c r="AS94" s="432">
        <f t="shared" si="132"/>
        <v>456.6431624560837</v>
      </c>
      <c r="AT94" s="432">
        <f t="shared" si="132"/>
        <v>463.49280989292492</v>
      </c>
      <c r="AU94" s="432">
        <f t="shared" si="132"/>
        <v>470.44520204131879</v>
      </c>
      <c r="AV94" s="432">
        <f t="shared" si="132"/>
        <v>477.50188007193844</v>
      </c>
      <c r="AW94" s="432">
        <f t="shared" si="132"/>
        <v>484.66440827301756</v>
      </c>
      <c r="AX94" s="432">
        <f t="shared" si="132"/>
        <v>0</v>
      </c>
      <c r="AY94" s="432">
        <f t="shared" si="132"/>
        <v>0</v>
      </c>
      <c r="AZ94" s="432">
        <f t="shared" si="132"/>
        <v>0</v>
      </c>
      <c r="BA94" s="16"/>
      <c r="BB94" s="432">
        <f>SUM(BB95:BB96)</f>
        <v>0</v>
      </c>
      <c r="BC94" s="432">
        <f t="shared" ref="BC94:BU94" si="133">SUM(BC95:BC96)</f>
        <v>0</v>
      </c>
      <c r="BD94" s="432">
        <f t="shared" si="133"/>
        <v>100.75118364267945</v>
      </c>
      <c r="BE94" s="432">
        <f t="shared" si="133"/>
        <v>100.75118364267945</v>
      </c>
      <c r="BF94" s="432">
        <f t="shared" si="133"/>
        <v>100.75118364267945</v>
      </c>
      <c r="BG94" s="432">
        <f t="shared" si="133"/>
        <v>100.75118364267945</v>
      </c>
      <c r="BH94" s="432">
        <f t="shared" si="133"/>
        <v>100.75118364267945</v>
      </c>
      <c r="BI94" s="432">
        <f t="shared" si="133"/>
        <v>100.75118364267945</v>
      </c>
      <c r="BJ94" s="432">
        <f t="shared" si="133"/>
        <v>100.75118364267945</v>
      </c>
      <c r="BK94" s="432">
        <f t="shared" si="133"/>
        <v>100.75118364267945</v>
      </c>
      <c r="BL94" s="432">
        <f t="shared" si="133"/>
        <v>100.75118364267945</v>
      </c>
      <c r="BM94" s="432">
        <f t="shared" si="133"/>
        <v>100.75118364267945</v>
      </c>
      <c r="BN94" s="432">
        <f t="shared" si="133"/>
        <v>100.75118364267945</v>
      </c>
      <c r="BO94" s="432">
        <f t="shared" si="133"/>
        <v>100.75118364267945</v>
      </c>
      <c r="BP94" s="432">
        <f t="shared" si="133"/>
        <v>100.75118364267945</v>
      </c>
      <c r="BQ94" s="432">
        <f t="shared" si="133"/>
        <v>100.75118364267945</v>
      </c>
      <c r="BR94" s="432">
        <f t="shared" si="133"/>
        <v>100.75118364267945</v>
      </c>
      <c r="BS94" s="432">
        <f t="shared" si="133"/>
        <v>0</v>
      </c>
      <c r="BT94" s="432">
        <f t="shared" si="133"/>
        <v>0</v>
      </c>
      <c r="BU94" s="432">
        <f t="shared" si="133"/>
        <v>0</v>
      </c>
      <c r="BV94" s="16"/>
      <c r="BW94" s="432">
        <f>SUM(BW95:BW96)</f>
        <v>0</v>
      </c>
      <c r="BX94" s="432">
        <f t="shared" ref="BX94:CP94" si="134">SUM(BX95:BX96)</f>
        <v>0</v>
      </c>
      <c r="BY94" s="432">
        <f t="shared" si="134"/>
        <v>951.16505270568518</v>
      </c>
      <c r="BZ94" s="432">
        <f t="shared" si="134"/>
        <v>965.43252849627038</v>
      </c>
      <c r="CA94" s="432">
        <f t="shared" si="134"/>
        <v>979.9140164237142</v>
      </c>
      <c r="CB94" s="432">
        <f t="shared" si="134"/>
        <v>994.61272667006983</v>
      </c>
      <c r="CC94" s="432">
        <f t="shared" si="134"/>
        <v>1009.5319175701209</v>
      </c>
      <c r="CD94" s="432">
        <f t="shared" si="134"/>
        <v>1024.6748963336725</v>
      </c>
      <c r="CE94" s="432">
        <f t="shared" si="134"/>
        <v>1040.0450197786774</v>
      </c>
      <c r="CF94" s="432">
        <f t="shared" si="134"/>
        <v>1055.6456950753575</v>
      </c>
      <c r="CG94" s="432">
        <f t="shared" si="134"/>
        <v>1071.4803805014878</v>
      </c>
      <c r="CH94" s="432">
        <f t="shared" si="134"/>
        <v>1087.5525862090099</v>
      </c>
      <c r="CI94" s="432">
        <f t="shared" si="134"/>
        <v>1103.865875002145</v>
      </c>
      <c r="CJ94" s="432">
        <f t="shared" si="134"/>
        <v>1120.4238631271771</v>
      </c>
      <c r="CK94" s="432">
        <f t="shared" si="134"/>
        <v>1137.2302210740845</v>
      </c>
      <c r="CL94" s="432">
        <f t="shared" si="134"/>
        <v>1154.2886743901959</v>
      </c>
      <c r="CM94" s="432">
        <f t="shared" si="134"/>
        <v>1171.6030045060488</v>
      </c>
      <c r="CN94" s="432">
        <f t="shared" si="134"/>
        <v>0</v>
      </c>
      <c r="CO94" s="432">
        <f t="shared" si="134"/>
        <v>0</v>
      </c>
      <c r="CP94" s="432">
        <f t="shared" si="134"/>
        <v>0</v>
      </c>
      <c r="CQ94" s="16"/>
      <c r="CR94" s="432">
        <f>SUM(CR95:CR96)</f>
        <v>0</v>
      </c>
      <c r="CS94" s="432">
        <f t="shared" ref="CS94:DK94" si="135">SUM(CS95:CS96)</f>
        <v>0</v>
      </c>
      <c r="CT94" s="432">
        <f t="shared" si="135"/>
        <v>951.16505270568518</v>
      </c>
      <c r="CU94" s="432">
        <f t="shared" si="135"/>
        <v>965.43252849627038</v>
      </c>
      <c r="CV94" s="432">
        <f t="shared" si="135"/>
        <v>979.9140164237142</v>
      </c>
      <c r="CW94" s="432">
        <f t="shared" si="135"/>
        <v>994.61272667006983</v>
      </c>
      <c r="CX94" s="432">
        <f t="shared" si="135"/>
        <v>1009.5319175701209</v>
      </c>
      <c r="CY94" s="432">
        <f t="shared" si="135"/>
        <v>1024.6748963336725</v>
      </c>
      <c r="CZ94" s="432">
        <f t="shared" si="135"/>
        <v>1040.0450197786774</v>
      </c>
      <c r="DA94" s="432">
        <f t="shared" si="135"/>
        <v>1055.6456950753575</v>
      </c>
      <c r="DB94" s="432">
        <f t="shared" si="135"/>
        <v>1071.4803805014878</v>
      </c>
      <c r="DC94" s="432">
        <f t="shared" si="135"/>
        <v>1087.5525862090099</v>
      </c>
      <c r="DD94" s="432">
        <f t="shared" si="135"/>
        <v>1103.865875002145</v>
      </c>
      <c r="DE94" s="432">
        <f t="shared" si="135"/>
        <v>1120.4238631271771</v>
      </c>
      <c r="DF94" s="432">
        <f t="shared" si="135"/>
        <v>1137.2302210740845</v>
      </c>
      <c r="DG94" s="432">
        <f t="shared" si="135"/>
        <v>1154.2886743901959</v>
      </c>
      <c r="DH94" s="432">
        <f t="shared" si="135"/>
        <v>1171.6030045060488</v>
      </c>
      <c r="DI94" s="432">
        <f t="shared" si="135"/>
        <v>0</v>
      </c>
      <c r="DJ94" s="432">
        <f t="shared" si="135"/>
        <v>0</v>
      </c>
      <c r="DK94" s="432">
        <f t="shared" si="135"/>
        <v>0</v>
      </c>
      <c r="DL94" s="16"/>
      <c r="DM94" s="432">
        <f t="shared" ref="DM94:DW94" si="136">SUM(DM95:DM96)</f>
        <v>0</v>
      </c>
      <c r="DN94" s="432">
        <f t="shared" si="136"/>
        <v>0</v>
      </c>
      <c r="DO94" s="432">
        <f t="shared" si="136"/>
        <v>3220</v>
      </c>
      <c r="DP94" s="432">
        <f t="shared" si="136"/>
        <v>0</v>
      </c>
      <c r="DQ94" s="432">
        <f t="shared" si="136"/>
        <v>0</v>
      </c>
      <c r="DR94" s="432">
        <f t="shared" si="136"/>
        <v>0</v>
      </c>
      <c r="DS94" s="432">
        <f t="shared" si="136"/>
        <v>0</v>
      </c>
      <c r="DT94" s="432">
        <f t="shared" si="136"/>
        <v>0</v>
      </c>
      <c r="DU94" s="432">
        <f t="shared" si="136"/>
        <v>0</v>
      </c>
      <c r="DV94" s="432">
        <f t="shared" si="136"/>
        <v>0</v>
      </c>
      <c r="DW94" s="432">
        <f t="shared" si="136"/>
        <v>0</v>
      </c>
      <c r="DX94" s="16"/>
      <c r="DY94" s="16"/>
      <c r="DZ94" s="650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</row>
    <row r="95" spans="1:171">
      <c r="A95" s="342" t="s">
        <v>112</v>
      </c>
      <c r="B95" s="427" t="str">
        <f>'Portfolio Inputs'!A94</f>
        <v>ODC Motor</v>
      </c>
      <c r="C95" s="217">
        <f>IF($C$1=2014,'Portfolio Inputs'!$C94,IF($C$1=2015,'Portfolio Inputs'!$D94,'Portfolio Inputs'!$E94))</f>
        <v>14</v>
      </c>
      <c r="D95" s="504">
        <f>VLOOKUP(B95,Sources!$B$4:$J$104,2,FALSE)</f>
        <v>15</v>
      </c>
      <c r="E95" s="504">
        <f>VLOOKUP(B95,Sources!$B$4:$J$104,3,FALSE)</f>
        <v>0</v>
      </c>
      <c r="G95" s="504">
        <f>IF($C$1=2014,'Portfolio Inputs'!$G94,IF($C$1=2015,'Portfolio Inputs'!$H94,'Portfolio Inputs'!$I94))*EnergyLineLoss</f>
        <v>5184.8562342431624</v>
      </c>
      <c r="H95" s="504"/>
      <c r="I95" s="595">
        <f>IF($C$1=2014,'Portfolio Inputs'!$K94,IF($C$1=2015,'Portfolio Inputs'!$L94,'Portfolio Inputs'!$M94))*PeakLineLoss</f>
        <v>1.1783764168734461</v>
      </c>
      <c r="J95" s="510"/>
      <c r="L95" s="606">
        <f>IF($C$1=2014,'Portfolio Inputs'!$O94,IF($C$1=2015,'Portfolio Inputs'!$P94,'Portfolio Inputs'!$Q94))</f>
        <v>115</v>
      </c>
      <c r="M95" s="518">
        <f>VLOOKUP($B95,Sources!$B$4:$K$104,10,FALSE)</f>
        <v>0</v>
      </c>
      <c r="N95" s="419">
        <f>IF($C$1=2014,'Portfolio Inputs'!$W94,IF($C$1=2015,'Portfolio Inputs'!$X94,'Portfolio Inputs'!$Y94))</f>
        <v>700</v>
      </c>
      <c r="O95" s="419">
        <f>IF($C$1=2014,'Portfolio Inputs'!$AA94,IF($C$1=2015,'Portfolio Inputs'!$AB94,'Portfolio Inputs'!$AC94))</f>
        <v>0</v>
      </c>
      <c r="Q95" s="436">
        <f t="shared" si="115"/>
        <v>1.3800580754755851</v>
      </c>
      <c r="R95" s="437">
        <f t="shared" si="116"/>
        <v>3.1741335735938456</v>
      </c>
      <c r="S95" s="437">
        <f t="shared" si="117"/>
        <v>1.7052123711405109</v>
      </c>
      <c r="T95" s="437">
        <f t="shared" si="118"/>
        <v>3.7708645656550792</v>
      </c>
      <c r="U95" s="439">
        <f t="shared" ref="U95:U96" si="137">IF(AE95&gt;0,(AD95+AB95)/AE95,"n/a")</f>
        <v>3.7708645656550792</v>
      </c>
      <c r="V95" s="439">
        <f t="shared" si="119"/>
        <v>0.36597922079862333</v>
      </c>
      <c r="W95" s="439">
        <f t="shared" si="120"/>
        <v>0.36597922079862333</v>
      </c>
      <c r="Y95" s="215">
        <f t="shared" si="101"/>
        <v>1875.6256900267138</v>
      </c>
      <c r="Z95" s="215">
        <f t="shared" si="102"/>
        <v>441.9145549085016</v>
      </c>
      <c r="AA95" s="215">
        <f t="shared" si="103"/>
        <v>4534.0418158499397</v>
      </c>
      <c r="AB95" s="215">
        <f t="shared" si="104"/>
        <v>4534.0418158499397</v>
      </c>
      <c r="AC95" s="216">
        <f t="shared" si="128"/>
        <v>0</v>
      </c>
      <c r="AD95" s="216">
        <f t="shared" si="129"/>
        <v>590.90950224349763</v>
      </c>
      <c r="AE95" s="215">
        <f t="shared" si="105"/>
        <v>1359.0918551600446</v>
      </c>
      <c r="AG95" s="214">
        <f>IF(AND(($E95+$C$1)&gt;AG$4,AG$4&gt;=$C$1),'General Inputs'!D$9*$H95,IF(AND(($D95+$C$1)&gt;AG$4,AG$4&gt;=$C$1),'General Inputs'!D$9*$G95,0))+IF(AND(($E95+$C$1)&gt;AG$4,AG$4&gt;=$C$1),'General Inputs'!D$10*$J95,IF(AND(($D95+$C$1)&gt;AG$4,AG$4&gt;=$C$1),'General Inputs'!D$10*$I95,0))</f>
        <v>0</v>
      </c>
      <c r="AH95" s="214">
        <f>IF(AND(($E95+$C$1)&gt;AH$4,AH$4&gt;=$C$1),'General Inputs'!E$9*$H95,IF(AND(($D95+$C$1)&gt;AH$4,AH$4&gt;=$C$1),'General Inputs'!E$9*$G95,0))+IF(AND(($E95+$C$1)&gt;AH$4,AH$4&gt;=$C$1),'General Inputs'!E$10*$J95,IF(AND(($D95+$C$1)&gt;AH$4,AH$4&gt;=$C$1),'General Inputs'!E$10*$I95,0))</f>
        <v>0</v>
      </c>
      <c r="AI95" s="214">
        <f>IF(AND(($E95+$C$1)&gt;AI$4,AI$4&gt;=$C$1),'General Inputs'!F$9*$H95,IF(AND(($D95+$C$1)&gt;AI$4,AI$4&gt;=$C$1),'General Inputs'!F$9*$G95,0))+IF(AND(($E95+$C$1)&gt;AI$4,AI$4&gt;=$C$1),'General Inputs'!F$10*$J95,IF(AND(($D95+$C$1)&gt;AI$4,AI$4&gt;=$C$1),'General Inputs'!F$10*$I95,0))</f>
        <v>230.83834381132692</v>
      </c>
      <c r="AJ95" s="214">
        <f>IF(AND(($E95+$C$1)&gt;AJ$4,AJ$4&gt;=$C$1),'General Inputs'!G$9*$H95,IF(AND(($D95+$C$1)&gt;AJ$4,AJ$4&gt;=$C$1),'General Inputs'!G$9*$G95,0))+IF(AND(($E95+$C$1)&gt;AJ$4,AJ$4&gt;=$C$1),'General Inputs'!G$10*$J95,IF(AND(($D95+$C$1)&gt;AJ$4,AJ$4&gt;=$C$1),'General Inputs'!G$10*$I95,0))</f>
        <v>234.3009189684968</v>
      </c>
      <c r="AK95" s="214">
        <f>IF(AND(($E95+$C$1)&gt;AK$4,AK$4&gt;=$C$1),'General Inputs'!H$9*$H95,IF(AND(($D95+$C$1)&gt;AK$4,AK$4&gt;=$C$1),'General Inputs'!H$9*$G95,0))+IF(AND(($E95+$C$1)&gt;AK$4,AK$4&gt;=$C$1),'General Inputs'!H$10*$J95,IF(AND(($D95+$C$1)&gt;AK$4,AK$4&gt;=$C$1),'General Inputs'!H$10*$I95,0))</f>
        <v>237.81543275302423</v>
      </c>
      <c r="AL95" s="214">
        <f>IF(AND(($E95+$C$1)&gt;AL$4,AL$4&gt;=$C$1),'General Inputs'!I$9*$H95,IF(AND(($D95+$C$1)&gt;AL$4,AL$4&gt;=$C$1),'General Inputs'!I$9*$G95,0))+IF(AND(($E95+$C$1)&gt;AL$4,AL$4&gt;=$C$1),'General Inputs'!I$10*$J95,IF(AND(($D95+$C$1)&gt;AL$4,AL$4&gt;=$C$1),'General Inputs'!I$10*$I95,0))</f>
        <v>241.38266424431953</v>
      </c>
      <c r="AM95" s="214">
        <f>IF(AND(($E95+$C$1)&gt;AM$4,AM$4&gt;=$C$1),'General Inputs'!J$9*$H95,IF(AND(($D95+$C$1)&gt;AM$4,AM$4&gt;=$C$1),'General Inputs'!J$9*$G95,0))+IF(AND(($E95+$C$1)&gt;AM$4,AM$4&gt;=$C$1),'General Inputs'!J$10*$J95,IF(AND(($D95+$C$1)&gt;AM$4,AM$4&gt;=$C$1),'General Inputs'!J$10*$I95,0))</f>
        <v>245.00340420798432</v>
      </c>
      <c r="AN95" s="214">
        <f>IF(AND(($E95+$C$1)&gt;AN$4,AN$4&gt;=$C$1),'General Inputs'!K$9*$H95,IF(AND(($D95+$C$1)&gt;AN$4,AN$4&gt;=$C$1),'General Inputs'!K$9*$G95,0))+IF(AND(($E95+$C$1)&gt;AN$4,AN$4&gt;=$C$1),'General Inputs'!K$10*$J95,IF(AND(($D95+$C$1)&gt;AN$4,AN$4&gt;=$C$1),'General Inputs'!K$10*$I95,0))</f>
        <v>248.67845527110404</v>
      </c>
      <c r="AO95" s="214">
        <f>IF(AND(($E95+$C$1)&gt;AO$4,AO$4&gt;=$C$1),'General Inputs'!L$9*$H95,IF(AND(($D95+$C$1)&gt;AO$4,AO$4&gt;=$C$1),'General Inputs'!L$9*$G95,0))+IF(AND(($E95+$C$1)&gt;AO$4,AO$4&gt;=$C$1),'General Inputs'!L$10*$J95,IF(AND(($D95+$C$1)&gt;AO$4,AO$4&gt;=$C$1),'General Inputs'!L$10*$I95,0))</f>
        <v>252.40863210017059</v>
      </c>
      <c r="AP95" s="214">
        <f>IF(AND(($E95+$C$1)&gt;AP$4,AP$4&gt;=$C$1),'General Inputs'!M$9*$H95,IF(AND(($D95+$C$1)&gt;AP$4,AP$4&gt;=$C$1),'General Inputs'!M$9*$G95,0))+IF(AND(($E95+$C$1)&gt;AP$4,AP$4&gt;=$C$1),'General Inputs'!M$10*$J95,IF(AND(($D95+$C$1)&gt;AP$4,AP$4&gt;=$C$1),'General Inputs'!M$10*$I95,0))</f>
        <v>256.19476158167311</v>
      </c>
      <c r="AQ95" s="214">
        <f>IF(AND(($E95+$C$1)&gt;AQ$4,AQ$4&gt;=$C$1),'General Inputs'!N$9*$H95,IF(AND(($D95+$C$1)&gt;AQ$4,AQ$4&gt;=$C$1),'General Inputs'!N$9*$G95,0))+IF(AND(($E95+$C$1)&gt;AQ$4,AQ$4&gt;=$C$1),'General Inputs'!N$10*$J95,IF(AND(($D95+$C$1)&gt;AQ$4,AQ$4&gt;=$C$1),'General Inputs'!N$10*$I95,0))</f>
        <v>260.03768300539821</v>
      </c>
      <c r="AR95" s="214">
        <f>IF(AND(($E95+$C$1)&gt;AR$4,AR$4&gt;=$C$1),'General Inputs'!O$9*$H95,IF(AND(($D95+$C$1)&gt;AR$4,AR$4&gt;=$C$1),'General Inputs'!O$9*$G95,0))+IF(AND(($E95+$C$1)&gt;AR$4,AR$4&gt;=$C$1),'General Inputs'!O$10*$J95,IF(AND(($D95+$C$1)&gt;AR$4,AR$4&gt;=$C$1),'General Inputs'!O$10*$I95,0))</f>
        <v>263.93824825047915</v>
      </c>
      <c r="AS95" s="214">
        <f>IF(AND(($E95+$C$1)&gt;AS$4,AS$4&gt;=$C$1),'General Inputs'!P$9*$H95,IF(AND(($D95+$C$1)&gt;AS$4,AS$4&gt;=$C$1),'General Inputs'!P$9*$G95,0))+IF(AND(($E95+$C$1)&gt;AS$4,AS$4&gt;=$C$1),'General Inputs'!P$10*$J95,IF(AND(($D95+$C$1)&gt;AS$4,AS$4&gt;=$C$1),'General Inputs'!P$10*$I95,0))</f>
        <v>267.89732197423626</v>
      </c>
      <c r="AT95" s="214">
        <f>IF(AND(($E95+$C$1)&gt;AT$4,AT$4&gt;=$C$1),'General Inputs'!Q$9*$H95,IF(AND(($D95+$C$1)&gt;AT$4,AT$4&gt;=$C$1),'General Inputs'!Q$9*$G95,0))+IF(AND(($E95+$C$1)&gt;AT$4,AT$4&gt;=$C$1),'General Inputs'!Q$10*$J95,IF(AND(($D95+$C$1)&gt;AT$4,AT$4&gt;=$C$1),'General Inputs'!Q$10*$I95,0))</f>
        <v>271.91578180384982</v>
      </c>
      <c r="AU95" s="214">
        <f>IF(AND(($E95+$C$1)&gt;AU$4,AU$4&gt;=$C$1),'General Inputs'!R$9*$H95,IF(AND(($D95+$C$1)&gt;AU$4,AU$4&gt;=$C$1),'General Inputs'!R$9*$G95,0))+IF(AND(($E95+$C$1)&gt;AU$4,AU$4&gt;=$C$1),'General Inputs'!R$10*$J95,IF(AND(($D95+$C$1)&gt;AU$4,AU$4&gt;=$C$1),'General Inputs'!R$10*$I95,0))</f>
        <v>275.99451853090756</v>
      </c>
      <c r="AV95" s="214">
        <f>IF(AND(($E95+$C$1)&gt;AV$4,AV$4&gt;=$C$1),'General Inputs'!S$9*$H95,IF(AND(($D95+$C$1)&gt;AV$4,AV$4&gt;=$C$1),'General Inputs'!S$9*$G95,0))+IF(AND(($E95+$C$1)&gt;AV$4,AV$4&gt;=$C$1),'General Inputs'!S$10*$J95,IF(AND(($D95+$C$1)&gt;AV$4,AV$4&gt;=$C$1),'General Inputs'!S$10*$I95,0))</f>
        <v>280.1344363088711</v>
      </c>
      <c r="AW95" s="214">
        <f>IF(AND(($E95+$C$1)&gt;AW$4,AW$4&gt;=$C$1),'General Inputs'!T$9*$H95,IF(AND(($D95+$C$1)&gt;AW$4,AW$4&gt;=$C$1),'General Inputs'!T$9*$G95,0))+IF(AND(($E95+$C$1)&gt;AW$4,AW$4&gt;=$C$1),'General Inputs'!T$10*$J95,IF(AND(($D95+$C$1)&gt;AW$4,AW$4&gt;=$C$1),'General Inputs'!T$10*$I95,0))</f>
        <v>284.33645285350417</v>
      </c>
      <c r="AX95" s="214">
        <f>IF(AND(($E95+$C$1)&gt;AX$4,AX$4&gt;=$C$1),'General Inputs'!U$9*$H95,IF(AND(($D95+$C$1)&gt;AX$4,AX$4&gt;=$C$1),'General Inputs'!U$9*$G95,0))+IF(AND(($E95+$C$1)&gt;AX$4,AX$4&gt;=$C$1),'General Inputs'!U$10*$J95,IF(AND(($D95+$C$1)&gt;AX$4,AX$4&gt;=$C$1),'General Inputs'!U$10*$I95,0))</f>
        <v>0</v>
      </c>
      <c r="AY95" s="214">
        <f>IF(AND(($E95+$C$1)&gt;AY$4,AY$4&gt;=$C$1),'General Inputs'!V$9*$H95,IF(AND(($D95+$C$1)&gt;AY$4,AY$4&gt;=$C$1),'General Inputs'!V$9*$G95,0))+IF(AND(($E95+$C$1)&gt;AY$4,AY$4&gt;=$C$1),'General Inputs'!V$10*$J95,IF(AND(($D95+$C$1)&gt;AY$4,AY$4&gt;=$C$1),'General Inputs'!V$10*$I95,0))</f>
        <v>0</v>
      </c>
      <c r="AZ95" s="214">
        <f>IF(AND(($E95+$C$1)&gt;AZ$4,AZ$4&gt;=$C$1),'General Inputs'!W$9*$H95,IF(AND(($D95+$C$1)&gt;AZ$4,AZ$4&gt;=$C$1),'General Inputs'!W$9*$G95,0))+IF(AND(($E95+$C$1)&gt;AZ$4,AZ$4&gt;=$C$1),'General Inputs'!W$10*$J95,IF(AND(($D95+$C$1)&gt;AZ$4,AZ$4&gt;=$C$1),'General Inputs'!W$10*$I95,0))</f>
        <v>0</v>
      </c>
      <c r="BB95" s="214">
        <f>IF(AND(($E95+$C$1)&gt;BB$4,BB$4&gt;=$C$1),'General Inputs'!D$11*$H95,IF(AND(($D95+$C$1)&gt;BB$4,BB$4&gt;=$C$1),'General Inputs'!D$11*$G95,0))</f>
        <v>0</v>
      </c>
      <c r="BC95" s="214">
        <f>IF(AND(($E95+$C$1)&gt;BC$4,BC$4&gt;=$C$1),'General Inputs'!E$11*$H95,IF(AND(($D95+$C$1)&gt;BC$4,BC$4&gt;=$C$1),'General Inputs'!E$11*$G95,0))</f>
        <v>0</v>
      </c>
      <c r="BD95" s="214">
        <f>IF(AND(($E95+$C$1)&gt;BD$4,BD$4&gt;=$C$1),'General Inputs'!F$11*$H95,IF(AND(($D95+$C$1)&gt;BD$4,BD$4&gt;=$C$1),'General Inputs'!F$11*$G95,0))</f>
        <v>59.10736107037205</v>
      </c>
      <c r="BE95" s="214">
        <f>IF(AND(($E95+$C$1)&gt;BE$4,BE$4&gt;=$C$1),'General Inputs'!G$11*$H95,IF(AND(($D95+$C$1)&gt;BE$4,BE$4&gt;=$C$1),'General Inputs'!G$11*$G95,0))</f>
        <v>59.10736107037205</v>
      </c>
      <c r="BF95" s="214">
        <f>IF(AND(($E95+$C$1)&gt;BF$4,BF$4&gt;=$C$1),'General Inputs'!H$11*$H95,IF(AND(($D95+$C$1)&gt;BF$4,BF$4&gt;=$C$1),'General Inputs'!H$11*$G95,0))</f>
        <v>59.10736107037205</v>
      </c>
      <c r="BG95" s="214">
        <f>IF(AND(($E95+$C$1)&gt;BG$4,BG$4&gt;=$C$1),'General Inputs'!I$11*$H95,IF(AND(($D95+$C$1)&gt;BG$4,BG$4&gt;=$C$1),'General Inputs'!I$11*$G95,0))</f>
        <v>59.10736107037205</v>
      </c>
      <c r="BH95" s="214">
        <f>IF(AND(($E95+$C$1)&gt;BH$4,BH$4&gt;=$C$1),'General Inputs'!J$11*$H95,IF(AND(($D95+$C$1)&gt;BH$4,BH$4&gt;=$C$1),'General Inputs'!J$11*$G95,0))</f>
        <v>59.10736107037205</v>
      </c>
      <c r="BI95" s="214">
        <f>IF(AND(($E95+$C$1)&gt;BI$4,BI$4&gt;=$C$1),'General Inputs'!K$11*$H95,IF(AND(($D95+$C$1)&gt;BI$4,BI$4&gt;=$C$1),'General Inputs'!K$11*$G95,0))</f>
        <v>59.10736107037205</v>
      </c>
      <c r="BJ95" s="214">
        <f>IF(AND(($E95+$C$1)&gt;BJ$4,BJ$4&gt;=$C$1),'General Inputs'!L$11*$H95,IF(AND(($D95+$C$1)&gt;BJ$4,BJ$4&gt;=$C$1),'General Inputs'!L$11*$G95,0))</f>
        <v>59.10736107037205</v>
      </c>
      <c r="BK95" s="214">
        <f>IF(AND(($E95+$C$1)&gt;BK$4,BK$4&gt;=$C$1),'General Inputs'!M$11*$H95,IF(AND(($D95+$C$1)&gt;BK$4,BK$4&gt;=$C$1),'General Inputs'!M$11*$G95,0))</f>
        <v>59.10736107037205</v>
      </c>
      <c r="BL95" s="214">
        <f>IF(AND(($E95+$C$1)&gt;BL$4,BL$4&gt;=$C$1),'General Inputs'!N$11*$H95,IF(AND(($D95+$C$1)&gt;BL$4,BL$4&gt;=$C$1),'General Inputs'!N$11*$G95,0))</f>
        <v>59.10736107037205</v>
      </c>
      <c r="BM95" s="214">
        <f>IF(AND(($E95+$C$1)&gt;BM$4,BM$4&gt;=$C$1),'General Inputs'!O$11*$H95,IF(AND(($D95+$C$1)&gt;BM$4,BM$4&gt;=$C$1),'General Inputs'!O$11*$G95,0))</f>
        <v>59.10736107037205</v>
      </c>
      <c r="BN95" s="214">
        <f>IF(AND(($E95+$C$1)&gt;BN$4,BN$4&gt;=$C$1),'General Inputs'!P$11*$H95,IF(AND(($D95+$C$1)&gt;BN$4,BN$4&gt;=$C$1),'General Inputs'!P$11*$G95,0))</f>
        <v>59.10736107037205</v>
      </c>
      <c r="BO95" s="214">
        <f>IF(AND(($E95+$C$1)&gt;BO$4,BO$4&gt;=$C$1),'General Inputs'!Q$11*$H95,IF(AND(($D95+$C$1)&gt;BO$4,BO$4&gt;=$C$1),'General Inputs'!Q$11*$G95,0))</f>
        <v>59.10736107037205</v>
      </c>
      <c r="BP95" s="214">
        <f>IF(AND(($E95+$C$1)&gt;BP$4,BP$4&gt;=$C$1),'General Inputs'!R$11*$H95,IF(AND(($D95+$C$1)&gt;BP$4,BP$4&gt;=$C$1),'General Inputs'!R$11*$G95,0))</f>
        <v>59.10736107037205</v>
      </c>
      <c r="BQ95" s="214">
        <f>IF(AND(($E95+$C$1)&gt;BQ$4,BQ$4&gt;=$C$1),'General Inputs'!S$11*$H95,IF(AND(($D95+$C$1)&gt;BQ$4,BQ$4&gt;=$C$1),'General Inputs'!S$11*$G95,0))</f>
        <v>59.10736107037205</v>
      </c>
      <c r="BR95" s="214">
        <f>IF(AND(($E95+$C$1)&gt;BR$4,BR$4&gt;=$C$1),'General Inputs'!T$11*$H95,IF(AND(($D95+$C$1)&gt;BR$4,BR$4&gt;=$C$1),'General Inputs'!T$11*$G95,0))</f>
        <v>59.10736107037205</v>
      </c>
      <c r="BS95" s="214">
        <f>IF(AND(($E95+$C$1)&gt;BS$4,BS$4&gt;=$C$1),'General Inputs'!U$11*$H95,IF(AND(($D95+$C$1)&gt;BS$4,BS$4&gt;=$C$1),'General Inputs'!U$11*$G95,0))</f>
        <v>0</v>
      </c>
      <c r="BT95" s="214">
        <f>IF(AND(($E95+$C$1)&gt;BT$4,BT$4&gt;=$C$1),'General Inputs'!V$11*$H95,IF(AND(($D95+$C$1)&gt;BT$4,BT$4&gt;=$C$1),'General Inputs'!V$11*$G95,0))</f>
        <v>0</v>
      </c>
      <c r="BU95" s="214">
        <f>IF(AND(($E95+$C$1)&gt;BU$4,BU$4&gt;=$C$1),'General Inputs'!W$11*$H95,IF(AND(($D95+$C$1)&gt;BU$4,BU$4&gt;=$C$1),'General Inputs'!W$11*$G95,0))</f>
        <v>0</v>
      </c>
      <c r="BW95" s="214">
        <f>IF(AND(($E95+$C$1)&gt;BW$4,BW$4&gt;=$C$1),$H95,IF(AND(($D95+$C$1)&gt;BW$4,BW$4&gt;=$C$1),$G95,0))*IF($A95="Residential",'General Inputs'!D$14,'General Inputs'!D$19)</f>
        <v>0</v>
      </c>
      <c r="BX95" s="214">
        <f>IF(AND(($E95+$C$1)&gt;BX$4,BX$4&gt;=$C$1),$H95,IF(AND(($D95+$C$1)&gt;BX$4,BX$4&gt;=$C$1),$G95,0))*IF($A95="Residential",'General Inputs'!E$14,'General Inputs'!E$19)</f>
        <v>0</v>
      </c>
      <c r="BY95" s="214">
        <f>IF(AND(($E95+$C$1)&gt;BY$4,BY$4&gt;=$C$1),$H95,IF(AND(($D95+$C$1)&gt;BY$4,BY$4&gt;=$C$1),$G95,0))*IF($A95="Residential",'General Inputs'!F$14,'General Inputs'!F$19)</f>
        <v>558.01683092066969</v>
      </c>
      <c r="BZ95" s="214">
        <f>IF(AND(($E95+$C$1)&gt;BZ$4,BZ$4&gt;=$C$1),$H95,IF(AND(($D95+$C$1)&gt;BZ$4,BZ$4&gt;=$C$1),$G95,0))*IF($A95="Residential",'General Inputs'!G$14,'General Inputs'!G$19)</f>
        <v>566.38708338447975</v>
      </c>
      <c r="CA95" s="214">
        <f>IF(AND(($E95+$C$1)&gt;CA$4,CA$4&gt;=$C$1),$H95,IF(AND(($D95+$C$1)&gt;CA$4,CA$4&gt;=$C$1),$G95,0))*IF($A95="Residential",'General Inputs'!H$14,'General Inputs'!H$19)</f>
        <v>574.88288963524678</v>
      </c>
      <c r="CB95" s="214">
        <f>IF(AND(($E95+$C$1)&gt;CB$4,CB$4&gt;=$C$1),$H95,IF(AND(($D95+$C$1)&gt;CB$4,CB$4&gt;=$C$1),$G95,0))*IF($A95="Residential",'General Inputs'!I$14,'General Inputs'!I$19)</f>
        <v>583.50613297977543</v>
      </c>
      <c r="CC95" s="214">
        <f>IF(AND(($E95+$C$1)&gt;CC$4,CC$4&gt;=$C$1),$H95,IF(AND(($D95+$C$1)&gt;CC$4,CC$4&gt;=$C$1),$G95,0))*IF($A95="Residential",'General Inputs'!J$14,'General Inputs'!J$19)</f>
        <v>592.25872497447199</v>
      </c>
      <c r="CD95" s="214">
        <f>IF(AND(($E95+$C$1)&gt;CD$4,CD$4&gt;=$C$1),$H95,IF(AND(($D95+$C$1)&gt;CD$4,CD$4&gt;=$C$1),$G95,0))*IF($A95="Residential",'General Inputs'!K$14,'General Inputs'!K$19)</f>
        <v>601.14260584908902</v>
      </c>
      <c r="CE95" s="214">
        <f>IF(AND(($E95+$C$1)&gt;CE$4,CE$4&gt;=$C$1),$H95,IF(AND(($D95+$C$1)&gt;CE$4,CE$4&gt;=$C$1),$G95,0))*IF($A95="Residential",'General Inputs'!L$14,'General Inputs'!L$19)</f>
        <v>610.15974493682529</v>
      </c>
      <c r="CF95" s="214">
        <f>IF(AND(($E95+$C$1)&gt;CF$4,CF$4&gt;=$C$1),$H95,IF(AND(($D95+$C$1)&gt;CF$4,CF$4&gt;=$C$1),$G95,0))*IF($A95="Residential",'General Inputs'!M$14,'General Inputs'!M$19)</f>
        <v>619.31214111087763</v>
      </c>
      <c r="CG95" s="214">
        <f>IF(AND(($E95+$C$1)&gt;CG$4,CG$4&gt;=$C$1),$H95,IF(AND(($D95+$C$1)&gt;CG$4,CG$4&gt;=$C$1),$G95,0))*IF($A95="Residential",'General Inputs'!N$14,'General Inputs'!N$19)</f>
        <v>628.60182322754076</v>
      </c>
      <c r="CH95" s="214">
        <f>IF(AND(($E95+$C$1)&gt;CH$4,CH$4&gt;=$C$1),$H95,IF(AND(($D95+$C$1)&gt;CH$4,CH$4&gt;=$C$1),$G95,0))*IF($A95="Residential",'General Inputs'!O$14,'General Inputs'!O$19)</f>
        <v>638.03085057595376</v>
      </c>
      <c r="CI95" s="214">
        <f>IF(AND(($E95+$C$1)&gt;CI$4,CI$4&gt;=$C$1),$H95,IF(AND(($D95+$C$1)&gt;CI$4,CI$4&gt;=$C$1),$G95,0))*IF($A95="Residential",'General Inputs'!P$14,'General Inputs'!P$19)</f>
        <v>647.60131333459299</v>
      </c>
      <c r="CJ95" s="214">
        <f>IF(AND(($E95+$C$1)&gt;CJ$4,CJ$4&gt;=$C$1),$H95,IF(AND(($D95+$C$1)&gt;CJ$4,CJ$4&gt;=$C$1),$G95,0))*IF($A95="Residential",'General Inputs'!Q$14,'General Inputs'!Q$19)</f>
        <v>657.31533303461185</v>
      </c>
      <c r="CK95" s="214">
        <f>IF(AND(($E95+$C$1)&gt;CK$4,CK$4&gt;=$C$1),$H95,IF(AND(($D95+$C$1)&gt;CK$4,CK$4&gt;=$C$1),$G95,0))*IF($A95="Residential",'General Inputs'!R$14,'General Inputs'!R$19)</f>
        <v>667.1750630301309</v>
      </c>
      <c r="CL95" s="214">
        <f>IF(AND(($E95+$C$1)&gt;CL$4,CL$4&gt;=$C$1),$H95,IF(AND(($D95+$C$1)&gt;CL$4,CL$4&gt;=$C$1),$G95,0))*IF($A95="Residential",'General Inputs'!S$14,'General Inputs'!S$19)</f>
        <v>677.18268897558289</v>
      </c>
      <c r="CM95" s="214">
        <f>IF(AND(($E95+$C$1)&gt;CM$4,CM$4&gt;=$C$1),$H95,IF(AND(($D95+$C$1)&gt;CM$4,CM$4&gt;=$C$1),$G95,0))*IF($A95="Residential",'General Inputs'!T$14,'General Inputs'!T$19)</f>
        <v>687.34042931021656</v>
      </c>
      <c r="CN95" s="214">
        <f>IF(AND(($E95+$C$1)&gt;CN$4,CN$4&gt;=$C$1),$H95,IF(AND(($D95+$C$1)&gt;CN$4,CN$4&gt;=$C$1),$G95,0))*IF($A95="Residential",'General Inputs'!U$14,'General Inputs'!U$19)</f>
        <v>0</v>
      </c>
      <c r="CO95" s="214">
        <f>IF(AND(($E95+$C$1)&gt;CO$4,CO$4&gt;=$C$1),$H95,IF(AND(($D95+$C$1)&gt;CO$4,CO$4&gt;=$C$1),$G95,0))*IF($A95="Residential",'General Inputs'!V$14,'General Inputs'!V$19)</f>
        <v>0</v>
      </c>
      <c r="CP95" s="214">
        <f>IF(AND(($E95+$C$1)&gt;CP$4,CP$4&gt;=$C$1),$H95,IF(AND(($D95+$C$1)&gt;CP$4,CP$4&gt;=$C$1),$G95,0))*IF($A95="Residential",'General Inputs'!W$14,'General Inputs'!W$19)</f>
        <v>0</v>
      </c>
      <c r="CR95" s="214">
        <f>IF(AND(($E95+$C$1)&gt;CR$4,CR$4&gt;=$C$1),$H95,IF(AND(($D95+$C$1)&gt;CR$4,CR$4&gt;=$C$1),$G95,0))*IF($A95="Residential",'General Inputs'!D$15,'General Inputs'!D$19)</f>
        <v>0</v>
      </c>
      <c r="CS95" s="214">
        <f>IF(AND(($E95+$C$1)&gt;CS$4,CS$4&gt;=$C$1),$H95,IF(AND(($D95+$C$1)&gt;CS$4,CS$4&gt;=$C$1),$G95,0))*IF($A95="Residential",'General Inputs'!E$15,'General Inputs'!E$19)</f>
        <v>0</v>
      </c>
      <c r="CT95" s="214">
        <f>IF(AND(($E95+$C$1)&gt;CT$4,CT$4&gt;=$C$1),$H95,IF(AND(($D95+$C$1)&gt;CT$4,CT$4&gt;=$C$1),$G95,0))*IF($A95="Residential",'General Inputs'!F$15,'General Inputs'!F$19)</f>
        <v>558.01683092066969</v>
      </c>
      <c r="CU95" s="214">
        <f>IF(AND(($E95+$C$1)&gt;CU$4,CU$4&gt;=$C$1),$H95,IF(AND(($D95+$C$1)&gt;CU$4,CU$4&gt;=$C$1),$G95,0))*IF($A95="Residential",'General Inputs'!G$15,'General Inputs'!G$19)</f>
        <v>566.38708338447975</v>
      </c>
      <c r="CV95" s="214">
        <f>IF(AND(($E95+$C$1)&gt;CV$4,CV$4&gt;=$C$1),$H95,IF(AND(($D95+$C$1)&gt;CV$4,CV$4&gt;=$C$1),$G95,0))*IF($A95="Residential",'General Inputs'!H$15,'General Inputs'!H$19)</f>
        <v>574.88288963524678</v>
      </c>
      <c r="CW95" s="214">
        <f>IF(AND(($E95+$C$1)&gt;CW$4,CW$4&gt;=$C$1),$H95,IF(AND(($D95+$C$1)&gt;CW$4,CW$4&gt;=$C$1),$G95,0))*IF($A95="Residential",'General Inputs'!I$15,'General Inputs'!I$19)</f>
        <v>583.50613297977543</v>
      </c>
      <c r="CX95" s="214">
        <f>IF(AND(($E95+$C$1)&gt;CX$4,CX$4&gt;=$C$1),$H95,IF(AND(($D95+$C$1)&gt;CX$4,CX$4&gt;=$C$1),$G95,0))*IF($A95="Residential",'General Inputs'!J$15,'General Inputs'!J$19)</f>
        <v>592.25872497447199</v>
      </c>
      <c r="CY95" s="214">
        <f>IF(AND(($E95+$C$1)&gt;CY$4,CY$4&gt;=$C$1),$H95,IF(AND(($D95+$C$1)&gt;CY$4,CY$4&gt;=$C$1),$G95,0))*IF($A95="Residential",'General Inputs'!K$15,'General Inputs'!K$19)</f>
        <v>601.14260584908902</v>
      </c>
      <c r="CZ95" s="214">
        <f>IF(AND(($E95+$C$1)&gt;CZ$4,CZ$4&gt;=$C$1),$H95,IF(AND(($D95+$C$1)&gt;CZ$4,CZ$4&gt;=$C$1),$G95,0))*IF($A95="Residential",'General Inputs'!L$15,'General Inputs'!L$19)</f>
        <v>610.15974493682529</v>
      </c>
      <c r="DA95" s="214">
        <f>IF(AND(($E95+$C$1)&gt;DA$4,DA$4&gt;=$C$1),$H95,IF(AND(($D95+$C$1)&gt;DA$4,DA$4&gt;=$C$1),$G95,0))*IF($A95="Residential",'General Inputs'!M$15,'General Inputs'!M$19)</f>
        <v>619.31214111087763</v>
      </c>
      <c r="DB95" s="214">
        <f>IF(AND(($E95+$C$1)&gt;DB$4,DB$4&gt;=$C$1),$H95,IF(AND(($D95+$C$1)&gt;DB$4,DB$4&gt;=$C$1),$G95,0))*IF($A95="Residential",'General Inputs'!N$15,'General Inputs'!N$19)</f>
        <v>628.60182322754076</v>
      </c>
      <c r="DC95" s="214">
        <f>IF(AND(($E95+$C$1)&gt;DC$4,DC$4&gt;=$C$1),$H95,IF(AND(($D95+$C$1)&gt;DC$4,DC$4&gt;=$C$1),$G95,0))*IF($A95="Residential",'General Inputs'!O$15,'General Inputs'!O$19)</f>
        <v>638.03085057595376</v>
      </c>
      <c r="DD95" s="214">
        <f>IF(AND(($E95+$C$1)&gt;DD$4,DD$4&gt;=$C$1),$H95,IF(AND(($D95+$C$1)&gt;DD$4,DD$4&gt;=$C$1),$G95,0))*IF($A95="Residential",'General Inputs'!P$15,'General Inputs'!P$19)</f>
        <v>647.60131333459299</v>
      </c>
      <c r="DE95" s="214">
        <f>IF(AND(($E95+$C$1)&gt;DE$4,DE$4&gt;=$C$1),$H95,IF(AND(($D95+$C$1)&gt;DE$4,DE$4&gt;=$C$1),$G95,0))*IF($A95="Residential",'General Inputs'!Q$15,'General Inputs'!Q$19)</f>
        <v>657.31533303461185</v>
      </c>
      <c r="DF95" s="214">
        <f>IF(AND(($E95+$C$1)&gt;DF$4,DF$4&gt;=$C$1),$H95,IF(AND(($D95+$C$1)&gt;DF$4,DF$4&gt;=$C$1),$G95,0))*IF($A95="Residential",'General Inputs'!R$15,'General Inputs'!R$19)</f>
        <v>667.1750630301309</v>
      </c>
      <c r="DG95" s="214">
        <f>IF(AND(($E95+$C$1)&gt;DG$4,DG$4&gt;=$C$1),$H95,IF(AND(($D95+$C$1)&gt;DG$4,DG$4&gt;=$C$1),$G95,0))*IF($A95="Residential",'General Inputs'!S$15,'General Inputs'!S$19)</f>
        <v>677.18268897558289</v>
      </c>
      <c r="DH95" s="214">
        <f>IF(AND(($E95+$C$1)&gt;DH$4,DH$4&gt;=$C$1),$H95,IF(AND(($D95+$C$1)&gt;DH$4,DH$4&gt;=$C$1),$G95,0))*IF($A95="Residential",'General Inputs'!T$15,'General Inputs'!T$19)</f>
        <v>687.34042931021656</v>
      </c>
      <c r="DI95" s="214">
        <f>IF(AND(($E95+$C$1)&gt;DI$4,DI$4&gt;=$C$1),$H95,IF(AND(($D95+$C$1)&gt;DI$4,DI$4&gt;=$C$1),$G95,0))*IF($A95="Residential",'General Inputs'!U$15,'General Inputs'!U$19)</f>
        <v>0</v>
      </c>
      <c r="DJ95" s="214">
        <f>IF(AND(($E95+$C$1)&gt;DJ$4,DJ$4&gt;=$C$1),$H95,IF(AND(($D95+$C$1)&gt;DJ$4,DJ$4&gt;=$C$1),$G95,0))*IF($A95="Residential",'General Inputs'!V$15,'General Inputs'!V$19)</f>
        <v>0</v>
      </c>
      <c r="DK95" s="214">
        <f>IF(AND(($E95+$C$1)&gt;DK$4,DK$4&gt;=$C$1),$H95,IF(AND(($D95+$C$1)&gt;DK$4,DK$4&gt;=$C$1),$G95,0))*IF($A95="Residential",'General Inputs'!W$15,'General Inputs'!W$19)</f>
        <v>0</v>
      </c>
      <c r="DM95" s="214">
        <f t="shared" ref="DM95:DW96" si="138">IF($C$1=DM$4,$L95*$C95,IF($E95+$C$1=DM$4,-$M95*$C95,0))</f>
        <v>0</v>
      </c>
      <c r="DN95" s="214">
        <f t="shared" si="138"/>
        <v>0</v>
      </c>
      <c r="DO95" s="214">
        <f t="shared" si="138"/>
        <v>1610</v>
      </c>
      <c r="DP95" s="214">
        <f t="shared" si="138"/>
        <v>0</v>
      </c>
      <c r="DQ95" s="214">
        <f t="shared" si="138"/>
        <v>0</v>
      </c>
      <c r="DR95" s="214">
        <f t="shared" si="138"/>
        <v>0</v>
      </c>
      <c r="DS95" s="214">
        <f t="shared" si="138"/>
        <v>0</v>
      </c>
      <c r="DT95" s="214">
        <f t="shared" si="138"/>
        <v>0</v>
      </c>
      <c r="DU95" s="214">
        <f t="shared" si="138"/>
        <v>0</v>
      </c>
      <c r="DV95" s="214">
        <f t="shared" si="138"/>
        <v>0</v>
      </c>
      <c r="DW95" s="214">
        <f t="shared" si="138"/>
        <v>0</v>
      </c>
      <c r="DZ95" s="650"/>
      <c r="FI95" s="195"/>
      <c r="FJ95" s="195"/>
      <c r="FK95" s="195"/>
      <c r="FL95" s="195"/>
      <c r="FM95" s="195"/>
      <c r="FN95" s="195"/>
      <c r="FO95" s="195"/>
    </row>
    <row r="96" spans="1:171">
      <c r="A96" s="342" t="s">
        <v>112</v>
      </c>
      <c r="B96" s="427" t="str">
        <f>'Portfolio Inputs'!A95</f>
        <v>TEFC Motor</v>
      </c>
      <c r="C96" s="217">
        <f>IF($C$1=2014,'Portfolio Inputs'!$C95,IF($C$1=2015,'Portfolio Inputs'!$D95,'Portfolio Inputs'!$E95))</f>
        <v>14</v>
      </c>
      <c r="D96" s="504">
        <f>VLOOKUP(B96,Sources!$B$4:$J$104,2,FALSE)</f>
        <v>15</v>
      </c>
      <c r="E96" s="504">
        <f>VLOOKUP(B96,Sources!$B$4:$J$104,3,FALSE)</f>
        <v>0</v>
      </c>
      <c r="G96" s="504">
        <f>IF($C$1=2014,'Portfolio Inputs'!$G95,IF($C$1=2015,'Portfolio Inputs'!$H95,'Portfolio Inputs'!$I95))*EnergyLineLoss</f>
        <v>3652.9668923076656</v>
      </c>
      <c r="H96" s="504"/>
      <c r="I96" s="595">
        <f>IF($C$1=2014,'Portfolio Inputs'!$K95,IF($C$1=2015,'Portfolio Inputs'!$L95,'Portfolio Inputs'!$M95))*PeakLineLoss</f>
        <v>0.83021974825174216</v>
      </c>
      <c r="J96" s="510"/>
      <c r="L96" s="606">
        <f>IF($C$1=2014,'Portfolio Inputs'!$O95,IF($C$1=2015,'Portfolio Inputs'!$P95,'Portfolio Inputs'!$Q95))</f>
        <v>115</v>
      </c>
      <c r="M96" s="518">
        <f>VLOOKUP($B96,Sources!$B$4:$K$104,10,FALSE)</f>
        <v>0</v>
      </c>
      <c r="N96" s="419">
        <f>IF($C$1=2014,'Portfolio Inputs'!$W95,IF($C$1=2015,'Portfolio Inputs'!$X95,'Portfolio Inputs'!$Y95))</f>
        <v>700</v>
      </c>
      <c r="O96" s="419">
        <f>IF($C$1=2014,'Portfolio Inputs'!$AA95,IF($C$1=2015,'Portfolio Inputs'!$AB95,'Portfolio Inputs'!$AC95))</f>
        <v>0</v>
      </c>
      <c r="Q96" s="436">
        <f t="shared" si="115"/>
        <v>0.97231364408506704</v>
      </c>
      <c r="R96" s="437">
        <f t="shared" si="116"/>
        <v>2.2363213813956544</v>
      </c>
      <c r="S96" s="437">
        <f t="shared" si="117"/>
        <v>1.2013996251217183</v>
      </c>
      <c r="T96" s="437">
        <f t="shared" si="118"/>
        <v>2.7852039874625096</v>
      </c>
      <c r="U96" s="439">
        <f t="shared" si="137"/>
        <v>2.7852039874625096</v>
      </c>
      <c r="V96" s="439">
        <f t="shared" si="119"/>
        <v>0.34909961656736815</v>
      </c>
      <c r="W96" s="439">
        <f t="shared" si="120"/>
        <v>0.34909961656736815</v>
      </c>
      <c r="Y96" s="215">
        <f t="shared" si="101"/>
        <v>1321.463554336997</v>
      </c>
      <c r="Z96" s="215">
        <f t="shared" si="102"/>
        <v>311.34889095826111</v>
      </c>
      <c r="AA96" s="215">
        <f t="shared" si="103"/>
        <v>3194.4385520760784</v>
      </c>
      <c r="AB96" s="215">
        <f t="shared" si="104"/>
        <v>3194.4385520760784</v>
      </c>
      <c r="AC96" s="216">
        <f t="shared" si="128"/>
        <v>0</v>
      </c>
      <c r="AD96" s="216">
        <f t="shared" si="129"/>
        <v>590.90950224349763</v>
      </c>
      <c r="AE96" s="215">
        <f t="shared" si="105"/>
        <v>1359.0918551600446</v>
      </c>
      <c r="AG96" s="214">
        <f>IF(AND(($E96+$C$1)&gt;AG$4,AG$4&gt;=$C$1),'General Inputs'!D$9*$H96,IF(AND(($D96+$C$1)&gt;AG$4,AG$4&gt;=$C$1),'General Inputs'!D$9*$G96,0))+IF(AND(($E96+$C$1)&gt;AG$4,AG$4&gt;=$C$1),'General Inputs'!D$10*$J96,IF(AND(($D96+$C$1)&gt;AG$4,AG$4&gt;=$C$1),'General Inputs'!D$10*$I96,0))</f>
        <v>0</v>
      </c>
      <c r="AH96" s="214">
        <f>IF(AND(($E96+$C$1)&gt;AH$4,AH$4&gt;=$C$1),'General Inputs'!E$9*$H96,IF(AND(($D96+$C$1)&gt;AH$4,AH$4&gt;=$C$1),'General Inputs'!E$9*$G96,0))+IF(AND(($E96+$C$1)&gt;AH$4,AH$4&gt;=$C$1),'General Inputs'!E$10*$J96,IF(AND(($D96+$C$1)&gt;AH$4,AH$4&gt;=$C$1),'General Inputs'!E$10*$I96,0))</f>
        <v>0</v>
      </c>
      <c r="AI96" s="214">
        <f>IF(AND(($E96+$C$1)&gt;AI$4,AI$4&gt;=$C$1),'General Inputs'!F$9*$H96,IF(AND(($D96+$C$1)&gt;AI$4,AI$4&gt;=$C$1),'General Inputs'!F$9*$G96,0))+IF(AND(($E96+$C$1)&gt;AI$4,AI$4&gt;=$C$1),'General Inputs'!F$10*$J96,IF(AND(($D96+$C$1)&gt;AI$4,AI$4&gt;=$C$1),'General Inputs'!F$10*$I96,0))</f>
        <v>162.63610586707048</v>
      </c>
      <c r="AJ96" s="214">
        <f>IF(AND(($E96+$C$1)&gt;AJ$4,AJ$4&gt;=$C$1),'General Inputs'!G$9*$H96,IF(AND(($D96+$C$1)&gt;AJ$4,AJ$4&gt;=$C$1),'General Inputs'!G$9*$G96,0))+IF(AND(($E96+$C$1)&gt;AJ$4,AJ$4&gt;=$C$1),'General Inputs'!G$10*$J96,IF(AND(($D96+$C$1)&gt;AJ$4,AJ$4&gt;=$C$1),'General Inputs'!G$10*$I96,0))</f>
        <v>165.07564745507653</v>
      </c>
      <c r="AK96" s="214">
        <f>IF(AND(($E96+$C$1)&gt;AK$4,AK$4&gt;=$C$1),'General Inputs'!H$9*$H96,IF(AND(($D96+$C$1)&gt;AK$4,AK$4&gt;=$C$1),'General Inputs'!H$9*$G96,0))+IF(AND(($E96+$C$1)&gt;AK$4,AK$4&gt;=$C$1),'General Inputs'!H$10*$J96,IF(AND(($D96+$C$1)&gt;AK$4,AK$4&gt;=$C$1),'General Inputs'!H$10*$I96,0))</f>
        <v>167.55178216690265</v>
      </c>
      <c r="AL96" s="214">
        <f>IF(AND(($E96+$C$1)&gt;AL$4,AL$4&gt;=$C$1),'General Inputs'!I$9*$H96,IF(AND(($D96+$C$1)&gt;AL$4,AL$4&gt;=$C$1),'General Inputs'!I$9*$G96,0))+IF(AND(($E96+$C$1)&gt;AL$4,AL$4&gt;=$C$1),'General Inputs'!I$10*$J96,IF(AND(($D96+$C$1)&gt;AL$4,AL$4&gt;=$C$1),'General Inputs'!I$10*$I96,0))</f>
        <v>170.06505889940615</v>
      </c>
      <c r="AM96" s="214">
        <f>IF(AND(($E96+$C$1)&gt;AM$4,AM$4&gt;=$C$1),'General Inputs'!J$9*$H96,IF(AND(($D96+$C$1)&gt;AM$4,AM$4&gt;=$C$1),'General Inputs'!J$9*$G96,0))+IF(AND(($E96+$C$1)&gt;AM$4,AM$4&gt;=$C$1),'General Inputs'!J$10*$J96,IF(AND(($D96+$C$1)&gt;AM$4,AM$4&gt;=$C$1),'General Inputs'!J$10*$I96,0))</f>
        <v>172.61603478289723</v>
      </c>
      <c r="AN96" s="214">
        <f>IF(AND(($E96+$C$1)&gt;AN$4,AN$4&gt;=$C$1),'General Inputs'!K$9*$H96,IF(AND(($D96+$C$1)&gt;AN$4,AN$4&gt;=$C$1),'General Inputs'!K$9*$G96,0))+IF(AND(($E96+$C$1)&gt;AN$4,AN$4&gt;=$C$1),'General Inputs'!K$10*$J96,IF(AND(($D96+$C$1)&gt;AN$4,AN$4&gt;=$C$1),'General Inputs'!K$10*$I96,0))</f>
        <v>175.20527530464065</v>
      </c>
      <c r="AO96" s="214">
        <f>IF(AND(($E96+$C$1)&gt;AO$4,AO$4&gt;=$C$1),'General Inputs'!L$9*$H96,IF(AND(($D96+$C$1)&gt;AO$4,AO$4&gt;=$C$1),'General Inputs'!L$9*$G96,0))+IF(AND(($E96+$C$1)&gt;AO$4,AO$4&gt;=$C$1),'General Inputs'!L$10*$J96,IF(AND(($D96+$C$1)&gt;AO$4,AO$4&gt;=$C$1),'General Inputs'!L$10*$I96,0))</f>
        <v>177.83335443421026</v>
      </c>
      <c r="AP96" s="214">
        <f>IF(AND(($E96+$C$1)&gt;AP$4,AP$4&gt;=$C$1),'General Inputs'!M$9*$H96,IF(AND(($D96+$C$1)&gt;AP$4,AP$4&gt;=$C$1),'General Inputs'!M$9*$G96,0))+IF(AND(($E96+$C$1)&gt;AP$4,AP$4&gt;=$C$1),'General Inputs'!M$10*$J96,IF(AND(($D96+$C$1)&gt;AP$4,AP$4&gt;=$C$1),'General Inputs'!M$10*$I96,0))</f>
        <v>180.50085475072339</v>
      </c>
      <c r="AQ96" s="214">
        <f>IF(AND(($E96+$C$1)&gt;AQ$4,AQ$4&gt;=$C$1),'General Inputs'!N$9*$H96,IF(AND(($D96+$C$1)&gt;AQ$4,AQ$4&gt;=$C$1),'General Inputs'!N$9*$G96,0))+IF(AND(($E96+$C$1)&gt;AQ$4,AQ$4&gt;=$C$1),'General Inputs'!N$10*$J96,IF(AND(($D96+$C$1)&gt;AQ$4,AQ$4&gt;=$C$1),'General Inputs'!N$10*$I96,0))</f>
        <v>183.20836757198424</v>
      </c>
      <c r="AR96" s="214">
        <f>IF(AND(($E96+$C$1)&gt;AR$4,AR$4&gt;=$C$1),'General Inputs'!O$9*$H96,IF(AND(($D96+$C$1)&gt;AR$4,AR$4&gt;=$C$1),'General Inputs'!O$9*$G96,0))+IF(AND(($E96+$C$1)&gt;AR$4,AR$4&gt;=$C$1),'General Inputs'!O$10*$J96,IF(AND(($D96+$C$1)&gt;AR$4,AR$4&gt;=$C$1),'General Inputs'!O$10*$I96,0))</f>
        <v>185.95649308556398</v>
      </c>
      <c r="AS96" s="214">
        <f>IF(AND(($E96+$C$1)&gt;AS$4,AS$4&gt;=$C$1),'General Inputs'!P$9*$H96,IF(AND(($D96+$C$1)&gt;AS$4,AS$4&gt;=$C$1),'General Inputs'!P$9*$G96,0))+IF(AND(($E96+$C$1)&gt;AS$4,AS$4&gt;=$C$1),'General Inputs'!P$10*$J96,IF(AND(($D96+$C$1)&gt;AS$4,AS$4&gt;=$C$1),'General Inputs'!P$10*$I96,0))</f>
        <v>188.74584048184741</v>
      </c>
      <c r="AT96" s="214">
        <f>IF(AND(($E96+$C$1)&gt;AT$4,AT$4&gt;=$C$1),'General Inputs'!Q$9*$H96,IF(AND(($D96+$C$1)&gt;AT$4,AT$4&gt;=$C$1),'General Inputs'!Q$9*$G96,0))+IF(AND(($E96+$C$1)&gt;AT$4,AT$4&gt;=$C$1),'General Inputs'!Q$10*$J96,IF(AND(($D96+$C$1)&gt;AT$4,AT$4&gt;=$C$1),'General Inputs'!Q$10*$I96,0))</f>
        <v>191.5770280890751</v>
      </c>
      <c r="AU96" s="214">
        <f>IF(AND(($E96+$C$1)&gt;AU$4,AU$4&gt;=$C$1),'General Inputs'!R$9*$H96,IF(AND(($D96+$C$1)&gt;AU$4,AU$4&gt;=$C$1),'General Inputs'!R$9*$G96,0))+IF(AND(($E96+$C$1)&gt;AU$4,AU$4&gt;=$C$1),'General Inputs'!R$10*$J96,IF(AND(($D96+$C$1)&gt;AU$4,AU$4&gt;=$C$1),'General Inputs'!R$10*$I96,0))</f>
        <v>194.45068351041124</v>
      </c>
      <c r="AV96" s="214">
        <f>IF(AND(($E96+$C$1)&gt;AV$4,AV$4&gt;=$C$1),'General Inputs'!S$9*$H96,IF(AND(($D96+$C$1)&gt;AV$4,AV$4&gt;=$C$1),'General Inputs'!S$9*$G96,0))+IF(AND(($E96+$C$1)&gt;AV$4,AV$4&gt;=$C$1),'General Inputs'!S$10*$J96,IF(AND(($D96+$C$1)&gt;AV$4,AV$4&gt;=$C$1),'General Inputs'!S$10*$I96,0))</f>
        <v>197.36744376306737</v>
      </c>
      <c r="AW96" s="214">
        <f>IF(AND(($E96+$C$1)&gt;AW$4,AW$4&gt;=$C$1),'General Inputs'!T$9*$H96,IF(AND(($D96+$C$1)&gt;AW$4,AW$4&gt;=$C$1),'General Inputs'!T$9*$G96,0))+IF(AND(($E96+$C$1)&gt;AW$4,AW$4&gt;=$C$1),'General Inputs'!T$10*$J96,IF(AND(($D96+$C$1)&gt;AW$4,AW$4&gt;=$C$1),'General Inputs'!T$10*$I96,0))</f>
        <v>200.32795541951339</v>
      </c>
      <c r="AX96" s="214">
        <f>IF(AND(($E96+$C$1)&gt;AX$4,AX$4&gt;=$C$1),'General Inputs'!U$9*$H96,IF(AND(($D96+$C$1)&gt;AX$4,AX$4&gt;=$C$1),'General Inputs'!U$9*$G96,0))+IF(AND(($E96+$C$1)&gt;AX$4,AX$4&gt;=$C$1),'General Inputs'!U$10*$J96,IF(AND(($D96+$C$1)&gt;AX$4,AX$4&gt;=$C$1),'General Inputs'!U$10*$I96,0))</f>
        <v>0</v>
      </c>
      <c r="AY96" s="214">
        <f>IF(AND(($E96+$C$1)&gt;AY$4,AY$4&gt;=$C$1),'General Inputs'!V$9*$H96,IF(AND(($D96+$C$1)&gt;AY$4,AY$4&gt;=$C$1),'General Inputs'!V$9*$G96,0))+IF(AND(($E96+$C$1)&gt;AY$4,AY$4&gt;=$C$1),'General Inputs'!V$10*$J96,IF(AND(($D96+$C$1)&gt;AY$4,AY$4&gt;=$C$1),'General Inputs'!V$10*$I96,0))</f>
        <v>0</v>
      </c>
      <c r="AZ96" s="214">
        <f>IF(AND(($E96+$C$1)&gt;AZ$4,AZ$4&gt;=$C$1),'General Inputs'!W$9*$H96,IF(AND(($D96+$C$1)&gt;AZ$4,AZ$4&gt;=$C$1),'General Inputs'!W$9*$G96,0))+IF(AND(($E96+$C$1)&gt;AZ$4,AZ$4&gt;=$C$1),'General Inputs'!W$10*$J96,IF(AND(($D96+$C$1)&gt;AZ$4,AZ$4&gt;=$C$1),'General Inputs'!W$10*$I96,0))</f>
        <v>0</v>
      </c>
      <c r="BB96" s="214">
        <f>IF(AND(($E96+$C$1)&gt;BB$4,BB$4&gt;=$C$1),'General Inputs'!D$11*$H96,IF(AND(($D96+$C$1)&gt;BB$4,BB$4&gt;=$C$1),'General Inputs'!D$11*$G96,0))</f>
        <v>0</v>
      </c>
      <c r="BC96" s="214">
        <f>IF(AND(($E96+$C$1)&gt;BC$4,BC$4&gt;=$C$1),'General Inputs'!E$11*$H96,IF(AND(($D96+$C$1)&gt;BC$4,BC$4&gt;=$C$1),'General Inputs'!E$11*$G96,0))</f>
        <v>0</v>
      </c>
      <c r="BD96" s="214">
        <f>IF(AND(($E96+$C$1)&gt;BD$4,BD$4&gt;=$C$1),'General Inputs'!F$11*$H96,IF(AND(($D96+$C$1)&gt;BD$4,BD$4&gt;=$C$1),'General Inputs'!F$11*$G96,0))</f>
        <v>41.643822572307393</v>
      </c>
      <c r="BE96" s="214">
        <f>IF(AND(($E96+$C$1)&gt;BE$4,BE$4&gt;=$C$1),'General Inputs'!G$11*$H96,IF(AND(($D96+$C$1)&gt;BE$4,BE$4&gt;=$C$1),'General Inputs'!G$11*$G96,0))</f>
        <v>41.643822572307393</v>
      </c>
      <c r="BF96" s="214">
        <f>IF(AND(($E96+$C$1)&gt;BF$4,BF$4&gt;=$C$1),'General Inputs'!H$11*$H96,IF(AND(($D96+$C$1)&gt;BF$4,BF$4&gt;=$C$1),'General Inputs'!H$11*$G96,0))</f>
        <v>41.643822572307393</v>
      </c>
      <c r="BG96" s="214">
        <f>IF(AND(($E96+$C$1)&gt;BG$4,BG$4&gt;=$C$1),'General Inputs'!I$11*$H96,IF(AND(($D96+$C$1)&gt;BG$4,BG$4&gt;=$C$1),'General Inputs'!I$11*$G96,0))</f>
        <v>41.643822572307393</v>
      </c>
      <c r="BH96" s="214">
        <f>IF(AND(($E96+$C$1)&gt;BH$4,BH$4&gt;=$C$1),'General Inputs'!J$11*$H96,IF(AND(($D96+$C$1)&gt;BH$4,BH$4&gt;=$C$1),'General Inputs'!J$11*$G96,0))</f>
        <v>41.643822572307393</v>
      </c>
      <c r="BI96" s="214">
        <f>IF(AND(($E96+$C$1)&gt;BI$4,BI$4&gt;=$C$1),'General Inputs'!K$11*$H96,IF(AND(($D96+$C$1)&gt;BI$4,BI$4&gt;=$C$1),'General Inputs'!K$11*$G96,0))</f>
        <v>41.643822572307393</v>
      </c>
      <c r="BJ96" s="214">
        <f>IF(AND(($E96+$C$1)&gt;BJ$4,BJ$4&gt;=$C$1),'General Inputs'!L$11*$H96,IF(AND(($D96+$C$1)&gt;BJ$4,BJ$4&gt;=$C$1),'General Inputs'!L$11*$G96,0))</f>
        <v>41.643822572307393</v>
      </c>
      <c r="BK96" s="214">
        <f>IF(AND(($E96+$C$1)&gt;BK$4,BK$4&gt;=$C$1),'General Inputs'!M$11*$H96,IF(AND(($D96+$C$1)&gt;BK$4,BK$4&gt;=$C$1),'General Inputs'!M$11*$G96,0))</f>
        <v>41.643822572307393</v>
      </c>
      <c r="BL96" s="214">
        <f>IF(AND(($E96+$C$1)&gt;BL$4,BL$4&gt;=$C$1),'General Inputs'!N$11*$H96,IF(AND(($D96+$C$1)&gt;BL$4,BL$4&gt;=$C$1),'General Inputs'!N$11*$G96,0))</f>
        <v>41.643822572307393</v>
      </c>
      <c r="BM96" s="214">
        <f>IF(AND(($E96+$C$1)&gt;BM$4,BM$4&gt;=$C$1),'General Inputs'!O$11*$H96,IF(AND(($D96+$C$1)&gt;BM$4,BM$4&gt;=$C$1),'General Inputs'!O$11*$G96,0))</f>
        <v>41.643822572307393</v>
      </c>
      <c r="BN96" s="214">
        <f>IF(AND(($E96+$C$1)&gt;BN$4,BN$4&gt;=$C$1),'General Inputs'!P$11*$H96,IF(AND(($D96+$C$1)&gt;BN$4,BN$4&gt;=$C$1),'General Inputs'!P$11*$G96,0))</f>
        <v>41.643822572307393</v>
      </c>
      <c r="BO96" s="214">
        <f>IF(AND(($E96+$C$1)&gt;BO$4,BO$4&gt;=$C$1),'General Inputs'!Q$11*$H96,IF(AND(($D96+$C$1)&gt;BO$4,BO$4&gt;=$C$1),'General Inputs'!Q$11*$G96,0))</f>
        <v>41.643822572307393</v>
      </c>
      <c r="BP96" s="214">
        <f>IF(AND(($E96+$C$1)&gt;BP$4,BP$4&gt;=$C$1),'General Inputs'!R$11*$H96,IF(AND(($D96+$C$1)&gt;BP$4,BP$4&gt;=$C$1),'General Inputs'!R$11*$G96,0))</f>
        <v>41.643822572307393</v>
      </c>
      <c r="BQ96" s="214">
        <f>IF(AND(($E96+$C$1)&gt;BQ$4,BQ$4&gt;=$C$1),'General Inputs'!S$11*$H96,IF(AND(($D96+$C$1)&gt;BQ$4,BQ$4&gt;=$C$1),'General Inputs'!S$11*$G96,0))</f>
        <v>41.643822572307393</v>
      </c>
      <c r="BR96" s="214">
        <f>IF(AND(($E96+$C$1)&gt;BR$4,BR$4&gt;=$C$1),'General Inputs'!T$11*$H96,IF(AND(($D96+$C$1)&gt;BR$4,BR$4&gt;=$C$1),'General Inputs'!T$11*$G96,0))</f>
        <v>41.643822572307393</v>
      </c>
      <c r="BS96" s="214">
        <f>IF(AND(($E96+$C$1)&gt;BS$4,BS$4&gt;=$C$1),'General Inputs'!U$11*$H96,IF(AND(($D96+$C$1)&gt;BS$4,BS$4&gt;=$C$1),'General Inputs'!U$11*$G96,0))</f>
        <v>0</v>
      </c>
      <c r="BT96" s="214">
        <f>IF(AND(($E96+$C$1)&gt;BT$4,BT$4&gt;=$C$1),'General Inputs'!V$11*$H96,IF(AND(($D96+$C$1)&gt;BT$4,BT$4&gt;=$C$1),'General Inputs'!V$11*$G96,0))</f>
        <v>0</v>
      </c>
      <c r="BU96" s="214">
        <f>IF(AND(($E96+$C$1)&gt;BU$4,BU$4&gt;=$C$1),'General Inputs'!W$11*$H96,IF(AND(($D96+$C$1)&gt;BU$4,BU$4&gt;=$C$1),'General Inputs'!W$11*$G96,0))</f>
        <v>0</v>
      </c>
      <c r="BW96" s="214">
        <f>IF(AND(($E96+$C$1)&gt;BW$4,BW$4&gt;=$C$1),$H96,IF(AND(($D96+$C$1)&gt;BW$4,BW$4&gt;=$C$1),$G96,0))*IF($A96="Residential",'General Inputs'!D$14,'General Inputs'!D$19)</f>
        <v>0</v>
      </c>
      <c r="BX96" s="214">
        <f>IF(AND(($E96+$C$1)&gt;BX$4,BX$4&gt;=$C$1),$H96,IF(AND(($D96+$C$1)&gt;BX$4,BX$4&gt;=$C$1),$G96,0))*IF($A96="Residential",'General Inputs'!E$14,'General Inputs'!E$19)</f>
        <v>0</v>
      </c>
      <c r="BY96" s="214">
        <f>IF(AND(($E96+$C$1)&gt;BY$4,BY$4&gt;=$C$1),$H96,IF(AND(($D96+$C$1)&gt;BY$4,BY$4&gt;=$C$1),$G96,0))*IF($A96="Residential",'General Inputs'!F$14,'General Inputs'!F$19)</f>
        <v>393.14822178501549</v>
      </c>
      <c r="BZ96" s="214">
        <f>IF(AND(($E96+$C$1)&gt;BZ$4,BZ$4&gt;=$C$1),$H96,IF(AND(($D96+$C$1)&gt;BZ$4,BZ$4&gt;=$C$1),$G96,0))*IF($A96="Residential",'General Inputs'!G$14,'General Inputs'!G$19)</f>
        <v>399.04544511179068</v>
      </c>
      <c r="CA96" s="214">
        <f>IF(AND(($E96+$C$1)&gt;CA$4,CA$4&gt;=$C$1),$H96,IF(AND(($D96+$C$1)&gt;CA$4,CA$4&gt;=$C$1),$G96,0))*IF($A96="Residential",'General Inputs'!H$14,'General Inputs'!H$19)</f>
        <v>405.03112678846742</v>
      </c>
      <c r="CB96" s="214">
        <f>IF(AND(($E96+$C$1)&gt;CB$4,CB$4&gt;=$C$1),$H96,IF(AND(($D96+$C$1)&gt;CB$4,CB$4&gt;=$C$1),$G96,0))*IF($A96="Residential",'General Inputs'!I$14,'General Inputs'!I$19)</f>
        <v>411.1065936902944</v>
      </c>
      <c r="CC96" s="214">
        <f>IF(AND(($E96+$C$1)&gt;CC$4,CC$4&gt;=$C$1),$H96,IF(AND(($D96+$C$1)&gt;CC$4,CC$4&gt;=$C$1),$G96,0))*IF($A96="Residential",'General Inputs'!J$14,'General Inputs'!J$19)</f>
        <v>417.27319259564882</v>
      </c>
      <c r="CD96" s="214">
        <f>IF(AND(($E96+$C$1)&gt;CD$4,CD$4&gt;=$C$1),$H96,IF(AND(($D96+$C$1)&gt;CD$4,CD$4&gt;=$C$1),$G96,0))*IF($A96="Residential",'General Inputs'!K$14,'General Inputs'!K$19)</f>
        <v>423.53229048458348</v>
      </c>
      <c r="CE96" s="214">
        <f>IF(AND(($E96+$C$1)&gt;CE$4,CE$4&gt;=$C$1),$H96,IF(AND(($D96+$C$1)&gt;CE$4,CE$4&gt;=$C$1),$G96,0))*IF($A96="Residential",'General Inputs'!L$14,'General Inputs'!L$19)</f>
        <v>429.88527484185221</v>
      </c>
      <c r="CF96" s="214">
        <f>IF(AND(($E96+$C$1)&gt;CF$4,CF$4&gt;=$C$1),$H96,IF(AND(($D96+$C$1)&gt;CF$4,CF$4&gt;=$C$1),$G96,0))*IF($A96="Residential",'General Inputs'!M$14,'General Inputs'!M$19)</f>
        <v>436.3335539644799</v>
      </c>
      <c r="CG96" s="214">
        <f>IF(AND(($E96+$C$1)&gt;CG$4,CG$4&gt;=$C$1),$H96,IF(AND(($D96+$C$1)&gt;CG$4,CG$4&gt;=$C$1),$G96,0))*IF($A96="Residential",'General Inputs'!N$14,'General Inputs'!N$19)</f>
        <v>442.87855727394714</v>
      </c>
      <c r="CH96" s="214">
        <f>IF(AND(($E96+$C$1)&gt;CH$4,CH$4&gt;=$C$1),$H96,IF(AND(($D96+$C$1)&gt;CH$4,CH$4&gt;=$C$1),$G96,0))*IF($A96="Residential",'General Inputs'!O$14,'General Inputs'!O$19)</f>
        <v>449.52173563305621</v>
      </c>
      <c r="CI96" s="214">
        <f>IF(AND(($E96+$C$1)&gt;CI$4,CI$4&gt;=$C$1),$H96,IF(AND(($D96+$C$1)&gt;CI$4,CI$4&gt;=$C$1),$G96,0))*IF($A96="Residential",'General Inputs'!P$14,'General Inputs'!P$19)</f>
        <v>456.26456166755207</v>
      </c>
      <c r="CJ96" s="214">
        <f>IF(AND(($E96+$C$1)&gt;CJ$4,CJ$4&gt;=$C$1),$H96,IF(AND(($D96+$C$1)&gt;CJ$4,CJ$4&gt;=$C$1),$G96,0))*IF($A96="Residential",'General Inputs'!Q$14,'General Inputs'!Q$19)</f>
        <v>463.10853009256533</v>
      </c>
      <c r="CK96" s="214">
        <f>IF(AND(($E96+$C$1)&gt;CK$4,CK$4&gt;=$C$1),$H96,IF(AND(($D96+$C$1)&gt;CK$4,CK$4&gt;=$C$1),$G96,0))*IF($A96="Residential",'General Inputs'!R$14,'General Inputs'!R$19)</f>
        <v>470.05515804395372</v>
      </c>
      <c r="CL96" s="214">
        <f>IF(AND(($E96+$C$1)&gt;CL$4,CL$4&gt;=$C$1),$H96,IF(AND(($D96+$C$1)&gt;CL$4,CL$4&gt;=$C$1),$G96,0))*IF($A96="Residential",'General Inputs'!S$14,'General Inputs'!S$19)</f>
        <v>477.10598541461303</v>
      </c>
      <c r="CM96" s="214">
        <f>IF(AND(($E96+$C$1)&gt;CM$4,CM$4&gt;=$C$1),$H96,IF(AND(($D96+$C$1)&gt;CM$4,CM$4&gt;=$C$1),$G96,0))*IF($A96="Residential",'General Inputs'!T$14,'General Inputs'!T$19)</f>
        <v>484.26257519583214</v>
      </c>
      <c r="CN96" s="214">
        <f>IF(AND(($E96+$C$1)&gt;CN$4,CN$4&gt;=$C$1),$H96,IF(AND(($D96+$C$1)&gt;CN$4,CN$4&gt;=$C$1),$G96,0))*IF($A96="Residential",'General Inputs'!U$14,'General Inputs'!U$19)</f>
        <v>0</v>
      </c>
      <c r="CO96" s="214">
        <f>IF(AND(($E96+$C$1)&gt;CO$4,CO$4&gt;=$C$1),$H96,IF(AND(($D96+$C$1)&gt;CO$4,CO$4&gt;=$C$1),$G96,0))*IF($A96="Residential",'General Inputs'!V$14,'General Inputs'!V$19)</f>
        <v>0</v>
      </c>
      <c r="CP96" s="214">
        <f>IF(AND(($E96+$C$1)&gt;CP$4,CP$4&gt;=$C$1),$H96,IF(AND(($D96+$C$1)&gt;CP$4,CP$4&gt;=$C$1),$G96,0))*IF($A96="Residential",'General Inputs'!W$14,'General Inputs'!W$19)</f>
        <v>0</v>
      </c>
      <c r="CR96" s="214">
        <f>IF(AND(($E96+$C$1)&gt;CR$4,CR$4&gt;=$C$1),$H96,IF(AND(($D96+$C$1)&gt;CR$4,CR$4&gt;=$C$1),$G96,0))*IF($A96="Residential",'General Inputs'!D$15,'General Inputs'!D$19)</f>
        <v>0</v>
      </c>
      <c r="CS96" s="214">
        <f>IF(AND(($E96+$C$1)&gt;CS$4,CS$4&gt;=$C$1),$H96,IF(AND(($D96+$C$1)&gt;CS$4,CS$4&gt;=$C$1),$G96,0))*IF($A96="Residential",'General Inputs'!E$15,'General Inputs'!E$19)</f>
        <v>0</v>
      </c>
      <c r="CT96" s="214">
        <f>IF(AND(($E96+$C$1)&gt;CT$4,CT$4&gt;=$C$1),$H96,IF(AND(($D96+$C$1)&gt;CT$4,CT$4&gt;=$C$1),$G96,0))*IF($A96="Residential",'General Inputs'!F$15,'General Inputs'!F$19)</f>
        <v>393.14822178501549</v>
      </c>
      <c r="CU96" s="214">
        <f>IF(AND(($E96+$C$1)&gt;CU$4,CU$4&gt;=$C$1),$H96,IF(AND(($D96+$C$1)&gt;CU$4,CU$4&gt;=$C$1),$G96,0))*IF($A96="Residential",'General Inputs'!G$15,'General Inputs'!G$19)</f>
        <v>399.04544511179068</v>
      </c>
      <c r="CV96" s="214">
        <f>IF(AND(($E96+$C$1)&gt;CV$4,CV$4&gt;=$C$1),$H96,IF(AND(($D96+$C$1)&gt;CV$4,CV$4&gt;=$C$1),$G96,0))*IF($A96="Residential",'General Inputs'!H$15,'General Inputs'!H$19)</f>
        <v>405.03112678846742</v>
      </c>
      <c r="CW96" s="214">
        <f>IF(AND(($E96+$C$1)&gt;CW$4,CW$4&gt;=$C$1),$H96,IF(AND(($D96+$C$1)&gt;CW$4,CW$4&gt;=$C$1),$G96,0))*IF($A96="Residential",'General Inputs'!I$15,'General Inputs'!I$19)</f>
        <v>411.1065936902944</v>
      </c>
      <c r="CX96" s="214">
        <f>IF(AND(($E96+$C$1)&gt;CX$4,CX$4&gt;=$C$1),$H96,IF(AND(($D96+$C$1)&gt;CX$4,CX$4&gt;=$C$1),$G96,0))*IF($A96="Residential",'General Inputs'!J$15,'General Inputs'!J$19)</f>
        <v>417.27319259564882</v>
      </c>
      <c r="CY96" s="214">
        <f>IF(AND(($E96+$C$1)&gt;CY$4,CY$4&gt;=$C$1),$H96,IF(AND(($D96+$C$1)&gt;CY$4,CY$4&gt;=$C$1),$G96,0))*IF($A96="Residential",'General Inputs'!K$15,'General Inputs'!K$19)</f>
        <v>423.53229048458348</v>
      </c>
      <c r="CZ96" s="214">
        <f>IF(AND(($E96+$C$1)&gt;CZ$4,CZ$4&gt;=$C$1),$H96,IF(AND(($D96+$C$1)&gt;CZ$4,CZ$4&gt;=$C$1),$G96,0))*IF($A96="Residential",'General Inputs'!L$15,'General Inputs'!L$19)</f>
        <v>429.88527484185221</v>
      </c>
      <c r="DA96" s="214">
        <f>IF(AND(($E96+$C$1)&gt;DA$4,DA$4&gt;=$C$1),$H96,IF(AND(($D96+$C$1)&gt;DA$4,DA$4&gt;=$C$1),$G96,0))*IF($A96="Residential",'General Inputs'!M$15,'General Inputs'!M$19)</f>
        <v>436.3335539644799</v>
      </c>
      <c r="DB96" s="214">
        <f>IF(AND(($E96+$C$1)&gt;DB$4,DB$4&gt;=$C$1),$H96,IF(AND(($D96+$C$1)&gt;DB$4,DB$4&gt;=$C$1),$G96,0))*IF($A96="Residential",'General Inputs'!N$15,'General Inputs'!N$19)</f>
        <v>442.87855727394714</v>
      </c>
      <c r="DC96" s="214">
        <f>IF(AND(($E96+$C$1)&gt;DC$4,DC$4&gt;=$C$1),$H96,IF(AND(($D96+$C$1)&gt;DC$4,DC$4&gt;=$C$1),$G96,0))*IF($A96="Residential",'General Inputs'!O$15,'General Inputs'!O$19)</f>
        <v>449.52173563305621</v>
      </c>
      <c r="DD96" s="214">
        <f>IF(AND(($E96+$C$1)&gt;DD$4,DD$4&gt;=$C$1),$H96,IF(AND(($D96+$C$1)&gt;DD$4,DD$4&gt;=$C$1),$G96,0))*IF($A96="Residential",'General Inputs'!P$15,'General Inputs'!P$19)</f>
        <v>456.26456166755207</v>
      </c>
      <c r="DE96" s="214">
        <f>IF(AND(($E96+$C$1)&gt;DE$4,DE$4&gt;=$C$1),$H96,IF(AND(($D96+$C$1)&gt;DE$4,DE$4&gt;=$C$1),$G96,0))*IF($A96="Residential",'General Inputs'!Q$15,'General Inputs'!Q$19)</f>
        <v>463.10853009256533</v>
      </c>
      <c r="DF96" s="214">
        <f>IF(AND(($E96+$C$1)&gt;DF$4,DF$4&gt;=$C$1),$H96,IF(AND(($D96+$C$1)&gt;DF$4,DF$4&gt;=$C$1),$G96,0))*IF($A96="Residential",'General Inputs'!R$15,'General Inputs'!R$19)</f>
        <v>470.05515804395372</v>
      </c>
      <c r="DG96" s="214">
        <f>IF(AND(($E96+$C$1)&gt;DG$4,DG$4&gt;=$C$1),$H96,IF(AND(($D96+$C$1)&gt;DG$4,DG$4&gt;=$C$1),$G96,0))*IF($A96="Residential",'General Inputs'!S$15,'General Inputs'!S$19)</f>
        <v>477.10598541461303</v>
      </c>
      <c r="DH96" s="214">
        <f>IF(AND(($E96+$C$1)&gt;DH$4,DH$4&gt;=$C$1),$H96,IF(AND(($D96+$C$1)&gt;DH$4,DH$4&gt;=$C$1),$G96,0))*IF($A96="Residential",'General Inputs'!T$15,'General Inputs'!T$19)</f>
        <v>484.26257519583214</v>
      </c>
      <c r="DI96" s="214">
        <f>IF(AND(($E96+$C$1)&gt;DI$4,DI$4&gt;=$C$1),$H96,IF(AND(($D96+$C$1)&gt;DI$4,DI$4&gt;=$C$1),$G96,0))*IF($A96="Residential",'General Inputs'!U$15,'General Inputs'!U$19)</f>
        <v>0</v>
      </c>
      <c r="DJ96" s="214">
        <f>IF(AND(($E96+$C$1)&gt;DJ$4,DJ$4&gt;=$C$1),$H96,IF(AND(($D96+$C$1)&gt;DJ$4,DJ$4&gt;=$C$1),$G96,0))*IF($A96="Residential",'General Inputs'!V$15,'General Inputs'!V$19)</f>
        <v>0</v>
      </c>
      <c r="DK96" s="214">
        <f>IF(AND(($E96+$C$1)&gt;DK$4,DK$4&gt;=$C$1),$H96,IF(AND(($D96+$C$1)&gt;DK$4,DK$4&gt;=$C$1),$G96,0))*IF($A96="Residential",'General Inputs'!W$15,'General Inputs'!W$19)</f>
        <v>0</v>
      </c>
      <c r="DM96" s="214">
        <f t="shared" si="138"/>
        <v>0</v>
      </c>
      <c r="DN96" s="214">
        <f t="shared" si="138"/>
        <v>0</v>
      </c>
      <c r="DO96" s="214">
        <f t="shared" si="138"/>
        <v>1610</v>
      </c>
      <c r="DP96" s="214">
        <f t="shared" si="138"/>
        <v>0</v>
      </c>
      <c r="DQ96" s="214">
        <f t="shared" si="138"/>
        <v>0</v>
      </c>
      <c r="DR96" s="214">
        <f t="shared" si="138"/>
        <v>0</v>
      </c>
      <c r="DS96" s="214">
        <f t="shared" si="138"/>
        <v>0</v>
      </c>
      <c r="DT96" s="214">
        <f t="shared" si="138"/>
        <v>0</v>
      </c>
      <c r="DU96" s="214">
        <f t="shared" si="138"/>
        <v>0</v>
      </c>
      <c r="DV96" s="214">
        <f t="shared" si="138"/>
        <v>0</v>
      </c>
      <c r="DW96" s="214">
        <f t="shared" si="138"/>
        <v>0</v>
      </c>
      <c r="DZ96" s="650"/>
      <c r="FI96" s="195"/>
      <c r="FJ96" s="195"/>
      <c r="FK96" s="195"/>
      <c r="FL96" s="195"/>
      <c r="FM96" s="195"/>
      <c r="FN96" s="195"/>
      <c r="FO96" s="195"/>
    </row>
    <row r="97" spans="1:171">
      <c r="C97" s="196"/>
      <c r="D97" s="196"/>
      <c r="E97" s="213"/>
      <c r="G97" s="516"/>
      <c r="H97" s="516"/>
      <c r="L97" s="349"/>
      <c r="M97" s="349"/>
      <c r="N97" s="211"/>
      <c r="O97" s="211"/>
      <c r="Q97" s="209"/>
      <c r="R97" s="195"/>
      <c r="S97" s="195"/>
      <c r="T97" s="209"/>
      <c r="U97" s="209"/>
      <c r="V97" s="195"/>
      <c r="W97" s="195"/>
      <c r="Y97" s="209"/>
      <c r="Z97" s="195"/>
      <c r="AA97" s="194"/>
      <c r="AB97" s="194"/>
      <c r="AC97" s="194"/>
      <c r="AD97" s="194"/>
      <c r="AE97" s="194"/>
      <c r="AG97" s="194"/>
      <c r="FI97" s="195"/>
      <c r="FJ97" s="195"/>
      <c r="FK97" s="195"/>
      <c r="FL97" s="195"/>
      <c r="FM97" s="195"/>
      <c r="FN97" s="195"/>
      <c r="FO97" s="195"/>
    </row>
    <row r="98" spans="1:171">
      <c r="C98" s="196"/>
      <c r="D98" s="213"/>
      <c r="E98" s="213"/>
      <c r="G98" s="516"/>
      <c r="H98" s="516"/>
      <c r="L98" s="349"/>
      <c r="M98" s="349"/>
      <c r="N98" s="211"/>
      <c r="O98" s="211"/>
      <c r="Q98" s="209"/>
      <c r="R98" s="195"/>
      <c r="S98" s="195"/>
      <c r="T98" s="209"/>
      <c r="U98" s="209"/>
      <c r="V98" s="195"/>
      <c r="W98" s="195"/>
      <c r="Y98" s="209"/>
      <c r="Z98" s="195"/>
      <c r="AA98" s="194"/>
      <c r="AB98" s="194"/>
      <c r="AC98" s="194"/>
      <c r="AD98" s="194"/>
      <c r="AE98" s="194"/>
      <c r="AG98" s="194"/>
      <c r="FI98" s="195"/>
      <c r="FJ98" s="195"/>
      <c r="FK98" s="195"/>
      <c r="FL98" s="195"/>
      <c r="FM98" s="195"/>
      <c r="FN98" s="195"/>
      <c r="FO98" s="195"/>
    </row>
    <row r="99" spans="1:171">
      <c r="C99" s="196"/>
      <c r="D99" s="213"/>
      <c r="E99" s="213"/>
      <c r="G99" s="516"/>
      <c r="H99" s="516"/>
      <c r="L99" s="349"/>
      <c r="M99" s="349"/>
      <c r="N99" s="211"/>
      <c r="O99" s="211"/>
      <c r="Q99" s="209"/>
      <c r="R99" s="195"/>
      <c r="S99" s="195"/>
      <c r="T99" s="209"/>
      <c r="U99" s="209"/>
      <c r="V99" s="195"/>
      <c r="W99" s="195"/>
      <c r="Y99" s="209"/>
      <c r="Z99" s="195"/>
      <c r="AA99" s="194"/>
      <c r="AB99" s="194"/>
      <c r="AC99" s="194"/>
      <c r="AD99" s="194"/>
      <c r="AE99" s="194"/>
      <c r="AG99" s="194"/>
      <c r="FI99" s="195"/>
      <c r="FJ99" s="195"/>
      <c r="FK99" s="195"/>
      <c r="FL99" s="195"/>
      <c r="FM99" s="195"/>
      <c r="FN99" s="195"/>
      <c r="FO99" s="195"/>
    </row>
    <row r="100" spans="1:171">
      <c r="C100" s="196"/>
      <c r="D100" s="213"/>
      <c r="E100" s="213"/>
      <c r="G100" s="516"/>
      <c r="H100" s="516"/>
      <c r="L100" s="349"/>
      <c r="M100" s="349"/>
      <c r="N100" s="211"/>
      <c r="O100" s="211"/>
      <c r="Q100" s="209"/>
      <c r="R100" s="195"/>
      <c r="S100" s="195"/>
      <c r="T100" s="209"/>
      <c r="U100" s="209"/>
      <c r="V100" s="195"/>
      <c r="W100" s="195"/>
      <c r="Y100" s="209"/>
      <c r="Z100" s="195"/>
      <c r="AA100" s="194"/>
      <c r="AB100" s="194"/>
      <c r="AC100" s="194"/>
      <c r="AD100" s="194"/>
      <c r="AE100" s="194"/>
      <c r="AG100" s="194"/>
      <c r="FI100" s="195"/>
      <c r="FJ100" s="195"/>
      <c r="FK100" s="195"/>
      <c r="FL100" s="195"/>
      <c r="FM100" s="195"/>
      <c r="FN100" s="195"/>
      <c r="FO100" s="195"/>
    </row>
    <row r="101" spans="1:171">
      <c r="C101" s="196"/>
      <c r="D101" s="213"/>
      <c r="E101" s="213"/>
      <c r="G101" s="516"/>
      <c r="H101" s="516"/>
      <c r="L101" s="349"/>
      <c r="M101" s="349"/>
      <c r="N101" s="211"/>
      <c r="O101" s="211"/>
      <c r="Q101" s="209"/>
      <c r="R101" s="195"/>
      <c r="S101" s="195"/>
      <c r="T101" s="209"/>
      <c r="U101" s="209"/>
      <c r="V101" s="195"/>
      <c r="W101" s="195"/>
      <c r="Y101" s="209"/>
      <c r="Z101" s="195"/>
      <c r="AA101" s="194"/>
      <c r="AB101" s="194"/>
      <c r="AC101" s="194"/>
      <c r="AD101" s="194"/>
      <c r="AE101" s="194"/>
      <c r="AG101" s="194"/>
      <c r="FI101" s="195"/>
      <c r="FJ101" s="195"/>
      <c r="FK101" s="195"/>
      <c r="FL101" s="195"/>
      <c r="FM101" s="195"/>
      <c r="FN101" s="195"/>
      <c r="FO101" s="195"/>
    </row>
    <row r="102" spans="1:171">
      <c r="C102" s="196"/>
      <c r="D102" s="213"/>
      <c r="E102" s="213"/>
      <c r="G102" s="516"/>
      <c r="H102" s="516"/>
      <c r="L102" s="349"/>
      <c r="M102" s="349"/>
      <c r="N102" s="211"/>
      <c r="O102" s="211"/>
      <c r="Q102" s="209"/>
      <c r="R102" s="195"/>
      <c r="S102" s="195"/>
      <c r="T102" s="209"/>
      <c r="U102" s="209"/>
      <c r="V102" s="195"/>
      <c r="W102" s="195"/>
      <c r="Y102" s="209"/>
      <c r="Z102" s="195"/>
      <c r="AA102" s="194"/>
      <c r="AB102" s="194"/>
      <c r="AC102" s="194"/>
      <c r="AD102" s="194"/>
      <c r="AE102" s="194"/>
      <c r="AG102" s="194"/>
      <c r="FI102" s="195"/>
      <c r="FJ102" s="195"/>
      <c r="FK102" s="195"/>
      <c r="FL102" s="195"/>
      <c r="FM102" s="195"/>
      <c r="FN102" s="195"/>
      <c r="FO102" s="195"/>
    </row>
    <row r="103" spans="1:171">
      <c r="C103" s="196"/>
      <c r="D103" s="213"/>
      <c r="E103" s="213"/>
      <c r="G103" s="516"/>
      <c r="H103" s="516"/>
      <c r="L103" s="349"/>
      <c r="M103" s="349"/>
      <c r="N103" s="211"/>
      <c r="O103" s="211"/>
      <c r="Q103" s="209"/>
      <c r="R103" s="195"/>
      <c r="S103" s="195"/>
      <c r="T103" s="209"/>
      <c r="U103" s="209"/>
      <c r="V103" s="195"/>
      <c r="W103" s="195"/>
      <c r="Y103" s="209"/>
      <c r="Z103" s="195"/>
      <c r="AA103" s="194"/>
      <c r="AB103" s="194"/>
      <c r="AC103" s="194"/>
      <c r="AD103" s="194"/>
      <c r="AE103" s="194"/>
      <c r="AG103" s="194"/>
      <c r="FI103" s="195"/>
      <c r="FJ103" s="195"/>
      <c r="FK103" s="195"/>
      <c r="FL103" s="195"/>
      <c r="FM103" s="195"/>
      <c r="FN103" s="195"/>
      <c r="FO103" s="195"/>
    </row>
    <row r="104" spans="1:171">
      <c r="A104" s="195"/>
      <c r="B104" s="195"/>
      <c r="C104" s="196"/>
      <c r="D104" s="213"/>
      <c r="E104" s="213"/>
      <c r="G104" s="516"/>
      <c r="H104" s="516"/>
      <c r="L104" s="349"/>
      <c r="M104" s="349"/>
      <c r="N104" s="211"/>
      <c r="O104" s="211"/>
      <c r="Q104" s="209"/>
      <c r="R104" s="195"/>
      <c r="S104" s="195"/>
      <c r="T104" s="209"/>
      <c r="U104" s="209"/>
      <c r="V104" s="195"/>
      <c r="W104" s="195"/>
      <c r="Y104" s="209"/>
      <c r="Z104" s="195"/>
      <c r="AA104" s="194"/>
      <c r="AB104" s="194"/>
      <c r="AC104" s="194"/>
      <c r="AD104" s="194"/>
      <c r="AE104" s="194"/>
      <c r="AG104" s="194"/>
      <c r="FI104" s="195"/>
      <c r="FJ104" s="195"/>
      <c r="FK104" s="195"/>
      <c r="FL104" s="195"/>
      <c r="FM104" s="195"/>
      <c r="FN104" s="195"/>
      <c r="FO104" s="195"/>
    </row>
    <row r="105" spans="1:171">
      <c r="A105" s="195"/>
      <c r="B105" s="195"/>
      <c r="C105" s="196"/>
      <c r="D105" s="213"/>
      <c r="E105" s="213"/>
      <c r="G105" s="516"/>
      <c r="H105" s="516"/>
      <c r="L105" s="349"/>
      <c r="M105" s="349"/>
      <c r="N105" s="211"/>
      <c r="O105" s="211"/>
      <c r="Q105" s="209"/>
      <c r="R105" s="195"/>
      <c r="S105" s="195"/>
      <c r="T105" s="209"/>
      <c r="U105" s="209"/>
      <c r="V105" s="195"/>
      <c r="W105" s="195"/>
      <c r="Y105" s="209"/>
      <c r="Z105" s="195"/>
      <c r="AA105" s="194"/>
      <c r="AB105" s="194"/>
      <c r="AC105" s="194"/>
      <c r="AD105" s="194"/>
      <c r="AE105" s="194"/>
      <c r="AG105" s="194"/>
      <c r="FI105" s="195"/>
      <c r="FJ105" s="195"/>
      <c r="FK105" s="195"/>
      <c r="FL105" s="195"/>
      <c r="FM105" s="195"/>
      <c r="FN105" s="195"/>
      <c r="FO105" s="195"/>
    </row>
    <row r="106" spans="1:171">
      <c r="A106" s="195"/>
      <c r="B106" s="195"/>
      <c r="C106" s="196"/>
      <c r="D106" s="213"/>
      <c r="E106" s="213"/>
      <c r="G106" s="516"/>
      <c r="H106" s="516"/>
      <c r="L106" s="349"/>
      <c r="M106" s="349"/>
      <c r="N106" s="211"/>
      <c r="O106" s="211"/>
      <c r="Q106" s="209"/>
      <c r="R106" s="195"/>
      <c r="S106" s="195"/>
      <c r="T106" s="209"/>
      <c r="U106" s="209"/>
      <c r="V106" s="195"/>
      <c r="W106" s="195"/>
      <c r="Y106" s="209"/>
      <c r="Z106" s="195"/>
      <c r="AA106" s="194"/>
      <c r="AB106" s="194"/>
      <c r="AC106" s="194"/>
      <c r="AD106" s="194"/>
      <c r="AE106" s="194"/>
      <c r="AG106" s="194"/>
      <c r="FI106" s="195"/>
      <c r="FJ106" s="195"/>
      <c r="FK106" s="195"/>
      <c r="FL106" s="195"/>
      <c r="FM106" s="195"/>
      <c r="FN106" s="195"/>
      <c r="FO106" s="195"/>
    </row>
    <row r="107" spans="1:171">
      <c r="A107" s="195"/>
      <c r="B107" s="195"/>
      <c r="C107" s="196"/>
      <c r="D107" s="213"/>
      <c r="E107" s="213"/>
      <c r="G107" s="516"/>
      <c r="H107" s="516"/>
      <c r="L107" s="349"/>
      <c r="M107" s="349"/>
      <c r="N107" s="211"/>
      <c r="O107" s="211"/>
      <c r="Q107" s="209"/>
      <c r="R107" s="195"/>
      <c r="S107" s="195"/>
      <c r="T107" s="209"/>
      <c r="U107" s="209"/>
      <c r="V107" s="195"/>
      <c r="W107" s="195"/>
      <c r="Y107" s="209"/>
      <c r="Z107" s="195"/>
      <c r="AA107" s="194"/>
      <c r="AB107" s="194"/>
      <c r="AC107" s="194"/>
      <c r="AD107" s="194"/>
      <c r="AE107" s="194"/>
      <c r="AG107" s="194"/>
      <c r="FI107" s="195"/>
      <c r="FJ107" s="195"/>
      <c r="FK107" s="195"/>
      <c r="FL107" s="195"/>
      <c r="FM107" s="195"/>
      <c r="FN107" s="195"/>
      <c r="FO107" s="195"/>
    </row>
    <row r="108" spans="1:171">
      <c r="A108" s="195"/>
      <c r="B108" s="195"/>
      <c r="C108" s="196"/>
      <c r="D108" s="213"/>
      <c r="E108" s="213"/>
      <c r="G108" s="516"/>
      <c r="H108" s="516"/>
      <c r="L108" s="349"/>
      <c r="M108" s="349"/>
      <c r="N108" s="211"/>
      <c r="O108" s="211"/>
      <c r="Q108" s="209"/>
      <c r="R108" s="195"/>
      <c r="S108" s="195"/>
      <c r="T108" s="209"/>
      <c r="U108" s="209"/>
      <c r="V108" s="195"/>
      <c r="W108" s="195"/>
      <c r="Y108" s="209"/>
      <c r="Z108" s="195"/>
      <c r="AA108" s="194"/>
      <c r="AB108" s="194"/>
      <c r="AC108" s="194"/>
      <c r="AD108" s="194"/>
      <c r="AE108" s="194"/>
      <c r="AG108" s="194"/>
      <c r="FI108" s="195"/>
      <c r="FJ108" s="195"/>
      <c r="FK108" s="195"/>
      <c r="FL108" s="195"/>
      <c r="FM108" s="195"/>
      <c r="FN108" s="195"/>
      <c r="FO108" s="195"/>
    </row>
    <row r="109" spans="1:171">
      <c r="A109" s="195"/>
      <c r="B109" s="195"/>
      <c r="C109" s="196"/>
      <c r="D109" s="213"/>
      <c r="E109" s="213"/>
      <c r="G109" s="516"/>
      <c r="H109" s="516"/>
      <c r="L109" s="349"/>
      <c r="M109" s="349"/>
      <c r="N109" s="211"/>
      <c r="O109" s="211"/>
      <c r="Q109" s="209"/>
      <c r="R109" s="195"/>
      <c r="S109" s="195"/>
      <c r="T109" s="209"/>
      <c r="U109" s="209"/>
      <c r="V109" s="195"/>
      <c r="W109" s="195"/>
      <c r="Y109" s="209"/>
      <c r="Z109" s="195"/>
      <c r="AA109" s="194"/>
      <c r="AB109" s="194"/>
      <c r="AC109" s="194"/>
      <c r="AD109" s="194"/>
      <c r="AE109" s="194"/>
      <c r="AG109" s="194"/>
      <c r="FI109" s="195"/>
      <c r="FJ109" s="195"/>
      <c r="FK109" s="195"/>
      <c r="FL109" s="195"/>
      <c r="FM109" s="195"/>
      <c r="FN109" s="195"/>
      <c r="FO109" s="195"/>
    </row>
    <row r="110" spans="1:171">
      <c r="A110" s="195"/>
      <c r="B110" s="195"/>
      <c r="C110" s="196"/>
      <c r="D110" s="213"/>
      <c r="E110" s="213"/>
      <c r="G110" s="516"/>
      <c r="H110" s="516"/>
      <c r="L110" s="349"/>
      <c r="M110" s="349"/>
      <c r="N110" s="211"/>
      <c r="O110" s="211"/>
      <c r="Q110" s="209"/>
      <c r="R110" s="195"/>
      <c r="S110" s="195"/>
      <c r="T110" s="209"/>
      <c r="U110" s="209"/>
      <c r="V110" s="195"/>
      <c r="W110" s="195"/>
      <c r="Y110" s="209"/>
      <c r="Z110" s="195"/>
      <c r="AA110" s="194"/>
      <c r="AB110" s="194"/>
      <c r="AC110" s="194"/>
      <c r="AD110" s="194"/>
      <c r="AE110" s="194"/>
      <c r="AG110" s="194"/>
      <c r="FI110" s="195"/>
      <c r="FJ110" s="195"/>
      <c r="FK110" s="195"/>
      <c r="FL110" s="195"/>
      <c r="FM110" s="195"/>
      <c r="FN110" s="195"/>
      <c r="FO110" s="195"/>
    </row>
    <row r="111" spans="1:171">
      <c r="A111" s="195"/>
      <c r="B111" s="195"/>
      <c r="C111" s="196"/>
      <c r="D111" s="213"/>
      <c r="E111" s="213"/>
      <c r="G111" s="516"/>
      <c r="H111" s="516"/>
      <c r="L111" s="349"/>
      <c r="M111" s="349"/>
      <c r="N111" s="211"/>
      <c r="O111" s="211"/>
      <c r="Q111" s="209"/>
      <c r="R111" s="195"/>
      <c r="S111" s="195"/>
      <c r="T111" s="209"/>
      <c r="U111" s="209"/>
      <c r="V111" s="195"/>
      <c r="W111" s="195"/>
      <c r="Y111" s="209"/>
      <c r="Z111" s="195"/>
      <c r="AA111" s="194"/>
      <c r="AB111" s="194"/>
      <c r="AC111" s="194"/>
      <c r="AD111" s="194"/>
      <c r="AE111" s="194"/>
      <c r="AG111" s="194"/>
      <c r="FI111" s="195"/>
      <c r="FJ111" s="195"/>
      <c r="FK111" s="195"/>
      <c r="FL111" s="195"/>
      <c r="FM111" s="195"/>
      <c r="FN111" s="195"/>
      <c r="FO111" s="195"/>
    </row>
    <row r="112" spans="1:171">
      <c r="A112" s="195"/>
      <c r="B112" s="195"/>
      <c r="C112" s="196"/>
      <c r="D112" s="213"/>
      <c r="E112" s="213"/>
      <c r="G112" s="516"/>
      <c r="H112" s="516"/>
      <c r="L112" s="349"/>
      <c r="M112" s="349"/>
      <c r="N112" s="211"/>
      <c r="O112" s="211"/>
      <c r="Q112" s="209"/>
      <c r="R112" s="195"/>
      <c r="S112" s="195"/>
      <c r="T112" s="209"/>
      <c r="U112" s="209"/>
      <c r="V112" s="195"/>
      <c r="W112" s="195"/>
      <c r="Y112" s="209"/>
      <c r="Z112" s="195"/>
      <c r="AA112" s="194"/>
      <c r="AB112" s="194"/>
      <c r="AC112" s="194"/>
      <c r="AD112" s="194"/>
      <c r="AE112" s="194"/>
      <c r="AG112" s="194"/>
      <c r="FI112" s="195"/>
      <c r="FJ112" s="195"/>
      <c r="FK112" s="195"/>
      <c r="FL112" s="195"/>
      <c r="FM112" s="195"/>
      <c r="FN112" s="195"/>
      <c r="FO112" s="195"/>
    </row>
    <row r="113" spans="1:171">
      <c r="A113" s="195"/>
      <c r="B113" s="195"/>
      <c r="C113" s="196"/>
      <c r="D113" s="213"/>
      <c r="E113" s="213"/>
      <c r="G113" s="516"/>
      <c r="H113" s="516"/>
      <c r="L113" s="349"/>
      <c r="M113" s="349"/>
      <c r="N113" s="211"/>
      <c r="O113" s="211"/>
      <c r="Q113" s="209"/>
      <c r="R113" s="195"/>
      <c r="S113" s="195"/>
      <c r="T113" s="209"/>
      <c r="U113" s="209"/>
      <c r="V113" s="195"/>
      <c r="W113" s="195"/>
      <c r="Y113" s="209"/>
      <c r="Z113" s="195"/>
      <c r="AA113" s="194"/>
      <c r="AB113" s="194"/>
      <c r="AC113" s="194"/>
      <c r="AD113" s="194"/>
      <c r="AE113" s="194"/>
      <c r="AG113" s="194"/>
      <c r="FI113" s="195"/>
      <c r="FJ113" s="195"/>
      <c r="FK113" s="195"/>
      <c r="FL113" s="195"/>
      <c r="FM113" s="195"/>
      <c r="FN113" s="195"/>
      <c r="FO113" s="195"/>
    </row>
    <row r="114" spans="1:171">
      <c r="A114" s="195"/>
      <c r="B114" s="195"/>
      <c r="C114" s="196"/>
      <c r="D114" s="213"/>
      <c r="E114" s="213"/>
      <c r="G114" s="516"/>
      <c r="H114" s="516"/>
      <c r="L114" s="349"/>
      <c r="M114" s="349"/>
      <c r="N114" s="211"/>
      <c r="O114" s="211"/>
      <c r="Q114" s="209"/>
      <c r="R114" s="195"/>
      <c r="S114" s="195"/>
      <c r="T114" s="209"/>
      <c r="U114" s="209"/>
      <c r="V114" s="195"/>
      <c r="W114" s="195"/>
      <c r="Y114" s="209"/>
      <c r="Z114" s="195"/>
      <c r="AA114" s="194"/>
      <c r="AB114" s="194"/>
      <c r="AC114" s="194"/>
      <c r="AD114" s="194"/>
      <c r="AE114" s="194"/>
      <c r="AG114" s="194"/>
      <c r="FI114" s="195"/>
      <c r="FJ114" s="195"/>
      <c r="FK114" s="195"/>
      <c r="FL114" s="195"/>
      <c r="FM114" s="195"/>
      <c r="FN114" s="195"/>
      <c r="FO114" s="195"/>
    </row>
    <row r="115" spans="1:171">
      <c r="A115" s="195"/>
      <c r="B115" s="195"/>
      <c r="C115" s="196"/>
      <c r="D115" s="213"/>
      <c r="E115" s="213"/>
      <c r="G115" s="516"/>
      <c r="H115" s="516"/>
      <c r="L115" s="349"/>
      <c r="M115" s="349"/>
      <c r="N115" s="211"/>
      <c r="O115" s="211"/>
      <c r="Q115" s="209"/>
      <c r="R115" s="195"/>
      <c r="S115" s="195"/>
      <c r="T115" s="209"/>
      <c r="U115" s="209"/>
      <c r="V115" s="195"/>
      <c r="W115" s="195"/>
      <c r="Y115" s="209"/>
      <c r="Z115" s="195"/>
      <c r="AA115" s="194"/>
      <c r="AB115" s="194"/>
      <c r="AC115" s="194"/>
      <c r="AD115" s="194"/>
      <c r="AE115" s="194"/>
      <c r="AG115" s="194"/>
      <c r="FI115" s="195"/>
      <c r="FJ115" s="195"/>
      <c r="FK115" s="195"/>
      <c r="FL115" s="195"/>
      <c r="FM115" s="195"/>
      <c r="FN115" s="195"/>
      <c r="FO115" s="195"/>
    </row>
    <row r="116" spans="1:171">
      <c r="A116" s="195"/>
      <c r="B116" s="195"/>
      <c r="C116" s="196"/>
      <c r="D116" s="213"/>
      <c r="E116" s="213"/>
      <c r="G116" s="516"/>
      <c r="H116" s="516"/>
      <c r="L116" s="349"/>
      <c r="M116" s="349"/>
      <c r="N116" s="211"/>
      <c r="O116" s="211"/>
      <c r="Q116" s="209"/>
      <c r="R116" s="195"/>
      <c r="S116" s="195"/>
      <c r="T116" s="209"/>
      <c r="U116" s="209"/>
      <c r="V116" s="195"/>
      <c r="W116" s="195"/>
      <c r="Y116" s="209"/>
      <c r="Z116" s="195"/>
      <c r="AA116" s="194"/>
      <c r="AB116" s="194"/>
      <c r="AC116" s="194"/>
      <c r="AD116" s="194"/>
      <c r="AE116" s="194"/>
      <c r="AG116" s="194"/>
      <c r="FI116" s="195"/>
      <c r="FJ116" s="195"/>
      <c r="FK116" s="195"/>
      <c r="FL116" s="195"/>
      <c r="FM116" s="195"/>
      <c r="FN116" s="195"/>
      <c r="FO116" s="195"/>
    </row>
    <row r="117" spans="1:171">
      <c r="A117" s="195"/>
      <c r="B117" s="195"/>
      <c r="C117" s="196"/>
      <c r="D117" s="213"/>
      <c r="E117" s="213"/>
      <c r="G117" s="516"/>
      <c r="H117" s="516"/>
      <c r="L117" s="349"/>
      <c r="M117" s="349"/>
      <c r="N117" s="211"/>
      <c r="O117" s="211"/>
      <c r="Q117" s="209"/>
      <c r="R117" s="195"/>
      <c r="S117" s="195"/>
      <c r="T117" s="209"/>
      <c r="U117" s="209"/>
      <c r="V117" s="195"/>
      <c r="W117" s="195"/>
      <c r="Y117" s="209"/>
      <c r="Z117" s="195"/>
      <c r="AA117" s="194"/>
      <c r="AB117" s="194"/>
      <c r="AC117" s="194"/>
      <c r="AD117" s="194"/>
      <c r="AE117" s="194"/>
      <c r="AG117" s="194"/>
      <c r="FI117" s="195"/>
      <c r="FJ117" s="195"/>
      <c r="FK117" s="195"/>
      <c r="FL117" s="195"/>
      <c r="FM117" s="195"/>
      <c r="FN117" s="195"/>
      <c r="FO117" s="195"/>
    </row>
    <row r="118" spans="1:171">
      <c r="A118" s="195"/>
      <c r="B118" s="195"/>
      <c r="C118" s="196"/>
      <c r="D118" s="213"/>
      <c r="E118" s="213"/>
      <c r="G118" s="516"/>
      <c r="H118" s="516"/>
      <c r="L118" s="349"/>
      <c r="M118" s="349"/>
      <c r="N118" s="211"/>
      <c r="O118" s="211"/>
      <c r="Q118" s="209"/>
      <c r="R118" s="195"/>
      <c r="S118" s="195"/>
      <c r="T118" s="209"/>
      <c r="U118" s="209"/>
      <c r="V118" s="195"/>
      <c r="W118" s="195"/>
      <c r="Y118" s="209"/>
      <c r="Z118" s="195"/>
      <c r="AA118" s="194"/>
      <c r="AB118" s="194"/>
      <c r="AC118" s="194"/>
      <c r="AD118" s="194"/>
      <c r="AE118" s="194"/>
      <c r="AG118" s="194"/>
      <c r="FI118" s="195"/>
      <c r="FJ118" s="195"/>
      <c r="FK118" s="195"/>
      <c r="FL118" s="195"/>
      <c r="FM118" s="195"/>
      <c r="FN118" s="195"/>
      <c r="FO118" s="195"/>
    </row>
    <row r="119" spans="1:171">
      <c r="A119" s="195"/>
      <c r="B119" s="195"/>
      <c r="C119" s="196"/>
      <c r="D119" s="213"/>
      <c r="E119" s="213"/>
      <c r="G119" s="516"/>
      <c r="H119" s="516"/>
      <c r="L119" s="349"/>
      <c r="M119" s="349"/>
      <c r="N119" s="211"/>
      <c r="O119" s="211"/>
      <c r="Q119" s="209"/>
      <c r="R119" s="195"/>
      <c r="S119" s="195"/>
      <c r="T119" s="209"/>
      <c r="U119" s="209"/>
      <c r="V119" s="195"/>
      <c r="W119" s="195"/>
      <c r="Y119" s="209"/>
      <c r="Z119" s="195"/>
      <c r="AA119" s="194"/>
      <c r="AB119" s="194"/>
      <c r="AC119" s="194"/>
      <c r="AD119" s="194"/>
      <c r="AE119" s="194"/>
      <c r="AG119" s="194"/>
      <c r="FI119" s="195"/>
      <c r="FJ119" s="195"/>
      <c r="FK119" s="195"/>
      <c r="FL119" s="195"/>
      <c r="FM119" s="195"/>
      <c r="FN119" s="195"/>
      <c r="FO119" s="195"/>
    </row>
    <row r="120" spans="1:171">
      <c r="A120" s="195"/>
      <c r="B120" s="195"/>
      <c r="C120" s="196"/>
      <c r="D120" s="213"/>
      <c r="E120" s="213"/>
      <c r="G120" s="516"/>
      <c r="H120" s="516"/>
      <c r="L120" s="349"/>
      <c r="M120" s="349"/>
      <c r="N120" s="211"/>
      <c r="O120" s="211"/>
      <c r="Q120" s="209"/>
      <c r="R120" s="195"/>
      <c r="S120" s="195"/>
      <c r="T120" s="209"/>
      <c r="U120" s="209"/>
      <c r="V120" s="195"/>
      <c r="W120" s="195"/>
      <c r="Y120" s="209"/>
      <c r="Z120" s="195"/>
      <c r="AA120" s="194"/>
      <c r="AB120" s="194"/>
      <c r="AC120" s="194"/>
      <c r="AD120" s="194"/>
      <c r="AE120" s="194"/>
      <c r="AG120" s="194"/>
      <c r="FI120" s="195"/>
      <c r="FJ120" s="195"/>
      <c r="FK120" s="195"/>
      <c r="FL120" s="195"/>
      <c r="FM120" s="195"/>
      <c r="FN120" s="195"/>
      <c r="FO120" s="195"/>
    </row>
    <row r="121" spans="1:171">
      <c r="A121" s="195"/>
      <c r="B121" s="195"/>
      <c r="C121" s="196"/>
      <c r="D121" s="213"/>
      <c r="E121" s="213"/>
      <c r="G121" s="516"/>
      <c r="H121" s="516"/>
      <c r="L121" s="349"/>
      <c r="M121" s="349"/>
      <c r="N121" s="211"/>
      <c r="O121" s="211"/>
      <c r="Q121" s="209"/>
      <c r="R121" s="195"/>
      <c r="S121" s="195"/>
      <c r="T121" s="209"/>
      <c r="U121" s="209"/>
      <c r="V121" s="195"/>
      <c r="W121" s="195"/>
      <c r="Y121" s="209"/>
      <c r="Z121" s="195"/>
      <c r="AA121" s="194"/>
      <c r="AB121" s="194"/>
      <c r="AC121" s="194"/>
      <c r="AD121" s="194"/>
      <c r="AE121" s="194"/>
      <c r="AG121" s="194"/>
      <c r="FI121" s="195"/>
      <c r="FJ121" s="195"/>
      <c r="FK121" s="195"/>
      <c r="FL121" s="195"/>
      <c r="FM121" s="195"/>
      <c r="FN121" s="195"/>
      <c r="FO121" s="195"/>
    </row>
    <row r="122" spans="1:171">
      <c r="A122" s="195"/>
      <c r="B122" s="195"/>
      <c r="C122" s="196"/>
      <c r="D122" s="213"/>
      <c r="E122" s="213"/>
      <c r="G122" s="516"/>
      <c r="H122" s="516"/>
      <c r="L122" s="349"/>
      <c r="M122" s="349"/>
      <c r="N122" s="211"/>
      <c r="O122" s="211"/>
      <c r="Q122" s="209"/>
      <c r="R122" s="195"/>
      <c r="S122" s="195"/>
      <c r="T122" s="209"/>
      <c r="U122" s="209"/>
      <c r="V122" s="195"/>
      <c r="W122" s="195"/>
      <c r="Y122" s="209"/>
      <c r="Z122" s="195"/>
      <c r="AA122" s="194"/>
      <c r="AB122" s="194"/>
      <c r="AC122" s="194"/>
      <c r="AD122" s="194"/>
      <c r="AE122" s="194"/>
      <c r="AG122" s="194"/>
      <c r="FI122" s="195"/>
      <c r="FJ122" s="195"/>
      <c r="FK122" s="195"/>
      <c r="FL122" s="195"/>
      <c r="FM122" s="195"/>
      <c r="FN122" s="195"/>
      <c r="FO122" s="195"/>
    </row>
    <row r="123" spans="1:171">
      <c r="A123" s="195"/>
      <c r="B123" s="195"/>
      <c r="C123" s="196"/>
      <c r="D123" s="213"/>
      <c r="E123" s="213"/>
      <c r="G123" s="516"/>
      <c r="H123" s="516"/>
      <c r="L123" s="349"/>
      <c r="M123" s="349"/>
      <c r="N123" s="211"/>
      <c r="O123" s="211"/>
      <c r="Q123" s="209"/>
      <c r="R123" s="195"/>
      <c r="S123" s="195"/>
      <c r="T123" s="209"/>
      <c r="U123" s="209"/>
      <c r="V123" s="195"/>
      <c r="W123" s="195"/>
      <c r="Y123" s="209"/>
      <c r="Z123" s="195"/>
      <c r="AA123" s="194"/>
      <c r="AB123" s="194"/>
      <c r="AC123" s="194"/>
      <c r="AD123" s="194"/>
      <c r="AE123" s="194"/>
      <c r="AG123" s="194"/>
      <c r="FI123" s="195"/>
      <c r="FJ123" s="195"/>
      <c r="FK123" s="195"/>
      <c r="FL123" s="195"/>
      <c r="FM123" s="195"/>
      <c r="FN123" s="195"/>
      <c r="FO123" s="195"/>
    </row>
    <row r="124" spans="1:171">
      <c r="A124" s="195"/>
      <c r="B124" s="195"/>
      <c r="C124" s="196"/>
      <c r="D124" s="213"/>
      <c r="E124" s="213"/>
      <c r="G124" s="516"/>
      <c r="H124" s="516"/>
      <c r="L124" s="349"/>
      <c r="M124" s="349"/>
      <c r="N124" s="211"/>
      <c r="O124" s="211"/>
      <c r="Q124" s="209"/>
      <c r="R124" s="195"/>
      <c r="S124" s="195"/>
      <c r="T124" s="209"/>
      <c r="U124" s="209"/>
      <c r="V124" s="195"/>
      <c r="W124" s="195"/>
      <c r="Y124" s="209"/>
      <c r="Z124" s="195"/>
      <c r="AA124" s="194"/>
      <c r="AB124" s="194"/>
      <c r="AC124" s="194"/>
      <c r="AD124" s="194"/>
      <c r="AE124" s="194"/>
      <c r="AG124" s="194"/>
      <c r="FI124" s="195"/>
      <c r="FJ124" s="195"/>
      <c r="FK124" s="195"/>
      <c r="FL124" s="195"/>
      <c r="FM124" s="195"/>
      <c r="FN124" s="195"/>
      <c r="FO124" s="195"/>
    </row>
    <row r="125" spans="1:171">
      <c r="A125" s="195"/>
      <c r="B125" s="195"/>
      <c r="C125" s="196"/>
      <c r="D125" s="213"/>
      <c r="E125" s="213"/>
      <c r="G125" s="516"/>
      <c r="H125" s="516"/>
      <c r="L125" s="349"/>
      <c r="M125" s="349"/>
      <c r="N125" s="211"/>
      <c r="O125" s="211"/>
      <c r="Q125" s="209"/>
      <c r="R125" s="195"/>
      <c r="S125" s="195"/>
      <c r="T125" s="209"/>
      <c r="U125" s="209"/>
      <c r="V125" s="195"/>
      <c r="W125" s="195"/>
      <c r="Y125" s="209"/>
      <c r="Z125" s="195"/>
      <c r="AA125" s="194"/>
      <c r="AB125" s="194"/>
      <c r="AC125" s="194"/>
      <c r="AD125" s="194"/>
      <c r="AE125" s="194"/>
      <c r="AG125" s="194"/>
      <c r="FI125" s="195"/>
      <c r="FJ125" s="195"/>
      <c r="FK125" s="195"/>
      <c r="FL125" s="195"/>
      <c r="FM125" s="195"/>
      <c r="FN125" s="195"/>
      <c r="FO125" s="195"/>
    </row>
    <row r="126" spans="1:171">
      <c r="A126" s="195"/>
      <c r="B126" s="195"/>
      <c r="C126" s="196"/>
      <c r="D126" s="213"/>
      <c r="E126" s="213"/>
      <c r="G126" s="516"/>
      <c r="H126" s="516"/>
      <c r="L126" s="349"/>
      <c r="M126" s="349"/>
      <c r="N126" s="211"/>
      <c r="O126" s="211"/>
      <c r="Q126" s="209"/>
      <c r="R126" s="195"/>
      <c r="S126" s="195"/>
      <c r="T126" s="209"/>
      <c r="U126" s="209"/>
      <c r="V126" s="195"/>
      <c r="W126" s="195"/>
      <c r="Y126" s="209"/>
      <c r="Z126" s="195"/>
      <c r="AA126" s="194"/>
      <c r="AB126" s="194"/>
      <c r="AC126" s="194"/>
      <c r="AD126" s="194"/>
      <c r="AE126" s="194"/>
      <c r="AG126" s="194"/>
      <c r="FI126" s="195"/>
      <c r="FJ126" s="195"/>
      <c r="FK126" s="195"/>
      <c r="FL126" s="195"/>
      <c r="FM126" s="195"/>
      <c r="FN126" s="195"/>
      <c r="FO126" s="195"/>
    </row>
    <row r="127" spans="1:171">
      <c r="A127" s="195"/>
      <c r="B127" s="195"/>
      <c r="C127" s="196"/>
      <c r="D127" s="213"/>
      <c r="E127" s="213"/>
      <c r="G127" s="516"/>
      <c r="H127" s="516"/>
      <c r="L127" s="349"/>
      <c r="M127" s="349"/>
      <c r="N127" s="211"/>
      <c r="O127" s="211"/>
      <c r="Q127" s="209"/>
      <c r="R127" s="195"/>
      <c r="S127" s="195"/>
      <c r="T127" s="209"/>
      <c r="U127" s="209"/>
      <c r="V127" s="195"/>
      <c r="W127" s="195"/>
      <c r="Y127" s="209"/>
      <c r="Z127" s="195"/>
      <c r="AA127" s="194"/>
      <c r="AB127" s="194"/>
      <c r="AC127" s="194"/>
      <c r="AD127" s="194"/>
      <c r="AE127" s="194"/>
      <c r="AG127" s="194"/>
      <c r="FI127" s="195"/>
      <c r="FJ127" s="195"/>
      <c r="FK127" s="195"/>
      <c r="FL127" s="195"/>
      <c r="FM127" s="195"/>
      <c r="FN127" s="195"/>
      <c r="FO127" s="195"/>
    </row>
    <row r="128" spans="1:171">
      <c r="A128" s="195"/>
      <c r="B128" s="195"/>
      <c r="C128" s="196"/>
      <c r="D128" s="213"/>
      <c r="E128" s="213"/>
      <c r="G128" s="516"/>
      <c r="H128" s="516"/>
      <c r="L128" s="349"/>
      <c r="M128" s="349"/>
      <c r="N128" s="211"/>
      <c r="O128" s="211"/>
      <c r="Q128" s="209"/>
      <c r="R128" s="195"/>
      <c r="S128" s="195"/>
      <c r="T128" s="209"/>
      <c r="U128" s="209"/>
      <c r="V128" s="195"/>
      <c r="W128" s="195"/>
      <c r="Y128" s="209"/>
      <c r="Z128" s="195"/>
      <c r="AA128" s="194"/>
      <c r="AB128" s="194"/>
      <c r="AC128" s="194"/>
      <c r="AD128" s="194"/>
      <c r="AE128" s="194"/>
      <c r="AG128" s="194"/>
      <c r="FI128" s="195"/>
      <c r="FJ128" s="195"/>
      <c r="FK128" s="195"/>
      <c r="FL128" s="195"/>
      <c r="FM128" s="195"/>
      <c r="FN128" s="195"/>
      <c r="FO128" s="195"/>
    </row>
    <row r="129" spans="1:171">
      <c r="A129" s="195"/>
      <c r="B129" s="195"/>
      <c r="C129" s="196"/>
      <c r="D129" s="213"/>
      <c r="E129" s="213"/>
      <c r="G129" s="516"/>
      <c r="H129" s="516"/>
      <c r="L129" s="349"/>
      <c r="M129" s="349"/>
      <c r="N129" s="211"/>
      <c r="O129" s="211"/>
      <c r="Q129" s="209"/>
      <c r="R129" s="195"/>
      <c r="S129" s="195"/>
      <c r="T129" s="209"/>
      <c r="U129" s="209"/>
      <c r="V129" s="195"/>
      <c r="W129" s="195"/>
      <c r="Y129" s="209"/>
      <c r="Z129" s="195"/>
      <c r="AA129" s="194"/>
      <c r="AB129" s="194"/>
      <c r="AC129" s="194"/>
      <c r="AD129" s="194"/>
      <c r="AE129" s="194"/>
      <c r="AG129" s="194"/>
      <c r="FI129" s="195"/>
      <c r="FJ129" s="195"/>
      <c r="FK129" s="195"/>
      <c r="FL129" s="195"/>
      <c r="FM129" s="195"/>
      <c r="FN129" s="195"/>
      <c r="FO129" s="195"/>
    </row>
    <row r="130" spans="1:171">
      <c r="A130" s="195"/>
      <c r="B130" s="195"/>
      <c r="C130" s="196"/>
      <c r="D130" s="213"/>
      <c r="E130" s="213"/>
      <c r="G130" s="516"/>
      <c r="H130" s="516"/>
      <c r="L130" s="349"/>
      <c r="M130" s="349"/>
      <c r="N130" s="211"/>
      <c r="O130" s="211"/>
      <c r="Q130" s="209"/>
      <c r="R130" s="195"/>
      <c r="S130" s="195"/>
      <c r="T130" s="209"/>
      <c r="U130" s="209"/>
      <c r="V130" s="195"/>
      <c r="W130" s="195"/>
      <c r="Y130" s="209"/>
      <c r="Z130" s="195"/>
      <c r="AA130" s="194"/>
      <c r="AB130" s="194"/>
      <c r="AC130" s="194"/>
      <c r="AD130" s="194"/>
      <c r="AE130" s="194"/>
      <c r="AG130" s="194"/>
      <c r="FI130" s="195"/>
      <c r="FJ130" s="195"/>
      <c r="FK130" s="195"/>
      <c r="FL130" s="195"/>
      <c r="FM130" s="195"/>
      <c r="FN130" s="195"/>
      <c r="FO130" s="195"/>
    </row>
    <row r="131" spans="1:171">
      <c r="A131" s="195"/>
      <c r="B131" s="195"/>
      <c r="C131" s="196"/>
      <c r="D131" s="213"/>
      <c r="E131" s="213"/>
      <c r="G131" s="516"/>
      <c r="H131" s="516"/>
      <c r="L131" s="349"/>
      <c r="M131" s="349"/>
      <c r="N131" s="211"/>
      <c r="O131" s="211"/>
      <c r="Q131" s="209"/>
      <c r="R131" s="195"/>
      <c r="S131" s="195"/>
      <c r="T131" s="209"/>
      <c r="U131" s="209"/>
      <c r="V131" s="195"/>
      <c r="W131" s="195"/>
      <c r="Y131" s="209"/>
      <c r="Z131" s="195"/>
      <c r="AA131" s="194"/>
      <c r="AB131" s="194"/>
      <c r="AC131" s="194"/>
      <c r="AD131" s="194"/>
      <c r="AE131" s="194"/>
      <c r="AG131" s="194"/>
      <c r="FI131" s="195"/>
      <c r="FJ131" s="195"/>
      <c r="FK131" s="195"/>
      <c r="FL131" s="195"/>
      <c r="FM131" s="195"/>
      <c r="FN131" s="195"/>
      <c r="FO131" s="195"/>
    </row>
    <row r="132" spans="1:171">
      <c r="A132" s="195"/>
      <c r="B132" s="195"/>
      <c r="C132" s="196"/>
      <c r="D132" s="213"/>
      <c r="E132" s="213"/>
      <c r="G132" s="516"/>
      <c r="H132" s="516"/>
      <c r="L132" s="349"/>
      <c r="M132" s="349"/>
      <c r="N132" s="211"/>
      <c r="O132" s="211"/>
      <c r="Q132" s="209"/>
      <c r="R132" s="195"/>
      <c r="S132" s="195"/>
      <c r="T132" s="209"/>
      <c r="U132" s="209"/>
      <c r="V132" s="195"/>
      <c r="W132" s="195"/>
      <c r="Y132" s="209"/>
      <c r="Z132" s="195"/>
      <c r="AA132" s="194"/>
      <c r="AB132" s="194"/>
      <c r="AC132" s="194"/>
      <c r="AD132" s="194"/>
      <c r="AE132" s="194"/>
      <c r="AG132" s="194"/>
      <c r="FI132" s="195"/>
      <c r="FJ132" s="195"/>
      <c r="FK132" s="195"/>
      <c r="FL132" s="195"/>
      <c r="FM132" s="195"/>
      <c r="FN132" s="195"/>
      <c r="FO132" s="195"/>
    </row>
    <row r="133" spans="1:171">
      <c r="A133" s="195"/>
      <c r="B133" s="195"/>
      <c r="C133" s="196"/>
      <c r="D133" s="213"/>
      <c r="E133" s="213"/>
      <c r="G133" s="516"/>
      <c r="H133" s="516"/>
      <c r="L133" s="349"/>
      <c r="M133" s="349"/>
      <c r="N133" s="211"/>
      <c r="O133" s="211"/>
      <c r="Q133" s="209"/>
      <c r="R133" s="195"/>
      <c r="S133" s="195"/>
      <c r="T133" s="209"/>
      <c r="U133" s="209"/>
      <c r="V133" s="195"/>
      <c r="W133" s="195"/>
      <c r="Y133" s="209"/>
      <c r="Z133" s="195"/>
      <c r="AA133" s="194"/>
      <c r="AB133" s="194"/>
      <c r="AC133" s="194"/>
      <c r="AD133" s="194"/>
      <c r="AE133" s="194"/>
      <c r="AG133" s="194"/>
      <c r="FI133" s="195"/>
      <c r="FJ133" s="195"/>
      <c r="FK133" s="195"/>
      <c r="FL133" s="195"/>
      <c r="FM133" s="195"/>
      <c r="FN133" s="195"/>
      <c r="FO133" s="195"/>
    </row>
    <row r="134" spans="1:171">
      <c r="A134" s="195"/>
      <c r="B134" s="195"/>
      <c r="C134" s="196"/>
      <c r="D134" s="213"/>
      <c r="E134" s="213"/>
      <c r="G134" s="516"/>
      <c r="H134" s="516"/>
      <c r="L134" s="349"/>
      <c r="M134" s="349"/>
      <c r="N134" s="211"/>
      <c r="O134" s="211"/>
      <c r="Q134" s="209"/>
      <c r="R134" s="195"/>
      <c r="S134" s="195"/>
      <c r="T134" s="209"/>
      <c r="U134" s="209"/>
      <c r="V134" s="195"/>
      <c r="W134" s="195"/>
      <c r="Y134" s="209"/>
      <c r="Z134" s="195"/>
      <c r="AA134" s="194"/>
      <c r="AB134" s="194"/>
      <c r="AC134" s="194"/>
      <c r="AD134" s="194"/>
      <c r="AE134" s="194"/>
      <c r="AG134" s="194"/>
      <c r="FI134" s="195"/>
      <c r="FJ134" s="195"/>
      <c r="FK134" s="195"/>
      <c r="FL134" s="195"/>
      <c r="FM134" s="195"/>
      <c r="FN134" s="195"/>
      <c r="FO134" s="195"/>
    </row>
    <row r="135" spans="1:171">
      <c r="A135" s="195"/>
      <c r="B135" s="195"/>
      <c r="C135" s="196"/>
      <c r="D135" s="213"/>
      <c r="E135" s="213"/>
      <c r="G135" s="516"/>
      <c r="H135" s="516"/>
      <c r="L135" s="349"/>
      <c r="M135" s="349"/>
      <c r="N135" s="211"/>
      <c r="O135" s="211"/>
      <c r="Q135" s="209"/>
      <c r="R135" s="195"/>
      <c r="S135" s="195"/>
      <c r="T135" s="209"/>
      <c r="U135" s="209"/>
      <c r="V135" s="195"/>
      <c r="W135" s="195"/>
      <c r="Y135" s="209"/>
      <c r="Z135" s="195"/>
      <c r="AA135" s="194"/>
      <c r="AB135" s="194"/>
      <c r="AC135" s="194"/>
      <c r="AD135" s="194"/>
      <c r="AE135" s="194"/>
      <c r="AG135" s="194"/>
      <c r="FI135" s="195"/>
      <c r="FJ135" s="195"/>
      <c r="FK135" s="195"/>
      <c r="FL135" s="195"/>
      <c r="FM135" s="195"/>
      <c r="FN135" s="195"/>
      <c r="FO135" s="195"/>
    </row>
    <row r="136" spans="1:171">
      <c r="A136" s="195"/>
      <c r="B136" s="195"/>
      <c r="C136" s="196"/>
      <c r="D136" s="213"/>
      <c r="E136" s="213"/>
      <c r="G136" s="516"/>
      <c r="H136" s="516"/>
      <c r="L136" s="349"/>
      <c r="M136" s="349"/>
      <c r="N136" s="211"/>
      <c r="O136" s="211"/>
      <c r="Q136" s="209"/>
      <c r="R136" s="195"/>
      <c r="S136" s="195"/>
      <c r="T136" s="209"/>
      <c r="U136" s="209"/>
      <c r="V136" s="195"/>
      <c r="W136" s="195"/>
      <c r="Y136" s="209"/>
      <c r="Z136" s="195"/>
      <c r="AA136" s="194"/>
      <c r="AB136" s="194"/>
      <c r="AC136" s="194"/>
      <c r="AD136" s="194"/>
      <c r="AE136" s="194"/>
      <c r="AG136" s="194"/>
      <c r="FI136" s="195"/>
      <c r="FJ136" s="195"/>
      <c r="FK136" s="195"/>
      <c r="FL136" s="195"/>
      <c r="FM136" s="195"/>
      <c r="FN136" s="195"/>
      <c r="FO136" s="195"/>
    </row>
    <row r="137" spans="1:171">
      <c r="A137" s="195"/>
      <c r="B137" s="195"/>
      <c r="C137" s="196"/>
      <c r="D137" s="213"/>
      <c r="E137" s="213"/>
      <c r="G137" s="516"/>
      <c r="H137" s="516"/>
      <c r="L137" s="349"/>
      <c r="M137" s="349"/>
      <c r="N137" s="211"/>
      <c r="O137" s="211"/>
      <c r="Q137" s="209"/>
      <c r="R137" s="195"/>
      <c r="S137" s="195"/>
      <c r="T137" s="209"/>
      <c r="U137" s="209"/>
      <c r="V137" s="195"/>
      <c r="W137" s="195"/>
      <c r="Y137" s="209"/>
      <c r="Z137" s="195"/>
      <c r="AA137" s="194"/>
      <c r="AB137" s="194"/>
      <c r="AC137" s="194"/>
      <c r="AD137" s="194"/>
      <c r="AE137" s="194"/>
      <c r="AG137" s="194"/>
      <c r="FI137" s="195"/>
      <c r="FJ137" s="195"/>
      <c r="FK137" s="195"/>
      <c r="FL137" s="195"/>
      <c r="FM137" s="195"/>
      <c r="FN137" s="195"/>
      <c r="FO137" s="195"/>
    </row>
    <row r="138" spans="1:171">
      <c r="A138" s="195"/>
      <c r="B138" s="195"/>
      <c r="C138" s="196"/>
      <c r="D138" s="213"/>
      <c r="E138" s="213"/>
      <c r="G138" s="516"/>
      <c r="H138" s="516"/>
      <c r="L138" s="349"/>
      <c r="M138" s="349"/>
      <c r="N138" s="211"/>
      <c r="O138" s="211"/>
      <c r="Q138" s="209"/>
      <c r="R138" s="195"/>
      <c r="S138" s="195"/>
      <c r="T138" s="209"/>
      <c r="U138" s="209"/>
      <c r="V138" s="195"/>
      <c r="W138" s="195"/>
      <c r="Y138" s="209"/>
      <c r="Z138" s="195"/>
      <c r="AA138" s="194"/>
      <c r="AB138" s="194"/>
      <c r="AC138" s="194"/>
      <c r="AD138" s="194"/>
      <c r="AE138" s="194"/>
      <c r="AG138" s="194"/>
      <c r="FI138" s="195"/>
      <c r="FJ138" s="195"/>
      <c r="FK138" s="195"/>
      <c r="FL138" s="195"/>
      <c r="FM138" s="195"/>
      <c r="FN138" s="195"/>
      <c r="FO138" s="195"/>
    </row>
    <row r="139" spans="1:171">
      <c r="A139" s="195"/>
      <c r="B139" s="195"/>
      <c r="C139" s="196"/>
      <c r="D139" s="213"/>
      <c r="E139" s="213"/>
      <c r="G139" s="516"/>
      <c r="H139" s="516"/>
      <c r="L139" s="349"/>
      <c r="M139" s="349"/>
      <c r="N139" s="211"/>
      <c r="O139" s="211"/>
      <c r="Q139" s="209"/>
      <c r="R139" s="195"/>
      <c r="S139" s="195"/>
      <c r="T139" s="209"/>
      <c r="U139" s="209"/>
      <c r="V139" s="195"/>
      <c r="W139" s="195"/>
      <c r="Y139" s="209"/>
      <c r="Z139" s="195"/>
      <c r="AA139" s="194"/>
      <c r="AB139" s="194"/>
      <c r="AC139" s="194"/>
      <c r="AD139" s="194"/>
      <c r="AE139" s="194"/>
      <c r="AG139" s="194"/>
      <c r="FI139" s="195"/>
      <c r="FJ139" s="195"/>
      <c r="FK139" s="195"/>
      <c r="FL139" s="195"/>
      <c r="FM139" s="195"/>
      <c r="FN139" s="195"/>
      <c r="FO139" s="195"/>
    </row>
    <row r="140" spans="1:171">
      <c r="A140" s="195"/>
      <c r="B140" s="195"/>
      <c r="C140" s="196"/>
      <c r="D140" s="213"/>
      <c r="E140" s="213"/>
      <c r="G140" s="516"/>
      <c r="H140" s="516"/>
      <c r="L140" s="349"/>
      <c r="M140" s="349"/>
      <c r="N140" s="211"/>
      <c r="O140" s="211"/>
      <c r="Q140" s="209"/>
      <c r="R140" s="195"/>
      <c r="S140" s="195"/>
      <c r="T140" s="209"/>
      <c r="U140" s="209"/>
      <c r="V140" s="195"/>
      <c r="W140" s="195"/>
      <c r="Y140" s="209"/>
      <c r="Z140" s="195"/>
      <c r="AA140" s="194"/>
      <c r="AB140" s="194"/>
      <c r="AC140" s="194"/>
      <c r="AD140" s="194"/>
      <c r="AE140" s="194"/>
      <c r="AG140" s="194"/>
      <c r="FI140" s="195"/>
      <c r="FJ140" s="195"/>
      <c r="FK140" s="195"/>
      <c r="FL140" s="195"/>
      <c r="FM140" s="195"/>
      <c r="FN140" s="195"/>
      <c r="FO140" s="195"/>
    </row>
    <row r="141" spans="1:171">
      <c r="A141" s="195"/>
      <c r="B141" s="195"/>
      <c r="C141" s="196"/>
      <c r="D141" s="213"/>
      <c r="E141" s="213"/>
      <c r="G141" s="516"/>
      <c r="H141" s="516"/>
      <c r="L141" s="349"/>
      <c r="M141" s="349"/>
      <c r="N141" s="211"/>
      <c r="O141" s="211"/>
      <c r="Q141" s="209"/>
      <c r="R141" s="195"/>
      <c r="S141" s="195"/>
      <c r="T141" s="209"/>
      <c r="U141" s="209"/>
      <c r="V141" s="195"/>
      <c r="W141" s="195"/>
      <c r="Y141" s="209"/>
      <c r="Z141" s="195"/>
      <c r="AA141" s="194"/>
      <c r="AB141" s="194"/>
      <c r="AC141" s="194"/>
      <c r="AD141" s="194"/>
      <c r="AE141" s="194"/>
      <c r="AG141" s="194"/>
      <c r="FI141" s="195"/>
      <c r="FJ141" s="195"/>
      <c r="FK141" s="195"/>
      <c r="FL141" s="195"/>
      <c r="FM141" s="195"/>
      <c r="FN141" s="195"/>
      <c r="FO141" s="195"/>
    </row>
    <row r="142" spans="1:171">
      <c r="A142" s="195"/>
      <c r="B142" s="195"/>
      <c r="C142" s="196"/>
      <c r="D142" s="213"/>
      <c r="E142" s="213"/>
      <c r="G142" s="516"/>
      <c r="H142" s="516"/>
      <c r="L142" s="349"/>
      <c r="M142" s="349"/>
      <c r="N142" s="211"/>
      <c r="O142" s="211"/>
      <c r="Q142" s="209"/>
      <c r="R142" s="195"/>
      <c r="S142" s="195"/>
      <c r="T142" s="209"/>
      <c r="U142" s="209"/>
      <c r="V142" s="195"/>
      <c r="W142" s="195"/>
      <c r="Y142" s="209"/>
      <c r="Z142" s="195"/>
      <c r="AA142" s="194"/>
      <c r="AB142" s="194"/>
      <c r="AC142" s="194"/>
      <c r="AD142" s="194"/>
      <c r="AE142" s="194"/>
      <c r="AG142" s="194"/>
      <c r="FI142" s="195"/>
      <c r="FJ142" s="195"/>
      <c r="FK142" s="195"/>
      <c r="FL142" s="195"/>
      <c r="FM142" s="195"/>
      <c r="FN142" s="195"/>
      <c r="FO142" s="195"/>
    </row>
    <row r="143" spans="1:171">
      <c r="A143" s="195"/>
      <c r="B143" s="195"/>
      <c r="C143" s="196"/>
      <c r="D143" s="213"/>
      <c r="E143" s="213"/>
      <c r="G143" s="516"/>
      <c r="H143" s="516"/>
      <c r="L143" s="349"/>
      <c r="M143" s="349"/>
      <c r="N143" s="211"/>
      <c r="O143" s="211"/>
      <c r="Q143" s="209"/>
      <c r="R143" s="195"/>
      <c r="S143" s="195"/>
      <c r="T143" s="209"/>
      <c r="U143" s="209"/>
      <c r="V143" s="195"/>
      <c r="W143" s="195"/>
      <c r="Y143" s="209"/>
      <c r="Z143" s="195"/>
      <c r="AA143" s="194"/>
      <c r="AB143" s="194"/>
      <c r="AC143" s="194"/>
      <c r="AD143" s="194"/>
      <c r="AE143" s="194"/>
      <c r="AG143" s="194"/>
      <c r="FI143" s="195"/>
      <c r="FJ143" s="195"/>
      <c r="FK143" s="195"/>
      <c r="FL143" s="195"/>
      <c r="FM143" s="195"/>
      <c r="FN143" s="195"/>
      <c r="FO143" s="195"/>
    </row>
    <row r="144" spans="1:171">
      <c r="A144" s="195"/>
      <c r="B144" s="195"/>
      <c r="C144" s="196"/>
      <c r="D144" s="213"/>
      <c r="E144" s="213"/>
      <c r="G144" s="516"/>
      <c r="H144" s="516"/>
      <c r="L144" s="349"/>
      <c r="M144" s="349"/>
      <c r="N144" s="211"/>
      <c r="O144" s="211"/>
      <c r="Q144" s="209"/>
      <c r="R144" s="195"/>
      <c r="S144" s="195"/>
      <c r="T144" s="209"/>
      <c r="U144" s="209"/>
      <c r="V144" s="195"/>
      <c r="W144" s="195"/>
      <c r="Y144" s="209"/>
      <c r="Z144" s="195"/>
      <c r="AA144" s="194"/>
      <c r="AB144" s="194"/>
      <c r="AC144" s="194"/>
      <c r="AD144" s="194"/>
      <c r="AE144" s="194"/>
      <c r="AG144" s="194"/>
      <c r="FI144" s="195"/>
      <c r="FJ144" s="195"/>
      <c r="FK144" s="195"/>
      <c r="FL144" s="195"/>
      <c r="FM144" s="195"/>
      <c r="FN144" s="195"/>
      <c r="FO144" s="195"/>
    </row>
    <row r="145" spans="1:171">
      <c r="A145" s="195"/>
      <c r="B145" s="195"/>
      <c r="C145" s="196"/>
      <c r="D145" s="213"/>
      <c r="E145" s="213"/>
      <c r="G145" s="516"/>
      <c r="H145" s="516"/>
      <c r="L145" s="349"/>
      <c r="M145" s="349"/>
      <c r="N145" s="211"/>
      <c r="O145" s="211"/>
      <c r="Q145" s="209"/>
      <c r="R145" s="195"/>
      <c r="S145" s="195"/>
      <c r="T145" s="209"/>
      <c r="U145" s="209"/>
      <c r="V145" s="195"/>
      <c r="W145" s="195"/>
      <c r="Y145" s="209"/>
      <c r="Z145" s="195"/>
      <c r="AA145" s="194"/>
      <c r="AB145" s="194"/>
      <c r="AC145" s="194"/>
      <c r="AD145" s="194"/>
      <c r="AE145" s="194"/>
      <c r="AG145" s="194"/>
      <c r="FI145" s="195"/>
      <c r="FJ145" s="195"/>
      <c r="FK145" s="195"/>
      <c r="FL145" s="195"/>
      <c r="FM145" s="195"/>
      <c r="FN145" s="195"/>
      <c r="FO145" s="195"/>
    </row>
    <row r="146" spans="1:171">
      <c r="A146" s="195"/>
      <c r="B146" s="195"/>
      <c r="C146" s="196"/>
      <c r="D146" s="213"/>
      <c r="E146" s="213"/>
      <c r="G146" s="516"/>
      <c r="H146" s="516"/>
      <c r="L146" s="349"/>
      <c r="M146" s="349"/>
      <c r="N146" s="211"/>
      <c r="O146" s="211"/>
      <c r="Q146" s="209"/>
      <c r="R146" s="195"/>
      <c r="S146" s="195"/>
      <c r="T146" s="209"/>
      <c r="U146" s="209"/>
      <c r="V146" s="195"/>
      <c r="W146" s="195"/>
      <c r="Y146" s="209"/>
      <c r="Z146" s="195"/>
      <c r="AA146" s="194"/>
      <c r="AB146" s="194"/>
      <c r="AC146" s="194"/>
      <c r="AD146" s="194"/>
      <c r="AE146" s="194"/>
      <c r="AG146" s="194"/>
      <c r="FI146" s="195"/>
      <c r="FJ146" s="195"/>
      <c r="FK146" s="195"/>
      <c r="FL146" s="195"/>
      <c r="FM146" s="195"/>
      <c r="FN146" s="195"/>
      <c r="FO146" s="195"/>
    </row>
    <row r="147" spans="1:171">
      <c r="A147" s="195"/>
      <c r="B147" s="195"/>
      <c r="C147" s="196"/>
      <c r="D147" s="213"/>
      <c r="E147" s="213"/>
      <c r="G147" s="516"/>
      <c r="H147" s="516"/>
      <c r="L147" s="349"/>
      <c r="M147" s="349"/>
      <c r="N147" s="211"/>
      <c r="O147" s="211"/>
      <c r="Q147" s="209"/>
      <c r="R147" s="195"/>
      <c r="S147" s="195"/>
      <c r="T147" s="209"/>
      <c r="U147" s="209"/>
      <c r="V147" s="195"/>
      <c r="W147" s="195"/>
      <c r="Y147" s="209"/>
      <c r="Z147" s="195"/>
      <c r="AA147" s="194"/>
      <c r="AB147" s="194"/>
      <c r="AC147" s="194"/>
      <c r="AD147" s="194"/>
      <c r="AE147" s="194"/>
      <c r="AG147" s="194"/>
      <c r="FI147" s="195"/>
      <c r="FJ147" s="195"/>
      <c r="FK147" s="195"/>
      <c r="FL147" s="195"/>
      <c r="FM147" s="195"/>
      <c r="FN147" s="195"/>
      <c r="FO147" s="195"/>
    </row>
    <row r="148" spans="1:171">
      <c r="A148" s="195"/>
      <c r="B148" s="195"/>
      <c r="C148" s="196"/>
      <c r="D148" s="213"/>
      <c r="E148" s="213"/>
      <c r="G148" s="516"/>
      <c r="H148" s="516"/>
      <c r="L148" s="349"/>
      <c r="M148" s="349"/>
      <c r="N148" s="211"/>
      <c r="O148" s="211"/>
      <c r="Q148" s="209"/>
      <c r="R148" s="195"/>
      <c r="S148" s="195"/>
      <c r="T148" s="209"/>
      <c r="U148" s="209"/>
      <c r="V148" s="195"/>
      <c r="W148" s="195"/>
      <c r="Y148" s="209"/>
      <c r="Z148" s="195"/>
      <c r="AA148" s="194"/>
      <c r="AB148" s="194"/>
      <c r="AC148" s="194"/>
      <c r="AD148" s="194"/>
      <c r="AE148" s="194"/>
      <c r="AG148" s="194"/>
      <c r="FI148" s="195"/>
      <c r="FJ148" s="195"/>
      <c r="FK148" s="195"/>
      <c r="FL148" s="195"/>
      <c r="FM148" s="195"/>
      <c r="FN148" s="195"/>
      <c r="FO148" s="195"/>
    </row>
    <row r="149" spans="1:171">
      <c r="A149" s="195"/>
      <c r="B149" s="195"/>
      <c r="C149" s="196"/>
      <c r="D149" s="213"/>
      <c r="E149" s="213"/>
      <c r="G149" s="516"/>
      <c r="H149" s="516"/>
      <c r="L149" s="349"/>
      <c r="M149" s="349"/>
      <c r="N149" s="211"/>
      <c r="O149" s="211"/>
      <c r="Q149" s="209"/>
      <c r="R149" s="195"/>
      <c r="S149" s="195"/>
      <c r="T149" s="209"/>
      <c r="U149" s="209"/>
      <c r="V149" s="195"/>
      <c r="W149" s="195"/>
      <c r="Y149" s="209"/>
      <c r="Z149" s="195"/>
      <c r="AA149" s="194"/>
      <c r="AB149" s="194"/>
      <c r="AC149" s="194"/>
      <c r="AD149" s="194"/>
      <c r="AE149" s="194"/>
      <c r="AG149" s="194"/>
      <c r="FI149" s="195"/>
      <c r="FJ149" s="195"/>
      <c r="FK149" s="195"/>
      <c r="FL149" s="195"/>
      <c r="FM149" s="195"/>
      <c r="FN149" s="195"/>
      <c r="FO149" s="195"/>
    </row>
    <row r="150" spans="1:171">
      <c r="A150" s="195"/>
      <c r="B150" s="195"/>
      <c r="C150" s="196"/>
      <c r="D150" s="213"/>
      <c r="E150" s="213"/>
      <c r="G150" s="516"/>
      <c r="H150" s="516"/>
      <c r="L150" s="349"/>
      <c r="M150" s="349"/>
      <c r="N150" s="211"/>
      <c r="O150" s="211"/>
      <c r="Q150" s="209"/>
      <c r="R150" s="195"/>
      <c r="S150" s="195"/>
      <c r="T150" s="209"/>
      <c r="U150" s="209"/>
      <c r="V150" s="195"/>
      <c r="W150" s="195"/>
      <c r="Y150" s="209"/>
      <c r="Z150" s="195"/>
      <c r="AA150" s="194"/>
      <c r="AB150" s="194"/>
      <c r="AC150" s="194"/>
      <c r="AD150" s="194"/>
      <c r="AE150" s="194"/>
      <c r="AG150" s="194"/>
      <c r="FI150" s="195"/>
      <c r="FJ150" s="195"/>
      <c r="FK150" s="195"/>
      <c r="FL150" s="195"/>
      <c r="FM150" s="195"/>
      <c r="FN150" s="195"/>
      <c r="FO150" s="195"/>
    </row>
    <row r="151" spans="1:171">
      <c r="A151" s="195"/>
      <c r="B151" s="195"/>
      <c r="C151" s="196"/>
      <c r="D151" s="213"/>
      <c r="E151" s="213"/>
      <c r="G151" s="516"/>
      <c r="H151" s="516"/>
      <c r="L151" s="349"/>
      <c r="M151" s="349"/>
      <c r="N151" s="211"/>
      <c r="O151" s="211"/>
      <c r="Q151" s="209"/>
      <c r="R151" s="195"/>
      <c r="S151" s="195"/>
      <c r="T151" s="209"/>
      <c r="U151" s="209"/>
      <c r="V151" s="195"/>
      <c r="W151" s="195"/>
      <c r="Y151" s="209"/>
      <c r="Z151" s="195"/>
      <c r="AA151" s="194"/>
      <c r="AB151" s="194"/>
      <c r="AC151" s="194"/>
      <c r="AD151" s="194"/>
      <c r="AE151" s="194"/>
      <c r="AG151" s="194"/>
      <c r="FI151" s="195"/>
      <c r="FJ151" s="195"/>
      <c r="FK151" s="195"/>
      <c r="FL151" s="195"/>
      <c r="FM151" s="195"/>
      <c r="FN151" s="195"/>
      <c r="FO151" s="195"/>
    </row>
    <row r="152" spans="1:171">
      <c r="A152" s="195"/>
      <c r="B152" s="195"/>
      <c r="C152" s="196"/>
      <c r="D152" s="213"/>
      <c r="E152" s="213"/>
      <c r="G152" s="516"/>
      <c r="H152" s="516"/>
      <c r="L152" s="349"/>
      <c r="M152" s="349"/>
      <c r="N152" s="211"/>
      <c r="O152" s="211"/>
      <c r="Q152" s="209"/>
      <c r="R152" s="195"/>
      <c r="S152" s="195"/>
      <c r="T152" s="209"/>
      <c r="U152" s="209"/>
      <c r="V152" s="195"/>
      <c r="W152" s="195"/>
      <c r="Y152" s="209"/>
      <c r="Z152" s="195"/>
      <c r="AA152" s="194"/>
      <c r="AB152" s="194"/>
      <c r="AC152" s="194"/>
      <c r="AD152" s="194"/>
      <c r="AE152" s="194"/>
      <c r="AG152" s="194"/>
      <c r="FI152" s="195"/>
      <c r="FJ152" s="195"/>
      <c r="FK152" s="195"/>
      <c r="FL152" s="195"/>
      <c r="FM152" s="195"/>
      <c r="FN152" s="195"/>
      <c r="FO152" s="195"/>
    </row>
    <row r="153" spans="1:171">
      <c r="A153" s="195"/>
      <c r="B153" s="195"/>
      <c r="C153" s="196"/>
      <c r="D153" s="213"/>
      <c r="E153" s="213"/>
      <c r="G153" s="516"/>
      <c r="H153" s="516"/>
      <c r="L153" s="349"/>
      <c r="M153" s="349"/>
      <c r="N153" s="211"/>
      <c r="O153" s="211"/>
      <c r="Q153" s="209"/>
      <c r="R153" s="195"/>
      <c r="S153" s="195"/>
      <c r="T153" s="209"/>
      <c r="U153" s="209"/>
      <c r="V153" s="195"/>
      <c r="W153" s="195"/>
      <c r="Y153" s="209"/>
      <c r="Z153" s="195"/>
      <c r="AA153" s="194"/>
      <c r="AB153" s="194"/>
      <c r="AC153" s="194"/>
      <c r="AD153" s="194"/>
      <c r="AE153" s="194"/>
      <c r="AG153" s="194"/>
      <c r="FI153" s="195"/>
      <c r="FJ153" s="195"/>
      <c r="FK153" s="195"/>
      <c r="FL153" s="195"/>
      <c r="FM153" s="195"/>
      <c r="FN153" s="195"/>
      <c r="FO153" s="195"/>
    </row>
    <row r="154" spans="1:171">
      <c r="A154" s="195"/>
      <c r="B154" s="195"/>
      <c r="C154" s="196"/>
      <c r="D154" s="213"/>
      <c r="E154" s="213"/>
      <c r="G154" s="516"/>
      <c r="H154" s="516"/>
      <c r="L154" s="349"/>
      <c r="M154" s="349"/>
      <c r="N154" s="211"/>
      <c r="O154" s="211"/>
      <c r="Q154" s="209"/>
      <c r="R154" s="195"/>
      <c r="S154" s="195"/>
      <c r="T154" s="209"/>
      <c r="U154" s="209"/>
      <c r="V154" s="195"/>
      <c r="W154" s="195"/>
      <c r="Y154" s="209"/>
      <c r="Z154" s="195"/>
      <c r="AA154" s="194"/>
      <c r="AB154" s="194"/>
      <c r="AC154" s="194"/>
      <c r="AD154" s="194"/>
      <c r="AE154" s="194"/>
      <c r="AG154" s="194"/>
      <c r="FI154" s="195"/>
      <c r="FJ154" s="195"/>
      <c r="FK154" s="195"/>
      <c r="FL154" s="195"/>
      <c r="FM154" s="195"/>
      <c r="FN154" s="195"/>
      <c r="FO154" s="195"/>
    </row>
    <row r="155" spans="1:171">
      <c r="A155" s="195"/>
      <c r="B155" s="195"/>
      <c r="C155" s="196"/>
      <c r="D155" s="213"/>
      <c r="E155" s="213"/>
      <c r="G155" s="516"/>
      <c r="H155" s="516"/>
      <c r="L155" s="349"/>
      <c r="M155" s="349"/>
      <c r="N155" s="211"/>
      <c r="O155" s="211"/>
      <c r="Q155" s="209"/>
      <c r="R155" s="195"/>
      <c r="S155" s="195"/>
      <c r="T155" s="209"/>
      <c r="U155" s="209"/>
      <c r="V155" s="195"/>
      <c r="W155" s="195"/>
      <c r="Y155" s="209"/>
      <c r="Z155" s="195"/>
      <c r="AA155" s="194"/>
      <c r="AB155" s="194"/>
      <c r="AC155" s="194"/>
      <c r="AD155" s="194"/>
      <c r="AE155" s="194"/>
      <c r="AG155" s="194"/>
      <c r="FI155" s="195"/>
      <c r="FJ155" s="195"/>
      <c r="FK155" s="195"/>
      <c r="FL155" s="195"/>
      <c r="FM155" s="195"/>
      <c r="FN155" s="195"/>
      <c r="FO155" s="195"/>
    </row>
    <row r="156" spans="1:171">
      <c r="A156" s="195"/>
      <c r="B156" s="195"/>
      <c r="C156" s="196"/>
      <c r="D156" s="213"/>
      <c r="E156" s="213"/>
      <c r="G156" s="516"/>
      <c r="H156" s="516"/>
      <c r="L156" s="349"/>
      <c r="M156" s="349"/>
      <c r="N156" s="211"/>
      <c r="O156" s="211"/>
      <c r="Q156" s="209"/>
      <c r="R156" s="195"/>
      <c r="S156" s="195"/>
      <c r="T156" s="209"/>
      <c r="U156" s="209"/>
      <c r="V156" s="195"/>
      <c r="W156" s="195"/>
      <c r="Y156" s="209"/>
      <c r="Z156" s="195"/>
      <c r="AA156" s="194"/>
      <c r="AB156" s="194"/>
      <c r="AC156" s="194"/>
      <c r="AD156" s="194"/>
      <c r="AE156" s="194"/>
      <c r="AG156" s="194"/>
      <c r="FI156" s="195"/>
      <c r="FJ156" s="195"/>
      <c r="FK156" s="195"/>
      <c r="FL156" s="195"/>
      <c r="FM156" s="195"/>
      <c r="FN156" s="195"/>
      <c r="FO156" s="195"/>
    </row>
    <row r="157" spans="1:171">
      <c r="D157" s="213"/>
    </row>
  </sheetData>
  <mergeCells count="15">
    <mergeCell ref="BW3:CP3"/>
    <mergeCell ref="CR3:DK3"/>
    <mergeCell ref="DM3:DW3"/>
    <mergeCell ref="Y1:AE1"/>
    <mergeCell ref="G2:J2"/>
    <mergeCell ref="N2:O2"/>
    <mergeCell ref="Q2:W2"/>
    <mergeCell ref="Y2:Y3"/>
    <mergeCell ref="Z2:Z3"/>
    <mergeCell ref="AC2:AC3"/>
    <mergeCell ref="AA2:AB2"/>
    <mergeCell ref="AD2:AD3"/>
    <mergeCell ref="AE2:AE3"/>
    <mergeCell ref="AG3:AZ3"/>
    <mergeCell ref="BB3:BU3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26" sqref="N26"/>
    </sheetView>
  </sheetViews>
  <sheetFormatPr defaultColWidth="9.109375" defaultRowHeight="13.8"/>
  <cols>
    <col min="1" max="1" width="28.5546875" style="531" bestFit="1" customWidth="1"/>
    <col min="2" max="2" width="11.33203125" style="531" hidden="1" customWidth="1"/>
    <col min="3" max="3" width="10.44140625" style="531" hidden="1" customWidth="1"/>
    <col min="4" max="4" width="9.44140625" style="531" hidden="1" customWidth="1"/>
    <col min="5" max="5" width="10.109375" style="531" bestFit="1" customWidth="1"/>
    <col min="6" max="6" width="10.88671875" style="531" hidden="1" customWidth="1"/>
    <col min="7" max="7" width="20.6640625" style="531" hidden="1" customWidth="1"/>
    <col min="8" max="8" width="2.109375" style="531" customWidth="1"/>
    <col min="9" max="9" width="11.33203125" style="531" hidden="1" customWidth="1"/>
    <col min="10" max="10" width="10.44140625" style="531" hidden="1" customWidth="1"/>
    <col min="11" max="11" width="9.44140625" style="531" hidden="1" customWidth="1"/>
    <col min="12" max="12" width="10.109375" style="531" bestFit="1" customWidth="1"/>
    <col min="13" max="13" width="10.88671875" style="531" hidden="1" customWidth="1"/>
    <col min="14" max="16384" width="9.109375" style="531"/>
  </cols>
  <sheetData>
    <row r="1" spans="1:16">
      <c r="A1" s="530" t="s">
        <v>252</v>
      </c>
      <c r="G1" s="530"/>
    </row>
    <row r="2" spans="1:16">
      <c r="B2" s="790" t="s">
        <v>272</v>
      </c>
      <c r="C2" s="791"/>
      <c r="D2" s="791"/>
      <c r="E2" s="791"/>
      <c r="F2" s="791"/>
      <c r="G2" s="792"/>
      <c r="I2" s="790" t="s">
        <v>271</v>
      </c>
      <c r="J2" s="791"/>
      <c r="K2" s="791"/>
      <c r="L2" s="791"/>
      <c r="M2" s="792"/>
    </row>
    <row r="3" spans="1:16" ht="27.6">
      <c r="A3" s="532"/>
      <c r="B3" s="533" t="s">
        <v>251</v>
      </c>
      <c r="C3" s="533" t="s">
        <v>268</v>
      </c>
      <c r="D3" s="533" t="s">
        <v>269</v>
      </c>
      <c r="E3" s="534" t="s">
        <v>211</v>
      </c>
      <c r="F3" s="533" t="s">
        <v>270</v>
      </c>
      <c r="G3" s="533" t="s">
        <v>274</v>
      </c>
      <c r="I3" s="533" t="s">
        <v>251</v>
      </c>
      <c r="J3" s="533" t="s">
        <v>268</v>
      </c>
      <c r="K3" s="533" t="s">
        <v>269</v>
      </c>
      <c r="L3" s="534" t="s">
        <v>211</v>
      </c>
      <c r="M3" s="533" t="s">
        <v>270</v>
      </c>
    </row>
    <row r="4" spans="1:16">
      <c r="A4" s="535" t="s">
        <v>236</v>
      </c>
      <c r="B4" s="536">
        <f>SUM(B5:B12)</f>
        <v>145812.59</v>
      </c>
      <c r="C4" s="537">
        <f t="shared" ref="C4:E4" si="0">SUM(C5:C12)</f>
        <v>403780.60000000003</v>
      </c>
      <c r="D4" s="538">
        <f>SUM(D5:D12)</f>
        <v>115.1</v>
      </c>
      <c r="E4" s="537">
        <f t="shared" si="0"/>
        <v>659</v>
      </c>
      <c r="F4" s="537">
        <f t="shared" ref="F4" si="1">SUM(F5:F12)</f>
        <v>1150</v>
      </c>
      <c r="G4" s="535"/>
      <c r="I4" s="536">
        <f>SUM(I5:I12)</f>
        <v>71187.41</v>
      </c>
      <c r="J4" s="537">
        <f t="shared" ref="J4" si="2">SUM(J5:J12)</f>
        <v>268253.39999999997</v>
      </c>
      <c r="K4" s="538">
        <f>SUM(K5:K12)</f>
        <v>87.94</v>
      </c>
      <c r="L4" s="537">
        <f t="shared" ref="L4" si="3">SUM(L5:L12)</f>
        <v>583</v>
      </c>
      <c r="M4" s="537">
        <f t="shared" ref="M4" si="4">SUM(M5:M12)</f>
        <v>697</v>
      </c>
    </row>
    <row r="5" spans="1:16" ht="27.6">
      <c r="A5" s="539" t="s">
        <v>244</v>
      </c>
      <c r="B5" s="540">
        <v>4142.5</v>
      </c>
      <c r="C5" s="541">
        <v>3354.9</v>
      </c>
      <c r="D5" s="542">
        <v>0.4</v>
      </c>
      <c r="E5" s="541">
        <v>19</v>
      </c>
      <c r="F5" s="541">
        <v>80</v>
      </c>
      <c r="G5" s="543" t="s">
        <v>275</v>
      </c>
      <c r="I5" s="540">
        <v>4560</v>
      </c>
      <c r="J5" s="541">
        <v>14596.2</v>
      </c>
      <c r="K5" s="542">
        <v>1.87</v>
      </c>
      <c r="L5" s="541">
        <v>51</v>
      </c>
      <c r="M5" s="541">
        <v>33</v>
      </c>
    </row>
    <row r="6" spans="1:16">
      <c r="A6" s="539" t="s">
        <v>253</v>
      </c>
      <c r="B6" s="540">
        <v>28583.7</v>
      </c>
      <c r="C6" s="541">
        <v>156122.4</v>
      </c>
      <c r="D6" s="542">
        <v>21</v>
      </c>
      <c r="E6" s="541">
        <v>154</v>
      </c>
      <c r="F6" s="541">
        <v>150</v>
      </c>
      <c r="G6" s="539"/>
      <c r="I6" s="540">
        <v>10354.01</v>
      </c>
      <c r="J6" s="541">
        <v>62263.1</v>
      </c>
      <c r="K6" s="542">
        <v>8.3800000000000008</v>
      </c>
      <c r="L6" s="541">
        <v>80</v>
      </c>
      <c r="M6" s="541">
        <v>150</v>
      </c>
      <c r="N6" s="630">
        <f>L7+L8+L9</f>
        <v>142</v>
      </c>
      <c r="O6" s="544"/>
      <c r="P6" s="544"/>
    </row>
    <row r="7" spans="1:16">
      <c r="A7" s="539" t="s">
        <v>144</v>
      </c>
      <c r="B7" s="540">
        <v>13800</v>
      </c>
      <c r="C7" s="541">
        <v>15264.7</v>
      </c>
      <c r="D7" s="542">
        <v>7.03</v>
      </c>
      <c r="E7" s="541">
        <v>20</v>
      </c>
      <c r="F7" s="541">
        <v>72</v>
      </c>
      <c r="G7" s="539"/>
      <c r="I7" s="540">
        <v>15712.5</v>
      </c>
      <c r="J7" s="541">
        <v>83674.2</v>
      </c>
      <c r="K7" s="542">
        <v>2.65</v>
      </c>
      <c r="L7" s="541">
        <v>32</v>
      </c>
      <c r="M7" s="541">
        <v>36</v>
      </c>
      <c r="N7" s="631">
        <f>L7/142</f>
        <v>0.22535211267605634</v>
      </c>
      <c r="O7" s="544"/>
      <c r="P7" s="544"/>
    </row>
    <row r="8" spans="1:16">
      <c r="A8" s="539" t="s">
        <v>254</v>
      </c>
      <c r="B8" s="540">
        <v>5200</v>
      </c>
      <c r="C8" s="541">
        <v>9527.2000000000007</v>
      </c>
      <c r="D8" s="542">
        <v>6.57</v>
      </c>
      <c r="E8" s="541">
        <v>2</v>
      </c>
      <c r="F8" s="541">
        <v>5</v>
      </c>
      <c r="G8" s="539" t="s">
        <v>273</v>
      </c>
      <c r="I8" s="540">
        <v>3000</v>
      </c>
      <c r="J8" s="541">
        <v>11259.9</v>
      </c>
      <c r="K8" s="542">
        <v>6.49</v>
      </c>
      <c r="L8" s="541">
        <v>3</v>
      </c>
      <c r="M8" s="541">
        <v>3</v>
      </c>
      <c r="N8" s="631">
        <f t="shared" ref="N8:N9" si="5">L8/142</f>
        <v>2.1126760563380281E-2</v>
      </c>
    </row>
    <row r="9" spans="1:16">
      <c r="A9" s="539" t="s">
        <v>255</v>
      </c>
      <c r="B9" s="540">
        <v>13024.02</v>
      </c>
      <c r="C9" s="541">
        <v>103313</v>
      </c>
      <c r="D9" s="542">
        <v>32.94</v>
      </c>
      <c r="E9" s="541">
        <v>88</v>
      </c>
      <c r="F9" s="541">
        <v>500</v>
      </c>
      <c r="G9" s="539"/>
      <c r="I9" s="540">
        <v>7609.27</v>
      </c>
      <c r="J9" s="541">
        <v>18999.8</v>
      </c>
      <c r="K9" s="542">
        <v>45.12</v>
      </c>
      <c r="L9" s="541">
        <v>107</v>
      </c>
      <c r="M9" s="541">
        <v>100</v>
      </c>
      <c r="N9" s="631">
        <f t="shared" si="5"/>
        <v>0.75352112676056338</v>
      </c>
    </row>
    <row r="10" spans="1:16">
      <c r="A10" s="545" t="s">
        <v>235</v>
      </c>
      <c r="B10" s="540">
        <v>56649.47</v>
      </c>
      <c r="C10" s="541">
        <v>58581</v>
      </c>
      <c r="D10" s="542">
        <v>44.85</v>
      </c>
      <c r="E10" s="541">
        <v>68</v>
      </c>
      <c r="F10" s="541">
        <v>200</v>
      </c>
      <c r="G10" s="545"/>
      <c r="I10" s="540">
        <v>10917.7</v>
      </c>
      <c r="J10" s="541">
        <v>28017</v>
      </c>
      <c r="K10" s="542">
        <v>21.45</v>
      </c>
      <c r="L10" s="541">
        <v>33</v>
      </c>
      <c r="M10" s="541">
        <v>100</v>
      </c>
    </row>
    <row r="11" spans="1:16">
      <c r="A11" s="545" t="s">
        <v>256</v>
      </c>
      <c r="B11" s="540">
        <v>14166.9</v>
      </c>
      <c r="C11" s="541">
        <v>57617.4</v>
      </c>
      <c r="D11" s="542">
        <v>2.31</v>
      </c>
      <c r="E11" s="541">
        <v>289</v>
      </c>
      <c r="F11" s="541">
        <v>125</v>
      </c>
      <c r="G11" s="545"/>
      <c r="I11" s="540">
        <v>12135.15</v>
      </c>
      <c r="J11" s="546">
        <v>49443.199999999997</v>
      </c>
      <c r="K11" s="542">
        <v>1.98</v>
      </c>
      <c r="L11" s="541">
        <v>253</v>
      </c>
      <c r="M11" s="541">
        <v>250</v>
      </c>
      <c r="O11" s="544"/>
      <c r="P11" s="544"/>
    </row>
    <row r="12" spans="1:16">
      <c r="A12" s="539" t="s">
        <v>257</v>
      </c>
      <c r="B12" s="540">
        <v>10246</v>
      </c>
      <c r="C12" s="547"/>
      <c r="D12" s="548"/>
      <c r="E12" s="549">
        <v>19</v>
      </c>
      <c r="F12" s="549">
        <v>18</v>
      </c>
      <c r="G12" s="539"/>
      <c r="I12" s="540">
        <v>6898.78</v>
      </c>
      <c r="J12" s="549">
        <v>0</v>
      </c>
      <c r="K12" s="548">
        <v>0</v>
      </c>
      <c r="L12" s="549">
        <v>24</v>
      </c>
      <c r="M12" s="549">
        <v>25</v>
      </c>
      <c r="O12" s="544"/>
      <c r="P12" s="544"/>
    </row>
    <row r="13" spans="1:16">
      <c r="A13" s="535" t="s">
        <v>234</v>
      </c>
      <c r="B13" s="536">
        <f>SUM(B14:B21)</f>
        <v>69158.02</v>
      </c>
      <c r="C13" s="537">
        <f>SUM(C14:C21)</f>
        <v>791442.89999999991</v>
      </c>
      <c r="D13" s="538">
        <f>SUM(D14:D21)</f>
        <v>127.66000000000001</v>
      </c>
      <c r="E13" s="537">
        <f>SUM(E14:E21)</f>
        <v>32</v>
      </c>
      <c r="F13" s="537">
        <f>SUM(F14:F21)</f>
        <v>200</v>
      </c>
      <c r="G13" s="535"/>
      <c r="I13" s="536">
        <f>SUM(I14:I21)</f>
        <v>142335.75</v>
      </c>
      <c r="J13" s="537">
        <f>SUM(J14:J21)</f>
        <v>2031620.9</v>
      </c>
      <c r="K13" s="538">
        <f>SUM(K14:K21)</f>
        <v>416.04</v>
      </c>
      <c r="L13" s="537">
        <f>SUM(L14:L21)</f>
        <v>49</v>
      </c>
      <c r="M13" s="537">
        <f>SUM(M14:M21)</f>
        <v>269</v>
      </c>
    </row>
    <row r="14" spans="1:16">
      <c r="A14" s="539" t="s">
        <v>258</v>
      </c>
      <c r="B14" s="540">
        <v>28969.71</v>
      </c>
      <c r="C14" s="541">
        <v>465914.5</v>
      </c>
      <c r="D14" s="542">
        <v>107.15</v>
      </c>
      <c r="E14" s="541">
        <v>19</v>
      </c>
      <c r="F14" s="541">
        <v>102</v>
      </c>
      <c r="G14" s="539"/>
      <c r="I14" s="540">
        <v>65747.41</v>
      </c>
      <c r="J14" s="541">
        <v>1024782.2</v>
      </c>
      <c r="K14" s="542">
        <v>210.05</v>
      </c>
      <c r="L14" s="541">
        <v>27</v>
      </c>
      <c r="M14" s="541">
        <v>153</v>
      </c>
    </row>
    <row r="15" spans="1:16">
      <c r="A15" s="539" t="s">
        <v>259</v>
      </c>
      <c r="B15" s="540"/>
      <c r="C15" s="541"/>
      <c r="D15" s="542"/>
      <c r="E15" s="541"/>
      <c r="F15" s="541">
        <v>20</v>
      </c>
      <c r="G15" s="539"/>
      <c r="I15" s="540">
        <v>0</v>
      </c>
      <c r="J15" s="546">
        <v>0</v>
      </c>
      <c r="K15" s="542">
        <v>0</v>
      </c>
      <c r="L15" s="541">
        <v>0</v>
      </c>
      <c r="M15" s="541">
        <v>31</v>
      </c>
    </row>
    <row r="16" spans="1:16">
      <c r="A16" s="539" t="s">
        <v>260</v>
      </c>
      <c r="B16" s="540">
        <v>3105</v>
      </c>
      <c r="C16" s="541">
        <v>153115.20000000001</v>
      </c>
      <c r="D16" s="542">
        <v>0</v>
      </c>
      <c r="E16" s="541">
        <v>2</v>
      </c>
      <c r="F16" s="541">
        <v>12</v>
      </c>
      <c r="G16" s="539"/>
      <c r="I16" s="540">
        <v>0</v>
      </c>
      <c r="J16" s="546">
        <v>0</v>
      </c>
      <c r="K16" s="542">
        <v>0</v>
      </c>
      <c r="L16" s="541">
        <v>0</v>
      </c>
      <c r="M16" s="541">
        <v>18</v>
      </c>
    </row>
    <row r="17" spans="1:13">
      <c r="A17" s="539" t="s">
        <v>261</v>
      </c>
      <c r="B17" s="540">
        <v>4611.71</v>
      </c>
      <c r="C17" s="541">
        <v>16402.2</v>
      </c>
      <c r="D17" s="542">
        <v>2.89</v>
      </c>
      <c r="E17" s="541">
        <v>2</v>
      </c>
      <c r="F17" s="541">
        <v>40</v>
      </c>
      <c r="G17" s="539"/>
      <c r="I17" s="540">
        <v>1424.12</v>
      </c>
      <c r="J17" s="541">
        <v>2582.4</v>
      </c>
      <c r="K17" s="542">
        <v>0</v>
      </c>
      <c r="L17" s="541">
        <v>1</v>
      </c>
      <c r="M17" s="541">
        <v>40</v>
      </c>
    </row>
    <row r="18" spans="1:13">
      <c r="A18" s="539" t="s">
        <v>262</v>
      </c>
      <c r="B18" s="540">
        <v>222.41</v>
      </c>
      <c r="C18" s="541"/>
      <c r="D18" s="542"/>
      <c r="E18" s="541"/>
      <c r="F18" s="541">
        <v>9</v>
      </c>
      <c r="G18" s="539" t="s">
        <v>273</v>
      </c>
      <c r="I18" s="540">
        <v>2750</v>
      </c>
      <c r="J18" s="541">
        <v>6376.6</v>
      </c>
      <c r="K18" s="542">
        <v>5.12</v>
      </c>
      <c r="L18" s="541">
        <v>1</v>
      </c>
      <c r="M18" s="541">
        <v>9</v>
      </c>
    </row>
    <row r="19" spans="1:13">
      <c r="A19" s="539" t="s">
        <v>263</v>
      </c>
      <c r="B19" s="540">
        <v>231.56</v>
      </c>
      <c r="C19" s="541"/>
      <c r="D19" s="542"/>
      <c r="E19" s="541"/>
      <c r="F19" s="541">
        <v>10</v>
      </c>
      <c r="G19" s="539"/>
      <c r="I19" s="540">
        <v>135</v>
      </c>
      <c r="J19" s="541">
        <v>399.7</v>
      </c>
      <c r="K19" s="542">
        <v>0.05</v>
      </c>
      <c r="L19" s="541">
        <v>2</v>
      </c>
      <c r="M19" s="541">
        <v>10</v>
      </c>
    </row>
    <row r="20" spans="1:13">
      <c r="A20" s="539" t="s">
        <v>264</v>
      </c>
      <c r="B20" s="540">
        <v>150</v>
      </c>
      <c r="C20" s="541">
        <v>6195</v>
      </c>
      <c r="D20" s="542">
        <v>0.95</v>
      </c>
      <c r="E20" s="541">
        <v>5</v>
      </c>
      <c r="F20" s="541">
        <v>7</v>
      </c>
      <c r="G20" s="539"/>
      <c r="I20" s="540">
        <v>0</v>
      </c>
      <c r="J20" s="546">
        <v>0</v>
      </c>
      <c r="K20" s="542">
        <v>0</v>
      </c>
      <c r="L20" s="541">
        <v>0</v>
      </c>
      <c r="M20" s="541">
        <v>8</v>
      </c>
    </row>
    <row r="21" spans="1:13">
      <c r="A21" s="539" t="s">
        <v>237</v>
      </c>
      <c r="B21" s="540">
        <v>31867.63</v>
      </c>
      <c r="C21" s="541">
        <v>149816</v>
      </c>
      <c r="D21" s="542">
        <v>16.670000000000002</v>
      </c>
      <c r="E21" s="541">
        <v>4</v>
      </c>
      <c r="F21" s="541">
        <v>0</v>
      </c>
      <c r="G21" s="539"/>
      <c r="I21" s="540">
        <v>72279.22</v>
      </c>
      <c r="J21" s="541">
        <v>997480</v>
      </c>
      <c r="K21" s="542">
        <v>200.82</v>
      </c>
      <c r="L21" s="541">
        <v>18</v>
      </c>
      <c r="M21" s="541">
        <v>0</v>
      </c>
    </row>
    <row r="22" spans="1:13">
      <c r="A22" s="535" t="s">
        <v>265</v>
      </c>
      <c r="B22" s="536">
        <v>113365.56</v>
      </c>
      <c r="C22" s="550">
        <v>0</v>
      </c>
      <c r="D22" s="551">
        <v>0</v>
      </c>
      <c r="E22" s="550">
        <v>0</v>
      </c>
      <c r="F22" s="550">
        <v>0</v>
      </c>
      <c r="G22" s="535"/>
      <c r="I22" s="536">
        <v>58721.37</v>
      </c>
      <c r="J22" s="550">
        <v>0</v>
      </c>
      <c r="K22" s="551">
        <v>0</v>
      </c>
      <c r="L22" s="550">
        <v>0</v>
      </c>
      <c r="M22" s="550">
        <v>0</v>
      </c>
    </row>
    <row r="23" spans="1:13">
      <c r="A23" s="552" t="s">
        <v>266</v>
      </c>
      <c r="B23" s="536">
        <v>67692.800000000003</v>
      </c>
      <c r="C23" s="553">
        <v>0</v>
      </c>
      <c r="D23" s="538">
        <v>0</v>
      </c>
      <c r="E23" s="553">
        <v>0</v>
      </c>
      <c r="F23" s="553">
        <v>0</v>
      </c>
      <c r="G23" s="552"/>
      <c r="I23" s="536">
        <v>25510.63</v>
      </c>
      <c r="J23" s="553">
        <v>0</v>
      </c>
      <c r="K23" s="538">
        <v>0</v>
      </c>
      <c r="L23" s="553">
        <v>0</v>
      </c>
      <c r="M23" s="553">
        <v>0</v>
      </c>
    </row>
    <row r="24" spans="1:13">
      <c r="A24" s="554" t="s">
        <v>267</v>
      </c>
      <c r="B24" s="555">
        <f>B4+B13+B22+B23</f>
        <v>396028.97</v>
      </c>
      <c r="C24" s="556">
        <f t="shared" ref="C24:E24" si="6">C4+C13+C22+C23</f>
        <v>1195223.5</v>
      </c>
      <c r="D24" s="557">
        <f>D4+D13+D22+D23</f>
        <v>242.76</v>
      </c>
      <c r="E24" s="556">
        <f t="shared" si="6"/>
        <v>691</v>
      </c>
      <c r="F24" s="556">
        <f t="shared" ref="F24" si="7">F4+F13+F22+F23</f>
        <v>1350</v>
      </c>
      <c r="G24" s="554"/>
      <c r="I24" s="555">
        <f>I4+I13+I22+I23</f>
        <v>297755.16000000003</v>
      </c>
      <c r="J24" s="556">
        <f t="shared" ref="J24" si="8">J4+J13+J22+J23</f>
        <v>2299874.2999999998</v>
      </c>
      <c r="K24" s="557">
        <f>K4+K13+K22+K23</f>
        <v>503.98</v>
      </c>
      <c r="L24" s="556">
        <f t="shared" ref="L24" si="9">L4+L13+L22+L23</f>
        <v>632</v>
      </c>
      <c r="M24" s="556">
        <f t="shared" ref="M24" si="10">M4+M13+M22+M23</f>
        <v>966</v>
      </c>
    </row>
    <row r="25" spans="1:13">
      <c r="C25" s="558"/>
    </row>
  </sheetData>
  <mergeCells count="2">
    <mergeCell ref="B2:G2"/>
    <mergeCell ref="I2:M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E155"/>
  <sheetViews>
    <sheetView showGridLines="0" zoomScaleNormal="100" workbookViewId="0">
      <pane xSplit="2" ySplit="3" topLeftCell="C78" activePane="bottomRight" state="frozen"/>
      <selection pane="topRight" activeCell="C1" sqref="C1"/>
      <selection pane="bottomLeft" activeCell="A4" sqref="A4"/>
      <selection pane="bottomRight" activeCell="J107" sqref="J107"/>
    </sheetView>
  </sheetViews>
  <sheetFormatPr defaultColWidth="88.33203125" defaultRowHeight="14.4"/>
  <cols>
    <col min="1" max="1" width="13" style="17" customWidth="1"/>
    <col min="2" max="2" width="44.33203125" style="17" customWidth="1"/>
    <col min="3" max="3" width="8.5546875" style="237" bestFit="1" customWidth="1"/>
    <col min="4" max="4" width="10" style="237" bestFit="1" customWidth="1"/>
    <col min="5" max="5" width="11.33203125" style="186" customWidth="1"/>
    <col min="6" max="6" width="10.6640625" style="179" bestFit="1" customWidth="1"/>
    <col min="7" max="7" width="9.88671875" bestFit="1" customWidth="1"/>
    <col min="8" max="8" width="13.44140625" style="179" bestFit="1" customWidth="1"/>
    <col min="9" max="9" width="8.33203125" style="179" bestFit="1" customWidth="1"/>
    <col min="10" max="10" width="10.6640625" style="179" bestFit="1" customWidth="1"/>
    <col min="11" max="11" width="11.5546875" style="179" bestFit="1" customWidth="1"/>
    <col min="12" max="12" width="7.88671875" style="179" bestFit="1" customWidth="1"/>
    <col min="13" max="13" width="3" style="179" bestFit="1" customWidth="1"/>
    <col min="14" max="16" width="6.5546875" style="179" bestFit="1" customWidth="1"/>
    <col min="17" max="17" width="2.109375" style="179" customWidth="1"/>
    <col min="18" max="18" width="23.5546875" style="179" bestFit="1" customWidth="1"/>
    <col min="19" max="19" width="7.5546875" style="178" bestFit="1" customWidth="1"/>
    <col min="20" max="20" width="17.6640625" style="178" bestFit="1" customWidth="1"/>
    <col min="21" max="21" width="13.109375" style="178" bestFit="1" customWidth="1"/>
    <col min="22" max="22" width="5.88671875" style="178" customWidth="1"/>
    <col min="23" max="31" width="5.88671875" style="232" customWidth="1"/>
    <col min="32" max="37" width="5.88671875" style="173" customWidth="1"/>
    <col min="38" max="58" width="32.5546875" style="173" customWidth="1"/>
    <col min="59" max="16384" width="88.33203125" style="173"/>
  </cols>
  <sheetData>
    <row r="1" spans="1:31" ht="11.4"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>
        <v>11</v>
      </c>
      <c r="M1" s="17"/>
      <c r="N1" s="17"/>
      <c r="O1" s="17"/>
      <c r="P1" s="17"/>
      <c r="Q1" s="17"/>
      <c r="S1" s="235"/>
    </row>
    <row r="2" spans="1:31" ht="12">
      <c r="E2" s="17"/>
      <c r="F2" s="797" t="s">
        <v>428</v>
      </c>
      <c r="G2" s="798"/>
      <c r="H2" s="798"/>
      <c r="I2" s="799"/>
      <c r="J2" s="235"/>
      <c r="K2" s="235"/>
      <c r="L2" s="235"/>
      <c r="M2" s="17"/>
      <c r="N2" s="796" t="s">
        <v>307</v>
      </c>
      <c r="O2" s="796"/>
      <c r="P2" s="796"/>
      <c r="Q2" s="17"/>
      <c r="R2" s="178"/>
      <c r="V2" s="232"/>
      <c r="AE2" s="173"/>
    </row>
    <row r="3" spans="1:31" s="17" customFormat="1" ht="24">
      <c r="A3" s="180" t="s">
        <v>90</v>
      </c>
      <c r="B3" s="180" t="s">
        <v>89</v>
      </c>
      <c r="C3" s="313" t="s">
        <v>2</v>
      </c>
      <c r="D3" s="313" t="s">
        <v>427</v>
      </c>
      <c r="F3" s="420" t="s">
        <v>240</v>
      </c>
      <c r="G3" s="420" t="s">
        <v>429</v>
      </c>
      <c r="H3" s="420" t="s">
        <v>477</v>
      </c>
      <c r="I3" s="420" t="s">
        <v>430</v>
      </c>
      <c r="J3" s="322" t="s">
        <v>7</v>
      </c>
      <c r="K3" s="322" t="s">
        <v>426</v>
      </c>
      <c r="L3" s="322" t="s">
        <v>396</v>
      </c>
      <c r="N3" s="181">
        <v>2014</v>
      </c>
      <c r="O3" s="181">
        <v>2015</v>
      </c>
      <c r="P3" s="181">
        <v>2016</v>
      </c>
      <c r="R3" s="239" t="s">
        <v>243</v>
      </c>
      <c r="S3" s="238" t="s">
        <v>302</v>
      </c>
      <c r="T3" s="240" t="s">
        <v>7</v>
      </c>
      <c r="U3" s="240" t="s">
        <v>2</v>
      </c>
      <c r="V3" s="173"/>
    </row>
    <row r="4" spans="1:31" s="17" customFormat="1" ht="12">
      <c r="A4" s="316" t="s">
        <v>12</v>
      </c>
      <c r="B4" s="172" t="s">
        <v>10</v>
      </c>
      <c r="C4" s="171">
        <f>'Measure Calculations'!B13</f>
        <v>5</v>
      </c>
      <c r="D4" s="171"/>
      <c r="F4" s="171">
        <f>'Measure Calculations'!$B$11</f>
        <v>30.654087000000001</v>
      </c>
      <c r="G4" s="171"/>
      <c r="H4" s="177">
        <f>'Measure Calculations'!B10</f>
        <v>2.7849344999999999E-3</v>
      </c>
      <c r="I4" s="177"/>
      <c r="J4" s="175">
        <f>'Measure Calculations'!$B$12</f>
        <v>1.5</v>
      </c>
      <c r="K4" s="175"/>
      <c r="L4" s="175"/>
      <c r="N4" s="314">
        <f>'2014 Screen'!N4</f>
        <v>3.849397058490851</v>
      </c>
      <c r="O4" s="314">
        <f>'2015 Screen'!N4</f>
        <v>3.9071380143682126</v>
      </c>
      <c r="P4" s="314">
        <f>'2016 Screen'!N4</f>
        <v>3.9657450845837352</v>
      </c>
      <c r="R4" s="241" t="s">
        <v>301</v>
      </c>
      <c r="S4" s="241" t="s">
        <v>40</v>
      </c>
      <c r="T4" s="241" t="s">
        <v>103</v>
      </c>
      <c r="U4" s="241" t="s">
        <v>40</v>
      </c>
      <c r="V4" s="173"/>
    </row>
    <row r="5" spans="1:31" s="17" customFormat="1" ht="12">
      <c r="A5" s="316" t="s">
        <v>12</v>
      </c>
      <c r="B5" s="176" t="s">
        <v>11</v>
      </c>
      <c r="C5" s="171">
        <f>'Measure Calculations'!C13</f>
        <v>10</v>
      </c>
      <c r="D5" s="171"/>
      <c r="F5" s="171">
        <f>'Measure Calculations'!$C$11</f>
        <v>39.69594</v>
      </c>
      <c r="G5" s="171"/>
      <c r="H5" s="177">
        <f>'Measure Calculations'!C10</f>
        <v>3.6063899999999997E-3</v>
      </c>
      <c r="I5" s="177"/>
      <c r="J5" s="175">
        <f>'Measure Calculations'!$C$12</f>
        <v>20</v>
      </c>
      <c r="K5" s="175"/>
      <c r="L5" s="175"/>
      <c r="N5" s="314">
        <f>'2014 Screen'!N5</f>
        <v>0.63755568245460759</v>
      </c>
      <c r="O5" s="314">
        <f>'2015 Screen'!N5</f>
        <v>0.64711901769142666</v>
      </c>
      <c r="P5" s="314">
        <f>'2016 Screen'!N5</f>
        <v>0.65682580295679793</v>
      </c>
      <c r="R5" s="241" t="s">
        <v>301</v>
      </c>
      <c r="S5" s="241" t="s">
        <v>40</v>
      </c>
      <c r="T5" s="241" t="s">
        <v>56</v>
      </c>
      <c r="U5" s="241" t="s">
        <v>40</v>
      </c>
      <c r="V5" s="173"/>
      <c r="W5" s="187"/>
    </row>
    <row r="6" spans="1:31" s="17" customFormat="1" ht="12">
      <c r="A6" s="316" t="s">
        <v>12</v>
      </c>
      <c r="B6" s="176" t="s">
        <v>309</v>
      </c>
      <c r="C6" s="171">
        <f>'Measure Calculations'!B24</f>
        <v>8</v>
      </c>
      <c r="D6" s="171"/>
      <c r="F6" s="171">
        <f>'Measure Calculations'!B22</f>
        <v>86.231250000000003</v>
      </c>
      <c r="G6" s="171"/>
      <c r="H6" s="177">
        <f>'Measure Calculations'!B21</f>
        <v>1.8900000000000001E-4</v>
      </c>
      <c r="I6" s="177"/>
      <c r="J6" s="175">
        <f>'Measure Calculations'!B23</f>
        <v>17</v>
      </c>
      <c r="K6" s="175"/>
      <c r="L6" s="175"/>
      <c r="N6" s="314">
        <f>'2014 Screen'!N6</f>
        <v>1.3428928141197003</v>
      </c>
      <c r="O6" s="314">
        <f>'2015 Screen'!N6</f>
        <v>1.3630362063314958</v>
      </c>
      <c r="P6" s="314">
        <f>'2016 Screen'!N6</f>
        <v>1.3834817494264682</v>
      </c>
      <c r="R6" s="241" t="s">
        <v>301</v>
      </c>
      <c r="S6" s="241" t="s">
        <v>40</v>
      </c>
      <c r="T6" s="241" t="s">
        <v>40</v>
      </c>
      <c r="U6" s="241" t="s">
        <v>40</v>
      </c>
      <c r="W6" s="187"/>
    </row>
    <row r="7" spans="1:31" s="17" customFormat="1" ht="12">
      <c r="A7" s="317" t="s">
        <v>12</v>
      </c>
      <c r="B7" s="176" t="s">
        <v>0</v>
      </c>
      <c r="C7" s="169">
        <f>'Measure Calculations'!B36</f>
        <v>12</v>
      </c>
      <c r="D7" s="169"/>
      <c r="F7" s="171">
        <f>'Measure Calculations'!$B$34</f>
        <v>161.07567567567583</v>
      </c>
      <c r="G7" s="171"/>
      <c r="H7" s="177">
        <f>'Measure Calculations'!B33</f>
        <v>3.678888888888892E-2</v>
      </c>
      <c r="I7" s="177"/>
      <c r="J7" s="170">
        <f>'Measure Calculations'!$B$35</f>
        <v>45</v>
      </c>
      <c r="K7" s="170"/>
      <c r="L7" s="170"/>
      <c r="N7" s="314">
        <f>'2014 Screen'!N7</f>
        <v>1.3630779687860037</v>
      </c>
      <c r="O7" s="314">
        <f>'2015 Screen'!N7</f>
        <v>1.3835241383177936</v>
      </c>
      <c r="P7" s="314">
        <f>'2016 Screen'!N7</f>
        <v>1.4042770003925604</v>
      </c>
      <c r="R7" s="241" t="s">
        <v>300</v>
      </c>
      <c r="S7" s="241" t="s">
        <v>439</v>
      </c>
      <c r="T7" s="241" t="s">
        <v>40</v>
      </c>
      <c r="U7" s="241" t="s">
        <v>103</v>
      </c>
    </row>
    <row r="8" spans="1:31" s="17" customFormat="1" ht="12">
      <c r="A8" s="317" t="s">
        <v>12</v>
      </c>
      <c r="B8" s="176" t="s">
        <v>440</v>
      </c>
      <c r="C8" s="171">
        <f>'Measure Calculations'!B53</f>
        <v>14</v>
      </c>
      <c r="D8" s="171"/>
      <c r="F8" s="171">
        <f>'Measure Calculations'!B51</f>
        <v>272.85397883124625</v>
      </c>
      <c r="G8" s="171"/>
      <c r="H8" s="177">
        <f>'Measure Calculations'!B50</f>
        <v>3.5147292188431718E-2</v>
      </c>
      <c r="I8" s="177"/>
      <c r="J8" s="175">
        <f>'Measure Calculations'!B52</f>
        <v>450</v>
      </c>
      <c r="K8" s="175"/>
      <c r="L8" s="175"/>
      <c r="N8" s="314">
        <f>'2014 Screen'!N8</f>
        <v>0.24509050240301572</v>
      </c>
      <c r="O8" s="314">
        <f>'2015 Screen'!N8</f>
        <v>0.24876685993906097</v>
      </c>
      <c r="P8" s="314">
        <f>'2016 Screen'!N8</f>
        <v>0.25249836283814681</v>
      </c>
      <c r="R8" s="241" t="s">
        <v>463</v>
      </c>
      <c r="S8" s="241" t="s">
        <v>40</v>
      </c>
      <c r="T8" s="241" t="s">
        <v>103</v>
      </c>
      <c r="U8" s="241" t="s">
        <v>40</v>
      </c>
      <c r="V8" s="173"/>
      <c r="W8" s="173"/>
    </row>
    <row r="9" spans="1:31" s="17" customFormat="1" ht="12">
      <c r="A9" s="317" t="s">
        <v>12</v>
      </c>
      <c r="B9" s="176" t="s">
        <v>1</v>
      </c>
      <c r="C9" s="171">
        <f>'Measure Calculations'!B63</f>
        <v>14</v>
      </c>
      <c r="D9" s="171"/>
      <c r="F9" s="171">
        <f>'Measure Calculations'!$B$61</f>
        <v>103.36200000000002</v>
      </c>
      <c r="G9" s="171"/>
      <c r="H9" s="177">
        <f>'Measure Calculations'!B60</f>
        <v>1.1799315068493153E-2</v>
      </c>
      <c r="I9" s="177"/>
      <c r="J9" s="175">
        <f>'Measure Calculations'!B62</f>
        <v>40</v>
      </c>
      <c r="K9" s="175"/>
      <c r="L9" s="175"/>
      <c r="N9" s="314">
        <f>'2014 Screen'!N9</f>
        <v>1.0390103434502724</v>
      </c>
      <c r="O9" s="314">
        <f>'2015 Screen'!N9</f>
        <v>1.0545954986020263</v>
      </c>
      <c r="P9" s="314">
        <f>'2016 Screen'!N9</f>
        <v>1.0704144310810566</v>
      </c>
      <c r="R9" s="241" t="s">
        <v>299</v>
      </c>
      <c r="S9" s="247" t="s">
        <v>439</v>
      </c>
      <c r="T9" s="247" t="s">
        <v>439</v>
      </c>
      <c r="U9" s="247" t="s">
        <v>439</v>
      </c>
      <c r="V9" s="173"/>
      <c r="W9" s="242"/>
    </row>
    <row r="10" spans="1:31" s="17" customFormat="1" ht="12">
      <c r="A10" s="317" t="s">
        <v>12</v>
      </c>
      <c r="B10" s="176" t="s">
        <v>284</v>
      </c>
      <c r="C10" s="171">
        <f>'Measure Calculations'!C63</f>
        <v>11</v>
      </c>
      <c r="D10" s="171"/>
      <c r="F10" s="171">
        <f>'Measure Calculations'!C61</f>
        <v>30.247200000000021</v>
      </c>
      <c r="G10" s="171"/>
      <c r="H10" s="177">
        <f>'Measure Calculations'!C60</f>
        <v>3.4528767123287694E-3</v>
      </c>
      <c r="I10" s="177"/>
      <c r="J10" s="175">
        <f>'Measure Calculations'!C62</f>
        <v>40</v>
      </c>
      <c r="K10" s="175"/>
      <c r="L10" s="175"/>
      <c r="N10" s="314">
        <f>'2014 Screen'!N10</f>
        <v>0.26131248800786577</v>
      </c>
      <c r="O10" s="314">
        <f>'2015 Screen'!N10</f>
        <v>0.26523217532798365</v>
      </c>
      <c r="P10" s="314">
        <f>'2016 Screen'!N10</f>
        <v>0.26921065795790339</v>
      </c>
      <c r="R10" s="241" t="s">
        <v>299</v>
      </c>
      <c r="S10" s="247" t="s">
        <v>439</v>
      </c>
      <c r="T10" s="247" t="s">
        <v>439</v>
      </c>
      <c r="U10" s="247" t="s">
        <v>439</v>
      </c>
      <c r="V10" s="173"/>
      <c r="W10" s="242"/>
    </row>
    <row r="11" spans="1:31" ht="12">
      <c r="A11" s="317" t="s">
        <v>12</v>
      </c>
      <c r="B11" s="176" t="s">
        <v>121</v>
      </c>
      <c r="C11" s="171">
        <f>'Measure Calculations'!B75</f>
        <v>10</v>
      </c>
      <c r="D11" s="171"/>
      <c r="E11" s="17"/>
      <c r="F11" s="171">
        <f>'Measure Calculations'!$B$73</f>
        <v>12</v>
      </c>
      <c r="G11" s="171"/>
      <c r="H11" s="177">
        <f>'Measure Calculations'!B72</f>
        <v>5.7692307692307696E-3</v>
      </c>
      <c r="I11" s="177"/>
      <c r="J11" s="175">
        <f>'Measure Calculations'!$B$74</f>
        <v>50</v>
      </c>
      <c r="K11" s="175"/>
      <c r="L11" s="175"/>
      <c r="M11" s="17"/>
      <c r="N11" s="314">
        <f>'2014 Screen'!N11</f>
        <v>8.8025154420462853E-2</v>
      </c>
      <c r="O11" s="314">
        <f>'2015 Screen'!N11</f>
        <v>8.9345531736769776E-2</v>
      </c>
      <c r="P11" s="314">
        <f>'2016 Screen'!N11</f>
        <v>9.0685714712821316E-2</v>
      </c>
      <c r="Q11" s="17"/>
      <c r="R11" s="241" t="s">
        <v>297</v>
      </c>
      <c r="S11" s="247" t="s">
        <v>439</v>
      </c>
      <c r="T11" s="241" t="s">
        <v>40</v>
      </c>
      <c r="U11" s="241" t="s">
        <v>103</v>
      </c>
      <c r="V11" s="173"/>
      <c r="W11" s="243"/>
      <c r="X11" s="173"/>
      <c r="Y11" s="173"/>
      <c r="Z11" s="173"/>
      <c r="AA11" s="173"/>
      <c r="AB11" s="173"/>
      <c r="AC11" s="173"/>
      <c r="AD11" s="173"/>
      <c r="AE11" s="173"/>
    </row>
    <row r="12" spans="1:31" ht="12">
      <c r="A12" s="317" t="s">
        <v>12</v>
      </c>
      <c r="B12" s="176" t="s">
        <v>120</v>
      </c>
      <c r="C12" s="171">
        <f>'Measure Calculations'!C75</f>
        <v>10</v>
      </c>
      <c r="D12" s="171"/>
      <c r="E12" s="17"/>
      <c r="F12" s="171">
        <f>'Measure Calculations'!$C$73</f>
        <v>5.2800000000000011</v>
      </c>
      <c r="G12" s="171"/>
      <c r="H12" s="177">
        <f>'Measure Calculations'!C72</f>
        <v>2.5384615384615393E-3</v>
      </c>
      <c r="I12" s="177"/>
      <c r="J12" s="175">
        <f>'Measure Calculations'!$C$74</f>
        <v>50</v>
      </c>
      <c r="K12" s="175"/>
      <c r="L12" s="175"/>
      <c r="M12" s="17"/>
      <c r="N12" s="314">
        <f>'2014 Screen'!N12</f>
        <v>3.8731067945003653E-2</v>
      </c>
      <c r="O12" s="314">
        <f>'2015 Screen'!N12</f>
        <v>3.9312033964178698E-2</v>
      </c>
      <c r="P12" s="314">
        <f>'2016 Screen'!N12</f>
        <v>3.9901714473641381E-2</v>
      </c>
      <c r="Q12" s="17"/>
      <c r="R12" s="241" t="s">
        <v>297</v>
      </c>
      <c r="S12" s="247" t="s">
        <v>439</v>
      </c>
      <c r="T12" s="241" t="s">
        <v>40</v>
      </c>
      <c r="U12" s="241" t="s">
        <v>103</v>
      </c>
      <c r="V12" s="173"/>
      <c r="W12" s="243"/>
      <c r="X12" s="173"/>
      <c r="Y12" s="173"/>
      <c r="Z12" s="173"/>
      <c r="AA12" s="173"/>
      <c r="AB12" s="173"/>
      <c r="AC12" s="173"/>
      <c r="AD12" s="173"/>
      <c r="AE12" s="173"/>
    </row>
    <row r="13" spans="1:31" ht="12">
      <c r="A13" s="317" t="s">
        <v>12</v>
      </c>
      <c r="B13" s="172" t="s">
        <v>298</v>
      </c>
      <c r="C13" s="171">
        <f>'Measure Calculations'!B87</f>
        <v>9</v>
      </c>
      <c r="D13" s="171"/>
      <c r="E13" s="17"/>
      <c r="F13" s="171">
        <f>'Measure Calculations'!$B$85</f>
        <v>38.256068847933662</v>
      </c>
      <c r="G13" s="171"/>
      <c r="H13" s="177">
        <f>'Measure Calculations'!B84</f>
        <v>2.9227896403344902E-2</v>
      </c>
      <c r="I13" s="177"/>
      <c r="J13" s="175">
        <f>'Measure Calculations'!$B$86</f>
        <v>200</v>
      </c>
      <c r="K13" s="175"/>
      <c r="L13" s="175"/>
      <c r="M13" s="17"/>
      <c r="N13" s="314">
        <f>'2014 Screen'!N13</f>
        <v>7.1009860952910009E-2</v>
      </c>
      <c r="O13" s="314">
        <f>'2015 Screen'!N13</f>
        <v>7.2075008867203638E-2</v>
      </c>
      <c r="P13" s="314">
        <f>'2016 Screen'!N13</f>
        <v>7.3156134000211703E-2</v>
      </c>
      <c r="Q13" s="17"/>
      <c r="R13" s="241" t="s">
        <v>297</v>
      </c>
      <c r="S13" s="247" t="s">
        <v>439</v>
      </c>
      <c r="T13" s="241" t="s">
        <v>119</v>
      </c>
      <c r="U13" s="247" t="s">
        <v>439</v>
      </c>
      <c r="V13" s="173"/>
      <c r="W13" s="173"/>
      <c r="X13" s="17"/>
      <c r="Y13" s="17"/>
      <c r="Z13" s="173"/>
      <c r="AA13" s="173"/>
      <c r="AB13" s="173"/>
      <c r="AC13" s="173"/>
      <c r="AD13" s="173"/>
      <c r="AE13" s="173"/>
    </row>
    <row r="14" spans="1:31" s="17" customFormat="1" ht="12">
      <c r="A14" s="317" t="s">
        <v>12</v>
      </c>
      <c r="B14" s="176" t="s">
        <v>32</v>
      </c>
      <c r="C14" s="171">
        <v>10</v>
      </c>
      <c r="D14" s="171"/>
      <c r="F14" s="171">
        <v>75.099999999999994</v>
      </c>
      <c r="G14" s="171"/>
      <c r="H14" s="177">
        <f>F14/7129</f>
        <v>1.0534436807406367E-2</v>
      </c>
      <c r="I14" s="177"/>
      <c r="J14" s="175">
        <v>20</v>
      </c>
      <c r="K14" s="175"/>
      <c r="L14" s="175"/>
      <c r="N14" s="314">
        <f>'2014 Screen'!N14</f>
        <v>1.2278596238448243</v>
      </c>
      <c r="O14" s="314">
        <f>'2015 Screen'!N14</f>
        <v>1.2462775182024965</v>
      </c>
      <c r="P14" s="314">
        <f>'2016 Screen'!N14</f>
        <v>1.2649716809755334</v>
      </c>
      <c r="R14" s="241" t="s">
        <v>94</v>
      </c>
      <c r="S14" s="241" t="s">
        <v>40</v>
      </c>
      <c r="T14" s="241" t="s">
        <v>94</v>
      </c>
      <c r="U14" s="241" t="s">
        <v>94</v>
      </c>
      <c r="V14" s="173"/>
      <c r="W14" s="243"/>
    </row>
    <row r="15" spans="1:31" s="17" customFormat="1" ht="12">
      <c r="A15" s="316" t="s">
        <v>12</v>
      </c>
      <c r="B15" s="176" t="s">
        <v>239</v>
      </c>
      <c r="C15" s="169">
        <f>'Measure Calculations'!B93</f>
        <v>8</v>
      </c>
      <c r="D15" s="169"/>
      <c r="F15" s="171">
        <f>'Measure Calculations'!$B$92</f>
        <v>1289</v>
      </c>
      <c r="G15" s="171"/>
      <c r="H15" s="177">
        <f>'Measure Calculations'!B91</f>
        <v>0.14714611872146119</v>
      </c>
      <c r="I15" s="177"/>
      <c r="J15" s="170">
        <v>93</v>
      </c>
      <c r="K15" s="170"/>
      <c r="L15" s="170"/>
      <c r="N15" s="314">
        <f>'2014 Screen'!N15</f>
        <v>3.8238002801085504</v>
      </c>
      <c r="O15" s="314">
        <f>'2015 Screen'!N15</f>
        <v>3.8811572843101794</v>
      </c>
      <c r="P15" s="314">
        <f>'2016 Screen'!N15</f>
        <v>3.9393746435748307</v>
      </c>
      <c r="R15" s="241" t="s">
        <v>96</v>
      </c>
      <c r="S15" s="241" t="s">
        <v>295</v>
      </c>
      <c r="T15" s="241" t="s">
        <v>56</v>
      </c>
      <c r="U15" s="241" t="s">
        <v>40</v>
      </c>
      <c r="V15" s="237"/>
      <c r="W15" s="245"/>
    </row>
    <row r="16" spans="1:31" ht="12">
      <c r="A16" s="316" t="s">
        <v>12</v>
      </c>
      <c r="B16" s="176" t="s">
        <v>296</v>
      </c>
      <c r="C16" s="171">
        <f>'Measure Calculations'!C93</f>
        <v>8</v>
      </c>
      <c r="D16" s="171"/>
      <c r="E16" s="17"/>
      <c r="F16" s="171">
        <f>'Measure Calculations'!$C$92</f>
        <v>1105</v>
      </c>
      <c r="G16" s="171"/>
      <c r="H16" s="177">
        <f>'Measure Calculations'!C91</f>
        <v>0.12614155251141554</v>
      </c>
      <c r="I16" s="177"/>
      <c r="J16" s="175">
        <v>93</v>
      </c>
      <c r="K16" s="175"/>
      <c r="L16" s="175"/>
      <c r="M16" s="17"/>
      <c r="N16" s="314">
        <f>'2014 Screen'!N16</f>
        <v>3.2779668809309146</v>
      </c>
      <c r="O16" s="314">
        <f>'2015 Screen'!N16</f>
        <v>3.3271363841448771</v>
      </c>
      <c r="P16" s="314">
        <f>'2016 Screen'!N16</f>
        <v>3.3770434299070504</v>
      </c>
      <c r="Q16" s="17"/>
      <c r="R16" s="241" t="s">
        <v>96</v>
      </c>
      <c r="S16" s="241" t="s">
        <v>295</v>
      </c>
      <c r="T16" s="241" t="s">
        <v>56</v>
      </c>
      <c r="U16" s="241" t="s">
        <v>40</v>
      </c>
      <c r="V16" s="173"/>
      <c r="W16" s="243"/>
      <c r="AE16" s="173"/>
    </row>
    <row r="17" spans="1:31" s="17" customFormat="1" ht="12">
      <c r="A17" s="317" t="s">
        <v>12</v>
      </c>
      <c r="B17" s="183" t="s">
        <v>480</v>
      </c>
      <c r="C17" s="171">
        <f>'Measure Calculations'!B103</f>
        <v>15</v>
      </c>
      <c r="D17" s="171"/>
      <c r="F17" s="171">
        <f>'Measure Calculations'!$B$101</f>
        <v>1344.3037143428187</v>
      </c>
      <c r="G17" s="171"/>
      <c r="H17" s="177">
        <f>'Measure Calculations'!B100</f>
        <v>0.57204084546305578</v>
      </c>
      <c r="I17" s="476"/>
      <c r="J17" s="182">
        <f>'Measure Calculations'!$B$102</f>
        <v>272</v>
      </c>
      <c r="K17" s="175"/>
      <c r="L17" s="175"/>
      <c r="N17" s="314">
        <f>'2014 Screen'!N17</f>
        <v>2.3002951584711617</v>
      </c>
      <c r="O17" s="314">
        <f>'2015 Screen'!N17</f>
        <v>2.3347995858482289</v>
      </c>
      <c r="P17" s="314">
        <f>'2016 Screen'!N17</f>
        <v>2.3698215796359521</v>
      </c>
      <c r="R17" s="247" t="s">
        <v>116</v>
      </c>
      <c r="S17" s="247" t="s">
        <v>40</v>
      </c>
      <c r="T17" s="241" t="s">
        <v>74</v>
      </c>
      <c r="U17" s="247" t="s">
        <v>40</v>
      </c>
      <c r="V17" s="173"/>
      <c r="W17" s="187"/>
    </row>
    <row r="18" spans="1:31" s="17" customFormat="1" ht="12">
      <c r="A18" s="317" t="s">
        <v>12</v>
      </c>
      <c r="B18" s="183" t="s">
        <v>481</v>
      </c>
      <c r="C18" s="171">
        <f>'Measure Calculations'!C103</f>
        <v>15</v>
      </c>
      <c r="D18" s="171"/>
      <c r="F18" s="171">
        <f>'Measure Calculations'!$C$101</f>
        <v>57.137837837837836</v>
      </c>
      <c r="G18" s="171"/>
      <c r="H18" s="177">
        <f>'Measure Calculations'!C100</f>
        <v>8.8163780137641853E-2</v>
      </c>
      <c r="I18" s="476"/>
      <c r="J18" s="182">
        <f>'Measure Calculations'!$C$102</f>
        <v>272</v>
      </c>
      <c r="K18" s="175"/>
      <c r="L18" s="175"/>
      <c r="N18" s="314">
        <f>'2014 Screen'!N18</f>
        <v>0.13319457673175189</v>
      </c>
      <c r="O18" s="314">
        <f>'2015 Screen'!N18</f>
        <v>0.13519249538272815</v>
      </c>
      <c r="P18" s="314">
        <f>'2016 Screen'!N18</f>
        <v>0.13722038281346904</v>
      </c>
      <c r="R18" s="247" t="s">
        <v>116</v>
      </c>
      <c r="S18" s="247" t="s">
        <v>40</v>
      </c>
      <c r="T18" s="241" t="s">
        <v>74</v>
      </c>
      <c r="U18" s="247" t="s">
        <v>40</v>
      </c>
      <c r="V18" s="173"/>
      <c r="W18" s="187"/>
    </row>
    <row r="19" spans="1:31" s="17" customFormat="1" ht="12">
      <c r="A19" s="317" t="s">
        <v>12</v>
      </c>
      <c r="B19" s="183" t="s">
        <v>22</v>
      </c>
      <c r="C19" s="171">
        <f>'Measure Calculations'!B113</f>
        <v>20</v>
      </c>
      <c r="D19" s="171"/>
      <c r="F19" s="171">
        <f>'Measure Calculations'!$B$111</f>
        <v>515.08713226220334</v>
      </c>
      <c r="G19" s="171"/>
      <c r="H19" s="177">
        <f>'Measure Calculations'!B110</f>
        <v>0.21918475377452615</v>
      </c>
      <c r="I19" s="177"/>
      <c r="J19" s="175">
        <f>'Measure Calculations'!$B$112</f>
        <v>575.25</v>
      </c>
      <c r="K19" s="175"/>
      <c r="L19" s="175"/>
      <c r="N19" s="314">
        <f>'2014 Screen'!N19</f>
        <v>0.48313784906185836</v>
      </c>
      <c r="O19" s="314">
        <f>'2015 Screen'!N19</f>
        <v>0.47872212370489753</v>
      </c>
      <c r="P19" s="314">
        <f>'2016 Screen'!N19</f>
        <v>0.47320917155817094</v>
      </c>
      <c r="R19" s="247" t="s">
        <v>464</v>
      </c>
      <c r="S19" s="247" t="s">
        <v>40</v>
      </c>
      <c r="T19" s="241" t="s">
        <v>74</v>
      </c>
      <c r="U19" s="247" t="s">
        <v>40</v>
      </c>
      <c r="V19" s="173"/>
      <c r="W19" s="243"/>
    </row>
    <row r="20" spans="1:31" s="17" customFormat="1" ht="12">
      <c r="A20" s="317" t="s">
        <v>12</v>
      </c>
      <c r="B20" s="183" t="s">
        <v>14</v>
      </c>
      <c r="C20" s="171">
        <f>'Measure Calculations'!C113</f>
        <v>20</v>
      </c>
      <c r="D20" s="171"/>
      <c r="F20" s="171">
        <f>'Measure Calculations'!$C$111</f>
        <v>4842.0549080794826</v>
      </c>
      <c r="G20" s="171"/>
      <c r="H20" s="177">
        <f>'Measure Calculations'!C110</f>
        <v>2.060437052909883</v>
      </c>
      <c r="I20" s="476"/>
      <c r="J20" s="182">
        <f>'Measure Calculations'!$C$112</f>
        <v>1011.7706666666668</v>
      </c>
      <c r="K20" s="175"/>
      <c r="L20" s="175"/>
      <c r="N20" s="314">
        <f>'2014 Screen'!N20</f>
        <v>2.5822281664616358</v>
      </c>
      <c r="O20" s="314">
        <f>'2015 Screen'!N20</f>
        <v>2.5586274272228371</v>
      </c>
      <c r="P20" s="314">
        <f>'2016 Screen'!N20</f>
        <v>2.5291623369980187</v>
      </c>
      <c r="R20" s="247" t="s">
        <v>464</v>
      </c>
      <c r="S20" s="247" t="s">
        <v>40</v>
      </c>
      <c r="T20" s="241" t="s">
        <v>74</v>
      </c>
      <c r="U20" s="247" t="s">
        <v>40</v>
      </c>
    </row>
    <row r="21" spans="1:31" s="17" customFormat="1" ht="12">
      <c r="A21" s="317" t="s">
        <v>12</v>
      </c>
      <c r="B21" s="183" t="s">
        <v>30</v>
      </c>
      <c r="C21" s="171">
        <f>'Measure Calculations'!B129</f>
        <v>9</v>
      </c>
      <c r="D21" s="171"/>
      <c r="F21" s="171">
        <f>'Measure Calculations'!$B$127</f>
        <v>160.95930035169985</v>
      </c>
      <c r="G21" s="171"/>
      <c r="H21" s="177">
        <f>'Measure Calculations'!B126</f>
        <v>1.797515029308323E-2</v>
      </c>
      <c r="I21" s="476"/>
      <c r="J21" s="182">
        <f>'Measure Calculations'!$B128</f>
        <v>8</v>
      </c>
      <c r="K21" s="175"/>
      <c r="L21" s="175"/>
      <c r="N21" s="314">
        <f>'2014 Screen'!N21</f>
        <v>6.0456757698073416</v>
      </c>
      <c r="O21" s="314">
        <f>'2015 Screen'!N21</f>
        <v>6.1363609063544509</v>
      </c>
      <c r="P21" s="314">
        <f>'2016 Screen'!N21</f>
        <v>6.2284063199497659</v>
      </c>
      <c r="R21" s="247" t="s">
        <v>40</v>
      </c>
      <c r="S21" s="241" t="s">
        <v>40</v>
      </c>
      <c r="T21" s="241" t="s">
        <v>40</v>
      </c>
      <c r="U21" s="247" t="s">
        <v>40</v>
      </c>
      <c r="W21" s="187"/>
    </row>
    <row r="22" spans="1:31" s="17" customFormat="1" ht="12">
      <c r="A22" s="317" t="s">
        <v>12</v>
      </c>
      <c r="B22" s="183" t="s">
        <v>31</v>
      </c>
      <c r="C22" s="171">
        <f>'Measure Calculations'!C129</f>
        <v>9</v>
      </c>
      <c r="D22" s="171"/>
      <c r="F22" s="171">
        <f>'Measure Calculations'!$C$127</f>
        <v>68.251293435349766</v>
      </c>
      <c r="G22" s="171"/>
      <c r="H22" s="177">
        <f>'Measure Calculations'!C126</f>
        <v>7.6219718557243394E-3</v>
      </c>
      <c r="I22" s="476"/>
      <c r="J22" s="182">
        <f>'Measure Calculations'!$C128</f>
        <v>8</v>
      </c>
      <c r="K22" s="175"/>
      <c r="L22" s="175"/>
      <c r="N22" s="314">
        <f>'2014 Screen'!N22</f>
        <v>2.5635374288935724</v>
      </c>
      <c r="O22" s="314">
        <f>'2015 Screen'!N22</f>
        <v>2.6019904903269753</v>
      </c>
      <c r="P22" s="314">
        <f>'2016 Screen'!N22</f>
        <v>2.6410203476818799</v>
      </c>
      <c r="R22" s="247" t="s">
        <v>40</v>
      </c>
      <c r="S22" s="241" t="s">
        <v>40</v>
      </c>
      <c r="T22" s="241" t="s">
        <v>40</v>
      </c>
      <c r="U22" s="247" t="s">
        <v>40</v>
      </c>
      <c r="W22" s="249"/>
    </row>
    <row r="23" spans="1:31" s="17" customFormat="1" ht="12">
      <c r="A23" s="317" t="s">
        <v>12</v>
      </c>
      <c r="B23" s="183" t="s">
        <v>16</v>
      </c>
      <c r="C23" s="171">
        <f>'Measure Calculations'!D129</f>
        <v>10</v>
      </c>
      <c r="D23" s="171"/>
      <c r="F23" s="171">
        <f>'Measure Calculations'!$D127</f>
        <v>142.7588491489125</v>
      </c>
      <c r="G23" s="171"/>
      <c r="H23" s="177">
        <f>'Measure Calculations'!D126</f>
        <v>1.0443936858788862E-2</v>
      </c>
      <c r="I23" s="476"/>
      <c r="J23" s="182">
        <f>'Measure Calculations'!$D128</f>
        <v>12</v>
      </c>
      <c r="K23" s="175"/>
      <c r="L23" s="175"/>
      <c r="N23" s="314">
        <f>'2014 Screen'!N23</f>
        <v>3.7968225442549399</v>
      </c>
      <c r="O23" s="314">
        <f>'2015 Screen'!N23</f>
        <v>3.8537748824187634</v>
      </c>
      <c r="P23" s="314">
        <f>'2016 Screen'!N23</f>
        <v>3.911581505655044</v>
      </c>
      <c r="R23" s="247" t="s">
        <v>40</v>
      </c>
      <c r="S23" s="241" t="s">
        <v>40</v>
      </c>
      <c r="T23" s="241" t="s">
        <v>40</v>
      </c>
      <c r="U23" s="241" t="s">
        <v>40</v>
      </c>
      <c r="W23" s="187"/>
    </row>
    <row r="24" spans="1:31" s="17" customFormat="1" ht="12">
      <c r="A24" s="317" t="s">
        <v>12</v>
      </c>
      <c r="B24" s="183" t="s">
        <v>38</v>
      </c>
      <c r="C24" s="171">
        <f>'Measure Calculations'!B136</f>
        <v>5</v>
      </c>
      <c r="D24" s="171"/>
      <c r="F24" s="171">
        <f>'Measure Calculations'!B134</f>
        <v>79</v>
      </c>
      <c r="G24" s="171"/>
      <c r="H24" s="177">
        <f>'Measure Calculations'!B133</f>
        <v>8.9999999999999993E-3</v>
      </c>
      <c r="I24" s="177"/>
      <c r="J24" s="175">
        <f>'Measure Calculations'!B135</f>
        <v>10</v>
      </c>
      <c r="K24" s="175"/>
      <c r="L24" s="175"/>
      <c r="N24" s="314">
        <f>'2014 Screen'!N24</f>
        <v>1.5005549900202453</v>
      </c>
      <c r="O24" s="314">
        <f>'2015 Screen'!N24</f>
        <v>1.5230633148705488</v>
      </c>
      <c r="P24" s="314">
        <f>'2016 Screen'!N24</f>
        <v>1.5459092645936066</v>
      </c>
      <c r="R24" s="247" t="s">
        <v>44</v>
      </c>
      <c r="S24" s="247" t="s">
        <v>44</v>
      </c>
      <c r="T24" s="247" t="s">
        <v>111</v>
      </c>
      <c r="U24" s="247" t="s">
        <v>44</v>
      </c>
      <c r="V24" s="173"/>
    </row>
    <row r="25" spans="1:31" s="17" customFormat="1" ht="12">
      <c r="A25" s="317" t="s">
        <v>12</v>
      </c>
      <c r="B25" s="183" t="s">
        <v>39</v>
      </c>
      <c r="C25" s="171">
        <f>'Measure Calculations'!B150</f>
        <v>15</v>
      </c>
      <c r="D25" s="171"/>
      <c r="F25" s="171">
        <f>'Measure Calculations'!B148</f>
        <v>135.51948432464107</v>
      </c>
      <c r="G25" s="171"/>
      <c r="H25" s="177">
        <f>'Measure Calculations'!B147</f>
        <v>1.547026076765309E-2</v>
      </c>
      <c r="I25" s="177"/>
      <c r="J25" s="175">
        <f>'Measure Calculations'!B149</f>
        <v>15</v>
      </c>
      <c r="K25" s="175"/>
      <c r="L25" s="175"/>
      <c r="N25" s="314">
        <f>'2014 Screen'!N25</f>
        <v>3.7804795763300301</v>
      </c>
      <c r="O25" s="314">
        <f>'2015 Screen'!N25</f>
        <v>3.8371867699749802</v>
      </c>
      <c r="P25" s="314">
        <f>'2016 Screen'!N25</f>
        <v>3.8947445715246038</v>
      </c>
      <c r="R25" s="247" t="s">
        <v>293</v>
      </c>
      <c r="S25" s="247" t="s">
        <v>44</v>
      </c>
      <c r="T25" s="247" t="s">
        <v>44</v>
      </c>
      <c r="U25" s="247" t="s">
        <v>44</v>
      </c>
      <c r="V25" s="173"/>
    </row>
    <row r="26" spans="1:31" s="17" customFormat="1" ht="12">
      <c r="A26" s="317" t="s">
        <v>12</v>
      </c>
      <c r="B26" s="183" t="s">
        <v>453</v>
      </c>
      <c r="C26" s="171">
        <f>'Measure Calculations'!B161</f>
        <v>2</v>
      </c>
      <c r="D26" s="171"/>
      <c r="F26" s="171">
        <f>'Measure Calculations'!B159</f>
        <v>106.74000000000001</v>
      </c>
      <c r="G26" s="171"/>
      <c r="H26" s="177">
        <f>'Measure Calculations'!B158</f>
        <v>7.0434782608695665E-2</v>
      </c>
      <c r="I26" s="177"/>
      <c r="J26" s="175">
        <f>'Measure Calculations'!B160</f>
        <v>175</v>
      </c>
      <c r="K26" s="175"/>
      <c r="L26" s="175"/>
      <c r="N26" s="314">
        <f>'2014 Screen'!N26</f>
        <v>6.1329068087383545E-2</v>
      </c>
      <c r="O26" s="314">
        <f>'2015 Screen'!N26</f>
        <v>6.2249004108694293E-2</v>
      </c>
      <c r="P26" s="314">
        <f>'2016 Screen'!N26</f>
        <v>6.31827391703247E-2</v>
      </c>
      <c r="R26" s="247" t="s">
        <v>465</v>
      </c>
      <c r="S26" s="247" t="s">
        <v>439</v>
      </c>
      <c r="T26" s="247" t="s">
        <v>439</v>
      </c>
      <c r="U26" s="247" t="s">
        <v>439</v>
      </c>
      <c r="V26" s="173"/>
    </row>
    <row r="27" spans="1:31" ht="12">
      <c r="A27" s="317" t="s">
        <v>12</v>
      </c>
      <c r="B27" s="176" t="s">
        <v>318</v>
      </c>
      <c r="C27" s="171">
        <f>'Measure Calculations'!$J$171</f>
        <v>18</v>
      </c>
      <c r="D27" s="171"/>
      <c r="E27" s="17"/>
      <c r="F27" s="171">
        <f>'Measure Calculations'!B170</f>
        <v>169.87798408488072</v>
      </c>
      <c r="G27" s="171"/>
      <c r="H27" s="177">
        <f>'Measure Calculations'!B169</f>
        <v>0.24954545454545479</v>
      </c>
      <c r="I27" s="177"/>
      <c r="J27" s="175">
        <f>'Measure Calculations'!J177</f>
        <v>416.78421295927956</v>
      </c>
      <c r="K27" s="175"/>
      <c r="L27" s="175"/>
      <c r="M27" s="17"/>
      <c r="N27" s="314">
        <f>'2014 Screen'!N27</f>
        <v>0.27982024297884461</v>
      </c>
      <c r="O27" s="314">
        <f>'2015 Screen'!N27</f>
        <v>0.28401754662352724</v>
      </c>
      <c r="P27" s="314">
        <f>'2016 Screen'!N27</f>
        <v>0.28827780982288009</v>
      </c>
      <c r="Q27" s="17"/>
      <c r="R27" s="247" t="s">
        <v>466</v>
      </c>
      <c r="S27" s="247" t="s">
        <v>40</v>
      </c>
      <c r="T27" s="241" t="s">
        <v>56</v>
      </c>
      <c r="U27" s="247" t="s">
        <v>439</v>
      </c>
      <c r="V27" s="17"/>
      <c r="W27" s="17"/>
      <c r="X27" s="173"/>
      <c r="Y27" s="173"/>
      <c r="Z27" s="173"/>
      <c r="AA27" s="173"/>
      <c r="AB27" s="173"/>
      <c r="AC27" s="173"/>
      <c r="AD27" s="173"/>
      <c r="AE27" s="173"/>
    </row>
    <row r="28" spans="1:31" ht="12">
      <c r="A28" s="317" t="s">
        <v>12</v>
      </c>
      <c r="B28" s="176" t="s">
        <v>26</v>
      </c>
      <c r="C28" s="171">
        <f>'Measure Calculations'!$J$171</f>
        <v>18</v>
      </c>
      <c r="D28" s="171"/>
      <c r="E28" s="17"/>
      <c r="F28" s="171">
        <f>'Measure Calculations'!C170</f>
        <v>218.95384615384629</v>
      </c>
      <c r="G28" s="171"/>
      <c r="H28" s="177">
        <f>'Measure Calculations'!C169</f>
        <v>0.40492281303602079</v>
      </c>
      <c r="I28" s="177"/>
      <c r="J28" s="175">
        <f>'Measure Calculations'!K177</f>
        <v>555.7122839457063</v>
      </c>
      <c r="K28" s="175"/>
      <c r="L28" s="175"/>
      <c r="M28" s="17"/>
      <c r="N28" s="314">
        <f>'2014 Screen'!N28</f>
        <v>0.29541974560408135</v>
      </c>
      <c r="O28" s="314">
        <f>'2015 Screen'!N28</f>
        <v>0.29985104178814254</v>
      </c>
      <c r="P28" s="314">
        <f>'2016 Screen'!N28</f>
        <v>0.30434880741496462</v>
      </c>
      <c r="Q28" s="17"/>
      <c r="R28" s="247" t="s">
        <v>466</v>
      </c>
      <c r="S28" s="247" t="s">
        <v>40</v>
      </c>
      <c r="T28" s="241" t="s">
        <v>56</v>
      </c>
      <c r="U28" s="247" t="s">
        <v>439</v>
      </c>
      <c r="V28" s="17"/>
      <c r="W28" s="17"/>
      <c r="X28" s="173"/>
      <c r="Y28" s="173"/>
      <c r="Z28" s="173"/>
      <c r="AA28" s="173"/>
      <c r="AB28" s="173"/>
      <c r="AC28" s="173"/>
      <c r="AD28" s="173"/>
      <c r="AE28" s="173"/>
    </row>
    <row r="29" spans="1:31" ht="12">
      <c r="A29" s="317" t="s">
        <v>12</v>
      </c>
      <c r="B29" s="176" t="s">
        <v>27</v>
      </c>
      <c r="C29" s="171">
        <f>'Measure Calculations'!$J$171</f>
        <v>18</v>
      </c>
      <c r="D29" s="171"/>
      <c r="E29" s="17"/>
      <c r="F29" s="171">
        <f>'Measure Calculations'!D170</f>
        <v>307.90384615384625</v>
      </c>
      <c r="G29" s="171"/>
      <c r="H29" s="177">
        <f>'Measure Calculations'!D169</f>
        <v>0.46069930069930065</v>
      </c>
      <c r="I29" s="177"/>
      <c r="J29" s="175">
        <f>'Measure Calculations'!L177</f>
        <v>833.56842591855946</v>
      </c>
      <c r="K29" s="175"/>
      <c r="L29" s="175"/>
      <c r="M29" s="17"/>
      <c r="N29" s="314">
        <f>'2014 Screen'!N29</f>
        <v>0.25526275580044283</v>
      </c>
      <c r="O29" s="314">
        <f>'2015 Screen'!N29</f>
        <v>0.25909169713744939</v>
      </c>
      <c r="P29" s="314">
        <f>'2016 Screen'!N29</f>
        <v>0.26297807259451111</v>
      </c>
      <c r="Q29" s="17"/>
      <c r="R29" s="247" t="s">
        <v>466</v>
      </c>
      <c r="S29" s="247" t="s">
        <v>40</v>
      </c>
      <c r="T29" s="241" t="s">
        <v>56</v>
      </c>
      <c r="U29" s="247" t="s">
        <v>439</v>
      </c>
      <c r="V29" s="17"/>
      <c r="W29" s="17"/>
      <c r="X29" s="173"/>
      <c r="Y29" s="173"/>
      <c r="Z29" s="173"/>
      <c r="AA29" s="173"/>
      <c r="AB29" s="173"/>
      <c r="AC29" s="173"/>
      <c r="AD29" s="173"/>
      <c r="AE29" s="173"/>
    </row>
    <row r="30" spans="1:31" ht="12">
      <c r="A30" s="317" t="s">
        <v>12</v>
      </c>
      <c r="B30" s="176" t="s">
        <v>421</v>
      </c>
      <c r="C30" s="171">
        <f>'Measure Calculations'!$J$171</f>
        <v>18</v>
      </c>
      <c r="D30" s="171">
        <v>8</v>
      </c>
      <c r="E30" s="17"/>
      <c r="F30" s="171">
        <f>Sources!F27</f>
        <v>169.87798408488072</v>
      </c>
      <c r="G30" s="171">
        <f>'Measure Calculations'!E170</f>
        <v>662.52413793103472</v>
      </c>
      <c r="H30" s="177">
        <f>Sources!H27</f>
        <v>0.24954545454545479</v>
      </c>
      <c r="I30" s="177">
        <f>'Measure Calculations'!E169</f>
        <v>0.83543478260869619</v>
      </c>
      <c r="J30" s="175">
        <f>'Measure Calculations'!J179</f>
        <v>2065.4366584381551</v>
      </c>
      <c r="K30" s="175">
        <f>'Measure Calculations'!J178</f>
        <v>1648.6524454788757</v>
      </c>
      <c r="L30" s="175"/>
      <c r="M30" s="17"/>
      <c r="N30" s="314">
        <f>'2014 Screen'!N30</f>
        <v>0.24851049303961795</v>
      </c>
      <c r="O30" s="314">
        <f>'2015 Screen'!N30</f>
        <v>0.25223815043521219</v>
      </c>
      <c r="P30" s="314">
        <f>'2016 Screen'!N30</f>
        <v>0.25602172269174045</v>
      </c>
      <c r="Q30" s="17"/>
      <c r="R30" s="247" t="s">
        <v>466</v>
      </c>
      <c r="S30" s="247" t="s">
        <v>40</v>
      </c>
      <c r="T30" s="241" t="s">
        <v>56</v>
      </c>
      <c r="U30" s="247" t="s">
        <v>439</v>
      </c>
      <c r="V30" s="17"/>
      <c r="W30" s="17"/>
      <c r="X30" s="173"/>
      <c r="Y30" s="173"/>
      <c r="Z30" s="173"/>
      <c r="AA30" s="173"/>
      <c r="AB30" s="173"/>
      <c r="AC30" s="173"/>
      <c r="AD30" s="173"/>
      <c r="AE30" s="173"/>
    </row>
    <row r="31" spans="1:31" ht="12">
      <c r="A31" s="317" t="s">
        <v>12</v>
      </c>
      <c r="B31" s="176" t="s">
        <v>422</v>
      </c>
      <c r="C31" s="171">
        <f>'Measure Calculations'!$J$171</f>
        <v>18</v>
      </c>
      <c r="D31" s="171">
        <v>8</v>
      </c>
      <c r="E31" s="17"/>
      <c r="F31" s="171">
        <f>Sources!F28</f>
        <v>218.95384615384629</v>
      </c>
      <c r="G31" s="171">
        <f>'Measure Calculations'!F170</f>
        <v>711.60000000000014</v>
      </c>
      <c r="H31" s="177">
        <f>Sources!H28</f>
        <v>0.40492281303602079</v>
      </c>
      <c r="I31" s="177">
        <f>'Measure Calculations'!F169</f>
        <v>0.99081214109926219</v>
      </c>
      <c r="J31" s="175">
        <f>'Measure Calculations'!K179</f>
        <v>2204.364729424582</v>
      </c>
      <c r="K31" s="175">
        <f>'Measure Calculations'!K178</f>
        <v>1648.6524454788757</v>
      </c>
      <c r="L31" s="175"/>
      <c r="M31" s="17"/>
      <c r="N31" s="314">
        <f>'2014 Screen'!N31</f>
        <v>0.25803274329311859</v>
      </c>
      <c r="O31" s="314">
        <f>'2015 Screen'!N31</f>
        <v>0.2619032344425154</v>
      </c>
      <c r="P31" s="314">
        <f>'2016 Screen'!N31</f>
        <v>0.26583178295915311</v>
      </c>
      <c r="Q31" s="17"/>
      <c r="R31" s="247" t="s">
        <v>466</v>
      </c>
      <c r="S31" s="247" t="s">
        <v>40</v>
      </c>
      <c r="T31" s="241" t="s">
        <v>56</v>
      </c>
      <c r="U31" s="247" t="s">
        <v>439</v>
      </c>
      <c r="V31" s="17"/>
      <c r="W31" s="17"/>
      <c r="X31" s="173"/>
      <c r="Y31" s="173"/>
      <c r="Z31" s="173"/>
      <c r="AA31" s="173"/>
      <c r="AB31" s="173"/>
      <c r="AC31" s="173"/>
      <c r="AD31" s="173"/>
      <c r="AE31" s="173"/>
    </row>
    <row r="32" spans="1:31" ht="12">
      <c r="A32" s="317" t="s">
        <v>12</v>
      </c>
      <c r="B32" s="176" t="s">
        <v>423</v>
      </c>
      <c r="C32" s="171">
        <f>'Measure Calculations'!$J$171</f>
        <v>18</v>
      </c>
      <c r="D32" s="171">
        <v>8</v>
      </c>
      <c r="E32" s="17"/>
      <c r="F32" s="171">
        <f>Sources!F29</f>
        <v>307.90384615384625</v>
      </c>
      <c r="G32" s="171">
        <f>'Measure Calculations'!G170</f>
        <v>800.55000000000007</v>
      </c>
      <c r="H32" s="177">
        <f>Sources!H29</f>
        <v>0.46069930069930065</v>
      </c>
      <c r="I32" s="177">
        <f>'Measure Calculations'!G169</f>
        <v>1.0465886287625421</v>
      </c>
      <c r="J32" s="175">
        <f>'Measure Calculations'!L179</f>
        <v>2482.2208713974351</v>
      </c>
      <c r="K32" s="175">
        <f>'Measure Calculations'!L178</f>
        <v>1648.6524454788757</v>
      </c>
      <c r="L32" s="175"/>
      <c r="M32" s="17"/>
      <c r="N32" s="314">
        <f>'2014 Screen'!N32</f>
        <v>0.24399938697487988</v>
      </c>
      <c r="O32" s="314">
        <f>'2015 Screen'!N32</f>
        <v>0.24765937777950311</v>
      </c>
      <c r="P32" s="314">
        <f>'2016 Screen'!N32</f>
        <v>0.25137426844619565</v>
      </c>
      <c r="Q32" s="17"/>
      <c r="R32" s="247" t="s">
        <v>466</v>
      </c>
      <c r="S32" s="247" t="s">
        <v>40</v>
      </c>
      <c r="T32" s="241" t="s">
        <v>56</v>
      </c>
      <c r="U32" s="247" t="s">
        <v>439</v>
      </c>
      <c r="V32" s="17"/>
      <c r="W32" s="17"/>
      <c r="X32" s="173"/>
      <c r="Y32" s="173"/>
      <c r="Z32" s="173"/>
      <c r="AA32" s="173"/>
      <c r="AB32" s="173"/>
      <c r="AC32" s="173"/>
      <c r="AD32" s="173"/>
      <c r="AE32" s="173"/>
    </row>
    <row r="33" spans="1:31" s="17" customFormat="1" ht="12">
      <c r="A33" s="317" t="s">
        <v>12</v>
      </c>
      <c r="B33" s="183" t="s">
        <v>435</v>
      </c>
      <c r="C33" s="169">
        <f>'Measure Calculations'!$B$200</f>
        <v>10</v>
      </c>
      <c r="D33" s="169"/>
      <c r="F33" s="171">
        <f>'Measure Calculations'!$B$198</f>
        <v>128.08799999999999</v>
      </c>
      <c r="G33" s="171"/>
      <c r="H33" s="177">
        <f>'Measure Calculations'!B197</f>
        <v>0.23306603773584905</v>
      </c>
      <c r="I33" s="177"/>
      <c r="J33" s="170">
        <f>'Measure Calculations'!$B$199</f>
        <v>30</v>
      </c>
      <c r="K33" s="170"/>
      <c r="L33" s="170"/>
      <c r="N33" s="314">
        <f>'2014 Screen'!N33</f>
        <v>2.2337540171053916</v>
      </c>
      <c r="O33" s="314">
        <f>'2015 Screen'!N33</f>
        <v>2.2672603273619725</v>
      </c>
      <c r="P33" s="314">
        <f>'2016 Screen'!N33</f>
        <v>2.3012692322724013</v>
      </c>
      <c r="R33" s="247" t="s">
        <v>466</v>
      </c>
      <c r="S33" s="247" t="s">
        <v>40</v>
      </c>
      <c r="T33" s="247" t="s">
        <v>40</v>
      </c>
      <c r="U33" s="247" t="s">
        <v>40</v>
      </c>
    </row>
    <row r="34" spans="1:31" s="17" customFormat="1" ht="12">
      <c r="A34" s="317" t="s">
        <v>12</v>
      </c>
      <c r="B34" s="176" t="s">
        <v>29</v>
      </c>
      <c r="C34" s="171">
        <f>'Measure Calculations'!$J$171</f>
        <v>18</v>
      </c>
      <c r="D34" s="171"/>
      <c r="F34" s="171">
        <f>'Measure Calculations'!B183</f>
        <v>478.80491904078809</v>
      </c>
      <c r="G34" s="171"/>
      <c r="H34" s="177">
        <f>'Measure Calculations'!B182</f>
        <v>0.50112450763010352</v>
      </c>
      <c r="I34" s="177"/>
      <c r="J34" s="175">
        <f>'Measure Calculations'!M177</f>
        <v>293.80824805778059</v>
      </c>
      <c r="K34" s="175"/>
      <c r="L34" s="175"/>
      <c r="N34" s="314">
        <f>'2014 Screen'!N34</f>
        <v>1.0043124734709326</v>
      </c>
      <c r="O34" s="314">
        <f>'2015 Screen'!N34</f>
        <v>1.019377160572996</v>
      </c>
      <c r="P34" s="314">
        <f>'2016 Screen'!N34</f>
        <v>1.0346678179815909</v>
      </c>
      <c r="R34" s="247" t="s">
        <v>466</v>
      </c>
      <c r="S34" s="247" t="s">
        <v>40</v>
      </c>
      <c r="T34" s="241" t="s">
        <v>56</v>
      </c>
      <c r="U34" s="247" t="s">
        <v>439</v>
      </c>
    </row>
    <row r="35" spans="1:31" s="17" customFormat="1" ht="12">
      <c r="A35" s="317" t="s">
        <v>12</v>
      </c>
      <c r="B35" s="172" t="s">
        <v>28</v>
      </c>
      <c r="C35" s="171">
        <f>'Measure Calculations'!$J$171</f>
        <v>18</v>
      </c>
      <c r="D35" s="171"/>
      <c r="F35" s="171">
        <f>'Measure Calculations'!$C$183</f>
        <v>567.75491904078808</v>
      </c>
      <c r="G35" s="171"/>
      <c r="H35" s="177">
        <f>'Measure Calculations'!C182</f>
        <v>0.50112450763010352</v>
      </c>
      <c r="I35" s="177"/>
      <c r="J35" s="175">
        <f>'Measure Calculations'!N177</f>
        <v>587.61649611556118</v>
      </c>
      <c r="K35" s="175"/>
      <c r="L35" s="175"/>
      <c r="N35" s="314">
        <f>'2014 Screen'!N35</f>
        <v>0.5690942473649464</v>
      </c>
      <c r="O35" s="314">
        <f>'2015 Screen'!N35</f>
        <v>0.57763066107542049</v>
      </c>
      <c r="P35" s="314">
        <f>'2016 Screen'!N35</f>
        <v>0.5862951209915519</v>
      </c>
      <c r="R35" s="247" t="s">
        <v>466</v>
      </c>
      <c r="S35" s="247" t="s">
        <v>40</v>
      </c>
      <c r="T35" s="241" t="s">
        <v>56</v>
      </c>
      <c r="U35" s="247" t="s">
        <v>439</v>
      </c>
    </row>
    <row r="36" spans="1:31" s="17" customFormat="1" ht="12">
      <c r="A36" s="317" t="s">
        <v>12</v>
      </c>
      <c r="B36" s="172" t="s">
        <v>433</v>
      </c>
      <c r="C36" s="171">
        <f>'Measure Calculations'!$J$171</f>
        <v>18</v>
      </c>
      <c r="D36" s="171">
        <v>8</v>
      </c>
      <c r="F36" s="171">
        <f>F34</f>
        <v>478.80491904078809</v>
      </c>
      <c r="G36" s="171">
        <f>'Measure Calculations'!D183</f>
        <v>3288.776470588236</v>
      </c>
      <c r="H36" s="177">
        <f>H34</f>
        <v>0.50112450763010352</v>
      </c>
      <c r="I36" s="177">
        <f>'Measure Calculations'!D182</f>
        <v>1.9140583120204608</v>
      </c>
      <c r="J36" s="175">
        <f>'Measure Calculations'!M179</f>
        <v>2480.1501390380126</v>
      </c>
      <c r="K36" s="175">
        <f>'Measure Calculations'!M178</f>
        <v>2186.3418909802322</v>
      </c>
      <c r="L36" s="175"/>
      <c r="N36" s="314">
        <f>'2014 Screen'!N36</f>
        <v>0.86060049410599293</v>
      </c>
      <c r="O36" s="314">
        <f>'2015 Screen'!N36</f>
        <v>0.87350950151758289</v>
      </c>
      <c r="P36" s="314">
        <f>'2016 Screen'!N36</f>
        <v>0.88661214404034627</v>
      </c>
      <c r="R36" s="247" t="s">
        <v>466</v>
      </c>
      <c r="S36" s="247" t="s">
        <v>40</v>
      </c>
      <c r="T36" s="241" t="s">
        <v>56</v>
      </c>
      <c r="U36" s="247" t="s">
        <v>439</v>
      </c>
    </row>
    <row r="37" spans="1:31" s="17" customFormat="1" ht="12">
      <c r="A37" s="317" t="s">
        <v>12</v>
      </c>
      <c r="B37" s="172" t="s">
        <v>434</v>
      </c>
      <c r="C37" s="171">
        <f>'Measure Calculations'!$J$171</f>
        <v>18</v>
      </c>
      <c r="D37" s="171">
        <v>8</v>
      </c>
      <c r="F37" s="171">
        <f>F35</f>
        <v>567.75491904078808</v>
      </c>
      <c r="G37" s="171">
        <f>'Measure Calculations'!E183</f>
        <v>3377.7264705882358</v>
      </c>
      <c r="H37" s="177">
        <f>H35</f>
        <v>0.50112450763010352</v>
      </c>
      <c r="I37" s="177">
        <f>'Measure Calculations'!E182</f>
        <v>1.9140583120204608</v>
      </c>
      <c r="J37" s="175">
        <f>'Measure Calculations'!N179</f>
        <v>2773.9583870957931</v>
      </c>
      <c r="K37" s="175">
        <f>'Measure Calculations'!N178</f>
        <v>2186.3418909802322</v>
      </c>
      <c r="L37" s="175"/>
      <c r="N37" s="314">
        <f>'2014 Screen'!N37</f>
        <v>0.73226427449267806</v>
      </c>
      <c r="O37" s="314">
        <f>'2015 Screen'!N37</f>
        <v>0.74324823861006828</v>
      </c>
      <c r="P37" s="314">
        <f>'2016 Screen'!N37</f>
        <v>0.75439696218921892</v>
      </c>
      <c r="R37" s="247" t="s">
        <v>466</v>
      </c>
      <c r="S37" s="247" t="s">
        <v>40</v>
      </c>
      <c r="T37" s="241" t="s">
        <v>56</v>
      </c>
      <c r="U37" s="247" t="s">
        <v>439</v>
      </c>
    </row>
    <row r="38" spans="1:31" s="17" customFormat="1" ht="12">
      <c r="A38" s="317" t="s">
        <v>12</v>
      </c>
      <c r="B38" s="183" t="s">
        <v>398</v>
      </c>
      <c r="C38" s="169">
        <f>'Measure Calculations'!$C$200</f>
        <v>10</v>
      </c>
      <c r="D38" s="169"/>
      <c r="F38" s="171">
        <f>'Measure Calculations'!$C$198</f>
        <v>829.07999999999993</v>
      </c>
      <c r="G38" s="171"/>
      <c r="H38" s="177">
        <f>'Measure Calculations'!C197</f>
        <v>0.23716799999999999</v>
      </c>
      <c r="I38" s="177"/>
      <c r="J38" s="170">
        <f>'Measure Calculations'!$C$199</f>
        <v>30</v>
      </c>
      <c r="K38" s="170"/>
      <c r="L38" s="170"/>
      <c r="N38" s="314">
        <f>'2014 Screen'!N38</f>
        <v>9.5074737581370066</v>
      </c>
      <c r="O38" s="314">
        <f>'2015 Screen'!N38</f>
        <v>9.6500858645090606</v>
      </c>
      <c r="P38" s="314">
        <f>'2016 Screen'!N38</f>
        <v>9.7948371524766937</v>
      </c>
      <c r="R38" s="247" t="s">
        <v>466</v>
      </c>
      <c r="S38" s="247" t="s">
        <v>40</v>
      </c>
      <c r="T38" s="247" t="s">
        <v>40</v>
      </c>
      <c r="U38" s="247" t="s">
        <v>40</v>
      </c>
    </row>
    <row r="39" spans="1:31" s="17" customFormat="1" ht="12">
      <c r="A39" s="317" t="s">
        <v>12</v>
      </c>
      <c r="B39" s="172" t="s">
        <v>592</v>
      </c>
      <c r="C39" s="171">
        <f>'Measure Calculations'!$J$171</f>
        <v>18</v>
      </c>
      <c r="D39" s="169"/>
      <c r="F39" s="171">
        <f>'Measure Calculations'!B193</f>
        <v>13964.281800931512</v>
      </c>
      <c r="G39" s="171"/>
      <c r="H39" s="177">
        <f>'Measure Calculations'!B192</f>
        <v>3.1493299292737613</v>
      </c>
      <c r="I39" s="476"/>
      <c r="J39" s="175">
        <f>1518*3</f>
        <v>4554</v>
      </c>
      <c r="K39" s="170"/>
      <c r="L39" s="170"/>
      <c r="N39" s="314">
        <f>'2014 Screen'!N39</f>
        <v>1.470977126168562</v>
      </c>
      <c r="O39" s="314">
        <f>'2015 Screen'!N39</f>
        <v>1.4930417830610905</v>
      </c>
      <c r="P39" s="314">
        <f>'2016 Screen'!N39</f>
        <v>1.5154374098070067</v>
      </c>
      <c r="R39" s="247" t="s">
        <v>597</v>
      </c>
      <c r="S39" s="247" t="s">
        <v>439</v>
      </c>
      <c r="T39" s="247" t="s">
        <v>40</v>
      </c>
      <c r="U39" s="247" t="s">
        <v>40</v>
      </c>
    </row>
    <row r="40" spans="1:31" s="17" customFormat="1" ht="12">
      <c r="A40" s="317" t="s">
        <v>12</v>
      </c>
      <c r="B40" s="183" t="s">
        <v>444</v>
      </c>
      <c r="C40" s="169">
        <f>'Measure Calculations'!B207</f>
        <v>20</v>
      </c>
      <c r="D40" s="169"/>
      <c r="F40" s="171">
        <f>'Measure Calculations'!B205</f>
        <v>720</v>
      </c>
      <c r="G40" s="171"/>
      <c r="H40" s="177">
        <f>'Measure Calculations'!B204</f>
        <v>6.5699999999999995E-2</v>
      </c>
      <c r="I40" s="476"/>
      <c r="J40" s="492">
        <f>'Measure Calculations'!B206</f>
        <v>250</v>
      </c>
      <c r="K40" s="170"/>
      <c r="L40" s="170"/>
      <c r="N40" s="314">
        <f>'2014 Screen'!N40</f>
        <v>1.3855381446489654</v>
      </c>
      <c r="O40" s="314">
        <f>'2015 Screen'!N40</f>
        <v>1.3728747693198684</v>
      </c>
      <c r="P40" s="314">
        <f>'2016 Screen'!N40</f>
        <v>1.3570647774019389</v>
      </c>
      <c r="R40" s="247" t="s">
        <v>439</v>
      </c>
      <c r="S40" s="247" t="s">
        <v>439</v>
      </c>
      <c r="T40" s="247" t="s">
        <v>439</v>
      </c>
      <c r="U40" s="247" t="s">
        <v>439</v>
      </c>
    </row>
    <row r="41" spans="1:31" ht="12">
      <c r="A41" s="317" t="s">
        <v>12</v>
      </c>
      <c r="B41" s="176" t="s">
        <v>37</v>
      </c>
      <c r="C41" s="171">
        <f>'Measure Calculations'!B218</f>
        <v>18</v>
      </c>
      <c r="D41" s="171"/>
      <c r="E41" s="17"/>
      <c r="F41" s="171">
        <f>'Measure Calculations'!B216</f>
        <v>1215.8696864111503</v>
      </c>
      <c r="G41" s="171"/>
      <c r="H41" s="177">
        <f>'Measure Calculations'!B215</f>
        <v>0.55790022172949016</v>
      </c>
      <c r="I41" s="476"/>
      <c r="J41" s="182">
        <f>'Measure Calculations'!B217</f>
        <v>1055.8714961155604</v>
      </c>
      <c r="K41" s="175"/>
      <c r="L41" s="175"/>
      <c r="M41" s="17"/>
      <c r="N41" s="314">
        <f>'2014 Screen'!N41</f>
        <v>0.59708951568300439</v>
      </c>
      <c r="O41" s="314">
        <f>'2015 Screen'!N41</f>
        <v>0.60604585841824943</v>
      </c>
      <c r="P41" s="314">
        <f>'2016 Screen'!N41</f>
        <v>0.61513654629452308</v>
      </c>
      <c r="Q41" s="17"/>
      <c r="R41" s="247" t="s">
        <v>294</v>
      </c>
      <c r="S41" s="247" t="s">
        <v>55</v>
      </c>
      <c r="T41" s="241" t="s">
        <v>56</v>
      </c>
      <c r="U41" s="247" t="s">
        <v>55</v>
      </c>
      <c r="V41" s="173"/>
      <c r="W41" s="173"/>
      <c r="AE41" s="173"/>
    </row>
    <row r="42" spans="1:31" s="17" customFormat="1" ht="12">
      <c r="A42" s="317" t="s">
        <v>12</v>
      </c>
      <c r="B42" s="183" t="s">
        <v>33</v>
      </c>
      <c r="C42" s="171">
        <f>'Measure Calculations'!B229</f>
        <v>18</v>
      </c>
      <c r="D42" s="171"/>
      <c r="F42" s="171">
        <f>'Measure Calculations'!B227</f>
        <v>4955.1064202657835</v>
      </c>
      <c r="G42" s="171"/>
      <c r="H42" s="177">
        <f>'Measure Calculations'!B226</f>
        <v>0.77497514492162278</v>
      </c>
      <c r="I42" s="177"/>
      <c r="J42" s="175">
        <f>'Measure Calculations'!$B$228</f>
        <v>1230</v>
      </c>
      <c r="K42" s="175"/>
      <c r="L42" s="175"/>
      <c r="N42" s="314">
        <f>'2014 Screen'!N42</f>
        <v>1.8862211496557282</v>
      </c>
      <c r="O42" s="314">
        <f>'2015 Screen'!N42</f>
        <v>1.9145144669005636</v>
      </c>
      <c r="P42" s="314">
        <f>'2016 Screen'!N42</f>
        <v>1.943232183904072</v>
      </c>
      <c r="R42" s="247" t="s">
        <v>116</v>
      </c>
      <c r="S42" s="247" t="s">
        <v>40</v>
      </c>
      <c r="T42" s="241" t="s">
        <v>56</v>
      </c>
      <c r="U42" s="247" t="s">
        <v>40</v>
      </c>
    </row>
    <row r="43" spans="1:31" s="17" customFormat="1" ht="12">
      <c r="A43" s="317" t="s">
        <v>12</v>
      </c>
      <c r="B43" s="183" t="s">
        <v>502</v>
      </c>
      <c r="C43" s="171">
        <f>'Measure Calculations'!B229</f>
        <v>18</v>
      </c>
      <c r="D43" s="171">
        <f>'Measure Calculations'!C229</f>
        <v>6</v>
      </c>
      <c r="F43" s="171">
        <f>'Measure Calculations'!B227</f>
        <v>4955.1064202657835</v>
      </c>
      <c r="G43" s="171">
        <f>'Measure Calculations'!C227</f>
        <v>11192.538033732733</v>
      </c>
      <c r="H43" s="177">
        <f>'Measure Calculations'!B226</f>
        <v>0.77497514492162278</v>
      </c>
      <c r="I43" s="177">
        <f>'Measure Calculations'!C226</f>
        <v>1.6330612693235365</v>
      </c>
      <c r="J43" s="175">
        <f>(741+230)*3</f>
        <v>2913</v>
      </c>
      <c r="K43" s="175">
        <f>(562+230)*3</f>
        <v>2376</v>
      </c>
      <c r="L43" s="175"/>
      <c r="N43" s="314">
        <f>'2014 Screen'!N43</f>
        <v>2.4989690633805153</v>
      </c>
      <c r="O43" s="314">
        <f>'2015 Screen'!N43</f>
        <v>2.5364535993312223</v>
      </c>
      <c r="P43" s="314">
        <f>'2016 Screen'!N43</f>
        <v>2.5745004033211898</v>
      </c>
      <c r="R43" s="247" t="s">
        <v>116</v>
      </c>
      <c r="S43" s="247" t="s">
        <v>40</v>
      </c>
      <c r="T43" s="241" t="s">
        <v>56</v>
      </c>
      <c r="U43" s="247" t="s">
        <v>40</v>
      </c>
    </row>
    <row r="44" spans="1:31" s="17" customFormat="1" ht="12">
      <c r="A44" s="317" t="s">
        <v>12</v>
      </c>
      <c r="B44" s="183" t="s">
        <v>238</v>
      </c>
      <c r="C44" s="171">
        <f>'Measure Calculations'!B242</f>
        <v>15</v>
      </c>
      <c r="D44" s="171"/>
      <c r="F44" s="171">
        <f>'Measure Calculations'!B240</f>
        <v>1733.7090342339393</v>
      </c>
      <c r="G44" s="171"/>
      <c r="H44" s="177">
        <f>'Measure Calculations'!B239</f>
        <v>8.2133866604055542E-2</v>
      </c>
      <c r="I44" s="177"/>
      <c r="J44" s="175">
        <f>'Measure Calculations'!B241</f>
        <v>700</v>
      </c>
      <c r="K44" s="175"/>
      <c r="L44" s="175"/>
      <c r="N44" s="314">
        <f>'2014 Screen'!N44</f>
        <v>1.0114102808052039</v>
      </c>
      <c r="O44" s="314">
        <f>'2015 Screen'!N44</f>
        <v>1.0265814350172817</v>
      </c>
      <c r="P44" s="314">
        <f>'2016 Screen'!N44</f>
        <v>1.0419801565425408</v>
      </c>
      <c r="R44" s="247" t="s">
        <v>319</v>
      </c>
      <c r="S44" s="247" t="s">
        <v>40</v>
      </c>
      <c r="T44" s="241" t="s">
        <v>56</v>
      </c>
      <c r="U44" s="241" t="s">
        <v>56</v>
      </c>
    </row>
    <row r="45" spans="1:31" s="17" customFormat="1" ht="12">
      <c r="A45" s="317" t="s">
        <v>12</v>
      </c>
      <c r="B45" s="183" t="s">
        <v>515</v>
      </c>
      <c r="C45" s="171">
        <f>'Measure Calculations'!B260</f>
        <v>15</v>
      </c>
      <c r="D45" s="171"/>
      <c r="F45" s="171">
        <f>'Measure Calculations'!B258</f>
        <v>127.42990712124168</v>
      </c>
      <c r="G45" s="171"/>
      <c r="H45" s="177">
        <f>'Measure Calculations'!B257</f>
        <v>1.5168731147858494E-2</v>
      </c>
      <c r="I45" s="177"/>
      <c r="J45" s="175">
        <f>'Measure Calculations'!B259</f>
        <v>50</v>
      </c>
      <c r="K45" s="175"/>
      <c r="L45" s="175"/>
      <c r="N45" s="314">
        <f>'2014 Screen'!N45</f>
        <v>1.0683203771285583</v>
      </c>
      <c r="O45" s="314">
        <f>'2015 Screen'!N45</f>
        <v>1.0843451827854864</v>
      </c>
      <c r="P45" s="314">
        <f>'2016 Screen'!N45</f>
        <v>1.1006103605272686</v>
      </c>
      <c r="R45" s="247"/>
      <c r="S45" s="247"/>
      <c r="T45" s="241"/>
      <c r="U45" s="241"/>
    </row>
    <row r="46" spans="1:31" s="17" customFormat="1" ht="12">
      <c r="A46" s="317" t="s">
        <v>12</v>
      </c>
      <c r="B46" s="183" t="s">
        <v>34</v>
      </c>
      <c r="C46" s="171">
        <f>'Measure Calculations'!B268</f>
        <v>2</v>
      </c>
      <c r="D46" s="171"/>
      <c r="F46" s="171">
        <f>'Measure Calculations'!B266</f>
        <v>86.4</v>
      </c>
      <c r="G46" s="171"/>
      <c r="H46" s="177">
        <f>'Measure Calculations'!B265</f>
        <v>9.8562628336755654E-3</v>
      </c>
      <c r="I46" s="177"/>
      <c r="J46" s="175">
        <f>'Measure Calculations'!B267</f>
        <v>5</v>
      </c>
      <c r="K46" s="175"/>
      <c r="L46" s="175"/>
      <c r="N46" s="314">
        <f>'2014 Screen'!N46</f>
        <v>1.4517303712136269</v>
      </c>
      <c r="O46" s="314">
        <f>'2015 Screen'!N46</f>
        <v>1.4735063267818311</v>
      </c>
      <c r="P46" s="314">
        <f>'2016 Screen'!N46</f>
        <v>1.4956089216835584</v>
      </c>
      <c r="R46" s="247" t="s">
        <v>40</v>
      </c>
      <c r="S46" s="247" t="s">
        <v>40</v>
      </c>
      <c r="T46" s="247" t="s">
        <v>40</v>
      </c>
      <c r="U46" s="247" t="s">
        <v>40</v>
      </c>
    </row>
    <row r="47" spans="1:31" s="17" customFormat="1" ht="12">
      <c r="A47" s="315" t="s">
        <v>12</v>
      </c>
      <c r="B47" s="183" t="s">
        <v>457</v>
      </c>
      <c r="C47" s="169">
        <f>Sources!C4</f>
        <v>5</v>
      </c>
      <c r="D47" s="169"/>
      <c r="F47" s="169">
        <f>Sources!F4*4+Sources!F23+Sources!F22</f>
        <v>333.62649058426223</v>
      </c>
      <c r="G47" s="169"/>
      <c r="H47" s="184">
        <f>Sources!H4*4+Sources!H23+Sources!H22</f>
        <v>2.9205646714513204E-2</v>
      </c>
      <c r="I47" s="184"/>
      <c r="J47" s="175">
        <v>0</v>
      </c>
      <c r="K47" s="233"/>
      <c r="L47" s="233"/>
      <c r="N47" s="314" t="str">
        <f>'2014 Screen'!N47</f>
        <v>n/a</v>
      </c>
      <c r="O47" s="314" t="str">
        <f>'2015 Screen'!N47</f>
        <v>n/a</v>
      </c>
      <c r="P47" s="314" t="str">
        <f>'2016 Screen'!N47</f>
        <v>n/a</v>
      </c>
      <c r="R47" s="793"/>
      <c r="S47" s="794"/>
      <c r="T47" s="794"/>
      <c r="U47" s="795"/>
      <c r="V47" s="173"/>
    </row>
    <row r="48" spans="1:31" s="17" customFormat="1" ht="12">
      <c r="A48" s="317" t="s">
        <v>112</v>
      </c>
      <c r="B48" s="183" t="s">
        <v>358</v>
      </c>
      <c r="C48" s="169">
        <f>'Measure Calculations'!B294</f>
        <v>11</v>
      </c>
      <c r="D48" s="169"/>
      <c r="F48" s="169">
        <f>'Measure Calculations'!B291</f>
        <v>107.64574999999999</v>
      </c>
      <c r="G48" s="169"/>
      <c r="H48" s="184">
        <f>'Measure Calculations'!B290</f>
        <v>1.6645199999999999E-2</v>
      </c>
      <c r="I48" s="184"/>
      <c r="J48" s="175">
        <f>'Measure Calculations'!B292</f>
        <v>12</v>
      </c>
      <c r="K48" s="233"/>
      <c r="L48" s="597">
        <f>'Measure Calculations'!B292</f>
        <v>12</v>
      </c>
      <c r="N48" s="314">
        <f>'2014 Screen'!N48</f>
        <v>3.145168310418033</v>
      </c>
      <c r="O48" s="314">
        <f>'2015 Screen'!N48</f>
        <v>3.1923458350743039</v>
      </c>
      <c r="P48" s="314">
        <f>'2016 Screen'!N48</f>
        <v>3.2402310226004181</v>
      </c>
      <c r="R48" s="247" t="s">
        <v>40</v>
      </c>
      <c r="S48" s="247" t="s">
        <v>40</v>
      </c>
      <c r="T48" s="247" t="s">
        <v>40</v>
      </c>
      <c r="U48" s="247" t="s">
        <v>40</v>
      </c>
      <c r="V48" s="173"/>
    </row>
    <row r="49" spans="1:22" s="17" customFormat="1" ht="12">
      <c r="A49" s="317" t="s">
        <v>112</v>
      </c>
      <c r="B49" s="183" t="s">
        <v>492</v>
      </c>
      <c r="C49" s="169">
        <f>'Measure Calculations'!C294</f>
        <v>11</v>
      </c>
      <c r="D49" s="169"/>
      <c r="F49" s="169">
        <f>'Measure Calculations'!C291</f>
        <v>414.49162499999994</v>
      </c>
      <c r="G49" s="169"/>
      <c r="H49" s="184">
        <f>'Measure Calculations'!C290</f>
        <v>6.4092599999999986E-2</v>
      </c>
      <c r="I49" s="184"/>
      <c r="J49" s="175">
        <f>'Measure Calculations'!C292</f>
        <v>55</v>
      </c>
      <c r="K49" s="233"/>
      <c r="L49" s="597">
        <f>'Measure Calculations'!C292</f>
        <v>55</v>
      </c>
      <c r="N49" s="314">
        <f>'2014 Screen'!N49</f>
        <v>2.6422951016482896</v>
      </c>
      <c r="O49" s="314">
        <f>'2015 Screen'!N49</f>
        <v>2.6819295281730136</v>
      </c>
      <c r="P49" s="314">
        <f>'2016 Screen'!N49</f>
        <v>2.7221584710956086</v>
      </c>
      <c r="R49" s="247" t="s">
        <v>40</v>
      </c>
      <c r="S49" s="247" t="s">
        <v>40</v>
      </c>
      <c r="T49" s="247" t="s">
        <v>40</v>
      </c>
      <c r="U49" s="247" t="s">
        <v>40</v>
      </c>
      <c r="V49" s="173"/>
    </row>
    <row r="50" spans="1:22" s="17" customFormat="1" ht="12">
      <c r="A50" s="317" t="s">
        <v>112</v>
      </c>
      <c r="B50" s="183" t="s">
        <v>491</v>
      </c>
      <c r="C50" s="169">
        <f>'Measure Calculations'!D294</f>
        <v>11</v>
      </c>
      <c r="D50" s="169"/>
      <c r="F50" s="169">
        <f>'Measure Calculations'!D291</f>
        <v>886.13537499999995</v>
      </c>
      <c r="G50" s="169"/>
      <c r="H50" s="184">
        <f>'Measure Calculations'!D290</f>
        <v>0.13702259999999999</v>
      </c>
      <c r="I50" s="184"/>
      <c r="J50" s="175">
        <f>'Measure Calculations'!D292</f>
        <v>122</v>
      </c>
      <c r="K50" s="233"/>
      <c r="L50" s="597">
        <f>'Measure Calculations'!D292</f>
        <v>122</v>
      </c>
      <c r="N50" s="314">
        <f>'2014 Screen'!N50</f>
        <v>2.5466454918392425</v>
      </c>
      <c r="O50" s="314">
        <f>'2015 Screen'!N50</f>
        <v>2.5848451742168308</v>
      </c>
      <c r="P50" s="314">
        <f>'2016 Screen'!N50</f>
        <v>2.6236178518300841</v>
      </c>
      <c r="R50" s="247" t="s">
        <v>40</v>
      </c>
      <c r="S50" s="247" t="s">
        <v>40</v>
      </c>
      <c r="T50" s="247" t="s">
        <v>40</v>
      </c>
      <c r="U50" s="247" t="s">
        <v>40</v>
      </c>
      <c r="V50" s="173"/>
    </row>
    <row r="51" spans="1:22" s="17" customFormat="1" ht="12">
      <c r="A51" s="317" t="s">
        <v>112</v>
      </c>
      <c r="B51" s="172" t="s">
        <v>380</v>
      </c>
      <c r="C51" s="171">
        <f>'Measure Calculations'!I304</f>
        <v>18</v>
      </c>
      <c r="D51" s="171"/>
      <c r="F51" s="169">
        <f>'Measure Calculations'!I302</f>
        <v>227.49875</v>
      </c>
      <c r="G51" s="169"/>
      <c r="H51" s="177">
        <f>'Measure Calculations'!I301</f>
        <v>3.5178000000000001E-2</v>
      </c>
      <c r="I51" s="177"/>
      <c r="J51" s="170">
        <f>'Measure Calculations'!I303</f>
        <v>43</v>
      </c>
      <c r="K51" s="233"/>
      <c r="L51" s="597"/>
      <c r="N51" s="314">
        <f>'2014 Screen'!N51</f>
        <v>2.4756096662525127</v>
      </c>
      <c r="O51" s="314">
        <f>'2015 Screen'!N51</f>
        <v>2.5127438112462999</v>
      </c>
      <c r="P51" s="314">
        <f>'2016 Screen'!N51</f>
        <v>2.5504349684149945</v>
      </c>
      <c r="R51" s="250" t="s">
        <v>352</v>
      </c>
      <c r="S51" s="250" t="s">
        <v>40</v>
      </c>
      <c r="T51" s="241" t="s">
        <v>74</v>
      </c>
      <c r="U51" s="337" t="s">
        <v>74</v>
      </c>
      <c r="V51" s="173"/>
    </row>
    <row r="52" spans="1:22" s="17" customFormat="1" ht="12">
      <c r="A52" s="317" t="s">
        <v>112</v>
      </c>
      <c r="B52" s="172" t="s">
        <v>381</v>
      </c>
      <c r="C52" s="171">
        <f>'Measure Calculations'!J304</f>
        <v>18</v>
      </c>
      <c r="D52" s="171"/>
      <c r="F52" s="171">
        <f>'Measure Calculations'!J302</f>
        <v>349.57124999999996</v>
      </c>
      <c r="G52" s="171"/>
      <c r="H52" s="177">
        <f>'Measure Calculations'!J301</f>
        <v>5.4053999999999998E-2</v>
      </c>
      <c r="I52" s="177"/>
      <c r="J52" s="170">
        <f>'Measure Calculations'!J303</f>
        <v>55</v>
      </c>
      <c r="K52" s="233"/>
      <c r="L52" s="597"/>
      <c r="N52" s="314">
        <f>'2014 Screen'!N52</f>
        <v>2.9740250935157673</v>
      </c>
      <c r="O52" s="314">
        <f>'2015 Screen'!N52</f>
        <v>3.018635469918503</v>
      </c>
      <c r="P52" s="314">
        <f>'2016 Screen'!N52</f>
        <v>3.0639150019672803</v>
      </c>
      <c r="R52" s="250" t="s">
        <v>352</v>
      </c>
      <c r="S52" s="250" t="s">
        <v>40</v>
      </c>
      <c r="T52" s="241" t="s">
        <v>74</v>
      </c>
      <c r="U52" s="337" t="s">
        <v>74</v>
      </c>
      <c r="V52" s="173"/>
    </row>
    <row r="53" spans="1:22" s="17" customFormat="1" ht="12">
      <c r="A53" s="317" t="s">
        <v>112</v>
      </c>
      <c r="B53" s="172" t="s">
        <v>382</v>
      </c>
      <c r="C53" s="171">
        <f>'Measure Calculations'!K304</f>
        <v>18</v>
      </c>
      <c r="D53" s="171"/>
      <c r="F53" s="171">
        <f>'Measure Calculations'!K302</f>
        <v>332.92499999999995</v>
      </c>
      <c r="G53" s="171"/>
      <c r="H53" s="177">
        <f>'Measure Calculations'!K301</f>
        <v>5.1480000000000005E-2</v>
      </c>
      <c r="I53" s="177"/>
      <c r="J53" s="170">
        <f>'Measure Calculations'!K303</f>
        <v>93</v>
      </c>
      <c r="K53" s="233"/>
      <c r="L53" s="597"/>
      <c r="N53" s="314">
        <f>'2014 Screen'!N53</f>
        <v>1.6750781376688912</v>
      </c>
      <c r="O53" s="314">
        <f>'2015 Screen'!N53</f>
        <v>1.7002043097339243</v>
      </c>
      <c r="P53" s="314">
        <f>'2016 Screen'!N53</f>
        <v>1.7257073743799329</v>
      </c>
      <c r="R53" s="250" t="s">
        <v>352</v>
      </c>
      <c r="S53" s="250" t="s">
        <v>40</v>
      </c>
      <c r="T53" s="241" t="s">
        <v>74</v>
      </c>
      <c r="U53" s="337" t="s">
        <v>74</v>
      </c>
      <c r="V53" s="173"/>
    </row>
    <row r="54" spans="1:22" s="17" customFormat="1" ht="12">
      <c r="A54" s="317" t="s">
        <v>112</v>
      </c>
      <c r="B54" s="183" t="s">
        <v>385</v>
      </c>
      <c r="C54" s="169">
        <f>'Measure Calculations'!E294</f>
        <v>15</v>
      </c>
      <c r="D54" s="169"/>
      <c r="E54" s="361"/>
      <c r="F54" s="169">
        <f>'Measure Calculations'!E291</f>
        <v>55.487499999999997</v>
      </c>
      <c r="G54" s="169"/>
      <c r="H54" s="184">
        <f>'Measure Calculations'!E290</f>
        <v>8.5800000000000008E-3</v>
      </c>
      <c r="I54" s="184"/>
      <c r="J54" s="175">
        <f>'Measure Calculations'!E292</f>
        <v>15</v>
      </c>
      <c r="K54" s="233"/>
      <c r="L54" s="464"/>
      <c r="N54" s="314">
        <f>'2014 Screen'!N54</f>
        <v>1.5704842479769823</v>
      </c>
      <c r="O54" s="314">
        <f>'2015 Screen'!N54</f>
        <v>1.5940415116966369</v>
      </c>
      <c r="P54" s="314">
        <f>'2016 Screen'!N54</f>
        <v>1.617952134372086</v>
      </c>
      <c r="R54" s="247" t="s">
        <v>40</v>
      </c>
      <c r="S54" s="247" t="s">
        <v>40</v>
      </c>
      <c r="T54" s="247" t="s">
        <v>40</v>
      </c>
      <c r="U54" s="247" t="s">
        <v>40</v>
      </c>
      <c r="V54" s="173"/>
    </row>
    <row r="55" spans="1:22" s="17" customFormat="1" ht="12">
      <c r="A55" s="317" t="s">
        <v>112</v>
      </c>
      <c r="B55" s="183" t="s">
        <v>386</v>
      </c>
      <c r="C55" s="169">
        <f>'Measure Calculations'!F294</f>
        <v>15</v>
      </c>
      <c r="D55" s="169"/>
      <c r="F55" s="169">
        <f>'Measure Calculations'!F291</f>
        <v>88.78</v>
      </c>
      <c r="G55" s="169"/>
      <c r="H55" s="184">
        <f>'Measure Calculations'!F290</f>
        <v>1.3728000000000001E-2</v>
      </c>
      <c r="I55" s="184"/>
      <c r="J55" s="175">
        <f>'Measure Calculations'!F292</f>
        <v>18</v>
      </c>
      <c r="K55" s="233"/>
      <c r="L55" s="464"/>
      <c r="N55" s="314">
        <f>'2014 Screen'!N55</f>
        <v>2.093978997302643</v>
      </c>
      <c r="O55" s="314">
        <f>'2015 Screen'!N55</f>
        <v>2.1253886822621819</v>
      </c>
      <c r="P55" s="314">
        <f>'2016 Screen'!N55</f>
        <v>2.1572695124961148</v>
      </c>
      <c r="R55" s="247" t="s">
        <v>40</v>
      </c>
      <c r="S55" s="247" t="s">
        <v>40</v>
      </c>
      <c r="T55" s="247" t="s">
        <v>40</v>
      </c>
      <c r="U55" s="247" t="s">
        <v>40</v>
      </c>
      <c r="V55" s="173"/>
    </row>
    <row r="56" spans="1:22" s="17" customFormat="1" ht="12">
      <c r="A56" s="317" t="s">
        <v>112</v>
      </c>
      <c r="B56" s="172" t="s">
        <v>369</v>
      </c>
      <c r="C56" s="171">
        <f>'Measure Calculations'!D315</f>
        <v>6</v>
      </c>
      <c r="D56" s="171"/>
      <c r="F56" s="171">
        <f>'Measure Calculations'!D312</f>
        <v>38.841250000000002</v>
      </c>
      <c r="G56" s="171"/>
      <c r="H56" s="177">
        <f>'Measure Calculations'!D311</f>
        <v>6.0060000000000001E-3</v>
      </c>
      <c r="I56" s="177"/>
      <c r="J56" s="170">
        <f>'Measure Calculations'!D313</f>
        <v>2</v>
      </c>
      <c r="K56" s="233"/>
      <c r="L56" s="597">
        <f>'Measure Calculations'!D314</f>
        <v>4</v>
      </c>
      <c r="N56" s="314">
        <f>'2014 Screen'!N56</f>
        <v>4.3471583583229059</v>
      </c>
      <c r="O56" s="314">
        <f>'2015 Screen'!N56</f>
        <v>4.4123657336977491</v>
      </c>
      <c r="P56" s="314">
        <f>'2016 Screen'!N56</f>
        <v>4.4785512197032151</v>
      </c>
      <c r="R56" s="250" t="s">
        <v>352</v>
      </c>
      <c r="S56" s="250" t="s">
        <v>40</v>
      </c>
      <c r="T56" s="241" t="s">
        <v>74</v>
      </c>
      <c r="U56" s="337" t="s">
        <v>74</v>
      </c>
      <c r="V56" s="173"/>
    </row>
    <row r="57" spans="1:22" s="17" customFormat="1" ht="12">
      <c r="A57" s="317" t="s">
        <v>112</v>
      </c>
      <c r="B57" s="172" t="s">
        <v>523</v>
      </c>
      <c r="C57" s="171">
        <v>15</v>
      </c>
      <c r="D57" s="171"/>
      <c r="F57" s="171">
        <f>'Measure Calculations'!B322</f>
        <v>110.97499999999999</v>
      </c>
      <c r="G57" s="171"/>
      <c r="H57" s="177">
        <f>'Measure Calculations'!B321</f>
        <v>1.7160000000000002E-2</v>
      </c>
      <c r="I57" s="177"/>
      <c r="J57" s="170">
        <v>30</v>
      </c>
      <c r="K57" s="233"/>
      <c r="L57" s="597"/>
      <c r="N57" s="314">
        <f>'2014 Screen'!N57</f>
        <v>1.5704842479769823</v>
      </c>
      <c r="O57" s="314">
        <f>'2015 Screen'!N57</f>
        <v>1.5940415116966369</v>
      </c>
      <c r="P57" s="314">
        <f>'2016 Screen'!N57</f>
        <v>1.617952134372086</v>
      </c>
      <c r="R57" s="250"/>
      <c r="S57" s="250"/>
      <c r="T57" s="241"/>
      <c r="U57" s="337"/>
      <c r="V57" s="173"/>
    </row>
    <row r="58" spans="1:22" s="17" customFormat="1" ht="12">
      <c r="A58" s="317" t="s">
        <v>112</v>
      </c>
      <c r="B58" s="172" t="s">
        <v>524</v>
      </c>
      <c r="C58" s="171">
        <v>15</v>
      </c>
      <c r="D58" s="171"/>
      <c r="F58" s="171">
        <f>'Measure Calculations'!C322</f>
        <v>144.26750000000001</v>
      </c>
      <c r="G58" s="171"/>
      <c r="H58" s="177">
        <f>'Measure Calculations'!C321</f>
        <v>2.2308000000000001E-2</v>
      </c>
      <c r="I58" s="177"/>
      <c r="J58" s="170">
        <v>30</v>
      </c>
      <c r="K58" s="233"/>
      <c r="L58" s="597"/>
      <c r="N58" s="314">
        <f>'2014 Screen'!N58</f>
        <v>2.0416295223700769</v>
      </c>
      <c r="O58" s="314">
        <f>'2015 Screen'!N58</f>
        <v>2.0722539652056282</v>
      </c>
      <c r="P58" s="314">
        <f>'2016 Screen'!N58</f>
        <v>2.1033377746837121</v>
      </c>
      <c r="R58" s="250"/>
      <c r="S58" s="250"/>
      <c r="T58" s="241"/>
      <c r="U58" s="337"/>
      <c r="V58" s="173"/>
    </row>
    <row r="59" spans="1:22" s="17" customFormat="1" ht="12">
      <c r="A59" s="317" t="s">
        <v>112</v>
      </c>
      <c r="B59" s="172" t="s">
        <v>525</v>
      </c>
      <c r="C59" s="171">
        <v>15</v>
      </c>
      <c r="D59" s="171"/>
      <c r="F59" s="171">
        <f>'Measure Calculations'!D322</f>
        <v>127.62124999999999</v>
      </c>
      <c r="G59" s="171"/>
      <c r="H59" s="177">
        <f>'Measure Calculations'!D321</f>
        <v>1.9734000000000002E-2</v>
      </c>
      <c r="I59" s="177"/>
      <c r="J59" s="170">
        <v>50</v>
      </c>
      <c r="K59" s="233"/>
      <c r="L59" s="597"/>
      <c r="N59" s="314">
        <f>'2014 Screen'!N59</f>
        <v>1.0836341311041178</v>
      </c>
      <c r="O59" s="314">
        <f>'2015 Screen'!N59</f>
        <v>1.0998886430706794</v>
      </c>
      <c r="P59" s="314">
        <f>'2016 Screen'!N59</f>
        <v>1.1163869727167395</v>
      </c>
      <c r="R59" s="250"/>
      <c r="S59" s="250"/>
      <c r="T59" s="241"/>
      <c r="U59" s="337"/>
      <c r="V59" s="173"/>
    </row>
    <row r="60" spans="1:22" s="17" customFormat="1" ht="12">
      <c r="A60" s="317" t="s">
        <v>112</v>
      </c>
      <c r="B60" s="172" t="s">
        <v>526</v>
      </c>
      <c r="C60" s="171">
        <v>15</v>
      </c>
      <c r="D60" s="171"/>
      <c r="F60" s="171">
        <f>'Measure Calculations'!E322</f>
        <v>271.88875000000002</v>
      </c>
      <c r="G60" s="171"/>
      <c r="H60" s="177">
        <f>'Measure Calculations'!E321</f>
        <v>4.2042000000000003E-2</v>
      </c>
      <c r="I60" s="177"/>
      <c r="J60" s="170">
        <v>50</v>
      </c>
      <c r="K60" s="233"/>
      <c r="L60" s="597"/>
      <c r="N60" s="314">
        <f>'2014 Screen'!N60</f>
        <v>2.3086118445261645</v>
      </c>
      <c r="O60" s="314">
        <f>'2015 Screen'!N60</f>
        <v>2.3432410221940563</v>
      </c>
      <c r="P60" s="314">
        <f>'2016 Screen'!N60</f>
        <v>2.3783896375269671</v>
      </c>
      <c r="R60" s="250"/>
      <c r="S60" s="250"/>
      <c r="T60" s="241"/>
      <c r="U60" s="337"/>
      <c r="V60" s="173"/>
    </row>
    <row r="61" spans="1:22" s="17" customFormat="1" ht="12">
      <c r="A61" s="317" t="s">
        <v>112</v>
      </c>
      <c r="B61" s="172" t="s">
        <v>383</v>
      </c>
      <c r="C61" s="171">
        <f>'Measure Calculations'!B315</f>
        <v>18</v>
      </c>
      <c r="D61" s="171"/>
      <c r="F61" s="169">
        <f>'Measure Calculations'!B312</f>
        <v>1342.7975000000001</v>
      </c>
      <c r="G61" s="169"/>
      <c r="H61" s="177">
        <f>'Measure Calculations'!B311</f>
        <v>0.20763600000000001</v>
      </c>
      <c r="I61" s="177"/>
      <c r="J61" s="170">
        <f>'Measure Calculations'!B313</f>
        <v>102</v>
      </c>
      <c r="K61" s="233"/>
      <c r="L61" s="597">
        <f>'Measure Calculations'!B314</f>
        <v>282</v>
      </c>
      <c r="N61" s="314">
        <f>'2014 Screen'!N61</f>
        <v>6.1600177396039326</v>
      </c>
      <c r="O61" s="314">
        <f>'2015 Screen'!N61</f>
        <v>6.252418005697991</v>
      </c>
      <c r="P61" s="314">
        <f>'2016 Screen'!N61</f>
        <v>6.3462042757834594</v>
      </c>
      <c r="R61" s="250" t="s">
        <v>352</v>
      </c>
      <c r="S61" s="250" t="s">
        <v>40</v>
      </c>
      <c r="T61" s="337" t="s">
        <v>74</v>
      </c>
      <c r="U61" s="241" t="s">
        <v>74</v>
      </c>
      <c r="V61" s="173"/>
    </row>
    <row r="62" spans="1:22" s="17" customFormat="1" ht="12">
      <c r="A62" s="317" t="s">
        <v>112</v>
      </c>
      <c r="B62" s="172" t="s">
        <v>384</v>
      </c>
      <c r="C62" s="171">
        <f>'Measure Calculations'!C315</f>
        <v>18</v>
      </c>
      <c r="D62" s="171"/>
      <c r="F62" s="169">
        <f>'Measure Calculations'!C312</f>
        <v>2707.79</v>
      </c>
      <c r="G62" s="169"/>
      <c r="H62" s="177">
        <f>'Measure Calculations'!C311</f>
        <v>0.41870400000000008</v>
      </c>
      <c r="I62" s="177"/>
      <c r="J62" s="170">
        <f>'Measure Calculations'!C313</f>
        <v>169</v>
      </c>
      <c r="K62" s="233"/>
      <c r="L62" s="597">
        <f>'Measure Calculations'!C314</f>
        <v>524</v>
      </c>
      <c r="N62" s="314">
        <f>'2014 Screen'!N62</f>
        <v>7.4972136291878622</v>
      </c>
      <c r="O62" s="314">
        <f>'2015 Screen'!N62</f>
        <v>7.6096718336256801</v>
      </c>
      <c r="P62" s="314">
        <f>'2016 Screen'!N62</f>
        <v>7.7238169111300632</v>
      </c>
      <c r="R62" s="250" t="s">
        <v>352</v>
      </c>
      <c r="S62" s="250" t="s">
        <v>40</v>
      </c>
      <c r="T62" s="337" t="s">
        <v>74</v>
      </c>
      <c r="U62" s="241" t="s">
        <v>74</v>
      </c>
      <c r="V62" s="173"/>
    </row>
    <row r="63" spans="1:22" s="17" customFormat="1" ht="12">
      <c r="A63" s="317" t="s">
        <v>112</v>
      </c>
      <c r="B63" s="183" t="s">
        <v>372</v>
      </c>
      <c r="C63" s="169">
        <f>'Measure Calculations'!K315</f>
        <v>10</v>
      </c>
      <c r="D63" s="169"/>
      <c r="F63" s="169">
        <f>'Measure Calculations'!K312</f>
        <v>349.57124999999996</v>
      </c>
      <c r="G63" s="169"/>
      <c r="H63" s="184">
        <f>'Measure Calculations'!K311</f>
        <v>5.4053999999999998E-2</v>
      </c>
      <c r="I63" s="184"/>
      <c r="J63" s="175">
        <f>'Measure Calculations'!K313</f>
        <v>20</v>
      </c>
      <c r="K63" s="233"/>
      <c r="L63" s="597">
        <f>'Measure Calculations'!K314</f>
        <v>38</v>
      </c>
      <c r="N63" s="314">
        <f>'2014 Screen'!N63</f>
        <v>5.7446881994394214</v>
      </c>
      <c r="O63" s="314">
        <f>'2015 Screen'!N63</f>
        <v>5.8308585224310123</v>
      </c>
      <c r="P63" s="314">
        <f>'2016 Screen'!N63</f>
        <v>5.9183214002674767</v>
      </c>
      <c r="R63" s="250" t="s">
        <v>352</v>
      </c>
      <c r="S63" s="250" t="s">
        <v>40</v>
      </c>
      <c r="T63" s="337" t="s">
        <v>74</v>
      </c>
      <c r="U63" s="337" t="s">
        <v>74</v>
      </c>
      <c r="V63" s="173"/>
    </row>
    <row r="64" spans="1:22" s="17" customFormat="1" ht="12">
      <c r="A64" s="317" t="s">
        <v>112</v>
      </c>
      <c r="B64" s="183" t="s">
        <v>370</v>
      </c>
      <c r="C64" s="169">
        <f>'Measure Calculations'!L315</f>
        <v>10</v>
      </c>
      <c r="D64" s="169"/>
      <c r="F64" s="169">
        <f>'Measure Calculations'!L312</f>
        <v>610.36250000000007</v>
      </c>
      <c r="G64" s="169"/>
      <c r="H64" s="184">
        <f>'Measure Calculations'!L311</f>
        <v>9.4380000000000006E-2</v>
      </c>
      <c r="I64" s="184"/>
      <c r="J64" s="175">
        <f>'Measure Calculations'!L313</f>
        <v>40</v>
      </c>
      <c r="K64" s="233"/>
      <c r="L64" s="597">
        <f>'Measure Calculations'!L314</f>
        <v>76</v>
      </c>
      <c r="N64" s="314">
        <f>'2014 Screen'!N64</f>
        <v>5.0152039836375897</v>
      </c>
      <c r="O64" s="314">
        <f>'2015 Screen'!N64</f>
        <v>5.0904320433921528</v>
      </c>
      <c r="P64" s="314">
        <f>'2016 Screen'!N64</f>
        <v>5.166788524043036</v>
      </c>
      <c r="R64" s="250" t="s">
        <v>352</v>
      </c>
      <c r="S64" s="250" t="s">
        <v>40</v>
      </c>
      <c r="T64" s="337" t="s">
        <v>74</v>
      </c>
      <c r="U64" s="337" t="s">
        <v>74</v>
      </c>
      <c r="V64" s="173"/>
    </row>
    <row r="65" spans="1:22" s="17" customFormat="1" ht="12">
      <c r="A65" s="317" t="s">
        <v>112</v>
      </c>
      <c r="B65" s="183" t="s">
        <v>371</v>
      </c>
      <c r="C65" s="169">
        <f>'Measure Calculations'!M315</f>
        <v>10</v>
      </c>
      <c r="D65" s="169"/>
      <c r="F65" s="169">
        <f>'Measure Calculations'!M312</f>
        <v>1026.51875</v>
      </c>
      <c r="G65" s="169"/>
      <c r="H65" s="184">
        <f>'Measure Calculations'!M311</f>
        <v>0.15873000000000001</v>
      </c>
      <c r="I65" s="184"/>
      <c r="J65" s="175">
        <f>'Measure Calculations'!M313</f>
        <v>50</v>
      </c>
      <c r="K65" s="233"/>
      <c r="L65" s="597">
        <f>'Measure Calculations'!M314</f>
        <v>103</v>
      </c>
      <c r="N65" s="314">
        <f>'2014 Screen'!N65</f>
        <v>6.7477289961669404</v>
      </c>
      <c r="O65" s="314">
        <f>'2015 Screen'!N65</f>
        <v>6.8489449311094441</v>
      </c>
      <c r="P65" s="314">
        <f>'2016 Screen'!N65</f>
        <v>6.9516791050760842</v>
      </c>
      <c r="R65" s="250" t="s">
        <v>352</v>
      </c>
      <c r="S65" s="250" t="s">
        <v>40</v>
      </c>
      <c r="T65" s="337" t="s">
        <v>74</v>
      </c>
      <c r="U65" s="337" t="s">
        <v>74</v>
      </c>
      <c r="V65" s="173"/>
    </row>
    <row r="66" spans="1:22" s="17" customFormat="1" ht="12">
      <c r="A66" s="317" t="s">
        <v>112</v>
      </c>
      <c r="B66" s="172" t="s">
        <v>357</v>
      </c>
      <c r="C66" s="171">
        <f>'Measure Calculations'!B304</f>
        <v>18</v>
      </c>
      <c r="D66" s="171"/>
      <c r="F66" s="169">
        <f>'Measure Calculations'!B302</f>
        <v>1187.4325000000001</v>
      </c>
      <c r="G66" s="169"/>
      <c r="H66" s="177">
        <f>'Measure Calculations'!B301</f>
        <v>0.18361200000000003</v>
      </c>
      <c r="I66" s="177"/>
      <c r="J66" s="170">
        <f>'Measure Calculations'!B303</f>
        <v>98</v>
      </c>
      <c r="K66" s="233"/>
      <c r="L66" s="233"/>
      <c r="N66" s="314">
        <f>'2014 Screen'!N66</f>
        <v>5.6696267169874597</v>
      </c>
      <c r="O66" s="314">
        <f>'2015 Screen'!N66</f>
        <v>5.7546711177422729</v>
      </c>
      <c r="P66" s="314">
        <f>'2016 Screen'!N66</f>
        <v>5.8409911845084057</v>
      </c>
      <c r="R66" s="250" t="s">
        <v>352</v>
      </c>
      <c r="S66" s="250" t="s">
        <v>40</v>
      </c>
      <c r="T66" s="241" t="s">
        <v>74</v>
      </c>
      <c r="U66" s="241" t="s">
        <v>74</v>
      </c>
      <c r="V66" s="173"/>
    </row>
    <row r="67" spans="1:22" s="17" customFormat="1" ht="12">
      <c r="A67" s="317" t="s">
        <v>112</v>
      </c>
      <c r="B67" s="172" t="s">
        <v>528</v>
      </c>
      <c r="C67" s="171">
        <v>18</v>
      </c>
      <c r="D67" s="171"/>
      <c r="F67" s="169">
        <f>'Measure Calculations'!F322</f>
        <v>149.81625</v>
      </c>
      <c r="G67" s="169"/>
      <c r="H67" s="177">
        <f>'Measure Calculations'!F319</f>
        <v>88.33</v>
      </c>
      <c r="I67" s="177"/>
      <c r="J67" s="170">
        <v>60</v>
      </c>
      <c r="K67" s="233"/>
      <c r="L67" s="233"/>
      <c r="N67" s="314">
        <f>'2014 Screen'!N67</f>
        <v>245.95404811458755</v>
      </c>
      <c r="O67" s="314">
        <f>'2015 Screen'!N67</f>
        <v>249.64335883630633</v>
      </c>
      <c r="P67" s="314">
        <f>'2016 Screen'!N67</f>
        <v>253.38800921885084</v>
      </c>
      <c r="R67" s="250"/>
      <c r="S67" s="250"/>
      <c r="T67" s="337"/>
      <c r="U67" s="337"/>
      <c r="V67" s="173"/>
    </row>
    <row r="68" spans="1:22" s="17" customFormat="1" ht="12">
      <c r="A68" s="317" t="s">
        <v>112</v>
      </c>
      <c r="B68" s="183" t="s">
        <v>377</v>
      </c>
      <c r="C68" s="169">
        <f>'Measure Calculations'!E315</f>
        <v>18</v>
      </c>
      <c r="D68" s="169"/>
      <c r="F68" s="169">
        <f>'Measure Calculations'!E312</f>
        <v>904.44624999999996</v>
      </c>
      <c r="G68" s="169"/>
      <c r="H68" s="184">
        <f>'Measure Calculations'!E311</f>
        <v>0.13985400000000001</v>
      </c>
      <c r="I68" s="184"/>
      <c r="J68" s="175">
        <f>'Measure Calculations'!E313</f>
        <v>145</v>
      </c>
      <c r="K68" s="233"/>
      <c r="L68" s="597">
        <f>'Measure Calculations'!E314</f>
        <v>204</v>
      </c>
      <c r="N68" s="314">
        <f>'2014 Screen'!N68</f>
        <v>2.9186792516003126</v>
      </c>
      <c r="O68" s="314">
        <f>'2015 Screen'!N68</f>
        <v>2.962459440374317</v>
      </c>
      <c r="P68" s="314">
        <f>'2016 Screen'!N68</f>
        <v>3.0068963319799304</v>
      </c>
      <c r="R68" s="250" t="s">
        <v>352</v>
      </c>
      <c r="S68" s="250" t="s">
        <v>40</v>
      </c>
      <c r="T68" s="337" t="s">
        <v>74</v>
      </c>
      <c r="U68" s="337" t="s">
        <v>74</v>
      </c>
      <c r="V68" s="173"/>
    </row>
    <row r="69" spans="1:22" s="17" customFormat="1" ht="12">
      <c r="A69" s="317" t="s">
        <v>112</v>
      </c>
      <c r="B69" s="183" t="s">
        <v>378</v>
      </c>
      <c r="C69" s="169">
        <f>'Measure Calculations'!F315</f>
        <v>18</v>
      </c>
      <c r="D69" s="169"/>
      <c r="F69" s="169">
        <f>'Measure Calculations'!F312</f>
        <v>1015.42125</v>
      </c>
      <c r="G69" s="169"/>
      <c r="H69" s="184">
        <f>'Measure Calculations'!F311</f>
        <v>0.15701400000000001</v>
      </c>
      <c r="I69" s="184"/>
      <c r="J69" s="175">
        <f>'Measure Calculations'!F313</f>
        <v>98</v>
      </c>
      <c r="K69" s="233"/>
      <c r="L69" s="597">
        <f>'Measure Calculations'!F314</f>
        <v>290</v>
      </c>
      <c r="N69" s="314">
        <f>'2014 Screen'!N69</f>
        <v>4.8483256505079693</v>
      </c>
      <c r="O69" s="314">
        <f>'2015 Screen'!N69</f>
        <v>4.9210505352655876</v>
      </c>
      <c r="P69" s="314">
        <f>'2016 Screen'!N69</f>
        <v>4.9948662932945709</v>
      </c>
      <c r="R69" s="250" t="s">
        <v>352</v>
      </c>
      <c r="S69" s="250" t="s">
        <v>40</v>
      </c>
      <c r="T69" s="337" t="s">
        <v>74</v>
      </c>
      <c r="U69" s="337" t="s">
        <v>74</v>
      </c>
      <c r="V69" s="173"/>
    </row>
    <row r="70" spans="1:22" s="17" customFormat="1" ht="12">
      <c r="A70" s="317" t="s">
        <v>112</v>
      </c>
      <c r="B70" s="183" t="s">
        <v>379</v>
      </c>
      <c r="C70" s="169">
        <f>'Measure Calculations'!G315</f>
        <v>18</v>
      </c>
      <c r="D70" s="169"/>
      <c r="F70" s="169">
        <f>'Measure Calculations'!G312</f>
        <v>471.64375000000007</v>
      </c>
      <c r="G70" s="169"/>
      <c r="H70" s="184">
        <f>'Measure Calculations'!G311</f>
        <v>7.2930000000000009E-2</v>
      </c>
      <c r="I70" s="184"/>
      <c r="J70" s="175">
        <f>'Measure Calculations'!G313</f>
        <v>42</v>
      </c>
      <c r="K70" s="233"/>
      <c r="L70" s="597">
        <f>'Measure Calculations'!G314</f>
        <v>295</v>
      </c>
      <c r="N70" s="314">
        <f>'2014 Screen'!N70</f>
        <v>5.2545605866161047</v>
      </c>
      <c r="O70" s="314">
        <f>'2015 Screen'!N70</f>
        <v>5.3333789954153454</v>
      </c>
      <c r="P70" s="314">
        <f>'2016 Screen'!N70</f>
        <v>5.4133796803465746</v>
      </c>
      <c r="R70" s="250" t="s">
        <v>352</v>
      </c>
      <c r="S70" s="250" t="s">
        <v>40</v>
      </c>
      <c r="T70" s="337" t="s">
        <v>74</v>
      </c>
      <c r="U70" s="337" t="s">
        <v>74</v>
      </c>
      <c r="V70" s="173"/>
    </row>
    <row r="71" spans="1:22" s="17" customFormat="1" ht="12">
      <c r="A71" s="317" t="s">
        <v>112</v>
      </c>
      <c r="B71" s="183" t="s">
        <v>373</v>
      </c>
      <c r="C71" s="169">
        <f>'Measure Calculations'!C304</f>
        <v>18</v>
      </c>
      <c r="D71" s="169"/>
      <c r="F71" s="169">
        <f>'Measure Calculations'!C302</f>
        <v>937.73874999999998</v>
      </c>
      <c r="G71" s="169"/>
      <c r="H71" s="184">
        <f>'Measure Calculations'!C301</f>
        <v>0.14500200000000002</v>
      </c>
      <c r="I71" s="184"/>
      <c r="J71" s="175">
        <f>'Measure Calculations'!C303</f>
        <v>161</v>
      </c>
      <c r="K71" s="233"/>
      <c r="L71" s="233"/>
      <c r="N71" s="314">
        <f>'2014 Screen'!N71</f>
        <v>2.7253833426233918</v>
      </c>
      <c r="O71" s="314">
        <f>'2015 Screen'!N71</f>
        <v>2.766264092762742</v>
      </c>
      <c r="P71" s="314">
        <f>'2016 Screen'!N71</f>
        <v>2.8077580541541831</v>
      </c>
      <c r="R71" s="250" t="s">
        <v>352</v>
      </c>
      <c r="S71" s="250" t="s">
        <v>40</v>
      </c>
      <c r="T71" s="337" t="s">
        <v>74</v>
      </c>
      <c r="U71" s="337" t="s">
        <v>74</v>
      </c>
      <c r="V71" s="173"/>
    </row>
    <row r="72" spans="1:22" s="17" customFormat="1" ht="12">
      <c r="A72" s="317" t="s">
        <v>112</v>
      </c>
      <c r="B72" s="183" t="s">
        <v>374</v>
      </c>
      <c r="C72" s="169">
        <f>'Measure Calculations'!D304</f>
        <v>18</v>
      </c>
      <c r="D72" s="169"/>
      <c r="F72" s="169">
        <f>'Measure Calculations'!D302</f>
        <v>654.75250000000005</v>
      </c>
      <c r="G72" s="169"/>
      <c r="H72" s="184">
        <f>'Measure Calculations'!D301</f>
        <v>0.10124400000000001</v>
      </c>
      <c r="I72" s="184"/>
      <c r="J72" s="175">
        <f>'Measure Calculations'!D303</f>
        <v>185</v>
      </c>
      <c r="K72" s="233"/>
      <c r="L72" s="233"/>
      <c r="N72" s="314">
        <f>'2014 Screen'!N72</f>
        <v>1.6560637371872444</v>
      </c>
      <c r="O72" s="314">
        <f>'2015 Screen'!N72</f>
        <v>1.6809046932450529</v>
      </c>
      <c r="P72" s="314">
        <f>'2016 Screen'!N72</f>
        <v>1.7061182636437289</v>
      </c>
      <c r="R72" s="250" t="s">
        <v>352</v>
      </c>
      <c r="S72" s="250" t="s">
        <v>40</v>
      </c>
      <c r="T72" s="337" t="s">
        <v>74</v>
      </c>
      <c r="U72" s="337" t="s">
        <v>74</v>
      </c>
      <c r="V72" s="173"/>
    </row>
    <row r="73" spans="1:22" s="17" customFormat="1" ht="12">
      <c r="A73" s="317" t="s">
        <v>112</v>
      </c>
      <c r="B73" s="183" t="s">
        <v>375</v>
      </c>
      <c r="C73" s="169">
        <f>'Measure Calculations'!E304</f>
        <v>18</v>
      </c>
      <c r="D73" s="169"/>
      <c r="F73" s="169">
        <f>'Measure Calculations'!E302</f>
        <v>449.44875000000002</v>
      </c>
      <c r="G73" s="169"/>
      <c r="H73" s="184">
        <f>'Measure Calculations'!E301</f>
        <v>6.9498000000000018E-2</v>
      </c>
      <c r="I73" s="184"/>
      <c r="J73" s="175">
        <f>'Measure Calculations'!E303</f>
        <v>283</v>
      </c>
      <c r="K73" s="233"/>
      <c r="L73" s="233"/>
      <c r="N73" s="314">
        <f>'2014 Screen'!N73</f>
        <v>0.7431309547149445</v>
      </c>
      <c r="O73" s="314">
        <f>'2015 Screen'!N73</f>
        <v>0.75427791903566854</v>
      </c>
      <c r="P73" s="314">
        <f>'2016 Screen'!N73</f>
        <v>0.76559208782120347</v>
      </c>
      <c r="R73" s="250" t="s">
        <v>352</v>
      </c>
      <c r="S73" s="250" t="s">
        <v>40</v>
      </c>
      <c r="T73" s="337" t="s">
        <v>74</v>
      </c>
      <c r="U73" s="337" t="s">
        <v>74</v>
      </c>
      <c r="V73" s="173"/>
    </row>
    <row r="74" spans="1:22" s="17" customFormat="1" ht="12">
      <c r="A74" s="317" t="s">
        <v>112</v>
      </c>
      <c r="B74" s="183" t="s">
        <v>376</v>
      </c>
      <c r="C74" s="169">
        <f>'Measure Calculations'!F304</f>
        <v>18</v>
      </c>
      <c r="D74" s="169"/>
      <c r="F74" s="169">
        <f>'Measure Calculations'!F302</f>
        <v>1947.6112499999999</v>
      </c>
      <c r="G74" s="169"/>
      <c r="H74" s="184">
        <f>'Measure Calculations'!F301</f>
        <v>0.30115800000000004</v>
      </c>
      <c r="I74" s="184"/>
      <c r="J74" s="175">
        <f>'Measure Calculations'!F303</f>
        <v>381</v>
      </c>
      <c r="K74" s="233"/>
      <c r="L74" s="233"/>
      <c r="N74" s="314">
        <f>'2014 Screen'!N74</f>
        <v>2.3919324430413651</v>
      </c>
      <c r="O74" s="314">
        <f>'2015 Screen'!N74</f>
        <v>2.4278114296869857</v>
      </c>
      <c r="P74" s="314">
        <f>'2016 Screen'!N74</f>
        <v>2.46422860113229</v>
      </c>
      <c r="R74" s="250" t="s">
        <v>352</v>
      </c>
      <c r="S74" s="250" t="s">
        <v>40</v>
      </c>
      <c r="T74" s="337" t="s">
        <v>74</v>
      </c>
      <c r="U74" s="337" t="s">
        <v>74</v>
      </c>
      <c r="V74" s="173"/>
    </row>
    <row r="75" spans="1:22" s="17" customFormat="1" ht="12">
      <c r="A75" s="317" t="s">
        <v>112</v>
      </c>
      <c r="B75" s="172" t="s">
        <v>342</v>
      </c>
      <c r="C75" s="171">
        <f>'Measure Calculations'!B334</f>
        <v>8</v>
      </c>
      <c r="D75" s="171"/>
      <c r="F75" s="171">
        <f>'Measure Calculations'!B332</f>
        <v>334.49</v>
      </c>
      <c r="G75" s="171"/>
      <c r="H75" s="177">
        <f>'Measure Calculations'!B331</f>
        <v>1.0682100000000002E-2</v>
      </c>
      <c r="I75" s="177"/>
      <c r="J75" s="170">
        <f>'Measure Calculations'!B333</f>
        <v>125</v>
      </c>
      <c r="K75" s="233"/>
      <c r="L75" s="233"/>
      <c r="N75" s="314">
        <f>'2014 Screen'!N75</f>
        <v>0.71635166401148753</v>
      </c>
      <c r="O75" s="314">
        <f>'2015 Screen'!N75</f>
        <v>0.72709693897165972</v>
      </c>
      <c r="P75" s="314">
        <f>'2016 Screen'!N75</f>
        <v>0.73800339305623441</v>
      </c>
      <c r="R75" s="250" t="s">
        <v>352</v>
      </c>
      <c r="S75" s="250" t="s">
        <v>40</v>
      </c>
      <c r="T75" s="337" t="s">
        <v>74</v>
      </c>
      <c r="U75" s="250" t="s">
        <v>40</v>
      </c>
      <c r="V75" s="173"/>
    </row>
    <row r="76" spans="1:22" s="17" customFormat="1" ht="12">
      <c r="A76" s="317" t="s">
        <v>112</v>
      </c>
      <c r="B76" s="183" t="s">
        <v>343</v>
      </c>
      <c r="C76" s="169">
        <f>'Measure Calculations'!C334</f>
        <v>8</v>
      </c>
      <c r="D76" s="169"/>
      <c r="F76" s="169">
        <f>'Measure Calculations'!C332</f>
        <v>334.49</v>
      </c>
      <c r="G76" s="169"/>
      <c r="H76" s="184">
        <f>'Measure Calculations'!C331</f>
        <v>1.0682100000000002E-2</v>
      </c>
      <c r="I76" s="184"/>
      <c r="J76" s="175">
        <f>'Measure Calculations'!C333</f>
        <v>55</v>
      </c>
      <c r="K76" s="233"/>
      <c r="L76" s="233"/>
      <c r="N76" s="314">
        <f>'2014 Screen'!N76</f>
        <v>1.6280719636624716</v>
      </c>
      <c r="O76" s="314">
        <f>'2015 Screen'!N76</f>
        <v>1.6524930431174083</v>
      </c>
      <c r="P76" s="314">
        <f>'2016 Screen'!N76</f>
        <v>1.6772804387641691</v>
      </c>
      <c r="R76" s="250" t="s">
        <v>352</v>
      </c>
      <c r="S76" s="250" t="s">
        <v>40</v>
      </c>
      <c r="T76" s="337" t="s">
        <v>74</v>
      </c>
      <c r="U76" s="250" t="s">
        <v>40</v>
      </c>
      <c r="V76" s="173"/>
    </row>
    <row r="77" spans="1:22" s="17" customFormat="1" ht="12">
      <c r="A77" s="317" t="s">
        <v>112</v>
      </c>
      <c r="B77" s="183" t="s">
        <v>344</v>
      </c>
      <c r="C77" s="169">
        <f>'Measure Calculations'!D334</f>
        <v>8</v>
      </c>
      <c r="D77" s="169"/>
      <c r="F77" s="169">
        <f>'Measure Calculations'!D332</f>
        <v>334.49</v>
      </c>
      <c r="G77" s="169"/>
      <c r="H77" s="184">
        <f>'Measure Calculations'!D331</f>
        <v>1.0682100000000002E-2</v>
      </c>
      <c r="I77" s="184"/>
      <c r="J77" s="175">
        <f>'Measure Calculations'!D333</f>
        <v>55</v>
      </c>
      <c r="K77" s="233"/>
      <c r="L77" s="233"/>
      <c r="N77" s="314">
        <f>'2014 Screen'!N77</f>
        <v>1.6280719636624716</v>
      </c>
      <c r="O77" s="314">
        <f>'2015 Screen'!N77</f>
        <v>1.6524930431174083</v>
      </c>
      <c r="P77" s="314">
        <f>'2016 Screen'!N77</f>
        <v>1.6772804387641691</v>
      </c>
      <c r="R77" s="250" t="s">
        <v>352</v>
      </c>
      <c r="S77" s="250" t="s">
        <v>40</v>
      </c>
      <c r="T77" s="337" t="s">
        <v>74</v>
      </c>
      <c r="U77" s="250" t="s">
        <v>40</v>
      </c>
      <c r="V77" s="173"/>
    </row>
    <row r="78" spans="1:22" s="17" customFormat="1" ht="12">
      <c r="A78" s="317" t="s">
        <v>112</v>
      </c>
      <c r="B78" s="183" t="s">
        <v>341</v>
      </c>
      <c r="C78" s="169">
        <f>'Measure Calculations'!E334</f>
        <v>8</v>
      </c>
      <c r="D78" s="169"/>
      <c r="F78" s="169">
        <f>'Measure Calculations'!E332</f>
        <v>390.91</v>
      </c>
      <c r="G78" s="169"/>
      <c r="H78" s="184">
        <f>'Measure Calculations'!E331</f>
        <v>2.0806500000000002E-2</v>
      </c>
      <c r="I78" s="184"/>
      <c r="J78" s="175">
        <f>'Measure Calculations'!E333</f>
        <v>65</v>
      </c>
      <c r="K78" s="233"/>
      <c r="L78" s="233"/>
      <c r="N78" s="314">
        <f>'2014 Screen'!N78</f>
        <v>1.6227045148058659</v>
      </c>
      <c r="O78" s="314">
        <f>'2015 Screen'!N78</f>
        <v>1.6470450825279535</v>
      </c>
      <c r="P78" s="314">
        <f>'2016 Screen'!N78</f>
        <v>1.6717507587658724</v>
      </c>
      <c r="R78" s="250" t="s">
        <v>352</v>
      </c>
      <c r="S78" s="250" t="s">
        <v>40</v>
      </c>
      <c r="T78" s="337" t="s">
        <v>74</v>
      </c>
      <c r="U78" s="250" t="s">
        <v>40</v>
      </c>
      <c r="V78" s="173"/>
    </row>
    <row r="79" spans="1:22" s="17" customFormat="1" ht="12">
      <c r="A79" s="317" t="s">
        <v>112</v>
      </c>
      <c r="B79" s="172" t="s">
        <v>8</v>
      </c>
      <c r="C79" s="171">
        <f>'Measure Calculations'!B355</f>
        <v>15</v>
      </c>
      <c r="D79" s="171"/>
      <c r="F79" s="171">
        <f>'Measure Calculations'!$B$352</f>
        <v>180.91144500000001</v>
      </c>
      <c r="G79" s="171"/>
      <c r="H79" s="177">
        <f>'Measure Calculations'!B351</f>
        <v>3.2604000000000001E-2</v>
      </c>
      <c r="I79" s="177"/>
      <c r="J79" s="170">
        <f>'Measure Calculations'!$B$353</f>
        <v>25</v>
      </c>
      <c r="K79" s="233"/>
      <c r="L79" s="597">
        <f>'Measure Calculations'!B354</f>
        <v>35</v>
      </c>
      <c r="N79" s="314">
        <f>'2014 Screen'!N79</f>
        <v>3.100190142991603</v>
      </c>
      <c r="O79" s="314">
        <f>'2015 Screen'!N79</f>
        <v>3.1466929951364757</v>
      </c>
      <c r="P79" s="314">
        <f>'2016 Screen'!N79</f>
        <v>3.1938933900635225</v>
      </c>
      <c r="R79" s="250" t="s">
        <v>292</v>
      </c>
      <c r="S79" s="250" t="s">
        <v>40</v>
      </c>
      <c r="T79" s="241" t="s">
        <v>56</v>
      </c>
      <c r="U79" s="250" t="s">
        <v>50</v>
      </c>
      <c r="V79" s="173"/>
    </row>
    <row r="80" spans="1:22" s="17" customFormat="1" ht="12">
      <c r="A80" s="317" t="s">
        <v>112</v>
      </c>
      <c r="B80" s="183" t="s">
        <v>349</v>
      </c>
      <c r="C80" s="169">
        <f>'Measure Calculations'!H315</f>
        <v>10</v>
      </c>
      <c r="D80" s="169"/>
      <c r="F80" s="169">
        <f>'Measure Calculations'!H312</f>
        <v>294.08375000000001</v>
      </c>
      <c r="G80" s="169"/>
      <c r="H80" s="184">
        <f>'Measure Calculations'!H311</f>
        <v>4.5474000000000001E-2</v>
      </c>
      <c r="I80" s="184"/>
      <c r="J80" s="175">
        <f>'Measure Calculations'!H313</f>
        <v>34</v>
      </c>
      <c r="K80" s="233"/>
      <c r="L80" s="464">
        <f>'Measure Calculations'!H314</f>
        <v>40</v>
      </c>
      <c r="N80" s="314">
        <f>'2014 Screen'!N80</f>
        <v>2.8428428998159601</v>
      </c>
      <c r="O80" s="314">
        <f>'2015 Screen'!N80</f>
        <v>2.8854855433131994</v>
      </c>
      <c r="P80" s="314">
        <f>'2016 Screen'!N80</f>
        <v>2.9287678264628969</v>
      </c>
      <c r="R80" s="250" t="s">
        <v>352</v>
      </c>
      <c r="S80" s="250" t="s">
        <v>40</v>
      </c>
      <c r="T80" s="337" t="s">
        <v>74</v>
      </c>
      <c r="U80" s="337" t="s">
        <v>74</v>
      </c>
      <c r="V80" s="173"/>
    </row>
    <row r="81" spans="1:22" s="17" customFormat="1" ht="12">
      <c r="A81" s="317" t="s">
        <v>112</v>
      </c>
      <c r="B81" s="183" t="s">
        <v>347</v>
      </c>
      <c r="C81" s="169">
        <f>'Measure Calculations'!I315</f>
        <v>10</v>
      </c>
      <c r="D81" s="169"/>
      <c r="F81" s="169">
        <f>'Measure Calculations'!I312</f>
        <v>244.14500000000001</v>
      </c>
      <c r="G81" s="169"/>
      <c r="H81" s="184">
        <f>'Measure Calculations'!I311</f>
        <v>3.7752000000000001E-2</v>
      </c>
      <c r="I81" s="184"/>
      <c r="J81" s="175">
        <f>'Measure Calculations'!I313</f>
        <v>40</v>
      </c>
      <c r="K81" s="233"/>
      <c r="L81" s="464">
        <f>'Measure Calculations'!I314</f>
        <v>45</v>
      </c>
      <c r="N81" s="314">
        <f>'2014 Screen'!N81</f>
        <v>2.0060815934550362</v>
      </c>
      <c r="O81" s="314">
        <f>'2015 Screen'!N81</f>
        <v>2.0361728173568618</v>
      </c>
      <c r="P81" s="314">
        <f>'2016 Screen'!N81</f>
        <v>2.0667154096172142</v>
      </c>
      <c r="R81" s="250" t="s">
        <v>352</v>
      </c>
      <c r="S81" s="250" t="s">
        <v>40</v>
      </c>
      <c r="T81" s="337" t="s">
        <v>74</v>
      </c>
      <c r="U81" s="337" t="s">
        <v>74</v>
      </c>
      <c r="V81" s="173"/>
    </row>
    <row r="82" spans="1:22" s="17" customFormat="1" ht="12">
      <c r="A82" s="317" t="s">
        <v>112</v>
      </c>
      <c r="B82" s="183" t="s">
        <v>348</v>
      </c>
      <c r="C82" s="169">
        <f>'Measure Calculations'!J315</f>
        <v>10</v>
      </c>
      <c r="D82" s="169"/>
      <c r="F82" s="169">
        <f>'Measure Calculations'!J312</f>
        <v>554.875</v>
      </c>
      <c r="G82" s="169"/>
      <c r="H82" s="184">
        <f>'Measure Calculations'!J311</f>
        <v>8.5800000000000001E-2</v>
      </c>
      <c r="I82" s="184"/>
      <c r="J82" s="175">
        <f>'Measure Calculations'!J313</f>
        <v>65</v>
      </c>
      <c r="K82" s="233"/>
      <c r="L82" s="464">
        <f>'Measure Calculations'!J314</f>
        <v>70</v>
      </c>
      <c r="N82" s="314">
        <f>'2014 Screen'!N82</f>
        <v>2.805708522314736</v>
      </c>
      <c r="O82" s="314">
        <f>'2015 Screen'!N82</f>
        <v>2.8477941501494564</v>
      </c>
      <c r="P82" s="314">
        <f>'2016 Screen'!N82</f>
        <v>2.8905110624016981</v>
      </c>
      <c r="R82" s="250" t="s">
        <v>352</v>
      </c>
      <c r="S82" s="250" t="s">
        <v>40</v>
      </c>
      <c r="T82" s="337" t="s">
        <v>74</v>
      </c>
      <c r="U82" s="337" t="s">
        <v>74</v>
      </c>
      <c r="V82" s="173"/>
    </row>
    <row r="83" spans="1:22" s="17" customFormat="1" ht="12">
      <c r="A83" s="317" t="s">
        <v>112</v>
      </c>
      <c r="B83" s="172" t="s">
        <v>412</v>
      </c>
      <c r="C83" s="171">
        <f>'Measure Calculations'!G304</f>
        <v>16</v>
      </c>
      <c r="D83" s="171"/>
      <c r="F83" s="171">
        <f>'Measure Calculations'!G302</f>
        <v>249.69374999999999</v>
      </c>
      <c r="G83" s="171"/>
      <c r="H83" s="177">
        <f>'Measure Calculations'!G301</f>
        <v>3.8610000000000005E-2</v>
      </c>
      <c r="I83" s="177"/>
      <c r="J83" s="170">
        <f>'Measure Calculations'!G303</f>
        <v>9.5</v>
      </c>
      <c r="K83" s="233"/>
      <c r="L83" s="233"/>
      <c r="N83" s="314">
        <f>'2014 Screen'!N83</f>
        <v>11.565485280061301</v>
      </c>
      <c r="O83" s="314">
        <f>'2015 Screen'!N83</f>
        <v>11.738967559262219</v>
      </c>
      <c r="P83" s="314">
        <f>'2016 Screen'!N83</f>
        <v>11.915052072651154</v>
      </c>
      <c r="R83" s="250" t="s">
        <v>352</v>
      </c>
      <c r="S83" s="250" t="s">
        <v>40</v>
      </c>
      <c r="T83" s="337" t="s">
        <v>74</v>
      </c>
      <c r="U83" s="337" t="s">
        <v>74</v>
      </c>
      <c r="V83" s="173"/>
    </row>
    <row r="84" spans="1:22" s="17" customFormat="1" ht="12">
      <c r="A84" s="317" t="s">
        <v>112</v>
      </c>
      <c r="B84" s="183" t="s">
        <v>413</v>
      </c>
      <c r="C84" s="169">
        <f>'Measure Calculations'!H304</f>
        <v>16</v>
      </c>
      <c r="D84" s="169"/>
      <c r="F84" s="169">
        <f>'Measure Calculations'!H302</f>
        <v>305.18125000000003</v>
      </c>
      <c r="G84" s="169"/>
      <c r="H84" s="184">
        <f>'Measure Calculations'!H301</f>
        <v>4.7190000000000003E-2</v>
      </c>
      <c r="I84" s="184"/>
      <c r="J84" s="175">
        <f>'Measure Calculations'!H303</f>
        <v>9.5</v>
      </c>
      <c r="K84" s="233"/>
      <c r="L84" s="233"/>
      <c r="N84" s="314">
        <f>'2014 Screen'!N84</f>
        <v>14.135593120074924</v>
      </c>
      <c r="O84" s="314">
        <f>'2015 Screen'!N84</f>
        <v>14.34762701687605</v>
      </c>
      <c r="P84" s="314">
        <f>'2016 Screen'!N84</f>
        <v>14.562841422129187</v>
      </c>
      <c r="R84" s="250" t="s">
        <v>352</v>
      </c>
      <c r="S84" s="250" t="s">
        <v>40</v>
      </c>
      <c r="T84" s="337" t="s">
        <v>74</v>
      </c>
      <c r="U84" s="337" t="s">
        <v>74</v>
      </c>
      <c r="V84" s="173"/>
    </row>
    <row r="85" spans="1:22" s="17" customFormat="1" ht="12">
      <c r="A85" s="317" t="s">
        <v>112</v>
      </c>
      <c r="B85" s="183" t="s">
        <v>534</v>
      </c>
      <c r="C85" s="169">
        <f>'Measure Calculations'!B346</f>
        <v>15</v>
      </c>
      <c r="D85" s="169"/>
      <c r="F85" s="169">
        <f>'Measure Calculations'!B344</f>
        <v>374.17799999999994</v>
      </c>
      <c r="G85" s="169"/>
      <c r="H85" s="184">
        <f>'Measure Calculations'!B343</f>
        <v>0</v>
      </c>
      <c r="I85" s="184"/>
      <c r="J85" s="175">
        <f>'Measure Calculations'!B345</f>
        <v>125</v>
      </c>
      <c r="K85" s="233"/>
      <c r="L85" s="233"/>
      <c r="N85" s="314">
        <f>'2014 Screen'!N85</f>
        <v>1.2010114268706944</v>
      </c>
      <c r="O85" s="314">
        <f>'2015 Screen'!N85</f>
        <v>1.2190265982737547</v>
      </c>
      <c r="P85" s="314">
        <f>'2016 Screen'!N85</f>
        <v>1.237311997247861</v>
      </c>
      <c r="R85" s="250"/>
      <c r="S85" s="250"/>
      <c r="T85" s="337"/>
      <c r="U85" s="337"/>
      <c r="V85" s="173"/>
    </row>
    <row r="86" spans="1:22" s="17" customFormat="1" ht="12">
      <c r="A86" s="317" t="s">
        <v>112</v>
      </c>
      <c r="B86" s="183" t="s">
        <v>535</v>
      </c>
      <c r="C86" s="169">
        <f>'Measure Calculations'!C346</f>
        <v>15</v>
      </c>
      <c r="D86" s="169"/>
      <c r="F86" s="169">
        <f>'Measure Calculations'!C344</f>
        <v>461.61600000000004</v>
      </c>
      <c r="G86" s="169"/>
      <c r="H86" s="184">
        <f>'Measure Calculations'!C343</f>
        <v>0</v>
      </c>
      <c r="I86" s="184"/>
      <c r="J86" s="175">
        <f>'Measure Calculations'!C345</f>
        <v>250</v>
      </c>
      <c r="K86" s="233"/>
      <c r="L86" s="233"/>
      <c r="N86" s="314">
        <f>'2014 Screen'!N86</f>
        <v>0.7408320249003717</v>
      </c>
      <c r="O86" s="314">
        <f>'2015 Screen'!N86</f>
        <v>0.75194450527387724</v>
      </c>
      <c r="P86" s="314">
        <f>'2016 Screen'!N86</f>
        <v>0.7632236728529852</v>
      </c>
      <c r="R86" s="250"/>
      <c r="S86" s="250"/>
      <c r="T86" s="337"/>
      <c r="U86" s="337"/>
      <c r="V86" s="173"/>
    </row>
    <row r="87" spans="1:22" s="17" customFormat="1" ht="12">
      <c r="A87" s="317" t="s">
        <v>112</v>
      </c>
      <c r="B87" s="183" t="s">
        <v>536</v>
      </c>
      <c r="C87" s="169">
        <f>'Measure Calculations'!D346</f>
        <v>15</v>
      </c>
      <c r="D87" s="169"/>
      <c r="F87" s="169">
        <f>'Measure Calculations'!D344</f>
        <v>865.8839999999999</v>
      </c>
      <c r="G87" s="169"/>
      <c r="H87" s="184">
        <f>'Measure Calculations'!D343</f>
        <v>0</v>
      </c>
      <c r="I87" s="184"/>
      <c r="J87" s="175">
        <f>'Measure Calculations'!D345</f>
        <v>375</v>
      </c>
      <c r="K87" s="233"/>
      <c r="L87" s="233"/>
      <c r="N87" s="314">
        <f>'2014 Screen'!N87</f>
        <v>0.92641877960445218</v>
      </c>
      <c r="O87" s="314">
        <f>'2015 Screen'!N87</f>
        <v>0.94031506129851905</v>
      </c>
      <c r="P87" s="314">
        <f>'2016 Screen'!N87</f>
        <v>0.95441978721799681</v>
      </c>
      <c r="R87" s="250"/>
      <c r="S87" s="250"/>
      <c r="T87" s="337"/>
      <c r="U87" s="337"/>
      <c r="V87" s="173"/>
    </row>
    <row r="88" spans="1:22" s="17" customFormat="1" ht="12">
      <c r="A88" s="317" t="s">
        <v>112</v>
      </c>
      <c r="B88" s="172" t="s">
        <v>18</v>
      </c>
      <c r="C88" s="171">
        <f>'Measure Calculations'!B365</f>
        <v>15</v>
      </c>
      <c r="D88" s="171"/>
      <c r="F88" s="171">
        <f>'Measure Calculations'!$B$363</f>
        <v>190.06410256410257</v>
      </c>
      <c r="G88" s="171"/>
      <c r="H88" s="177">
        <f>'Measure Calculations'!B362</f>
        <v>0.29262820512820514</v>
      </c>
      <c r="I88" s="177"/>
      <c r="J88" s="170">
        <f>'Measure Calculations'!$B$364</f>
        <v>700</v>
      </c>
      <c r="K88" s="233"/>
      <c r="L88" s="233"/>
      <c r="N88" s="314">
        <f>'2014 Screen'!N88</f>
        <v>0.17202238396269581</v>
      </c>
      <c r="O88" s="314">
        <f>'2015 Screen'!N88</f>
        <v>0.17460271972213626</v>
      </c>
      <c r="P88" s="314">
        <f>'2016 Screen'!N88</f>
        <v>0.17722176051796826</v>
      </c>
      <c r="R88" s="241" t="s">
        <v>291</v>
      </c>
      <c r="S88" s="241" t="s">
        <v>40</v>
      </c>
      <c r="T88" s="241" t="s">
        <v>56</v>
      </c>
      <c r="U88" s="250" t="s">
        <v>40</v>
      </c>
    </row>
    <row r="89" spans="1:22" s="17" customFormat="1" ht="12">
      <c r="A89" s="317" t="s">
        <v>112</v>
      </c>
      <c r="B89" s="172" t="s">
        <v>19</v>
      </c>
      <c r="C89" s="171">
        <f>'Measure Calculations'!C365</f>
        <v>15</v>
      </c>
      <c r="D89" s="171"/>
      <c r="F89" s="171">
        <f>'Measure Calculations'!$C$363</f>
        <v>387.03962703962708</v>
      </c>
      <c r="G89" s="171"/>
      <c r="H89" s="177">
        <f>'Measure Calculations'!C362</f>
        <v>0.59589743589743605</v>
      </c>
      <c r="I89" s="177"/>
      <c r="J89" s="170">
        <f>'Measure Calculations'!$C$364</f>
        <v>1000</v>
      </c>
      <c r="K89" s="233"/>
      <c r="L89" s="233"/>
      <c r="N89" s="314">
        <f>'2014 Screen'!N89</f>
        <v>0.24521008913955195</v>
      </c>
      <c r="O89" s="314">
        <f>'2015 Screen'!N89</f>
        <v>0.24888824047664518</v>
      </c>
      <c r="P89" s="314">
        <f>'2016 Screen'!N89</f>
        <v>0.25262156408379488</v>
      </c>
      <c r="R89" s="241" t="s">
        <v>291</v>
      </c>
      <c r="S89" s="241" t="s">
        <v>40</v>
      </c>
      <c r="T89" s="241" t="s">
        <v>56</v>
      </c>
      <c r="U89" s="250" t="s">
        <v>40</v>
      </c>
    </row>
    <row r="90" spans="1:22" s="17" customFormat="1" ht="12">
      <c r="A90" s="317" t="s">
        <v>112</v>
      </c>
      <c r="B90" s="172" t="s">
        <v>24</v>
      </c>
      <c r="C90" s="171">
        <f>'Measure Calculations'!D365</f>
        <v>15</v>
      </c>
      <c r="D90" s="171"/>
      <c r="F90" s="171">
        <f>'Measure Calculations'!$D$363</f>
        <v>677.71428571428726</v>
      </c>
      <c r="G90" s="171"/>
      <c r="H90" s="177">
        <f>'Measure Calculations'!D362</f>
        <v>1.0434285714285738</v>
      </c>
      <c r="I90" s="177"/>
      <c r="J90" s="170">
        <f>'Measure Calculations'!$D$364</f>
        <v>2000</v>
      </c>
      <c r="K90" s="233"/>
      <c r="L90" s="233"/>
      <c r="N90" s="314">
        <f>'2014 Screen'!N90</f>
        <v>0.21468393518544493</v>
      </c>
      <c r="O90" s="314">
        <f>'2015 Screen'!N90</f>
        <v>0.21790419421322657</v>
      </c>
      <c r="P90" s="314">
        <f>'2016 Screen'!N90</f>
        <v>0.22117275712642495</v>
      </c>
      <c r="R90" s="241" t="s">
        <v>291</v>
      </c>
      <c r="S90" s="241" t="s">
        <v>40</v>
      </c>
      <c r="T90" s="241" t="s">
        <v>56</v>
      </c>
      <c r="U90" s="250" t="s">
        <v>40</v>
      </c>
    </row>
    <row r="91" spans="1:22" s="17" customFormat="1" ht="12">
      <c r="A91" s="317" t="s">
        <v>112</v>
      </c>
      <c r="B91" s="172" t="s">
        <v>25</v>
      </c>
      <c r="C91" s="171">
        <f>'Measure Calculations'!E365</f>
        <v>15</v>
      </c>
      <c r="D91" s="171"/>
      <c r="F91" s="171">
        <f>'Measure Calculations'!$E$363</f>
        <v>938.62334687077418</v>
      </c>
      <c r="G91" s="171"/>
      <c r="H91" s="177">
        <f>'Measure Calculations'!E362</f>
        <v>1.4451317296678192</v>
      </c>
      <c r="I91" s="177"/>
      <c r="J91" s="170">
        <f>'Measure Calculations'!$E$364</f>
        <v>6333.333333333333</v>
      </c>
      <c r="K91" s="233"/>
      <c r="L91" s="233"/>
      <c r="N91" s="314">
        <f>'2014 Screen'!N91</f>
        <v>9.3894879493790592E-2</v>
      </c>
      <c r="O91" s="314">
        <f>'2015 Screen'!N91</f>
        <v>9.5303302686197439E-2</v>
      </c>
      <c r="P91" s="314">
        <f>'2016 Screen'!N91</f>
        <v>9.6732852226490404E-2</v>
      </c>
      <c r="R91" s="241" t="s">
        <v>291</v>
      </c>
      <c r="S91" s="241" t="s">
        <v>40</v>
      </c>
      <c r="T91" s="241" t="s">
        <v>56</v>
      </c>
      <c r="U91" s="250" t="s">
        <v>40</v>
      </c>
      <c r="V91" s="173"/>
    </row>
    <row r="92" spans="1:22" s="17" customFormat="1" ht="12">
      <c r="A92" s="317" t="s">
        <v>112</v>
      </c>
      <c r="B92" s="172" t="s">
        <v>20</v>
      </c>
      <c r="C92" s="171">
        <f>'Measure Calculations'!B377</f>
        <v>15</v>
      </c>
      <c r="D92" s="171"/>
      <c r="F92" s="171">
        <f>'Measure Calculations'!$B$375</f>
        <v>1980.5518011400352</v>
      </c>
      <c r="G92" s="171"/>
      <c r="H92" s="177">
        <f>'Measure Calculations'!B374</f>
        <v>0.30098901098901143</v>
      </c>
      <c r="I92" s="177"/>
      <c r="J92" s="170">
        <f>'Measure Calculations'!$B$376</f>
        <v>370</v>
      </c>
      <c r="K92" s="233"/>
      <c r="L92" s="233"/>
      <c r="N92" s="314">
        <f>'2014 Screen'!N92</f>
        <v>2.2704074369096414</v>
      </c>
      <c r="O92" s="314">
        <f>'2015 Screen'!N92</f>
        <v>2.3044635484632865</v>
      </c>
      <c r="P92" s="314">
        <f>'2016 Screen'!N92</f>
        <v>2.3390305016902353</v>
      </c>
      <c r="R92" s="241" t="s">
        <v>291</v>
      </c>
      <c r="S92" s="241" t="s">
        <v>40</v>
      </c>
      <c r="T92" s="241" t="s">
        <v>56</v>
      </c>
      <c r="U92" s="250" t="s">
        <v>40</v>
      </c>
      <c r="V92" s="173"/>
    </row>
    <row r="93" spans="1:22" s="17" customFormat="1" ht="12">
      <c r="A93" s="317" t="s">
        <v>112</v>
      </c>
      <c r="B93" s="172" t="s">
        <v>21</v>
      </c>
      <c r="C93" s="171">
        <f>'Measure Calculations'!C377</f>
        <v>15</v>
      </c>
      <c r="D93" s="171"/>
      <c r="F93" s="171">
        <f>'Measure Calculations'!$C$375</f>
        <v>906.72827172827022</v>
      </c>
      <c r="G93" s="171"/>
      <c r="H93" s="177">
        <f>'Measure Calculations'!C374</f>
        <v>0.30098901098901143</v>
      </c>
      <c r="I93" s="177"/>
      <c r="J93" s="170">
        <f>'Measure Calculations'!$C$376</f>
        <v>370</v>
      </c>
      <c r="K93" s="233"/>
      <c r="L93" s="233"/>
      <c r="N93" s="314">
        <f>'2014 Screen'!N93</f>
        <v>1.1059862605865023</v>
      </c>
      <c r="O93" s="314">
        <f>'2015 Screen'!N93</f>
        <v>1.1225760544952996</v>
      </c>
      <c r="P93" s="314">
        <f>'2016 Screen'!N93</f>
        <v>1.1394146953127289</v>
      </c>
      <c r="R93" s="241" t="s">
        <v>291</v>
      </c>
      <c r="S93" s="241" t="s">
        <v>40</v>
      </c>
      <c r="T93" s="241" t="s">
        <v>56</v>
      </c>
      <c r="U93" s="250" t="s">
        <v>40</v>
      </c>
      <c r="V93" s="173"/>
    </row>
    <row r="94" spans="1:22" s="17" customFormat="1" ht="12">
      <c r="A94" s="317" t="s">
        <v>112</v>
      </c>
      <c r="B94" s="172" t="s">
        <v>115</v>
      </c>
      <c r="C94" s="171">
        <f>'Measure Calculations'!D377</f>
        <v>15</v>
      </c>
      <c r="D94" s="171"/>
      <c r="F94" s="171">
        <f>'Measure Calculations'!$D$375</f>
        <v>1863.0420581008811</v>
      </c>
      <c r="G94" s="171"/>
      <c r="H94" s="177">
        <f>'Measure Calculations'!D374</f>
        <v>6.2810810810810275E-2</v>
      </c>
      <c r="I94" s="177"/>
      <c r="J94" s="170">
        <f>'Measure Calculations'!$D$376</f>
        <v>700</v>
      </c>
      <c r="K94" s="233"/>
      <c r="L94" s="233"/>
      <c r="N94" s="314">
        <f>'2014 Screen'!N94</f>
        <v>1.0813740366077353</v>
      </c>
      <c r="O94" s="314">
        <f>'2015 Screen'!N94</f>
        <v>1.0975946471568512</v>
      </c>
      <c r="P94" s="314">
        <f>'2016 Screen'!N94</f>
        <v>1.114058566864204</v>
      </c>
      <c r="R94" s="241" t="s">
        <v>291</v>
      </c>
      <c r="S94" s="241" t="s">
        <v>40</v>
      </c>
      <c r="T94" s="241" t="s">
        <v>56</v>
      </c>
      <c r="U94" s="250" t="s">
        <v>40</v>
      </c>
      <c r="V94" s="173"/>
    </row>
    <row r="95" spans="1:22" s="17" customFormat="1" ht="12">
      <c r="A95" s="317" t="s">
        <v>112</v>
      </c>
      <c r="B95" s="172" t="s">
        <v>114</v>
      </c>
      <c r="C95" s="171">
        <f>'Measure Calculations'!E377</f>
        <v>15</v>
      </c>
      <c r="D95" s="171"/>
      <c r="F95" s="171">
        <f>'Measure Calculations'!$E$375</f>
        <v>184.76718019733536</v>
      </c>
      <c r="G95" s="171"/>
      <c r="H95" s="177">
        <f>'Measure Calculations'!E374</f>
        <v>0.28447290981478446</v>
      </c>
      <c r="I95" s="177"/>
      <c r="J95" s="170">
        <f>'Measure Calculations'!$E$376</f>
        <v>1000</v>
      </c>
      <c r="K95" s="233"/>
      <c r="L95" s="233"/>
      <c r="N95" s="314">
        <f>'2014 Screen'!N95</f>
        <v>0.11705978809661659</v>
      </c>
      <c r="O95" s="314">
        <f>'2015 Screen'!N95</f>
        <v>0.11881568491806582</v>
      </c>
      <c r="P95" s="314">
        <f>'2016 Screen'!N95</f>
        <v>0.12059792019183681</v>
      </c>
      <c r="R95" s="241" t="s">
        <v>291</v>
      </c>
      <c r="S95" s="241" t="s">
        <v>40</v>
      </c>
      <c r="T95" s="241" t="s">
        <v>56</v>
      </c>
      <c r="U95" s="250" t="s">
        <v>40</v>
      </c>
      <c r="V95" s="173"/>
    </row>
    <row r="96" spans="1:22" s="17" customFormat="1" ht="12">
      <c r="A96" s="317" t="s">
        <v>112</v>
      </c>
      <c r="B96" s="172" t="s">
        <v>113</v>
      </c>
      <c r="C96" s="171">
        <f>'Measure Calculations'!F377</f>
        <v>15</v>
      </c>
      <c r="D96" s="171"/>
      <c r="F96" s="171">
        <f>'Measure Calculations'!$F$375</f>
        <v>889.96352266805479</v>
      </c>
      <c r="G96" s="171"/>
      <c r="H96" s="177">
        <f>'Measure Calculations'!F374</f>
        <v>1.3702136529442395</v>
      </c>
      <c r="I96" s="177"/>
      <c r="J96" s="170">
        <f>'Measure Calculations'!$F$376</f>
        <v>2000</v>
      </c>
      <c r="K96" s="233"/>
      <c r="L96" s="233"/>
      <c r="N96" s="314">
        <f>'2014 Screen'!N96</f>
        <v>0.28191949800277177</v>
      </c>
      <c r="O96" s="314">
        <f>'2015 Screen'!N96</f>
        <v>0.28614829047281337</v>
      </c>
      <c r="P96" s="314">
        <f>'2016 Screen'!N96</f>
        <v>0.29044051482990552</v>
      </c>
      <c r="R96" s="241" t="s">
        <v>291</v>
      </c>
      <c r="S96" s="241" t="s">
        <v>40</v>
      </c>
      <c r="T96" s="241" t="s">
        <v>56</v>
      </c>
      <c r="U96" s="250" t="s">
        <v>40</v>
      </c>
      <c r="V96" s="173"/>
    </row>
    <row r="97" spans="1:22" s="17" customFormat="1" ht="12">
      <c r="A97" s="317" t="s">
        <v>112</v>
      </c>
      <c r="B97" s="172" t="s">
        <v>136</v>
      </c>
      <c r="C97" s="171">
        <f>'Measure Calculations'!B388</f>
        <v>15</v>
      </c>
      <c r="D97" s="171"/>
      <c r="F97" s="171">
        <f>'Measure Calculations'!B386</f>
        <v>22212.788976876138</v>
      </c>
      <c r="G97" s="171"/>
      <c r="H97" s="177">
        <f>'Measure Calculations'!B385</f>
        <v>2.0962664680349605</v>
      </c>
      <c r="I97" s="177"/>
      <c r="J97" s="170">
        <f>'Measure Calculations'!B387</f>
        <v>4100</v>
      </c>
      <c r="K97" s="233"/>
      <c r="L97" s="233"/>
      <c r="N97" s="314">
        <f>'2014 Screen'!N97</f>
        <v>2.2508475763472711</v>
      </c>
      <c r="O97" s="314">
        <f>'2015 Screen'!N97</f>
        <v>2.2846102899924801</v>
      </c>
      <c r="P97" s="314">
        <f>'2016 Screen'!N97</f>
        <v>2.3188794443423668</v>
      </c>
      <c r="R97" s="241" t="s">
        <v>291</v>
      </c>
      <c r="S97" s="241" t="s">
        <v>40</v>
      </c>
      <c r="T97" s="241" t="s">
        <v>40</v>
      </c>
      <c r="U97" s="241" t="s">
        <v>40</v>
      </c>
      <c r="V97" s="173"/>
    </row>
    <row r="98" spans="1:22" s="17" customFormat="1" ht="12">
      <c r="A98" s="317" t="s">
        <v>112</v>
      </c>
      <c r="B98" s="172" t="s">
        <v>325</v>
      </c>
      <c r="C98" s="171">
        <f>'Measure Calculations'!B394</f>
        <v>5</v>
      </c>
      <c r="D98" s="171"/>
      <c r="F98" s="171">
        <f>'Measure Calculations'!B392</f>
        <v>1780.85</v>
      </c>
      <c r="G98" s="171"/>
      <c r="H98" s="177">
        <f>'Measure Calculations'!B391</f>
        <v>0.2</v>
      </c>
      <c r="I98" s="177"/>
      <c r="J98" s="170">
        <f>'Measure Calculations'!B393</f>
        <v>1050</v>
      </c>
      <c r="K98" s="233"/>
      <c r="L98" s="233"/>
      <c r="N98" s="314">
        <f>'2014 Screen'!N98</f>
        <v>0.32196550036704868</v>
      </c>
      <c r="O98" s="314">
        <f>'2015 Screen'!N98</f>
        <v>0.32679498287255437</v>
      </c>
      <c r="P98" s="314">
        <f>'2016 Screen'!N98</f>
        <v>0.33169690761564269</v>
      </c>
      <c r="R98" s="241" t="s">
        <v>324</v>
      </c>
      <c r="S98" s="241" t="s">
        <v>40</v>
      </c>
      <c r="T98" s="241" t="s">
        <v>40</v>
      </c>
      <c r="U98" s="241" t="s">
        <v>40</v>
      </c>
      <c r="V98" s="173"/>
    </row>
    <row r="99" spans="1:22" s="17" customFormat="1" ht="12">
      <c r="A99" s="317" t="s">
        <v>112</v>
      </c>
      <c r="B99" s="172" t="s">
        <v>238</v>
      </c>
      <c r="C99" s="171">
        <f>'Measure Calculations'!C394</f>
        <v>15</v>
      </c>
      <c r="D99" s="171"/>
      <c r="F99" s="171">
        <f>'Measure Calculations'!C392</f>
        <v>1733.7090342339393</v>
      </c>
      <c r="G99" s="171"/>
      <c r="H99" s="177">
        <f>'Measure Calculations'!C391</f>
        <v>8.2133866604055542E-2</v>
      </c>
      <c r="I99" s="177"/>
      <c r="J99" s="170">
        <f>'Measure Calculations'!C393</f>
        <v>700</v>
      </c>
      <c r="K99" s="233"/>
      <c r="L99" s="233"/>
      <c r="N99" s="314">
        <f>'2014 Screen'!N99</f>
        <v>1.0114102808052039</v>
      </c>
      <c r="O99" s="314">
        <f>'2015 Screen'!N99</f>
        <v>1.0265814350172817</v>
      </c>
      <c r="P99" s="314">
        <f>'2016 Screen'!N99</f>
        <v>1.0419801565425408</v>
      </c>
      <c r="R99" s="241" t="s">
        <v>324</v>
      </c>
      <c r="S99" s="241" t="s">
        <v>40</v>
      </c>
      <c r="T99" s="241" t="s">
        <v>40</v>
      </c>
      <c r="U99" s="241" t="s">
        <v>40</v>
      </c>
      <c r="V99" s="173"/>
    </row>
    <row r="100" spans="1:22" s="17" customFormat="1" ht="12">
      <c r="A100" s="317" t="s">
        <v>112</v>
      </c>
      <c r="B100" s="318" t="s">
        <v>330</v>
      </c>
      <c r="C100" s="171">
        <f>'Measure Calculations'!B405</f>
        <v>15</v>
      </c>
      <c r="D100" s="171"/>
      <c r="F100" s="171">
        <f>'Measure Calculations'!B403</f>
        <v>17503.910614525139</v>
      </c>
      <c r="G100" s="171"/>
      <c r="H100" s="177">
        <f>'Measure Calculations'!B402</f>
        <v>3.7150799999999999</v>
      </c>
      <c r="I100" s="177"/>
      <c r="J100" s="236">
        <f>'Measure Calculations'!B404</f>
        <v>2518</v>
      </c>
      <c r="K100" s="233"/>
      <c r="L100" s="233"/>
      <c r="N100" s="314">
        <f>'2014 Screen'!N100</f>
        <v>3.01170788023884</v>
      </c>
      <c r="O100" s="314">
        <f>'2015 Screen'!N100</f>
        <v>3.0568834984424216</v>
      </c>
      <c r="P100" s="314">
        <f>'2016 Screen'!N100</f>
        <v>3.1027367509190582</v>
      </c>
      <c r="R100" s="241" t="s">
        <v>324</v>
      </c>
      <c r="S100" s="250" t="s">
        <v>44</v>
      </c>
      <c r="T100" s="250" t="s">
        <v>44</v>
      </c>
      <c r="U100" s="250" t="s">
        <v>44</v>
      </c>
      <c r="V100" s="173"/>
    </row>
    <row r="101" spans="1:22" s="17" customFormat="1" ht="12">
      <c r="A101" s="317" t="s">
        <v>112</v>
      </c>
      <c r="B101" s="318" t="s">
        <v>331</v>
      </c>
      <c r="C101" s="171">
        <f>'Measure Calculations'!C405</f>
        <v>15</v>
      </c>
      <c r="D101" s="171"/>
      <c r="F101" s="171">
        <f>'Measure Calculations'!C403</f>
        <v>28845.333333333328</v>
      </c>
      <c r="G101" s="171"/>
      <c r="H101" s="177">
        <f>'Measure Calculations'!C402</f>
        <v>2.24919</v>
      </c>
      <c r="I101" s="177"/>
      <c r="J101" s="236">
        <f>'Measure Calculations'!C404</f>
        <v>2518</v>
      </c>
      <c r="K101" s="233"/>
      <c r="L101" s="233"/>
      <c r="N101" s="314">
        <f>'2014 Screen'!N101</f>
        <v>4.7309923774336289</v>
      </c>
      <c r="O101" s="314">
        <f>'2015 Screen'!N101</f>
        <v>4.8019572630951322</v>
      </c>
      <c r="P101" s="314">
        <f>'2016 Screen'!N101</f>
        <v>4.8739866220415573</v>
      </c>
      <c r="R101" s="241" t="s">
        <v>324</v>
      </c>
      <c r="S101" s="250" t="s">
        <v>44</v>
      </c>
      <c r="T101" s="250" t="s">
        <v>44</v>
      </c>
      <c r="U101" s="250" t="s">
        <v>44</v>
      </c>
      <c r="V101" s="173"/>
    </row>
    <row r="102" spans="1:22" s="17" customFormat="1" ht="12">
      <c r="A102" s="317" t="s">
        <v>112</v>
      </c>
      <c r="B102" s="318" t="s">
        <v>336</v>
      </c>
      <c r="C102" s="171">
        <f>'Measure Calculations'!B416</f>
        <v>15</v>
      </c>
      <c r="D102" s="171"/>
      <c r="F102" s="171">
        <f>'Measure Calculations'!B414</f>
        <v>353.7219425735546</v>
      </c>
      <c r="G102" s="171"/>
      <c r="H102" s="177">
        <f>'Measure Calculations'!B413</f>
        <v>8.0391350584898769E-2</v>
      </c>
      <c r="I102" s="177"/>
      <c r="J102" s="236">
        <f>'Measure Calculations'!B415</f>
        <v>115</v>
      </c>
      <c r="K102" s="233"/>
      <c r="L102" s="233"/>
      <c r="N102" s="314">
        <f>'2014 Screen'!N102</f>
        <v>1.339569584775739</v>
      </c>
      <c r="O102" s="314">
        <f>'2015 Screen'!N102</f>
        <v>1.3596631285473748</v>
      </c>
      <c r="P102" s="314">
        <f>'2016 Screen'!N102</f>
        <v>1.3800580754755849</v>
      </c>
      <c r="R102" s="241" t="s">
        <v>324</v>
      </c>
      <c r="S102" s="250" t="s">
        <v>44</v>
      </c>
      <c r="T102" s="250" t="s">
        <v>44</v>
      </c>
      <c r="U102" s="250" t="s">
        <v>44</v>
      </c>
      <c r="V102" s="173"/>
    </row>
    <row r="103" spans="1:22" s="17" customFormat="1" ht="12">
      <c r="A103" s="317" t="s">
        <v>112</v>
      </c>
      <c r="B103" s="318" t="s">
        <v>332</v>
      </c>
      <c r="C103" s="171">
        <f>'Measure Calculations'!C416</f>
        <v>15</v>
      </c>
      <c r="D103" s="171"/>
      <c r="F103" s="171">
        <f>'Measure Calculations'!C414</f>
        <v>249.21318681318502</v>
      </c>
      <c r="G103" s="171"/>
      <c r="H103" s="177">
        <f>'Measure Calculations'!C413</f>
        <v>5.6639360639360231E-2</v>
      </c>
      <c r="I103" s="177"/>
      <c r="J103" s="236">
        <f>'Measure Calculations'!C415</f>
        <v>115</v>
      </c>
      <c r="K103" s="233"/>
      <c r="L103" s="233"/>
      <c r="N103" s="314">
        <f>'2014 Screen'!N103</f>
        <v>0.94378766200108433</v>
      </c>
      <c r="O103" s="314">
        <f>'2015 Screen'!N103</f>
        <v>0.95794447693110052</v>
      </c>
      <c r="P103" s="314">
        <f>'2016 Screen'!N103</f>
        <v>0.97231364408506693</v>
      </c>
      <c r="R103" s="241" t="s">
        <v>324</v>
      </c>
      <c r="S103" s="250" t="s">
        <v>44</v>
      </c>
      <c r="T103" s="250" t="s">
        <v>44</v>
      </c>
      <c r="U103" s="250" t="s">
        <v>44</v>
      </c>
      <c r="V103" s="173"/>
    </row>
    <row r="104" spans="1:22" s="17" customFormat="1" ht="12">
      <c r="A104" s="317" t="s">
        <v>112</v>
      </c>
      <c r="B104" s="318" t="s">
        <v>13</v>
      </c>
      <c r="C104" s="171">
        <f>'Measure Calculations'!B427</f>
        <v>20</v>
      </c>
      <c r="D104" s="171"/>
      <c r="F104" s="171">
        <f>'Measure Calculations'!$B$425</f>
        <v>2679.6695252039376</v>
      </c>
      <c r="G104" s="171"/>
      <c r="H104" s="177">
        <f>'Measure Calculations'!B424</f>
        <v>1.8414139301401418</v>
      </c>
      <c r="I104" s="177"/>
      <c r="J104" s="170">
        <f>'Measure Calculations'!$B$426</f>
        <v>6350</v>
      </c>
      <c r="K104" s="233"/>
      <c r="L104" s="233"/>
      <c r="N104" s="314">
        <f>'2014 Screen'!N104</f>
        <v>0.24701170646711851</v>
      </c>
      <c r="O104" s="314">
        <f>'2015 Screen'!N104</f>
        <v>0.24475409850319896</v>
      </c>
      <c r="P104" s="314">
        <f>'2016 Screen'!N104</f>
        <v>0.24193551635303467</v>
      </c>
      <c r="R104" s="241" t="s">
        <v>290</v>
      </c>
      <c r="S104" s="241" t="s">
        <v>40</v>
      </c>
      <c r="T104" s="241" t="s">
        <v>40</v>
      </c>
      <c r="U104" s="250" t="s">
        <v>40</v>
      </c>
      <c r="V104" s="173"/>
    </row>
    <row r="106" spans="1:22" ht="24">
      <c r="C106" s="592" t="s">
        <v>486</v>
      </c>
      <c r="D106" s="559" t="s">
        <v>240</v>
      </c>
      <c r="E106" s="559" t="s">
        <v>477</v>
      </c>
      <c r="F106" s="322" t="s">
        <v>7</v>
      </c>
      <c r="G106" s="322" t="s">
        <v>396</v>
      </c>
      <c r="H106" s="17"/>
    </row>
    <row r="107" spans="1:22" ht="11.4">
      <c r="B107" s="17" t="s">
        <v>393</v>
      </c>
      <c r="D107" s="258">
        <f>SUMPRODUCT(C108:C111,D108:D111)</f>
        <v>30150.90652166112</v>
      </c>
      <c r="E107" s="394">
        <f>SUMPRODUCT(C108:C111,E108:E111)</f>
        <v>4.5171345897518762</v>
      </c>
      <c r="G107" s="399">
        <f>SUMPRODUCT(C108:C111,G108:G111)</f>
        <v>3630</v>
      </c>
      <c r="H107" s="173"/>
    </row>
    <row r="108" spans="1:22" ht="11.4">
      <c r="B108" s="172" t="s">
        <v>357</v>
      </c>
      <c r="C108" s="169">
        <v>20</v>
      </c>
      <c r="D108" s="169">
        <f>'Measure Calculations'!B302</f>
        <v>1187.4325000000001</v>
      </c>
      <c r="E108" s="395">
        <f>'Measure Calculations'!B301</f>
        <v>0.18361200000000003</v>
      </c>
      <c r="F108" s="398">
        <f>'Measure Calculations'!B303</f>
        <v>98</v>
      </c>
      <c r="G108" s="398">
        <f>Sources!J66</f>
        <v>98</v>
      </c>
      <c r="H108" s="17"/>
    </row>
    <row r="109" spans="1:22" ht="11.4">
      <c r="B109" s="172" t="s">
        <v>20</v>
      </c>
      <c r="C109" s="169">
        <v>2</v>
      </c>
      <c r="D109" s="169">
        <f>Sources!F92</f>
        <v>1980.5518011400352</v>
      </c>
      <c r="E109" s="395">
        <f>Sources!H92</f>
        <v>0.30098901098901143</v>
      </c>
      <c r="F109" s="398">
        <f>Sources!J92</f>
        <v>370</v>
      </c>
      <c r="G109" s="398">
        <f>Sources!J92</f>
        <v>370</v>
      </c>
      <c r="H109" s="17"/>
    </row>
    <row r="110" spans="1:22" ht="11.4">
      <c r="B110" s="172" t="s">
        <v>238</v>
      </c>
      <c r="C110" s="169">
        <v>1</v>
      </c>
      <c r="D110" s="169">
        <f>Sources!F99</f>
        <v>1733.7090342339393</v>
      </c>
      <c r="E110" s="395">
        <f>Sources!H99</f>
        <v>8.2133866604055542E-2</v>
      </c>
      <c r="F110" s="398">
        <f>Sources!J99</f>
        <v>700</v>
      </c>
      <c r="G110" s="398">
        <f>Sources!J99</f>
        <v>700</v>
      </c>
      <c r="H110" s="17"/>
    </row>
    <row r="111" spans="1:22" ht="11.4">
      <c r="B111" s="318" t="s">
        <v>336</v>
      </c>
      <c r="C111" s="169">
        <v>2</v>
      </c>
      <c r="D111" s="169">
        <f>Sources!F102</f>
        <v>353.7219425735546</v>
      </c>
      <c r="E111" s="395">
        <f>Sources!H102</f>
        <v>8.0391350584898769E-2</v>
      </c>
      <c r="F111" s="398">
        <f>Sources!J102</f>
        <v>115</v>
      </c>
      <c r="G111" s="398">
        <f>Sources!J102</f>
        <v>115</v>
      </c>
      <c r="H111" s="17"/>
    </row>
    <row r="112" spans="1:22" ht="11.4">
      <c r="D112" s="179"/>
      <c r="E112" s="179"/>
      <c r="F112" s="417"/>
      <c r="G112" s="359"/>
      <c r="H112" s="173"/>
    </row>
    <row r="113" spans="1:31" ht="11.4">
      <c r="B113" s="17" t="s">
        <v>394</v>
      </c>
      <c r="D113" s="258">
        <f>SUMPRODUCT(C114:C117,D114:D117)</f>
        <v>8931.2901949999996</v>
      </c>
      <c r="E113" s="394">
        <f>SUMPRODUCT(C114:C117,E114:E117)</f>
        <v>1.3856700000000002</v>
      </c>
      <c r="F113" s="418"/>
      <c r="G113" s="399">
        <f>SUMPRODUCT(C114:C117,G114:G117)</f>
        <v>1420</v>
      </c>
      <c r="H113" s="173"/>
      <c r="J113" s="173"/>
      <c r="K113" s="173"/>
      <c r="L113" s="173"/>
      <c r="N113" s="17"/>
      <c r="O113" s="17"/>
      <c r="P113" s="17"/>
      <c r="R113" s="17"/>
    </row>
    <row r="114" spans="1:31" s="17" customFormat="1" ht="11.4">
      <c r="B114" s="183" t="s">
        <v>359</v>
      </c>
      <c r="C114" s="169">
        <v>5</v>
      </c>
      <c r="D114" s="169">
        <f>F48</f>
        <v>107.64574999999999</v>
      </c>
      <c r="E114" s="395">
        <f>H48</f>
        <v>1.6645199999999999E-2</v>
      </c>
      <c r="F114" s="612">
        <f>J48</f>
        <v>12</v>
      </c>
      <c r="G114" s="612">
        <f>L48</f>
        <v>12</v>
      </c>
      <c r="I114" s="179"/>
      <c r="S114" s="173"/>
      <c r="T114" s="173"/>
      <c r="U114" s="173"/>
      <c r="V114" s="173"/>
    </row>
    <row r="115" spans="1:31" s="17" customFormat="1" ht="11.4">
      <c r="B115" s="172" t="s">
        <v>381</v>
      </c>
      <c r="C115" s="169">
        <v>20</v>
      </c>
      <c r="D115" s="169">
        <f>F52</f>
        <v>349.57124999999996</v>
      </c>
      <c r="E115" s="395">
        <f>H52</f>
        <v>5.4053999999999998E-2</v>
      </c>
      <c r="F115" s="612">
        <f>J52</f>
        <v>55</v>
      </c>
      <c r="G115" s="612">
        <f>J52</f>
        <v>55</v>
      </c>
      <c r="I115" s="179"/>
      <c r="S115" s="173"/>
      <c r="T115" s="173"/>
      <c r="U115" s="173"/>
      <c r="V115" s="173"/>
    </row>
    <row r="116" spans="1:31" s="17" customFormat="1" ht="11.4">
      <c r="B116" s="183" t="s">
        <v>347</v>
      </c>
      <c r="C116" s="169">
        <v>5</v>
      </c>
      <c r="D116" s="169">
        <f>F81</f>
        <v>244.14500000000001</v>
      </c>
      <c r="E116" s="395">
        <f>H81</f>
        <v>3.7752000000000001E-2</v>
      </c>
      <c r="F116" s="612">
        <f>J81</f>
        <v>40</v>
      </c>
      <c r="G116" s="612">
        <f>L81</f>
        <v>45</v>
      </c>
      <c r="I116" s="179"/>
      <c r="S116" s="173"/>
      <c r="T116" s="173"/>
      <c r="U116" s="173"/>
      <c r="V116" s="173"/>
    </row>
    <row r="117" spans="1:31" s="17" customFormat="1" ht="11.4">
      <c r="B117" s="172" t="s">
        <v>8</v>
      </c>
      <c r="C117" s="169">
        <v>1</v>
      </c>
      <c r="D117" s="169">
        <f>F79</f>
        <v>180.91144500000001</v>
      </c>
      <c r="E117" s="395">
        <f>H79</f>
        <v>3.2604000000000001E-2</v>
      </c>
      <c r="F117" s="612">
        <f>J79</f>
        <v>25</v>
      </c>
      <c r="G117" s="612">
        <f>L79</f>
        <v>35</v>
      </c>
      <c r="I117" s="179"/>
      <c r="S117" s="173"/>
      <c r="T117" s="173"/>
      <c r="U117" s="173"/>
      <c r="V117" s="173"/>
    </row>
    <row r="118" spans="1:31" s="17" customFormat="1" ht="11.4">
      <c r="B118" s="608"/>
      <c r="C118" s="609"/>
      <c r="D118" s="609"/>
      <c r="F118" s="609"/>
      <c r="H118" s="610"/>
      <c r="I118" s="610"/>
      <c r="J118" s="611"/>
      <c r="L118" s="611"/>
      <c r="S118" s="173"/>
      <c r="T118" s="173"/>
      <c r="U118" s="173"/>
      <c r="V118" s="173"/>
    </row>
    <row r="119" spans="1:31" s="17" customFormat="1" ht="11.4">
      <c r="B119" s="17" t="s">
        <v>235</v>
      </c>
      <c r="C119" s="609"/>
      <c r="D119" s="609"/>
      <c r="F119" s="609"/>
      <c r="H119" s="610"/>
      <c r="I119" s="610"/>
      <c r="J119" s="611"/>
      <c r="L119" s="611"/>
      <c r="S119" s="173"/>
      <c r="T119" s="173"/>
      <c r="U119" s="173"/>
      <c r="V119" s="173"/>
    </row>
    <row r="120" spans="1:31" ht="11.4">
      <c r="B120" s="678"/>
      <c r="C120" s="679"/>
      <c r="D120" s="680">
        <f>C122*0.01</f>
        <v>94.46673795566079</v>
      </c>
      <c r="E120" s="684">
        <f>D120/8760</f>
        <v>1.0783874195851688E-2</v>
      </c>
      <c r="F120" s="681"/>
      <c r="G120" s="682"/>
      <c r="H120" s="173"/>
      <c r="J120" s="173"/>
      <c r="K120" s="173"/>
      <c r="L120" s="173"/>
      <c r="N120" s="17"/>
      <c r="O120" s="17"/>
      <c r="P120" s="17"/>
      <c r="R120" s="17"/>
    </row>
    <row r="121" spans="1:31" s="17" customFormat="1" ht="11.4">
      <c r="B121" s="608"/>
      <c r="C121" s="609"/>
      <c r="D121" s="610"/>
      <c r="F121" s="609"/>
      <c r="H121" s="610"/>
      <c r="I121" s="610"/>
      <c r="J121" s="611"/>
      <c r="L121" s="611"/>
      <c r="S121" s="173"/>
      <c r="T121" s="173"/>
      <c r="U121" s="173"/>
      <c r="V121" s="173"/>
    </row>
    <row r="122" spans="1:31" s="17" customFormat="1" ht="11.4">
      <c r="B122" s="676" t="s">
        <v>598</v>
      </c>
      <c r="C122" s="677">
        <f>494712860/52369</f>
        <v>9446.6737955660792</v>
      </c>
      <c r="D122" s="609"/>
      <c r="F122" s="609"/>
      <c r="H122" s="610"/>
      <c r="I122" s="610"/>
      <c r="J122" s="611"/>
      <c r="L122" s="611"/>
      <c r="S122" s="173"/>
      <c r="T122" s="173"/>
      <c r="U122" s="173"/>
      <c r="V122" s="173"/>
    </row>
    <row r="123" spans="1:31" s="17" customFormat="1" ht="11.4">
      <c r="B123" s="17" t="s">
        <v>599</v>
      </c>
      <c r="C123" s="609"/>
      <c r="D123" s="609"/>
      <c r="F123" s="609"/>
      <c r="H123" s="610"/>
      <c r="I123" s="610"/>
      <c r="J123" s="611"/>
      <c r="L123" s="611"/>
      <c r="S123" s="173"/>
      <c r="T123" s="173"/>
      <c r="U123" s="173"/>
      <c r="V123" s="173"/>
    </row>
    <row r="124" spans="1:31" s="17" customFormat="1" ht="11.4">
      <c r="B124" s="608"/>
      <c r="C124" s="609"/>
      <c r="D124" s="609"/>
      <c r="F124" s="609"/>
      <c r="H124" s="610"/>
      <c r="I124" s="610"/>
      <c r="J124" s="611"/>
      <c r="L124" s="611"/>
      <c r="S124" s="173"/>
      <c r="T124" s="173"/>
      <c r="U124" s="173"/>
      <c r="V124" s="173"/>
    </row>
    <row r="125" spans="1:31" s="17" customFormat="1" ht="11.4">
      <c r="A125" s="257" t="s">
        <v>111</v>
      </c>
      <c r="B125" s="256" t="s">
        <v>110</v>
      </c>
      <c r="C125" s="251"/>
      <c r="D125" s="251"/>
      <c r="E125" s="179"/>
      <c r="F125" s="253"/>
      <c r="H125" s="254"/>
      <c r="I125" s="254"/>
      <c r="J125" s="254"/>
      <c r="K125" s="254"/>
      <c r="L125" s="254"/>
      <c r="M125" s="252"/>
      <c r="N125" s="255"/>
      <c r="O125" s="255"/>
      <c r="P125" s="255"/>
      <c r="Q125" s="255"/>
      <c r="R125" s="255"/>
      <c r="S125" s="173"/>
      <c r="T125" s="173"/>
      <c r="U125" s="173"/>
      <c r="V125" s="173"/>
    </row>
    <row r="126" spans="1:31" ht="11.4">
      <c r="A126" s="237" t="s">
        <v>50</v>
      </c>
      <c r="B126" s="245" t="s">
        <v>109</v>
      </c>
      <c r="E126" s="173"/>
      <c r="F126" s="187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</row>
    <row r="127" spans="1:31" ht="11.4">
      <c r="A127" s="173" t="s">
        <v>57</v>
      </c>
      <c r="B127" s="248" t="s">
        <v>108</v>
      </c>
      <c r="E127" s="173"/>
      <c r="F127" s="187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</row>
    <row r="128" spans="1:31" ht="11.4">
      <c r="A128" s="17" t="s">
        <v>107</v>
      </c>
      <c r="B128" s="17" t="s">
        <v>106</v>
      </c>
      <c r="E128" s="235"/>
      <c r="F128" s="187"/>
      <c r="G128" s="173"/>
      <c r="H128" s="235"/>
      <c r="I128" s="235"/>
      <c r="J128" s="235"/>
      <c r="K128" s="235"/>
      <c r="L128" s="235"/>
      <c r="M128" s="259"/>
      <c r="N128" s="235"/>
      <c r="O128" s="235"/>
      <c r="P128" s="235"/>
      <c r="Q128" s="235"/>
      <c r="R128" s="235"/>
      <c r="W128" s="173"/>
      <c r="X128" s="173"/>
      <c r="Y128" s="173"/>
      <c r="Z128" s="173"/>
      <c r="AA128" s="173"/>
      <c r="AB128" s="173"/>
      <c r="AC128" s="173"/>
      <c r="AD128" s="173"/>
      <c r="AE128" s="173"/>
    </row>
    <row r="129" spans="1:31" ht="11.4">
      <c r="A129" s="17" t="s">
        <v>105</v>
      </c>
      <c r="B129" s="244" t="s">
        <v>104</v>
      </c>
      <c r="E129" s="173"/>
      <c r="F129" s="187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</row>
    <row r="130" spans="1:31" ht="11.4">
      <c r="A130" s="173" t="s">
        <v>103</v>
      </c>
      <c r="B130" s="187" t="s">
        <v>102</v>
      </c>
      <c r="E130" s="179"/>
      <c r="F130" s="187"/>
      <c r="G130" s="173"/>
      <c r="M130" s="186"/>
      <c r="N130" s="178"/>
      <c r="O130" s="178"/>
      <c r="P130" s="178"/>
      <c r="Q130" s="178"/>
      <c r="R130" s="178"/>
      <c r="S130" s="235"/>
      <c r="V130" s="232"/>
      <c r="AE130" s="173"/>
    </row>
    <row r="131" spans="1:31" ht="11.4">
      <c r="A131" s="17" t="s">
        <v>40</v>
      </c>
      <c r="B131" s="17" t="s">
        <v>101</v>
      </c>
      <c r="E131" s="173"/>
      <c r="F131" s="187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</row>
    <row r="132" spans="1:31" ht="11.4">
      <c r="A132" s="17" t="s">
        <v>55</v>
      </c>
      <c r="B132" s="17" t="s">
        <v>100</v>
      </c>
      <c r="E132" s="179"/>
      <c r="F132" s="187"/>
      <c r="G132" s="173"/>
      <c r="M132" s="186"/>
      <c r="N132" s="178"/>
      <c r="O132" s="178"/>
      <c r="P132" s="178"/>
      <c r="Q132" s="178"/>
      <c r="R132" s="178"/>
      <c r="S132" s="235"/>
      <c r="V132" s="232"/>
      <c r="AE132" s="173"/>
    </row>
    <row r="133" spans="1:31" ht="11.4">
      <c r="A133" s="173" t="s">
        <v>56</v>
      </c>
      <c r="B133" s="243" t="s">
        <v>99</v>
      </c>
      <c r="E133" s="179"/>
      <c r="F133" s="187"/>
      <c r="G133" s="173"/>
      <c r="M133" s="186"/>
      <c r="N133" s="178"/>
      <c r="O133" s="178"/>
      <c r="P133" s="178"/>
      <c r="Q133" s="178"/>
      <c r="R133" s="178"/>
      <c r="S133" s="235"/>
      <c r="V133" s="232"/>
      <c r="AE133" s="173"/>
    </row>
    <row r="134" spans="1:31" ht="11.4">
      <c r="A134" s="17" t="s">
        <v>439</v>
      </c>
      <c r="B134" s="17" t="s">
        <v>468</v>
      </c>
      <c r="C134" s="173"/>
      <c r="D134" s="173"/>
      <c r="E134" s="235"/>
      <c r="F134" s="187"/>
      <c r="G134" s="173"/>
      <c r="H134" s="235"/>
      <c r="I134" s="235"/>
      <c r="J134" s="235"/>
      <c r="K134" s="235"/>
      <c r="L134" s="235"/>
      <c r="M134" s="259"/>
      <c r="N134" s="235"/>
      <c r="O134" s="235"/>
      <c r="P134" s="235"/>
      <c r="Q134" s="235"/>
      <c r="R134" s="235"/>
      <c r="W134" s="173"/>
      <c r="X134" s="173"/>
      <c r="Y134" s="173"/>
      <c r="Z134" s="173"/>
      <c r="AA134" s="173"/>
      <c r="AB134" s="173"/>
      <c r="AC134" s="173"/>
      <c r="AD134" s="173"/>
      <c r="AE134" s="173"/>
    </row>
    <row r="135" spans="1:31" ht="11.4">
      <c r="A135" s="173" t="s">
        <v>98</v>
      </c>
      <c r="B135" s="173" t="s">
        <v>97</v>
      </c>
      <c r="E135" s="179"/>
      <c r="F135" s="187"/>
      <c r="G135" s="173"/>
      <c r="M135" s="186"/>
      <c r="N135" s="178"/>
      <c r="O135" s="178"/>
      <c r="P135" s="178"/>
      <c r="Q135" s="178"/>
      <c r="R135" s="178"/>
      <c r="S135" s="235"/>
      <c r="V135" s="232"/>
      <c r="AE135" s="173"/>
    </row>
    <row r="136" spans="1:31" s="17" customFormat="1" ht="11.4">
      <c r="A136" s="173" t="s">
        <v>96</v>
      </c>
      <c r="B136" s="243" t="s">
        <v>95</v>
      </c>
      <c r="C136" s="237"/>
      <c r="D136" s="237"/>
      <c r="E136" s="237"/>
      <c r="F136" s="243"/>
      <c r="H136" s="237"/>
      <c r="I136" s="237"/>
      <c r="J136" s="237"/>
      <c r="K136" s="237"/>
      <c r="L136" s="237"/>
      <c r="M136" s="260"/>
      <c r="N136" s="237"/>
      <c r="O136" s="237"/>
      <c r="P136" s="237"/>
      <c r="Q136" s="237"/>
      <c r="R136" s="237"/>
      <c r="S136" s="237"/>
      <c r="T136" s="237"/>
      <c r="U136" s="237"/>
    </row>
    <row r="137" spans="1:31" s="17" customFormat="1" ht="11.4">
      <c r="A137" s="173" t="s">
        <v>94</v>
      </c>
      <c r="B137" s="243" t="s">
        <v>93</v>
      </c>
      <c r="C137" s="237"/>
      <c r="D137" s="237"/>
      <c r="E137" s="237"/>
      <c r="F137" s="243"/>
      <c r="H137" s="237"/>
      <c r="I137" s="237"/>
      <c r="J137" s="237"/>
      <c r="K137" s="237"/>
      <c r="L137" s="237"/>
      <c r="M137" s="260"/>
      <c r="N137" s="237"/>
      <c r="O137" s="237"/>
      <c r="P137" s="237"/>
      <c r="Q137" s="237"/>
      <c r="R137" s="237"/>
      <c r="S137" s="237"/>
      <c r="T137" s="237"/>
      <c r="U137" s="237"/>
    </row>
    <row r="138" spans="1:31" ht="11.4">
      <c r="A138" s="173" t="s">
        <v>44</v>
      </c>
      <c r="B138" s="242" t="s">
        <v>92</v>
      </c>
      <c r="E138" s="179"/>
      <c r="F138" s="187"/>
      <c r="G138" s="173"/>
      <c r="M138" s="186"/>
      <c r="N138" s="178"/>
      <c r="O138" s="178"/>
      <c r="P138" s="178"/>
      <c r="Q138" s="178"/>
      <c r="R138" s="178"/>
      <c r="S138" s="235"/>
      <c r="V138" s="232"/>
      <c r="AE138" s="173"/>
    </row>
    <row r="139" spans="1:31" ht="11.4">
      <c r="A139" s="173" t="s">
        <v>74</v>
      </c>
      <c r="B139" s="246" t="s">
        <v>91</v>
      </c>
      <c r="E139" s="179"/>
      <c r="F139" s="187"/>
      <c r="G139" s="173"/>
      <c r="M139" s="186"/>
      <c r="N139" s="178"/>
      <c r="O139" s="178"/>
      <c r="P139" s="178"/>
      <c r="Q139" s="178"/>
      <c r="R139" s="178"/>
      <c r="S139" s="235"/>
      <c r="V139" s="232"/>
      <c r="AE139" s="173"/>
    </row>
    <row r="140" spans="1:31" ht="11.4">
      <c r="E140" s="179"/>
      <c r="F140" s="187"/>
      <c r="G140" s="173"/>
      <c r="M140" s="186"/>
      <c r="N140" s="178"/>
      <c r="O140" s="178"/>
      <c r="P140" s="178"/>
      <c r="Q140" s="178"/>
      <c r="R140" s="178"/>
      <c r="AE140" s="173"/>
    </row>
    <row r="141" spans="1:31" ht="11.4">
      <c r="E141" s="179"/>
      <c r="F141" s="187"/>
      <c r="G141" s="173"/>
      <c r="M141" s="186"/>
      <c r="N141" s="178"/>
      <c r="O141" s="178"/>
      <c r="P141" s="178"/>
      <c r="Q141" s="178"/>
      <c r="R141" s="178"/>
      <c r="AE141" s="173"/>
    </row>
    <row r="142" spans="1:31" ht="11.4">
      <c r="E142" s="179"/>
      <c r="F142" s="187"/>
      <c r="G142" s="173"/>
      <c r="M142" s="186"/>
      <c r="N142" s="178"/>
      <c r="O142" s="178"/>
      <c r="P142" s="178"/>
      <c r="Q142" s="178"/>
      <c r="R142" s="178"/>
      <c r="AE142" s="173"/>
    </row>
    <row r="143" spans="1:31" ht="11.4">
      <c r="A143" s="173"/>
      <c r="B143" s="245"/>
      <c r="C143" s="173"/>
      <c r="D143" s="173"/>
      <c r="E143" s="235"/>
      <c r="F143" s="187"/>
      <c r="G143" s="173"/>
      <c r="H143" s="235"/>
      <c r="I143" s="235"/>
      <c r="J143" s="235"/>
      <c r="K143" s="235"/>
      <c r="L143" s="235"/>
      <c r="M143" s="259"/>
      <c r="N143" s="235"/>
      <c r="O143" s="235"/>
      <c r="P143" s="235"/>
      <c r="Q143" s="235"/>
      <c r="R143" s="235"/>
      <c r="W143" s="173"/>
      <c r="X143" s="173"/>
      <c r="Y143" s="173"/>
      <c r="Z143" s="173"/>
      <c r="AA143" s="173"/>
      <c r="AB143" s="173"/>
      <c r="AC143" s="173"/>
      <c r="AD143" s="173"/>
      <c r="AE143" s="173"/>
    </row>
    <row r="144" spans="1:31" ht="11.4">
      <c r="A144" s="173"/>
      <c r="B144" s="242"/>
      <c r="C144" s="173"/>
      <c r="D144" s="173"/>
      <c r="E144" s="235"/>
      <c r="F144" s="187"/>
      <c r="G144" s="173"/>
      <c r="H144" s="235"/>
      <c r="I144" s="235"/>
      <c r="J144" s="235"/>
      <c r="K144" s="235"/>
      <c r="L144" s="235"/>
      <c r="M144" s="259"/>
      <c r="N144" s="235"/>
      <c r="O144" s="235"/>
      <c r="P144" s="235"/>
      <c r="Q144" s="235"/>
      <c r="R144" s="235"/>
      <c r="W144" s="173"/>
      <c r="X144" s="173"/>
      <c r="Y144" s="173"/>
      <c r="Z144" s="173"/>
      <c r="AA144" s="173"/>
      <c r="AB144" s="173"/>
      <c r="AC144" s="173"/>
      <c r="AD144" s="173"/>
      <c r="AE144" s="173"/>
    </row>
    <row r="145" spans="1:31" ht="11.4">
      <c r="A145" s="235"/>
      <c r="B145" s="256"/>
      <c r="C145" s="173"/>
      <c r="D145" s="173"/>
      <c r="E145" s="235"/>
      <c r="F145" s="187"/>
      <c r="G145" s="173"/>
      <c r="H145" s="235"/>
      <c r="I145" s="235"/>
      <c r="J145" s="235"/>
      <c r="K145" s="235"/>
      <c r="L145" s="235"/>
      <c r="M145" s="259"/>
      <c r="N145" s="235"/>
      <c r="O145" s="235"/>
      <c r="P145" s="235"/>
      <c r="Q145" s="235"/>
      <c r="R145" s="235"/>
      <c r="W145" s="173"/>
      <c r="X145" s="173"/>
      <c r="Y145" s="173"/>
      <c r="Z145" s="173"/>
      <c r="AA145" s="173"/>
      <c r="AB145" s="173"/>
      <c r="AC145" s="173"/>
      <c r="AD145" s="173"/>
      <c r="AE145" s="173"/>
    </row>
    <row r="146" spans="1:31" ht="11.4">
      <c r="A146" s="173"/>
      <c r="B146" s="248"/>
      <c r="C146" s="173"/>
      <c r="D146" s="173"/>
      <c r="E146" s="235"/>
      <c r="F146" s="187"/>
      <c r="G146" s="173"/>
      <c r="H146" s="235"/>
      <c r="I146" s="235"/>
      <c r="J146" s="235"/>
      <c r="K146" s="235"/>
      <c r="L146" s="235"/>
      <c r="M146" s="259"/>
      <c r="N146" s="235"/>
      <c r="O146" s="235"/>
      <c r="P146" s="235"/>
      <c r="Q146" s="235"/>
      <c r="R146" s="235"/>
      <c r="W146" s="173"/>
      <c r="X146" s="173"/>
      <c r="Y146" s="173"/>
      <c r="Z146" s="173"/>
      <c r="AA146" s="173"/>
      <c r="AB146" s="173"/>
      <c r="AC146" s="173"/>
      <c r="AD146" s="173"/>
      <c r="AE146" s="173"/>
    </row>
    <row r="147" spans="1:31" ht="11.4">
      <c r="C147" s="173"/>
      <c r="D147" s="173"/>
      <c r="E147" s="235"/>
      <c r="F147" s="187"/>
      <c r="G147" s="173"/>
      <c r="H147" s="235"/>
      <c r="I147" s="235"/>
      <c r="J147" s="235"/>
      <c r="K147" s="235"/>
      <c r="L147" s="235"/>
      <c r="M147" s="259"/>
      <c r="N147" s="235"/>
      <c r="O147" s="235"/>
      <c r="P147" s="235"/>
      <c r="Q147" s="235"/>
      <c r="R147" s="235"/>
      <c r="W147" s="173"/>
      <c r="X147" s="173"/>
      <c r="Y147" s="173"/>
      <c r="Z147" s="173"/>
      <c r="AA147" s="173"/>
      <c r="AB147" s="173"/>
      <c r="AC147" s="173"/>
      <c r="AD147" s="173"/>
      <c r="AE147" s="173"/>
    </row>
    <row r="148" spans="1:31" ht="11.4">
      <c r="A148" s="173"/>
      <c r="B148" s="243"/>
      <c r="C148" s="173"/>
      <c r="D148" s="173"/>
      <c r="E148" s="235"/>
      <c r="F148" s="187"/>
      <c r="G148" s="173"/>
      <c r="H148" s="235"/>
      <c r="I148" s="235"/>
      <c r="J148" s="235"/>
      <c r="K148" s="235"/>
      <c r="L148" s="235"/>
      <c r="M148" s="259"/>
      <c r="N148" s="235"/>
      <c r="O148" s="235"/>
      <c r="P148" s="235"/>
      <c r="Q148" s="235"/>
      <c r="R148" s="235"/>
      <c r="W148" s="173"/>
      <c r="X148" s="173"/>
      <c r="Y148" s="173"/>
      <c r="Z148" s="173"/>
      <c r="AA148" s="173"/>
      <c r="AB148" s="173"/>
      <c r="AC148" s="173"/>
      <c r="AD148" s="173"/>
      <c r="AE148" s="173"/>
    </row>
    <row r="149" spans="1:31" ht="11.4">
      <c r="A149" s="173"/>
      <c r="B149" s="261"/>
      <c r="C149" s="173"/>
      <c r="D149" s="173"/>
      <c r="E149" s="235"/>
      <c r="F149" s="187"/>
      <c r="G149" s="173"/>
      <c r="H149" s="235"/>
      <c r="I149" s="235"/>
      <c r="J149" s="235"/>
      <c r="K149" s="235"/>
      <c r="L149" s="235"/>
      <c r="M149" s="259"/>
      <c r="N149" s="235"/>
      <c r="O149" s="235"/>
      <c r="P149" s="235"/>
      <c r="Q149" s="235"/>
      <c r="R149" s="235"/>
      <c r="W149" s="173"/>
      <c r="X149" s="173"/>
      <c r="Y149" s="173"/>
      <c r="Z149" s="173"/>
      <c r="AA149" s="173"/>
      <c r="AB149" s="173"/>
      <c r="AC149" s="173"/>
      <c r="AD149" s="173"/>
      <c r="AE149" s="173"/>
    </row>
    <row r="150" spans="1:31" ht="11.4">
      <c r="A150" s="173"/>
      <c r="B150" s="173"/>
      <c r="C150" s="173"/>
      <c r="D150" s="173"/>
      <c r="G150" s="173"/>
      <c r="AB150" s="173"/>
      <c r="AC150" s="173"/>
      <c r="AD150" s="173"/>
      <c r="AE150" s="173"/>
    </row>
    <row r="151" spans="1:31" ht="11.4">
      <c r="A151" s="173"/>
      <c r="B151" s="173"/>
      <c r="G151" s="173"/>
    </row>
    <row r="152" spans="1:31" ht="11.4">
      <c r="G152" s="173"/>
    </row>
    <row r="153" spans="1:31" ht="11.4">
      <c r="G153" s="173"/>
    </row>
    <row r="154" spans="1:31" ht="11.4">
      <c r="G154" s="173"/>
    </row>
    <row r="155" spans="1:31" ht="11.4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</row>
  </sheetData>
  <mergeCells count="3">
    <mergeCell ref="R47:U47"/>
    <mergeCell ref="N2:P2"/>
    <mergeCell ref="F2:I2"/>
  </mergeCells>
  <conditionalFormatting sqref="N4:P104">
    <cfRule type="cellIs" dxfId="2" priority="44" operator="lessThan">
      <formula>1</formula>
    </cfRule>
  </conditionalFormatting>
  <pageMargins left="0.25" right="0.25" top="0.5" bottom="0.5" header="0.3" footer="0.3"/>
  <pageSetup scale="90" orientation="landscape" r:id="rId1"/>
  <rowBreaks count="1" manualBreakCount="1">
    <brk id="70" max="3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U104"/>
  <sheetViews>
    <sheetView showGridLines="0" workbookViewId="0">
      <pane xSplit="2" ySplit="3" topLeftCell="C32" activePane="bottomRight" state="frozen"/>
      <selection activeCell="C3" sqref="C3"/>
      <selection pane="topRight" activeCell="C3" sqref="C3"/>
      <selection pane="bottomLeft" activeCell="C3" sqref="C3"/>
      <selection pane="bottomRight" activeCell="H49" sqref="H49"/>
    </sheetView>
  </sheetViews>
  <sheetFormatPr defaultColWidth="9.109375" defaultRowHeight="10.199999999999999"/>
  <cols>
    <col min="1" max="1" width="9.6640625" style="211" bestFit="1" customWidth="1"/>
    <col min="2" max="2" width="36.88671875" style="1" bestFit="1" customWidth="1"/>
    <col min="3" max="3" width="8.44140625" style="195" bestFit="1" customWidth="1"/>
    <col min="4" max="4" width="9.6640625" style="195" bestFit="1" customWidth="1"/>
    <col min="5" max="5" width="1.88671875" style="2" customWidth="1"/>
    <col min="6" max="7" width="6.88671875" style="195" bestFit="1" customWidth="1"/>
    <col min="8" max="8" width="5.109375" style="345" bestFit="1" customWidth="1"/>
    <col min="9" max="9" width="5.109375" style="195" bestFit="1" customWidth="1"/>
    <col min="10" max="10" width="1.88671875" style="2" customWidth="1"/>
    <col min="11" max="11" width="11.33203125" style="210" bestFit="1" customWidth="1"/>
    <col min="12" max="12" width="11.5546875" style="210" bestFit="1" customWidth="1"/>
    <col min="13" max="13" width="1.88671875" style="2" customWidth="1"/>
    <col min="14" max="14" width="6" style="195" bestFit="1" customWidth="1"/>
    <col min="15" max="15" width="6.33203125" style="2" customWidth="1"/>
    <col min="16" max="16" width="11.5546875" style="210" bestFit="1" customWidth="1"/>
    <col min="17" max="17" width="12.5546875" style="209" bestFit="1" customWidth="1"/>
    <col min="18" max="18" width="8" style="209" bestFit="1" customWidth="1"/>
    <col min="19" max="19" width="6.33203125" style="2" customWidth="1"/>
    <col min="20" max="20" width="5.6640625" style="2" hidden="1" customWidth="1"/>
    <col min="21" max="25" width="4.44140625" style="2" hidden="1" customWidth="1"/>
    <col min="26" max="26" width="6.33203125" style="2" hidden="1" customWidth="1"/>
    <col min="27" max="27" width="4.44140625" style="2" hidden="1" customWidth="1"/>
    <col min="28" max="28" width="6.33203125" style="2" hidden="1" customWidth="1"/>
    <col min="29" max="30" width="4.44140625" style="2" hidden="1" customWidth="1"/>
    <col min="31" max="31" width="6.33203125" style="2" hidden="1" customWidth="1"/>
    <col min="32" max="32" width="5.6640625" style="195" hidden="1" customWidth="1"/>
    <col min="33" max="46" width="5.6640625" style="194" hidden="1" customWidth="1"/>
    <col min="47" max="51" width="4.44140625" style="194" hidden="1" customWidth="1"/>
    <col min="52" max="52" width="6.33203125" style="2" hidden="1" customWidth="1"/>
    <col min="53" max="53" width="4.44140625" style="195" hidden="1" customWidth="1"/>
    <col min="54" max="72" width="4.44140625" style="194" hidden="1" customWidth="1"/>
    <col min="73" max="73" width="6.33203125" style="2" customWidth="1"/>
    <col min="74" max="74" width="6.33203125" style="195" customWidth="1"/>
    <col min="75" max="16384" width="9.109375" style="195"/>
  </cols>
  <sheetData>
    <row r="1" spans="1:73">
      <c r="B1" s="225" t="s">
        <v>225</v>
      </c>
      <c r="C1" s="224">
        <v>2014</v>
      </c>
      <c r="F1" s="209"/>
      <c r="G1" s="209"/>
      <c r="I1" s="209"/>
      <c r="N1" s="209"/>
      <c r="Q1" s="195"/>
      <c r="R1" s="195"/>
      <c r="AF1" s="209"/>
      <c r="AG1" s="223"/>
      <c r="BA1" s="209"/>
      <c r="BB1" s="223"/>
    </row>
    <row r="2" spans="1:73" ht="11.25" customHeight="1">
      <c r="C2" s="196"/>
      <c r="D2" s="196"/>
      <c r="F2" s="778" t="s">
        <v>432</v>
      </c>
      <c r="G2" s="779"/>
      <c r="H2" s="779"/>
      <c r="I2" s="780"/>
      <c r="N2" s="209"/>
      <c r="P2" s="786" t="s">
        <v>445</v>
      </c>
      <c r="Q2" s="786"/>
      <c r="R2" s="786"/>
      <c r="T2" s="784" t="s">
        <v>7</v>
      </c>
      <c r="U2" s="785"/>
      <c r="V2" s="785"/>
      <c r="W2" s="785"/>
      <c r="X2" s="785"/>
      <c r="Y2" s="785"/>
      <c r="Z2" s="785"/>
      <c r="AA2" s="785"/>
      <c r="AB2" s="785"/>
      <c r="AC2" s="785"/>
      <c r="AD2" s="800"/>
      <c r="AF2" s="775" t="s">
        <v>448</v>
      </c>
      <c r="AG2" s="776"/>
      <c r="AH2" s="776"/>
      <c r="AI2" s="776"/>
      <c r="AJ2" s="776"/>
      <c r="AK2" s="776"/>
      <c r="AL2" s="776"/>
      <c r="AM2" s="776"/>
      <c r="AN2" s="776"/>
      <c r="AO2" s="776"/>
      <c r="AP2" s="776"/>
      <c r="AQ2" s="776"/>
      <c r="AR2" s="776"/>
      <c r="AS2" s="776"/>
      <c r="AT2" s="776"/>
      <c r="AU2" s="776"/>
      <c r="AV2" s="776"/>
      <c r="AW2" s="776"/>
      <c r="AX2" s="776"/>
      <c r="AY2" s="801"/>
      <c r="BA2" s="775" t="s">
        <v>449</v>
      </c>
      <c r="BB2" s="776"/>
      <c r="BC2" s="776"/>
      <c r="BD2" s="776"/>
      <c r="BE2" s="776"/>
      <c r="BF2" s="776"/>
      <c r="BG2" s="776"/>
      <c r="BH2" s="776"/>
      <c r="BI2" s="776"/>
      <c r="BJ2" s="776"/>
      <c r="BK2" s="776"/>
      <c r="BL2" s="776"/>
      <c r="BM2" s="776"/>
      <c r="BN2" s="776"/>
      <c r="BO2" s="776"/>
      <c r="BP2" s="776"/>
      <c r="BQ2" s="776"/>
      <c r="BR2" s="776"/>
      <c r="BS2" s="776"/>
      <c r="BT2" s="801"/>
    </row>
    <row r="3" spans="1:73" s="218" customFormat="1" ht="22.5" customHeight="1">
      <c r="A3" s="344" t="s">
        <v>90</v>
      </c>
      <c r="B3" s="222" t="s">
        <v>212</v>
      </c>
      <c r="C3" s="220" t="s">
        <v>2</v>
      </c>
      <c r="D3" s="220" t="s">
        <v>427</v>
      </c>
      <c r="E3" s="219"/>
      <c r="F3" s="220" t="s">
        <v>240</v>
      </c>
      <c r="G3" s="220" t="s">
        <v>429</v>
      </c>
      <c r="H3" s="346" t="s">
        <v>282</v>
      </c>
      <c r="I3" s="220" t="s">
        <v>431</v>
      </c>
      <c r="J3" s="219"/>
      <c r="K3" s="347" t="s">
        <v>415</v>
      </c>
      <c r="L3" s="347" t="s">
        <v>426</v>
      </c>
      <c r="M3" s="219"/>
      <c r="N3" s="528" t="s">
        <v>210</v>
      </c>
      <c r="O3" s="219"/>
      <c r="P3" s="499" t="s">
        <v>447</v>
      </c>
      <c r="Q3" s="499" t="s">
        <v>446</v>
      </c>
      <c r="R3" s="422" t="s">
        <v>7</v>
      </c>
      <c r="S3" s="219"/>
      <c r="T3" s="421">
        <v>2014</v>
      </c>
      <c r="U3" s="421">
        <v>2015</v>
      </c>
      <c r="V3" s="421">
        <v>2016</v>
      </c>
      <c r="W3" s="421">
        <v>2017</v>
      </c>
      <c r="X3" s="421">
        <v>2018</v>
      </c>
      <c r="Y3" s="421">
        <v>2019</v>
      </c>
      <c r="Z3" s="421">
        <v>2020</v>
      </c>
      <c r="AA3" s="421">
        <v>2021</v>
      </c>
      <c r="AB3" s="421">
        <v>2022</v>
      </c>
      <c r="AC3" s="421">
        <v>2023</v>
      </c>
      <c r="AD3" s="421">
        <v>2024</v>
      </c>
      <c r="AE3" s="219"/>
      <c r="AF3" s="421">
        <v>2014</v>
      </c>
      <c r="AG3" s="421">
        <v>2015</v>
      </c>
      <c r="AH3" s="421">
        <v>2016</v>
      </c>
      <c r="AI3" s="421">
        <v>2017</v>
      </c>
      <c r="AJ3" s="421">
        <v>2018</v>
      </c>
      <c r="AK3" s="421">
        <v>2019</v>
      </c>
      <c r="AL3" s="421">
        <v>2020</v>
      </c>
      <c r="AM3" s="421">
        <v>2021</v>
      </c>
      <c r="AN3" s="421">
        <v>2022</v>
      </c>
      <c r="AO3" s="421">
        <v>2023</v>
      </c>
      <c r="AP3" s="421">
        <v>2024</v>
      </c>
      <c r="AQ3" s="421">
        <v>2025</v>
      </c>
      <c r="AR3" s="421">
        <v>2026</v>
      </c>
      <c r="AS3" s="421">
        <v>2027</v>
      </c>
      <c r="AT3" s="421">
        <v>2028</v>
      </c>
      <c r="AU3" s="421">
        <v>2029</v>
      </c>
      <c r="AV3" s="421">
        <v>2030</v>
      </c>
      <c r="AW3" s="421">
        <v>2031</v>
      </c>
      <c r="AX3" s="421">
        <v>2032</v>
      </c>
      <c r="AY3" s="421">
        <v>2033</v>
      </c>
      <c r="AZ3" s="219"/>
      <c r="BA3" s="481">
        <v>2014</v>
      </c>
      <c r="BB3" s="481">
        <v>2015</v>
      </c>
      <c r="BC3" s="481">
        <v>2016</v>
      </c>
      <c r="BD3" s="481">
        <v>2017</v>
      </c>
      <c r="BE3" s="481">
        <v>2018</v>
      </c>
      <c r="BF3" s="481">
        <v>2019</v>
      </c>
      <c r="BG3" s="481">
        <v>2020</v>
      </c>
      <c r="BH3" s="481">
        <v>2021</v>
      </c>
      <c r="BI3" s="481">
        <v>2022</v>
      </c>
      <c r="BJ3" s="481">
        <v>2023</v>
      </c>
      <c r="BK3" s="481">
        <v>2024</v>
      </c>
      <c r="BL3" s="481">
        <v>2025</v>
      </c>
      <c r="BM3" s="481">
        <v>2026</v>
      </c>
      <c r="BN3" s="481">
        <v>2027</v>
      </c>
      <c r="BO3" s="481">
        <v>2028</v>
      </c>
      <c r="BP3" s="481">
        <v>2029</v>
      </c>
      <c r="BQ3" s="481">
        <v>2030</v>
      </c>
      <c r="BR3" s="481">
        <v>2031</v>
      </c>
      <c r="BS3" s="481">
        <v>2032</v>
      </c>
      <c r="BT3" s="481">
        <v>2033</v>
      </c>
      <c r="BU3" s="219"/>
    </row>
    <row r="4" spans="1:73">
      <c r="A4" s="341" t="s">
        <v>12</v>
      </c>
      <c r="B4" s="427" t="str">
        <f>Sources!B4</f>
        <v>CFL</v>
      </c>
      <c r="C4" s="193">
        <f>Sources!C4</f>
        <v>5</v>
      </c>
      <c r="D4" s="193">
        <f>Sources!D4</f>
        <v>0</v>
      </c>
      <c r="F4" s="429">
        <f>Sources!F4*EnergyLineLoss</f>
        <v>32.094829089000001</v>
      </c>
      <c r="G4" s="429">
        <f>Sources!G4*EnergyLineLoss</f>
        <v>0</v>
      </c>
      <c r="H4" s="477">
        <f>Sources!H4*PeakLineLoss</f>
        <v>2.9158264214999997E-3</v>
      </c>
      <c r="I4" s="477">
        <f>Sources!I4*PeakLineLoss</f>
        <v>0</v>
      </c>
      <c r="K4" s="419">
        <f>Sources!J4</f>
        <v>1.5</v>
      </c>
      <c r="L4" s="419">
        <f>Sources!K4</f>
        <v>0</v>
      </c>
      <c r="N4" s="438">
        <f>IF(R4&gt;0,(P4+Q4)/R4,"n/a")</f>
        <v>3.849397058490851</v>
      </c>
      <c r="P4" s="215">
        <f t="shared" ref="P4" si="0">AF4+NPV(DiscountRate,AG4:AY4)</f>
        <v>5.583312168607276</v>
      </c>
      <c r="Q4" s="215">
        <f t="shared" ref="Q4:Q35" si="1">BA4+NPV(DiscountRate,BB4:BT4)</f>
        <v>0.19078341912900021</v>
      </c>
      <c r="R4" s="215">
        <f t="shared" ref="R4:R35" si="2">T4+NPV(DiscountRate,U4:AD4)</f>
        <v>1.5</v>
      </c>
      <c r="T4" s="214">
        <f t="shared" ref="T4:AD4" si="3">IF($C$1=T$3,$K4,IF($D4+$C$1=T$3,-$L4,0))</f>
        <v>1.5</v>
      </c>
      <c r="U4" s="214">
        <f t="shared" si="3"/>
        <v>0</v>
      </c>
      <c r="V4" s="214">
        <f t="shared" si="3"/>
        <v>0</v>
      </c>
      <c r="W4" s="214">
        <f t="shared" si="3"/>
        <v>0</v>
      </c>
      <c r="X4" s="214">
        <f t="shared" si="3"/>
        <v>0</v>
      </c>
      <c r="Y4" s="214">
        <f t="shared" si="3"/>
        <v>0</v>
      </c>
      <c r="Z4" s="214">
        <f t="shared" si="3"/>
        <v>0</v>
      </c>
      <c r="AA4" s="214">
        <f t="shared" si="3"/>
        <v>0</v>
      </c>
      <c r="AB4" s="214">
        <f t="shared" si="3"/>
        <v>0</v>
      </c>
      <c r="AC4" s="214">
        <f t="shared" si="3"/>
        <v>0</v>
      </c>
      <c r="AD4" s="214">
        <f t="shared" si="3"/>
        <v>0</v>
      </c>
      <c r="AF4" s="214">
        <f>IF(AND(($D4+$C$1)&gt;AF$3,AF$3&gt;=$C$1),'General Inputs'!D$9*$G4,IF(AND(($C4+$C$1)&gt;AF$3,AF$3&gt;=$C$1),'General Inputs'!D$9*$F4,0))</f>
        <v>1.2777679769079147</v>
      </c>
      <c r="AG4" s="214">
        <f>IF(AND(($D4+$C$1)&gt;AG$3,AG$3&gt;=$C$1),'General Inputs'!E$9*$G4,IF(AND(($C4+$C$1)&gt;AG$3,AG$3&gt;=$C$1),'General Inputs'!E$9*$F4,0))</f>
        <v>1.296934496561533</v>
      </c>
      <c r="AH4" s="214">
        <f>IF(AND(($D4+$C$1)&gt;AH$3,AH$3&gt;=$C$1),'General Inputs'!F$9*$G4,IF(AND(($C4+$C$1)&gt;AH$3,AH$3&gt;=$C$1),'General Inputs'!F$9*$F4,0))</f>
        <v>1.316388514009956</v>
      </c>
      <c r="AI4" s="214">
        <f>IF(AND(($D4+$C$1)&gt;AI$3,AI$3&gt;=$C$1),'General Inputs'!G$9*$G4,IF(AND(($C4+$C$1)&gt;AI$3,AI$3&gt;=$C$1),'General Inputs'!G$9*$F4,0))</f>
        <v>1.3361343417201053</v>
      </c>
      <c r="AJ4" s="214">
        <f>IF(AND(($D4+$C$1)&gt;AJ$3,AJ$3&gt;=$C$1),'General Inputs'!H$9*$G4,IF(AND(($C4+$C$1)&gt;AJ$3,AJ$3&gt;=$C$1),'General Inputs'!H$9*$F4,0))</f>
        <v>1.3561763568459066</v>
      </c>
      <c r="AK4" s="214">
        <f>IF(AND(($D4+$C$1)&gt;AK$3,AK$3&gt;=$C$1),'General Inputs'!I$9*$G4,IF(AND(($C4+$C$1)&gt;AK$3,AK$3&gt;=$C$1),'General Inputs'!I$9*$F4,0))</f>
        <v>0</v>
      </c>
      <c r="AL4" s="214">
        <f>IF(AND(($D4+$C$1)&gt;AL$3,AL$3&gt;=$C$1),'General Inputs'!J$9*$G4,IF(AND(($C4+$C$1)&gt;AL$3,AL$3&gt;=$C$1),'General Inputs'!J$9*$F4,0))</f>
        <v>0</v>
      </c>
      <c r="AM4" s="214">
        <f>IF(AND(($D4+$C$1)&gt;AM$3,AM$3&gt;=$C$1),'General Inputs'!K$9*$G4,IF(AND(($C4+$C$1)&gt;AM$3,AM$3&gt;=$C$1),'General Inputs'!K$9*$F4,0))</f>
        <v>0</v>
      </c>
      <c r="AN4" s="214">
        <f>IF(AND(($D4+$C$1)&gt;AN$3,AN$3&gt;=$C$1),'General Inputs'!L$9*$G4,IF(AND(($C4+$C$1)&gt;AN$3,AN$3&gt;=$C$1),'General Inputs'!L$9*$F4,0))</f>
        <v>0</v>
      </c>
      <c r="AO4" s="214">
        <f>IF(AND(($D4+$C$1)&gt;AO$3,AO$3&gt;=$C$1),'General Inputs'!M$9*$G4,IF(AND(($C4+$C$1)&gt;AO$3,AO$3&gt;=$C$1),'General Inputs'!M$9*$F4,0))</f>
        <v>0</v>
      </c>
      <c r="AP4" s="214">
        <f>IF(AND(($D4+$C$1)&gt;AP$3,AP$3&gt;=$C$1),'General Inputs'!N$9*$G4,IF(AND(($C4+$C$1)&gt;AP$3,AP$3&gt;=$C$1),'General Inputs'!N$9*$F4,0))</f>
        <v>0</v>
      </c>
      <c r="AQ4" s="214">
        <f>IF(AND(($D4+$C$1)&gt;AQ$3,AQ$3&gt;=$C$1),'General Inputs'!O$9*$G4,IF(AND(($C4+$C$1)&gt;AQ$3,AQ$3&gt;=$C$1),'General Inputs'!O$9*$F4,0))</f>
        <v>0</v>
      </c>
      <c r="AR4" s="214">
        <f>IF(AND(($D4+$C$1)&gt;AR$3,AR$3&gt;=$C$1),'General Inputs'!P$9*$G4,IF(AND(($C4+$C$1)&gt;AR$3,AR$3&gt;=$C$1),'General Inputs'!P$9*$F4,0))</f>
        <v>0</v>
      </c>
      <c r="AS4" s="214">
        <f>IF(AND(($D4+$C$1)&gt;AS$3,AS$3&gt;=$C$1),'General Inputs'!Q$9*$G4,IF(AND(($C4+$C$1)&gt;AS$3,AS$3&gt;=$C$1),'General Inputs'!Q$9*$F4,0))</f>
        <v>0</v>
      </c>
      <c r="AT4" s="214">
        <f>IF(AND(($D4+$C$1)&gt;AT$3,AT$3&gt;=$C$1),'General Inputs'!R$9*$G4,IF(AND(($C4+$C$1)&gt;AT$3,AT$3&gt;=$C$1),'General Inputs'!R$9*$F4,0))</f>
        <v>0</v>
      </c>
      <c r="AU4" s="214">
        <f>IF(AND(($D4+$C$1)&gt;AU$3,AU$3&gt;=$C$1),'General Inputs'!S$9*$G4,IF(AND(($C4+$C$1)&gt;AU$3,AU$3&gt;=$C$1),'General Inputs'!S$9*$F4,0))</f>
        <v>0</v>
      </c>
      <c r="AV4" s="214">
        <f>IF(AND(($D4+$C$1)&gt;AV$3,AV$3&gt;=$C$1),'General Inputs'!T$9*$G4,IF(AND(($C4+$C$1)&gt;AV$3,AV$3&gt;=$C$1),'General Inputs'!T$9*$F4,0))</f>
        <v>0</v>
      </c>
      <c r="AW4" s="214">
        <f>IF(AND(($D4+$C$1)&gt;AW$3,AW$3&gt;=$C$1),'General Inputs'!U$9*$G4,IF(AND(($C4+$C$1)&gt;AW$3,AW$3&gt;=$C$1),'General Inputs'!U$9*$F4,0))</f>
        <v>0</v>
      </c>
      <c r="AX4" s="214">
        <f>IF(AND(($D4+$C$1)&gt;AX$3,AX$3&gt;=$C$1),'General Inputs'!V$9*$G4,IF(AND(($C4+$C$1)&gt;AX$3,AX$3&gt;=$C$1),'General Inputs'!V$9*$F4,0))</f>
        <v>0</v>
      </c>
      <c r="AY4" s="214">
        <f>IF(AND(($D4+$C$1)&gt;AY$3,AY$3&gt;=$C$1),'General Inputs'!W$9*$G4,IF(AND(($C4+$C$1)&gt;AY$3,AY$3&gt;=$C$1),'General Inputs'!W$9*$F4,0))</f>
        <v>0</v>
      </c>
      <c r="BA4" s="214">
        <f>IF(AND(($D4+$C$1)&gt;AF$3,AF$3&gt;=$C$1),'General Inputs'!D$10*$I4,IF(AND(($C4+$C$1)&gt;AF$3,AF$3&gt;=$C$1),'General Inputs'!D$10*$H4,0))</f>
        <v>4.3661707625573448E-2</v>
      </c>
      <c r="BB4" s="214">
        <f>IF(AND(($D4+$C$1)&gt;AG$3,AG$3&gt;=$C$1),'General Inputs'!E$10*$I4,IF(AND(($C4+$C$1)&gt;AG$3,AG$3&gt;=$C$1),'General Inputs'!E$10*$H4,0))</f>
        <v>4.4316633239957041E-2</v>
      </c>
      <c r="BC4" s="214">
        <f>IF(AND(($D4+$C$1)&gt;AH$3,AH$3&gt;=$C$1),'General Inputs'!F$10*$I4,IF(AND(($C4+$C$1)&gt;AH$3,AH$3&gt;=$C$1),'General Inputs'!F$10*$H4,0))</f>
        <v>4.4981382738556397E-2</v>
      </c>
      <c r="BD4" s="214">
        <f>IF(AND(($D4+$C$1)&gt;AI$3,AI$3&gt;=$C$1),'General Inputs'!G$10*$I4,IF(AND(($C4+$C$1)&gt;AI$3,AI$3&gt;=$C$1),'General Inputs'!G$10*$H4,0))</f>
        <v>4.5656103479634738E-2</v>
      </c>
      <c r="BE4" s="214">
        <f>IF(AND(($D4+$C$1)&gt;AJ$3,AJ$3&gt;=$C$1),'General Inputs'!H$10*$I4,IF(AND(($C4+$C$1)&gt;AJ$3,AJ$3&gt;=$C$1),'General Inputs'!H$10*$H4,0))</f>
        <v>4.6340945031829256E-2</v>
      </c>
      <c r="BF4" s="214">
        <f>IF(AND(($D4+$C$1)&gt;AK$3,AK$3&gt;=$C$1),'General Inputs'!I$10*$I4,IF(AND(($C4+$C$1)&gt;AK$3,AK$3&gt;=$C$1),'General Inputs'!I$10*$H4,0))</f>
        <v>0</v>
      </c>
      <c r="BG4" s="214">
        <f>IF(AND(($D4+$C$1)&gt;AL$3,AL$3&gt;=$C$1),'General Inputs'!J$10*$I4,IF(AND(($C4+$C$1)&gt;AL$3,AL$3&gt;=$C$1),'General Inputs'!J$10*$H4,0))</f>
        <v>0</v>
      </c>
      <c r="BH4" s="214">
        <f>IF(AND(($D4+$C$1)&gt;AM$3,AM$3&gt;=$C$1),'General Inputs'!K$10*$I4,IF(AND(($C4+$C$1)&gt;AM$3,AM$3&gt;=$C$1),'General Inputs'!K$10*$H4,0))</f>
        <v>0</v>
      </c>
      <c r="BI4" s="214">
        <f>IF(AND(($D4+$C$1)&gt;AN$3,AN$3&gt;=$C$1),'General Inputs'!L$10*$I4,IF(AND(($C4+$C$1)&gt;AN$3,AN$3&gt;=$C$1),'General Inputs'!L$10*$H4,0))</f>
        <v>0</v>
      </c>
      <c r="BJ4" s="214">
        <f>IF(AND(($D4+$C$1)&gt;AO$3,AO$3&gt;=$C$1),'General Inputs'!M$10*$I4,IF(AND(($C4+$C$1)&gt;AO$3,AO$3&gt;=$C$1),'General Inputs'!M$10*$H4,0))</f>
        <v>0</v>
      </c>
      <c r="BK4" s="214">
        <f>IF(AND(($D4+$C$1)&gt;AP$3,AP$3&gt;=$C$1),'General Inputs'!N$10*$I4,IF(AND(($C4+$C$1)&gt;AP$3,AP$3&gt;=$C$1),'General Inputs'!N$10*$H4,0))</f>
        <v>0</v>
      </c>
      <c r="BL4" s="214">
        <f>IF(AND(($D4+$C$1)&gt;AQ$3,AQ$3&gt;=$C$1),'General Inputs'!O$10*$I4,IF(AND(($C4+$C$1)&gt;AQ$3,AQ$3&gt;=$C$1),'General Inputs'!O$10*$H4,0))</f>
        <v>0</v>
      </c>
      <c r="BM4" s="214">
        <f>IF(AND(($D4+$C$1)&gt;AR$3,AR$3&gt;=$C$1),'General Inputs'!P$10*$I4,IF(AND(($C4+$C$1)&gt;AR$3,AR$3&gt;=$C$1),'General Inputs'!P$10*$H4,0))</f>
        <v>0</v>
      </c>
      <c r="BN4" s="214">
        <f>IF(AND(($D4+$C$1)&gt;AS$3,AS$3&gt;=$C$1),'General Inputs'!Q$10*$I4,IF(AND(($C4+$C$1)&gt;AS$3,AS$3&gt;=$C$1),'General Inputs'!Q$10*$H4,0))</f>
        <v>0</v>
      </c>
      <c r="BO4" s="214">
        <f>IF(AND(($D4+$C$1)&gt;AT$3,AT$3&gt;=$C$1),'General Inputs'!R$10*$I4,IF(AND(($C4+$C$1)&gt;AT$3,AT$3&gt;=$C$1),'General Inputs'!R$10*$H4,0))</f>
        <v>0</v>
      </c>
      <c r="BP4" s="214">
        <f>IF(AND(($D4+$C$1)&gt;AU$3,AU$3&gt;=$C$1),'General Inputs'!S$10*$I4,IF(AND(($C4+$C$1)&gt;AU$3,AU$3&gt;=$C$1),'General Inputs'!S$10*$H4,0))</f>
        <v>0</v>
      </c>
      <c r="BQ4" s="214">
        <f>IF(AND(($D4+$C$1)&gt;AV$3,AV$3&gt;=$C$1),'General Inputs'!T$10*$I4,IF(AND(($C4+$C$1)&gt;AV$3,AV$3&gt;=$C$1),'General Inputs'!T$10*$H4,0))</f>
        <v>0</v>
      </c>
      <c r="BR4" s="214">
        <f>IF(AND(($D4+$C$1)&gt;AW$3,AW$3&gt;=$C$1),'General Inputs'!U$10*$I4,IF(AND(($C4+$C$1)&gt;AW$3,AW$3&gt;=$C$1),'General Inputs'!U$10*$H4,0))</f>
        <v>0</v>
      </c>
      <c r="BS4" s="214">
        <f>IF(AND(($D4+$C$1)&gt;AX$3,AX$3&gt;=$C$1),'General Inputs'!V$10*$I4,IF(AND(($C4+$C$1)&gt;AX$3,AX$3&gt;=$C$1),'General Inputs'!V$10*$H4,0))</f>
        <v>0</v>
      </c>
      <c r="BT4" s="214">
        <f>IF(AND(($D4+$C$1)&gt;AY$3,AY$3&gt;=$C$1),'General Inputs'!W$10*$I4,IF(AND(($C4+$C$1)&gt;AY$3,AY$3&gt;=$C$1),'General Inputs'!W$10*$H4,0))</f>
        <v>0</v>
      </c>
    </row>
    <row r="5" spans="1:73">
      <c r="A5" s="342" t="s">
        <v>12</v>
      </c>
      <c r="B5" s="427" t="str">
        <f>Sources!B5</f>
        <v>LED</v>
      </c>
      <c r="C5" s="193">
        <f>Sources!C5</f>
        <v>10</v>
      </c>
      <c r="D5" s="193">
        <f>Sources!D5</f>
        <v>0</v>
      </c>
      <c r="F5" s="429">
        <f>Sources!F5*EnergyLineLoss</f>
        <v>41.561649179999996</v>
      </c>
      <c r="G5" s="429">
        <f>Sources!G5*EnergyLineLoss</f>
        <v>0</v>
      </c>
      <c r="H5" s="477">
        <f>Sources!H5*PeakLineLoss</f>
        <v>3.7758903299999996E-3</v>
      </c>
      <c r="I5" s="477">
        <f>Sources!I5*PeakLineLoss</f>
        <v>0</v>
      </c>
      <c r="K5" s="419">
        <f>Sources!J5</f>
        <v>20</v>
      </c>
      <c r="L5" s="419">
        <f>Sources!K5</f>
        <v>0</v>
      </c>
      <c r="N5" s="438">
        <f t="shared" ref="N5:N48" si="4">IF(R5&gt;0,(P5+Q5)/R5,"n/a")</f>
        <v>0.63755568245460759</v>
      </c>
      <c r="P5" s="215">
        <f t="shared" ref="P5:P48" si="5">AF5+NPV(DiscountRate,AG5:AY5)</f>
        <v>12.32980073130064</v>
      </c>
      <c r="Q5" s="215">
        <f t="shared" si="1"/>
        <v>0.42131291779151153</v>
      </c>
      <c r="R5" s="215">
        <f t="shared" si="2"/>
        <v>20</v>
      </c>
      <c r="T5" s="214">
        <f t="shared" ref="T5:AD29" si="6">IF($C$1=T$3,$K5,IF($D5+$C$1=T$3,-$L5,0))</f>
        <v>20</v>
      </c>
      <c r="U5" s="214">
        <f t="shared" si="6"/>
        <v>0</v>
      </c>
      <c r="V5" s="214">
        <f t="shared" si="6"/>
        <v>0</v>
      </c>
      <c r="W5" s="214">
        <f t="shared" si="6"/>
        <v>0</v>
      </c>
      <c r="X5" s="214">
        <f t="shared" si="6"/>
        <v>0</v>
      </c>
      <c r="Y5" s="214">
        <f t="shared" si="6"/>
        <v>0</v>
      </c>
      <c r="Z5" s="214">
        <f t="shared" si="6"/>
        <v>0</v>
      </c>
      <c r="AA5" s="214">
        <f t="shared" si="6"/>
        <v>0</v>
      </c>
      <c r="AB5" s="214">
        <f t="shared" si="6"/>
        <v>0</v>
      </c>
      <c r="AC5" s="214">
        <f t="shared" si="6"/>
        <v>0</v>
      </c>
      <c r="AD5" s="214">
        <f t="shared" si="6"/>
        <v>0</v>
      </c>
      <c r="AF5" s="214">
        <f>IF(AND(($D5+$C$1)&gt;AF$3,AF$3&gt;=$C$1),'General Inputs'!D$9*$G5,IF(AND(($C5+$C$1)&gt;AF$3,AF$3&gt;=$C$1),'General Inputs'!D$9*$F5,0))</f>
        <v>1.6546635672188819</v>
      </c>
      <c r="AG5" s="214">
        <f>IF(AND(($D5+$C$1)&gt;AG$3,AG$3&gt;=$C$1),'General Inputs'!E$9*$G5,IF(AND(($C5+$C$1)&gt;AG$3,AG$3&gt;=$C$1),'General Inputs'!E$9*$F5,0))</f>
        <v>1.679483520727165</v>
      </c>
      <c r="AH5" s="214">
        <f>IF(AND(($D5+$C$1)&gt;AH$3,AH$3&gt;=$C$1),'General Inputs'!F$9*$G5,IF(AND(($C5+$C$1)&gt;AH$3,AH$3&gt;=$C$1),'General Inputs'!F$9*$F5,0))</f>
        <v>1.7046757735380722</v>
      </c>
      <c r="AI5" s="214">
        <f>IF(AND(($D5+$C$1)&gt;AI$3,AI$3&gt;=$C$1),'General Inputs'!G$9*$G5,IF(AND(($C5+$C$1)&gt;AI$3,AI$3&gt;=$C$1),'General Inputs'!G$9*$F5,0))</f>
        <v>1.7302459101411432</v>
      </c>
      <c r="AJ5" s="214">
        <f>IF(AND(($D5+$C$1)&gt;AJ$3,AJ$3&gt;=$C$1),'General Inputs'!H$9*$G5,IF(AND(($C5+$C$1)&gt;AJ$3,AJ$3&gt;=$C$1),'General Inputs'!H$9*$F5,0))</f>
        <v>1.7561995987932602</v>
      </c>
      <c r="AK5" s="214">
        <f>IF(AND(($D5+$C$1)&gt;AK$3,AK$3&gt;=$C$1),'General Inputs'!I$9*$G5,IF(AND(($C5+$C$1)&gt;AK$3,AK$3&gt;=$C$1),'General Inputs'!I$9*$F5,0))</f>
        <v>1.7825425927751588</v>
      </c>
      <c r="AL5" s="214">
        <f>IF(AND(($D5+$C$1)&gt;AL$3,AL$3&gt;=$C$1),'General Inputs'!J$9*$G5,IF(AND(($C5+$C$1)&gt;AL$3,AL$3&gt;=$C$1),'General Inputs'!J$9*$F5,0))</f>
        <v>1.8092807316667858</v>
      </c>
      <c r="AM5" s="214">
        <f>IF(AND(($D5+$C$1)&gt;AM$3,AM$3&gt;=$C$1),'General Inputs'!K$9*$G5,IF(AND(($C5+$C$1)&gt;AM$3,AM$3&gt;=$C$1),'General Inputs'!K$9*$F5,0))</f>
        <v>1.8364199426417873</v>
      </c>
      <c r="AN5" s="214">
        <f>IF(AND(($D5+$C$1)&gt;AN$3,AN$3&gt;=$C$1),'General Inputs'!L$9*$G5,IF(AND(($C5+$C$1)&gt;AN$3,AN$3&gt;=$C$1),'General Inputs'!L$9*$F5,0))</f>
        <v>1.863966241781414</v>
      </c>
      <c r="AO5" s="214">
        <f>IF(AND(($D5+$C$1)&gt;AO$3,AO$3&gt;=$C$1),'General Inputs'!M$9*$G5,IF(AND(($C5+$C$1)&gt;AO$3,AO$3&gt;=$C$1),'General Inputs'!M$9*$F5,0))</f>
        <v>1.8919257354081349</v>
      </c>
      <c r="AP5" s="214">
        <f>IF(AND(($D5+$C$1)&gt;AP$3,AP$3&gt;=$C$1),'General Inputs'!N$9*$G5,IF(AND(($C5+$C$1)&gt;AP$3,AP$3&gt;=$C$1),'General Inputs'!N$9*$F5,0))</f>
        <v>0</v>
      </c>
      <c r="AQ5" s="214">
        <f>IF(AND(($D5+$C$1)&gt;AQ$3,AQ$3&gt;=$C$1),'General Inputs'!O$9*$G5,IF(AND(($C5+$C$1)&gt;AQ$3,AQ$3&gt;=$C$1),'General Inputs'!O$9*$F5,0))</f>
        <v>0</v>
      </c>
      <c r="AR5" s="214">
        <f>IF(AND(($D5+$C$1)&gt;AR$3,AR$3&gt;=$C$1),'General Inputs'!P$9*$G5,IF(AND(($C5+$C$1)&gt;AR$3,AR$3&gt;=$C$1),'General Inputs'!P$9*$F5,0))</f>
        <v>0</v>
      </c>
      <c r="AS5" s="214">
        <f>IF(AND(($D5+$C$1)&gt;AS$3,AS$3&gt;=$C$1),'General Inputs'!Q$9*$G5,IF(AND(($C5+$C$1)&gt;AS$3,AS$3&gt;=$C$1),'General Inputs'!Q$9*$F5,0))</f>
        <v>0</v>
      </c>
      <c r="AT5" s="214">
        <f>IF(AND(($D5+$C$1)&gt;AT$3,AT$3&gt;=$C$1),'General Inputs'!R$9*$G5,IF(AND(($C5+$C$1)&gt;AT$3,AT$3&gt;=$C$1),'General Inputs'!R$9*$F5,0))</f>
        <v>0</v>
      </c>
      <c r="AU5" s="214">
        <f>IF(AND(($D5+$C$1)&gt;AU$3,AU$3&gt;=$C$1),'General Inputs'!S$9*$G5,IF(AND(($C5+$C$1)&gt;AU$3,AU$3&gt;=$C$1),'General Inputs'!S$9*$F5,0))</f>
        <v>0</v>
      </c>
      <c r="AV5" s="214">
        <f>IF(AND(($D5+$C$1)&gt;AV$3,AV$3&gt;=$C$1),'General Inputs'!T$9*$G5,IF(AND(($C5+$C$1)&gt;AV$3,AV$3&gt;=$C$1),'General Inputs'!T$9*$F5,0))</f>
        <v>0</v>
      </c>
      <c r="AW5" s="214">
        <f>IF(AND(($D5+$C$1)&gt;AW$3,AW$3&gt;=$C$1),'General Inputs'!U$9*$G5,IF(AND(($C5+$C$1)&gt;AW$3,AW$3&gt;=$C$1),'General Inputs'!U$9*$F5,0))</f>
        <v>0</v>
      </c>
      <c r="AX5" s="214">
        <f>IF(AND(($D5+$C$1)&gt;AX$3,AX$3&gt;=$C$1),'General Inputs'!V$9*$G5,IF(AND(($C5+$C$1)&gt;AX$3,AX$3&gt;=$C$1),'General Inputs'!V$9*$F5,0))</f>
        <v>0</v>
      </c>
      <c r="AY5" s="214">
        <f>IF(AND(($D5+$C$1)&gt;AY$3,AY$3&gt;=$C$1),'General Inputs'!W$9*$G5,IF(AND(($C5+$C$1)&gt;AY$3,AY$3&gt;=$C$1),'General Inputs'!W$9*$F5,0))</f>
        <v>0</v>
      </c>
      <c r="BA5" s="214">
        <f>IF(AND(($D5+$C$1)&gt;AF$3,AF$3&gt;=$C$1),'General Inputs'!D$10*$I5,IF(AND(($C5+$C$1)&gt;AF$3,AF$3&gt;=$C$1),'General Inputs'!D$10*$H5,0))</f>
        <v>5.654034081009511E-2</v>
      </c>
      <c r="BB5" s="214">
        <f>IF(AND(($D5+$C$1)&gt;AG$3,AG$3&gt;=$C$1),'General Inputs'!E$10*$I5,IF(AND(($C5+$C$1)&gt;AG$3,AG$3&gt;=$C$1),'General Inputs'!E$10*$H5,0))</f>
        <v>5.7388445922246532E-2</v>
      </c>
      <c r="BC5" s="214">
        <f>IF(AND(($D5+$C$1)&gt;AH$3,AH$3&gt;=$C$1),'General Inputs'!F$10*$I5,IF(AND(($C5+$C$1)&gt;AH$3,AH$3&gt;=$C$1),'General Inputs'!F$10*$H5,0))</f>
        <v>5.8249272611080226E-2</v>
      </c>
      <c r="BD5" s="214">
        <f>IF(AND(($D5+$C$1)&gt;AI$3,AI$3&gt;=$C$1),'General Inputs'!G$10*$I5,IF(AND(($C5+$C$1)&gt;AI$3,AI$3&gt;=$C$1),'General Inputs'!G$10*$H5,0))</f>
        <v>5.9123011700246426E-2</v>
      </c>
      <c r="BE5" s="214">
        <f>IF(AND(($D5+$C$1)&gt;AJ$3,AJ$3&gt;=$C$1),'General Inputs'!H$10*$I5,IF(AND(($C5+$C$1)&gt;AJ$3,AJ$3&gt;=$C$1),'General Inputs'!H$10*$H5,0))</f>
        <v>6.0009856875750112E-2</v>
      </c>
      <c r="BF5" s="214">
        <f>IF(AND(($D5+$C$1)&gt;AK$3,AK$3&gt;=$C$1),'General Inputs'!I$10*$I5,IF(AND(($C5+$C$1)&gt;AK$3,AK$3&gt;=$C$1),'General Inputs'!I$10*$H5,0))</f>
        <v>6.0910004728886358E-2</v>
      </c>
      <c r="BG5" s="214">
        <f>IF(AND(($D5+$C$1)&gt;AL$3,AL$3&gt;=$C$1),'General Inputs'!J$10*$I5,IF(AND(($C5+$C$1)&gt;AL$3,AL$3&gt;=$C$1),'General Inputs'!J$10*$H5,0))</f>
        <v>6.182365479981964E-2</v>
      </c>
      <c r="BH5" s="214">
        <f>IF(AND(($D5+$C$1)&gt;AM$3,AM$3&gt;=$C$1),'General Inputs'!K$10*$I5,IF(AND(($C5+$C$1)&gt;AM$3,AM$3&gt;=$C$1),'General Inputs'!K$10*$H5,0))</f>
        <v>6.2751009621816928E-2</v>
      </c>
      <c r="BI5" s="214">
        <f>IF(AND(($D5+$C$1)&gt;AN$3,AN$3&gt;=$C$1),'General Inputs'!L$10*$I5,IF(AND(($C5+$C$1)&gt;AN$3,AN$3&gt;=$C$1),'General Inputs'!L$10*$H5,0))</f>
        <v>6.3692274766144183E-2</v>
      </c>
      <c r="BJ5" s="214">
        <f>IF(AND(($D5+$C$1)&gt;AO$3,AO$3&gt;=$C$1),'General Inputs'!M$10*$I5,IF(AND(($C5+$C$1)&gt;AO$3,AO$3&gt;=$C$1),'General Inputs'!M$10*$H5,0))</f>
        <v>6.464765888763635E-2</v>
      </c>
      <c r="BK5" s="214">
        <f>IF(AND(($D5+$C$1)&gt;AP$3,AP$3&gt;=$C$1),'General Inputs'!N$10*$I5,IF(AND(($C5+$C$1)&gt;AP$3,AP$3&gt;=$C$1),'General Inputs'!N$10*$H5,0))</f>
        <v>0</v>
      </c>
      <c r="BL5" s="214">
        <f>IF(AND(($D5+$C$1)&gt;AQ$3,AQ$3&gt;=$C$1),'General Inputs'!O$10*$I5,IF(AND(($C5+$C$1)&gt;AQ$3,AQ$3&gt;=$C$1),'General Inputs'!O$10*$H5,0))</f>
        <v>0</v>
      </c>
      <c r="BM5" s="214">
        <f>IF(AND(($D5+$C$1)&gt;AR$3,AR$3&gt;=$C$1),'General Inputs'!P$10*$I5,IF(AND(($C5+$C$1)&gt;AR$3,AR$3&gt;=$C$1),'General Inputs'!P$10*$H5,0))</f>
        <v>0</v>
      </c>
      <c r="BN5" s="214">
        <f>IF(AND(($D5+$C$1)&gt;AS$3,AS$3&gt;=$C$1),'General Inputs'!Q$10*$I5,IF(AND(($C5+$C$1)&gt;AS$3,AS$3&gt;=$C$1),'General Inputs'!Q$10*$H5,0))</f>
        <v>0</v>
      </c>
      <c r="BO5" s="214">
        <f>IF(AND(($D5+$C$1)&gt;AT$3,AT$3&gt;=$C$1),'General Inputs'!R$10*$I5,IF(AND(($C5+$C$1)&gt;AT$3,AT$3&gt;=$C$1),'General Inputs'!R$10*$H5,0))</f>
        <v>0</v>
      </c>
      <c r="BP5" s="214">
        <f>IF(AND(($D5+$C$1)&gt;AU$3,AU$3&gt;=$C$1),'General Inputs'!S$10*$I5,IF(AND(($C5+$C$1)&gt;AU$3,AU$3&gt;=$C$1),'General Inputs'!S$10*$H5,0))</f>
        <v>0</v>
      </c>
      <c r="BQ5" s="214">
        <f>IF(AND(($D5+$C$1)&gt;AV$3,AV$3&gt;=$C$1),'General Inputs'!T$10*$I5,IF(AND(($C5+$C$1)&gt;AV$3,AV$3&gt;=$C$1),'General Inputs'!T$10*$H5,0))</f>
        <v>0</v>
      </c>
      <c r="BR5" s="214">
        <f>IF(AND(($D5+$C$1)&gt;AW$3,AW$3&gt;=$C$1),'General Inputs'!U$10*$I5,IF(AND(($C5+$C$1)&gt;AW$3,AW$3&gt;=$C$1),'General Inputs'!U$10*$H5,0))</f>
        <v>0</v>
      </c>
      <c r="BS5" s="214">
        <f>IF(AND(($D5+$C$1)&gt;AX$3,AX$3&gt;=$C$1),'General Inputs'!V$10*$I5,IF(AND(($C5+$C$1)&gt;AX$3,AX$3&gt;=$C$1),'General Inputs'!V$10*$H5,0))</f>
        <v>0</v>
      </c>
      <c r="BT5" s="214">
        <f>IF(AND(($D5+$C$1)&gt;AY$3,AY$3&gt;=$C$1),'General Inputs'!W$10*$I5,IF(AND(($C5+$C$1)&gt;AY$3,AY$3&gt;=$C$1),'General Inputs'!W$10*$H5,0))</f>
        <v>0</v>
      </c>
    </row>
    <row r="6" spans="1:73">
      <c r="A6" s="342" t="s">
        <v>12</v>
      </c>
      <c r="B6" s="427" t="str">
        <f>Sources!B6</f>
        <v>ENERGY STAR Fixture</v>
      </c>
      <c r="C6" s="193">
        <f>Sources!C6</f>
        <v>8</v>
      </c>
      <c r="D6" s="193">
        <f>Sources!D6</f>
        <v>0</v>
      </c>
      <c r="F6" s="429">
        <f>Sources!F6*EnergyLineLoss</f>
        <v>90.28411874999999</v>
      </c>
      <c r="G6" s="429">
        <f>Sources!G6*EnergyLineLoss</f>
        <v>0</v>
      </c>
      <c r="H6" s="477">
        <f>Sources!H6*PeakLineLoss</f>
        <v>1.9788299999999999E-4</v>
      </c>
      <c r="I6" s="477">
        <f>Sources!I6*PeakLineLoss</f>
        <v>0</v>
      </c>
      <c r="K6" s="419">
        <f>Sources!J6</f>
        <v>17</v>
      </c>
      <c r="L6" s="419">
        <f>Sources!K6</f>
        <v>0</v>
      </c>
      <c r="N6" s="438">
        <f t="shared" si="4"/>
        <v>1.3428928141197003</v>
      </c>
      <c r="P6" s="215">
        <f t="shared" si="5"/>
        <v>22.810373779435142</v>
      </c>
      <c r="Q6" s="215">
        <f t="shared" si="1"/>
        <v>1.8804060599763452E-2</v>
      </c>
      <c r="R6" s="215">
        <f t="shared" si="2"/>
        <v>17</v>
      </c>
      <c r="T6" s="214">
        <f t="shared" si="6"/>
        <v>17</v>
      </c>
      <c r="U6" s="214">
        <f t="shared" si="6"/>
        <v>0</v>
      </c>
      <c r="V6" s="214">
        <f t="shared" si="6"/>
        <v>0</v>
      </c>
      <c r="W6" s="214">
        <f t="shared" si="6"/>
        <v>0</v>
      </c>
      <c r="X6" s="214">
        <f t="shared" si="6"/>
        <v>0</v>
      </c>
      <c r="Y6" s="214">
        <f t="shared" si="6"/>
        <v>0</v>
      </c>
      <c r="Z6" s="214">
        <f t="shared" si="6"/>
        <v>0</v>
      </c>
      <c r="AA6" s="214">
        <f t="shared" si="6"/>
        <v>0</v>
      </c>
      <c r="AB6" s="214">
        <f t="shared" si="6"/>
        <v>0</v>
      </c>
      <c r="AC6" s="214">
        <f t="shared" si="6"/>
        <v>0</v>
      </c>
      <c r="AD6" s="214">
        <f t="shared" si="6"/>
        <v>0</v>
      </c>
      <c r="AF6" s="214">
        <f>IF(AND(($D6+$C$1)&gt;AF$3,AF$3&gt;=$C$1),'General Inputs'!D$9*$G6,IF(AND(($C6+$C$1)&gt;AF$3,AF$3&gt;=$C$1),'General Inputs'!D$9*$F6,0))</f>
        <v>3.5944156437848105</v>
      </c>
      <c r="AG6" s="214">
        <f>IF(AND(($D6+$C$1)&gt;AG$3,AG$3&gt;=$C$1),'General Inputs'!E$9*$G6,IF(AND(($C6+$C$1)&gt;AG$3,AG$3&gt;=$C$1),'General Inputs'!E$9*$F6,0))</f>
        <v>3.6483318784415824</v>
      </c>
      <c r="AH6" s="214">
        <f>IF(AND(($D6+$C$1)&gt;AH$3,AH$3&gt;=$C$1),'General Inputs'!F$9*$G6,IF(AND(($C6+$C$1)&gt;AH$3,AH$3&gt;=$C$1),'General Inputs'!F$9*$F6,0))</f>
        <v>3.7030568566182054</v>
      </c>
      <c r="AI6" s="214">
        <f>IF(AND(($D6+$C$1)&gt;AI$3,AI$3&gt;=$C$1),'General Inputs'!G$9*$G6,IF(AND(($C6+$C$1)&gt;AI$3,AI$3&gt;=$C$1),'General Inputs'!G$9*$F6,0))</f>
        <v>3.7586027094674783</v>
      </c>
      <c r="AJ6" s="214">
        <f>IF(AND(($D6+$C$1)&gt;AJ$3,AJ$3&gt;=$C$1),'General Inputs'!H$9*$G6,IF(AND(($C6+$C$1)&gt;AJ$3,AJ$3&gt;=$C$1),'General Inputs'!H$9*$F6,0))</f>
        <v>3.81498175010949</v>
      </c>
      <c r="AK6" s="214">
        <f>IF(AND(($D6+$C$1)&gt;AK$3,AK$3&gt;=$C$1),'General Inputs'!I$9*$G6,IF(AND(($C6+$C$1)&gt;AK$3,AK$3&gt;=$C$1),'General Inputs'!I$9*$F6,0))</f>
        <v>3.8722064763611317</v>
      </c>
      <c r="AL6" s="214">
        <f>IF(AND(($D6+$C$1)&gt;AL$3,AL$3&gt;=$C$1),'General Inputs'!J$9*$G6,IF(AND(($C6+$C$1)&gt;AL$3,AL$3&gt;=$C$1),'General Inputs'!J$9*$F6,0))</f>
        <v>3.9302895735065482</v>
      </c>
      <c r="AM6" s="214">
        <f>IF(AND(($D6+$C$1)&gt;AM$3,AM$3&gt;=$C$1),'General Inputs'!K$9*$G6,IF(AND(($C6+$C$1)&gt;AM$3,AM$3&gt;=$C$1),'General Inputs'!K$9*$F6,0))</f>
        <v>3.9892439171091456</v>
      </c>
      <c r="AN6" s="214">
        <f>IF(AND(($D6+$C$1)&gt;AN$3,AN$3&gt;=$C$1),'General Inputs'!L$9*$G6,IF(AND(($C6+$C$1)&gt;AN$3,AN$3&gt;=$C$1),'General Inputs'!L$9*$F6,0))</f>
        <v>0</v>
      </c>
      <c r="AO6" s="214">
        <f>IF(AND(($D6+$C$1)&gt;AO$3,AO$3&gt;=$C$1),'General Inputs'!M$9*$G6,IF(AND(($C6+$C$1)&gt;AO$3,AO$3&gt;=$C$1),'General Inputs'!M$9*$F6,0))</f>
        <v>0</v>
      </c>
      <c r="AP6" s="214">
        <f>IF(AND(($D6+$C$1)&gt;AP$3,AP$3&gt;=$C$1),'General Inputs'!N$9*$G6,IF(AND(($C6+$C$1)&gt;AP$3,AP$3&gt;=$C$1),'General Inputs'!N$9*$F6,0))</f>
        <v>0</v>
      </c>
      <c r="AQ6" s="214">
        <f>IF(AND(($D6+$C$1)&gt;AQ$3,AQ$3&gt;=$C$1),'General Inputs'!O$9*$G6,IF(AND(($C6+$C$1)&gt;AQ$3,AQ$3&gt;=$C$1),'General Inputs'!O$9*$F6,0))</f>
        <v>0</v>
      </c>
      <c r="AR6" s="214">
        <f>IF(AND(($D6+$C$1)&gt;AR$3,AR$3&gt;=$C$1),'General Inputs'!P$9*$G6,IF(AND(($C6+$C$1)&gt;AR$3,AR$3&gt;=$C$1),'General Inputs'!P$9*$F6,0))</f>
        <v>0</v>
      </c>
      <c r="AS6" s="214">
        <f>IF(AND(($D6+$C$1)&gt;AS$3,AS$3&gt;=$C$1),'General Inputs'!Q$9*$G6,IF(AND(($C6+$C$1)&gt;AS$3,AS$3&gt;=$C$1),'General Inputs'!Q$9*$F6,0))</f>
        <v>0</v>
      </c>
      <c r="AT6" s="214">
        <f>IF(AND(($D6+$C$1)&gt;AT$3,AT$3&gt;=$C$1),'General Inputs'!R$9*$G6,IF(AND(($C6+$C$1)&gt;AT$3,AT$3&gt;=$C$1),'General Inputs'!R$9*$F6,0))</f>
        <v>0</v>
      </c>
      <c r="AU6" s="214">
        <f>IF(AND(($D6+$C$1)&gt;AU$3,AU$3&gt;=$C$1),'General Inputs'!S$9*$G6,IF(AND(($C6+$C$1)&gt;AU$3,AU$3&gt;=$C$1),'General Inputs'!S$9*$F6,0))</f>
        <v>0</v>
      </c>
      <c r="AV6" s="214">
        <f>IF(AND(($D6+$C$1)&gt;AV$3,AV$3&gt;=$C$1),'General Inputs'!T$9*$G6,IF(AND(($C6+$C$1)&gt;AV$3,AV$3&gt;=$C$1),'General Inputs'!T$9*$F6,0))</f>
        <v>0</v>
      </c>
      <c r="AW6" s="214">
        <f>IF(AND(($D6+$C$1)&gt;AW$3,AW$3&gt;=$C$1),'General Inputs'!U$9*$G6,IF(AND(($C6+$C$1)&gt;AW$3,AW$3&gt;=$C$1),'General Inputs'!U$9*$F6,0))</f>
        <v>0</v>
      </c>
      <c r="AX6" s="214">
        <f>IF(AND(($D6+$C$1)&gt;AX$3,AX$3&gt;=$C$1),'General Inputs'!V$9*$G6,IF(AND(($C6+$C$1)&gt;AX$3,AX$3&gt;=$C$1),'General Inputs'!V$9*$F6,0))</f>
        <v>0</v>
      </c>
      <c r="AY6" s="214">
        <f>IF(AND(($D6+$C$1)&gt;AY$3,AY$3&gt;=$C$1),'General Inputs'!W$9*$G6,IF(AND(($C6+$C$1)&gt;AY$3,AY$3&gt;=$C$1),'General Inputs'!W$9*$F6,0))</f>
        <v>0</v>
      </c>
      <c r="BA6" s="214">
        <f>IF(AND(($D6+$C$1)&gt;AF$3,AF$3&gt;=$C$1),'General Inputs'!D$10*$I6,IF(AND(($C6+$C$1)&gt;AF$3,AF$3&gt;=$C$1),'General Inputs'!D$10*$H6,0))</f>
        <v>2.9631083751640772E-3</v>
      </c>
      <c r="BB6" s="214">
        <f>IF(AND(($D6+$C$1)&gt;AG$3,AG$3&gt;=$C$1),'General Inputs'!E$10*$I6,IF(AND(($C6+$C$1)&gt;AG$3,AG$3&gt;=$C$1),'General Inputs'!E$10*$H6,0))</f>
        <v>3.0075550007915381E-3</v>
      </c>
      <c r="BC6" s="214">
        <f>IF(AND(($D6+$C$1)&gt;AH$3,AH$3&gt;=$C$1),'General Inputs'!F$10*$I6,IF(AND(($C6+$C$1)&gt;AH$3,AH$3&gt;=$C$1),'General Inputs'!F$10*$H6,0))</f>
        <v>3.0526683258034109E-3</v>
      </c>
      <c r="BD6" s="214">
        <f>IF(AND(($D6+$C$1)&gt;AI$3,AI$3&gt;=$C$1),'General Inputs'!G$10*$I6,IF(AND(($C6+$C$1)&gt;AI$3,AI$3&gt;=$C$1),'General Inputs'!G$10*$H6,0))</f>
        <v>3.098458350690462E-3</v>
      </c>
      <c r="BE6" s="214">
        <f>IF(AND(($D6+$C$1)&gt;AJ$3,AJ$3&gt;=$C$1),'General Inputs'!H$10*$I6,IF(AND(($C6+$C$1)&gt;AJ$3,AJ$3&gt;=$C$1),'General Inputs'!H$10*$H6,0))</f>
        <v>3.1449352259508186E-3</v>
      </c>
      <c r="BF6" s="214">
        <f>IF(AND(($D6+$C$1)&gt;AK$3,AK$3&gt;=$C$1),'General Inputs'!I$10*$I6,IF(AND(($C6+$C$1)&gt;AK$3,AK$3&gt;=$C$1),'General Inputs'!I$10*$H6,0))</f>
        <v>3.1921092543400801E-3</v>
      </c>
      <c r="BG6" s="214">
        <f>IF(AND(($D6+$C$1)&gt;AL$3,AL$3&gt;=$C$1),'General Inputs'!J$10*$I6,IF(AND(($C6+$C$1)&gt;AL$3,AL$3&gt;=$C$1),'General Inputs'!J$10*$H6,0))</f>
        <v>3.2399908931551808E-3</v>
      </c>
      <c r="BH6" s="214">
        <f>IF(AND(($D6+$C$1)&gt;AM$3,AM$3&gt;=$C$1),'General Inputs'!K$10*$I6,IF(AND(($C6+$C$1)&gt;AM$3,AM$3&gt;=$C$1),'General Inputs'!K$10*$H6,0))</f>
        <v>3.2885907565525087E-3</v>
      </c>
      <c r="BI6" s="214">
        <f>IF(AND(($D6+$C$1)&gt;AN$3,AN$3&gt;=$C$1),'General Inputs'!L$10*$I6,IF(AND(($C6+$C$1)&gt;AN$3,AN$3&gt;=$C$1),'General Inputs'!L$10*$H6,0))</f>
        <v>0</v>
      </c>
      <c r="BJ6" s="214">
        <f>IF(AND(($D6+$C$1)&gt;AO$3,AO$3&gt;=$C$1),'General Inputs'!M$10*$I6,IF(AND(($C6+$C$1)&gt;AO$3,AO$3&gt;=$C$1),'General Inputs'!M$10*$H6,0))</f>
        <v>0</v>
      </c>
      <c r="BK6" s="214">
        <f>IF(AND(($D6+$C$1)&gt;AP$3,AP$3&gt;=$C$1),'General Inputs'!N$10*$I6,IF(AND(($C6+$C$1)&gt;AP$3,AP$3&gt;=$C$1),'General Inputs'!N$10*$H6,0))</f>
        <v>0</v>
      </c>
      <c r="BL6" s="214">
        <f>IF(AND(($D6+$C$1)&gt;AQ$3,AQ$3&gt;=$C$1),'General Inputs'!O$10*$I6,IF(AND(($C6+$C$1)&gt;AQ$3,AQ$3&gt;=$C$1),'General Inputs'!O$10*$H6,0))</f>
        <v>0</v>
      </c>
      <c r="BM6" s="214">
        <f>IF(AND(($D6+$C$1)&gt;AR$3,AR$3&gt;=$C$1),'General Inputs'!P$10*$I6,IF(AND(($C6+$C$1)&gt;AR$3,AR$3&gt;=$C$1),'General Inputs'!P$10*$H6,0))</f>
        <v>0</v>
      </c>
      <c r="BN6" s="214">
        <f>IF(AND(($D6+$C$1)&gt;AS$3,AS$3&gt;=$C$1),'General Inputs'!Q$10*$I6,IF(AND(($C6+$C$1)&gt;AS$3,AS$3&gt;=$C$1),'General Inputs'!Q$10*$H6,0))</f>
        <v>0</v>
      </c>
      <c r="BO6" s="214">
        <f>IF(AND(($D6+$C$1)&gt;AT$3,AT$3&gt;=$C$1),'General Inputs'!R$10*$I6,IF(AND(($C6+$C$1)&gt;AT$3,AT$3&gt;=$C$1),'General Inputs'!R$10*$H6,0))</f>
        <v>0</v>
      </c>
      <c r="BP6" s="214">
        <f>IF(AND(($D6+$C$1)&gt;AU$3,AU$3&gt;=$C$1),'General Inputs'!S$10*$I6,IF(AND(($C6+$C$1)&gt;AU$3,AU$3&gt;=$C$1),'General Inputs'!S$10*$H6,0))</f>
        <v>0</v>
      </c>
      <c r="BQ6" s="214">
        <f>IF(AND(($D6+$C$1)&gt;AV$3,AV$3&gt;=$C$1),'General Inputs'!T$10*$I6,IF(AND(($C6+$C$1)&gt;AV$3,AV$3&gt;=$C$1),'General Inputs'!T$10*$H6,0))</f>
        <v>0</v>
      </c>
      <c r="BR6" s="214">
        <f>IF(AND(($D6+$C$1)&gt;AW$3,AW$3&gt;=$C$1),'General Inputs'!U$10*$I6,IF(AND(($C6+$C$1)&gt;AW$3,AW$3&gt;=$C$1),'General Inputs'!U$10*$H6,0))</f>
        <v>0</v>
      </c>
      <c r="BS6" s="214">
        <f>IF(AND(($D6+$C$1)&gt;AX$3,AX$3&gt;=$C$1),'General Inputs'!V$10*$I6,IF(AND(($C6+$C$1)&gt;AX$3,AX$3&gt;=$C$1),'General Inputs'!V$10*$H6,0))</f>
        <v>0</v>
      </c>
      <c r="BT6" s="214">
        <f>IF(AND(($D6+$C$1)&gt;AY$3,AY$3&gt;=$C$1),'General Inputs'!W$10*$I6,IF(AND(($C6+$C$1)&gt;AY$3,AY$3&gt;=$C$1),'General Inputs'!W$10*$H6,0))</f>
        <v>0</v>
      </c>
    </row>
    <row r="7" spans="1:73">
      <c r="A7" s="341" t="s">
        <v>12</v>
      </c>
      <c r="B7" s="427" t="str">
        <f>Sources!B7</f>
        <v>ENERGY STAR Dehumidifier</v>
      </c>
      <c r="C7" s="193">
        <f>Sources!C7</f>
        <v>12</v>
      </c>
      <c r="D7" s="193">
        <f>Sources!D7</f>
        <v>0</v>
      </c>
      <c r="F7" s="429">
        <f>Sources!F7*EnergyLineLoss</f>
        <v>168.64623243243258</v>
      </c>
      <c r="G7" s="429">
        <f>Sources!G7*EnergyLineLoss</f>
        <v>0</v>
      </c>
      <c r="H7" s="477">
        <f>Sources!H7*PeakLineLoss</f>
        <v>3.8517966666666695E-2</v>
      </c>
      <c r="I7" s="477">
        <f>Sources!I7*PeakLineLoss</f>
        <v>0</v>
      </c>
      <c r="K7" s="419">
        <f>Sources!J7</f>
        <v>45</v>
      </c>
      <c r="L7" s="419">
        <f>Sources!K7</f>
        <v>0</v>
      </c>
      <c r="N7" s="438">
        <f t="shared" si="4"/>
        <v>1.3630779687860037</v>
      </c>
      <c r="P7" s="215">
        <f t="shared" si="5"/>
        <v>56.486171463609665</v>
      </c>
      <c r="Q7" s="215">
        <f t="shared" si="1"/>
        <v>4.8523371317605086</v>
      </c>
      <c r="R7" s="215">
        <f t="shared" si="2"/>
        <v>45</v>
      </c>
      <c r="T7" s="214">
        <f t="shared" si="6"/>
        <v>45</v>
      </c>
      <c r="U7" s="214">
        <f t="shared" si="6"/>
        <v>0</v>
      </c>
      <c r="V7" s="214">
        <f t="shared" si="6"/>
        <v>0</v>
      </c>
      <c r="W7" s="214">
        <f t="shared" si="6"/>
        <v>0</v>
      </c>
      <c r="X7" s="214">
        <f t="shared" si="6"/>
        <v>0</v>
      </c>
      <c r="Y7" s="214">
        <f t="shared" si="6"/>
        <v>0</v>
      </c>
      <c r="Z7" s="214">
        <f t="shared" si="6"/>
        <v>0</v>
      </c>
      <c r="AA7" s="214">
        <f t="shared" si="6"/>
        <v>0</v>
      </c>
      <c r="AB7" s="214">
        <f t="shared" si="6"/>
        <v>0</v>
      </c>
      <c r="AC7" s="214">
        <f t="shared" si="6"/>
        <v>0</v>
      </c>
      <c r="AD7" s="214">
        <f t="shared" si="6"/>
        <v>0</v>
      </c>
      <c r="AF7" s="214">
        <f>IF(AND(($D7+$C$1)&gt;AF$3,AF$3&gt;=$C$1),'General Inputs'!D$9*$G7,IF(AND(($C7+$C$1)&gt;AF$3,AF$3&gt;=$C$1),'General Inputs'!D$9*$F7,0))</f>
        <v>6.7141892119371773</v>
      </c>
      <c r="AG7" s="214">
        <f>IF(AND(($D7+$C$1)&gt;AG$3,AG$3&gt;=$C$1),'General Inputs'!E$9*$G7,IF(AND(($C7+$C$1)&gt;AG$3,AG$3&gt;=$C$1),'General Inputs'!E$9*$F7,0))</f>
        <v>6.8149020501162338</v>
      </c>
      <c r="AH7" s="214">
        <f>IF(AND(($D7+$C$1)&gt;AH$3,AH$3&gt;=$C$1),'General Inputs'!F$9*$G7,IF(AND(($C7+$C$1)&gt;AH$3,AH$3&gt;=$C$1),'General Inputs'!F$9*$F7,0))</f>
        <v>6.9171255808679772</v>
      </c>
      <c r="AI7" s="214">
        <f>IF(AND(($D7+$C$1)&gt;AI$3,AI$3&gt;=$C$1),'General Inputs'!G$9*$G7,IF(AND(($C7+$C$1)&gt;AI$3,AI$3&gt;=$C$1),'General Inputs'!G$9*$F7,0))</f>
        <v>7.0208824645809962</v>
      </c>
      <c r="AJ7" s="214">
        <f>IF(AND(($D7+$C$1)&gt;AJ$3,AJ$3&gt;=$C$1),'General Inputs'!H$9*$G7,IF(AND(($C7+$C$1)&gt;AJ$3,AJ$3&gt;=$C$1),'General Inputs'!H$9*$F7,0))</f>
        <v>7.1261957015497099</v>
      </c>
      <c r="AK7" s="214">
        <f>IF(AND(($D7+$C$1)&gt;AK$3,AK$3&gt;=$C$1),'General Inputs'!I$9*$G7,IF(AND(($C7+$C$1)&gt;AK$3,AK$3&gt;=$C$1),'General Inputs'!I$9*$F7,0))</f>
        <v>7.2330886370729548</v>
      </c>
      <c r="AL7" s="214">
        <f>IF(AND(($D7+$C$1)&gt;AL$3,AL$3&gt;=$C$1),'General Inputs'!J$9*$G7,IF(AND(($C7+$C$1)&gt;AL$3,AL$3&gt;=$C$1),'General Inputs'!J$9*$F7,0))</f>
        <v>7.341584966629048</v>
      </c>
      <c r="AM7" s="214">
        <f>IF(AND(($D7+$C$1)&gt;AM$3,AM$3&gt;=$C$1),'General Inputs'!K$9*$G7,IF(AND(($C7+$C$1)&gt;AM$3,AM$3&gt;=$C$1),'General Inputs'!K$9*$F7,0))</f>
        <v>7.4517087411284821</v>
      </c>
      <c r="AN7" s="214">
        <f>IF(AND(($D7+$C$1)&gt;AN$3,AN$3&gt;=$C$1),'General Inputs'!L$9*$G7,IF(AND(($C7+$C$1)&gt;AN$3,AN$3&gt;=$C$1),'General Inputs'!L$9*$F7,0))</f>
        <v>7.5634843722454086</v>
      </c>
      <c r="AO7" s="214">
        <f>IF(AND(($D7+$C$1)&gt;AO$3,AO$3&gt;=$C$1),'General Inputs'!M$9*$G7,IF(AND(($C7+$C$1)&gt;AO$3,AO$3&gt;=$C$1),'General Inputs'!M$9*$F7,0))</f>
        <v>7.6769366378290886</v>
      </c>
      <c r="AP7" s="214">
        <f>IF(AND(($D7+$C$1)&gt;AP$3,AP$3&gt;=$C$1),'General Inputs'!N$9*$G7,IF(AND(($C7+$C$1)&gt;AP$3,AP$3&gt;=$C$1),'General Inputs'!N$9*$F7,0))</f>
        <v>7.7920906873965246</v>
      </c>
      <c r="AQ7" s="214">
        <f>IF(AND(($D7+$C$1)&gt;AQ$3,AQ$3&gt;=$C$1),'General Inputs'!O$9*$G7,IF(AND(($C7+$C$1)&gt;AQ$3,AQ$3&gt;=$C$1),'General Inputs'!O$9*$F7,0))</f>
        <v>7.9089720477074712</v>
      </c>
      <c r="AR7" s="214">
        <f>IF(AND(($D7+$C$1)&gt;AR$3,AR$3&gt;=$C$1),'General Inputs'!P$9*$G7,IF(AND(($C7+$C$1)&gt;AR$3,AR$3&gt;=$C$1),'General Inputs'!P$9*$F7,0))</f>
        <v>0</v>
      </c>
      <c r="AS7" s="214">
        <f>IF(AND(($D7+$C$1)&gt;AS$3,AS$3&gt;=$C$1),'General Inputs'!Q$9*$G7,IF(AND(($C7+$C$1)&gt;AS$3,AS$3&gt;=$C$1),'General Inputs'!Q$9*$F7,0))</f>
        <v>0</v>
      </c>
      <c r="AT7" s="214">
        <f>IF(AND(($D7+$C$1)&gt;AT$3,AT$3&gt;=$C$1),'General Inputs'!R$9*$G7,IF(AND(($C7+$C$1)&gt;AT$3,AT$3&gt;=$C$1),'General Inputs'!R$9*$F7,0))</f>
        <v>0</v>
      </c>
      <c r="AU7" s="214">
        <f>IF(AND(($D7+$C$1)&gt;AU$3,AU$3&gt;=$C$1),'General Inputs'!S$9*$G7,IF(AND(($C7+$C$1)&gt;AU$3,AU$3&gt;=$C$1),'General Inputs'!S$9*$F7,0))</f>
        <v>0</v>
      </c>
      <c r="AV7" s="214">
        <f>IF(AND(($D7+$C$1)&gt;AV$3,AV$3&gt;=$C$1),'General Inputs'!T$9*$G7,IF(AND(($C7+$C$1)&gt;AV$3,AV$3&gt;=$C$1),'General Inputs'!T$9*$F7,0))</f>
        <v>0</v>
      </c>
      <c r="AW7" s="214">
        <f>IF(AND(($D7+$C$1)&gt;AW$3,AW$3&gt;=$C$1),'General Inputs'!U$9*$G7,IF(AND(($C7+$C$1)&gt;AW$3,AW$3&gt;=$C$1),'General Inputs'!U$9*$F7,0))</f>
        <v>0</v>
      </c>
      <c r="AX7" s="214">
        <f>IF(AND(($D7+$C$1)&gt;AX$3,AX$3&gt;=$C$1),'General Inputs'!V$9*$G7,IF(AND(($C7+$C$1)&gt;AX$3,AX$3&gt;=$C$1),'General Inputs'!V$9*$F7,0))</f>
        <v>0</v>
      </c>
      <c r="AY7" s="214">
        <f>IF(AND(($D7+$C$1)&gt;AY$3,AY$3&gt;=$C$1),'General Inputs'!W$9*$G7,IF(AND(($C7+$C$1)&gt;AY$3,AY$3&gt;=$C$1),'General Inputs'!W$9*$F7,0))</f>
        <v>0</v>
      </c>
      <c r="BA7" s="214">
        <f>IF(AND(($D7+$C$1)&gt;AF$3,AF$3&gt;=$C$1),'General Inputs'!D$10*$I7,IF(AND(($C7+$C$1)&gt;AF$3,AF$3&gt;=$C$1),'General Inputs'!D$10*$H7,0))</f>
        <v>0.57676965491876941</v>
      </c>
      <c r="BB7" s="214">
        <f>IF(AND(($D7+$C$1)&gt;AG$3,AG$3&gt;=$C$1),'General Inputs'!E$10*$I7,IF(AND(($C7+$C$1)&gt;AG$3,AG$3&gt;=$C$1),'General Inputs'!E$10*$H7,0))</f>
        <v>0.58542119974255091</v>
      </c>
      <c r="BC7" s="214">
        <f>IF(AND(($D7+$C$1)&gt;AH$3,AH$3&gt;=$C$1),'General Inputs'!F$10*$I7,IF(AND(($C7+$C$1)&gt;AH$3,AH$3&gt;=$C$1),'General Inputs'!F$10*$H7,0))</f>
        <v>0.59420251773868904</v>
      </c>
      <c r="BD7" s="214">
        <f>IF(AND(($D7+$C$1)&gt;AI$3,AI$3&gt;=$C$1),'General Inputs'!G$10*$I7,IF(AND(($C7+$C$1)&gt;AI$3,AI$3&gt;=$C$1),'General Inputs'!G$10*$H7,0))</f>
        <v>0.60311555550476936</v>
      </c>
      <c r="BE7" s="214">
        <f>IF(AND(($D7+$C$1)&gt;AJ$3,AJ$3&gt;=$C$1),'General Inputs'!H$10*$I7,IF(AND(($C7+$C$1)&gt;AJ$3,AJ$3&gt;=$C$1),'General Inputs'!H$10*$H7,0))</f>
        <v>0.61216228883734092</v>
      </c>
      <c r="BF7" s="214">
        <f>IF(AND(($D7+$C$1)&gt;AK$3,AK$3&gt;=$C$1),'General Inputs'!I$10*$I7,IF(AND(($C7+$C$1)&gt;AK$3,AK$3&gt;=$C$1),'General Inputs'!I$10*$H7,0))</f>
        <v>0.62134472316990086</v>
      </c>
      <c r="BG7" s="214">
        <f>IF(AND(($D7+$C$1)&gt;AL$3,AL$3&gt;=$C$1),'General Inputs'!J$10*$I7,IF(AND(($C7+$C$1)&gt;AL$3,AL$3&gt;=$C$1),'General Inputs'!J$10*$H7,0))</f>
        <v>0.6306648940174493</v>
      </c>
      <c r="BH7" s="214">
        <f>IF(AND(($D7+$C$1)&gt;AM$3,AM$3&gt;=$C$1),'General Inputs'!K$10*$I7,IF(AND(($C7+$C$1)&gt;AM$3,AM$3&gt;=$C$1),'General Inputs'!K$10*$H7,0))</f>
        <v>0.64012486742771102</v>
      </c>
      <c r="BI7" s="214">
        <f>IF(AND(($D7+$C$1)&gt;AN$3,AN$3&gt;=$C$1),'General Inputs'!L$10*$I7,IF(AND(($C7+$C$1)&gt;AN$3,AN$3&gt;=$C$1),'General Inputs'!L$10*$H7,0))</f>
        <v>0.64972674043912659</v>
      </c>
      <c r="BJ7" s="214">
        <f>IF(AND(($D7+$C$1)&gt;AO$3,AO$3&gt;=$C$1),'General Inputs'!M$10*$I7,IF(AND(($C7+$C$1)&gt;AO$3,AO$3&gt;=$C$1),'General Inputs'!M$10*$H7,0))</f>
        <v>0.6594726415457135</v>
      </c>
      <c r="BK7" s="214">
        <f>IF(AND(($D7+$C$1)&gt;AP$3,AP$3&gt;=$C$1),'General Inputs'!N$10*$I7,IF(AND(($C7+$C$1)&gt;AP$3,AP$3&gt;=$C$1),'General Inputs'!N$10*$H7,0))</f>
        <v>0.66936473116889905</v>
      </c>
      <c r="BL7" s="214">
        <f>IF(AND(($D7+$C$1)&gt;AQ$3,AQ$3&gt;=$C$1),'General Inputs'!O$10*$I7,IF(AND(($C7+$C$1)&gt;AQ$3,AQ$3&gt;=$C$1),'General Inputs'!O$10*$H7,0))</f>
        <v>0.67940520213643252</v>
      </c>
      <c r="BM7" s="214">
        <f>IF(AND(($D7+$C$1)&gt;AR$3,AR$3&gt;=$C$1),'General Inputs'!P$10*$I7,IF(AND(($C7+$C$1)&gt;AR$3,AR$3&gt;=$C$1),'General Inputs'!P$10*$H7,0))</f>
        <v>0</v>
      </c>
      <c r="BN7" s="214">
        <f>IF(AND(($D7+$C$1)&gt;AS$3,AS$3&gt;=$C$1),'General Inputs'!Q$10*$I7,IF(AND(($C7+$C$1)&gt;AS$3,AS$3&gt;=$C$1),'General Inputs'!Q$10*$H7,0))</f>
        <v>0</v>
      </c>
      <c r="BO7" s="214">
        <f>IF(AND(($D7+$C$1)&gt;AT$3,AT$3&gt;=$C$1),'General Inputs'!R$10*$I7,IF(AND(($C7+$C$1)&gt;AT$3,AT$3&gt;=$C$1),'General Inputs'!R$10*$H7,0))</f>
        <v>0</v>
      </c>
      <c r="BP7" s="214">
        <f>IF(AND(($D7+$C$1)&gt;AU$3,AU$3&gt;=$C$1),'General Inputs'!S$10*$I7,IF(AND(($C7+$C$1)&gt;AU$3,AU$3&gt;=$C$1),'General Inputs'!S$10*$H7,0))</f>
        <v>0</v>
      </c>
      <c r="BQ7" s="214">
        <f>IF(AND(($D7+$C$1)&gt;AV$3,AV$3&gt;=$C$1),'General Inputs'!T$10*$I7,IF(AND(($C7+$C$1)&gt;AV$3,AV$3&gt;=$C$1),'General Inputs'!T$10*$H7,0))</f>
        <v>0</v>
      </c>
      <c r="BR7" s="214">
        <f>IF(AND(($D7+$C$1)&gt;AW$3,AW$3&gt;=$C$1),'General Inputs'!U$10*$I7,IF(AND(($C7+$C$1)&gt;AW$3,AW$3&gt;=$C$1),'General Inputs'!U$10*$H7,0))</f>
        <v>0</v>
      </c>
      <c r="BS7" s="214">
        <f>IF(AND(($D7+$C$1)&gt;AX$3,AX$3&gt;=$C$1),'General Inputs'!V$10*$I7,IF(AND(($C7+$C$1)&gt;AX$3,AX$3&gt;=$C$1),'General Inputs'!V$10*$H7,0))</f>
        <v>0</v>
      </c>
      <c r="BT7" s="214">
        <f>IF(AND(($D7+$C$1)&gt;AY$3,AY$3&gt;=$C$1),'General Inputs'!W$10*$I7,IF(AND(($C7+$C$1)&gt;AY$3,AY$3&gt;=$C$1),'General Inputs'!W$10*$H7,0))</f>
        <v>0</v>
      </c>
    </row>
    <row r="8" spans="1:73">
      <c r="A8" s="342" t="s">
        <v>12</v>
      </c>
      <c r="B8" s="427" t="str">
        <f>Sources!B8</f>
        <v>ENERGY STAR Clothes Washer</v>
      </c>
      <c r="C8" s="193">
        <f>Sources!C8</f>
        <v>14</v>
      </c>
      <c r="D8" s="193">
        <f>Sources!D8</f>
        <v>0</v>
      </c>
      <c r="F8" s="429">
        <f>Sources!F8*EnergyLineLoss</f>
        <v>285.67811583631482</v>
      </c>
      <c r="G8" s="429">
        <f>Sources!G8*EnergyLineLoss</f>
        <v>0</v>
      </c>
      <c r="H8" s="477">
        <f>Sources!H8*PeakLineLoss</f>
        <v>3.6799214921288008E-2</v>
      </c>
      <c r="I8" s="477">
        <f>Sources!I8*PeakLineLoss</f>
        <v>0</v>
      </c>
      <c r="K8" s="419">
        <f>Sources!J8</f>
        <v>450</v>
      </c>
      <c r="L8" s="419">
        <f>Sources!K8</f>
        <v>0</v>
      </c>
      <c r="N8" s="438">
        <f t="shared" si="4"/>
        <v>0.24509050240301572</v>
      </c>
      <c r="P8" s="215">
        <f t="shared" si="5"/>
        <v>105.19418609290163</v>
      </c>
      <c r="Q8" s="215">
        <f t="shared" si="1"/>
        <v>5.0965399884554534</v>
      </c>
      <c r="R8" s="215">
        <f t="shared" si="2"/>
        <v>450</v>
      </c>
      <c r="T8" s="214">
        <f t="shared" si="6"/>
        <v>450</v>
      </c>
      <c r="U8" s="214">
        <f t="shared" si="6"/>
        <v>0</v>
      </c>
      <c r="V8" s="214">
        <f t="shared" si="6"/>
        <v>0</v>
      </c>
      <c r="W8" s="214">
        <f t="shared" si="6"/>
        <v>0</v>
      </c>
      <c r="X8" s="214">
        <f t="shared" si="6"/>
        <v>0</v>
      </c>
      <c r="Y8" s="214">
        <f t="shared" si="6"/>
        <v>0</v>
      </c>
      <c r="Z8" s="214">
        <f t="shared" si="6"/>
        <v>0</v>
      </c>
      <c r="AA8" s="214">
        <f t="shared" si="6"/>
        <v>0</v>
      </c>
      <c r="AB8" s="214">
        <f t="shared" si="6"/>
        <v>0</v>
      </c>
      <c r="AC8" s="214">
        <f t="shared" si="6"/>
        <v>0</v>
      </c>
      <c r="AD8" s="214">
        <f t="shared" si="6"/>
        <v>0</v>
      </c>
      <c r="AF8" s="214">
        <f>IF(AND(($D8+$C$1)&gt;AF$3,AF$3&gt;=$C$1),'General Inputs'!D$9*$G8,IF(AND(($C8+$C$1)&gt;AF$3,AF$3&gt;=$C$1),'General Inputs'!D$9*$F8,0))</f>
        <v>11.373494063694556</v>
      </c>
      <c r="AG8" s="214">
        <f>IF(AND(($D8+$C$1)&gt;AG$3,AG$3&gt;=$C$1),'General Inputs'!E$9*$G8,IF(AND(($C8+$C$1)&gt;AG$3,AG$3&gt;=$C$1),'General Inputs'!E$9*$F8,0))</f>
        <v>11.544096474649972</v>
      </c>
      <c r="AH8" s="214">
        <f>IF(AND(($D8+$C$1)&gt;AH$3,AH$3&gt;=$C$1),'General Inputs'!F$9*$G8,IF(AND(($C8+$C$1)&gt;AH$3,AH$3&gt;=$C$1),'General Inputs'!F$9*$F8,0))</f>
        <v>11.71725792176972</v>
      </c>
      <c r="AI8" s="214">
        <f>IF(AND(($D8+$C$1)&gt;AI$3,AI$3&gt;=$C$1),'General Inputs'!G$9*$G8,IF(AND(($C8+$C$1)&gt;AI$3,AI$3&gt;=$C$1),'General Inputs'!G$9*$F8,0))</f>
        <v>11.893016790596265</v>
      </c>
      <c r="AJ8" s="214">
        <f>IF(AND(($D8+$C$1)&gt;AJ$3,AJ$3&gt;=$C$1),'General Inputs'!H$9*$G8,IF(AND(($C8+$C$1)&gt;AJ$3,AJ$3&gt;=$C$1),'General Inputs'!H$9*$F8,0))</f>
        <v>12.071412042455208</v>
      </c>
      <c r="AK8" s="214">
        <f>IF(AND(($D8+$C$1)&gt;AK$3,AK$3&gt;=$C$1),'General Inputs'!I$9*$G8,IF(AND(($C8+$C$1)&gt;AK$3,AK$3&gt;=$C$1),'General Inputs'!I$9*$F8,0))</f>
        <v>12.252483223092034</v>
      </c>
      <c r="AL8" s="214">
        <f>IF(AND(($D8+$C$1)&gt;AL$3,AL$3&gt;=$C$1),'General Inputs'!J$9*$G8,IF(AND(($C8+$C$1)&gt;AL$3,AL$3&gt;=$C$1),'General Inputs'!J$9*$F8,0))</f>
        <v>12.436270471438412</v>
      </c>
      <c r="AM8" s="214">
        <f>IF(AND(($D8+$C$1)&gt;AM$3,AM$3&gt;=$C$1),'General Inputs'!K$9*$G8,IF(AND(($C8+$C$1)&gt;AM$3,AM$3&gt;=$C$1),'General Inputs'!K$9*$F8,0))</f>
        <v>12.622814528509988</v>
      </c>
      <c r="AN8" s="214">
        <f>IF(AND(($D8+$C$1)&gt;AN$3,AN$3&gt;=$C$1),'General Inputs'!L$9*$G8,IF(AND(($C8+$C$1)&gt;AN$3,AN$3&gt;=$C$1),'General Inputs'!L$9*$F8,0))</f>
        <v>12.812156746437637</v>
      </c>
      <c r="AO8" s="214">
        <f>IF(AND(($D8+$C$1)&gt;AO$3,AO$3&gt;=$C$1),'General Inputs'!M$9*$G8,IF(AND(($C8+$C$1)&gt;AO$3,AO$3&gt;=$C$1),'General Inputs'!M$9*$F8,0))</f>
        <v>13.004339097634199</v>
      </c>
      <c r="AP8" s="214">
        <f>IF(AND(($D8+$C$1)&gt;AP$3,AP$3&gt;=$C$1),'General Inputs'!N$9*$G8,IF(AND(($C8+$C$1)&gt;AP$3,AP$3&gt;=$C$1),'General Inputs'!N$9*$F8,0))</f>
        <v>13.199404184098711</v>
      </c>
      <c r="AQ8" s="214">
        <f>IF(AND(($D8+$C$1)&gt;AQ$3,AQ$3&gt;=$C$1),'General Inputs'!O$9*$G8,IF(AND(($C8+$C$1)&gt;AQ$3,AQ$3&gt;=$C$1),'General Inputs'!O$9*$F8,0))</f>
        <v>13.39739524686019</v>
      </c>
      <c r="AR8" s="214">
        <f>IF(AND(($D8+$C$1)&gt;AR$3,AR$3&gt;=$C$1),'General Inputs'!P$9*$G8,IF(AND(($C8+$C$1)&gt;AR$3,AR$3&gt;=$C$1),'General Inputs'!P$9*$F8,0))</f>
        <v>13.598356175563092</v>
      </c>
      <c r="AS8" s="214">
        <f>IF(AND(($D8+$C$1)&gt;AS$3,AS$3&gt;=$C$1),'General Inputs'!Q$9*$G8,IF(AND(($C8+$C$1)&gt;AS$3,AS$3&gt;=$C$1),'General Inputs'!Q$9*$F8,0))</f>
        <v>13.802331518196537</v>
      </c>
      <c r="AT8" s="214">
        <f>IF(AND(($D8+$C$1)&gt;AT$3,AT$3&gt;=$C$1),'General Inputs'!R$9*$G8,IF(AND(($C8+$C$1)&gt;AT$3,AT$3&gt;=$C$1),'General Inputs'!R$9*$F8,0))</f>
        <v>0</v>
      </c>
      <c r="AU8" s="214">
        <f>IF(AND(($D8+$C$1)&gt;AU$3,AU$3&gt;=$C$1),'General Inputs'!S$9*$G8,IF(AND(($C8+$C$1)&gt;AU$3,AU$3&gt;=$C$1),'General Inputs'!S$9*$F8,0))</f>
        <v>0</v>
      </c>
      <c r="AV8" s="214">
        <f>IF(AND(($D8+$C$1)&gt;AV$3,AV$3&gt;=$C$1),'General Inputs'!T$9*$G8,IF(AND(($C8+$C$1)&gt;AV$3,AV$3&gt;=$C$1),'General Inputs'!T$9*$F8,0))</f>
        <v>0</v>
      </c>
      <c r="AW8" s="214">
        <f>IF(AND(($D8+$C$1)&gt;AW$3,AW$3&gt;=$C$1),'General Inputs'!U$9*$G8,IF(AND(($C8+$C$1)&gt;AW$3,AW$3&gt;=$C$1),'General Inputs'!U$9*$F8,0))</f>
        <v>0</v>
      </c>
      <c r="AX8" s="214">
        <f>IF(AND(($D8+$C$1)&gt;AX$3,AX$3&gt;=$C$1),'General Inputs'!V$9*$G8,IF(AND(($C8+$C$1)&gt;AX$3,AX$3&gt;=$C$1),'General Inputs'!V$9*$F8,0))</f>
        <v>0</v>
      </c>
      <c r="AY8" s="214">
        <f>IF(AND(($D8+$C$1)&gt;AY$3,AY$3&gt;=$C$1),'General Inputs'!W$9*$G8,IF(AND(($C8+$C$1)&gt;AY$3,AY$3&gt;=$C$1),'General Inputs'!W$9*$F8,0))</f>
        <v>0</v>
      </c>
      <c r="BA8" s="214">
        <f>IF(AND(($D8+$C$1)&gt;AF$3,AF$3&gt;=$C$1),'General Inputs'!D$10*$I8,IF(AND(($C8+$C$1)&gt;AF$3,AF$3&gt;=$C$1),'General Inputs'!D$10*$H8,0))</f>
        <v>0.55103299390413218</v>
      </c>
      <c r="BB8" s="214">
        <f>IF(AND(($D8+$C$1)&gt;AG$3,AG$3&gt;=$C$1),'General Inputs'!E$10*$I8,IF(AND(($C8+$C$1)&gt;AG$3,AG$3&gt;=$C$1),'General Inputs'!E$10*$H8,0))</f>
        <v>0.55929848881269406</v>
      </c>
      <c r="BC8" s="214">
        <f>IF(AND(($D8+$C$1)&gt;AH$3,AH$3&gt;=$C$1),'General Inputs'!F$10*$I8,IF(AND(($C8+$C$1)&gt;AH$3,AH$3&gt;=$C$1),'General Inputs'!F$10*$H8,0))</f>
        <v>0.56768796614488448</v>
      </c>
      <c r="BD8" s="214">
        <f>IF(AND(($D8+$C$1)&gt;AI$3,AI$3&gt;=$C$1),'General Inputs'!G$10*$I8,IF(AND(($C8+$C$1)&gt;AI$3,AI$3&gt;=$C$1),'General Inputs'!G$10*$H8,0))</f>
        <v>0.57620328563705769</v>
      </c>
      <c r="BE8" s="214">
        <f>IF(AND(($D8+$C$1)&gt;AJ$3,AJ$3&gt;=$C$1),'General Inputs'!H$10*$I8,IF(AND(($C8+$C$1)&gt;AJ$3,AJ$3&gt;=$C$1),'General Inputs'!H$10*$H8,0))</f>
        <v>0.58484633492161342</v>
      </c>
      <c r="BF8" s="214">
        <f>IF(AND(($D8+$C$1)&gt;AK$3,AK$3&gt;=$C$1),'General Inputs'!I$10*$I8,IF(AND(($C8+$C$1)&gt;AK$3,AK$3&gt;=$C$1),'General Inputs'!I$10*$H8,0))</f>
        <v>0.59361902994543758</v>
      </c>
      <c r="BG8" s="214">
        <f>IF(AND(($D8+$C$1)&gt;AL$3,AL$3&gt;=$C$1),'General Inputs'!J$10*$I8,IF(AND(($C8+$C$1)&gt;AL$3,AL$3&gt;=$C$1),'General Inputs'!J$10*$H8,0))</f>
        <v>0.60252331539461901</v>
      </c>
      <c r="BH8" s="214">
        <f>IF(AND(($D8+$C$1)&gt;AM$3,AM$3&gt;=$C$1),'General Inputs'!K$10*$I8,IF(AND(($C8+$C$1)&gt;AM$3,AM$3&gt;=$C$1),'General Inputs'!K$10*$H8,0))</f>
        <v>0.61156116512553826</v>
      </c>
      <c r="BI8" s="214">
        <f>IF(AND(($D8+$C$1)&gt;AN$3,AN$3&gt;=$C$1),'General Inputs'!L$10*$I8,IF(AND(($C8+$C$1)&gt;AN$3,AN$3&gt;=$C$1),'General Inputs'!L$10*$H8,0))</f>
        <v>0.62073458260242131</v>
      </c>
      <c r="BJ8" s="214">
        <f>IF(AND(($D8+$C$1)&gt;AO$3,AO$3&gt;=$C$1),'General Inputs'!M$10*$I8,IF(AND(($C8+$C$1)&gt;AO$3,AO$3&gt;=$C$1),'General Inputs'!M$10*$H8,0))</f>
        <v>0.6300456013414576</v>
      </c>
      <c r="BK8" s="214">
        <f>IF(AND(($D8+$C$1)&gt;AP$3,AP$3&gt;=$C$1),'General Inputs'!N$10*$I8,IF(AND(($C8+$C$1)&gt;AP$3,AP$3&gt;=$C$1),'General Inputs'!N$10*$H8,0))</f>
        <v>0.63949628536157943</v>
      </c>
      <c r="BL8" s="214">
        <f>IF(AND(($D8+$C$1)&gt;AQ$3,AQ$3&gt;=$C$1),'General Inputs'!O$10*$I8,IF(AND(($C8+$C$1)&gt;AQ$3,AQ$3&gt;=$C$1),'General Inputs'!O$10*$H8,0))</f>
        <v>0.64908872964200304</v>
      </c>
      <c r="BM8" s="214">
        <f>IF(AND(($D8+$C$1)&gt;AR$3,AR$3&gt;=$C$1),'General Inputs'!P$10*$I8,IF(AND(($C8+$C$1)&gt;AR$3,AR$3&gt;=$C$1),'General Inputs'!P$10*$H8,0))</f>
        <v>0.65882506058663304</v>
      </c>
      <c r="BN8" s="214">
        <f>IF(AND(($D8+$C$1)&gt;AS$3,AS$3&gt;=$C$1),'General Inputs'!Q$10*$I8,IF(AND(($C8+$C$1)&gt;AS$3,AS$3&gt;=$C$1),'General Inputs'!Q$10*$H8,0))</f>
        <v>0.66870743649543252</v>
      </c>
      <c r="BO8" s="214">
        <f>IF(AND(($D8+$C$1)&gt;AT$3,AT$3&gt;=$C$1),'General Inputs'!R$10*$I8,IF(AND(($C8+$C$1)&gt;AT$3,AT$3&gt;=$C$1),'General Inputs'!R$10*$H8,0))</f>
        <v>0</v>
      </c>
      <c r="BP8" s="214">
        <f>IF(AND(($D8+$C$1)&gt;AU$3,AU$3&gt;=$C$1),'General Inputs'!S$10*$I8,IF(AND(($C8+$C$1)&gt;AU$3,AU$3&gt;=$C$1),'General Inputs'!S$10*$H8,0))</f>
        <v>0</v>
      </c>
      <c r="BQ8" s="214">
        <f>IF(AND(($D8+$C$1)&gt;AV$3,AV$3&gt;=$C$1),'General Inputs'!T$10*$I8,IF(AND(($C8+$C$1)&gt;AV$3,AV$3&gt;=$C$1),'General Inputs'!T$10*$H8,0))</f>
        <v>0</v>
      </c>
      <c r="BR8" s="214">
        <f>IF(AND(($D8+$C$1)&gt;AW$3,AW$3&gt;=$C$1),'General Inputs'!U$10*$I8,IF(AND(($C8+$C$1)&gt;AW$3,AW$3&gt;=$C$1),'General Inputs'!U$10*$H8,0))</f>
        <v>0</v>
      </c>
      <c r="BS8" s="214">
        <f>IF(AND(($D8+$C$1)&gt;AX$3,AX$3&gt;=$C$1),'General Inputs'!V$10*$I8,IF(AND(($C8+$C$1)&gt;AX$3,AX$3&gt;=$C$1),'General Inputs'!V$10*$H8,0))</f>
        <v>0</v>
      </c>
      <c r="BT8" s="214">
        <f>IF(AND(($D8+$C$1)&gt;AY$3,AY$3&gt;=$C$1),'General Inputs'!W$10*$I8,IF(AND(($C8+$C$1)&gt;AY$3,AY$3&gt;=$C$1),'General Inputs'!W$10*$H8,0))</f>
        <v>0</v>
      </c>
    </row>
    <row r="9" spans="1:73">
      <c r="A9" s="342" t="s">
        <v>12</v>
      </c>
      <c r="B9" s="427" t="str">
        <f>Sources!B9</f>
        <v>ENERGY STAR Refrigerator</v>
      </c>
      <c r="C9" s="193">
        <f>Sources!C9</f>
        <v>14</v>
      </c>
      <c r="D9" s="193">
        <f>Sources!D9</f>
        <v>0</v>
      </c>
      <c r="F9" s="429">
        <f>Sources!F9*EnergyLineLoss</f>
        <v>108.22001400000002</v>
      </c>
      <c r="G9" s="429">
        <f>Sources!G9*EnergyLineLoss</f>
        <v>0</v>
      </c>
      <c r="H9" s="477">
        <f>Sources!H9*PeakLineLoss</f>
        <v>1.2353882876712331E-2</v>
      </c>
      <c r="I9" s="477">
        <f>Sources!I9*PeakLineLoss</f>
        <v>0</v>
      </c>
      <c r="K9" s="419">
        <f>Sources!J9</f>
        <v>40</v>
      </c>
      <c r="L9" s="419">
        <f>Sources!K9</f>
        <v>0</v>
      </c>
      <c r="N9" s="438">
        <f t="shared" si="4"/>
        <v>1.0390103434502724</v>
      </c>
      <c r="P9" s="215">
        <f t="shared" si="5"/>
        <v>39.849451745247386</v>
      </c>
      <c r="Q9" s="215">
        <f t="shared" si="1"/>
        <v>1.7109619927635062</v>
      </c>
      <c r="R9" s="215">
        <f t="shared" si="2"/>
        <v>40</v>
      </c>
      <c r="T9" s="214">
        <f t="shared" si="6"/>
        <v>40</v>
      </c>
      <c r="U9" s="214">
        <f t="shared" si="6"/>
        <v>0</v>
      </c>
      <c r="V9" s="214">
        <f t="shared" si="6"/>
        <v>0</v>
      </c>
      <c r="W9" s="214">
        <f t="shared" si="6"/>
        <v>0</v>
      </c>
      <c r="X9" s="214">
        <f t="shared" si="6"/>
        <v>0</v>
      </c>
      <c r="Y9" s="214">
        <f t="shared" si="6"/>
        <v>0</v>
      </c>
      <c r="Z9" s="214">
        <f t="shared" si="6"/>
        <v>0</v>
      </c>
      <c r="AA9" s="214">
        <f t="shared" si="6"/>
        <v>0</v>
      </c>
      <c r="AB9" s="214">
        <f t="shared" si="6"/>
        <v>0</v>
      </c>
      <c r="AC9" s="214">
        <f t="shared" si="6"/>
        <v>0</v>
      </c>
      <c r="AD9" s="214">
        <f t="shared" si="6"/>
        <v>0</v>
      </c>
      <c r="AF9" s="214">
        <f>IF(AND(($D9+$C$1)&gt;AF$3,AF$3&gt;=$C$1),'General Inputs'!D$9*$G9,IF(AND(($C9+$C$1)&gt;AF$3,AF$3&gt;=$C$1),'General Inputs'!D$9*$F9,0))</f>
        <v>4.3084843345409665</v>
      </c>
      <c r="AG9" s="214">
        <f>IF(AND(($D9+$C$1)&gt;AG$3,AG$3&gt;=$C$1),'General Inputs'!E$9*$G9,IF(AND(($C9+$C$1)&gt;AG$3,AG$3&gt;=$C$1),'General Inputs'!E$9*$F9,0))</f>
        <v>4.3731115995590804</v>
      </c>
      <c r="AH9" s="214">
        <f>IF(AND(($D9+$C$1)&gt;AH$3,AH$3&gt;=$C$1),'General Inputs'!F$9*$G9,IF(AND(($C9+$C$1)&gt;AH$3,AH$3&gt;=$C$1),'General Inputs'!F$9*$F9,0))</f>
        <v>4.4387082735524661</v>
      </c>
      <c r="AI9" s="214">
        <f>IF(AND(($D9+$C$1)&gt;AI$3,AI$3&gt;=$C$1),'General Inputs'!G$9*$G9,IF(AND(($C9+$C$1)&gt;AI$3,AI$3&gt;=$C$1),'General Inputs'!G$9*$F9,0))</f>
        <v>4.5052888976557526</v>
      </c>
      <c r="AJ9" s="214">
        <f>IF(AND(($D9+$C$1)&gt;AJ$3,AJ$3&gt;=$C$1),'General Inputs'!H$9*$G9,IF(AND(($C9+$C$1)&gt;AJ$3,AJ$3&gt;=$C$1),'General Inputs'!H$9*$F9,0))</f>
        <v>4.5728682311205882</v>
      </c>
      <c r="AK9" s="214">
        <f>IF(AND(($D9+$C$1)&gt;AK$3,AK$3&gt;=$C$1),'General Inputs'!I$9*$G9,IF(AND(($C9+$C$1)&gt;AK$3,AK$3&gt;=$C$1),'General Inputs'!I$9*$F9,0))</f>
        <v>4.6414612545873961</v>
      </c>
      <c r="AL9" s="214">
        <f>IF(AND(($D9+$C$1)&gt;AL$3,AL$3&gt;=$C$1),'General Inputs'!J$9*$G9,IF(AND(($C9+$C$1)&gt;AL$3,AL$3&gt;=$C$1),'General Inputs'!J$9*$F9,0))</f>
        <v>4.7110831734062071</v>
      </c>
      <c r="AM9" s="214">
        <f>IF(AND(($D9+$C$1)&gt;AM$3,AM$3&gt;=$C$1),'General Inputs'!K$9*$G9,IF(AND(($C9+$C$1)&gt;AM$3,AM$3&gt;=$C$1),'General Inputs'!K$9*$F9,0))</f>
        <v>4.7817494210072988</v>
      </c>
      <c r="AN9" s="214">
        <f>IF(AND(($D9+$C$1)&gt;AN$3,AN$3&gt;=$C$1),'General Inputs'!L$9*$G9,IF(AND(($C9+$C$1)&gt;AN$3,AN$3&gt;=$C$1),'General Inputs'!L$9*$F9,0))</f>
        <v>4.853475662322408</v>
      </c>
      <c r="AO9" s="214">
        <f>IF(AND(($D9+$C$1)&gt;AO$3,AO$3&gt;=$C$1),'General Inputs'!M$9*$G9,IF(AND(($C9+$C$1)&gt;AO$3,AO$3&gt;=$C$1),'General Inputs'!M$9*$F9,0))</f>
        <v>4.9262777972572431</v>
      </c>
      <c r="AP9" s="214">
        <f>IF(AND(($D9+$C$1)&gt;AP$3,AP$3&gt;=$C$1),'General Inputs'!N$9*$G9,IF(AND(($C9+$C$1)&gt;AP$3,AP$3&gt;=$C$1),'General Inputs'!N$9*$F9,0))</f>
        <v>5.0001719642161015</v>
      </c>
      <c r="AQ9" s="214">
        <f>IF(AND(($D9+$C$1)&gt;AQ$3,AQ$3&gt;=$C$1),'General Inputs'!O$9*$G9,IF(AND(($C9+$C$1)&gt;AQ$3,AQ$3&gt;=$C$1),'General Inputs'!O$9*$F9,0))</f>
        <v>5.075174543679343</v>
      </c>
      <c r="AR9" s="214">
        <f>IF(AND(($D9+$C$1)&gt;AR$3,AR$3&gt;=$C$1),'General Inputs'!P$9*$G9,IF(AND(($C9+$C$1)&gt;AR$3,AR$3&gt;=$C$1),'General Inputs'!P$9*$F9,0))</f>
        <v>5.1513021618345327</v>
      </c>
      <c r="AS9" s="214">
        <f>IF(AND(($D9+$C$1)&gt;AS$3,AS$3&gt;=$C$1),'General Inputs'!Q$9*$G9,IF(AND(($C9+$C$1)&gt;AS$3,AS$3&gt;=$C$1),'General Inputs'!Q$9*$F9,0))</f>
        <v>5.2285716942620502</v>
      </c>
      <c r="AT9" s="214">
        <f>IF(AND(($D9+$C$1)&gt;AT$3,AT$3&gt;=$C$1),'General Inputs'!R$9*$G9,IF(AND(($C9+$C$1)&gt;AT$3,AT$3&gt;=$C$1),'General Inputs'!R$9*$F9,0))</f>
        <v>0</v>
      </c>
      <c r="AU9" s="214">
        <f>IF(AND(($D9+$C$1)&gt;AU$3,AU$3&gt;=$C$1),'General Inputs'!S$9*$G9,IF(AND(($C9+$C$1)&gt;AU$3,AU$3&gt;=$C$1),'General Inputs'!S$9*$F9,0))</f>
        <v>0</v>
      </c>
      <c r="AV9" s="214">
        <f>IF(AND(($D9+$C$1)&gt;AV$3,AV$3&gt;=$C$1),'General Inputs'!T$9*$G9,IF(AND(($C9+$C$1)&gt;AV$3,AV$3&gt;=$C$1),'General Inputs'!T$9*$F9,0))</f>
        <v>0</v>
      </c>
      <c r="AW9" s="214">
        <f>IF(AND(($D9+$C$1)&gt;AW$3,AW$3&gt;=$C$1),'General Inputs'!U$9*$G9,IF(AND(($C9+$C$1)&gt;AW$3,AW$3&gt;=$C$1),'General Inputs'!U$9*$F9,0))</f>
        <v>0</v>
      </c>
      <c r="AX9" s="214">
        <f>IF(AND(($D9+$C$1)&gt;AX$3,AX$3&gt;=$C$1),'General Inputs'!V$9*$G9,IF(AND(($C9+$C$1)&gt;AX$3,AX$3&gt;=$C$1),'General Inputs'!V$9*$F9,0))</f>
        <v>0</v>
      </c>
      <c r="AY9" s="214">
        <f>IF(AND(($D9+$C$1)&gt;AY$3,AY$3&gt;=$C$1),'General Inputs'!W$9*$G9,IF(AND(($C9+$C$1)&gt;AY$3,AY$3&gt;=$C$1),'General Inputs'!W$9*$F9,0))</f>
        <v>0</v>
      </c>
      <c r="BA9" s="214">
        <f>IF(AND(($D9+$C$1)&gt;AF$3,AF$3&gt;=$C$1),'General Inputs'!D$10*$I9,IF(AND(($C9+$C$1)&gt;AF$3,AF$3&gt;=$C$1),'General Inputs'!D$10*$H9,0))</f>
        <v>0.1849875624373109</v>
      </c>
      <c r="BB9" s="214">
        <f>IF(AND(($D9+$C$1)&gt;AG$3,AG$3&gt;=$C$1),'General Inputs'!E$10*$I9,IF(AND(($C9+$C$1)&gt;AG$3,AG$3&gt;=$C$1),'General Inputs'!E$10*$H9,0))</f>
        <v>0.18776237587387054</v>
      </c>
      <c r="BC9" s="214">
        <f>IF(AND(($D9+$C$1)&gt;AH$3,AH$3&gt;=$C$1),'General Inputs'!F$10*$I9,IF(AND(($C9+$C$1)&gt;AH$3,AH$3&gt;=$C$1),'General Inputs'!F$10*$H9,0))</f>
        <v>0.19057881151197859</v>
      </c>
      <c r="BD9" s="214">
        <f>IF(AND(($D9+$C$1)&gt;AI$3,AI$3&gt;=$C$1),'General Inputs'!G$10*$I9,IF(AND(($C9+$C$1)&gt;AI$3,AI$3&gt;=$C$1),'General Inputs'!G$10*$H9,0))</f>
        <v>0.19343749368465826</v>
      </c>
      <c r="BE9" s="214">
        <f>IF(AND(($D9+$C$1)&gt;AJ$3,AJ$3&gt;=$C$1),'General Inputs'!H$10*$I9,IF(AND(($C9+$C$1)&gt;AJ$3,AJ$3&gt;=$C$1),'General Inputs'!H$10*$H9,0))</f>
        <v>0.1963390560899281</v>
      </c>
      <c r="BF9" s="214">
        <f>IF(AND(($D9+$C$1)&gt;AK$3,AK$3&gt;=$C$1),'General Inputs'!I$10*$I9,IF(AND(($C9+$C$1)&gt;AK$3,AK$3&gt;=$C$1),'General Inputs'!I$10*$H9,0))</f>
        <v>0.199284141931277</v>
      </c>
      <c r="BG9" s="214">
        <f>IF(AND(($D9+$C$1)&gt;AL$3,AL$3&gt;=$C$1),'General Inputs'!J$10*$I9,IF(AND(($C9+$C$1)&gt;AL$3,AL$3&gt;=$C$1),'General Inputs'!J$10*$H9,0))</f>
        <v>0.20227340406024613</v>
      </c>
      <c r="BH9" s="214">
        <f>IF(AND(($D9+$C$1)&gt;AM$3,AM$3&gt;=$C$1),'General Inputs'!K$10*$I9,IF(AND(($C9+$C$1)&gt;AM$3,AM$3&gt;=$C$1),'General Inputs'!K$10*$H9,0))</f>
        <v>0.20530750512114981</v>
      </c>
      <c r="BI9" s="214">
        <f>IF(AND(($D9+$C$1)&gt;AN$3,AN$3&gt;=$C$1),'General Inputs'!L$10*$I9,IF(AND(($C9+$C$1)&gt;AN$3,AN$3&gt;=$C$1),'General Inputs'!L$10*$H9,0))</f>
        <v>0.20838711769796703</v>
      </c>
      <c r="BJ9" s="214">
        <f>IF(AND(($D9+$C$1)&gt;AO$3,AO$3&gt;=$C$1),'General Inputs'!M$10*$I9,IF(AND(($C9+$C$1)&gt;AO$3,AO$3&gt;=$C$1),'General Inputs'!M$10*$H9,0))</f>
        <v>0.21151292446343653</v>
      </c>
      <c r="BK9" s="214">
        <f>IF(AND(($D9+$C$1)&gt;AP$3,AP$3&gt;=$C$1),'General Inputs'!N$10*$I9,IF(AND(($C9+$C$1)&gt;AP$3,AP$3&gt;=$C$1),'General Inputs'!N$10*$H9,0))</f>
        <v>0.21468561833038804</v>
      </c>
      <c r="BL9" s="214">
        <f>IF(AND(($D9+$C$1)&gt;AQ$3,AQ$3&gt;=$C$1),'General Inputs'!O$10*$I9,IF(AND(($C9+$C$1)&gt;AQ$3,AQ$3&gt;=$C$1),'General Inputs'!O$10*$H9,0))</f>
        <v>0.21790590260534384</v>
      </c>
      <c r="BM9" s="214">
        <f>IF(AND(($D9+$C$1)&gt;AR$3,AR$3&gt;=$C$1),'General Inputs'!P$10*$I9,IF(AND(($C9+$C$1)&gt;AR$3,AR$3&gt;=$C$1),'General Inputs'!P$10*$H9,0))</f>
        <v>0.221174491144424</v>
      </c>
      <c r="BN9" s="214">
        <f>IF(AND(($D9+$C$1)&gt;AS$3,AS$3&gt;=$C$1),'General Inputs'!Q$10*$I9,IF(AND(($C9+$C$1)&gt;AS$3,AS$3&gt;=$C$1),'General Inputs'!Q$10*$H9,0))</f>
        <v>0.22449210851159035</v>
      </c>
      <c r="BO9" s="214">
        <f>IF(AND(($D9+$C$1)&gt;AT$3,AT$3&gt;=$C$1),'General Inputs'!R$10*$I9,IF(AND(($C9+$C$1)&gt;AT$3,AT$3&gt;=$C$1),'General Inputs'!R$10*$H9,0))</f>
        <v>0</v>
      </c>
      <c r="BP9" s="214">
        <f>IF(AND(($D9+$C$1)&gt;AU$3,AU$3&gt;=$C$1),'General Inputs'!S$10*$I9,IF(AND(($C9+$C$1)&gt;AU$3,AU$3&gt;=$C$1),'General Inputs'!S$10*$H9,0))</f>
        <v>0</v>
      </c>
      <c r="BQ9" s="214">
        <f>IF(AND(($D9+$C$1)&gt;AV$3,AV$3&gt;=$C$1),'General Inputs'!T$10*$I9,IF(AND(($C9+$C$1)&gt;AV$3,AV$3&gt;=$C$1),'General Inputs'!T$10*$H9,0))</f>
        <v>0</v>
      </c>
      <c r="BR9" s="214">
        <f>IF(AND(($D9+$C$1)&gt;AW$3,AW$3&gt;=$C$1),'General Inputs'!U$10*$I9,IF(AND(($C9+$C$1)&gt;AW$3,AW$3&gt;=$C$1),'General Inputs'!U$10*$H9,0))</f>
        <v>0</v>
      </c>
      <c r="BS9" s="214">
        <f>IF(AND(($D9+$C$1)&gt;AX$3,AX$3&gt;=$C$1),'General Inputs'!V$10*$I9,IF(AND(($C9+$C$1)&gt;AX$3,AX$3&gt;=$C$1),'General Inputs'!V$10*$H9,0))</f>
        <v>0</v>
      </c>
      <c r="BT9" s="214">
        <f>IF(AND(($D9+$C$1)&gt;AY$3,AY$3&gt;=$C$1),'General Inputs'!W$10*$I9,IF(AND(($C9+$C$1)&gt;AY$3,AY$3&gt;=$C$1),'General Inputs'!W$10*$H9,0))</f>
        <v>0</v>
      </c>
    </row>
    <row r="10" spans="1:73">
      <c r="A10" s="342" t="s">
        <v>12</v>
      </c>
      <c r="B10" s="427" t="str">
        <f>Sources!B10</f>
        <v>ENERGY STAR Freezer</v>
      </c>
      <c r="C10" s="193">
        <f>Sources!C10</f>
        <v>11</v>
      </c>
      <c r="D10" s="193">
        <f>Sources!D10</f>
        <v>0</v>
      </c>
      <c r="F10" s="429">
        <f>Sources!F10*EnergyLineLoss</f>
        <v>31.668818400000021</v>
      </c>
      <c r="G10" s="429">
        <f>Sources!G10*EnergyLineLoss</f>
        <v>0</v>
      </c>
      <c r="H10" s="477">
        <f>Sources!H10*PeakLineLoss</f>
        <v>3.6151619178082213E-3</v>
      </c>
      <c r="I10" s="477">
        <f>Sources!I10*PeakLineLoss</f>
        <v>0</v>
      </c>
      <c r="K10" s="419">
        <f>Sources!J10</f>
        <v>40</v>
      </c>
      <c r="L10" s="419">
        <f>Sources!K10</f>
        <v>0</v>
      </c>
      <c r="N10" s="438">
        <f t="shared" si="4"/>
        <v>0.26131248800786577</v>
      </c>
      <c r="P10" s="215">
        <f t="shared" si="5"/>
        <v>10.022190295739209</v>
      </c>
      <c r="Q10" s="215">
        <f t="shared" si="1"/>
        <v>0.43030922457542004</v>
      </c>
      <c r="R10" s="215">
        <f t="shared" si="2"/>
        <v>40</v>
      </c>
      <c r="T10" s="214">
        <f t="shared" si="6"/>
        <v>40</v>
      </c>
      <c r="U10" s="214">
        <f t="shared" si="6"/>
        <v>0</v>
      </c>
      <c r="V10" s="214">
        <f t="shared" si="6"/>
        <v>0</v>
      </c>
      <c r="W10" s="214">
        <f t="shared" si="6"/>
        <v>0</v>
      </c>
      <c r="X10" s="214">
        <f t="shared" si="6"/>
        <v>0</v>
      </c>
      <c r="Y10" s="214">
        <f t="shared" si="6"/>
        <v>0</v>
      </c>
      <c r="Z10" s="214">
        <f t="shared" si="6"/>
        <v>0</v>
      </c>
      <c r="AA10" s="214">
        <f t="shared" si="6"/>
        <v>0</v>
      </c>
      <c r="AB10" s="214">
        <f t="shared" si="6"/>
        <v>0</v>
      </c>
      <c r="AC10" s="214">
        <f t="shared" si="6"/>
        <v>0</v>
      </c>
      <c r="AD10" s="214">
        <f t="shared" si="6"/>
        <v>0</v>
      </c>
      <c r="AF10" s="214">
        <f>IF(AND(($D10+$C$1)&gt;AF$3,AF$3&gt;=$C$1),'General Inputs'!D$9*$G10,IF(AND(($C10+$C$1)&gt;AF$3,AF$3&gt;=$C$1),'General Inputs'!D$9*$F10,0))</f>
        <v>1.2608075246582648</v>
      </c>
      <c r="AG10" s="214">
        <f>IF(AND(($D10+$C$1)&gt;AG$3,AG$3&gt;=$C$1),'General Inputs'!E$9*$G10,IF(AND(($C10+$C$1)&gt;AG$3,AG$3&gt;=$C$1),'General Inputs'!E$9*$F10,0))</f>
        <v>1.2797196375281388</v>
      </c>
      <c r="AH10" s="214">
        <f>IF(AND(($D10+$C$1)&gt;AH$3,AH$3&gt;=$C$1),'General Inputs'!F$9*$G10,IF(AND(($C10+$C$1)&gt;AH$3,AH$3&gt;=$C$1),'General Inputs'!F$9*$F10,0))</f>
        <v>1.2989154320910608</v>
      </c>
      <c r="AI10" s="214">
        <f>IF(AND(($D10+$C$1)&gt;AI$3,AI$3&gt;=$C$1),'General Inputs'!G$9*$G10,IF(AND(($C10+$C$1)&gt;AI$3,AI$3&gt;=$C$1),'General Inputs'!G$9*$F10,0))</f>
        <v>1.3183991635724264</v>
      </c>
      <c r="AJ10" s="214">
        <f>IF(AND(($D10+$C$1)&gt;AJ$3,AJ$3&gt;=$C$1),'General Inputs'!H$9*$G10,IF(AND(($C10+$C$1)&gt;AJ$3,AJ$3&gt;=$C$1),'General Inputs'!H$9*$F10,0))</f>
        <v>1.3381751510260127</v>
      </c>
      <c r="AK10" s="214">
        <f>IF(AND(($D10+$C$1)&gt;AK$3,AK$3&gt;=$C$1),'General Inputs'!I$9*$G10,IF(AND(($C10+$C$1)&gt;AK$3,AK$3&gt;=$C$1),'General Inputs'!I$9*$F10,0))</f>
        <v>1.3582477782914026</v>
      </c>
      <c r="AL10" s="214">
        <f>IF(AND(($D10+$C$1)&gt;AL$3,AL$3&gt;=$C$1),'General Inputs'!J$9*$G10,IF(AND(($C10+$C$1)&gt;AL$3,AL$3&gt;=$C$1),'General Inputs'!J$9*$F10,0))</f>
        <v>1.3786214949657736</v>
      </c>
      <c r="AM10" s="214">
        <f>IF(AND(($D10+$C$1)&gt;AM$3,AM$3&gt;=$C$1),'General Inputs'!K$9*$G10,IF(AND(($C10+$C$1)&gt;AM$3,AM$3&gt;=$C$1),'General Inputs'!K$9*$F10,0))</f>
        <v>1.3993008173902599</v>
      </c>
      <c r="AN10" s="214">
        <f>IF(AND(($D10+$C$1)&gt;AN$3,AN$3&gt;=$C$1),'General Inputs'!L$9*$G10,IF(AND(($C10+$C$1)&gt;AN$3,AN$3&gt;=$C$1),'General Inputs'!L$9*$F10,0))</f>
        <v>1.4202903296511136</v>
      </c>
      <c r="AO10" s="214">
        <f>IF(AND(($D10+$C$1)&gt;AO$3,AO$3&gt;=$C$1),'General Inputs'!M$9*$G10,IF(AND(($C10+$C$1)&gt;AO$3,AO$3&gt;=$C$1),'General Inputs'!M$9*$F10,0))</f>
        <v>1.44159468459588</v>
      </c>
      <c r="AP10" s="214">
        <f>IF(AND(($D10+$C$1)&gt;AP$3,AP$3&gt;=$C$1),'General Inputs'!N$9*$G10,IF(AND(($C10+$C$1)&gt;AP$3,AP$3&gt;=$C$1),'General Inputs'!N$9*$F10,0))</f>
        <v>1.4632186048648184</v>
      </c>
      <c r="AQ10" s="214">
        <f>IF(AND(($D10+$C$1)&gt;AQ$3,AQ$3&gt;=$C$1),'General Inputs'!O$9*$G10,IF(AND(($C10+$C$1)&gt;AQ$3,AQ$3&gt;=$C$1),'General Inputs'!O$9*$F10,0))</f>
        <v>0</v>
      </c>
      <c r="AR10" s="214">
        <f>IF(AND(($D10+$C$1)&gt;AR$3,AR$3&gt;=$C$1),'General Inputs'!P$9*$G10,IF(AND(($C10+$C$1)&gt;AR$3,AR$3&gt;=$C$1),'General Inputs'!P$9*$F10,0))</f>
        <v>0</v>
      </c>
      <c r="AS10" s="214">
        <f>IF(AND(($D10+$C$1)&gt;AS$3,AS$3&gt;=$C$1),'General Inputs'!Q$9*$G10,IF(AND(($C10+$C$1)&gt;AS$3,AS$3&gt;=$C$1),'General Inputs'!Q$9*$F10,0))</f>
        <v>0</v>
      </c>
      <c r="AT10" s="214">
        <f>IF(AND(($D10+$C$1)&gt;AT$3,AT$3&gt;=$C$1),'General Inputs'!R$9*$G10,IF(AND(($C10+$C$1)&gt;AT$3,AT$3&gt;=$C$1),'General Inputs'!R$9*$F10,0))</f>
        <v>0</v>
      </c>
      <c r="AU10" s="214">
        <f>IF(AND(($D10+$C$1)&gt;AU$3,AU$3&gt;=$C$1),'General Inputs'!S$9*$G10,IF(AND(($C10+$C$1)&gt;AU$3,AU$3&gt;=$C$1),'General Inputs'!S$9*$F10,0))</f>
        <v>0</v>
      </c>
      <c r="AV10" s="214">
        <f>IF(AND(($D10+$C$1)&gt;AV$3,AV$3&gt;=$C$1),'General Inputs'!T$9*$G10,IF(AND(($C10+$C$1)&gt;AV$3,AV$3&gt;=$C$1),'General Inputs'!T$9*$F10,0))</f>
        <v>0</v>
      </c>
      <c r="AW10" s="214">
        <f>IF(AND(($D10+$C$1)&gt;AW$3,AW$3&gt;=$C$1),'General Inputs'!U$9*$G10,IF(AND(($C10+$C$1)&gt;AW$3,AW$3&gt;=$C$1),'General Inputs'!U$9*$F10,0))</f>
        <v>0</v>
      </c>
      <c r="AX10" s="214">
        <f>IF(AND(($D10+$C$1)&gt;AX$3,AX$3&gt;=$C$1),'General Inputs'!V$9*$G10,IF(AND(($C10+$C$1)&gt;AX$3,AX$3&gt;=$C$1),'General Inputs'!V$9*$F10,0))</f>
        <v>0</v>
      </c>
      <c r="AY10" s="214">
        <f>IF(AND(($D10+$C$1)&gt;AY$3,AY$3&gt;=$C$1),'General Inputs'!W$9*$G10,IF(AND(($C10+$C$1)&gt;AY$3,AY$3&gt;=$C$1),'General Inputs'!W$9*$F10,0))</f>
        <v>0</v>
      </c>
      <c r="BA10" s="214">
        <f>IF(AND(($D10+$C$1)&gt;AF$3,AF$3&gt;=$C$1),'General Inputs'!D$10*$I10,IF(AND(($C10+$C$1)&gt;AF$3,AF$3&gt;=$C$1),'General Inputs'!D$10*$H10,0))</f>
        <v>5.4133586797409421E-2</v>
      </c>
      <c r="BB10" s="214">
        <f>IF(AND(($D10+$C$1)&gt;AG$3,AG$3&gt;=$C$1),'General Inputs'!E$10*$I10,IF(AND(($C10+$C$1)&gt;AG$3,AG$3&gt;=$C$1),'General Inputs'!E$10*$H10,0))</f>
        <v>5.4945590599370556E-2</v>
      </c>
      <c r="BC10" s="214">
        <f>IF(AND(($D10+$C$1)&gt;AH$3,AH$3&gt;=$C$1),'General Inputs'!F$10*$I10,IF(AND(($C10+$C$1)&gt;AH$3,AH$3&gt;=$C$1),'General Inputs'!F$10*$H10,0))</f>
        <v>5.5769774458361114E-2</v>
      </c>
      <c r="BD10" s="214">
        <f>IF(AND(($D10+$C$1)&gt;AI$3,AI$3&gt;=$C$1),'General Inputs'!G$10*$I10,IF(AND(($C10+$C$1)&gt;AI$3,AI$3&gt;=$C$1),'General Inputs'!G$10*$H10,0))</f>
        <v>5.6606321075236526E-2</v>
      </c>
      <c r="BE10" s="214">
        <f>IF(AND(($D10+$C$1)&gt;AJ$3,AJ$3&gt;=$C$1),'General Inputs'!H$10*$I10,IF(AND(($C10+$C$1)&gt;AJ$3,AJ$3&gt;=$C$1),'General Inputs'!H$10*$H10,0))</f>
        <v>5.7455415891365068E-2</v>
      </c>
      <c r="BF10" s="214">
        <f>IF(AND(($D10+$C$1)&gt;AK$3,AK$3&gt;=$C$1),'General Inputs'!I$10*$I10,IF(AND(($C10+$C$1)&gt;AK$3,AK$3&gt;=$C$1),'General Inputs'!I$10*$H10,0))</f>
        <v>5.831724712973553E-2</v>
      </c>
      <c r="BG10" s="214">
        <f>IF(AND(($D10+$C$1)&gt;AL$3,AL$3&gt;=$C$1),'General Inputs'!J$10*$I10,IF(AND(($C10+$C$1)&gt;AL$3,AL$3&gt;=$C$1),'General Inputs'!J$10*$H10,0))</f>
        <v>5.9192005836681556E-2</v>
      </c>
      <c r="BH10" s="214">
        <f>IF(AND(($D10+$C$1)&gt;AM$3,AM$3&gt;=$C$1),'General Inputs'!K$10*$I10,IF(AND(($C10+$C$1)&gt;AM$3,AM$3&gt;=$C$1),'General Inputs'!K$10*$H10,0))</f>
        <v>6.0079885924231774E-2</v>
      </c>
      <c r="BI10" s="214">
        <f>IF(AND(($D10+$C$1)&gt;AN$3,AN$3&gt;=$C$1),'General Inputs'!L$10*$I10,IF(AND(($C10+$C$1)&gt;AN$3,AN$3&gt;=$C$1),'General Inputs'!L$10*$H10,0))</f>
        <v>6.0981084213095248E-2</v>
      </c>
      <c r="BJ10" s="214">
        <f>IF(AND(($D10+$C$1)&gt;AO$3,AO$3&gt;=$C$1),'General Inputs'!M$10*$I10,IF(AND(($C10+$C$1)&gt;AO$3,AO$3&gt;=$C$1),'General Inputs'!M$10*$H10,0))</f>
        <v>6.1895800476291674E-2</v>
      </c>
      <c r="BK10" s="214">
        <f>IF(AND(($D10+$C$1)&gt;AP$3,AP$3&gt;=$C$1),'General Inputs'!N$10*$I10,IF(AND(($C10+$C$1)&gt;AP$3,AP$3&gt;=$C$1),'General Inputs'!N$10*$H10,0))</f>
        <v>6.2824237483436046E-2</v>
      </c>
      <c r="BL10" s="214">
        <f>IF(AND(($D10+$C$1)&gt;AQ$3,AQ$3&gt;=$C$1),'General Inputs'!O$10*$I10,IF(AND(($C10+$C$1)&gt;AQ$3,AQ$3&gt;=$C$1),'General Inputs'!O$10*$H10,0))</f>
        <v>0</v>
      </c>
      <c r="BM10" s="214">
        <f>IF(AND(($D10+$C$1)&gt;AR$3,AR$3&gt;=$C$1),'General Inputs'!P$10*$I10,IF(AND(($C10+$C$1)&gt;AR$3,AR$3&gt;=$C$1),'General Inputs'!P$10*$H10,0))</f>
        <v>0</v>
      </c>
      <c r="BN10" s="214">
        <f>IF(AND(($D10+$C$1)&gt;AS$3,AS$3&gt;=$C$1),'General Inputs'!Q$10*$I10,IF(AND(($C10+$C$1)&gt;AS$3,AS$3&gt;=$C$1),'General Inputs'!Q$10*$H10,0))</f>
        <v>0</v>
      </c>
      <c r="BO10" s="214">
        <f>IF(AND(($D10+$C$1)&gt;AT$3,AT$3&gt;=$C$1),'General Inputs'!R$10*$I10,IF(AND(($C10+$C$1)&gt;AT$3,AT$3&gt;=$C$1),'General Inputs'!R$10*$H10,0))</f>
        <v>0</v>
      </c>
      <c r="BP10" s="214">
        <f>IF(AND(($D10+$C$1)&gt;AU$3,AU$3&gt;=$C$1),'General Inputs'!S$10*$I10,IF(AND(($C10+$C$1)&gt;AU$3,AU$3&gt;=$C$1),'General Inputs'!S$10*$H10,0))</f>
        <v>0</v>
      </c>
      <c r="BQ10" s="214">
        <f>IF(AND(($D10+$C$1)&gt;AV$3,AV$3&gt;=$C$1),'General Inputs'!T$10*$I10,IF(AND(($C10+$C$1)&gt;AV$3,AV$3&gt;=$C$1),'General Inputs'!T$10*$H10,0))</f>
        <v>0</v>
      </c>
      <c r="BR10" s="214">
        <f>IF(AND(($D10+$C$1)&gt;AW$3,AW$3&gt;=$C$1),'General Inputs'!U$10*$I10,IF(AND(($C10+$C$1)&gt;AW$3,AW$3&gt;=$C$1),'General Inputs'!U$10*$H10,0))</f>
        <v>0</v>
      </c>
      <c r="BS10" s="214">
        <f>IF(AND(($D10+$C$1)&gt;AX$3,AX$3&gt;=$C$1),'General Inputs'!V$10*$I10,IF(AND(($C10+$C$1)&gt;AX$3,AX$3&gt;=$C$1),'General Inputs'!V$10*$H10,0))</f>
        <v>0</v>
      </c>
      <c r="BT10" s="214">
        <f>IF(AND(($D10+$C$1)&gt;AY$3,AY$3&gt;=$C$1),'General Inputs'!W$10*$I10,IF(AND(($C10+$C$1)&gt;AY$3,AY$3&gt;=$C$1),'General Inputs'!W$10*$H10,0))</f>
        <v>0</v>
      </c>
    </row>
    <row r="11" spans="1:73">
      <c r="A11" s="342" t="s">
        <v>12</v>
      </c>
      <c r="B11" s="427" t="str">
        <f>Sources!B11</f>
        <v>ES Dishwasher (Electric DHW)</v>
      </c>
      <c r="C11" s="193">
        <f>Sources!C11</f>
        <v>10</v>
      </c>
      <c r="D11" s="193">
        <f>Sources!D11</f>
        <v>0</v>
      </c>
      <c r="F11" s="429">
        <f>Sources!F11*EnergyLineLoss</f>
        <v>12.564</v>
      </c>
      <c r="G11" s="429">
        <f>Sources!G11*EnergyLineLoss</f>
        <v>0</v>
      </c>
      <c r="H11" s="477">
        <f>Sources!H11*PeakLineLoss</f>
        <v>6.040384615384615E-3</v>
      </c>
      <c r="I11" s="477">
        <f>Sources!I11*PeakLineLoss</f>
        <v>0</v>
      </c>
      <c r="K11" s="419">
        <f>Sources!J11</f>
        <v>50</v>
      </c>
      <c r="L11" s="419">
        <f>Sources!K11</f>
        <v>0</v>
      </c>
      <c r="N11" s="438">
        <f t="shared" si="4"/>
        <v>8.8025154420462853E-2</v>
      </c>
      <c r="P11" s="215">
        <f t="shared" si="5"/>
        <v>3.7272730857515324</v>
      </c>
      <c r="Q11" s="215">
        <f t="shared" si="1"/>
        <v>0.67398463527161023</v>
      </c>
      <c r="R11" s="215">
        <f t="shared" si="2"/>
        <v>50</v>
      </c>
      <c r="T11" s="214">
        <f t="shared" si="6"/>
        <v>50</v>
      </c>
      <c r="U11" s="214">
        <f t="shared" si="6"/>
        <v>0</v>
      </c>
      <c r="V11" s="214">
        <f t="shared" si="6"/>
        <v>0</v>
      </c>
      <c r="W11" s="214">
        <f t="shared" si="6"/>
        <v>0</v>
      </c>
      <c r="X11" s="214">
        <f t="shared" si="6"/>
        <v>0</v>
      </c>
      <c r="Y11" s="214">
        <f t="shared" si="6"/>
        <v>0</v>
      </c>
      <c r="Z11" s="214">
        <f t="shared" si="6"/>
        <v>0</v>
      </c>
      <c r="AA11" s="214">
        <f t="shared" si="6"/>
        <v>0</v>
      </c>
      <c r="AB11" s="214">
        <f t="shared" si="6"/>
        <v>0</v>
      </c>
      <c r="AC11" s="214">
        <f t="shared" si="6"/>
        <v>0</v>
      </c>
      <c r="AD11" s="214">
        <f t="shared" si="6"/>
        <v>0</v>
      </c>
      <c r="AF11" s="214">
        <f>IF(AND(($D11+$C$1)&gt;AF$3,AF$3&gt;=$C$1),'General Inputs'!D$9*$G11,IF(AND(($C11+$C$1)&gt;AF$3,AF$3&gt;=$C$1),'General Inputs'!D$9*$F11,0))</f>
        <v>0.50020135073326355</v>
      </c>
      <c r="AG11" s="214">
        <f>IF(AND(($D11+$C$1)&gt;AG$3,AG$3&gt;=$C$1),'General Inputs'!E$9*$G11,IF(AND(($C11+$C$1)&gt;AG$3,AG$3&gt;=$C$1),'General Inputs'!E$9*$F11,0))</f>
        <v>0.50770437099426247</v>
      </c>
      <c r="AH11" s="214">
        <f>IF(AND(($D11+$C$1)&gt;AH$3,AH$3&gt;=$C$1),'General Inputs'!F$9*$G11,IF(AND(($C11+$C$1)&gt;AH$3,AH$3&gt;=$C$1),'General Inputs'!F$9*$F11,0))</f>
        <v>0.51531993655917629</v>
      </c>
      <c r="AI11" s="214">
        <f>IF(AND(($D11+$C$1)&gt;AI$3,AI$3&gt;=$C$1),'General Inputs'!G$9*$G11,IF(AND(($C11+$C$1)&gt;AI$3,AI$3&gt;=$C$1),'General Inputs'!G$9*$F11,0))</f>
        <v>0.52304973560756396</v>
      </c>
      <c r="AJ11" s="214">
        <f>IF(AND(($D11+$C$1)&gt;AJ$3,AJ$3&gt;=$C$1),'General Inputs'!H$9*$G11,IF(AND(($C11+$C$1)&gt;AJ$3,AJ$3&gt;=$C$1),'General Inputs'!H$9*$F11,0))</f>
        <v>0.53089548164167732</v>
      </c>
      <c r="AK11" s="214">
        <f>IF(AND(($D11+$C$1)&gt;AK$3,AK$3&gt;=$C$1),'General Inputs'!I$9*$G11,IF(AND(($C11+$C$1)&gt;AK$3,AK$3&gt;=$C$1),'General Inputs'!I$9*$F11,0))</f>
        <v>0.53885891386630236</v>
      </c>
      <c r="AL11" s="214">
        <f>IF(AND(($D11+$C$1)&gt;AL$3,AL$3&gt;=$C$1),'General Inputs'!J$9*$G11,IF(AND(($C11+$C$1)&gt;AL$3,AL$3&gt;=$C$1),'General Inputs'!J$9*$F11,0))</f>
        <v>0.54694179757429684</v>
      </c>
      <c r="AM11" s="214">
        <f>IF(AND(($D11+$C$1)&gt;AM$3,AM$3&gt;=$C$1),'General Inputs'!K$9*$G11,IF(AND(($C11+$C$1)&gt;AM$3,AM$3&gt;=$C$1),'General Inputs'!K$9*$F11,0))</f>
        <v>0.55514592453791123</v>
      </c>
      <c r="AN11" s="214">
        <f>IF(AND(($D11+$C$1)&gt;AN$3,AN$3&gt;=$C$1),'General Inputs'!L$9*$G11,IF(AND(($C11+$C$1)&gt;AN$3,AN$3&gt;=$C$1),'General Inputs'!L$9*$F11,0))</f>
        <v>0.56347311340597983</v>
      </c>
      <c r="AO11" s="214">
        <f>IF(AND(($D11+$C$1)&gt;AO$3,AO$3&gt;=$C$1),'General Inputs'!M$9*$G11,IF(AND(($C11+$C$1)&gt;AO$3,AO$3&gt;=$C$1),'General Inputs'!M$9*$F11,0))</f>
        <v>0.57192521010706943</v>
      </c>
      <c r="AP11" s="214">
        <f>IF(AND(($D11+$C$1)&gt;AP$3,AP$3&gt;=$C$1),'General Inputs'!N$9*$G11,IF(AND(($C11+$C$1)&gt;AP$3,AP$3&gt;=$C$1),'General Inputs'!N$9*$F11,0))</f>
        <v>0</v>
      </c>
      <c r="AQ11" s="214">
        <f>IF(AND(($D11+$C$1)&gt;AQ$3,AQ$3&gt;=$C$1),'General Inputs'!O$9*$G11,IF(AND(($C11+$C$1)&gt;AQ$3,AQ$3&gt;=$C$1),'General Inputs'!O$9*$F11,0))</f>
        <v>0</v>
      </c>
      <c r="AR11" s="214">
        <f>IF(AND(($D11+$C$1)&gt;AR$3,AR$3&gt;=$C$1),'General Inputs'!P$9*$G11,IF(AND(($C11+$C$1)&gt;AR$3,AR$3&gt;=$C$1),'General Inputs'!P$9*$F11,0))</f>
        <v>0</v>
      </c>
      <c r="AS11" s="214">
        <f>IF(AND(($D11+$C$1)&gt;AS$3,AS$3&gt;=$C$1),'General Inputs'!Q$9*$G11,IF(AND(($C11+$C$1)&gt;AS$3,AS$3&gt;=$C$1),'General Inputs'!Q$9*$F11,0))</f>
        <v>0</v>
      </c>
      <c r="AT11" s="214">
        <f>IF(AND(($D11+$C$1)&gt;AT$3,AT$3&gt;=$C$1),'General Inputs'!R$9*$G11,IF(AND(($C11+$C$1)&gt;AT$3,AT$3&gt;=$C$1),'General Inputs'!R$9*$F11,0))</f>
        <v>0</v>
      </c>
      <c r="AU11" s="214">
        <f>IF(AND(($D11+$C$1)&gt;AU$3,AU$3&gt;=$C$1),'General Inputs'!S$9*$G11,IF(AND(($C11+$C$1)&gt;AU$3,AU$3&gt;=$C$1),'General Inputs'!S$9*$F11,0))</f>
        <v>0</v>
      </c>
      <c r="AV11" s="214">
        <f>IF(AND(($D11+$C$1)&gt;AV$3,AV$3&gt;=$C$1),'General Inputs'!T$9*$G11,IF(AND(($C11+$C$1)&gt;AV$3,AV$3&gt;=$C$1),'General Inputs'!T$9*$F11,0))</f>
        <v>0</v>
      </c>
      <c r="AW11" s="214">
        <f>IF(AND(($D11+$C$1)&gt;AW$3,AW$3&gt;=$C$1),'General Inputs'!U$9*$G11,IF(AND(($C11+$C$1)&gt;AW$3,AW$3&gt;=$C$1),'General Inputs'!U$9*$F11,0))</f>
        <v>0</v>
      </c>
      <c r="AX11" s="214">
        <f>IF(AND(($D11+$C$1)&gt;AX$3,AX$3&gt;=$C$1),'General Inputs'!V$9*$G11,IF(AND(($C11+$C$1)&gt;AX$3,AX$3&gt;=$C$1),'General Inputs'!V$9*$F11,0))</f>
        <v>0</v>
      </c>
      <c r="AY11" s="214">
        <f>IF(AND(($D11+$C$1)&gt;AY$3,AY$3&gt;=$C$1),'General Inputs'!W$9*$G11,IF(AND(($C11+$C$1)&gt;AY$3,AY$3&gt;=$C$1),'General Inputs'!W$9*$F11,0))</f>
        <v>0</v>
      </c>
      <c r="BA11" s="214">
        <f>IF(AND(($D11+$C$1)&gt;AF$3,AF$3&gt;=$C$1),'General Inputs'!D$10*$I11,IF(AND(($C11+$C$1)&gt;AF$3,AF$3&gt;=$C$1),'General Inputs'!D$10*$H11,0))</f>
        <v>9.0448973600857061E-2</v>
      </c>
      <c r="BB11" s="214">
        <f>IF(AND(($D11+$C$1)&gt;AG$3,AG$3&gt;=$C$1),'General Inputs'!E$10*$I11,IF(AND(($C11+$C$1)&gt;AG$3,AG$3&gt;=$C$1),'General Inputs'!E$10*$H11,0))</f>
        <v>9.1805708204869899E-2</v>
      </c>
      <c r="BC11" s="214">
        <f>IF(AND(($D11+$C$1)&gt;AH$3,AH$3&gt;=$C$1),'General Inputs'!F$10*$I11,IF(AND(($C11+$C$1)&gt;AH$3,AH$3&gt;=$C$1),'General Inputs'!F$10*$H11,0))</f>
        <v>9.318279382794295E-2</v>
      </c>
      <c r="BD11" s="214">
        <f>IF(AND(($D11+$C$1)&gt;AI$3,AI$3&gt;=$C$1),'General Inputs'!G$10*$I11,IF(AND(($C11+$C$1)&gt;AI$3,AI$3&gt;=$C$1),'General Inputs'!G$10*$H11,0))</f>
        <v>9.4580535735362084E-2</v>
      </c>
      <c r="BE11" s="214">
        <f>IF(AND(($D11+$C$1)&gt;AJ$3,AJ$3&gt;=$C$1),'General Inputs'!H$10*$I11,IF(AND(($C11+$C$1)&gt;AJ$3,AJ$3&gt;=$C$1),'General Inputs'!H$10*$H11,0))</f>
        <v>9.5999243771392503E-2</v>
      </c>
      <c r="BF11" s="214">
        <f>IF(AND(($D11+$C$1)&gt;AK$3,AK$3&gt;=$C$1),'General Inputs'!I$10*$I11,IF(AND(($C11+$C$1)&gt;AK$3,AK$3&gt;=$C$1),'General Inputs'!I$10*$H11,0))</f>
        <v>9.7439232427963374E-2</v>
      </c>
      <c r="BG11" s="214">
        <f>IF(AND(($D11+$C$1)&gt;AL$3,AL$3&gt;=$C$1),'General Inputs'!J$10*$I11,IF(AND(($C11+$C$1)&gt;AL$3,AL$3&gt;=$C$1),'General Inputs'!J$10*$H11,0))</f>
        <v>9.8900820914382806E-2</v>
      </c>
      <c r="BH11" s="214">
        <f>IF(AND(($D11+$C$1)&gt;AM$3,AM$3&gt;=$C$1),'General Inputs'!K$10*$I11,IF(AND(($C11+$C$1)&gt;AM$3,AM$3&gt;=$C$1),'General Inputs'!K$10*$H11,0))</f>
        <v>0.10038433322809855</v>
      </c>
      <c r="BI11" s="214">
        <f>IF(AND(($D11+$C$1)&gt;AN$3,AN$3&gt;=$C$1),'General Inputs'!L$10*$I11,IF(AND(($C11+$C$1)&gt;AN$3,AN$3&gt;=$C$1),'General Inputs'!L$10*$H11,0))</f>
        <v>0.10189009822652002</v>
      </c>
      <c r="BJ11" s="214">
        <f>IF(AND(($D11+$C$1)&gt;AO$3,AO$3&gt;=$C$1),'General Inputs'!M$10*$I11,IF(AND(($C11+$C$1)&gt;AO$3,AO$3&gt;=$C$1),'General Inputs'!M$10*$H11,0))</f>
        <v>0.10341844969991781</v>
      </c>
      <c r="BK11" s="214">
        <f>IF(AND(($D11+$C$1)&gt;AP$3,AP$3&gt;=$C$1),'General Inputs'!N$10*$I11,IF(AND(($C11+$C$1)&gt;AP$3,AP$3&gt;=$C$1),'General Inputs'!N$10*$H11,0))</f>
        <v>0</v>
      </c>
      <c r="BL11" s="214">
        <f>IF(AND(($D11+$C$1)&gt;AQ$3,AQ$3&gt;=$C$1),'General Inputs'!O$10*$I11,IF(AND(($C11+$C$1)&gt;AQ$3,AQ$3&gt;=$C$1),'General Inputs'!O$10*$H11,0))</f>
        <v>0</v>
      </c>
      <c r="BM11" s="214">
        <f>IF(AND(($D11+$C$1)&gt;AR$3,AR$3&gt;=$C$1),'General Inputs'!P$10*$I11,IF(AND(($C11+$C$1)&gt;AR$3,AR$3&gt;=$C$1),'General Inputs'!P$10*$H11,0))</f>
        <v>0</v>
      </c>
      <c r="BN11" s="214">
        <f>IF(AND(($D11+$C$1)&gt;AS$3,AS$3&gt;=$C$1),'General Inputs'!Q$10*$I11,IF(AND(($C11+$C$1)&gt;AS$3,AS$3&gt;=$C$1),'General Inputs'!Q$10*$H11,0))</f>
        <v>0</v>
      </c>
      <c r="BO11" s="214">
        <f>IF(AND(($D11+$C$1)&gt;AT$3,AT$3&gt;=$C$1),'General Inputs'!R$10*$I11,IF(AND(($C11+$C$1)&gt;AT$3,AT$3&gt;=$C$1),'General Inputs'!R$10*$H11,0))</f>
        <v>0</v>
      </c>
      <c r="BP11" s="214">
        <f>IF(AND(($D11+$C$1)&gt;AU$3,AU$3&gt;=$C$1),'General Inputs'!S$10*$I11,IF(AND(($C11+$C$1)&gt;AU$3,AU$3&gt;=$C$1),'General Inputs'!S$10*$H11,0))</f>
        <v>0</v>
      </c>
      <c r="BQ11" s="214">
        <f>IF(AND(($D11+$C$1)&gt;AV$3,AV$3&gt;=$C$1),'General Inputs'!T$10*$I11,IF(AND(($C11+$C$1)&gt;AV$3,AV$3&gt;=$C$1),'General Inputs'!T$10*$H11,0))</f>
        <v>0</v>
      </c>
      <c r="BR11" s="214">
        <f>IF(AND(($D11+$C$1)&gt;AW$3,AW$3&gt;=$C$1),'General Inputs'!U$10*$I11,IF(AND(($C11+$C$1)&gt;AW$3,AW$3&gt;=$C$1),'General Inputs'!U$10*$H11,0))</f>
        <v>0</v>
      </c>
      <c r="BS11" s="214">
        <f>IF(AND(($D11+$C$1)&gt;AX$3,AX$3&gt;=$C$1),'General Inputs'!V$10*$I11,IF(AND(($C11+$C$1)&gt;AX$3,AX$3&gt;=$C$1),'General Inputs'!V$10*$H11,0))</f>
        <v>0</v>
      </c>
      <c r="BT11" s="214">
        <f>IF(AND(($D11+$C$1)&gt;AY$3,AY$3&gt;=$C$1),'General Inputs'!W$10*$I11,IF(AND(($C11+$C$1)&gt;AY$3,AY$3&gt;=$C$1),'General Inputs'!W$10*$H11,0))</f>
        <v>0</v>
      </c>
    </row>
    <row r="12" spans="1:73">
      <c r="A12" s="341" t="s">
        <v>12</v>
      </c>
      <c r="B12" s="427" t="str">
        <f>Sources!B12</f>
        <v>ES Dishwasher (Gas DHW)</v>
      </c>
      <c r="C12" s="193">
        <f>Sources!C12</f>
        <v>10</v>
      </c>
      <c r="D12" s="193">
        <f>Sources!D12</f>
        <v>0</v>
      </c>
      <c r="F12" s="429">
        <f>Sources!F12*EnergyLineLoss</f>
        <v>5.5281600000000006</v>
      </c>
      <c r="G12" s="429">
        <f>Sources!G12*EnergyLineLoss</f>
        <v>0</v>
      </c>
      <c r="H12" s="477">
        <f>Sources!H12*PeakLineLoss</f>
        <v>2.6577692307692313E-3</v>
      </c>
      <c r="I12" s="477">
        <f>Sources!I12*PeakLineLoss</f>
        <v>0</v>
      </c>
      <c r="K12" s="419">
        <f>Sources!J12</f>
        <v>50</v>
      </c>
      <c r="L12" s="419">
        <f>Sources!K12</f>
        <v>0</v>
      </c>
      <c r="N12" s="438">
        <f t="shared" si="4"/>
        <v>3.8731067945003653E-2</v>
      </c>
      <c r="P12" s="215">
        <f t="shared" si="5"/>
        <v>1.6400001577306742</v>
      </c>
      <c r="Q12" s="215">
        <f t="shared" si="1"/>
        <v>0.29655323951950857</v>
      </c>
      <c r="R12" s="215">
        <f t="shared" si="2"/>
        <v>50</v>
      </c>
      <c r="T12" s="214">
        <f t="shared" si="6"/>
        <v>50</v>
      </c>
      <c r="U12" s="214">
        <f t="shared" si="6"/>
        <v>0</v>
      </c>
      <c r="V12" s="214">
        <f t="shared" si="6"/>
        <v>0</v>
      </c>
      <c r="W12" s="214">
        <f t="shared" si="6"/>
        <v>0</v>
      </c>
      <c r="X12" s="214">
        <f t="shared" si="6"/>
        <v>0</v>
      </c>
      <c r="Y12" s="214">
        <f t="shared" si="6"/>
        <v>0</v>
      </c>
      <c r="Z12" s="214">
        <f t="shared" si="6"/>
        <v>0</v>
      </c>
      <c r="AA12" s="214">
        <f t="shared" si="6"/>
        <v>0</v>
      </c>
      <c r="AB12" s="214">
        <f t="shared" si="6"/>
        <v>0</v>
      </c>
      <c r="AC12" s="214">
        <f t="shared" si="6"/>
        <v>0</v>
      </c>
      <c r="AD12" s="214">
        <f t="shared" si="6"/>
        <v>0</v>
      </c>
      <c r="AF12" s="214">
        <f>IF(AND(($D12+$C$1)&gt;AF$3,AF$3&gt;=$C$1),'General Inputs'!D$9*$G12,IF(AND(($C12+$C$1)&gt;AF$3,AF$3&gt;=$C$1),'General Inputs'!D$9*$F12,0))</f>
        <v>0.22008859432263597</v>
      </c>
      <c r="AG12" s="214">
        <f>IF(AND(($D12+$C$1)&gt;AG$3,AG$3&gt;=$C$1),'General Inputs'!E$9*$G12,IF(AND(($C12+$C$1)&gt;AG$3,AG$3&gt;=$C$1),'General Inputs'!E$9*$F12,0))</f>
        <v>0.2233899232374755</v>
      </c>
      <c r="AH12" s="214">
        <f>IF(AND(($D12+$C$1)&gt;AH$3,AH$3&gt;=$C$1),'General Inputs'!F$9*$G12,IF(AND(($C12+$C$1)&gt;AH$3,AH$3&gt;=$C$1),'General Inputs'!F$9*$F12,0))</f>
        <v>0.2267407720860376</v>
      </c>
      <c r="AI12" s="214">
        <f>IF(AND(($D12+$C$1)&gt;AI$3,AI$3&gt;=$C$1),'General Inputs'!G$9*$G12,IF(AND(($C12+$C$1)&gt;AI$3,AI$3&gt;=$C$1),'General Inputs'!G$9*$F12,0))</f>
        <v>0.23014188366732816</v>
      </c>
      <c r="AJ12" s="214">
        <f>IF(AND(($D12+$C$1)&gt;AJ$3,AJ$3&gt;=$C$1),'General Inputs'!H$9*$G12,IF(AND(($C12+$C$1)&gt;AJ$3,AJ$3&gt;=$C$1),'General Inputs'!H$9*$F12,0))</f>
        <v>0.23359401192233803</v>
      </c>
      <c r="AK12" s="214">
        <f>IF(AND(($D12+$C$1)&gt;AK$3,AK$3&gt;=$C$1),'General Inputs'!I$9*$G12,IF(AND(($C12+$C$1)&gt;AK$3,AK$3&gt;=$C$1),'General Inputs'!I$9*$F12,0))</f>
        <v>0.23709792210117309</v>
      </c>
      <c r="AL12" s="214">
        <f>IF(AND(($D12+$C$1)&gt;AL$3,AL$3&gt;=$C$1),'General Inputs'!J$9*$G12,IF(AND(($C12+$C$1)&gt;AL$3,AL$3&gt;=$C$1),'General Inputs'!J$9*$F12,0))</f>
        <v>0.24065439093269064</v>
      </c>
      <c r="AM12" s="214">
        <f>IF(AND(($D12+$C$1)&gt;AM$3,AM$3&gt;=$C$1),'General Inputs'!K$9*$G12,IF(AND(($C12+$C$1)&gt;AM$3,AM$3&gt;=$C$1),'General Inputs'!K$9*$F12,0))</f>
        <v>0.24426420679668095</v>
      </c>
      <c r="AN12" s="214">
        <f>IF(AND(($D12+$C$1)&gt;AN$3,AN$3&gt;=$C$1),'General Inputs'!L$9*$G12,IF(AND(($C12+$C$1)&gt;AN$3,AN$3&gt;=$C$1),'General Inputs'!L$9*$F12,0))</f>
        <v>0.24792816989863115</v>
      </c>
      <c r="AO12" s="214">
        <f>IF(AND(($D12+$C$1)&gt;AO$3,AO$3&gt;=$C$1),'General Inputs'!M$9*$G12,IF(AND(($C12+$C$1)&gt;AO$3,AO$3&gt;=$C$1),'General Inputs'!M$9*$F12,0))</f>
        <v>0.25164709244711059</v>
      </c>
      <c r="AP12" s="214">
        <f>IF(AND(($D12+$C$1)&gt;AP$3,AP$3&gt;=$C$1),'General Inputs'!N$9*$G12,IF(AND(($C12+$C$1)&gt;AP$3,AP$3&gt;=$C$1),'General Inputs'!N$9*$F12,0))</f>
        <v>0</v>
      </c>
      <c r="AQ12" s="214">
        <f>IF(AND(($D12+$C$1)&gt;AQ$3,AQ$3&gt;=$C$1),'General Inputs'!O$9*$G12,IF(AND(($C12+$C$1)&gt;AQ$3,AQ$3&gt;=$C$1),'General Inputs'!O$9*$F12,0))</f>
        <v>0</v>
      </c>
      <c r="AR12" s="214">
        <f>IF(AND(($D12+$C$1)&gt;AR$3,AR$3&gt;=$C$1),'General Inputs'!P$9*$G12,IF(AND(($C12+$C$1)&gt;AR$3,AR$3&gt;=$C$1),'General Inputs'!P$9*$F12,0))</f>
        <v>0</v>
      </c>
      <c r="AS12" s="214">
        <f>IF(AND(($D12+$C$1)&gt;AS$3,AS$3&gt;=$C$1),'General Inputs'!Q$9*$G12,IF(AND(($C12+$C$1)&gt;AS$3,AS$3&gt;=$C$1),'General Inputs'!Q$9*$F12,0))</f>
        <v>0</v>
      </c>
      <c r="AT12" s="214">
        <f>IF(AND(($D12+$C$1)&gt;AT$3,AT$3&gt;=$C$1),'General Inputs'!R$9*$G12,IF(AND(($C12+$C$1)&gt;AT$3,AT$3&gt;=$C$1),'General Inputs'!R$9*$F12,0))</f>
        <v>0</v>
      </c>
      <c r="AU12" s="214">
        <f>IF(AND(($D12+$C$1)&gt;AU$3,AU$3&gt;=$C$1),'General Inputs'!S$9*$G12,IF(AND(($C12+$C$1)&gt;AU$3,AU$3&gt;=$C$1),'General Inputs'!S$9*$F12,0))</f>
        <v>0</v>
      </c>
      <c r="AV12" s="214">
        <f>IF(AND(($D12+$C$1)&gt;AV$3,AV$3&gt;=$C$1),'General Inputs'!T$9*$G12,IF(AND(($C12+$C$1)&gt;AV$3,AV$3&gt;=$C$1),'General Inputs'!T$9*$F12,0))</f>
        <v>0</v>
      </c>
      <c r="AW12" s="214">
        <f>IF(AND(($D12+$C$1)&gt;AW$3,AW$3&gt;=$C$1),'General Inputs'!U$9*$G12,IF(AND(($C12+$C$1)&gt;AW$3,AW$3&gt;=$C$1),'General Inputs'!U$9*$F12,0))</f>
        <v>0</v>
      </c>
      <c r="AX12" s="214">
        <f>IF(AND(($D12+$C$1)&gt;AX$3,AX$3&gt;=$C$1),'General Inputs'!V$9*$G12,IF(AND(($C12+$C$1)&gt;AX$3,AX$3&gt;=$C$1),'General Inputs'!V$9*$F12,0))</f>
        <v>0</v>
      </c>
      <c r="AY12" s="214">
        <f>IF(AND(($D12+$C$1)&gt;AY$3,AY$3&gt;=$C$1),'General Inputs'!W$9*$G12,IF(AND(($C12+$C$1)&gt;AY$3,AY$3&gt;=$C$1),'General Inputs'!W$9*$F12,0))</f>
        <v>0</v>
      </c>
      <c r="BA12" s="214">
        <f>IF(AND(($D12+$C$1)&gt;AF$3,AF$3&gt;=$C$1),'General Inputs'!D$10*$I12,IF(AND(($C12+$C$1)&gt;AF$3,AF$3&gt;=$C$1),'General Inputs'!D$10*$H12,0))</f>
        <v>3.9797548384377116E-2</v>
      </c>
      <c r="BB12" s="214">
        <f>IF(AND(($D12+$C$1)&gt;AG$3,AG$3&gt;=$C$1),'General Inputs'!E$10*$I12,IF(AND(($C12+$C$1)&gt;AG$3,AG$3&gt;=$C$1),'General Inputs'!E$10*$H12,0))</f>
        <v>4.0394511610142771E-2</v>
      </c>
      <c r="BC12" s="214">
        <f>IF(AND(($D12+$C$1)&gt;AH$3,AH$3&gt;=$C$1),'General Inputs'!F$10*$I12,IF(AND(($C12+$C$1)&gt;AH$3,AH$3&gt;=$C$1),'General Inputs'!F$10*$H12,0))</f>
        <v>4.1000429284294905E-2</v>
      </c>
      <c r="BD12" s="214">
        <f>IF(AND(($D12+$C$1)&gt;AI$3,AI$3&gt;=$C$1),'General Inputs'!G$10*$I12,IF(AND(($C12+$C$1)&gt;AI$3,AI$3&gt;=$C$1),'General Inputs'!G$10*$H12,0))</f>
        <v>4.161543572355933E-2</v>
      </c>
      <c r="BE12" s="214">
        <f>IF(AND(($D12+$C$1)&gt;AJ$3,AJ$3&gt;=$C$1),'General Inputs'!H$10*$I12,IF(AND(($C12+$C$1)&gt;AJ$3,AJ$3&gt;=$C$1),'General Inputs'!H$10*$H12,0))</f>
        <v>4.2239667259412715E-2</v>
      </c>
      <c r="BF12" s="214">
        <f>IF(AND(($D12+$C$1)&gt;AK$3,AK$3&gt;=$C$1),'General Inputs'!I$10*$I12,IF(AND(($C12+$C$1)&gt;AK$3,AK$3&gt;=$C$1),'General Inputs'!I$10*$H12,0))</f>
        <v>4.2873262268303895E-2</v>
      </c>
      <c r="BG12" s="214">
        <f>IF(AND(($D12+$C$1)&gt;AL$3,AL$3&gt;=$C$1),'General Inputs'!J$10*$I12,IF(AND(($C12+$C$1)&gt;AL$3,AL$3&gt;=$C$1),'General Inputs'!J$10*$H12,0))</f>
        <v>4.3516361202328449E-2</v>
      </c>
      <c r="BH12" s="214">
        <f>IF(AND(($D12+$C$1)&gt;AM$3,AM$3&gt;=$C$1),'General Inputs'!K$10*$I12,IF(AND(($C12+$C$1)&gt;AM$3,AM$3&gt;=$C$1),'General Inputs'!K$10*$H12,0))</f>
        <v>4.4169106620363371E-2</v>
      </c>
      <c r="BI12" s="214">
        <f>IF(AND(($D12+$C$1)&gt;AN$3,AN$3&gt;=$C$1),'General Inputs'!L$10*$I12,IF(AND(($C12+$C$1)&gt;AN$3,AN$3&gt;=$C$1),'General Inputs'!L$10*$H12,0))</f>
        <v>4.4831643219668822E-2</v>
      </c>
      <c r="BJ12" s="214">
        <f>IF(AND(($D12+$C$1)&gt;AO$3,AO$3&gt;=$C$1),'General Inputs'!M$10*$I12,IF(AND(($C12+$C$1)&gt;AO$3,AO$3&gt;=$C$1),'General Inputs'!M$10*$H12,0))</f>
        <v>4.550411786796385E-2</v>
      </c>
      <c r="BK12" s="214">
        <f>IF(AND(($D12+$C$1)&gt;AP$3,AP$3&gt;=$C$1),'General Inputs'!N$10*$I12,IF(AND(($C12+$C$1)&gt;AP$3,AP$3&gt;=$C$1),'General Inputs'!N$10*$H12,0))</f>
        <v>0</v>
      </c>
      <c r="BL12" s="214">
        <f>IF(AND(($D12+$C$1)&gt;AQ$3,AQ$3&gt;=$C$1),'General Inputs'!O$10*$I12,IF(AND(($C12+$C$1)&gt;AQ$3,AQ$3&gt;=$C$1),'General Inputs'!O$10*$H12,0))</f>
        <v>0</v>
      </c>
      <c r="BM12" s="214">
        <f>IF(AND(($D12+$C$1)&gt;AR$3,AR$3&gt;=$C$1),'General Inputs'!P$10*$I12,IF(AND(($C12+$C$1)&gt;AR$3,AR$3&gt;=$C$1),'General Inputs'!P$10*$H12,0))</f>
        <v>0</v>
      </c>
      <c r="BN12" s="214">
        <f>IF(AND(($D12+$C$1)&gt;AS$3,AS$3&gt;=$C$1),'General Inputs'!Q$10*$I12,IF(AND(($C12+$C$1)&gt;AS$3,AS$3&gt;=$C$1),'General Inputs'!Q$10*$H12,0))</f>
        <v>0</v>
      </c>
      <c r="BO12" s="214">
        <f>IF(AND(($D12+$C$1)&gt;AT$3,AT$3&gt;=$C$1),'General Inputs'!R$10*$I12,IF(AND(($C12+$C$1)&gt;AT$3,AT$3&gt;=$C$1),'General Inputs'!R$10*$H12,0))</f>
        <v>0</v>
      </c>
      <c r="BP12" s="214">
        <f>IF(AND(($D12+$C$1)&gt;AU$3,AU$3&gt;=$C$1),'General Inputs'!S$10*$I12,IF(AND(($C12+$C$1)&gt;AU$3,AU$3&gt;=$C$1),'General Inputs'!S$10*$H12,0))</f>
        <v>0</v>
      </c>
      <c r="BQ12" s="214">
        <f>IF(AND(($D12+$C$1)&gt;AV$3,AV$3&gt;=$C$1),'General Inputs'!T$10*$I12,IF(AND(($C12+$C$1)&gt;AV$3,AV$3&gt;=$C$1),'General Inputs'!T$10*$H12,0))</f>
        <v>0</v>
      </c>
      <c r="BR12" s="214">
        <f>IF(AND(($D12+$C$1)&gt;AW$3,AW$3&gt;=$C$1),'General Inputs'!U$10*$I12,IF(AND(($C12+$C$1)&gt;AW$3,AW$3&gt;=$C$1),'General Inputs'!U$10*$H12,0))</f>
        <v>0</v>
      </c>
      <c r="BS12" s="214">
        <f>IF(AND(($D12+$C$1)&gt;AX$3,AX$3&gt;=$C$1),'General Inputs'!V$10*$I12,IF(AND(($C12+$C$1)&gt;AX$3,AX$3&gt;=$C$1),'General Inputs'!V$10*$H12,0))</f>
        <v>0</v>
      </c>
      <c r="BT12" s="214">
        <f>IF(AND(($D12+$C$1)&gt;AY$3,AY$3&gt;=$C$1),'General Inputs'!W$10*$I12,IF(AND(($C12+$C$1)&gt;AY$3,AY$3&gt;=$C$1),'General Inputs'!W$10*$H12,0))</f>
        <v>0</v>
      </c>
    </row>
    <row r="13" spans="1:73">
      <c r="A13" s="341" t="s">
        <v>12</v>
      </c>
      <c r="B13" s="427" t="str">
        <f>Sources!B13</f>
        <v>ENERGY STAR Room Air Conditioner</v>
      </c>
      <c r="C13" s="193">
        <f>Sources!C13</f>
        <v>9</v>
      </c>
      <c r="D13" s="193">
        <f>Sources!D13</f>
        <v>0</v>
      </c>
      <c r="F13" s="429">
        <f>Sources!F13*EnergyLineLoss</f>
        <v>40.054104083786541</v>
      </c>
      <c r="G13" s="429">
        <f>Sources!G13*EnergyLineLoss</f>
        <v>0</v>
      </c>
      <c r="H13" s="477">
        <f>Sources!H13*PeakLineLoss</f>
        <v>3.0601607534302112E-2</v>
      </c>
      <c r="I13" s="477">
        <f>Sources!I13*PeakLineLoss</f>
        <v>0</v>
      </c>
      <c r="K13" s="419">
        <f>Sources!J13</f>
        <v>200</v>
      </c>
      <c r="L13" s="419">
        <f>Sources!K13</f>
        <v>0</v>
      </c>
      <c r="N13" s="438">
        <f t="shared" si="4"/>
        <v>7.1009860952910009E-2</v>
      </c>
      <c r="P13" s="215">
        <f t="shared" si="5"/>
        <v>11.031897160017362</v>
      </c>
      <c r="Q13" s="215">
        <f t="shared" si="1"/>
        <v>3.1700750305646412</v>
      </c>
      <c r="R13" s="215">
        <f t="shared" si="2"/>
        <v>200</v>
      </c>
      <c r="T13" s="214">
        <f t="shared" si="6"/>
        <v>200</v>
      </c>
      <c r="U13" s="214">
        <f t="shared" si="6"/>
        <v>0</v>
      </c>
      <c r="V13" s="214">
        <f t="shared" si="6"/>
        <v>0</v>
      </c>
      <c r="W13" s="214">
        <f t="shared" si="6"/>
        <v>0</v>
      </c>
      <c r="X13" s="214">
        <f t="shared" si="6"/>
        <v>0</v>
      </c>
      <c r="Y13" s="214">
        <f t="shared" si="6"/>
        <v>0</v>
      </c>
      <c r="Z13" s="214">
        <f t="shared" si="6"/>
        <v>0</v>
      </c>
      <c r="AA13" s="214">
        <f t="shared" si="6"/>
        <v>0</v>
      </c>
      <c r="AB13" s="214">
        <f t="shared" si="6"/>
        <v>0</v>
      </c>
      <c r="AC13" s="214">
        <f t="shared" si="6"/>
        <v>0</v>
      </c>
      <c r="AD13" s="214">
        <f t="shared" si="6"/>
        <v>0</v>
      </c>
      <c r="AF13" s="214">
        <f>IF(AND(($D13+$C$1)&gt;AF$3,AF$3&gt;=$C$1),'General Inputs'!D$9*$G13,IF(AND(($C13+$C$1)&gt;AF$3,AF$3&gt;=$C$1),'General Inputs'!D$9*$F13,0))</f>
        <v>1.5946447759567617</v>
      </c>
      <c r="AG13" s="214">
        <f>IF(AND(($D13+$C$1)&gt;AG$3,AG$3&gt;=$C$1),'General Inputs'!E$9*$G13,IF(AND(($C13+$C$1)&gt;AG$3,AG$3&gt;=$C$1),'General Inputs'!E$9*$F13,0))</f>
        <v>1.618564447596113</v>
      </c>
      <c r="AH13" s="214">
        <f>IF(AND(($D13+$C$1)&gt;AH$3,AH$3&gt;=$C$1),'General Inputs'!F$9*$G13,IF(AND(($C13+$C$1)&gt;AH$3,AH$3&gt;=$C$1),'General Inputs'!F$9*$F13,0))</f>
        <v>1.6428429143100545</v>
      </c>
      <c r="AI13" s="214">
        <f>IF(AND(($D13+$C$1)&gt;AI$3,AI$3&gt;=$C$1),'General Inputs'!G$9*$G13,IF(AND(($C13+$C$1)&gt;AI$3,AI$3&gt;=$C$1),'General Inputs'!G$9*$F13,0))</f>
        <v>1.6674855580247052</v>
      </c>
      <c r="AJ13" s="214">
        <f>IF(AND(($D13+$C$1)&gt;AJ$3,AJ$3&gt;=$C$1),'General Inputs'!H$9*$G13,IF(AND(($C13+$C$1)&gt;AJ$3,AJ$3&gt;=$C$1),'General Inputs'!H$9*$F13,0))</f>
        <v>1.6924978413950755</v>
      </c>
      <c r="AK13" s="214">
        <f>IF(AND(($D13+$C$1)&gt;AK$3,AK$3&gt;=$C$1),'General Inputs'!I$9*$G13,IF(AND(($C13+$C$1)&gt;AK$3,AK$3&gt;=$C$1),'General Inputs'!I$9*$F13,0))</f>
        <v>1.7178853090160013</v>
      </c>
      <c r="AL13" s="214">
        <f>IF(AND(($D13+$C$1)&gt;AL$3,AL$3&gt;=$C$1),'General Inputs'!J$9*$G13,IF(AND(($C13+$C$1)&gt;AL$3,AL$3&gt;=$C$1),'General Inputs'!J$9*$F13,0))</f>
        <v>1.7436535886512412</v>
      </c>
      <c r="AM13" s="214">
        <f>IF(AND(($D13+$C$1)&gt;AM$3,AM$3&gt;=$C$1),'General Inputs'!K$9*$G13,IF(AND(($C13+$C$1)&gt;AM$3,AM$3&gt;=$C$1),'General Inputs'!K$9*$F13,0))</f>
        <v>1.7698083924810095</v>
      </c>
      <c r="AN13" s="214">
        <f>IF(AND(($D13+$C$1)&gt;AN$3,AN$3&gt;=$C$1),'General Inputs'!L$9*$G13,IF(AND(($C13+$C$1)&gt;AN$3,AN$3&gt;=$C$1),'General Inputs'!L$9*$F13,0))</f>
        <v>1.7963555183682245</v>
      </c>
      <c r="AO13" s="214">
        <f>IF(AND(($D13+$C$1)&gt;AO$3,AO$3&gt;=$C$1),'General Inputs'!M$9*$G13,IF(AND(($C13+$C$1)&gt;AO$3,AO$3&gt;=$C$1),'General Inputs'!M$9*$F13,0))</f>
        <v>0</v>
      </c>
      <c r="AP13" s="214">
        <f>IF(AND(($D13+$C$1)&gt;AP$3,AP$3&gt;=$C$1),'General Inputs'!N$9*$G13,IF(AND(($C13+$C$1)&gt;AP$3,AP$3&gt;=$C$1),'General Inputs'!N$9*$F13,0))</f>
        <v>0</v>
      </c>
      <c r="AQ13" s="214">
        <f>IF(AND(($D13+$C$1)&gt;AQ$3,AQ$3&gt;=$C$1),'General Inputs'!O$9*$G13,IF(AND(($C13+$C$1)&gt;AQ$3,AQ$3&gt;=$C$1),'General Inputs'!O$9*$F13,0))</f>
        <v>0</v>
      </c>
      <c r="AR13" s="214">
        <f>IF(AND(($D13+$C$1)&gt;AR$3,AR$3&gt;=$C$1),'General Inputs'!P$9*$G13,IF(AND(($C13+$C$1)&gt;AR$3,AR$3&gt;=$C$1),'General Inputs'!P$9*$F13,0))</f>
        <v>0</v>
      </c>
      <c r="AS13" s="214">
        <f>IF(AND(($D13+$C$1)&gt;AS$3,AS$3&gt;=$C$1),'General Inputs'!Q$9*$G13,IF(AND(($C13+$C$1)&gt;AS$3,AS$3&gt;=$C$1),'General Inputs'!Q$9*$F13,0))</f>
        <v>0</v>
      </c>
      <c r="AT13" s="214">
        <f>IF(AND(($D13+$C$1)&gt;AT$3,AT$3&gt;=$C$1),'General Inputs'!R$9*$G13,IF(AND(($C13+$C$1)&gt;AT$3,AT$3&gt;=$C$1),'General Inputs'!R$9*$F13,0))</f>
        <v>0</v>
      </c>
      <c r="AU13" s="214">
        <f>IF(AND(($D13+$C$1)&gt;AU$3,AU$3&gt;=$C$1),'General Inputs'!S$9*$G13,IF(AND(($C13+$C$1)&gt;AU$3,AU$3&gt;=$C$1),'General Inputs'!S$9*$F13,0))</f>
        <v>0</v>
      </c>
      <c r="AV13" s="214">
        <f>IF(AND(($D13+$C$1)&gt;AV$3,AV$3&gt;=$C$1),'General Inputs'!T$9*$G13,IF(AND(($C13+$C$1)&gt;AV$3,AV$3&gt;=$C$1),'General Inputs'!T$9*$F13,0))</f>
        <v>0</v>
      </c>
      <c r="AW13" s="214">
        <f>IF(AND(($D13+$C$1)&gt;AW$3,AW$3&gt;=$C$1),'General Inputs'!U$9*$G13,IF(AND(($C13+$C$1)&gt;AW$3,AW$3&gt;=$C$1),'General Inputs'!U$9*$F13,0))</f>
        <v>0</v>
      </c>
      <c r="AX13" s="214">
        <f>IF(AND(($D13+$C$1)&gt;AX$3,AX$3&gt;=$C$1),'General Inputs'!V$9*$G13,IF(AND(($C13+$C$1)&gt;AX$3,AX$3&gt;=$C$1),'General Inputs'!V$9*$F13,0))</f>
        <v>0</v>
      </c>
      <c r="AY13" s="214">
        <f>IF(AND(($D13+$C$1)&gt;AY$3,AY$3&gt;=$C$1),'General Inputs'!W$9*$G13,IF(AND(($C13+$C$1)&gt;AY$3,AY$3&gt;=$C$1),'General Inputs'!W$9*$F13,0))</f>
        <v>0</v>
      </c>
      <c r="BA13" s="214">
        <f>IF(AND(($D13+$C$1)&gt;AF$3,AF$3&gt;=$C$1),'General Inputs'!D$10*$I13,IF(AND(($C13+$C$1)&gt;AF$3,AF$3&gt;=$C$1),'General Inputs'!D$10*$H13,0))</f>
        <v>0.45822975990041953</v>
      </c>
      <c r="BB13" s="214">
        <f>IF(AND(($D13+$C$1)&gt;AG$3,AG$3&gt;=$C$1),'General Inputs'!E$10*$I13,IF(AND(($C13+$C$1)&gt;AG$3,AG$3&gt;=$C$1),'General Inputs'!E$10*$H13,0))</f>
        <v>0.46510320629892576</v>
      </c>
      <c r="BC13" s="214">
        <f>IF(AND(($D13+$C$1)&gt;AH$3,AH$3&gt;=$C$1),'General Inputs'!F$10*$I13,IF(AND(($C13+$C$1)&gt;AH$3,AH$3&gt;=$C$1),'General Inputs'!F$10*$H13,0))</f>
        <v>0.47207975439340966</v>
      </c>
      <c r="BD13" s="214">
        <f>IF(AND(($D13+$C$1)&gt;AI$3,AI$3&gt;=$C$1),'General Inputs'!G$10*$I13,IF(AND(($C13+$C$1)&gt;AI$3,AI$3&gt;=$C$1),'General Inputs'!G$10*$H13,0))</f>
        <v>0.47916095070931075</v>
      </c>
      <c r="BE13" s="214">
        <f>IF(AND(($D13+$C$1)&gt;AJ$3,AJ$3&gt;=$C$1),'General Inputs'!H$10*$I13,IF(AND(($C13+$C$1)&gt;AJ$3,AJ$3&gt;=$C$1),'General Inputs'!H$10*$H13,0))</f>
        <v>0.48634836496995038</v>
      </c>
      <c r="BF13" s="214">
        <f>IF(AND(($D13+$C$1)&gt;AK$3,AK$3&gt;=$C$1),'General Inputs'!I$10*$I13,IF(AND(($C13+$C$1)&gt;AK$3,AK$3&gt;=$C$1),'General Inputs'!I$10*$H13,0))</f>
        <v>0.49364359044449951</v>
      </c>
      <c r="BG13" s="214">
        <f>IF(AND(($D13+$C$1)&gt;AL$3,AL$3&gt;=$C$1),'General Inputs'!J$10*$I13,IF(AND(($C13+$C$1)&gt;AL$3,AL$3&gt;=$C$1),'General Inputs'!J$10*$H13,0))</f>
        <v>0.50104824430116701</v>
      </c>
      <c r="BH13" s="214">
        <f>IF(AND(($D13+$C$1)&gt;AM$3,AM$3&gt;=$C$1),'General Inputs'!K$10*$I13,IF(AND(($C13+$C$1)&gt;AM$3,AM$3&gt;=$C$1),'General Inputs'!K$10*$H13,0))</f>
        <v>0.50856396796568448</v>
      </c>
      <c r="BI13" s="214">
        <f>IF(AND(($D13+$C$1)&gt;AN$3,AN$3&gt;=$C$1),'General Inputs'!L$10*$I13,IF(AND(($C13+$C$1)&gt;AN$3,AN$3&gt;=$C$1),'General Inputs'!L$10*$H13,0))</f>
        <v>0.51619242748516969</v>
      </c>
      <c r="BJ13" s="214">
        <f>IF(AND(($D13+$C$1)&gt;AO$3,AO$3&gt;=$C$1),'General Inputs'!M$10*$I13,IF(AND(($C13+$C$1)&gt;AO$3,AO$3&gt;=$C$1),'General Inputs'!M$10*$H13,0))</f>
        <v>0</v>
      </c>
      <c r="BK13" s="214">
        <f>IF(AND(($D13+$C$1)&gt;AP$3,AP$3&gt;=$C$1),'General Inputs'!N$10*$I13,IF(AND(($C13+$C$1)&gt;AP$3,AP$3&gt;=$C$1),'General Inputs'!N$10*$H13,0))</f>
        <v>0</v>
      </c>
      <c r="BL13" s="214">
        <f>IF(AND(($D13+$C$1)&gt;AQ$3,AQ$3&gt;=$C$1),'General Inputs'!O$10*$I13,IF(AND(($C13+$C$1)&gt;AQ$3,AQ$3&gt;=$C$1),'General Inputs'!O$10*$H13,0))</f>
        <v>0</v>
      </c>
      <c r="BM13" s="214">
        <f>IF(AND(($D13+$C$1)&gt;AR$3,AR$3&gt;=$C$1),'General Inputs'!P$10*$I13,IF(AND(($C13+$C$1)&gt;AR$3,AR$3&gt;=$C$1),'General Inputs'!P$10*$H13,0))</f>
        <v>0</v>
      </c>
      <c r="BN13" s="214">
        <f>IF(AND(($D13+$C$1)&gt;AS$3,AS$3&gt;=$C$1),'General Inputs'!Q$10*$I13,IF(AND(($C13+$C$1)&gt;AS$3,AS$3&gt;=$C$1),'General Inputs'!Q$10*$H13,0))</f>
        <v>0</v>
      </c>
      <c r="BO13" s="214">
        <f>IF(AND(($D13+$C$1)&gt;AT$3,AT$3&gt;=$C$1),'General Inputs'!R$10*$I13,IF(AND(($C13+$C$1)&gt;AT$3,AT$3&gt;=$C$1),'General Inputs'!R$10*$H13,0))</f>
        <v>0</v>
      </c>
      <c r="BP13" s="214">
        <f>IF(AND(($D13+$C$1)&gt;AU$3,AU$3&gt;=$C$1),'General Inputs'!S$10*$I13,IF(AND(($C13+$C$1)&gt;AU$3,AU$3&gt;=$C$1),'General Inputs'!S$10*$H13,0))</f>
        <v>0</v>
      </c>
      <c r="BQ13" s="214">
        <f>IF(AND(($D13+$C$1)&gt;AV$3,AV$3&gt;=$C$1),'General Inputs'!T$10*$I13,IF(AND(($C13+$C$1)&gt;AV$3,AV$3&gt;=$C$1),'General Inputs'!T$10*$H13,0))</f>
        <v>0</v>
      </c>
      <c r="BR13" s="214">
        <f>IF(AND(($D13+$C$1)&gt;AW$3,AW$3&gt;=$C$1),'General Inputs'!U$10*$I13,IF(AND(($C13+$C$1)&gt;AW$3,AW$3&gt;=$C$1),'General Inputs'!U$10*$H13,0))</f>
        <v>0</v>
      </c>
      <c r="BS13" s="214">
        <f>IF(AND(($D13+$C$1)&gt;AX$3,AX$3&gt;=$C$1),'General Inputs'!V$10*$I13,IF(AND(($C13+$C$1)&gt;AX$3,AX$3&gt;=$C$1),'General Inputs'!V$10*$H13,0))</f>
        <v>0</v>
      </c>
      <c r="BT13" s="214">
        <f>IF(AND(($D13+$C$1)&gt;AY$3,AY$3&gt;=$C$1),'General Inputs'!W$10*$I13,IF(AND(($C13+$C$1)&gt;AY$3,AY$3&gt;=$C$1),'General Inputs'!W$10*$H13,0))</f>
        <v>0</v>
      </c>
    </row>
    <row r="14" spans="1:73">
      <c r="A14" s="341" t="s">
        <v>12</v>
      </c>
      <c r="B14" s="427" t="str">
        <f>Sources!B14</f>
        <v>Advanced Power Strip</v>
      </c>
      <c r="C14" s="193">
        <f>Sources!C14</f>
        <v>10</v>
      </c>
      <c r="D14" s="193">
        <f>Sources!D14</f>
        <v>0</v>
      </c>
      <c r="F14" s="429">
        <f>Sources!F14*EnergyLineLoss</f>
        <v>78.629699999999985</v>
      </c>
      <c r="G14" s="429">
        <f>Sources!G14*EnergyLineLoss</f>
        <v>0</v>
      </c>
      <c r="H14" s="477">
        <f>Sources!H14*PeakLineLoss</f>
        <v>1.1029555337354465E-2</v>
      </c>
      <c r="I14" s="477">
        <f>Sources!I14*PeakLineLoss</f>
        <v>0</v>
      </c>
      <c r="K14" s="419">
        <f>Sources!J14</f>
        <v>20</v>
      </c>
      <c r="L14" s="419">
        <f>Sources!K14</f>
        <v>0</v>
      </c>
      <c r="N14" s="438">
        <f t="shared" si="4"/>
        <v>1.2278596238448243</v>
      </c>
      <c r="P14" s="215">
        <f t="shared" si="5"/>
        <v>23.326517394995008</v>
      </c>
      <c r="Q14" s="215">
        <f t="shared" si="1"/>
        <v>1.2306750819014785</v>
      </c>
      <c r="R14" s="215">
        <f t="shared" si="2"/>
        <v>20</v>
      </c>
      <c r="T14" s="214">
        <f t="shared" si="6"/>
        <v>20</v>
      </c>
      <c r="U14" s="214">
        <f t="shared" si="6"/>
        <v>0</v>
      </c>
      <c r="V14" s="214">
        <f t="shared" si="6"/>
        <v>0</v>
      </c>
      <c r="W14" s="214">
        <f t="shared" si="6"/>
        <v>0</v>
      </c>
      <c r="X14" s="214">
        <f t="shared" si="6"/>
        <v>0</v>
      </c>
      <c r="Y14" s="214">
        <f t="shared" si="6"/>
        <v>0</v>
      </c>
      <c r="Z14" s="214">
        <f t="shared" si="6"/>
        <v>0</v>
      </c>
      <c r="AA14" s="214">
        <f t="shared" si="6"/>
        <v>0</v>
      </c>
      <c r="AB14" s="214">
        <f t="shared" si="6"/>
        <v>0</v>
      </c>
      <c r="AC14" s="214">
        <f t="shared" si="6"/>
        <v>0</v>
      </c>
      <c r="AD14" s="214">
        <f t="shared" si="6"/>
        <v>0</v>
      </c>
      <c r="AF14" s="214">
        <f>IF(AND(($D14+$C$1)&gt;AF$3,AF$3&gt;=$C$1),'General Inputs'!D$9*$G14,IF(AND(($C14+$C$1)&gt;AF$3,AF$3&gt;=$C$1),'General Inputs'!D$9*$F14,0))</f>
        <v>3.1304267866723405</v>
      </c>
      <c r="AG14" s="214">
        <f>IF(AND(($D14+$C$1)&gt;AG$3,AG$3&gt;=$C$1),'General Inputs'!E$9*$G14,IF(AND(($C14+$C$1)&gt;AG$3,AG$3&gt;=$C$1),'General Inputs'!E$9*$F14,0))</f>
        <v>3.1773831884724251</v>
      </c>
      <c r="AH14" s="214">
        <f>IF(AND(($D14+$C$1)&gt;AH$3,AH$3&gt;=$C$1),'General Inputs'!F$9*$G14,IF(AND(($C14+$C$1)&gt;AH$3,AH$3&gt;=$C$1),'General Inputs'!F$9*$F14,0))</f>
        <v>3.2250439362995111</v>
      </c>
      <c r="AI14" s="214">
        <f>IF(AND(($D14+$C$1)&gt;AI$3,AI$3&gt;=$C$1),'General Inputs'!G$9*$G14,IF(AND(($C14+$C$1)&gt;AI$3,AI$3&gt;=$C$1),'General Inputs'!G$9*$F14,0))</f>
        <v>3.2734195953440035</v>
      </c>
      <c r="AJ14" s="214">
        <f>IF(AND(($D14+$C$1)&gt;AJ$3,AJ$3&gt;=$C$1),'General Inputs'!H$9*$G14,IF(AND(($C14+$C$1)&gt;AJ$3,AJ$3&gt;=$C$1),'General Inputs'!H$9*$F14,0))</f>
        <v>3.3225208892741631</v>
      </c>
      <c r="AK14" s="214">
        <f>IF(AND(($D14+$C$1)&gt;AK$3,AK$3&gt;=$C$1),'General Inputs'!I$9*$G14,IF(AND(($C14+$C$1)&gt;AK$3,AK$3&gt;=$C$1),'General Inputs'!I$9*$F14,0))</f>
        <v>3.3723587026132753</v>
      </c>
      <c r="AL14" s="214">
        <f>IF(AND(($D14+$C$1)&gt;AL$3,AL$3&gt;=$C$1),'General Inputs'!J$9*$G14,IF(AND(($C14+$C$1)&gt;AL$3,AL$3&gt;=$C$1),'General Inputs'!J$9*$F14,0))</f>
        <v>3.4229440831524736</v>
      </c>
      <c r="AM14" s="214">
        <f>IF(AND(($D14+$C$1)&gt;AM$3,AM$3&gt;=$C$1),'General Inputs'!K$9*$G14,IF(AND(($C14+$C$1)&gt;AM$3,AM$3&gt;=$C$1),'General Inputs'!K$9*$F14,0))</f>
        <v>3.4742882443997605</v>
      </c>
      <c r="AN14" s="214">
        <f>IF(AND(($D14+$C$1)&gt;AN$3,AN$3&gt;=$C$1),'General Inputs'!L$9*$G14,IF(AND(($C14+$C$1)&gt;AN$3,AN$3&gt;=$C$1),'General Inputs'!L$9*$F14,0))</f>
        <v>3.5264025680657562</v>
      </c>
      <c r="AO14" s="214">
        <f>IF(AND(($D14+$C$1)&gt;AO$3,AO$3&gt;=$C$1),'General Inputs'!M$9*$G14,IF(AND(($C14+$C$1)&gt;AO$3,AO$3&gt;=$C$1),'General Inputs'!M$9*$F14,0))</f>
        <v>3.5792986065867423</v>
      </c>
      <c r="AP14" s="214">
        <f>IF(AND(($D14+$C$1)&gt;AP$3,AP$3&gt;=$C$1),'General Inputs'!N$9*$G14,IF(AND(($C14+$C$1)&gt;AP$3,AP$3&gt;=$C$1),'General Inputs'!N$9*$F14,0))</f>
        <v>0</v>
      </c>
      <c r="AQ14" s="214">
        <f>IF(AND(($D14+$C$1)&gt;AQ$3,AQ$3&gt;=$C$1),'General Inputs'!O$9*$G14,IF(AND(($C14+$C$1)&gt;AQ$3,AQ$3&gt;=$C$1),'General Inputs'!O$9*$F14,0))</f>
        <v>0</v>
      </c>
      <c r="AR14" s="214">
        <f>IF(AND(($D14+$C$1)&gt;AR$3,AR$3&gt;=$C$1),'General Inputs'!P$9*$G14,IF(AND(($C14+$C$1)&gt;AR$3,AR$3&gt;=$C$1),'General Inputs'!P$9*$F14,0))</f>
        <v>0</v>
      </c>
      <c r="AS14" s="214">
        <f>IF(AND(($D14+$C$1)&gt;AS$3,AS$3&gt;=$C$1),'General Inputs'!Q$9*$G14,IF(AND(($C14+$C$1)&gt;AS$3,AS$3&gt;=$C$1),'General Inputs'!Q$9*$F14,0))</f>
        <v>0</v>
      </c>
      <c r="AT14" s="214">
        <f>IF(AND(($D14+$C$1)&gt;AT$3,AT$3&gt;=$C$1),'General Inputs'!R$9*$G14,IF(AND(($C14+$C$1)&gt;AT$3,AT$3&gt;=$C$1),'General Inputs'!R$9*$F14,0))</f>
        <v>0</v>
      </c>
      <c r="AU14" s="214">
        <f>IF(AND(($D14+$C$1)&gt;AU$3,AU$3&gt;=$C$1),'General Inputs'!S$9*$G14,IF(AND(($C14+$C$1)&gt;AU$3,AU$3&gt;=$C$1),'General Inputs'!S$9*$F14,0))</f>
        <v>0</v>
      </c>
      <c r="AV14" s="214">
        <f>IF(AND(($D14+$C$1)&gt;AV$3,AV$3&gt;=$C$1),'General Inputs'!T$9*$G14,IF(AND(($C14+$C$1)&gt;AV$3,AV$3&gt;=$C$1),'General Inputs'!T$9*$F14,0))</f>
        <v>0</v>
      </c>
      <c r="AW14" s="214">
        <f>IF(AND(($D14+$C$1)&gt;AW$3,AW$3&gt;=$C$1),'General Inputs'!U$9*$G14,IF(AND(($C14+$C$1)&gt;AW$3,AW$3&gt;=$C$1),'General Inputs'!U$9*$F14,0))</f>
        <v>0</v>
      </c>
      <c r="AX14" s="214">
        <f>IF(AND(($D14+$C$1)&gt;AX$3,AX$3&gt;=$C$1),'General Inputs'!V$9*$G14,IF(AND(($C14+$C$1)&gt;AX$3,AX$3&gt;=$C$1),'General Inputs'!V$9*$F14,0))</f>
        <v>0</v>
      </c>
      <c r="AY14" s="214">
        <f>IF(AND(($D14+$C$1)&gt;AY$3,AY$3&gt;=$C$1),'General Inputs'!W$9*$G14,IF(AND(($C14+$C$1)&gt;AY$3,AY$3&gt;=$C$1),'General Inputs'!W$9*$F14,0))</f>
        <v>0</v>
      </c>
      <c r="BA14" s="214">
        <f>IF(AND(($D14+$C$1)&gt;AF$3,AF$3&gt;=$C$1),'General Inputs'!D$10*$I14,IF(AND(($C14+$C$1)&gt;AF$3,AF$3&gt;=$C$1),'General Inputs'!D$10*$H14,0))</f>
        <v>0.16515702609345254</v>
      </c>
      <c r="BB14" s="214">
        <f>IF(AND(($D14+$C$1)&gt;AG$3,AG$3&gt;=$C$1),'General Inputs'!E$10*$I14,IF(AND(($C14+$C$1)&gt;AG$3,AG$3&gt;=$C$1),'General Inputs'!E$10*$H14,0))</f>
        <v>0.16763438148485429</v>
      </c>
      <c r="BC14" s="214">
        <f>IF(AND(($D14+$C$1)&gt;AH$3,AH$3&gt;=$C$1),'General Inputs'!F$10*$I14,IF(AND(($C14+$C$1)&gt;AH$3,AH$3&gt;=$C$1),'General Inputs'!F$10*$H14,0))</f>
        <v>0.17014889720712711</v>
      </c>
      <c r="BD14" s="214">
        <f>IF(AND(($D14+$C$1)&gt;AI$3,AI$3&gt;=$C$1),'General Inputs'!G$10*$I14,IF(AND(($C14+$C$1)&gt;AI$3,AI$3&gt;=$C$1),'General Inputs'!G$10*$H14,0))</f>
        <v>0.17270113066523399</v>
      </c>
      <c r="BE14" s="214">
        <f>IF(AND(($D14+$C$1)&gt;AJ$3,AJ$3&gt;=$C$1),'General Inputs'!H$10*$I14,IF(AND(($C14+$C$1)&gt;AJ$3,AJ$3&gt;=$C$1),'General Inputs'!H$10*$H14,0))</f>
        <v>0.17529164762521249</v>
      </c>
      <c r="BF14" s="214">
        <f>IF(AND(($D14+$C$1)&gt;AK$3,AK$3&gt;=$C$1),'General Inputs'!I$10*$I14,IF(AND(($C14+$C$1)&gt;AK$3,AK$3&gt;=$C$1),'General Inputs'!I$10*$H14,0))</f>
        <v>0.17792102233959065</v>
      </c>
      <c r="BG14" s="214">
        <f>IF(AND(($D14+$C$1)&gt;AL$3,AL$3&gt;=$C$1),'General Inputs'!J$10*$I14,IF(AND(($C14+$C$1)&gt;AL$3,AL$3&gt;=$C$1),'General Inputs'!J$10*$H14,0))</f>
        <v>0.18058983767468448</v>
      </c>
      <c r="BH14" s="214">
        <f>IF(AND(($D14+$C$1)&gt;AM$3,AM$3&gt;=$C$1),'General Inputs'!K$10*$I14,IF(AND(($C14+$C$1)&gt;AM$3,AM$3&gt;=$C$1),'General Inputs'!K$10*$H14,0))</f>
        <v>0.18329868523980475</v>
      </c>
      <c r="BI14" s="214">
        <f>IF(AND(($D14+$C$1)&gt;AN$3,AN$3&gt;=$C$1),'General Inputs'!L$10*$I14,IF(AND(($C14+$C$1)&gt;AN$3,AN$3&gt;=$C$1),'General Inputs'!L$10*$H14,0))</f>
        <v>0.18604816551840181</v>
      </c>
      <c r="BJ14" s="214">
        <f>IF(AND(($D14+$C$1)&gt;AO$3,AO$3&gt;=$C$1),'General Inputs'!M$10*$I14,IF(AND(($C14+$C$1)&gt;AO$3,AO$3&gt;=$C$1),'General Inputs'!M$10*$H14,0))</f>
        <v>0.18883888800117782</v>
      </c>
      <c r="BK14" s="214">
        <f>IF(AND(($D14+$C$1)&gt;AP$3,AP$3&gt;=$C$1),'General Inputs'!N$10*$I14,IF(AND(($C14+$C$1)&gt;AP$3,AP$3&gt;=$C$1),'General Inputs'!N$10*$H14,0))</f>
        <v>0</v>
      </c>
      <c r="BL14" s="214">
        <f>IF(AND(($D14+$C$1)&gt;AQ$3,AQ$3&gt;=$C$1),'General Inputs'!O$10*$I14,IF(AND(($C14+$C$1)&gt;AQ$3,AQ$3&gt;=$C$1),'General Inputs'!O$10*$H14,0))</f>
        <v>0</v>
      </c>
      <c r="BM14" s="214">
        <f>IF(AND(($D14+$C$1)&gt;AR$3,AR$3&gt;=$C$1),'General Inputs'!P$10*$I14,IF(AND(($C14+$C$1)&gt;AR$3,AR$3&gt;=$C$1),'General Inputs'!P$10*$H14,0))</f>
        <v>0</v>
      </c>
      <c r="BN14" s="214">
        <f>IF(AND(($D14+$C$1)&gt;AS$3,AS$3&gt;=$C$1),'General Inputs'!Q$10*$I14,IF(AND(($C14+$C$1)&gt;AS$3,AS$3&gt;=$C$1),'General Inputs'!Q$10*$H14,0))</f>
        <v>0</v>
      </c>
      <c r="BO14" s="214">
        <f>IF(AND(($D14+$C$1)&gt;AT$3,AT$3&gt;=$C$1),'General Inputs'!R$10*$I14,IF(AND(($C14+$C$1)&gt;AT$3,AT$3&gt;=$C$1),'General Inputs'!R$10*$H14,0))</f>
        <v>0</v>
      </c>
      <c r="BP14" s="214">
        <f>IF(AND(($D14+$C$1)&gt;AU$3,AU$3&gt;=$C$1),'General Inputs'!S$10*$I14,IF(AND(($C14+$C$1)&gt;AU$3,AU$3&gt;=$C$1),'General Inputs'!S$10*$H14,0))</f>
        <v>0</v>
      </c>
      <c r="BQ14" s="214">
        <f>IF(AND(($D14+$C$1)&gt;AV$3,AV$3&gt;=$C$1),'General Inputs'!T$10*$I14,IF(AND(($C14+$C$1)&gt;AV$3,AV$3&gt;=$C$1),'General Inputs'!T$10*$H14,0))</f>
        <v>0</v>
      </c>
      <c r="BR14" s="214">
        <f>IF(AND(($D14+$C$1)&gt;AW$3,AW$3&gt;=$C$1),'General Inputs'!U$10*$I14,IF(AND(($C14+$C$1)&gt;AW$3,AW$3&gt;=$C$1),'General Inputs'!U$10*$H14,0))</f>
        <v>0</v>
      </c>
      <c r="BS14" s="214">
        <f>IF(AND(($D14+$C$1)&gt;AX$3,AX$3&gt;=$C$1),'General Inputs'!V$10*$I14,IF(AND(($C14+$C$1)&gt;AX$3,AX$3&gt;=$C$1),'General Inputs'!V$10*$H14,0))</f>
        <v>0</v>
      </c>
      <c r="BT14" s="214">
        <f>IF(AND(($D14+$C$1)&gt;AY$3,AY$3&gt;=$C$1),'General Inputs'!W$10*$I14,IF(AND(($C14+$C$1)&gt;AY$3,AY$3&gt;=$C$1),'General Inputs'!W$10*$H14,0))</f>
        <v>0</v>
      </c>
    </row>
    <row r="15" spans="1:73">
      <c r="A15" s="341" t="s">
        <v>12</v>
      </c>
      <c r="B15" s="427" t="str">
        <f>Sources!B15</f>
        <v>Refrigerator Recycle</v>
      </c>
      <c r="C15" s="193">
        <f>Sources!C15</f>
        <v>8</v>
      </c>
      <c r="D15" s="193">
        <f>Sources!D15</f>
        <v>0</v>
      </c>
      <c r="F15" s="429">
        <f>Sources!F15*EnergyLineLoss</f>
        <v>1349.5829999999999</v>
      </c>
      <c r="G15" s="429">
        <f>Sources!G15*EnergyLineLoss</f>
        <v>0</v>
      </c>
      <c r="H15" s="477">
        <f>Sources!H15*PeakLineLoss</f>
        <v>0.15406198630136986</v>
      </c>
      <c r="I15" s="477">
        <f>Sources!I15*PeakLineLoss</f>
        <v>0</v>
      </c>
      <c r="K15" s="419">
        <f>Sources!J15</f>
        <v>93</v>
      </c>
      <c r="L15" s="419">
        <f>Sources!K15</f>
        <v>0</v>
      </c>
      <c r="N15" s="438">
        <f t="shared" si="4"/>
        <v>3.8238002801085504</v>
      </c>
      <c r="P15" s="215">
        <f t="shared" si="5"/>
        <v>340.97350788364895</v>
      </c>
      <c r="Q15" s="215">
        <f t="shared" si="1"/>
        <v>14.639918166446263</v>
      </c>
      <c r="R15" s="215">
        <f t="shared" si="2"/>
        <v>93</v>
      </c>
      <c r="T15" s="214">
        <f t="shared" si="6"/>
        <v>93</v>
      </c>
      <c r="U15" s="214">
        <f t="shared" si="6"/>
        <v>0</v>
      </c>
      <c r="V15" s="214">
        <f t="shared" si="6"/>
        <v>0</v>
      </c>
      <c r="W15" s="214">
        <f t="shared" si="6"/>
        <v>0</v>
      </c>
      <c r="X15" s="214">
        <f t="shared" si="6"/>
        <v>0</v>
      </c>
      <c r="Y15" s="214">
        <f t="shared" si="6"/>
        <v>0</v>
      </c>
      <c r="Z15" s="214">
        <f t="shared" si="6"/>
        <v>0</v>
      </c>
      <c r="AA15" s="214">
        <f t="shared" si="6"/>
        <v>0</v>
      </c>
      <c r="AB15" s="214">
        <f t="shared" si="6"/>
        <v>0</v>
      </c>
      <c r="AC15" s="214">
        <f t="shared" si="6"/>
        <v>0</v>
      </c>
      <c r="AD15" s="214">
        <f t="shared" si="6"/>
        <v>0</v>
      </c>
      <c r="AF15" s="214">
        <f>IF(AND(($D15+$C$1)&gt;AF$3,AF$3&gt;=$C$1),'General Inputs'!D$9*$G15,IF(AND(($C15+$C$1)&gt;AF$3,AF$3&gt;=$C$1),'General Inputs'!D$9*$F15,0))</f>
        <v>53.729961757931385</v>
      </c>
      <c r="AG15" s="214">
        <f>IF(AND(($D15+$C$1)&gt;AG$3,AG$3&gt;=$C$1),'General Inputs'!E$9*$G15,IF(AND(($C15+$C$1)&gt;AG$3,AG$3&gt;=$C$1),'General Inputs'!E$9*$F15,0))</f>
        <v>54.535911184300353</v>
      </c>
      <c r="AH15" s="214">
        <f>IF(AND(($D15+$C$1)&gt;AH$3,AH$3&gt;=$C$1),'General Inputs'!F$9*$G15,IF(AND(($C15+$C$1)&gt;AH$3,AH$3&gt;=$C$1),'General Inputs'!F$9*$F15,0))</f>
        <v>55.353949852064851</v>
      </c>
      <c r="AI15" s="214">
        <f>IF(AND(($D15+$C$1)&gt;AI$3,AI$3&gt;=$C$1),'General Inputs'!G$9*$G15,IF(AND(($C15+$C$1)&gt;AI$3,AI$3&gt;=$C$1),'General Inputs'!G$9*$F15,0))</f>
        <v>56.184259099845818</v>
      </c>
      <c r="AJ15" s="214">
        <f>IF(AND(($D15+$C$1)&gt;AJ$3,AJ$3&gt;=$C$1),'General Inputs'!H$9*$G15,IF(AND(($C15+$C$1)&gt;AJ$3,AJ$3&gt;=$C$1),'General Inputs'!H$9*$F15,0))</f>
        <v>57.027022986343496</v>
      </c>
      <c r="AK15" s="214">
        <f>IF(AND(($D15+$C$1)&gt;AK$3,AK$3&gt;=$C$1),'General Inputs'!I$9*$G15,IF(AND(($C15+$C$1)&gt;AK$3,AK$3&gt;=$C$1),'General Inputs'!I$9*$F15,0))</f>
        <v>57.882428331138641</v>
      </c>
      <c r="AL15" s="214">
        <f>IF(AND(($D15+$C$1)&gt;AL$3,AL$3&gt;=$C$1),'General Inputs'!J$9*$G15,IF(AND(($C15+$C$1)&gt;AL$3,AL$3&gt;=$C$1),'General Inputs'!J$9*$F15,0))</f>
        <v>58.750664756105714</v>
      </c>
      <c r="AM15" s="214">
        <f>IF(AND(($D15+$C$1)&gt;AM$3,AM$3&gt;=$C$1),'General Inputs'!K$9*$G15,IF(AND(($C15+$C$1)&gt;AM$3,AM$3&gt;=$C$1),'General Inputs'!K$9*$F15,0))</f>
        <v>59.631924727447284</v>
      </c>
      <c r="AN15" s="214">
        <f>IF(AND(($D15+$C$1)&gt;AN$3,AN$3&gt;=$C$1),'General Inputs'!L$9*$G15,IF(AND(($C15+$C$1)&gt;AN$3,AN$3&gt;=$C$1),'General Inputs'!L$9*$F15,0))</f>
        <v>0</v>
      </c>
      <c r="AO15" s="214">
        <f>IF(AND(($D15+$C$1)&gt;AO$3,AO$3&gt;=$C$1),'General Inputs'!M$9*$G15,IF(AND(($C15+$C$1)&gt;AO$3,AO$3&gt;=$C$1),'General Inputs'!M$9*$F15,0))</f>
        <v>0</v>
      </c>
      <c r="AP15" s="214">
        <f>IF(AND(($D15+$C$1)&gt;AP$3,AP$3&gt;=$C$1),'General Inputs'!N$9*$G15,IF(AND(($C15+$C$1)&gt;AP$3,AP$3&gt;=$C$1),'General Inputs'!N$9*$F15,0))</f>
        <v>0</v>
      </c>
      <c r="AQ15" s="214">
        <f>IF(AND(($D15+$C$1)&gt;AQ$3,AQ$3&gt;=$C$1),'General Inputs'!O$9*$G15,IF(AND(($C15+$C$1)&gt;AQ$3,AQ$3&gt;=$C$1),'General Inputs'!O$9*$F15,0))</f>
        <v>0</v>
      </c>
      <c r="AR15" s="214">
        <f>IF(AND(($D15+$C$1)&gt;AR$3,AR$3&gt;=$C$1),'General Inputs'!P$9*$G15,IF(AND(($C15+$C$1)&gt;AR$3,AR$3&gt;=$C$1),'General Inputs'!P$9*$F15,0))</f>
        <v>0</v>
      </c>
      <c r="AS15" s="214">
        <f>IF(AND(($D15+$C$1)&gt;AS$3,AS$3&gt;=$C$1),'General Inputs'!Q$9*$G15,IF(AND(($C15+$C$1)&gt;AS$3,AS$3&gt;=$C$1),'General Inputs'!Q$9*$F15,0))</f>
        <v>0</v>
      </c>
      <c r="AT15" s="214">
        <f>IF(AND(($D15+$C$1)&gt;AT$3,AT$3&gt;=$C$1),'General Inputs'!R$9*$G15,IF(AND(($C15+$C$1)&gt;AT$3,AT$3&gt;=$C$1),'General Inputs'!R$9*$F15,0))</f>
        <v>0</v>
      </c>
      <c r="AU15" s="214">
        <f>IF(AND(($D15+$C$1)&gt;AU$3,AU$3&gt;=$C$1),'General Inputs'!S$9*$G15,IF(AND(($C15+$C$1)&gt;AU$3,AU$3&gt;=$C$1),'General Inputs'!S$9*$F15,0))</f>
        <v>0</v>
      </c>
      <c r="AV15" s="214">
        <f>IF(AND(($D15+$C$1)&gt;AV$3,AV$3&gt;=$C$1),'General Inputs'!T$9*$G15,IF(AND(($C15+$C$1)&gt;AV$3,AV$3&gt;=$C$1),'General Inputs'!T$9*$F15,0))</f>
        <v>0</v>
      </c>
      <c r="AW15" s="214">
        <f>IF(AND(($D15+$C$1)&gt;AW$3,AW$3&gt;=$C$1),'General Inputs'!U$9*$G15,IF(AND(($C15+$C$1)&gt;AW$3,AW$3&gt;=$C$1),'General Inputs'!U$9*$F15,0))</f>
        <v>0</v>
      </c>
      <c r="AX15" s="214">
        <f>IF(AND(($D15+$C$1)&gt;AX$3,AX$3&gt;=$C$1),'General Inputs'!V$9*$G15,IF(AND(($C15+$C$1)&gt;AX$3,AX$3&gt;=$C$1),'General Inputs'!V$9*$F15,0))</f>
        <v>0</v>
      </c>
      <c r="AY15" s="214">
        <f>IF(AND(($D15+$C$1)&gt;AY$3,AY$3&gt;=$C$1),'General Inputs'!W$9*$G15,IF(AND(($C15+$C$1)&gt;AY$3,AY$3&gt;=$C$1),'General Inputs'!W$9*$F15,0))</f>
        <v>0</v>
      </c>
      <c r="BA15" s="214">
        <f>IF(AND(($D15+$C$1)&gt;AF$3,AF$3&gt;=$C$1),'General Inputs'!D$10*$I15,IF(AND(($C15+$C$1)&gt;AF$3,AF$3&gt;=$C$1),'General Inputs'!D$10*$H15,0))</f>
        <v>2.3069306706690438</v>
      </c>
      <c r="BB15" s="214">
        <f>IF(AND(($D15+$C$1)&gt;AG$3,AG$3&gt;=$C$1),'General Inputs'!E$10*$I15,IF(AND(($C15+$C$1)&gt;AG$3,AG$3&gt;=$C$1),'General Inputs'!E$10*$H15,0))</f>
        <v>2.341534630729079</v>
      </c>
      <c r="BC15" s="214">
        <f>IF(AND(($D15+$C$1)&gt;AH$3,AH$3&gt;=$C$1),'General Inputs'!F$10*$I15,IF(AND(($C15+$C$1)&gt;AH$3,AH$3&gt;=$C$1),'General Inputs'!F$10*$H15,0))</f>
        <v>2.376657650190015</v>
      </c>
      <c r="BD15" s="214">
        <f>IF(AND(($D15+$C$1)&gt;AI$3,AI$3&gt;=$C$1),'General Inputs'!G$10*$I15,IF(AND(($C15+$C$1)&gt;AI$3,AI$3&gt;=$C$1),'General Inputs'!G$10*$H15,0))</f>
        <v>2.412307514942865</v>
      </c>
      <c r="BE15" s="214">
        <f>IF(AND(($D15+$C$1)&gt;AJ$3,AJ$3&gt;=$C$1),'General Inputs'!H$10*$I15,IF(AND(($C15+$C$1)&gt;AJ$3,AJ$3&gt;=$C$1),'General Inputs'!H$10*$H15,0))</f>
        <v>2.448492127667008</v>
      </c>
      <c r="BF15" s="214">
        <f>IF(AND(($D15+$C$1)&gt;AK$3,AK$3&gt;=$C$1),'General Inputs'!I$10*$I15,IF(AND(($C15+$C$1)&gt;AK$3,AK$3&gt;=$C$1),'General Inputs'!I$10*$H15,0))</f>
        <v>2.4852195095820124</v>
      </c>
      <c r="BG15" s="214">
        <f>IF(AND(($D15+$C$1)&gt;AL$3,AL$3&gt;=$C$1),'General Inputs'!J$10*$I15,IF(AND(($C15+$C$1)&gt;AL$3,AL$3&gt;=$C$1),'General Inputs'!J$10*$H15,0))</f>
        <v>2.5224978022257427</v>
      </c>
      <c r="BH15" s="214">
        <f>IF(AND(($D15+$C$1)&gt;AM$3,AM$3&gt;=$C$1),'General Inputs'!K$10*$I15,IF(AND(($C15+$C$1)&gt;AM$3,AM$3&gt;=$C$1),'General Inputs'!K$10*$H15,0))</f>
        <v>2.5603352692591286</v>
      </c>
      <c r="BI15" s="214">
        <f>IF(AND(($D15+$C$1)&gt;AN$3,AN$3&gt;=$C$1),'General Inputs'!L$10*$I15,IF(AND(($C15+$C$1)&gt;AN$3,AN$3&gt;=$C$1),'General Inputs'!L$10*$H15,0))</f>
        <v>0</v>
      </c>
      <c r="BJ15" s="214">
        <f>IF(AND(($D15+$C$1)&gt;AO$3,AO$3&gt;=$C$1),'General Inputs'!M$10*$I15,IF(AND(($C15+$C$1)&gt;AO$3,AO$3&gt;=$C$1),'General Inputs'!M$10*$H15,0))</f>
        <v>0</v>
      </c>
      <c r="BK15" s="214">
        <f>IF(AND(($D15+$C$1)&gt;AP$3,AP$3&gt;=$C$1),'General Inputs'!N$10*$I15,IF(AND(($C15+$C$1)&gt;AP$3,AP$3&gt;=$C$1),'General Inputs'!N$10*$H15,0))</f>
        <v>0</v>
      </c>
      <c r="BL15" s="214">
        <f>IF(AND(($D15+$C$1)&gt;AQ$3,AQ$3&gt;=$C$1),'General Inputs'!O$10*$I15,IF(AND(($C15+$C$1)&gt;AQ$3,AQ$3&gt;=$C$1),'General Inputs'!O$10*$H15,0))</f>
        <v>0</v>
      </c>
      <c r="BM15" s="214">
        <f>IF(AND(($D15+$C$1)&gt;AR$3,AR$3&gt;=$C$1),'General Inputs'!P$10*$I15,IF(AND(($C15+$C$1)&gt;AR$3,AR$3&gt;=$C$1),'General Inputs'!P$10*$H15,0))</f>
        <v>0</v>
      </c>
      <c r="BN15" s="214">
        <f>IF(AND(($D15+$C$1)&gt;AS$3,AS$3&gt;=$C$1),'General Inputs'!Q$10*$I15,IF(AND(($C15+$C$1)&gt;AS$3,AS$3&gt;=$C$1),'General Inputs'!Q$10*$H15,0))</f>
        <v>0</v>
      </c>
      <c r="BO15" s="214">
        <f>IF(AND(($D15+$C$1)&gt;AT$3,AT$3&gt;=$C$1),'General Inputs'!R$10*$I15,IF(AND(($C15+$C$1)&gt;AT$3,AT$3&gt;=$C$1),'General Inputs'!R$10*$H15,0))</f>
        <v>0</v>
      </c>
      <c r="BP15" s="214">
        <f>IF(AND(($D15+$C$1)&gt;AU$3,AU$3&gt;=$C$1),'General Inputs'!S$10*$I15,IF(AND(($C15+$C$1)&gt;AU$3,AU$3&gt;=$C$1),'General Inputs'!S$10*$H15,0))</f>
        <v>0</v>
      </c>
      <c r="BQ15" s="214">
        <f>IF(AND(($D15+$C$1)&gt;AV$3,AV$3&gt;=$C$1),'General Inputs'!T$10*$I15,IF(AND(($C15+$C$1)&gt;AV$3,AV$3&gt;=$C$1),'General Inputs'!T$10*$H15,0))</f>
        <v>0</v>
      </c>
      <c r="BR15" s="214">
        <f>IF(AND(($D15+$C$1)&gt;AW$3,AW$3&gt;=$C$1),'General Inputs'!U$10*$I15,IF(AND(($C15+$C$1)&gt;AW$3,AW$3&gt;=$C$1),'General Inputs'!U$10*$H15,0))</f>
        <v>0</v>
      </c>
      <c r="BS15" s="214">
        <f>IF(AND(($D15+$C$1)&gt;AX$3,AX$3&gt;=$C$1),'General Inputs'!V$10*$I15,IF(AND(($C15+$C$1)&gt;AX$3,AX$3&gt;=$C$1),'General Inputs'!V$10*$H15,0))</f>
        <v>0</v>
      </c>
      <c r="BT15" s="214">
        <f>IF(AND(($D15+$C$1)&gt;AY$3,AY$3&gt;=$C$1),'General Inputs'!W$10*$I15,IF(AND(($C15+$C$1)&gt;AY$3,AY$3&gt;=$C$1),'General Inputs'!W$10*$H15,0))</f>
        <v>0</v>
      </c>
    </row>
    <row r="16" spans="1:73">
      <c r="A16" s="341" t="s">
        <v>12</v>
      </c>
      <c r="B16" s="427" t="str">
        <f>Sources!B16</f>
        <v>Freezer Recycle</v>
      </c>
      <c r="C16" s="193">
        <f>Sources!C16</f>
        <v>8</v>
      </c>
      <c r="D16" s="193">
        <f>Sources!D16</f>
        <v>0</v>
      </c>
      <c r="F16" s="429">
        <f>Sources!F16*EnergyLineLoss</f>
        <v>1156.9349999999999</v>
      </c>
      <c r="G16" s="429">
        <f>Sources!G16*EnergyLineLoss</f>
        <v>0</v>
      </c>
      <c r="H16" s="477">
        <f>Sources!H16*PeakLineLoss</f>
        <v>0.13207020547945206</v>
      </c>
      <c r="I16" s="477">
        <f>Sources!I16*PeakLineLoss</f>
        <v>0</v>
      </c>
      <c r="K16" s="419">
        <f>Sources!J16</f>
        <v>93</v>
      </c>
      <c r="L16" s="419">
        <f>Sources!K16</f>
        <v>0</v>
      </c>
      <c r="N16" s="438">
        <f t="shared" si="4"/>
        <v>3.2779668809309146</v>
      </c>
      <c r="P16" s="215">
        <f t="shared" si="5"/>
        <v>292.300796129893</v>
      </c>
      <c r="Q16" s="215">
        <f t="shared" si="1"/>
        <v>12.550123796682019</v>
      </c>
      <c r="R16" s="215">
        <f t="shared" si="2"/>
        <v>93</v>
      </c>
      <c r="T16" s="214">
        <f t="shared" si="6"/>
        <v>93</v>
      </c>
      <c r="U16" s="214">
        <f t="shared" si="6"/>
        <v>0</v>
      </c>
      <c r="V16" s="214">
        <f t="shared" si="6"/>
        <v>0</v>
      </c>
      <c r="W16" s="214">
        <f t="shared" si="6"/>
        <v>0</v>
      </c>
      <c r="X16" s="214">
        <f t="shared" si="6"/>
        <v>0</v>
      </c>
      <c r="Y16" s="214">
        <f t="shared" si="6"/>
        <v>0</v>
      </c>
      <c r="Z16" s="214">
        <f t="shared" si="6"/>
        <v>0</v>
      </c>
      <c r="AA16" s="214">
        <f t="shared" si="6"/>
        <v>0</v>
      </c>
      <c r="AB16" s="214">
        <f t="shared" si="6"/>
        <v>0</v>
      </c>
      <c r="AC16" s="214">
        <f t="shared" si="6"/>
        <v>0</v>
      </c>
      <c r="AD16" s="214">
        <f t="shared" si="6"/>
        <v>0</v>
      </c>
      <c r="AF16" s="214">
        <f>IF(AND(($D16+$C$1)&gt;AF$3,AF$3&gt;=$C$1),'General Inputs'!D$9*$G16,IF(AND(($C16+$C$1)&gt;AF$3,AF$3&gt;=$C$1),'General Inputs'!D$9*$F16,0))</f>
        <v>46.060207713354679</v>
      </c>
      <c r="AG16" s="214">
        <f>IF(AND(($D16+$C$1)&gt;AG$3,AG$3&gt;=$C$1),'General Inputs'!E$9*$G16,IF(AND(($C16+$C$1)&gt;AG$3,AG$3&gt;=$C$1),'General Inputs'!E$9*$F16,0))</f>
        <v>46.751110829054994</v>
      </c>
      <c r="AH16" s="214">
        <f>IF(AND(($D16+$C$1)&gt;AH$3,AH$3&gt;=$C$1),'General Inputs'!F$9*$G16,IF(AND(($C16+$C$1)&gt;AH$3,AH$3&gt;=$C$1),'General Inputs'!F$9*$F16,0))</f>
        <v>47.452377491490815</v>
      </c>
      <c r="AI16" s="214">
        <f>IF(AND(($D16+$C$1)&gt;AI$3,AI$3&gt;=$C$1),'General Inputs'!G$9*$G16,IF(AND(($C16+$C$1)&gt;AI$3,AI$3&gt;=$C$1),'General Inputs'!G$9*$F16,0))</f>
        <v>48.164163153863171</v>
      </c>
      <c r="AJ16" s="214">
        <f>IF(AND(($D16+$C$1)&gt;AJ$3,AJ$3&gt;=$C$1),'General Inputs'!H$9*$G16,IF(AND(($C16+$C$1)&gt;AJ$3,AJ$3&gt;=$C$1),'General Inputs'!H$9*$F16,0))</f>
        <v>48.886625601171119</v>
      </c>
      <c r="AK16" s="214">
        <f>IF(AND(($D16+$C$1)&gt;AK$3,AK$3&gt;=$C$1),'General Inputs'!I$9*$G16,IF(AND(($C16+$C$1)&gt;AK$3,AK$3&gt;=$C$1),'General Inputs'!I$9*$F16,0))</f>
        <v>49.619924985188675</v>
      </c>
      <c r="AL16" s="214">
        <f>IF(AND(($D16+$C$1)&gt;AL$3,AL$3&gt;=$C$1),'General Inputs'!J$9*$G16,IF(AND(($C16+$C$1)&gt;AL$3,AL$3&gt;=$C$1),'General Inputs'!J$9*$F16,0))</f>
        <v>50.364223859966501</v>
      </c>
      <c r="AM16" s="214">
        <f>IF(AND(($D16+$C$1)&gt;AM$3,AM$3&gt;=$C$1),'General Inputs'!K$9*$G16,IF(AND(($C16+$C$1)&gt;AM$3,AM$3&gt;=$C$1),'General Inputs'!K$9*$F16,0))</f>
        <v>51.119687217865987</v>
      </c>
      <c r="AN16" s="214">
        <f>IF(AND(($D16+$C$1)&gt;AN$3,AN$3&gt;=$C$1),'General Inputs'!L$9*$G16,IF(AND(($C16+$C$1)&gt;AN$3,AN$3&gt;=$C$1),'General Inputs'!L$9*$F16,0))</f>
        <v>0</v>
      </c>
      <c r="AO16" s="214">
        <f>IF(AND(($D16+$C$1)&gt;AO$3,AO$3&gt;=$C$1),'General Inputs'!M$9*$G16,IF(AND(($C16+$C$1)&gt;AO$3,AO$3&gt;=$C$1),'General Inputs'!M$9*$F16,0))</f>
        <v>0</v>
      </c>
      <c r="AP16" s="214">
        <f>IF(AND(($D16+$C$1)&gt;AP$3,AP$3&gt;=$C$1),'General Inputs'!N$9*$G16,IF(AND(($C16+$C$1)&gt;AP$3,AP$3&gt;=$C$1),'General Inputs'!N$9*$F16,0))</f>
        <v>0</v>
      </c>
      <c r="AQ16" s="214">
        <f>IF(AND(($D16+$C$1)&gt;AQ$3,AQ$3&gt;=$C$1),'General Inputs'!O$9*$G16,IF(AND(($C16+$C$1)&gt;AQ$3,AQ$3&gt;=$C$1),'General Inputs'!O$9*$F16,0))</f>
        <v>0</v>
      </c>
      <c r="AR16" s="214">
        <f>IF(AND(($D16+$C$1)&gt;AR$3,AR$3&gt;=$C$1),'General Inputs'!P$9*$G16,IF(AND(($C16+$C$1)&gt;AR$3,AR$3&gt;=$C$1),'General Inputs'!P$9*$F16,0))</f>
        <v>0</v>
      </c>
      <c r="AS16" s="214">
        <f>IF(AND(($D16+$C$1)&gt;AS$3,AS$3&gt;=$C$1),'General Inputs'!Q$9*$G16,IF(AND(($C16+$C$1)&gt;AS$3,AS$3&gt;=$C$1),'General Inputs'!Q$9*$F16,0))</f>
        <v>0</v>
      </c>
      <c r="AT16" s="214">
        <f>IF(AND(($D16+$C$1)&gt;AT$3,AT$3&gt;=$C$1),'General Inputs'!R$9*$G16,IF(AND(($C16+$C$1)&gt;AT$3,AT$3&gt;=$C$1),'General Inputs'!R$9*$F16,0))</f>
        <v>0</v>
      </c>
      <c r="AU16" s="214">
        <f>IF(AND(($D16+$C$1)&gt;AU$3,AU$3&gt;=$C$1),'General Inputs'!S$9*$G16,IF(AND(($C16+$C$1)&gt;AU$3,AU$3&gt;=$C$1),'General Inputs'!S$9*$F16,0))</f>
        <v>0</v>
      </c>
      <c r="AV16" s="214">
        <f>IF(AND(($D16+$C$1)&gt;AV$3,AV$3&gt;=$C$1),'General Inputs'!T$9*$G16,IF(AND(($C16+$C$1)&gt;AV$3,AV$3&gt;=$C$1),'General Inputs'!T$9*$F16,0))</f>
        <v>0</v>
      </c>
      <c r="AW16" s="214">
        <f>IF(AND(($D16+$C$1)&gt;AW$3,AW$3&gt;=$C$1),'General Inputs'!U$9*$G16,IF(AND(($C16+$C$1)&gt;AW$3,AW$3&gt;=$C$1),'General Inputs'!U$9*$F16,0))</f>
        <v>0</v>
      </c>
      <c r="AX16" s="214">
        <f>IF(AND(($D16+$C$1)&gt;AX$3,AX$3&gt;=$C$1),'General Inputs'!V$9*$G16,IF(AND(($C16+$C$1)&gt;AX$3,AX$3&gt;=$C$1),'General Inputs'!V$9*$F16,0))</f>
        <v>0</v>
      </c>
      <c r="AY16" s="214">
        <f>IF(AND(($D16+$C$1)&gt;AY$3,AY$3&gt;=$C$1),'General Inputs'!W$9*$G16,IF(AND(($C16+$C$1)&gt;AY$3,AY$3&gt;=$C$1),'General Inputs'!W$9*$F16,0))</f>
        <v>0</v>
      </c>
      <c r="BA16" s="214">
        <f>IF(AND(($D16+$C$1)&gt;AF$3,AF$3&gt;=$C$1),'General Inputs'!D$10*$I16,IF(AND(($C16+$C$1)&gt;AF$3,AF$3&gt;=$C$1),'General Inputs'!D$10*$H16,0))</f>
        <v>1.977624818533199</v>
      </c>
      <c r="BB16" s="214">
        <f>IF(AND(($D16+$C$1)&gt;AG$3,AG$3&gt;=$C$1),'General Inputs'!E$10*$I16,IF(AND(($C16+$C$1)&gt;AG$3,AG$3&gt;=$C$1),'General Inputs'!E$10*$H16,0))</f>
        <v>2.0072891908111967</v>
      </c>
      <c r="BC16" s="214">
        <f>IF(AND(($D16+$C$1)&gt;AH$3,AH$3&gt;=$C$1),'General Inputs'!F$10*$I16,IF(AND(($C16+$C$1)&gt;AH$3,AH$3&gt;=$C$1),'General Inputs'!F$10*$H16,0))</f>
        <v>2.0373985286733647</v>
      </c>
      <c r="BD16" s="214">
        <f>IF(AND(($D16+$C$1)&gt;AI$3,AI$3&gt;=$C$1),'General Inputs'!G$10*$I16,IF(AND(($C16+$C$1)&gt;AI$3,AI$3&gt;=$C$1),'General Inputs'!G$10*$H16,0))</f>
        <v>2.0679595066034651</v>
      </c>
      <c r="BE16" s="214">
        <f>IF(AND(($D16+$C$1)&gt;AJ$3,AJ$3&gt;=$C$1),'General Inputs'!H$10*$I16,IF(AND(($C16+$C$1)&gt;AJ$3,AJ$3&gt;=$C$1),'General Inputs'!H$10*$H16,0))</f>
        <v>2.0989788992025167</v>
      </c>
      <c r="BF16" s="214">
        <f>IF(AND(($D16+$C$1)&gt;AK$3,AK$3&gt;=$C$1),'General Inputs'!I$10*$I16,IF(AND(($C16+$C$1)&gt;AK$3,AK$3&gt;=$C$1),'General Inputs'!I$10*$H16,0))</f>
        <v>2.1304635826905538</v>
      </c>
      <c r="BG16" s="214">
        <f>IF(AND(($D16+$C$1)&gt;AL$3,AL$3&gt;=$C$1),'General Inputs'!J$10*$I16,IF(AND(($C16+$C$1)&gt;AL$3,AL$3&gt;=$C$1),'General Inputs'!J$10*$H16,0))</f>
        <v>2.1624205364309121</v>
      </c>
      <c r="BH16" s="214">
        <f>IF(AND(($D16+$C$1)&gt;AM$3,AM$3&gt;=$C$1),'General Inputs'!K$10*$I16,IF(AND(($C16+$C$1)&gt;AM$3,AM$3&gt;=$C$1),'General Inputs'!K$10*$H16,0))</f>
        <v>2.1948568444773757</v>
      </c>
      <c r="BI16" s="214">
        <f>IF(AND(($D16+$C$1)&gt;AN$3,AN$3&gt;=$C$1),'General Inputs'!L$10*$I16,IF(AND(($C16+$C$1)&gt;AN$3,AN$3&gt;=$C$1),'General Inputs'!L$10*$H16,0))</f>
        <v>0</v>
      </c>
      <c r="BJ16" s="214">
        <f>IF(AND(($D16+$C$1)&gt;AO$3,AO$3&gt;=$C$1),'General Inputs'!M$10*$I16,IF(AND(($C16+$C$1)&gt;AO$3,AO$3&gt;=$C$1),'General Inputs'!M$10*$H16,0))</f>
        <v>0</v>
      </c>
      <c r="BK16" s="214">
        <f>IF(AND(($D16+$C$1)&gt;AP$3,AP$3&gt;=$C$1),'General Inputs'!N$10*$I16,IF(AND(($C16+$C$1)&gt;AP$3,AP$3&gt;=$C$1),'General Inputs'!N$10*$H16,0))</f>
        <v>0</v>
      </c>
      <c r="BL16" s="214">
        <f>IF(AND(($D16+$C$1)&gt;AQ$3,AQ$3&gt;=$C$1),'General Inputs'!O$10*$I16,IF(AND(($C16+$C$1)&gt;AQ$3,AQ$3&gt;=$C$1),'General Inputs'!O$10*$H16,0))</f>
        <v>0</v>
      </c>
      <c r="BM16" s="214">
        <f>IF(AND(($D16+$C$1)&gt;AR$3,AR$3&gt;=$C$1),'General Inputs'!P$10*$I16,IF(AND(($C16+$C$1)&gt;AR$3,AR$3&gt;=$C$1),'General Inputs'!P$10*$H16,0))</f>
        <v>0</v>
      </c>
      <c r="BN16" s="214">
        <f>IF(AND(($D16+$C$1)&gt;AS$3,AS$3&gt;=$C$1),'General Inputs'!Q$10*$I16,IF(AND(($C16+$C$1)&gt;AS$3,AS$3&gt;=$C$1),'General Inputs'!Q$10*$H16,0))</f>
        <v>0</v>
      </c>
      <c r="BO16" s="214">
        <f>IF(AND(($D16+$C$1)&gt;AT$3,AT$3&gt;=$C$1),'General Inputs'!R$10*$I16,IF(AND(($C16+$C$1)&gt;AT$3,AT$3&gt;=$C$1),'General Inputs'!R$10*$H16,0))</f>
        <v>0</v>
      </c>
      <c r="BP16" s="214">
        <f>IF(AND(($D16+$C$1)&gt;AU$3,AU$3&gt;=$C$1),'General Inputs'!S$10*$I16,IF(AND(($C16+$C$1)&gt;AU$3,AU$3&gt;=$C$1),'General Inputs'!S$10*$H16,0))</f>
        <v>0</v>
      </c>
      <c r="BQ16" s="214">
        <f>IF(AND(($D16+$C$1)&gt;AV$3,AV$3&gt;=$C$1),'General Inputs'!T$10*$I16,IF(AND(($C16+$C$1)&gt;AV$3,AV$3&gt;=$C$1),'General Inputs'!T$10*$H16,0))</f>
        <v>0</v>
      </c>
      <c r="BR16" s="214">
        <f>IF(AND(($D16+$C$1)&gt;AW$3,AW$3&gt;=$C$1),'General Inputs'!U$10*$I16,IF(AND(($C16+$C$1)&gt;AW$3,AW$3&gt;=$C$1),'General Inputs'!U$10*$H16,0))</f>
        <v>0</v>
      </c>
      <c r="BS16" s="214">
        <f>IF(AND(($D16+$C$1)&gt;AX$3,AX$3&gt;=$C$1),'General Inputs'!V$10*$I16,IF(AND(($C16+$C$1)&gt;AX$3,AX$3&gt;=$C$1),'General Inputs'!V$10*$H16,0))</f>
        <v>0</v>
      </c>
      <c r="BT16" s="214">
        <f>IF(AND(($D16+$C$1)&gt;AY$3,AY$3&gt;=$C$1),'General Inputs'!W$10*$I16,IF(AND(($C16+$C$1)&gt;AY$3,AY$3&gt;=$C$1),'General Inputs'!W$10*$H16,0))</f>
        <v>0</v>
      </c>
    </row>
    <row r="17" spans="1:72">
      <c r="A17" s="341" t="s">
        <v>12</v>
      </c>
      <c r="B17" s="427" t="str">
        <f>Sources!B17</f>
        <v>Air Sealing (Electric Heat)</v>
      </c>
      <c r="C17" s="193">
        <f>Sources!C17</f>
        <v>15</v>
      </c>
      <c r="D17" s="193">
        <f>Sources!D17</f>
        <v>0</v>
      </c>
      <c r="F17" s="429">
        <f>Sources!F17*EnergyLineLoss</f>
        <v>1407.4859889169311</v>
      </c>
      <c r="G17" s="429">
        <f>Sources!G17*EnergyLineLoss</f>
        <v>0</v>
      </c>
      <c r="H17" s="477">
        <f>Sources!H17*PeakLineLoss</f>
        <v>0.59892676519981936</v>
      </c>
      <c r="I17" s="477">
        <f>Sources!I17*PeakLineLoss</f>
        <v>0</v>
      </c>
      <c r="K17" s="419">
        <f>Sources!J17</f>
        <v>272</v>
      </c>
      <c r="L17" s="419">
        <f>Sources!K17</f>
        <v>0</v>
      </c>
      <c r="N17" s="438">
        <f t="shared" si="4"/>
        <v>2.3002951584711617</v>
      </c>
      <c r="P17" s="215">
        <f t="shared" si="5"/>
        <v>539.35697786562935</v>
      </c>
      <c r="Q17" s="215">
        <f t="shared" si="1"/>
        <v>86.323305238526643</v>
      </c>
      <c r="R17" s="215">
        <f t="shared" si="2"/>
        <v>272</v>
      </c>
      <c r="T17" s="214">
        <f t="shared" si="6"/>
        <v>272</v>
      </c>
      <c r="U17" s="214">
        <f t="shared" si="6"/>
        <v>0</v>
      </c>
      <c r="V17" s="214">
        <f t="shared" si="6"/>
        <v>0</v>
      </c>
      <c r="W17" s="214">
        <f t="shared" si="6"/>
        <v>0</v>
      </c>
      <c r="X17" s="214">
        <f t="shared" si="6"/>
        <v>0</v>
      </c>
      <c r="Y17" s="214">
        <f t="shared" si="6"/>
        <v>0</v>
      </c>
      <c r="Z17" s="214">
        <f t="shared" si="6"/>
        <v>0</v>
      </c>
      <c r="AA17" s="214">
        <f t="shared" si="6"/>
        <v>0</v>
      </c>
      <c r="AB17" s="214">
        <f t="shared" si="6"/>
        <v>0</v>
      </c>
      <c r="AC17" s="214">
        <f t="shared" si="6"/>
        <v>0</v>
      </c>
      <c r="AD17" s="214">
        <f t="shared" si="6"/>
        <v>0</v>
      </c>
      <c r="AF17" s="214">
        <f>IF(AND(($D17+$C$1)&gt;AF$3,AF$3&gt;=$C$1),'General Inputs'!D$9*$G17,IF(AND(($C17+$C$1)&gt;AF$3,AF$3&gt;=$C$1),'General Inputs'!D$9*$F17,0))</f>
        <v>56.035211142501758</v>
      </c>
      <c r="AG17" s="214">
        <f>IF(AND(($D17+$C$1)&gt;AG$3,AG$3&gt;=$C$1),'General Inputs'!E$9*$G17,IF(AND(($C17+$C$1)&gt;AG$3,AG$3&gt;=$C$1),'General Inputs'!E$9*$F17,0))</f>
        <v>56.875739309639279</v>
      </c>
      <c r="AH17" s="214">
        <f>IF(AND(($D17+$C$1)&gt;AH$3,AH$3&gt;=$C$1),'General Inputs'!F$9*$G17,IF(AND(($C17+$C$1)&gt;AH$3,AH$3&gt;=$C$1),'General Inputs'!F$9*$F17,0))</f>
        <v>57.728875399283865</v>
      </c>
      <c r="AI17" s="214">
        <f>IF(AND(($D17+$C$1)&gt;AI$3,AI$3&gt;=$C$1),'General Inputs'!G$9*$G17,IF(AND(($C17+$C$1)&gt;AI$3,AI$3&gt;=$C$1),'General Inputs'!G$9*$F17,0))</f>
        <v>58.59480853027312</v>
      </c>
      <c r="AJ17" s="214">
        <f>IF(AND(($D17+$C$1)&gt;AJ$3,AJ$3&gt;=$C$1),'General Inputs'!H$9*$G17,IF(AND(($C17+$C$1)&gt;AJ$3,AJ$3&gt;=$C$1),'General Inputs'!H$9*$F17,0))</f>
        <v>59.473730658227204</v>
      </c>
      <c r="AK17" s="214">
        <f>IF(AND(($D17+$C$1)&gt;AK$3,AK$3&gt;=$C$1),'General Inputs'!I$9*$G17,IF(AND(($C17+$C$1)&gt;AK$3,AK$3&gt;=$C$1),'General Inputs'!I$9*$F17,0))</f>
        <v>60.365836618100602</v>
      </c>
      <c r="AL17" s="214">
        <f>IF(AND(($D17+$C$1)&gt;AL$3,AL$3&gt;=$C$1),'General Inputs'!J$9*$G17,IF(AND(($C17+$C$1)&gt;AL$3,AL$3&gt;=$C$1),'General Inputs'!J$9*$F17,0))</f>
        <v>61.271324167372107</v>
      </c>
      <c r="AM17" s="214">
        <f>IF(AND(($D17+$C$1)&gt;AM$3,AM$3&gt;=$C$1),'General Inputs'!K$9*$G17,IF(AND(($C17+$C$1)&gt;AM$3,AM$3&gt;=$C$1),'General Inputs'!K$9*$F17,0))</f>
        <v>62.190394029882675</v>
      </c>
      <c r="AN17" s="214">
        <f>IF(AND(($D17+$C$1)&gt;AN$3,AN$3&gt;=$C$1),'General Inputs'!L$9*$G17,IF(AND(($C17+$C$1)&gt;AN$3,AN$3&gt;=$C$1),'General Inputs'!L$9*$F17,0))</f>
        <v>63.123249940330915</v>
      </c>
      <c r="AO17" s="214">
        <f>IF(AND(($D17+$C$1)&gt;AO$3,AO$3&gt;=$C$1),'General Inputs'!M$9*$G17,IF(AND(($C17+$C$1)&gt;AO$3,AO$3&gt;=$C$1),'General Inputs'!M$9*$F17,0))</f>
        <v>64.070098689435866</v>
      </c>
      <c r="AP17" s="214">
        <f>IF(AND(($D17+$C$1)&gt;AP$3,AP$3&gt;=$C$1),'General Inputs'!N$9*$G17,IF(AND(($C17+$C$1)&gt;AP$3,AP$3&gt;=$C$1),'General Inputs'!N$9*$F17,0))</f>
        <v>65.031150169777405</v>
      </c>
      <c r="AQ17" s="214">
        <f>IF(AND(($D17+$C$1)&gt;AQ$3,AQ$3&gt;=$C$1),'General Inputs'!O$9*$G17,IF(AND(($C17+$C$1)&gt;AQ$3,AQ$3&gt;=$C$1),'General Inputs'!O$9*$F17,0))</f>
        <v>66.006617422324055</v>
      </c>
      <c r="AR17" s="214">
        <f>IF(AND(($D17+$C$1)&gt;AR$3,AR$3&gt;=$C$1),'General Inputs'!P$9*$G17,IF(AND(($C17+$C$1)&gt;AR$3,AR$3&gt;=$C$1),'General Inputs'!P$9*$F17,0))</f>
        <v>66.996716683658903</v>
      </c>
      <c r="AS17" s="214">
        <f>IF(AND(($D17+$C$1)&gt;AS$3,AS$3&gt;=$C$1),'General Inputs'!Q$9*$G17,IF(AND(($C17+$C$1)&gt;AS$3,AS$3&gt;=$C$1),'General Inputs'!Q$9*$F17,0))</f>
        <v>68.001667433913781</v>
      </c>
      <c r="AT17" s="214">
        <f>IF(AND(($D17+$C$1)&gt;AT$3,AT$3&gt;=$C$1),'General Inputs'!R$9*$G17,IF(AND(($C17+$C$1)&gt;AT$3,AT$3&gt;=$C$1),'General Inputs'!R$9*$F17,0))</f>
        <v>69.021692445422488</v>
      </c>
      <c r="AU17" s="214">
        <f>IF(AND(($D17+$C$1)&gt;AU$3,AU$3&gt;=$C$1),'General Inputs'!S$9*$G17,IF(AND(($C17+$C$1)&gt;AU$3,AU$3&gt;=$C$1),'General Inputs'!S$9*$F17,0))</f>
        <v>0</v>
      </c>
      <c r="AV17" s="214">
        <f>IF(AND(($D17+$C$1)&gt;AV$3,AV$3&gt;=$C$1),'General Inputs'!T$9*$G17,IF(AND(($C17+$C$1)&gt;AV$3,AV$3&gt;=$C$1),'General Inputs'!T$9*$F17,0))</f>
        <v>0</v>
      </c>
      <c r="AW17" s="214">
        <f>IF(AND(($D17+$C$1)&gt;AW$3,AW$3&gt;=$C$1),'General Inputs'!U$9*$G17,IF(AND(($C17+$C$1)&gt;AW$3,AW$3&gt;=$C$1),'General Inputs'!U$9*$F17,0))</f>
        <v>0</v>
      </c>
      <c r="AX17" s="214">
        <f>IF(AND(($D17+$C$1)&gt;AX$3,AX$3&gt;=$C$1),'General Inputs'!V$9*$G17,IF(AND(($C17+$C$1)&gt;AX$3,AX$3&gt;=$C$1),'General Inputs'!V$9*$F17,0))</f>
        <v>0</v>
      </c>
      <c r="AY17" s="214">
        <f>IF(AND(($D17+$C$1)&gt;AY$3,AY$3&gt;=$C$1),'General Inputs'!W$9*$G17,IF(AND(($C17+$C$1)&gt;AY$3,AY$3&gt;=$C$1),'General Inputs'!W$9*$F17,0))</f>
        <v>0</v>
      </c>
      <c r="BA17" s="214">
        <f>IF(AND(($D17+$C$1)&gt;AF$3,AF$3&gt;=$C$1),'General Inputs'!D$10*$I17,IF(AND(($C17+$C$1)&gt;AF$3,AF$3&gt;=$C$1),'General Inputs'!D$10*$H17,0))</f>
        <v>8.9683546038493134</v>
      </c>
      <c r="BB17" s="214">
        <f>IF(AND(($D17+$C$1)&gt;AG$3,AG$3&gt;=$C$1),'General Inputs'!E$10*$I17,IF(AND(($C17+$C$1)&gt;AG$3,AG$3&gt;=$C$1),'General Inputs'!E$10*$H17,0))</f>
        <v>9.1028799229070518</v>
      </c>
      <c r="BC17" s="214">
        <f>IF(AND(($D17+$C$1)&gt;AH$3,AH$3&gt;=$C$1),'General Inputs'!F$10*$I17,IF(AND(($C17+$C$1)&gt;AH$3,AH$3&gt;=$C$1),'General Inputs'!F$10*$H17,0))</f>
        <v>9.2394231217506562</v>
      </c>
      <c r="BD17" s="214">
        <f>IF(AND(($D17+$C$1)&gt;AI$3,AI$3&gt;=$C$1),'General Inputs'!G$10*$I17,IF(AND(($C17+$C$1)&gt;AI$3,AI$3&gt;=$C$1),'General Inputs'!G$10*$H17,0))</f>
        <v>9.3780144685769162</v>
      </c>
      <c r="BE17" s="214">
        <f>IF(AND(($D17+$C$1)&gt;AJ$3,AJ$3&gt;=$C$1),'General Inputs'!H$10*$I17,IF(AND(($C17+$C$1)&gt;AJ$3,AJ$3&gt;=$C$1),'General Inputs'!H$10*$H17,0))</f>
        <v>9.5186846856055691</v>
      </c>
      <c r="BF17" s="214">
        <f>IF(AND(($D17+$C$1)&gt;AK$3,AK$3&gt;=$C$1),'General Inputs'!I$10*$I17,IF(AND(($C17+$C$1)&gt;AK$3,AK$3&gt;=$C$1),'General Inputs'!I$10*$H17,0))</f>
        <v>9.6614649558896506</v>
      </c>
      <c r="BG17" s="214">
        <f>IF(AND(($D17+$C$1)&gt;AL$3,AL$3&gt;=$C$1),'General Inputs'!J$10*$I17,IF(AND(($C17+$C$1)&gt;AL$3,AL$3&gt;=$C$1),'General Inputs'!J$10*$H17,0))</f>
        <v>9.806386930227994</v>
      </c>
      <c r="BH17" s="214">
        <f>IF(AND(($D17+$C$1)&gt;AM$3,AM$3&gt;=$C$1),'General Inputs'!K$10*$I17,IF(AND(($C17+$C$1)&gt;AM$3,AM$3&gt;=$C$1),'General Inputs'!K$10*$H17,0))</f>
        <v>9.9534827341814136</v>
      </c>
      <c r="BI17" s="214">
        <f>IF(AND(($D17+$C$1)&gt;AN$3,AN$3&gt;=$C$1),'General Inputs'!L$10*$I17,IF(AND(($C17+$C$1)&gt;AN$3,AN$3&gt;=$C$1),'General Inputs'!L$10*$H17,0))</f>
        <v>10.102784975194133</v>
      </c>
      <c r="BJ17" s="214">
        <f>IF(AND(($D17+$C$1)&gt;AO$3,AO$3&gt;=$C$1),'General Inputs'!M$10*$I17,IF(AND(($C17+$C$1)&gt;AO$3,AO$3&gt;=$C$1),'General Inputs'!M$10*$H17,0))</f>
        <v>10.254326749822045</v>
      </c>
      <c r="BK17" s="214">
        <f>IF(AND(($D17+$C$1)&gt;AP$3,AP$3&gt;=$C$1),'General Inputs'!N$10*$I17,IF(AND(($C17+$C$1)&gt;AP$3,AP$3&gt;=$C$1),'General Inputs'!N$10*$H17,0))</f>
        <v>10.408141651069375</v>
      </c>
      <c r="BL17" s="214">
        <f>IF(AND(($D17+$C$1)&gt;AQ$3,AQ$3&gt;=$C$1),'General Inputs'!O$10*$I17,IF(AND(($C17+$C$1)&gt;AQ$3,AQ$3&gt;=$C$1),'General Inputs'!O$10*$H17,0))</f>
        <v>10.564263775835414</v>
      </c>
      <c r="BM17" s="214">
        <f>IF(AND(($D17+$C$1)&gt;AR$3,AR$3&gt;=$C$1),'General Inputs'!P$10*$I17,IF(AND(($C17+$C$1)&gt;AR$3,AR$3&gt;=$C$1),'General Inputs'!P$10*$H17,0))</f>
        <v>10.722727732472945</v>
      </c>
      <c r="BN17" s="214">
        <f>IF(AND(($D17+$C$1)&gt;AS$3,AS$3&gt;=$C$1),'General Inputs'!Q$10*$I17,IF(AND(($C17+$C$1)&gt;AS$3,AS$3&gt;=$C$1),'General Inputs'!Q$10*$H17,0))</f>
        <v>10.883568648460038</v>
      </c>
      <c r="BO17" s="214">
        <f>IF(AND(($D17+$C$1)&gt;AT$3,AT$3&gt;=$C$1),'General Inputs'!R$10*$I17,IF(AND(($C17+$C$1)&gt;AT$3,AT$3&gt;=$C$1),'General Inputs'!R$10*$H17,0))</f>
        <v>11.046822178186936</v>
      </c>
      <c r="BP17" s="214">
        <f>IF(AND(($D17+$C$1)&gt;AU$3,AU$3&gt;=$C$1),'General Inputs'!S$10*$I17,IF(AND(($C17+$C$1)&gt;AU$3,AU$3&gt;=$C$1),'General Inputs'!S$10*$H17,0))</f>
        <v>0</v>
      </c>
      <c r="BQ17" s="214">
        <f>IF(AND(($D17+$C$1)&gt;AV$3,AV$3&gt;=$C$1),'General Inputs'!T$10*$I17,IF(AND(($C17+$C$1)&gt;AV$3,AV$3&gt;=$C$1),'General Inputs'!T$10*$H17,0))</f>
        <v>0</v>
      </c>
      <c r="BR17" s="214">
        <f>IF(AND(($D17+$C$1)&gt;AW$3,AW$3&gt;=$C$1),'General Inputs'!U$10*$I17,IF(AND(($C17+$C$1)&gt;AW$3,AW$3&gt;=$C$1),'General Inputs'!U$10*$H17,0))</f>
        <v>0</v>
      </c>
      <c r="BS17" s="214">
        <f>IF(AND(($D17+$C$1)&gt;AX$3,AX$3&gt;=$C$1),'General Inputs'!V$10*$I17,IF(AND(($C17+$C$1)&gt;AX$3,AX$3&gt;=$C$1),'General Inputs'!V$10*$H17,0))</f>
        <v>0</v>
      </c>
      <c r="BT17" s="214">
        <f>IF(AND(($D17+$C$1)&gt;AY$3,AY$3&gt;=$C$1),'General Inputs'!W$10*$I17,IF(AND(($C17+$C$1)&gt;AY$3,AY$3&gt;=$C$1),'General Inputs'!W$10*$H17,0))</f>
        <v>0</v>
      </c>
    </row>
    <row r="18" spans="1:72">
      <c r="A18" s="341" t="s">
        <v>12</v>
      </c>
      <c r="B18" s="427" t="str">
        <f>Sources!B18</f>
        <v>Air Sealing (Gas Heat)</v>
      </c>
      <c r="C18" s="193">
        <f>Sources!C18</f>
        <v>15</v>
      </c>
      <c r="D18" s="193">
        <f>Sources!D18</f>
        <v>0</v>
      </c>
      <c r="F18" s="429">
        <f>Sources!F18*EnergyLineLoss</f>
        <v>59.823316216216213</v>
      </c>
      <c r="G18" s="429">
        <f>Sources!G18*EnergyLineLoss</f>
        <v>0</v>
      </c>
      <c r="H18" s="477">
        <f>Sources!H18*PeakLineLoss</f>
        <v>9.2307477804111013E-2</v>
      </c>
      <c r="I18" s="477">
        <f>Sources!I18*PeakLineLoss</f>
        <v>0</v>
      </c>
      <c r="K18" s="419">
        <f>Sources!J18</f>
        <v>272</v>
      </c>
      <c r="L18" s="419">
        <f>Sources!K18</f>
        <v>0</v>
      </c>
      <c r="N18" s="438">
        <f t="shared" ref="N18" si="7">IF(R18&gt;0,(P18+Q18)/R18,"n/a")</f>
        <v>0.13319457673175189</v>
      </c>
      <c r="P18" s="215">
        <f t="shared" ref="P18" si="8">AF18+NPV(DiscountRate,AG18:AY18)</f>
        <v>22.92464954845288</v>
      </c>
      <c r="Q18" s="215">
        <f t="shared" ref="Q18" si="9">BA18+NPV(DiscountRate,BB18:BT18)</f>
        <v>13.304275322583635</v>
      </c>
      <c r="R18" s="215">
        <f t="shared" ref="R18" si="10">T18+NPV(DiscountRate,U18:AD18)</f>
        <v>272</v>
      </c>
      <c r="T18" s="214">
        <f t="shared" ref="T18:AD18" si="11">IF($C$1=T$3,$K18,IF($D18+$C$1=T$3,-$L18,0))</f>
        <v>272</v>
      </c>
      <c r="U18" s="214">
        <f t="shared" si="11"/>
        <v>0</v>
      </c>
      <c r="V18" s="214">
        <f t="shared" si="11"/>
        <v>0</v>
      </c>
      <c r="W18" s="214">
        <f t="shared" si="11"/>
        <v>0</v>
      </c>
      <c r="X18" s="214">
        <f t="shared" si="11"/>
        <v>0</v>
      </c>
      <c r="Y18" s="214">
        <f t="shared" si="11"/>
        <v>0</v>
      </c>
      <c r="Z18" s="214">
        <f t="shared" si="11"/>
        <v>0</v>
      </c>
      <c r="AA18" s="214">
        <f t="shared" si="11"/>
        <v>0</v>
      </c>
      <c r="AB18" s="214">
        <f t="shared" si="11"/>
        <v>0</v>
      </c>
      <c r="AC18" s="214">
        <f t="shared" si="11"/>
        <v>0</v>
      </c>
      <c r="AD18" s="214">
        <f t="shared" si="11"/>
        <v>0</v>
      </c>
      <c r="AF18" s="214">
        <f>IF(AND(($D18+$C$1)&gt;AF$3,AF$3&gt;=$C$1),'General Inputs'!D$9*$G18,IF(AND(($C18+$C$1)&gt;AF$3,AF$3&gt;=$C$1),'General Inputs'!D$9*$F18,0))</f>
        <v>2.3817019720387216</v>
      </c>
      <c r="AG18" s="214">
        <f>IF(AND(($D18+$C$1)&gt;AG$3,AG$3&gt;=$C$1),'General Inputs'!E$9*$G18,IF(AND(($C18+$C$1)&gt;AG$3,AG$3&gt;=$C$1),'General Inputs'!E$9*$F18,0))</f>
        <v>2.4174275016193021</v>
      </c>
      <c r="AH18" s="214">
        <f>IF(AND(($D18+$C$1)&gt;AH$3,AH$3&gt;=$C$1),'General Inputs'!F$9*$G18,IF(AND(($C18+$C$1)&gt;AH$3,AH$3&gt;=$C$1),'General Inputs'!F$9*$F18,0))</f>
        <v>2.4536889141435916</v>
      </c>
      <c r="AI18" s="214">
        <f>IF(AND(($D18+$C$1)&gt;AI$3,AI$3&gt;=$C$1),'General Inputs'!G$9*$G18,IF(AND(($C18+$C$1)&gt;AI$3,AI$3&gt;=$C$1),'General Inputs'!G$9*$F18,0))</f>
        <v>2.4904942478557452</v>
      </c>
      <c r="AJ18" s="214">
        <f>IF(AND(($D18+$C$1)&gt;AJ$3,AJ$3&gt;=$C$1),'General Inputs'!H$9*$G18,IF(AND(($C18+$C$1)&gt;AJ$3,AJ$3&gt;=$C$1),'General Inputs'!H$9*$F18,0))</f>
        <v>2.5278516615735809</v>
      </c>
      <c r="AK18" s="214">
        <f>IF(AND(($D18+$C$1)&gt;AK$3,AK$3&gt;=$C$1),'General Inputs'!I$9*$G18,IF(AND(($C18+$C$1)&gt;AK$3,AK$3&gt;=$C$1),'General Inputs'!I$9*$F18,0))</f>
        <v>2.5657694364971841</v>
      </c>
      <c r="AL18" s="214">
        <f>IF(AND(($D18+$C$1)&gt;AL$3,AL$3&gt;=$C$1),'General Inputs'!J$9*$G18,IF(AND(($C18+$C$1)&gt;AL$3,AL$3&gt;=$C$1),'General Inputs'!J$9*$F18,0))</f>
        <v>2.6042559780446415</v>
      </c>
      <c r="AM18" s="214">
        <f>IF(AND(($D18+$C$1)&gt;AM$3,AM$3&gt;=$C$1),'General Inputs'!K$9*$G18,IF(AND(($C18+$C$1)&gt;AM$3,AM$3&gt;=$C$1),'General Inputs'!K$9*$F18,0))</f>
        <v>2.643319817715311</v>
      </c>
      <c r="AN18" s="214">
        <f>IF(AND(($D18+$C$1)&gt;AN$3,AN$3&gt;=$C$1),'General Inputs'!L$9*$G18,IF(AND(($C18+$C$1)&gt;AN$3,AN$3&gt;=$C$1),'General Inputs'!L$9*$F18,0))</f>
        <v>2.6829696149810403</v>
      </c>
      <c r="AO18" s="214">
        <f>IF(AND(($D18+$C$1)&gt;AO$3,AO$3&gt;=$C$1),'General Inputs'!M$9*$G18,IF(AND(($C18+$C$1)&gt;AO$3,AO$3&gt;=$C$1),'General Inputs'!M$9*$F18,0))</f>
        <v>2.7232141592057553</v>
      </c>
      <c r="AP18" s="214">
        <f>IF(AND(($D18+$C$1)&gt;AP$3,AP$3&gt;=$C$1),'General Inputs'!N$9*$G18,IF(AND(($C18+$C$1)&gt;AP$3,AP$3&gt;=$C$1),'General Inputs'!N$9*$F18,0))</f>
        <v>2.7640623715938415</v>
      </c>
      <c r="AQ18" s="214">
        <f>IF(AND(($D18+$C$1)&gt;AQ$3,AQ$3&gt;=$C$1),'General Inputs'!O$9*$G18,IF(AND(($C18+$C$1)&gt;AQ$3,AQ$3&gt;=$C$1),'General Inputs'!O$9*$F18,0))</f>
        <v>2.805523307167749</v>
      </c>
      <c r="AR18" s="214">
        <f>IF(AND(($D18+$C$1)&gt;AR$3,AR$3&gt;=$C$1),'General Inputs'!P$9*$G18,IF(AND(($C18+$C$1)&gt;AR$3,AR$3&gt;=$C$1),'General Inputs'!P$9*$F18,0))</f>
        <v>2.8476061567752646</v>
      </c>
      <c r="AS18" s="214">
        <f>IF(AND(($D18+$C$1)&gt;AS$3,AS$3&gt;=$C$1),'General Inputs'!Q$9*$G18,IF(AND(($C18+$C$1)&gt;AS$3,AS$3&gt;=$C$1),'General Inputs'!Q$9*$F18,0))</f>
        <v>2.8903202491268938</v>
      </c>
      <c r="AT18" s="214">
        <f>IF(AND(($D18+$C$1)&gt;AT$3,AT$3&gt;=$C$1),'General Inputs'!R$9*$G18,IF(AND(($C18+$C$1)&gt;AT$3,AT$3&gt;=$C$1),'General Inputs'!R$9*$F18,0))</f>
        <v>2.9336750528637969</v>
      </c>
      <c r="AU18" s="214">
        <f>IF(AND(($D18+$C$1)&gt;AU$3,AU$3&gt;=$C$1),'General Inputs'!S$9*$G18,IF(AND(($C18+$C$1)&gt;AU$3,AU$3&gt;=$C$1),'General Inputs'!S$9*$F18,0))</f>
        <v>0</v>
      </c>
      <c r="AV18" s="214">
        <f>IF(AND(($D18+$C$1)&gt;AV$3,AV$3&gt;=$C$1),'General Inputs'!T$9*$G18,IF(AND(($C18+$C$1)&gt;AV$3,AV$3&gt;=$C$1),'General Inputs'!T$9*$F18,0))</f>
        <v>0</v>
      </c>
      <c r="AW18" s="214">
        <f>IF(AND(($D18+$C$1)&gt;AW$3,AW$3&gt;=$C$1),'General Inputs'!U$9*$G18,IF(AND(($C18+$C$1)&gt;AW$3,AW$3&gt;=$C$1),'General Inputs'!U$9*$F18,0))</f>
        <v>0</v>
      </c>
      <c r="AX18" s="214">
        <f>IF(AND(($D18+$C$1)&gt;AX$3,AX$3&gt;=$C$1),'General Inputs'!V$9*$G18,IF(AND(($C18+$C$1)&gt;AX$3,AX$3&gt;=$C$1),'General Inputs'!V$9*$F18,0))</f>
        <v>0</v>
      </c>
      <c r="AY18" s="214">
        <f>IF(AND(($D18+$C$1)&gt;AY$3,AY$3&gt;=$C$1),'General Inputs'!W$9*$G18,IF(AND(($C18+$C$1)&gt;AY$3,AY$3&gt;=$C$1),'General Inputs'!W$9*$F18,0))</f>
        <v>0</v>
      </c>
      <c r="BA18" s="214">
        <f>IF(AND(($D18+$C$1)&gt;AF$3,AF$3&gt;=$C$1),'General Inputs'!D$10*$I18,IF(AND(($C18+$C$1)&gt;AF$3,AF$3&gt;=$C$1),'General Inputs'!D$10*$H18,0))</f>
        <v>1.3822160598516977</v>
      </c>
      <c r="BB18" s="214">
        <f>IF(AND(($D18+$C$1)&gt;AG$3,AG$3&gt;=$C$1),'General Inputs'!E$10*$I18,IF(AND(($C18+$C$1)&gt;AG$3,AG$3&gt;=$C$1),'General Inputs'!E$10*$H18,0))</f>
        <v>1.4029493007494731</v>
      </c>
      <c r="BC18" s="214">
        <f>IF(AND(($D18+$C$1)&gt;AH$3,AH$3&gt;=$C$1),'General Inputs'!F$10*$I18,IF(AND(($C18+$C$1)&gt;AH$3,AH$3&gt;=$C$1),'General Inputs'!F$10*$H18,0))</f>
        <v>1.4239935402607151</v>
      </c>
      <c r="BD18" s="214">
        <f>IF(AND(($D18+$C$1)&gt;AI$3,AI$3&gt;=$C$1),'General Inputs'!G$10*$I18,IF(AND(($C18+$C$1)&gt;AI$3,AI$3&gt;=$C$1),'General Inputs'!G$10*$H18,0))</f>
        <v>1.4453534433646258</v>
      </c>
      <c r="BE18" s="214">
        <f>IF(AND(($D18+$C$1)&gt;AJ$3,AJ$3&gt;=$C$1),'General Inputs'!H$10*$I18,IF(AND(($C18+$C$1)&gt;AJ$3,AJ$3&gt;=$C$1),'General Inputs'!H$10*$H18,0))</f>
        <v>1.467033745015095</v>
      </c>
      <c r="BF18" s="214">
        <f>IF(AND(($D18+$C$1)&gt;AK$3,AK$3&gt;=$C$1),'General Inputs'!I$10*$I18,IF(AND(($C18+$C$1)&gt;AK$3,AK$3&gt;=$C$1),'General Inputs'!I$10*$H18,0))</f>
        <v>1.4890392511903212</v>
      </c>
      <c r="BG18" s="214">
        <f>IF(AND(($D18+$C$1)&gt;AL$3,AL$3&gt;=$C$1),'General Inputs'!J$10*$I18,IF(AND(($C18+$C$1)&gt;AL$3,AL$3&gt;=$C$1),'General Inputs'!J$10*$H18,0))</f>
        <v>1.5113748399581759</v>
      </c>
      <c r="BH18" s="214">
        <f>IF(AND(($D18+$C$1)&gt;AM$3,AM$3&gt;=$C$1),'General Inputs'!K$10*$I18,IF(AND(($C18+$C$1)&gt;AM$3,AM$3&gt;=$C$1),'General Inputs'!K$10*$H18,0))</f>
        <v>1.5340454625575484</v>
      </c>
      <c r="BI18" s="214">
        <f>IF(AND(($D18+$C$1)&gt;AN$3,AN$3&gt;=$C$1),'General Inputs'!L$10*$I18,IF(AND(($C18+$C$1)&gt;AN$3,AN$3&gt;=$C$1),'General Inputs'!L$10*$H18,0))</f>
        <v>1.5570561444959115</v>
      </c>
      <c r="BJ18" s="214">
        <f>IF(AND(($D18+$C$1)&gt;AO$3,AO$3&gt;=$C$1),'General Inputs'!M$10*$I18,IF(AND(($C18+$C$1)&gt;AO$3,AO$3&gt;=$C$1),'General Inputs'!M$10*$H18,0))</f>
        <v>1.5804119866633501</v>
      </c>
      <c r="BK18" s="214">
        <f>IF(AND(($D18+$C$1)&gt;AP$3,AP$3&gt;=$C$1),'General Inputs'!N$10*$I18,IF(AND(($C18+$C$1)&gt;AP$3,AP$3&gt;=$C$1),'General Inputs'!N$10*$H18,0))</f>
        <v>1.6041181664633002</v>
      </c>
      <c r="BL18" s="214">
        <f>IF(AND(($D18+$C$1)&gt;AQ$3,AQ$3&gt;=$C$1),'General Inputs'!O$10*$I18,IF(AND(($C18+$C$1)&gt;AQ$3,AQ$3&gt;=$C$1),'General Inputs'!O$10*$H18,0))</f>
        <v>1.6281799389602494</v>
      </c>
      <c r="BM18" s="214">
        <f>IF(AND(($D18+$C$1)&gt;AR$3,AR$3&gt;=$C$1),'General Inputs'!P$10*$I18,IF(AND(($C18+$C$1)&gt;AR$3,AR$3&gt;=$C$1),'General Inputs'!P$10*$H18,0))</f>
        <v>1.652602638044653</v>
      </c>
      <c r="BN18" s="214">
        <f>IF(AND(($D18+$C$1)&gt;AS$3,AS$3&gt;=$C$1),'General Inputs'!Q$10*$I18,IF(AND(($C18+$C$1)&gt;AS$3,AS$3&gt;=$C$1),'General Inputs'!Q$10*$H18,0))</f>
        <v>1.6773916776153226</v>
      </c>
      <c r="BO18" s="214">
        <f>IF(AND(($D18+$C$1)&gt;AT$3,AT$3&gt;=$C$1),'General Inputs'!R$10*$I18,IF(AND(($C18+$C$1)&gt;AT$3,AT$3&gt;=$C$1),'General Inputs'!R$10*$H18,0))</f>
        <v>1.7025525527795522</v>
      </c>
      <c r="BP18" s="214">
        <f>IF(AND(($D18+$C$1)&gt;AU$3,AU$3&gt;=$C$1),'General Inputs'!S$10*$I18,IF(AND(($C18+$C$1)&gt;AU$3,AU$3&gt;=$C$1),'General Inputs'!S$10*$H18,0))</f>
        <v>0</v>
      </c>
      <c r="BQ18" s="214">
        <f>IF(AND(($D18+$C$1)&gt;AV$3,AV$3&gt;=$C$1),'General Inputs'!T$10*$I18,IF(AND(($C18+$C$1)&gt;AV$3,AV$3&gt;=$C$1),'General Inputs'!T$10*$H18,0))</f>
        <v>0</v>
      </c>
      <c r="BR18" s="214">
        <f>IF(AND(($D18+$C$1)&gt;AW$3,AW$3&gt;=$C$1),'General Inputs'!U$10*$I18,IF(AND(($C18+$C$1)&gt;AW$3,AW$3&gt;=$C$1),'General Inputs'!U$10*$H18,0))</f>
        <v>0</v>
      </c>
      <c r="BS18" s="214">
        <f>IF(AND(($D18+$C$1)&gt;AX$3,AX$3&gt;=$C$1),'General Inputs'!V$10*$I18,IF(AND(($C18+$C$1)&gt;AX$3,AX$3&gt;=$C$1),'General Inputs'!V$10*$H18,0))</f>
        <v>0</v>
      </c>
      <c r="BT18" s="214">
        <f>IF(AND(($D18+$C$1)&gt;AY$3,AY$3&gt;=$C$1),'General Inputs'!W$10*$I18,IF(AND(($C18+$C$1)&gt;AY$3,AY$3&gt;=$C$1),'General Inputs'!W$10*$H18,0))</f>
        <v>0</v>
      </c>
    </row>
    <row r="19" spans="1:72">
      <c r="A19" s="341" t="s">
        <v>12</v>
      </c>
      <c r="B19" s="427" t="str">
        <f>Sources!B19</f>
        <v>Attic Insulation</v>
      </c>
      <c r="C19" s="193">
        <f>Sources!C19</f>
        <v>20</v>
      </c>
      <c r="D19" s="193">
        <f>Sources!D19</f>
        <v>0</v>
      </c>
      <c r="F19" s="429">
        <f>Sources!F19*EnergyLineLoss</f>
        <v>539.29622747852682</v>
      </c>
      <c r="G19" s="429">
        <f>Sources!G19*EnergyLineLoss</f>
        <v>0</v>
      </c>
      <c r="H19" s="477">
        <f>Sources!H19*PeakLineLoss</f>
        <v>0.22948643720192885</v>
      </c>
      <c r="I19" s="477">
        <f>Sources!I19*PeakLineLoss</f>
        <v>0</v>
      </c>
      <c r="K19" s="419">
        <f>Sources!J19</f>
        <v>575.25</v>
      </c>
      <c r="L19" s="419">
        <f>Sources!K19</f>
        <v>0</v>
      </c>
      <c r="N19" s="438">
        <f t="shared" si="4"/>
        <v>0.48313784906185836</v>
      </c>
      <c r="P19" s="215">
        <f t="shared" si="5"/>
        <v>239.5805299190273</v>
      </c>
      <c r="Q19" s="215">
        <f t="shared" si="1"/>
        <v>38.344517753806727</v>
      </c>
      <c r="R19" s="215">
        <f t="shared" si="2"/>
        <v>575.25</v>
      </c>
      <c r="T19" s="214">
        <f t="shared" si="6"/>
        <v>575.25</v>
      </c>
      <c r="U19" s="214">
        <f t="shared" si="6"/>
        <v>0</v>
      </c>
      <c r="V19" s="214">
        <f t="shared" si="6"/>
        <v>0</v>
      </c>
      <c r="W19" s="214">
        <f t="shared" si="6"/>
        <v>0</v>
      </c>
      <c r="X19" s="214">
        <f t="shared" si="6"/>
        <v>0</v>
      </c>
      <c r="Y19" s="214">
        <f t="shared" si="6"/>
        <v>0</v>
      </c>
      <c r="Z19" s="214">
        <f t="shared" si="6"/>
        <v>0</v>
      </c>
      <c r="AA19" s="214">
        <f t="shared" si="6"/>
        <v>0</v>
      </c>
      <c r="AB19" s="214">
        <f t="shared" si="6"/>
        <v>0</v>
      </c>
      <c r="AC19" s="214">
        <f t="shared" si="6"/>
        <v>0</v>
      </c>
      <c r="AD19" s="214">
        <f t="shared" si="6"/>
        <v>0</v>
      </c>
      <c r="AF19" s="214">
        <f>IF(AND(($D19+$C$1)&gt;AF$3,AF$3&gt;=$C$1),'General Inputs'!D$9*$G19,IF(AND(($C19+$C$1)&gt;AF$3,AF$3&gt;=$C$1),'General Inputs'!D$9*$F19,0))</f>
        <v>21.470606608573103</v>
      </c>
      <c r="AG19" s="214">
        <f>IF(AND(($D19+$C$1)&gt;AG$3,AG$3&gt;=$C$1),'General Inputs'!E$9*$G19,IF(AND(($C19+$C$1)&gt;AG$3,AG$3&gt;=$C$1),'General Inputs'!E$9*$F19,0))</f>
        <v>21.792665707701698</v>
      </c>
      <c r="AH19" s="214">
        <f>IF(AND(($D19+$C$1)&gt;AH$3,AH$3&gt;=$C$1),'General Inputs'!F$9*$G19,IF(AND(($C19+$C$1)&gt;AH$3,AH$3&gt;=$C$1),'General Inputs'!F$9*$F19,0))</f>
        <v>22.119555693317221</v>
      </c>
      <c r="AI19" s="214">
        <f>IF(AND(($D19+$C$1)&gt;AI$3,AI$3&gt;=$C$1),'General Inputs'!G$9*$G19,IF(AND(($C19+$C$1)&gt;AI$3,AI$3&gt;=$C$1),'General Inputs'!G$9*$F19,0))</f>
        <v>22.451349028716976</v>
      </c>
      <c r="AJ19" s="214">
        <f>IF(AND(($D19+$C$1)&gt;AJ$3,AJ$3&gt;=$C$1),'General Inputs'!H$9*$G19,IF(AND(($C19+$C$1)&gt;AJ$3,AJ$3&gt;=$C$1),'General Inputs'!H$9*$F19,0))</f>
        <v>22.788119264147728</v>
      </c>
      <c r="AK19" s="214">
        <f>IF(AND(($D19+$C$1)&gt;AK$3,AK$3&gt;=$C$1),'General Inputs'!I$9*$G19,IF(AND(($C19+$C$1)&gt;AK$3,AK$3&gt;=$C$1),'General Inputs'!I$9*$F19,0))</f>
        <v>23.129941053109942</v>
      </c>
      <c r="AL19" s="214">
        <f>IF(AND(($D19+$C$1)&gt;AL$3,AL$3&gt;=$C$1),'General Inputs'!J$9*$G19,IF(AND(($C19+$C$1)&gt;AL$3,AL$3&gt;=$C$1),'General Inputs'!J$9*$F19,0))</f>
        <v>23.476890168906586</v>
      </c>
      <c r="AM19" s="214">
        <f>IF(AND(($D19+$C$1)&gt;AM$3,AM$3&gt;=$C$1),'General Inputs'!K$9*$G19,IF(AND(($C19+$C$1)&gt;AM$3,AM$3&gt;=$C$1),'General Inputs'!K$9*$F19,0))</f>
        <v>23.82904352144018</v>
      </c>
      <c r="AN19" s="214">
        <f>IF(AND(($D19+$C$1)&gt;AN$3,AN$3&gt;=$C$1),'General Inputs'!L$9*$G19,IF(AND(($C19+$C$1)&gt;AN$3,AN$3&gt;=$C$1),'General Inputs'!L$9*$F19,0))</f>
        <v>24.186479174261784</v>
      </c>
      <c r="AO19" s="214">
        <f>IF(AND(($D19+$C$1)&gt;AO$3,AO$3&gt;=$C$1),'General Inputs'!M$9*$G19,IF(AND(($C19+$C$1)&gt;AO$3,AO$3&gt;=$C$1),'General Inputs'!M$9*$F19,0))</f>
        <v>24.549276361875705</v>
      </c>
      <c r="AP19" s="214">
        <f>IF(AND(($D19+$C$1)&gt;AP$3,AP$3&gt;=$C$1),'General Inputs'!N$9*$G19,IF(AND(($C19+$C$1)&gt;AP$3,AP$3&gt;=$C$1),'General Inputs'!N$9*$F19,0))</f>
        <v>24.91751550730384</v>
      </c>
      <c r="AQ19" s="214">
        <f>IF(AND(($D19+$C$1)&gt;AQ$3,AQ$3&gt;=$C$1),'General Inputs'!O$9*$G19,IF(AND(($C19+$C$1)&gt;AQ$3,AQ$3&gt;=$C$1),'General Inputs'!O$9*$F19,0))</f>
        <v>25.291278239913392</v>
      </c>
      <c r="AR19" s="214">
        <f>IF(AND(($D19+$C$1)&gt;AR$3,AR$3&gt;=$C$1),'General Inputs'!P$9*$G19,IF(AND(($C19+$C$1)&gt;AR$3,AR$3&gt;=$C$1),'General Inputs'!P$9*$F19,0))</f>
        <v>25.670647413512093</v>
      </c>
      <c r="AS19" s="214">
        <f>IF(AND(($D19+$C$1)&gt;AS$3,AS$3&gt;=$C$1),'General Inputs'!Q$9*$G19,IF(AND(($C19+$C$1)&gt;AS$3,AS$3&gt;=$C$1),'General Inputs'!Q$9*$F19,0))</f>
        <v>26.055707124714772</v>
      </c>
      <c r="AT19" s="214">
        <f>IF(AND(($D19+$C$1)&gt;AT$3,AT$3&gt;=$C$1),'General Inputs'!R$9*$G19,IF(AND(($C19+$C$1)&gt;AT$3,AT$3&gt;=$C$1),'General Inputs'!R$9*$F19,0))</f>
        <v>26.446542731585492</v>
      </c>
      <c r="AU19" s="214">
        <f>IF(AND(($D19+$C$1)&gt;AU$3,AU$3&gt;=$C$1),'General Inputs'!S$9*$G19,IF(AND(($C19+$C$1)&gt;AU$3,AU$3&gt;=$C$1),'General Inputs'!S$9*$F19,0))</f>
        <v>26.843240872559274</v>
      </c>
      <c r="AV19" s="214">
        <f>IF(AND(($D19+$C$1)&gt;AV$3,AV$3&gt;=$C$1),'General Inputs'!T$9*$G19,IF(AND(($C19+$C$1)&gt;AV$3,AV$3&gt;=$C$1),'General Inputs'!T$9*$F19,0))</f>
        <v>27.245889485647659</v>
      </c>
      <c r="AW19" s="214">
        <f>IF(AND(($D19+$C$1)&gt;AW$3,AW$3&gt;=$C$1),'General Inputs'!U$9*$G19,IF(AND(($C19+$C$1)&gt;AW$3,AW$3&gt;=$C$1),'General Inputs'!U$9*$F19,0))</f>
        <v>27.654577827932375</v>
      </c>
      <c r="AX19" s="214">
        <f>IF(AND(($D19+$C$1)&gt;AX$3,AX$3&gt;=$C$1),'General Inputs'!V$9*$G19,IF(AND(($C19+$C$1)&gt;AX$3,AX$3&gt;=$C$1),'General Inputs'!V$9*$F19,0))</f>
        <v>28.069396495351356</v>
      </c>
      <c r="AY19" s="214">
        <f>IF(AND(($D19+$C$1)&gt;AY$3,AY$3&gt;=$C$1),'General Inputs'!W$9*$G19,IF(AND(($C19+$C$1)&gt;AY$3,AY$3&gt;=$C$1),'General Inputs'!W$9*$F19,0))</f>
        <v>28.490437442781623</v>
      </c>
      <c r="BA19" s="214">
        <f>IF(AND(($D19+$C$1)&gt;AF$3,AF$3&gt;=$C$1),'General Inputs'!D$10*$I19,IF(AND(($C19+$C$1)&gt;AF$3,AF$3&gt;=$C$1),'General Inputs'!D$10*$H19,0))</f>
        <v>3.4363395746961611</v>
      </c>
      <c r="BB19" s="214">
        <f>IF(AND(($D19+$C$1)&gt;AG$3,AG$3&gt;=$C$1),'General Inputs'!E$10*$I19,IF(AND(($C19+$C$1)&gt;AG$3,AG$3&gt;=$C$1),'General Inputs'!E$10*$H19,0))</f>
        <v>3.4878846683166032</v>
      </c>
      <c r="BC19" s="214">
        <f>IF(AND(($D19+$C$1)&gt;AH$3,AH$3&gt;=$C$1),'General Inputs'!F$10*$I19,IF(AND(($C19+$C$1)&gt;AH$3,AH$3&gt;=$C$1),'General Inputs'!F$10*$H19,0))</f>
        <v>3.540202938341352</v>
      </c>
      <c r="BD19" s="214">
        <f>IF(AND(($D19+$C$1)&gt;AI$3,AI$3&gt;=$C$1),'General Inputs'!G$10*$I19,IF(AND(($C19+$C$1)&gt;AI$3,AI$3&gt;=$C$1),'General Inputs'!G$10*$H19,0))</f>
        <v>3.5933059824164721</v>
      </c>
      <c r="BE19" s="214">
        <f>IF(AND(($D19+$C$1)&gt;AJ$3,AJ$3&gt;=$C$1),'General Inputs'!H$10*$I19,IF(AND(($C19+$C$1)&gt;AJ$3,AJ$3&gt;=$C$1),'General Inputs'!H$10*$H19,0))</f>
        <v>3.647205572152719</v>
      </c>
      <c r="BF19" s="214">
        <f>IF(AND(($D19+$C$1)&gt;AK$3,AK$3&gt;=$C$1),'General Inputs'!I$10*$I19,IF(AND(($C19+$C$1)&gt;AK$3,AK$3&gt;=$C$1),'General Inputs'!I$10*$H19,0))</f>
        <v>3.7019136557350087</v>
      </c>
      <c r="BG19" s="214">
        <f>IF(AND(($D19+$C$1)&gt;AL$3,AL$3&gt;=$C$1),'General Inputs'!J$10*$I19,IF(AND(($C19+$C$1)&gt;AL$3,AL$3&gt;=$C$1),'General Inputs'!J$10*$H19,0))</f>
        <v>3.7574423605710336</v>
      </c>
      <c r="BH19" s="214">
        <f>IF(AND(($D19+$C$1)&gt;AM$3,AM$3&gt;=$C$1),'General Inputs'!K$10*$I19,IF(AND(($C19+$C$1)&gt;AM$3,AM$3&gt;=$C$1),'General Inputs'!K$10*$H19,0))</f>
        <v>3.8138039959795988</v>
      </c>
      <c r="BI19" s="214">
        <f>IF(AND(($D19+$C$1)&gt;AN$3,AN$3&gt;=$C$1),'General Inputs'!L$10*$I19,IF(AND(($C19+$C$1)&gt;AN$3,AN$3&gt;=$C$1),'General Inputs'!L$10*$H19,0))</f>
        <v>3.8710110559192925</v>
      </c>
      <c r="BJ19" s="214">
        <f>IF(AND(($D19+$C$1)&gt;AO$3,AO$3&gt;=$C$1),'General Inputs'!M$10*$I19,IF(AND(($C19+$C$1)&gt;AO$3,AO$3&gt;=$C$1),'General Inputs'!M$10*$H19,0))</f>
        <v>3.9290762217580819</v>
      </c>
      <c r="BK19" s="214">
        <f>IF(AND(($D19+$C$1)&gt;AP$3,AP$3&gt;=$C$1),'General Inputs'!N$10*$I19,IF(AND(($C19+$C$1)&gt;AP$3,AP$3&gt;=$C$1),'General Inputs'!N$10*$H19,0))</f>
        <v>3.9880123650844523</v>
      </c>
      <c r="BL19" s="214">
        <f>IF(AND(($D19+$C$1)&gt;AQ$3,AQ$3&gt;=$C$1),'General Inputs'!O$10*$I19,IF(AND(($C19+$C$1)&gt;AQ$3,AQ$3&gt;=$C$1),'General Inputs'!O$10*$H19,0))</f>
        <v>4.0478325505607184</v>
      </c>
      <c r="BM19" s="214">
        <f>IF(AND(($D19+$C$1)&gt;AR$3,AR$3&gt;=$C$1),'General Inputs'!P$10*$I19,IF(AND(($C19+$C$1)&gt;AR$3,AR$3&gt;=$C$1),'General Inputs'!P$10*$H19,0))</f>
        <v>4.1085500388191294</v>
      </c>
      <c r="BN19" s="214">
        <f>IF(AND(($D19+$C$1)&gt;AS$3,AS$3&gt;=$C$1),'General Inputs'!Q$10*$I19,IF(AND(($C19+$C$1)&gt;AS$3,AS$3&gt;=$C$1),'General Inputs'!Q$10*$H19,0))</f>
        <v>4.1701782894014157</v>
      </c>
      <c r="BO19" s="214">
        <f>IF(AND(($D19+$C$1)&gt;AT$3,AT$3&gt;=$C$1),'General Inputs'!R$10*$I19,IF(AND(($C19+$C$1)&gt;AT$3,AT$3&gt;=$C$1),'General Inputs'!R$10*$H19,0))</f>
        <v>4.2327309637424362</v>
      </c>
      <c r="BP19" s="214">
        <f>IF(AND(($D19+$C$1)&gt;AU$3,AU$3&gt;=$C$1),'General Inputs'!S$10*$I19,IF(AND(($C19+$C$1)&gt;AU$3,AU$3&gt;=$C$1),'General Inputs'!S$10*$H19,0))</f>
        <v>4.2962219281985732</v>
      </c>
      <c r="BQ19" s="214">
        <f>IF(AND(($D19+$C$1)&gt;AV$3,AV$3&gt;=$C$1),'General Inputs'!T$10*$I19,IF(AND(($C19+$C$1)&gt;AV$3,AV$3&gt;=$C$1),'General Inputs'!T$10*$H19,0))</f>
        <v>4.3606652571215507</v>
      </c>
      <c r="BR19" s="214">
        <f>IF(AND(($D19+$C$1)&gt;AW$3,AW$3&gt;=$C$1),'General Inputs'!U$10*$I19,IF(AND(($C19+$C$1)&gt;AW$3,AW$3&gt;=$C$1),'General Inputs'!U$10*$H19,0))</f>
        <v>4.4260752359783737</v>
      </c>
      <c r="BS19" s="214">
        <f>IF(AND(($D19+$C$1)&gt;AX$3,AX$3&gt;=$C$1),'General Inputs'!V$10*$I19,IF(AND(($C19+$C$1)&gt;AX$3,AX$3&gt;=$C$1),'General Inputs'!V$10*$H19,0))</f>
        <v>4.4924663645180489</v>
      </c>
      <c r="BT19" s="214">
        <f>IF(AND(($D19+$C$1)&gt;AY$3,AY$3&gt;=$C$1),'General Inputs'!W$10*$I19,IF(AND(($C19+$C$1)&gt;AY$3,AY$3&gt;=$C$1),'General Inputs'!W$10*$H19,0))</f>
        <v>4.5598533599858193</v>
      </c>
    </row>
    <row r="20" spans="1:72">
      <c r="A20" s="341" t="s">
        <v>12</v>
      </c>
      <c r="B20" s="427" t="str">
        <f>Sources!B20</f>
        <v>Wall Insulation</v>
      </c>
      <c r="C20" s="193">
        <f>Sources!C20</f>
        <v>20</v>
      </c>
      <c r="D20" s="193">
        <f>Sources!D20</f>
        <v>0</v>
      </c>
      <c r="F20" s="429">
        <f>Sources!F20*EnergyLineLoss</f>
        <v>5069.631488759218</v>
      </c>
      <c r="G20" s="429">
        <f>Sources!G20*EnergyLineLoss</f>
        <v>0</v>
      </c>
      <c r="H20" s="477">
        <f>Sources!H20*PeakLineLoss</f>
        <v>2.1572775943966476</v>
      </c>
      <c r="I20" s="477">
        <f>Sources!I20*PeakLineLoss</f>
        <v>0</v>
      </c>
      <c r="K20" s="419">
        <f>Sources!J20</f>
        <v>1011.7706666666668</v>
      </c>
      <c r="L20" s="419">
        <f>Sources!K20</f>
        <v>0</v>
      </c>
      <c r="N20" s="438">
        <f t="shared" si="4"/>
        <v>2.5822281664616358</v>
      </c>
      <c r="P20" s="215">
        <f t="shared" si="5"/>
        <v>2252.1666881481788</v>
      </c>
      <c r="Q20" s="215">
        <f t="shared" si="1"/>
        <v>360.45602531815535</v>
      </c>
      <c r="R20" s="215">
        <f t="shared" si="2"/>
        <v>1011.7706666666668</v>
      </c>
      <c r="T20" s="214">
        <f t="shared" si="6"/>
        <v>1011.7706666666668</v>
      </c>
      <c r="U20" s="214">
        <f t="shared" si="6"/>
        <v>0</v>
      </c>
      <c r="V20" s="214">
        <f t="shared" si="6"/>
        <v>0</v>
      </c>
      <c r="W20" s="214">
        <f t="shared" si="6"/>
        <v>0</v>
      </c>
      <c r="X20" s="214">
        <f t="shared" si="6"/>
        <v>0</v>
      </c>
      <c r="Y20" s="214">
        <f t="shared" si="6"/>
        <v>0</v>
      </c>
      <c r="Z20" s="214">
        <f t="shared" si="6"/>
        <v>0</v>
      </c>
      <c r="AA20" s="214">
        <f t="shared" si="6"/>
        <v>0</v>
      </c>
      <c r="AB20" s="214">
        <f t="shared" si="6"/>
        <v>0</v>
      </c>
      <c r="AC20" s="214">
        <f t="shared" si="6"/>
        <v>0</v>
      </c>
      <c r="AD20" s="214">
        <f t="shared" si="6"/>
        <v>0</v>
      </c>
      <c r="AF20" s="214">
        <f>IF(AND(($D20+$C$1)&gt;AF$3,AF$3&gt;=$C$1),'General Inputs'!D$9*$G20,IF(AND(($C20+$C$1)&gt;AF$3,AF$3&gt;=$C$1),'General Inputs'!D$9*$F20,0))</f>
        <v>201.83353377883211</v>
      </c>
      <c r="AG20" s="214">
        <f>IF(AND(($D20+$C$1)&gt;AG$3,AG$3&gt;=$C$1),'General Inputs'!E$9*$G20,IF(AND(($C20+$C$1)&gt;AG$3,AG$3&gt;=$C$1),'General Inputs'!E$9*$F20,0))</f>
        <v>204.86103678551456</v>
      </c>
      <c r="AH20" s="214">
        <f>IF(AND(($D20+$C$1)&gt;AH$3,AH$3&gt;=$C$1),'General Inputs'!F$9*$G20,IF(AND(($C20+$C$1)&gt;AH$3,AH$3&gt;=$C$1),'General Inputs'!F$9*$F20,0))</f>
        <v>207.93395233729726</v>
      </c>
      <c r="AI20" s="214">
        <f>IF(AND(($D20+$C$1)&gt;AI$3,AI$3&gt;=$C$1),'General Inputs'!G$9*$G20,IF(AND(($C20+$C$1)&gt;AI$3,AI$3&gt;=$C$1),'General Inputs'!G$9*$F20,0))</f>
        <v>211.05296162235669</v>
      </c>
      <c r="AJ20" s="214">
        <f>IF(AND(($D20+$C$1)&gt;AJ$3,AJ$3&gt;=$C$1),'General Inputs'!H$9*$G20,IF(AND(($C20+$C$1)&gt;AJ$3,AJ$3&gt;=$C$1),'General Inputs'!H$9*$F20,0))</f>
        <v>214.21875604669202</v>
      </c>
      <c r="AK20" s="214">
        <f>IF(AND(($D20+$C$1)&gt;AK$3,AK$3&gt;=$C$1),'General Inputs'!I$9*$G20,IF(AND(($C20+$C$1)&gt;AK$3,AK$3&gt;=$C$1),'General Inputs'!I$9*$F20,0))</f>
        <v>217.43203738739237</v>
      </c>
      <c r="AL20" s="214">
        <f>IF(AND(($D20+$C$1)&gt;AL$3,AL$3&gt;=$C$1),'General Inputs'!J$9*$G20,IF(AND(($C20+$C$1)&gt;AL$3,AL$3&gt;=$C$1),'General Inputs'!J$9*$F20,0))</f>
        <v>220.69351794820324</v>
      </c>
      <c r="AM20" s="214">
        <f>IF(AND(($D20+$C$1)&gt;AM$3,AM$3&gt;=$C$1),'General Inputs'!K$9*$G20,IF(AND(($C20+$C$1)&gt;AM$3,AM$3&gt;=$C$1),'General Inputs'!K$9*$F20,0))</f>
        <v>224.00392071742624</v>
      </c>
      <c r="AN20" s="214">
        <f>IF(AND(($D20+$C$1)&gt;AN$3,AN$3&gt;=$C$1),'General Inputs'!L$9*$G20,IF(AND(($C20+$C$1)&gt;AN$3,AN$3&gt;=$C$1),'General Inputs'!L$9*$F20,0))</f>
        <v>227.3639795281876</v>
      </c>
      <c r="AO20" s="214">
        <f>IF(AND(($D20+$C$1)&gt;AO$3,AO$3&gt;=$C$1),'General Inputs'!M$9*$G20,IF(AND(($C20+$C$1)&gt;AO$3,AO$3&gt;=$C$1),'General Inputs'!M$9*$F20,0))</f>
        <v>230.77443922111038</v>
      </c>
      <c r="AP20" s="214">
        <f>IF(AND(($D20+$C$1)&gt;AP$3,AP$3&gt;=$C$1),'General Inputs'!N$9*$G20,IF(AND(($C20+$C$1)&gt;AP$3,AP$3&gt;=$C$1),'General Inputs'!N$9*$F20,0))</f>
        <v>234.23605580942703</v>
      </c>
      <c r="AQ20" s="214">
        <f>IF(AND(($D20+$C$1)&gt;AQ$3,AQ$3&gt;=$C$1),'General Inputs'!O$9*$G20,IF(AND(($C20+$C$1)&gt;AQ$3,AQ$3&gt;=$C$1),'General Inputs'!O$9*$F20,0))</f>
        <v>237.74959664656839</v>
      </c>
      <c r="AR20" s="214">
        <f>IF(AND(($D20+$C$1)&gt;AR$3,AR$3&gt;=$C$1),'General Inputs'!P$9*$G20,IF(AND(($C20+$C$1)&gt;AR$3,AR$3&gt;=$C$1),'General Inputs'!P$9*$F20,0))</f>
        <v>241.3158405962669</v>
      </c>
      <c r="AS20" s="214">
        <f>IF(AND(($D20+$C$1)&gt;AS$3,AS$3&gt;=$C$1),'General Inputs'!Q$9*$G20,IF(AND(($C20+$C$1)&gt;AS$3,AS$3&gt;=$C$1),'General Inputs'!Q$9*$F20,0))</f>
        <v>244.9355782052109</v>
      </c>
      <c r="AT20" s="214">
        <f>IF(AND(($D20+$C$1)&gt;AT$3,AT$3&gt;=$C$1),'General Inputs'!R$9*$G20,IF(AND(($C20+$C$1)&gt;AT$3,AT$3&gt;=$C$1),'General Inputs'!R$9*$F20,0))</f>
        <v>248.60961187828906</v>
      </c>
      <c r="AU20" s="214">
        <f>IF(AND(($D20+$C$1)&gt;AU$3,AU$3&gt;=$C$1),'General Inputs'!S$9*$G20,IF(AND(($C20+$C$1)&gt;AU$3,AU$3&gt;=$C$1),'General Inputs'!S$9*$F20,0))</f>
        <v>252.33875605646338</v>
      </c>
      <c r="AV20" s="214">
        <f>IF(AND(($D20+$C$1)&gt;AV$3,AV$3&gt;=$C$1),'General Inputs'!T$9*$G20,IF(AND(($C20+$C$1)&gt;AV$3,AV$3&gt;=$C$1),'General Inputs'!T$9*$F20,0))</f>
        <v>256.1238373973103</v>
      </c>
      <c r="AW20" s="214">
        <f>IF(AND(($D20+$C$1)&gt;AW$3,AW$3&gt;=$C$1),'General Inputs'!U$9*$G20,IF(AND(($C20+$C$1)&gt;AW$3,AW$3&gt;=$C$1),'General Inputs'!U$9*$F20,0))</f>
        <v>259.96569495826992</v>
      </c>
      <c r="AX20" s="214">
        <f>IF(AND(($D20+$C$1)&gt;AX$3,AX$3&gt;=$C$1),'General Inputs'!V$9*$G20,IF(AND(($C20+$C$1)&gt;AX$3,AX$3&gt;=$C$1),'General Inputs'!V$9*$F20,0))</f>
        <v>263.86518038264398</v>
      </c>
      <c r="AY20" s="214">
        <f>IF(AND(($D20+$C$1)&gt;AY$3,AY$3&gt;=$C$1),'General Inputs'!W$9*$G20,IF(AND(($C20+$C$1)&gt;AY$3,AY$3&gt;=$C$1),'General Inputs'!W$9*$F20,0))</f>
        <v>267.82315808838359</v>
      </c>
      <c r="BA20" s="214">
        <f>IF(AND(($D20+$C$1)&gt;AF$3,AF$3&gt;=$C$1),'General Inputs'!D$10*$I20,IF(AND(($C20+$C$1)&gt;AF$3,AF$3&gt;=$C$1),'General Inputs'!D$10*$H20,0))</f>
        <v>32.303165544844781</v>
      </c>
      <c r="BB20" s="214">
        <f>IF(AND(($D20+$C$1)&gt;AG$3,AG$3&gt;=$C$1),'General Inputs'!E$10*$I20,IF(AND(($C20+$C$1)&gt;AG$3,AG$3&gt;=$C$1),'General Inputs'!E$10*$H20,0))</f>
        <v>32.78771302801745</v>
      </c>
      <c r="BC20" s="214">
        <f>IF(AND(($D20+$C$1)&gt;AH$3,AH$3&gt;=$C$1),'General Inputs'!F$10*$I20,IF(AND(($C20+$C$1)&gt;AH$3,AH$3&gt;=$C$1),'General Inputs'!F$10*$H20,0))</f>
        <v>33.279528723437707</v>
      </c>
      <c r="BD20" s="214">
        <f>IF(AND(($D20+$C$1)&gt;AI$3,AI$3&gt;=$C$1),'General Inputs'!G$10*$I20,IF(AND(($C20+$C$1)&gt;AI$3,AI$3&gt;=$C$1),'General Inputs'!G$10*$H20,0))</f>
        <v>33.778721654289271</v>
      </c>
      <c r="BE20" s="214">
        <f>IF(AND(($D20+$C$1)&gt;AJ$3,AJ$3&gt;=$C$1),'General Inputs'!H$10*$I20,IF(AND(($C20+$C$1)&gt;AJ$3,AJ$3&gt;=$C$1),'General Inputs'!H$10*$H20,0))</f>
        <v>34.28540247910361</v>
      </c>
      <c r="BF20" s="214">
        <f>IF(AND(($D20+$C$1)&gt;AK$3,AK$3&gt;=$C$1),'General Inputs'!I$10*$I20,IF(AND(($C20+$C$1)&gt;AK$3,AK$3&gt;=$C$1),'General Inputs'!I$10*$H20,0))</f>
        <v>34.799683516290159</v>
      </c>
      <c r="BG20" s="214">
        <f>IF(AND(($D20+$C$1)&gt;AL$3,AL$3&gt;=$C$1),'General Inputs'!J$10*$I20,IF(AND(($C20+$C$1)&gt;AL$3,AL$3&gt;=$C$1),'General Inputs'!J$10*$H20,0))</f>
        <v>35.321678769034506</v>
      </c>
      <c r="BH20" s="214">
        <f>IF(AND(($D20+$C$1)&gt;AM$3,AM$3&gt;=$C$1),'General Inputs'!K$10*$I20,IF(AND(($C20+$C$1)&gt;AM$3,AM$3&gt;=$C$1),'General Inputs'!K$10*$H20,0))</f>
        <v>35.85150395057002</v>
      </c>
      <c r="BI20" s="214">
        <f>IF(AND(($D20+$C$1)&gt;AN$3,AN$3&gt;=$C$1),'General Inputs'!L$10*$I20,IF(AND(($C20+$C$1)&gt;AN$3,AN$3&gt;=$C$1),'General Inputs'!L$10*$H20,0))</f>
        <v>36.389276509828569</v>
      </c>
      <c r="BJ20" s="214">
        <f>IF(AND(($D20+$C$1)&gt;AO$3,AO$3&gt;=$C$1),'General Inputs'!M$10*$I20,IF(AND(($C20+$C$1)&gt;AO$3,AO$3&gt;=$C$1),'General Inputs'!M$10*$H20,0))</f>
        <v>36.935115657475997</v>
      </c>
      <c r="BK20" s="214">
        <f>IF(AND(($D20+$C$1)&gt;AP$3,AP$3&gt;=$C$1),'General Inputs'!N$10*$I20,IF(AND(($C20+$C$1)&gt;AP$3,AP$3&gt;=$C$1),'General Inputs'!N$10*$H20,0))</f>
        <v>37.489142392338131</v>
      </c>
      <c r="BL20" s="214">
        <f>IF(AND(($D20+$C$1)&gt;AQ$3,AQ$3&gt;=$C$1),'General Inputs'!O$10*$I20,IF(AND(($C20+$C$1)&gt;AQ$3,AQ$3&gt;=$C$1),'General Inputs'!O$10*$H20,0))</f>
        <v>38.051479528223197</v>
      </c>
      <c r="BM20" s="214">
        <f>IF(AND(($D20+$C$1)&gt;AR$3,AR$3&gt;=$C$1),'General Inputs'!P$10*$I20,IF(AND(($C20+$C$1)&gt;AR$3,AR$3&gt;=$C$1),'General Inputs'!P$10*$H20,0))</f>
        <v>38.62225172114654</v>
      </c>
      <c r="BN20" s="214">
        <f>IF(AND(($D20+$C$1)&gt;AS$3,AS$3&gt;=$C$1),'General Inputs'!Q$10*$I20,IF(AND(($C20+$C$1)&gt;AS$3,AS$3&gt;=$C$1),'General Inputs'!Q$10*$H20,0))</f>
        <v>39.201585496963737</v>
      </c>
      <c r="BO20" s="214">
        <f>IF(AND(($D20+$C$1)&gt;AT$3,AT$3&gt;=$C$1),'General Inputs'!R$10*$I20,IF(AND(($C20+$C$1)&gt;AT$3,AT$3&gt;=$C$1),'General Inputs'!R$10*$H20,0))</f>
        <v>39.789609279418187</v>
      </c>
      <c r="BP20" s="214">
        <f>IF(AND(($D20+$C$1)&gt;AU$3,AU$3&gt;=$C$1),'General Inputs'!S$10*$I20,IF(AND(($C20+$C$1)&gt;AU$3,AU$3&gt;=$C$1),'General Inputs'!S$10*$H20,0))</f>
        <v>40.386453418609456</v>
      </c>
      <c r="BQ20" s="214">
        <f>IF(AND(($D20+$C$1)&gt;AV$3,AV$3&gt;=$C$1),'General Inputs'!T$10*$I20,IF(AND(($C20+$C$1)&gt;AV$3,AV$3&gt;=$C$1),'General Inputs'!T$10*$H20,0))</f>
        <v>40.992250219888597</v>
      </c>
      <c r="BR20" s="214">
        <f>IF(AND(($D20+$C$1)&gt;AW$3,AW$3&gt;=$C$1),'General Inputs'!U$10*$I20,IF(AND(($C20+$C$1)&gt;AW$3,AW$3&gt;=$C$1),'General Inputs'!U$10*$H20,0))</f>
        <v>41.607133973186919</v>
      </c>
      <c r="BS20" s="214">
        <f>IF(AND(($D20+$C$1)&gt;AX$3,AX$3&gt;=$C$1),'General Inputs'!V$10*$I20,IF(AND(($C20+$C$1)&gt;AX$3,AX$3&gt;=$C$1),'General Inputs'!V$10*$H20,0))</f>
        <v>42.231240982784719</v>
      </c>
      <c r="BT20" s="214">
        <f>IF(AND(($D20+$C$1)&gt;AY$3,AY$3&gt;=$C$1),'General Inputs'!W$10*$I20,IF(AND(($C20+$C$1)&gt;AY$3,AY$3&gt;=$C$1),'General Inputs'!W$10*$H20,0))</f>
        <v>42.864709597526485</v>
      </c>
    </row>
    <row r="21" spans="1:72">
      <c r="A21" s="341" t="s">
        <v>12</v>
      </c>
      <c r="B21" s="427" t="str">
        <f>Sources!B21</f>
        <v>Faucet Aerator - Kitchen</v>
      </c>
      <c r="C21" s="193">
        <f>Sources!C21</f>
        <v>9</v>
      </c>
      <c r="D21" s="193">
        <f>Sources!D21</f>
        <v>0</v>
      </c>
      <c r="F21" s="429">
        <f>Sources!F21*EnergyLineLoss</f>
        <v>168.52438746822975</v>
      </c>
      <c r="G21" s="429">
        <f>Sources!G21*EnergyLineLoss</f>
        <v>0</v>
      </c>
      <c r="H21" s="477">
        <f>Sources!H21*PeakLineLoss</f>
        <v>1.8819982356858139E-2</v>
      </c>
      <c r="I21" s="477">
        <f>Sources!I21*PeakLineLoss</f>
        <v>0</v>
      </c>
      <c r="K21" s="419">
        <f>Sources!J21</f>
        <v>8</v>
      </c>
      <c r="L21" s="419">
        <f>Sources!K21</f>
        <v>0</v>
      </c>
      <c r="N21" s="438">
        <f t="shared" si="4"/>
        <v>6.0456757698073416</v>
      </c>
      <c r="P21" s="215">
        <f t="shared" si="5"/>
        <v>46.415810664879913</v>
      </c>
      <c r="Q21" s="215">
        <f t="shared" si="1"/>
        <v>1.94959549357882</v>
      </c>
      <c r="R21" s="215">
        <f t="shared" si="2"/>
        <v>8</v>
      </c>
      <c r="T21" s="214">
        <f t="shared" si="6"/>
        <v>8</v>
      </c>
      <c r="U21" s="214">
        <f t="shared" si="6"/>
        <v>0</v>
      </c>
      <c r="V21" s="214">
        <f t="shared" si="6"/>
        <v>0</v>
      </c>
      <c r="W21" s="214">
        <f t="shared" si="6"/>
        <v>0</v>
      </c>
      <c r="X21" s="214">
        <f t="shared" si="6"/>
        <v>0</v>
      </c>
      <c r="Y21" s="214">
        <f t="shared" si="6"/>
        <v>0</v>
      </c>
      <c r="Z21" s="214">
        <f t="shared" si="6"/>
        <v>0</v>
      </c>
      <c r="AA21" s="214">
        <f t="shared" si="6"/>
        <v>0</v>
      </c>
      <c r="AB21" s="214">
        <f t="shared" si="6"/>
        <v>0</v>
      </c>
      <c r="AC21" s="214">
        <f t="shared" si="6"/>
        <v>0</v>
      </c>
      <c r="AD21" s="214">
        <f t="shared" si="6"/>
        <v>0</v>
      </c>
      <c r="AF21" s="214">
        <f>IF(AND(($D21+$C$1)&gt;AF$3,AF$3&gt;=$C$1),'General Inputs'!D$9*$G21,IF(AND(($C21+$C$1)&gt;AF$3,AF$3&gt;=$C$1),'General Inputs'!D$9*$F21,0))</f>
        <v>6.7093382874167773</v>
      </c>
      <c r="AG21" s="214">
        <f>IF(AND(($D21+$C$1)&gt;AG$3,AG$3&gt;=$C$1),'General Inputs'!E$9*$G21,IF(AND(($C21+$C$1)&gt;AG$3,AG$3&gt;=$C$1),'General Inputs'!E$9*$F21,0))</f>
        <v>6.8099783617280281</v>
      </c>
      <c r="AH21" s="214">
        <f>IF(AND(($D21+$C$1)&gt;AH$3,AH$3&gt;=$C$1),'General Inputs'!F$9*$G21,IF(AND(($C21+$C$1)&gt;AH$3,AH$3&gt;=$C$1),'General Inputs'!F$9*$F21,0))</f>
        <v>6.9121280371539475</v>
      </c>
      <c r="AI21" s="214">
        <f>IF(AND(($D21+$C$1)&gt;AI$3,AI$3&gt;=$C$1),'General Inputs'!G$9*$G21,IF(AND(($C21+$C$1)&gt;AI$3,AI$3&gt;=$C$1),'General Inputs'!G$9*$F21,0))</f>
        <v>7.0158099577112569</v>
      </c>
      <c r="AJ21" s="214">
        <f>IF(AND(($D21+$C$1)&gt;AJ$3,AJ$3&gt;=$C$1),'General Inputs'!H$9*$G21,IF(AND(($C21+$C$1)&gt;AJ$3,AJ$3&gt;=$C$1),'General Inputs'!H$9*$F21,0))</f>
        <v>7.1210471070769241</v>
      </c>
      <c r="AK21" s="214">
        <f>IF(AND(($D21+$C$1)&gt;AK$3,AK$3&gt;=$C$1),'General Inputs'!I$9*$G21,IF(AND(($C21+$C$1)&gt;AK$3,AK$3&gt;=$C$1),'General Inputs'!I$9*$F21,0))</f>
        <v>7.2278628136830774</v>
      </c>
      <c r="AL21" s="214">
        <f>IF(AND(($D21+$C$1)&gt;AL$3,AL$3&gt;=$C$1),'General Inputs'!J$9*$G21,IF(AND(($C21+$C$1)&gt;AL$3,AL$3&gt;=$C$1),'General Inputs'!J$9*$F21,0))</f>
        <v>7.3362807558883221</v>
      </c>
      <c r="AM21" s="214">
        <f>IF(AND(($D21+$C$1)&gt;AM$3,AM$3&gt;=$C$1),'General Inputs'!K$9*$G21,IF(AND(($C21+$C$1)&gt;AM$3,AM$3&gt;=$C$1),'General Inputs'!K$9*$F21,0))</f>
        <v>7.4463249672266461</v>
      </c>
      <c r="AN21" s="214">
        <f>IF(AND(($D21+$C$1)&gt;AN$3,AN$3&gt;=$C$1),'General Inputs'!L$9*$G21,IF(AND(($C21+$C$1)&gt;AN$3,AN$3&gt;=$C$1),'General Inputs'!L$9*$F21,0))</f>
        <v>7.558019841735045</v>
      </c>
      <c r="AO21" s="214">
        <f>IF(AND(($D21+$C$1)&gt;AO$3,AO$3&gt;=$C$1),'General Inputs'!M$9*$G21,IF(AND(($C21+$C$1)&gt;AO$3,AO$3&gt;=$C$1),'General Inputs'!M$9*$F21,0))</f>
        <v>0</v>
      </c>
      <c r="AP21" s="214">
        <f>IF(AND(($D21+$C$1)&gt;AP$3,AP$3&gt;=$C$1),'General Inputs'!N$9*$G21,IF(AND(($C21+$C$1)&gt;AP$3,AP$3&gt;=$C$1),'General Inputs'!N$9*$F21,0))</f>
        <v>0</v>
      </c>
      <c r="AQ21" s="214">
        <f>IF(AND(($D21+$C$1)&gt;AQ$3,AQ$3&gt;=$C$1),'General Inputs'!O$9*$G21,IF(AND(($C21+$C$1)&gt;AQ$3,AQ$3&gt;=$C$1),'General Inputs'!O$9*$F21,0))</f>
        <v>0</v>
      </c>
      <c r="AR21" s="214">
        <f>IF(AND(($D21+$C$1)&gt;AR$3,AR$3&gt;=$C$1),'General Inputs'!P$9*$G21,IF(AND(($C21+$C$1)&gt;AR$3,AR$3&gt;=$C$1),'General Inputs'!P$9*$F21,0))</f>
        <v>0</v>
      </c>
      <c r="AS21" s="214">
        <f>IF(AND(($D21+$C$1)&gt;AS$3,AS$3&gt;=$C$1),'General Inputs'!Q$9*$G21,IF(AND(($C21+$C$1)&gt;AS$3,AS$3&gt;=$C$1),'General Inputs'!Q$9*$F21,0))</f>
        <v>0</v>
      </c>
      <c r="AT21" s="214">
        <f>IF(AND(($D21+$C$1)&gt;AT$3,AT$3&gt;=$C$1),'General Inputs'!R$9*$G21,IF(AND(($C21+$C$1)&gt;AT$3,AT$3&gt;=$C$1),'General Inputs'!R$9*$F21,0))</f>
        <v>0</v>
      </c>
      <c r="AU21" s="214">
        <f>IF(AND(($D21+$C$1)&gt;AU$3,AU$3&gt;=$C$1),'General Inputs'!S$9*$G21,IF(AND(($C21+$C$1)&gt;AU$3,AU$3&gt;=$C$1),'General Inputs'!S$9*$F21,0))</f>
        <v>0</v>
      </c>
      <c r="AV21" s="214">
        <f>IF(AND(($D21+$C$1)&gt;AV$3,AV$3&gt;=$C$1),'General Inputs'!T$9*$G21,IF(AND(($C21+$C$1)&gt;AV$3,AV$3&gt;=$C$1),'General Inputs'!T$9*$F21,0))</f>
        <v>0</v>
      </c>
      <c r="AW21" s="214">
        <f>IF(AND(($D21+$C$1)&gt;AW$3,AW$3&gt;=$C$1),'General Inputs'!U$9*$G21,IF(AND(($C21+$C$1)&gt;AW$3,AW$3&gt;=$C$1),'General Inputs'!U$9*$F21,0))</f>
        <v>0</v>
      </c>
      <c r="AX21" s="214">
        <f>IF(AND(($D21+$C$1)&gt;AX$3,AX$3&gt;=$C$1),'General Inputs'!V$9*$G21,IF(AND(($C21+$C$1)&gt;AX$3,AX$3&gt;=$C$1),'General Inputs'!V$9*$F21,0))</f>
        <v>0</v>
      </c>
      <c r="AY21" s="214">
        <f>IF(AND(($D21+$C$1)&gt;AY$3,AY$3&gt;=$C$1),'General Inputs'!W$9*$G21,IF(AND(($C21+$C$1)&gt;AY$3,AY$3&gt;=$C$1),'General Inputs'!W$9*$F21,0))</f>
        <v>0</v>
      </c>
      <c r="BA21" s="214">
        <f>IF(AND(($D21+$C$1)&gt;AF$3,AF$3&gt;=$C$1),'General Inputs'!D$10*$I21,IF(AND(($C21+$C$1)&gt;AF$3,AF$3&gt;=$C$1),'General Inputs'!D$10*$H21,0))</f>
        <v>0.28181120835062395</v>
      </c>
      <c r="BB21" s="214">
        <f>IF(AND(($D21+$C$1)&gt;AG$3,AG$3&gt;=$C$1),'General Inputs'!E$10*$I21,IF(AND(($C21+$C$1)&gt;AG$3,AG$3&gt;=$C$1),'General Inputs'!E$10*$H21,0))</f>
        <v>0.28603837647588332</v>
      </c>
      <c r="BC21" s="214">
        <f>IF(AND(($D21+$C$1)&gt;AH$3,AH$3&gt;=$C$1),'General Inputs'!F$10*$I21,IF(AND(($C21+$C$1)&gt;AH$3,AH$3&gt;=$C$1),'General Inputs'!F$10*$H21,0))</f>
        <v>0.29032895212302151</v>
      </c>
      <c r="BD21" s="214">
        <f>IF(AND(($D21+$C$1)&gt;AI$3,AI$3&gt;=$C$1),'General Inputs'!G$10*$I21,IF(AND(($C21+$C$1)&gt;AI$3,AI$3&gt;=$C$1),'General Inputs'!G$10*$H21,0))</f>
        <v>0.29468388640486681</v>
      </c>
      <c r="BE21" s="214">
        <f>IF(AND(($D21+$C$1)&gt;AJ$3,AJ$3&gt;=$C$1),'General Inputs'!H$10*$I21,IF(AND(($C21+$C$1)&gt;AJ$3,AJ$3&gt;=$C$1),'General Inputs'!H$10*$H21,0))</f>
        <v>0.29910414470093982</v>
      </c>
      <c r="BF21" s="214">
        <f>IF(AND(($D21+$C$1)&gt;AK$3,AK$3&gt;=$C$1),'General Inputs'!I$10*$I21,IF(AND(($C21+$C$1)&gt;AK$3,AK$3&gt;=$C$1),'General Inputs'!I$10*$H21,0))</f>
        <v>0.30359070687145384</v>
      </c>
      <c r="BG21" s="214">
        <f>IF(AND(($D21+$C$1)&gt;AL$3,AL$3&gt;=$C$1),'General Inputs'!J$10*$I21,IF(AND(($C21+$C$1)&gt;AL$3,AL$3&gt;=$C$1),'General Inputs'!J$10*$H21,0))</f>
        <v>0.30814456747452562</v>
      </c>
      <c r="BH21" s="214">
        <f>IF(AND(($D21+$C$1)&gt;AM$3,AM$3&gt;=$C$1),'General Inputs'!K$10*$I21,IF(AND(($C21+$C$1)&gt;AM$3,AM$3&gt;=$C$1),'General Inputs'!K$10*$H21,0))</f>
        <v>0.31276673598664351</v>
      </c>
      <c r="BI21" s="214">
        <f>IF(AND(($D21+$C$1)&gt;AN$3,AN$3&gt;=$C$1),'General Inputs'!L$10*$I21,IF(AND(($C21+$C$1)&gt;AN$3,AN$3&gt;=$C$1),'General Inputs'!L$10*$H21,0))</f>
        <v>0.3174582370264431</v>
      </c>
      <c r="BJ21" s="214">
        <f>IF(AND(($D21+$C$1)&gt;AO$3,AO$3&gt;=$C$1),'General Inputs'!M$10*$I21,IF(AND(($C21+$C$1)&gt;AO$3,AO$3&gt;=$C$1),'General Inputs'!M$10*$H21,0))</f>
        <v>0</v>
      </c>
      <c r="BK21" s="214">
        <f>IF(AND(($D21+$C$1)&gt;AP$3,AP$3&gt;=$C$1),'General Inputs'!N$10*$I21,IF(AND(($C21+$C$1)&gt;AP$3,AP$3&gt;=$C$1),'General Inputs'!N$10*$H21,0))</f>
        <v>0</v>
      </c>
      <c r="BL21" s="214">
        <f>IF(AND(($D21+$C$1)&gt;AQ$3,AQ$3&gt;=$C$1),'General Inputs'!O$10*$I21,IF(AND(($C21+$C$1)&gt;AQ$3,AQ$3&gt;=$C$1),'General Inputs'!O$10*$H21,0))</f>
        <v>0</v>
      </c>
      <c r="BM21" s="214">
        <f>IF(AND(($D21+$C$1)&gt;AR$3,AR$3&gt;=$C$1),'General Inputs'!P$10*$I21,IF(AND(($C21+$C$1)&gt;AR$3,AR$3&gt;=$C$1),'General Inputs'!P$10*$H21,0))</f>
        <v>0</v>
      </c>
      <c r="BN21" s="214">
        <f>IF(AND(($D21+$C$1)&gt;AS$3,AS$3&gt;=$C$1),'General Inputs'!Q$10*$I21,IF(AND(($C21+$C$1)&gt;AS$3,AS$3&gt;=$C$1),'General Inputs'!Q$10*$H21,0))</f>
        <v>0</v>
      </c>
      <c r="BO21" s="214">
        <f>IF(AND(($D21+$C$1)&gt;AT$3,AT$3&gt;=$C$1),'General Inputs'!R$10*$I21,IF(AND(($C21+$C$1)&gt;AT$3,AT$3&gt;=$C$1),'General Inputs'!R$10*$H21,0))</f>
        <v>0</v>
      </c>
      <c r="BP21" s="214">
        <f>IF(AND(($D21+$C$1)&gt;AU$3,AU$3&gt;=$C$1),'General Inputs'!S$10*$I21,IF(AND(($C21+$C$1)&gt;AU$3,AU$3&gt;=$C$1),'General Inputs'!S$10*$H21,0))</f>
        <v>0</v>
      </c>
      <c r="BQ21" s="214">
        <f>IF(AND(($D21+$C$1)&gt;AV$3,AV$3&gt;=$C$1),'General Inputs'!T$10*$I21,IF(AND(($C21+$C$1)&gt;AV$3,AV$3&gt;=$C$1),'General Inputs'!T$10*$H21,0))</f>
        <v>0</v>
      </c>
      <c r="BR21" s="214">
        <f>IF(AND(($D21+$C$1)&gt;AW$3,AW$3&gt;=$C$1),'General Inputs'!U$10*$I21,IF(AND(($C21+$C$1)&gt;AW$3,AW$3&gt;=$C$1),'General Inputs'!U$10*$H21,0))</f>
        <v>0</v>
      </c>
      <c r="BS21" s="214">
        <f>IF(AND(($D21+$C$1)&gt;AX$3,AX$3&gt;=$C$1),'General Inputs'!V$10*$I21,IF(AND(($C21+$C$1)&gt;AX$3,AX$3&gt;=$C$1),'General Inputs'!V$10*$H21,0))</f>
        <v>0</v>
      </c>
      <c r="BT21" s="214">
        <f>IF(AND(($D21+$C$1)&gt;AY$3,AY$3&gt;=$C$1),'General Inputs'!W$10*$I21,IF(AND(($C21+$C$1)&gt;AY$3,AY$3&gt;=$C$1),'General Inputs'!W$10*$H21,0))</f>
        <v>0</v>
      </c>
    </row>
    <row r="22" spans="1:72">
      <c r="A22" s="341" t="s">
        <v>12</v>
      </c>
      <c r="B22" s="427" t="str">
        <f>Sources!B22</f>
        <v>Faucet Aerator - Bathroom</v>
      </c>
      <c r="C22" s="193">
        <f>Sources!C22</f>
        <v>9</v>
      </c>
      <c r="D22" s="193">
        <f>Sources!D22</f>
        <v>0</v>
      </c>
      <c r="F22" s="429">
        <f>Sources!F22*EnergyLineLoss</f>
        <v>71.459104226811206</v>
      </c>
      <c r="G22" s="429">
        <f>Sources!G22*EnergyLineLoss</f>
        <v>0</v>
      </c>
      <c r="H22" s="477">
        <f>Sources!H22*PeakLineLoss</f>
        <v>7.9802045329433833E-3</v>
      </c>
      <c r="I22" s="477">
        <f>Sources!I22*PeakLineLoss</f>
        <v>0</v>
      </c>
      <c r="K22" s="419">
        <f>Sources!J22</f>
        <v>8</v>
      </c>
      <c r="L22" s="419">
        <f>Sources!K22</f>
        <v>0</v>
      </c>
      <c r="N22" s="438">
        <f t="shared" si="4"/>
        <v>2.5635374288935724</v>
      </c>
      <c r="P22" s="215">
        <f t="shared" si="5"/>
        <v>19.68161582963106</v>
      </c>
      <c r="Q22" s="215">
        <f t="shared" si="1"/>
        <v>0.82668360151752118</v>
      </c>
      <c r="R22" s="215">
        <f t="shared" si="2"/>
        <v>8</v>
      </c>
      <c r="T22" s="214">
        <f t="shared" si="6"/>
        <v>8</v>
      </c>
      <c r="U22" s="214">
        <f t="shared" si="6"/>
        <v>0</v>
      </c>
      <c r="V22" s="214">
        <f t="shared" si="6"/>
        <v>0</v>
      </c>
      <c r="W22" s="214">
        <f t="shared" si="6"/>
        <v>0</v>
      </c>
      <c r="X22" s="214">
        <f t="shared" si="6"/>
        <v>0</v>
      </c>
      <c r="Y22" s="214">
        <f t="shared" si="6"/>
        <v>0</v>
      </c>
      <c r="Z22" s="214">
        <f t="shared" si="6"/>
        <v>0</v>
      </c>
      <c r="AA22" s="214">
        <f t="shared" si="6"/>
        <v>0</v>
      </c>
      <c r="AB22" s="214">
        <f t="shared" si="6"/>
        <v>0</v>
      </c>
      <c r="AC22" s="214">
        <f t="shared" si="6"/>
        <v>0</v>
      </c>
      <c r="AD22" s="214">
        <f t="shared" si="6"/>
        <v>0</v>
      </c>
      <c r="AF22" s="214">
        <f>IF(AND(($D22+$C$1)&gt;AF$3,AF$3&gt;=$C$1),'General Inputs'!D$9*$G22,IF(AND(($C22+$C$1)&gt;AF$3,AF$3&gt;=$C$1),'General Inputs'!D$9*$F22,0))</f>
        <v>2.8449490971378562</v>
      </c>
      <c r="AG22" s="214">
        <f>IF(AND(($D22+$C$1)&gt;AG$3,AG$3&gt;=$C$1),'General Inputs'!E$9*$G22,IF(AND(($C22+$C$1)&gt;AG$3,AG$3&gt;=$C$1),'General Inputs'!E$9*$F22,0))</f>
        <v>2.8876233335949237</v>
      </c>
      <c r="AH22" s="214">
        <f>IF(AND(($D22+$C$1)&gt;AH$3,AH$3&gt;=$C$1),'General Inputs'!F$9*$G22,IF(AND(($C22+$C$1)&gt;AH$3,AH$3&gt;=$C$1),'General Inputs'!F$9*$F22,0))</f>
        <v>2.9309376835988474</v>
      </c>
      <c r="AI22" s="214">
        <f>IF(AND(($D22+$C$1)&gt;AI$3,AI$3&gt;=$C$1),'General Inputs'!G$9*$G22,IF(AND(($C22+$C$1)&gt;AI$3,AI$3&gt;=$C$1),'General Inputs'!G$9*$F22,0))</f>
        <v>2.97490174885283</v>
      </c>
      <c r="AJ22" s="214">
        <f>IF(AND(($D22+$C$1)&gt;AJ$3,AJ$3&gt;=$C$1),'General Inputs'!H$9*$G22,IF(AND(($C22+$C$1)&gt;AJ$3,AJ$3&gt;=$C$1),'General Inputs'!H$9*$F22,0))</f>
        <v>3.0195252750856221</v>
      </c>
      <c r="AK22" s="214">
        <f>IF(AND(($D22+$C$1)&gt;AK$3,AK$3&gt;=$C$1),'General Inputs'!I$9*$G22,IF(AND(($C22+$C$1)&gt;AK$3,AK$3&gt;=$C$1),'General Inputs'!I$9*$F22,0))</f>
        <v>3.0648181542119057</v>
      </c>
      <c r="AL22" s="214">
        <f>IF(AND(($D22+$C$1)&gt;AL$3,AL$3&gt;=$C$1),'General Inputs'!J$9*$G22,IF(AND(($C22+$C$1)&gt;AL$3,AL$3&gt;=$C$1),'General Inputs'!J$9*$F22,0))</f>
        <v>3.1107904265250839</v>
      </c>
      <c r="AM22" s="214">
        <f>IF(AND(($D22+$C$1)&gt;AM$3,AM$3&gt;=$C$1),'General Inputs'!K$9*$G22,IF(AND(($C22+$C$1)&gt;AM$3,AM$3&gt;=$C$1),'General Inputs'!K$9*$F22,0))</f>
        <v>3.1574522829229594</v>
      </c>
      <c r="AN22" s="214">
        <f>IF(AND(($D22+$C$1)&gt;AN$3,AN$3&gt;=$C$1),'General Inputs'!L$9*$G22,IF(AND(($C22+$C$1)&gt;AN$3,AN$3&gt;=$C$1),'General Inputs'!L$9*$F22,0))</f>
        <v>3.2048140671668039</v>
      </c>
      <c r="AO22" s="214">
        <f>IF(AND(($D22+$C$1)&gt;AO$3,AO$3&gt;=$C$1),'General Inputs'!M$9*$G22,IF(AND(($C22+$C$1)&gt;AO$3,AO$3&gt;=$C$1),'General Inputs'!M$9*$F22,0))</f>
        <v>0</v>
      </c>
      <c r="AP22" s="214">
        <f>IF(AND(($D22+$C$1)&gt;AP$3,AP$3&gt;=$C$1),'General Inputs'!N$9*$G22,IF(AND(($C22+$C$1)&gt;AP$3,AP$3&gt;=$C$1),'General Inputs'!N$9*$F22,0))</f>
        <v>0</v>
      </c>
      <c r="AQ22" s="214">
        <f>IF(AND(($D22+$C$1)&gt;AQ$3,AQ$3&gt;=$C$1),'General Inputs'!O$9*$G22,IF(AND(($C22+$C$1)&gt;AQ$3,AQ$3&gt;=$C$1),'General Inputs'!O$9*$F22,0))</f>
        <v>0</v>
      </c>
      <c r="AR22" s="214">
        <f>IF(AND(($D22+$C$1)&gt;AR$3,AR$3&gt;=$C$1),'General Inputs'!P$9*$G22,IF(AND(($C22+$C$1)&gt;AR$3,AR$3&gt;=$C$1),'General Inputs'!P$9*$F22,0))</f>
        <v>0</v>
      </c>
      <c r="AS22" s="214">
        <f>IF(AND(($D22+$C$1)&gt;AS$3,AS$3&gt;=$C$1),'General Inputs'!Q$9*$G22,IF(AND(($C22+$C$1)&gt;AS$3,AS$3&gt;=$C$1),'General Inputs'!Q$9*$F22,0))</f>
        <v>0</v>
      </c>
      <c r="AT22" s="214">
        <f>IF(AND(($D22+$C$1)&gt;AT$3,AT$3&gt;=$C$1),'General Inputs'!R$9*$G22,IF(AND(($C22+$C$1)&gt;AT$3,AT$3&gt;=$C$1),'General Inputs'!R$9*$F22,0))</f>
        <v>0</v>
      </c>
      <c r="AU22" s="214">
        <f>IF(AND(($D22+$C$1)&gt;AU$3,AU$3&gt;=$C$1),'General Inputs'!S$9*$G22,IF(AND(($C22+$C$1)&gt;AU$3,AU$3&gt;=$C$1),'General Inputs'!S$9*$F22,0))</f>
        <v>0</v>
      </c>
      <c r="AV22" s="214">
        <f>IF(AND(($D22+$C$1)&gt;AV$3,AV$3&gt;=$C$1),'General Inputs'!T$9*$G22,IF(AND(($C22+$C$1)&gt;AV$3,AV$3&gt;=$C$1),'General Inputs'!T$9*$F22,0))</f>
        <v>0</v>
      </c>
      <c r="AW22" s="214">
        <f>IF(AND(($D22+$C$1)&gt;AW$3,AW$3&gt;=$C$1),'General Inputs'!U$9*$G22,IF(AND(($C22+$C$1)&gt;AW$3,AW$3&gt;=$C$1),'General Inputs'!U$9*$F22,0))</f>
        <v>0</v>
      </c>
      <c r="AX22" s="214">
        <f>IF(AND(($D22+$C$1)&gt;AX$3,AX$3&gt;=$C$1),'General Inputs'!V$9*$G22,IF(AND(($C22+$C$1)&gt;AX$3,AX$3&gt;=$C$1),'General Inputs'!V$9*$F22,0))</f>
        <v>0</v>
      </c>
      <c r="AY22" s="214">
        <f>IF(AND(($D22+$C$1)&gt;AY$3,AY$3&gt;=$C$1),'General Inputs'!W$9*$G22,IF(AND(($C22+$C$1)&gt;AY$3,AY$3&gt;=$C$1),'General Inputs'!W$9*$F22,0))</f>
        <v>0</v>
      </c>
      <c r="BA22" s="214">
        <f>IF(AND(($D22+$C$1)&gt;AF$3,AF$3&gt;=$C$1),'General Inputs'!D$10*$I22,IF(AND(($C22+$C$1)&gt;AF$3,AF$3&gt;=$C$1),'General Inputs'!D$10*$H22,0))</f>
        <v>0.11949591873524695</v>
      </c>
      <c r="BB22" s="214">
        <f>IF(AND(($D22+$C$1)&gt;AG$3,AG$3&gt;=$C$1),'General Inputs'!E$10*$I22,IF(AND(($C22+$C$1)&gt;AG$3,AG$3&gt;=$C$1),'General Inputs'!E$10*$H22,0))</f>
        <v>0.12128835751627565</v>
      </c>
      <c r="BC22" s="214">
        <f>IF(AND(($D22+$C$1)&gt;AH$3,AH$3&gt;=$C$1),'General Inputs'!F$10*$I22,IF(AND(($C22+$C$1)&gt;AH$3,AH$3&gt;=$C$1),'General Inputs'!F$10*$H22,0))</f>
        <v>0.12310768287901977</v>
      </c>
      <c r="BD22" s="214">
        <f>IF(AND(($D22+$C$1)&gt;AI$3,AI$3&gt;=$C$1),'General Inputs'!G$10*$I22,IF(AND(($C22+$C$1)&gt;AI$3,AI$3&gt;=$C$1),'General Inputs'!G$10*$H22,0))</f>
        <v>0.12495429812220506</v>
      </c>
      <c r="BE22" s="214">
        <f>IF(AND(($D22+$C$1)&gt;AJ$3,AJ$3&gt;=$C$1),'General Inputs'!H$10*$I22,IF(AND(($C22+$C$1)&gt;AJ$3,AJ$3&gt;=$C$1),'General Inputs'!H$10*$H22,0))</f>
        <v>0.12682861259403813</v>
      </c>
      <c r="BF22" s="214">
        <f>IF(AND(($D22+$C$1)&gt;AK$3,AK$3&gt;=$C$1),'General Inputs'!I$10*$I22,IF(AND(($C22+$C$1)&gt;AK$3,AK$3&gt;=$C$1),'General Inputs'!I$10*$H22,0))</f>
        <v>0.12873104178294867</v>
      </c>
      <c r="BG22" s="214">
        <f>IF(AND(($D22+$C$1)&gt;AL$3,AL$3&gt;=$C$1),'General Inputs'!J$10*$I22,IF(AND(($C22+$C$1)&gt;AL$3,AL$3&gt;=$C$1),'General Inputs'!J$10*$H22,0))</f>
        <v>0.13066200740969289</v>
      </c>
      <c r="BH22" s="214">
        <f>IF(AND(($D22+$C$1)&gt;AM$3,AM$3&gt;=$C$1),'General Inputs'!K$10*$I22,IF(AND(($C22+$C$1)&gt;AM$3,AM$3&gt;=$C$1),'General Inputs'!K$10*$H22,0))</f>
        <v>0.13262193752083828</v>
      </c>
      <c r="BI22" s="214">
        <f>IF(AND(($D22+$C$1)&gt;AN$3,AN$3&gt;=$C$1),'General Inputs'!L$10*$I22,IF(AND(($C22+$C$1)&gt;AN$3,AN$3&gt;=$C$1),'General Inputs'!L$10*$H22,0))</f>
        <v>0.13461126658365083</v>
      </c>
      <c r="BJ22" s="214">
        <f>IF(AND(($D22+$C$1)&gt;AO$3,AO$3&gt;=$C$1),'General Inputs'!M$10*$I22,IF(AND(($C22+$C$1)&gt;AO$3,AO$3&gt;=$C$1),'General Inputs'!M$10*$H22,0))</f>
        <v>0</v>
      </c>
      <c r="BK22" s="214">
        <f>IF(AND(($D22+$C$1)&gt;AP$3,AP$3&gt;=$C$1),'General Inputs'!N$10*$I22,IF(AND(($C22+$C$1)&gt;AP$3,AP$3&gt;=$C$1),'General Inputs'!N$10*$H22,0))</f>
        <v>0</v>
      </c>
      <c r="BL22" s="214">
        <f>IF(AND(($D22+$C$1)&gt;AQ$3,AQ$3&gt;=$C$1),'General Inputs'!O$10*$I22,IF(AND(($C22+$C$1)&gt;AQ$3,AQ$3&gt;=$C$1),'General Inputs'!O$10*$H22,0))</f>
        <v>0</v>
      </c>
      <c r="BM22" s="214">
        <f>IF(AND(($D22+$C$1)&gt;AR$3,AR$3&gt;=$C$1),'General Inputs'!P$10*$I22,IF(AND(($C22+$C$1)&gt;AR$3,AR$3&gt;=$C$1),'General Inputs'!P$10*$H22,0))</f>
        <v>0</v>
      </c>
      <c r="BN22" s="214">
        <f>IF(AND(($D22+$C$1)&gt;AS$3,AS$3&gt;=$C$1),'General Inputs'!Q$10*$I22,IF(AND(($C22+$C$1)&gt;AS$3,AS$3&gt;=$C$1),'General Inputs'!Q$10*$H22,0))</f>
        <v>0</v>
      </c>
      <c r="BO22" s="214">
        <f>IF(AND(($D22+$C$1)&gt;AT$3,AT$3&gt;=$C$1),'General Inputs'!R$10*$I22,IF(AND(($C22+$C$1)&gt;AT$3,AT$3&gt;=$C$1),'General Inputs'!R$10*$H22,0))</f>
        <v>0</v>
      </c>
      <c r="BP22" s="214">
        <f>IF(AND(($D22+$C$1)&gt;AU$3,AU$3&gt;=$C$1),'General Inputs'!S$10*$I22,IF(AND(($C22+$C$1)&gt;AU$3,AU$3&gt;=$C$1),'General Inputs'!S$10*$H22,0))</f>
        <v>0</v>
      </c>
      <c r="BQ22" s="214">
        <f>IF(AND(($D22+$C$1)&gt;AV$3,AV$3&gt;=$C$1),'General Inputs'!T$10*$I22,IF(AND(($C22+$C$1)&gt;AV$3,AV$3&gt;=$C$1),'General Inputs'!T$10*$H22,0))</f>
        <v>0</v>
      </c>
      <c r="BR22" s="214">
        <f>IF(AND(($D22+$C$1)&gt;AW$3,AW$3&gt;=$C$1),'General Inputs'!U$10*$I22,IF(AND(($C22+$C$1)&gt;AW$3,AW$3&gt;=$C$1),'General Inputs'!U$10*$H22,0))</f>
        <v>0</v>
      </c>
      <c r="BS22" s="214">
        <f>IF(AND(($D22+$C$1)&gt;AX$3,AX$3&gt;=$C$1),'General Inputs'!V$10*$I22,IF(AND(($C22+$C$1)&gt;AX$3,AX$3&gt;=$C$1),'General Inputs'!V$10*$H22,0))</f>
        <v>0</v>
      </c>
      <c r="BT22" s="214">
        <f>IF(AND(($D22+$C$1)&gt;AY$3,AY$3&gt;=$C$1),'General Inputs'!W$10*$I22,IF(AND(($C22+$C$1)&gt;AY$3,AY$3&gt;=$C$1),'General Inputs'!W$10*$H22,0))</f>
        <v>0</v>
      </c>
    </row>
    <row r="23" spans="1:72">
      <c r="A23" s="341" t="s">
        <v>12</v>
      </c>
      <c r="B23" s="427" t="str">
        <f>Sources!B23</f>
        <v>Low Flow Showerhead</v>
      </c>
      <c r="C23" s="193">
        <f>Sources!C23</f>
        <v>10</v>
      </c>
      <c r="D23" s="193">
        <f>Sources!D23</f>
        <v>0</v>
      </c>
      <c r="F23" s="429">
        <f>Sources!F23*EnergyLineLoss</f>
        <v>149.46851505891138</v>
      </c>
      <c r="G23" s="429">
        <f>Sources!G23*EnergyLineLoss</f>
        <v>0</v>
      </c>
      <c r="H23" s="477">
        <f>Sources!H23*PeakLineLoss</f>
        <v>1.0934801891151938E-2</v>
      </c>
      <c r="I23" s="477">
        <f>Sources!I23*PeakLineLoss</f>
        <v>0</v>
      </c>
      <c r="K23" s="419">
        <f>Sources!J23</f>
        <v>12</v>
      </c>
      <c r="L23" s="419">
        <f>Sources!K23</f>
        <v>0</v>
      </c>
      <c r="N23" s="438">
        <f t="shared" si="4"/>
        <v>3.7968225442549399</v>
      </c>
      <c r="P23" s="215">
        <f t="shared" si="5"/>
        <v>44.341768015467053</v>
      </c>
      <c r="Q23" s="215">
        <f t="shared" si="1"/>
        <v>1.2201025155922267</v>
      </c>
      <c r="R23" s="215">
        <f t="shared" si="2"/>
        <v>12</v>
      </c>
      <c r="T23" s="214">
        <f t="shared" si="6"/>
        <v>12</v>
      </c>
      <c r="U23" s="214">
        <f t="shared" si="6"/>
        <v>0</v>
      </c>
      <c r="V23" s="214">
        <f t="shared" si="6"/>
        <v>0</v>
      </c>
      <c r="W23" s="214">
        <f t="shared" si="6"/>
        <v>0</v>
      </c>
      <c r="X23" s="214">
        <f t="shared" si="6"/>
        <v>0</v>
      </c>
      <c r="Y23" s="214">
        <f t="shared" si="6"/>
        <v>0</v>
      </c>
      <c r="Z23" s="214">
        <f t="shared" si="6"/>
        <v>0</v>
      </c>
      <c r="AA23" s="214">
        <f t="shared" si="6"/>
        <v>0</v>
      </c>
      <c r="AB23" s="214">
        <f t="shared" si="6"/>
        <v>0</v>
      </c>
      <c r="AC23" s="214">
        <f t="shared" si="6"/>
        <v>0</v>
      </c>
      <c r="AD23" s="214">
        <f t="shared" si="6"/>
        <v>0</v>
      </c>
      <c r="AF23" s="214">
        <f>IF(AND(($D23+$C$1)&gt;AF$3,AF$3&gt;=$C$1),'General Inputs'!D$9*$G23,IF(AND(($C23+$C$1)&gt;AF$3,AF$3&gt;=$C$1),'General Inputs'!D$9*$F23,0))</f>
        <v>5.95068076445102</v>
      </c>
      <c r="AG23" s="214">
        <f>IF(AND(($D23+$C$1)&gt;AG$3,AG$3&gt;=$C$1),'General Inputs'!E$9*$G23,IF(AND(($C23+$C$1)&gt;AG$3,AG$3&gt;=$C$1),'General Inputs'!E$9*$F23,0))</f>
        <v>6.0399409759177844</v>
      </c>
      <c r="AH23" s="214">
        <f>IF(AND(($D23+$C$1)&gt;AH$3,AH$3&gt;=$C$1),'General Inputs'!F$9*$G23,IF(AND(($C23+$C$1)&gt;AH$3,AH$3&gt;=$C$1),'General Inputs'!F$9*$F23,0))</f>
        <v>6.1305400905565506</v>
      </c>
      <c r="AI23" s="214">
        <f>IF(AND(($D23+$C$1)&gt;AI$3,AI$3&gt;=$C$1),'General Inputs'!G$9*$G23,IF(AND(($C23+$C$1)&gt;AI$3,AI$3&gt;=$C$1),'General Inputs'!G$9*$F23,0))</f>
        <v>6.2224981919148981</v>
      </c>
      <c r="AJ23" s="214">
        <f>IF(AND(($D23+$C$1)&gt;AJ$3,AJ$3&gt;=$C$1),'General Inputs'!H$9*$G23,IF(AND(($C23+$C$1)&gt;AJ$3,AJ$3&gt;=$C$1),'General Inputs'!H$9*$F23,0))</f>
        <v>6.3158356647936209</v>
      </c>
      <c r="AK23" s="214">
        <f>IF(AND(($D23+$C$1)&gt;AK$3,AK$3&gt;=$C$1),'General Inputs'!I$9*$G23,IF(AND(($C23+$C$1)&gt;AK$3,AK$3&gt;=$C$1),'General Inputs'!I$9*$F23,0))</f>
        <v>6.4105731997655244</v>
      </c>
      <c r="AL23" s="214">
        <f>IF(AND(($D23+$C$1)&gt;AL$3,AL$3&gt;=$C$1),'General Inputs'!J$9*$G23,IF(AND(($C23+$C$1)&gt;AL$3,AL$3&gt;=$C$1),'General Inputs'!J$9*$F23,0))</f>
        <v>6.5067317977620061</v>
      </c>
      <c r="AM23" s="214">
        <f>IF(AND(($D23+$C$1)&gt;AM$3,AM$3&gt;=$C$1),'General Inputs'!K$9*$G23,IF(AND(($C23+$C$1)&gt;AM$3,AM$3&gt;=$C$1),'General Inputs'!K$9*$F23,0))</f>
        <v>6.6043327747284355</v>
      </c>
      <c r="AN23" s="214">
        <f>IF(AND(($D23+$C$1)&gt;AN$3,AN$3&gt;=$C$1),'General Inputs'!L$9*$G23,IF(AND(($C23+$C$1)&gt;AN$3,AN$3&gt;=$C$1),'General Inputs'!L$9*$F23,0))</f>
        <v>6.7033977663493616</v>
      </c>
      <c r="AO23" s="214">
        <f>IF(AND(($D23+$C$1)&gt;AO$3,AO$3&gt;=$C$1),'General Inputs'!M$9*$G23,IF(AND(($C23+$C$1)&gt;AO$3,AO$3&gt;=$C$1),'General Inputs'!M$9*$F23,0))</f>
        <v>6.8039487328446002</v>
      </c>
      <c r="AP23" s="214">
        <f>IF(AND(($D23+$C$1)&gt;AP$3,AP$3&gt;=$C$1),'General Inputs'!N$9*$G23,IF(AND(($C23+$C$1)&gt;AP$3,AP$3&gt;=$C$1),'General Inputs'!N$9*$F23,0))</f>
        <v>0</v>
      </c>
      <c r="AQ23" s="214">
        <f>IF(AND(($D23+$C$1)&gt;AQ$3,AQ$3&gt;=$C$1),'General Inputs'!O$9*$G23,IF(AND(($C23+$C$1)&gt;AQ$3,AQ$3&gt;=$C$1),'General Inputs'!O$9*$F23,0))</f>
        <v>0</v>
      </c>
      <c r="AR23" s="214">
        <f>IF(AND(($D23+$C$1)&gt;AR$3,AR$3&gt;=$C$1),'General Inputs'!P$9*$G23,IF(AND(($C23+$C$1)&gt;AR$3,AR$3&gt;=$C$1),'General Inputs'!P$9*$F23,0))</f>
        <v>0</v>
      </c>
      <c r="AS23" s="214">
        <f>IF(AND(($D23+$C$1)&gt;AS$3,AS$3&gt;=$C$1),'General Inputs'!Q$9*$G23,IF(AND(($C23+$C$1)&gt;AS$3,AS$3&gt;=$C$1),'General Inputs'!Q$9*$F23,0))</f>
        <v>0</v>
      </c>
      <c r="AT23" s="214">
        <f>IF(AND(($D23+$C$1)&gt;AT$3,AT$3&gt;=$C$1),'General Inputs'!R$9*$G23,IF(AND(($C23+$C$1)&gt;AT$3,AT$3&gt;=$C$1),'General Inputs'!R$9*$F23,0))</f>
        <v>0</v>
      </c>
      <c r="AU23" s="214">
        <f>IF(AND(($D23+$C$1)&gt;AU$3,AU$3&gt;=$C$1),'General Inputs'!S$9*$G23,IF(AND(($C23+$C$1)&gt;AU$3,AU$3&gt;=$C$1),'General Inputs'!S$9*$F23,0))</f>
        <v>0</v>
      </c>
      <c r="AV23" s="214">
        <f>IF(AND(($D23+$C$1)&gt;AV$3,AV$3&gt;=$C$1),'General Inputs'!T$9*$G23,IF(AND(($C23+$C$1)&gt;AV$3,AV$3&gt;=$C$1),'General Inputs'!T$9*$F23,0))</f>
        <v>0</v>
      </c>
      <c r="AW23" s="214">
        <f>IF(AND(($D23+$C$1)&gt;AW$3,AW$3&gt;=$C$1),'General Inputs'!U$9*$G23,IF(AND(($C23+$C$1)&gt;AW$3,AW$3&gt;=$C$1),'General Inputs'!U$9*$F23,0))</f>
        <v>0</v>
      </c>
      <c r="AX23" s="214">
        <f>IF(AND(($D23+$C$1)&gt;AX$3,AX$3&gt;=$C$1),'General Inputs'!V$9*$G23,IF(AND(($C23+$C$1)&gt;AX$3,AX$3&gt;=$C$1),'General Inputs'!V$9*$F23,0))</f>
        <v>0</v>
      </c>
      <c r="AY23" s="214">
        <f>IF(AND(($D23+$C$1)&gt;AY$3,AY$3&gt;=$C$1),'General Inputs'!W$9*$G23,IF(AND(($C23+$C$1)&gt;AY$3,AY$3&gt;=$C$1),'General Inputs'!W$9*$F23,0))</f>
        <v>0</v>
      </c>
      <c r="BA23" s="214">
        <f>IF(AND(($D23+$C$1)&gt;AF$3,AF$3&gt;=$C$1),'General Inputs'!D$10*$I23,IF(AND(($C23+$C$1)&gt;AF$3,AF$3&gt;=$C$1),'General Inputs'!D$10*$H23,0))</f>
        <v>0.16373818399979936</v>
      </c>
      <c r="BB23" s="214">
        <f>IF(AND(($D23+$C$1)&gt;AG$3,AG$3&gt;=$C$1),'General Inputs'!E$10*$I23,IF(AND(($C23+$C$1)&gt;AG$3,AG$3&gt;=$C$1),'General Inputs'!E$10*$H23,0))</f>
        <v>0.16619425675979635</v>
      </c>
      <c r="BC23" s="214">
        <f>IF(AND(($D23+$C$1)&gt;AH$3,AH$3&gt;=$C$1),'General Inputs'!F$10*$I23,IF(AND(($C23+$C$1)&gt;AH$3,AH$3&gt;=$C$1),'General Inputs'!F$10*$H23,0))</f>
        <v>0.16868717061119329</v>
      </c>
      <c r="BD23" s="214">
        <f>IF(AND(($D23+$C$1)&gt;AI$3,AI$3&gt;=$C$1),'General Inputs'!G$10*$I23,IF(AND(($C23+$C$1)&gt;AI$3,AI$3&gt;=$C$1),'General Inputs'!G$10*$H23,0))</f>
        <v>0.17121747817036118</v>
      </c>
      <c r="BE23" s="214">
        <f>IF(AND(($D23+$C$1)&gt;AJ$3,AJ$3&gt;=$C$1),'General Inputs'!H$10*$I23,IF(AND(($C23+$C$1)&gt;AJ$3,AJ$3&gt;=$C$1),'General Inputs'!H$10*$H23,0))</f>
        <v>0.17378574034291658</v>
      </c>
      <c r="BF23" s="214">
        <f>IF(AND(($D23+$C$1)&gt;AK$3,AK$3&gt;=$C$1),'General Inputs'!I$10*$I23,IF(AND(($C23+$C$1)&gt;AK$3,AK$3&gt;=$C$1),'General Inputs'!I$10*$H23,0))</f>
        <v>0.17639252644806028</v>
      </c>
      <c r="BG23" s="214">
        <f>IF(AND(($D23+$C$1)&gt;AL$3,AL$3&gt;=$C$1),'General Inputs'!J$10*$I23,IF(AND(($C23+$C$1)&gt;AL$3,AL$3&gt;=$C$1),'General Inputs'!J$10*$H23,0))</f>
        <v>0.17903841434478115</v>
      </c>
      <c r="BH23" s="214">
        <f>IF(AND(($D23+$C$1)&gt;AM$3,AM$3&gt;=$C$1),'General Inputs'!K$10*$I23,IF(AND(($C23+$C$1)&gt;AM$3,AM$3&gt;=$C$1),'General Inputs'!K$10*$H23,0))</f>
        <v>0.18172399055995286</v>
      </c>
      <c r="BI23" s="214">
        <f>IF(AND(($D23+$C$1)&gt;AN$3,AN$3&gt;=$C$1),'General Inputs'!L$10*$I23,IF(AND(($C23+$C$1)&gt;AN$3,AN$3&gt;=$C$1),'General Inputs'!L$10*$H23,0))</f>
        <v>0.18444985041835216</v>
      </c>
      <c r="BJ23" s="214">
        <f>IF(AND(($D23+$C$1)&gt;AO$3,AO$3&gt;=$C$1),'General Inputs'!M$10*$I23,IF(AND(($C23+$C$1)&gt;AO$3,AO$3&gt;=$C$1),'General Inputs'!M$10*$H23,0))</f>
        <v>0.18721659817462744</v>
      </c>
      <c r="BK23" s="214">
        <f>IF(AND(($D23+$C$1)&gt;AP$3,AP$3&gt;=$C$1),'General Inputs'!N$10*$I23,IF(AND(($C23+$C$1)&gt;AP$3,AP$3&gt;=$C$1),'General Inputs'!N$10*$H23,0))</f>
        <v>0</v>
      </c>
      <c r="BL23" s="214">
        <f>IF(AND(($D23+$C$1)&gt;AQ$3,AQ$3&gt;=$C$1),'General Inputs'!O$10*$I23,IF(AND(($C23+$C$1)&gt;AQ$3,AQ$3&gt;=$C$1),'General Inputs'!O$10*$H23,0))</f>
        <v>0</v>
      </c>
      <c r="BM23" s="214">
        <f>IF(AND(($D23+$C$1)&gt;AR$3,AR$3&gt;=$C$1),'General Inputs'!P$10*$I23,IF(AND(($C23+$C$1)&gt;AR$3,AR$3&gt;=$C$1),'General Inputs'!P$10*$H23,0))</f>
        <v>0</v>
      </c>
      <c r="BN23" s="214">
        <f>IF(AND(($D23+$C$1)&gt;AS$3,AS$3&gt;=$C$1),'General Inputs'!Q$10*$I23,IF(AND(($C23+$C$1)&gt;AS$3,AS$3&gt;=$C$1),'General Inputs'!Q$10*$H23,0))</f>
        <v>0</v>
      </c>
      <c r="BO23" s="214">
        <f>IF(AND(($D23+$C$1)&gt;AT$3,AT$3&gt;=$C$1),'General Inputs'!R$10*$I23,IF(AND(($C23+$C$1)&gt;AT$3,AT$3&gt;=$C$1),'General Inputs'!R$10*$H23,0))</f>
        <v>0</v>
      </c>
      <c r="BP23" s="214">
        <f>IF(AND(($D23+$C$1)&gt;AU$3,AU$3&gt;=$C$1),'General Inputs'!S$10*$I23,IF(AND(($C23+$C$1)&gt;AU$3,AU$3&gt;=$C$1),'General Inputs'!S$10*$H23,0))</f>
        <v>0</v>
      </c>
      <c r="BQ23" s="214">
        <f>IF(AND(($D23+$C$1)&gt;AV$3,AV$3&gt;=$C$1),'General Inputs'!T$10*$I23,IF(AND(($C23+$C$1)&gt;AV$3,AV$3&gt;=$C$1),'General Inputs'!T$10*$H23,0))</f>
        <v>0</v>
      </c>
      <c r="BR23" s="214">
        <f>IF(AND(($D23+$C$1)&gt;AW$3,AW$3&gt;=$C$1),'General Inputs'!U$10*$I23,IF(AND(($C23+$C$1)&gt;AW$3,AW$3&gt;=$C$1),'General Inputs'!U$10*$H23,0))</f>
        <v>0</v>
      </c>
      <c r="BS23" s="214">
        <f>IF(AND(($D23+$C$1)&gt;AX$3,AX$3&gt;=$C$1),'General Inputs'!V$10*$I23,IF(AND(($C23+$C$1)&gt;AX$3,AX$3&gt;=$C$1),'General Inputs'!V$10*$H23,0))</f>
        <v>0</v>
      </c>
      <c r="BT23" s="214">
        <f>IF(AND(($D23+$C$1)&gt;AY$3,AY$3&gt;=$C$1),'General Inputs'!W$10*$I23,IF(AND(($C23+$C$1)&gt;AY$3,AY$3&gt;=$C$1),'General Inputs'!W$10*$H23,0))</f>
        <v>0</v>
      </c>
    </row>
    <row r="24" spans="1:72">
      <c r="A24" s="341" t="s">
        <v>12</v>
      </c>
      <c r="B24" s="427" t="str">
        <f>Sources!B24</f>
        <v>Water Heater Tank Wrap</v>
      </c>
      <c r="C24" s="193">
        <f>Sources!C24</f>
        <v>5</v>
      </c>
      <c r="D24" s="193">
        <f>Sources!D24</f>
        <v>0</v>
      </c>
      <c r="F24" s="429">
        <f>Sources!F24*EnergyLineLoss</f>
        <v>82.712999999999994</v>
      </c>
      <c r="G24" s="429">
        <f>Sources!G24*EnergyLineLoss</f>
        <v>0</v>
      </c>
      <c r="H24" s="477">
        <f>Sources!H24*PeakLineLoss</f>
        <v>9.4229999999999991E-3</v>
      </c>
      <c r="I24" s="477">
        <f>Sources!I24*PeakLineLoss</f>
        <v>0</v>
      </c>
      <c r="K24" s="419">
        <f>Sources!J24</f>
        <v>10</v>
      </c>
      <c r="L24" s="419">
        <f>Sources!K24</f>
        <v>0</v>
      </c>
      <c r="N24" s="438">
        <f t="shared" si="4"/>
        <v>1.5005549900202453</v>
      </c>
      <c r="P24" s="215">
        <f t="shared" si="5"/>
        <v>14.389000113426139</v>
      </c>
      <c r="Q24" s="215">
        <f t="shared" si="1"/>
        <v>0.61654978677631433</v>
      </c>
      <c r="R24" s="215">
        <f t="shared" si="2"/>
        <v>10</v>
      </c>
      <c r="T24" s="214">
        <f t="shared" si="6"/>
        <v>10</v>
      </c>
      <c r="U24" s="214">
        <f t="shared" si="6"/>
        <v>0</v>
      </c>
      <c r="V24" s="214">
        <f t="shared" si="6"/>
        <v>0</v>
      </c>
      <c r="W24" s="214">
        <f t="shared" si="6"/>
        <v>0</v>
      </c>
      <c r="X24" s="214">
        <f t="shared" si="6"/>
        <v>0</v>
      </c>
      <c r="Y24" s="214">
        <f t="shared" si="6"/>
        <v>0</v>
      </c>
      <c r="Z24" s="214">
        <f t="shared" si="6"/>
        <v>0</v>
      </c>
      <c r="AA24" s="214">
        <f t="shared" si="6"/>
        <v>0</v>
      </c>
      <c r="AB24" s="214">
        <f t="shared" si="6"/>
        <v>0</v>
      </c>
      <c r="AC24" s="214">
        <f t="shared" si="6"/>
        <v>0</v>
      </c>
      <c r="AD24" s="214">
        <f t="shared" si="6"/>
        <v>0</v>
      </c>
      <c r="AF24" s="214">
        <f>IF(AND(($D24+$C$1)&gt;AF$3,AF$3&gt;=$C$1),'General Inputs'!D$9*$G24,IF(AND(($C24+$C$1)&gt;AF$3,AF$3&gt;=$C$1),'General Inputs'!D$9*$F24,0))</f>
        <v>3.2929922256606514</v>
      </c>
      <c r="AG24" s="214">
        <f>IF(AND(($D24+$C$1)&gt;AG$3,AG$3&gt;=$C$1),'General Inputs'!E$9*$G24,IF(AND(($C24+$C$1)&gt;AG$3,AG$3&gt;=$C$1),'General Inputs'!E$9*$F24,0))</f>
        <v>3.3423871090455606</v>
      </c>
      <c r="AH24" s="214">
        <f>IF(AND(($D24+$C$1)&gt;AH$3,AH$3&gt;=$C$1),'General Inputs'!F$9*$G24,IF(AND(($C24+$C$1)&gt;AH$3,AH$3&gt;=$C$1),'General Inputs'!F$9*$F24,0))</f>
        <v>3.3925229156812438</v>
      </c>
      <c r="AI24" s="214">
        <f>IF(AND(($D24+$C$1)&gt;AI$3,AI$3&gt;=$C$1),'General Inputs'!G$9*$G24,IF(AND(($C24+$C$1)&gt;AI$3,AI$3&gt;=$C$1),'General Inputs'!G$9*$F24,0))</f>
        <v>3.4434107594164622</v>
      </c>
      <c r="AJ24" s="214">
        <f>IF(AND(($D24+$C$1)&gt;AJ$3,AJ$3&gt;=$C$1),'General Inputs'!H$9*$G24,IF(AND(($C24+$C$1)&gt;AJ$3,AJ$3&gt;=$C$1),'General Inputs'!H$9*$F24,0))</f>
        <v>3.4950619208077085</v>
      </c>
      <c r="AK24" s="214">
        <f>IF(AND(($D24+$C$1)&gt;AK$3,AK$3&gt;=$C$1),'General Inputs'!I$9*$G24,IF(AND(($C24+$C$1)&gt;AK$3,AK$3&gt;=$C$1),'General Inputs'!I$9*$F24,0))</f>
        <v>0</v>
      </c>
      <c r="AL24" s="214">
        <f>IF(AND(($D24+$C$1)&gt;AL$3,AL$3&gt;=$C$1),'General Inputs'!J$9*$G24,IF(AND(($C24+$C$1)&gt;AL$3,AL$3&gt;=$C$1),'General Inputs'!J$9*$F24,0))</f>
        <v>0</v>
      </c>
      <c r="AM24" s="214">
        <f>IF(AND(($D24+$C$1)&gt;AM$3,AM$3&gt;=$C$1),'General Inputs'!K$9*$G24,IF(AND(($C24+$C$1)&gt;AM$3,AM$3&gt;=$C$1),'General Inputs'!K$9*$F24,0))</f>
        <v>0</v>
      </c>
      <c r="AN24" s="214">
        <f>IF(AND(($D24+$C$1)&gt;AN$3,AN$3&gt;=$C$1),'General Inputs'!L$9*$G24,IF(AND(($C24+$C$1)&gt;AN$3,AN$3&gt;=$C$1),'General Inputs'!L$9*$F24,0))</f>
        <v>0</v>
      </c>
      <c r="AO24" s="214">
        <f>IF(AND(($D24+$C$1)&gt;AO$3,AO$3&gt;=$C$1),'General Inputs'!M$9*$G24,IF(AND(($C24+$C$1)&gt;AO$3,AO$3&gt;=$C$1),'General Inputs'!M$9*$F24,0))</f>
        <v>0</v>
      </c>
      <c r="AP24" s="214">
        <f>IF(AND(($D24+$C$1)&gt;AP$3,AP$3&gt;=$C$1),'General Inputs'!N$9*$G24,IF(AND(($C24+$C$1)&gt;AP$3,AP$3&gt;=$C$1),'General Inputs'!N$9*$F24,0))</f>
        <v>0</v>
      </c>
      <c r="AQ24" s="214">
        <f>IF(AND(($D24+$C$1)&gt;AQ$3,AQ$3&gt;=$C$1),'General Inputs'!O$9*$G24,IF(AND(($C24+$C$1)&gt;AQ$3,AQ$3&gt;=$C$1),'General Inputs'!O$9*$F24,0))</f>
        <v>0</v>
      </c>
      <c r="AR24" s="214">
        <f>IF(AND(($D24+$C$1)&gt;AR$3,AR$3&gt;=$C$1),'General Inputs'!P$9*$G24,IF(AND(($C24+$C$1)&gt;AR$3,AR$3&gt;=$C$1),'General Inputs'!P$9*$F24,0))</f>
        <v>0</v>
      </c>
      <c r="AS24" s="214">
        <f>IF(AND(($D24+$C$1)&gt;AS$3,AS$3&gt;=$C$1),'General Inputs'!Q$9*$G24,IF(AND(($C24+$C$1)&gt;AS$3,AS$3&gt;=$C$1),'General Inputs'!Q$9*$F24,0))</f>
        <v>0</v>
      </c>
      <c r="AT24" s="214">
        <f>IF(AND(($D24+$C$1)&gt;AT$3,AT$3&gt;=$C$1),'General Inputs'!R$9*$G24,IF(AND(($C24+$C$1)&gt;AT$3,AT$3&gt;=$C$1),'General Inputs'!R$9*$F24,0))</f>
        <v>0</v>
      </c>
      <c r="AU24" s="214">
        <f>IF(AND(($D24+$C$1)&gt;AU$3,AU$3&gt;=$C$1),'General Inputs'!S$9*$G24,IF(AND(($C24+$C$1)&gt;AU$3,AU$3&gt;=$C$1),'General Inputs'!S$9*$F24,0))</f>
        <v>0</v>
      </c>
      <c r="AV24" s="214">
        <f>IF(AND(($D24+$C$1)&gt;AV$3,AV$3&gt;=$C$1),'General Inputs'!T$9*$G24,IF(AND(($C24+$C$1)&gt;AV$3,AV$3&gt;=$C$1),'General Inputs'!T$9*$F24,0))</f>
        <v>0</v>
      </c>
      <c r="AW24" s="214">
        <f>IF(AND(($D24+$C$1)&gt;AW$3,AW$3&gt;=$C$1),'General Inputs'!U$9*$G24,IF(AND(($C24+$C$1)&gt;AW$3,AW$3&gt;=$C$1),'General Inputs'!U$9*$F24,0))</f>
        <v>0</v>
      </c>
      <c r="AX24" s="214">
        <f>IF(AND(($D24+$C$1)&gt;AX$3,AX$3&gt;=$C$1),'General Inputs'!V$9*$G24,IF(AND(($C24+$C$1)&gt;AX$3,AX$3&gt;=$C$1),'General Inputs'!V$9*$F24,0))</f>
        <v>0</v>
      </c>
      <c r="AY24" s="214">
        <f>IF(AND(($D24+$C$1)&gt;AY$3,AY$3&gt;=$C$1),'General Inputs'!W$9*$G24,IF(AND(($C24+$C$1)&gt;AY$3,AY$3&gt;=$C$1),'General Inputs'!W$9*$F24,0))</f>
        <v>0</v>
      </c>
      <c r="BA24" s="214">
        <f>IF(AND(($D24+$C$1)&gt;AF$3,AF$3&gt;=$C$1),'General Inputs'!D$10*$I24,IF(AND(($C24+$C$1)&gt;AF$3,AF$3&gt;=$C$1),'General Inputs'!D$10*$H24,0))</f>
        <v>0.14110039881733699</v>
      </c>
      <c r="BB24" s="214">
        <f>IF(AND(($D24+$C$1)&gt;AG$3,AG$3&gt;=$C$1),'General Inputs'!E$10*$I24,IF(AND(($C24+$C$1)&gt;AG$3,AG$3&gt;=$C$1),'General Inputs'!E$10*$H24,0))</f>
        <v>0.14321690479959703</v>
      </c>
      <c r="BC24" s="214">
        <f>IF(AND(($D24+$C$1)&gt;AH$3,AH$3&gt;=$C$1),'General Inputs'!F$10*$I24,IF(AND(($C24+$C$1)&gt;AH$3,AH$3&gt;=$C$1),'General Inputs'!F$10*$H24,0))</f>
        <v>0.145365158371591</v>
      </c>
      <c r="BD24" s="214">
        <f>IF(AND(($D24+$C$1)&gt;AI$3,AI$3&gt;=$C$1),'General Inputs'!G$10*$I24,IF(AND(($C24+$C$1)&gt;AI$3,AI$3&gt;=$C$1),'General Inputs'!G$10*$H24,0))</f>
        <v>0.14754563574716484</v>
      </c>
      <c r="BE24" s="214">
        <f>IF(AND(($D24+$C$1)&gt;AJ$3,AJ$3&gt;=$C$1),'General Inputs'!H$10*$I24,IF(AND(($C24+$C$1)&gt;AJ$3,AJ$3&gt;=$C$1),'General Inputs'!H$10*$H24,0))</f>
        <v>0.14975882028337231</v>
      </c>
      <c r="BF24" s="214">
        <f>IF(AND(($D24+$C$1)&gt;AK$3,AK$3&gt;=$C$1),'General Inputs'!I$10*$I24,IF(AND(($C24+$C$1)&gt;AK$3,AK$3&gt;=$C$1),'General Inputs'!I$10*$H24,0))</f>
        <v>0</v>
      </c>
      <c r="BG24" s="214">
        <f>IF(AND(($D24+$C$1)&gt;AL$3,AL$3&gt;=$C$1),'General Inputs'!J$10*$I24,IF(AND(($C24+$C$1)&gt;AL$3,AL$3&gt;=$C$1),'General Inputs'!J$10*$H24,0))</f>
        <v>0</v>
      </c>
      <c r="BH24" s="214">
        <f>IF(AND(($D24+$C$1)&gt;AM$3,AM$3&gt;=$C$1),'General Inputs'!K$10*$I24,IF(AND(($C24+$C$1)&gt;AM$3,AM$3&gt;=$C$1),'General Inputs'!K$10*$H24,0))</f>
        <v>0</v>
      </c>
      <c r="BI24" s="214">
        <f>IF(AND(($D24+$C$1)&gt;AN$3,AN$3&gt;=$C$1),'General Inputs'!L$10*$I24,IF(AND(($C24+$C$1)&gt;AN$3,AN$3&gt;=$C$1),'General Inputs'!L$10*$H24,0))</f>
        <v>0</v>
      </c>
      <c r="BJ24" s="214">
        <f>IF(AND(($D24+$C$1)&gt;AO$3,AO$3&gt;=$C$1),'General Inputs'!M$10*$I24,IF(AND(($C24+$C$1)&gt;AO$3,AO$3&gt;=$C$1),'General Inputs'!M$10*$H24,0))</f>
        <v>0</v>
      </c>
      <c r="BK24" s="214">
        <f>IF(AND(($D24+$C$1)&gt;AP$3,AP$3&gt;=$C$1),'General Inputs'!N$10*$I24,IF(AND(($C24+$C$1)&gt;AP$3,AP$3&gt;=$C$1),'General Inputs'!N$10*$H24,0))</f>
        <v>0</v>
      </c>
      <c r="BL24" s="214">
        <f>IF(AND(($D24+$C$1)&gt;AQ$3,AQ$3&gt;=$C$1),'General Inputs'!O$10*$I24,IF(AND(($C24+$C$1)&gt;AQ$3,AQ$3&gt;=$C$1),'General Inputs'!O$10*$H24,0))</f>
        <v>0</v>
      </c>
      <c r="BM24" s="214">
        <f>IF(AND(($D24+$C$1)&gt;AR$3,AR$3&gt;=$C$1),'General Inputs'!P$10*$I24,IF(AND(($C24+$C$1)&gt;AR$3,AR$3&gt;=$C$1),'General Inputs'!P$10*$H24,0))</f>
        <v>0</v>
      </c>
      <c r="BN24" s="214">
        <f>IF(AND(($D24+$C$1)&gt;AS$3,AS$3&gt;=$C$1),'General Inputs'!Q$10*$I24,IF(AND(($C24+$C$1)&gt;AS$3,AS$3&gt;=$C$1),'General Inputs'!Q$10*$H24,0))</f>
        <v>0</v>
      </c>
      <c r="BO24" s="214">
        <f>IF(AND(($D24+$C$1)&gt;AT$3,AT$3&gt;=$C$1),'General Inputs'!R$10*$I24,IF(AND(($C24+$C$1)&gt;AT$3,AT$3&gt;=$C$1),'General Inputs'!R$10*$H24,0))</f>
        <v>0</v>
      </c>
      <c r="BP24" s="214">
        <f>IF(AND(($D24+$C$1)&gt;AU$3,AU$3&gt;=$C$1),'General Inputs'!S$10*$I24,IF(AND(($C24+$C$1)&gt;AU$3,AU$3&gt;=$C$1),'General Inputs'!S$10*$H24,0))</f>
        <v>0</v>
      </c>
      <c r="BQ24" s="214">
        <f>IF(AND(($D24+$C$1)&gt;AV$3,AV$3&gt;=$C$1),'General Inputs'!T$10*$I24,IF(AND(($C24+$C$1)&gt;AV$3,AV$3&gt;=$C$1),'General Inputs'!T$10*$H24,0))</f>
        <v>0</v>
      </c>
      <c r="BR24" s="214">
        <f>IF(AND(($D24+$C$1)&gt;AW$3,AW$3&gt;=$C$1),'General Inputs'!U$10*$I24,IF(AND(($C24+$C$1)&gt;AW$3,AW$3&gt;=$C$1),'General Inputs'!U$10*$H24,0))</f>
        <v>0</v>
      </c>
      <c r="BS24" s="214">
        <f>IF(AND(($D24+$C$1)&gt;AX$3,AX$3&gt;=$C$1),'General Inputs'!V$10*$I24,IF(AND(($C24+$C$1)&gt;AX$3,AX$3&gt;=$C$1),'General Inputs'!V$10*$H24,0))</f>
        <v>0</v>
      </c>
      <c r="BT24" s="214">
        <f>IF(AND(($D24+$C$1)&gt;AY$3,AY$3&gt;=$C$1),'General Inputs'!W$10*$I24,IF(AND(($C24+$C$1)&gt;AY$3,AY$3&gt;=$C$1),'General Inputs'!W$10*$H24,0))</f>
        <v>0</v>
      </c>
    </row>
    <row r="25" spans="1:72">
      <c r="A25" s="341" t="s">
        <v>12</v>
      </c>
      <c r="B25" s="427" t="str">
        <f>Sources!B25</f>
        <v>Hot Water Pipe Insulation</v>
      </c>
      <c r="C25" s="193">
        <f>Sources!C25</f>
        <v>15</v>
      </c>
      <c r="D25" s="193">
        <f>Sources!D25</f>
        <v>0</v>
      </c>
      <c r="F25" s="429">
        <f>Sources!F25*EnergyLineLoss</f>
        <v>141.8889000878992</v>
      </c>
      <c r="G25" s="429">
        <f>Sources!G25*EnergyLineLoss</f>
        <v>0</v>
      </c>
      <c r="H25" s="477">
        <f>Sources!H25*PeakLineLoss</f>
        <v>1.6197363023732782E-2</v>
      </c>
      <c r="I25" s="477">
        <f>Sources!I25*PeakLineLoss</f>
        <v>0</v>
      </c>
      <c r="K25" s="419">
        <f>Sources!J25</f>
        <v>15</v>
      </c>
      <c r="L25" s="419">
        <f>Sources!K25</f>
        <v>0</v>
      </c>
      <c r="N25" s="438">
        <f t="shared" si="4"/>
        <v>3.7804795763300301</v>
      </c>
      <c r="P25" s="215">
        <f t="shared" si="5"/>
        <v>54.372667967357089</v>
      </c>
      <c r="Q25" s="215">
        <f t="shared" si="1"/>
        <v>2.3345256775933643</v>
      </c>
      <c r="R25" s="215">
        <f t="shared" si="2"/>
        <v>15</v>
      </c>
      <c r="T25" s="214">
        <f t="shared" si="6"/>
        <v>15</v>
      </c>
      <c r="U25" s="214">
        <f t="shared" si="6"/>
        <v>0</v>
      </c>
      <c r="V25" s="214">
        <f t="shared" si="6"/>
        <v>0</v>
      </c>
      <c r="W25" s="214">
        <f t="shared" si="6"/>
        <v>0</v>
      </c>
      <c r="X25" s="214">
        <f t="shared" si="6"/>
        <v>0</v>
      </c>
      <c r="Y25" s="214">
        <f t="shared" si="6"/>
        <v>0</v>
      </c>
      <c r="Z25" s="214">
        <f t="shared" si="6"/>
        <v>0</v>
      </c>
      <c r="AA25" s="214">
        <f t="shared" si="6"/>
        <v>0</v>
      </c>
      <c r="AB25" s="214">
        <f t="shared" si="6"/>
        <v>0</v>
      </c>
      <c r="AC25" s="214">
        <f t="shared" si="6"/>
        <v>0</v>
      </c>
      <c r="AD25" s="214">
        <f t="shared" si="6"/>
        <v>0</v>
      </c>
      <c r="AF25" s="214">
        <f>IF(AND(($D25+$C$1)&gt;AF$3,AF$3&gt;=$C$1),'General Inputs'!D$9*$G25,IF(AND(($C25+$C$1)&gt;AF$3,AF$3&gt;=$C$1),'General Inputs'!D$9*$F25,0))</f>
        <v>5.6489190924884003</v>
      </c>
      <c r="AG25" s="214">
        <f>IF(AND(($D25+$C$1)&gt;AG$3,AG$3&gt;=$C$1),'General Inputs'!E$9*$G25,IF(AND(($C25+$C$1)&gt;AG$3,AG$3&gt;=$C$1),'General Inputs'!E$9*$F25,0))</f>
        <v>5.7336528788757253</v>
      </c>
      <c r="AH25" s="214">
        <f>IF(AND(($D25+$C$1)&gt;AH$3,AH$3&gt;=$C$1),'General Inputs'!F$9*$G25,IF(AND(($C25+$C$1)&gt;AH$3,AH$3&gt;=$C$1),'General Inputs'!F$9*$F25,0))</f>
        <v>5.8196576720588604</v>
      </c>
      <c r="AI25" s="214">
        <f>IF(AND(($D25+$C$1)&gt;AI$3,AI$3&gt;=$C$1),'General Inputs'!G$9*$G25,IF(AND(($C25+$C$1)&gt;AI$3,AI$3&gt;=$C$1),'General Inputs'!G$9*$F25,0))</f>
        <v>5.9069525371397429</v>
      </c>
      <c r="AJ25" s="214">
        <f>IF(AND(($D25+$C$1)&gt;AJ$3,AJ$3&gt;=$C$1),'General Inputs'!H$9*$G25,IF(AND(($C25+$C$1)&gt;AJ$3,AJ$3&gt;=$C$1),'General Inputs'!H$9*$F25,0))</f>
        <v>5.9955568251968385</v>
      </c>
      <c r="AK25" s="214">
        <f>IF(AND(($D25+$C$1)&gt;AK$3,AK$3&gt;=$C$1),'General Inputs'!I$9*$G25,IF(AND(($C25+$C$1)&gt;AK$3,AK$3&gt;=$C$1),'General Inputs'!I$9*$F25,0))</f>
        <v>6.0854901775747896</v>
      </c>
      <c r="AL25" s="214">
        <f>IF(AND(($D25+$C$1)&gt;AL$3,AL$3&gt;=$C$1),'General Inputs'!J$9*$G25,IF(AND(($C25+$C$1)&gt;AL$3,AL$3&gt;=$C$1),'General Inputs'!J$9*$F25,0))</f>
        <v>6.1767725302384111</v>
      </c>
      <c r="AM25" s="214">
        <f>IF(AND(($D25+$C$1)&gt;AM$3,AM$3&gt;=$C$1),'General Inputs'!K$9*$G25,IF(AND(($C25+$C$1)&gt;AM$3,AM$3&gt;=$C$1),'General Inputs'!K$9*$F25,0))</f>
        <v>6.2694241181919859</v>
      </c>
      <c r="AN25" s="214">
        <f>IF(AND(($D25+$C$1)&gt;AN$3,AN$3&gt;=$C$1),'General Inputs'!L$9*$G25,IF(AND(($C25+$C$1)&gt;AN$3,AN$3&gt;=$C$1),'General Inputs'!L$9*$F25,0))</f>
        <v>6.3634654799648649</v>
      </c>
      <c r="AO25" s="214">
        <f>IF(AND(($D25+$C$1)&gt;AO$3,AO$3&gt;=$C$1),'General Inputs'!M$9*$G25,IF(AND(($C25+$C$1)&gt;AO$3,AO$3&gt;=$C$1),'General Inputs'!M$9*$F25,0))</f>
        <v>6.4589174621643375</v>
      </c>
      <c r="AP25" s="214">
        <f>IF(AND(($D25+$C$1)&gt;AP$3,AP$3&gt;=$C$1),'General Inputs'!N$9*$G25,IF(AND(($C25+$C$1)&gt;AP$3,AP$3&gt;=$C$1),'General Inputs'!N$9*$F25,0))</f>
        <v>6.5558012240968022</v>
      </c>
      <c r="AQ25" s="214">
        <f>IF(AND(($D25+$C$1)&gt;AQ$3,AQ$3&gt;=$C$1),'General Inputs'!O$9*$G25,IF(AND(($C25+$C$1)&gt;AQ$3,AQ$3&gt;=$C$1),'General Inputs'!O$9*$F25,0))</f>
        <v>6.6541382424582531</v>
      </c>
      <c r="AR25" s="214">
        <f>IF(AND(($D25+$C$1)&gt;AR$3,AR$3&gt;=$C$1),'General Inputs'!P$9*$G25,IF(AND(($C25+$C$1)&gt;AR$3,AR$3&gt;=$C$1),'General Inputs'!P$9*$F25,0))</f>
        <v>6.7539503160951266</v>
      </c>
      <c r="AS25" s="214">
        <f>IF(AND(($D25+$C$1)&gt;AS$3,AS$3&gt;=$C$1),'General Inputs'!Q$9*$G25,IF(AND(($C25+$C$1)&gt;AS$3,AS$3&gt;=$C$1),'General Inputs'!Q$9*$F25,0))</f>
        <v>6.8552595708365525</v>
      </c>
      <c r="AT25" s="214">
        <f>IF(AND(($D25+$C$1)&gt;AT$3,AT$3&gt;=$C$1),'General Inputs'!R$9*$G25,IF(AND(($C25+$C$1)&gt;AT$3,AT$3&gt;=$C$1),'General Inputs'!R$9*$F25,0))</f>
        <v>6.9580884643991006</v>
      </c>
      <c r="AU25" s="214">
        <f>IF(AND(($D25+$C$1)&gt;AU$3,AU$3&gt;=$C$1),'General Inputs'!S$9*$G25,IF(AND(($C25+$C$1)&gt;AU$3,AU$3&gt;=$C$1),'General Inputs'!S$9*$F25,0))</f>
        <v>0</v>
      </c>
      <c r="AV25" s="214">
        <f>IF(AND(($D25+$C$1)&gt;AV$3,AV$3&gt;=$C$1),'General Inputs'!T$9*$G25,IF(AND(($C25+$C$1)&gt;AV$3,AV$3&gt;=$C$1),'General Inputs'!T$9*$F25,0))</f>
        <v>0</v>
      </c>
      <c r="AW25" s="214">
        <f>IF(AND(($D25+$C$1)&gt;AW$3,AW$3&gt;=$C$1),'General Inputs'!U$9*$G25,IF(AND(($C25+$C$1)&gt;AW$3,AW$3&gt;=$C$1),'General Inputs'!U$9*$F25,0))</f>
        <v>0</v>
      </c>
      <c r="AX25" s="214">
        <f>IF(AND(($D25+$C$1)&gt;AX$3,AX$3&gt;=$C$1),'General Inputs'!V$9*$G25,IF(AND(($C25+$C$1)&gt;AX$3,AX$3&gt;=$C$1),'General Inputs'!V$9*$F25,0))</f>
        <v>0</v>
      </c>
      <c r="AY25" s="214">
        <f>IF(AND(($D25+$C$1)&gt;AY$3,AY$3&gt;=$C$1),'General Inputs'!W$9*$G25,IF(AND(($C25+$C$1)&gt;AY$3,AY$3&gt;=$C$1),'General Inputs'!W$9*$F25,0))</f>
        <v>0</v>
      </c>
      <c r="BA25" s="214">
        <f>IF(AND(($D25+$C$1)&gt;AF$3,AF$3&gt;=$C$1),'General Inputs'!D$10*$I25,IF(AND(($C25+$C$1)&gt;AF$3,AF$3&gt;=$C$1),'General Inputs'!D$10*$H25,0))</f>
        <v>0.24253999601378365</v>
      </c>
      <c r="BB25" s="214">
        <f>IF(AND(($D25+$C$1)&gt;AG$3,AG$3&gt;=$C$1),'General Inputs'!E$10*$I25,IF(AND(($C25+$C$1)&gt;AG$3,AG$3&gt;=$C$1),'General Inputs'!E$10*$H25,0))</f>
        <v>0.2461780959539904</v>
      </c>
      <c r="BC25" s="214">
        <f>IF(AND(($D25+$C$1)&gt;AH$3,AH$3&gt;=$C$1),'General Inputs'!F$10*$I25,IF(AND(($C25+$C$1)&gt;AH$3,AH$3&gt;=$C$1),'General Inputs'!F$10*$H25,0))</f>
        <v>0.24987076739330022</v>
      </c>
      <c r="BD25" s="214">
        <f>IF(AND(($D25+$C$1)&gt;AI$3,AI$3&gt;=$C$1),'General Inputs'!G$10*$I25,IF(AND(($C25+$C$1)&gt;AI$3,AI$3&gt;=$C$1),'General Inputs'!G$10*$H25,0))</f>
        <v>0.25361882890419973</v>
      </c>
      <c r="BE25" s="214">
        <f>IF(AND(($D25+$C$1)&gt;AJ$3,AJ$3&gt;=$C$1),'General Inputs'!H$10*$I25,IF(AND(($C25+$C$1)&gt;AJ$3,AJ$3&gt;=$C$1),'General Inputs'!H$10*$H25,0))</f>
        <v>0.25742311133776269</v>
      </c>
      <c r="BF25" s="214">
        <f>IF(AND(($D25+$C$1)&gt;AK$3,AK$3&gt;=$C$1),'General Inputs'!I$10*$I25,IF(AND(($C25+$C$1)&gt;AK$3,AK$3&gt;=$C$1),'General Inputs'!I$10*$H25,0))</f>
        <v>0.26128445800782907</v>
      </c>
      <c r="BG25" s="214">
        <f>IF(AND(($D25+$C$1)&gt;AL$3,AL$3&gt;=$C$1),'General Inputs'!J$10*$I25,IF(AND(($C25+$C$1)&gt;AL$3,AL$3&gt;=$C$1),'General Inputs'!J$10*$H25,0))</f>
        <v>0.26520372487794647</v>
      </c>
      <c r="BH25" s="214">
        <f>IF(AND(($D25+$C$1)&gt;AM$3,AM$3&gt;=$C$1),'General Inputs'!K$10*$I25,IF(AND(($C25+$C$1)&gt;AM$3,AM$3&gt;=$C$1),'General Inputs'!K$10*$H25,0))</f>
        <v>0.26918178075111565</v>
      </c>
      <c r="BI25" s="214">
        <f>IF(AND(($D25+$C$1)&gt;AN$3,AN$3&gt;=$C$1),'General Inputs'!L$10*$I25,IF(AND(($C25+$C$1)&gt;AN$3,AN$3&gt;=$C$1),'General Inputs'!L$10*$H25,0))</f>
        <v>0.27321950746238238</v>
      </c>
      <c r="BJ25" s="214">
        <f>IF(AND(($D25+$C$1)&gt;AO$3,AO$3&gt;=$C$1),'General Inputs'!M$10*$I25,IF(AND(($C25+$C$1)&gt;AO$3,AO$3&gt;=$C$1),'General Inputs'!M$10*$H25,0))</f>
        <v>0.27731780007431811</v>
      </c>
      <c r="BK25" s="214">
        <f>IF(AND(($D25+$C$1)&gt;AP$3,AP$3&gt;=$C$1),'General Inputs'!N$10*$I25,IF(AND(($C25+$C$1)&gt;AP$3,AP$3&gt;=$C$1),'General Inputs'!N$10*$H25,0))</f>
        <v>0.28147756707543281</v>
      </c>
      <c r="BL25" s="214">
        <f>IF(AND(($D25+$C$1)&gt;AQ$3,AQ$3&gt;=$C$1),'General Inputs'!O$10*$I25,IF(AND(($C25+$C$1)&gt;AQ$3,AQ$3&gt;=$C$1),'General Inputs'!O$10*$H25,0))</f>
        <v>0.28569973058156428</v>
      </c>
      <c r="BM25" s="214">
        <f>IF(AND(($D25+$C$1)&gt;AR$3,AR$3&gt;=$C$1),'General Inputs'!P$10*$I25,IF(AND(($C25+$C$1)&gt;AR$3,AR$3&gt;=$C$1),'General Inputs'!P$10*$H25,0))</f>
        <v>0.28998522654028774</v>
      </c>
      <c r="BN25" s="214">
        <f>IF(AND(($D25+$C$1)&gt;AS$3,AS$3&gt;=$C$1),'General Inputs'!Q$10*$I25,IF(AND(($C25+$C$1)&gt;AS$3,AS$3&gt;=$C$1),'General Inputs'!Q$10*$H25,0))</f>
        <v>0.29433500493839204</v>
      </c>
      <c r="BO25" s="214">
        <f>IF(AND(($D25+$C$1)&gt;AT$3,AT$3&gt;=$C$1),'General Inputs'!R$10*$I25,IF(AND(($C25+$C$1)&gt;AT$3,AT$3&gt;=$C$1),'General Inputs'!R$10*$H25,0))</f>
        <v>0.29875003001246786</v>
      </c>
      <c r="BP25" s="214">
        <f>IF(AND(($D25+$C$1)&gt;AU$3,AU$3&gt;=$C$1),'General Inputs'!S$10*$I25,IF(AND(($C25+$C$1)&gt;AU$3,AU$3&gt;=$C$1),'General Inputs'!S$10*$H25,0))</f>
        <v>0</v>
      </c>
      <c r="BQ25" s="214">
        <f>IF(AND(($D25+$C$1)&gt;AV$3,AV$3&gt;=$C$1),'General Inputs'!T$10*$I25,IF(AND(($C25+$C$1)&gt;AV$3,AV$3&gt;=$C$1),'General Inputs'!T$10*$H25,0))</f>
        <v>0</v>
      </c>
      <c r="BR25" s="214">
        <f>IF(AND(($D25+$C$1)&gt;AW$3,AW$3&gt;=$C$1),'General Inputs'!U$10*$I25,IF(AND(($C25+$C$1)&gt;AW$3,AW$3&gt;=$C$1),'General Inputs'!U$10*$H25,0))</f>
        <v>0</v>
      </c>
      <c r="BS25" s="214">
        <f>IF(AND(($D25+$C$1)&gt;AX$3,AX$3&gt;=$C$1),'General Inputs'!V$10*$I25,IF(AND(($C25+$C$1)&gt;AX$3,AX$3&gt;=$C$1),'General Inputs'!V$10*$H25,0))</f>
        <v>0</v>
      </c>
      <c r="BT25" s="214">
        <f>IF(AND(($D25+$C$1)&gt;AY$3,AY$3&gt;=$C$1),'General Inputs'!W$10*$I25,IF(AND(($C25+$C$1)&gt;AY$3,AY$3&gt;=$C$1),'General Inputs'!W$10*$H25,0))</f>
        <v>0</v>
      </c>
    </row>
    <row r="26" spans="1:72">
      <c r="A26" s="341" t="s">
        <v>12</v>
      </c>
      <c r="B26" s="427" t="str">
        <f>Sources!B26</f>
        <v>CAC/ASHP Tune-Up</v>
      </c>
      <c r="C26" s="193">
        <f>Sources!C26</f>
        <v>2</v>
      </c>
      <c r="D26" s="193">
        <f>Sources!D26</f>
        <v>0</v>
      </c>
      <c r="F26" s="429">
        <f>Sources!F26*EnergyLineLoss</f>
        <v>111.75678000000001</v>
      </c>
      <c r="G26" s="429">
        <f>Sources!G26*EnergyLineLoss</f>
        <v>0</v>
      </c>
      <c r="H26" s="477">
        <f>Sources!H26*PeakLineLoss</f>
        <v>7.3745217391304352E-2</v>
      </c>
      <c r="I26" s="477">
        <f>Sources!I26*PeakLineLoss</f>
        <v>0</v>
      </c>
      <c r="K26" s="419">
        <f>Sources!J26</f>
        <v>175</v>
      </c>
      <c r="L26" s="419">
        <f>Sources!K26</f>
        <v>0</v>
      </c>
      <c r="N26" s="438">
        <f t="shared" ref="N26" si="12">IF(R26&gt;0,(P26+Q26)/R26,"n/a")</f>
        <v>6.1329068087383545E-2</v>
      </c>
      <c r="P26" s="215">
        <f t="shared" ref="P26" si="13">AF26+NPV(DiscountRate,AG26:AY26)</f>
        <v>8.5985287766190943</v>
      </c>
      <c r="Q26" s="215">
        <f t="shared" si="1"/>
        <v>2.1340581386730264</v>
      </c>
      <c r="R26" s="215">
        <f t="shared" si="2"/>
        <v>175</v>
      </c>
      <c r="T26" s="214">
        <f t="shared" ref="T26:AD26" si="14">IF($C$1=T$3,$K26,IF($D26+$C$1=T$3,-$L26,0))</f>
        <v>175</v>
      </c>
      <c r="U26" s="214">
        <f t="shared" si="14"/>
        <v>0</v>
      </c>
      <c r="V26" s="214">
        <f t="shared" si="14"/>
        <v>0</v>
      </c>
      <c r="W26" s="214">
        <f t="shared" si="14"/>
        <v>0</v>
      </c>
      <c r="X26" s="214">
        <f t="shared" si="14"/>
        <v>0</v>
      </c>
      <c r="Y26" s="214">
        <f t="shared" si="14"/>
        <v>0</v>
      </c>
      <c r="Z26" s="214">
        <f t="shared" si="14"/>
        <v>0</v>
      </c>
      <c r="AA26" s="214">
        <f t="shared" si="14"/>
        <v>0</v>
      </c>
      <c r="AB26" s="214">
        <f t="shared" si="14"/>
        <v>0</v>
      </c>
      <c r="AC26" s="214">
        <f t="shared" si="14"/>
        <v>0</v>
      </c>
      <c r="AD26" s="214">
        <f t="shared" si="14"/>
        <v>0</v>
      </c>
      <c r="AF26" s="214">
        <f>IF(AND(($D26+$C$1)&gt;AF$3,AF$3&gt;=$C$1),'General Inputs'!D$9*$G26,IF(AND(($C26+$C$1)&gt;AF$3,AF$3&gt;=$C$1),'General Inputs'!D$9*$F26,0))</f>
        <v>4.4492910147723794</v>
      </c>
      <c r="AG26" s="214">
        <f>IF(AND(($D26+$C$1)&gt;AG$3,AG$3&gt;=$C$1),'General Inputs'!E$9*$G26,IF(AND(($C26+$C$1)&gt;AG$3,AG$3&gt;=$C$1),'General Inputs'!E$9*$F26,0))</f>
        <v>4.5160303799939649</v>
      </c>
      <c r="AH26" s="214">
        <f>IF(AND(($D26+$C$1)&gt;AH$3,AH$3&gt;=$C$1),'General Inputs'!F$9*$G26,IF(AND(($C26+$C$1)&gt;AH$3,AH$3&gt;=$C$1),'General Inputs'!F$9*$F26,0))</f>
        <v>0</v>
      </c>
      <c r="AI26" s="214">
        <f>IF(AND(($D26+$C$1)&gt;AI$3,AI$3&gt;=$C$1),'General Inputs'!G$9*$G26,IF(AND(($C26+$C$1)&gt;AI$3,AI$3&gt;=$C$1),'General Inputs'!G$9*$F26,0))</f>
        <v>0</v>
      </c>
      <c r="AJ26" s="214">
        <f>IF(AND(($D26+$C$1)&gt;AJ$3,AJ$3&gt;=$C$1),'General Inputs'!H$9*$G26,IF(AND(($C26+$C$1)&gt;AJ$3,AJ$3&gt;=$C$1),'General Inputs'!H$9*$F26,0))</f>
        <v>0</v>
      </c>
      <c r="AK26" s="214">
        <f>IF(AND(($D26+$C$1)&gt;AK$3,AK$3&gt;=$C$1),'General Inputs'!I$9*$G26,IF(AND(($C26+$C$1)&gt;AK$3,AK$3&gt;=$C$1),'General Inputs'!I$9*$F26,0))</f>
        <v>0</v>
      </c>
      <c r="AL26" s="214">
        <f>IF(AND(($D26+$C$1)&gt;AL$3,AL$3&gt;=$C$1),'General Inputs'!J$9*$G26,IF(AND(($C26+$C$1)&gt;AL$3,AL$3&gt;=$C$1),'General Inputs'!J$9*$F26,0))</f>
        <v>0</v>
      </c>
      <c r="AM26" s="214">
        <f>IF(AND(($D26+$C$1)&gt;AM$3,AM$3&gt;=$C$1),'General Inputs'!K$9*$G26,IF(AND(($C26+$C$1)&gt;AM$3,AM$3&gt;=$C$1),'General Inputs'!K$9*$F26,0))</f>
        <v>0</v>
      </c>
      <c r="AN26" s="214">
        <f>IF(AND(($D26+$C$1)&gt;AN$3,AN$3&gt;=$C$1),'General Inputs'!L$9*$G26,IF(AND(($C26+$C$1)&gt;AN$3,AN$3&gt;=$C$1),'General Inputs'!L$9*$F26,0))</f>
        <v>0</v>
      </c>
      <c r="AO26" s="214">
        <f>IF(AND(($D26+$C$1)&gt;AO$3,AO$3&gt;=$C$1),'General Inputs'!M$9*$G26,IF(AND(($C26+$C$1)&gt;AO$3,AO$3&gt;=$C$1),'General Inputs'!M$9*$F26,0))</f>
        <v>0</v>
      </c>
      <c r="AP26" s="214">
        <f>IF(AND(($D26+$C$1)&gt;AP$3,AP$3&gt;=$C$1),'General Inputs'!N$9*$G26,IF(AND(($C26+$C$1)&gt;AP$3,AP$3&gt;=$C$1),'General Inputs'!N$9*$F26,0))</f>
        <v>0</v>
      </c>
      <c r="AQ26" s="214">
        <f>IF(AND(($D26+$C$1)&gt;AQ$3,AQ$3&gt;=$C$1),'General Inputs'!O$9*$G26,IF(AND(($C26+$C$1)&gt;AQ$3,AQ$3&gt;=$C$1),'General Inputs'!O$9*$F26,0))</f>
        <v>0</v>
      </c>
      <c r="AR26" s="214">
        <f>IF(AND(($D26+$C$1)&gt;AR$3,AR$3&gt;=$C$1),'General Inputs'!P$9*$G26,IF(AND(($C26+$C$1)&gt;AR$3,AR$3&gt;=$C$1),'General Inputs'!P$9*$F26,0))</f>
        <v>0</v>
      </c>
      <c r="AS26" s="214">
        <f>IF(AND(($D26+$C$1)&gt;AS$3,AS$3&gt;=$C$1),'General Inputs'!Q$9*$G26,IF(AND(($C26+$C$1)&gt;AS$3,AS$3&gt;=$C$1),'General Inputs'!Q$9*$F26,0))</f>
        <v>0</v>
      </c>
      <c r="AT26" s="214">
        <f>IF(AND(($D26+$C$1)&gt;AT$3,AT$3&gt;=$C$1),'General Inputs'!R$9*$G26,IF(AND(($C26+$C$1)&gt;AT$3,AT$3&gt;=$C$1),'General Inputs'!R$9*$F26,0))</f>
        <v>0</v>
      </c>
      <c r="AU26" s="214">
        <f>IF(AND(($D26+$C$1)&gt;AU$3,AU$3&gt;=$C$1),'General Inputs'!S$9*$G26,IF(AND(($C26+$C$1)&gt;AU$3,AU$3&gt;=$C$1),'General Inputs'!S$9*$F26,0))</f>
        <v>0</v>
      </c>
      <c r="AV26" s="214">
        <f>IF(AND(($D26+$C$1)&gt;AV$3,AV$3&gt;=$C$1),'General Inputs'!T$9*$G26,IF(AND(($C26+$C$1)&gt;AV$3,AV$3&gt;=$C$1),'General Inputs'!T$9*$F26,0))</f>
        <v>0</v>
      </c>
      <c r="AW26" s="214">
        <f>IF(AND(($D26+$C$1)&gt;AW$3,AW$3&gt;=$C$1),'General Inputs'!U$9*$G26,IF(AND(($C26+$C$1)&gt;AW$3,AW$3&gt;=$C$1),'General Inputs'!U$9*$F26,0))</f>
        <v>0</v>
      </c>
      <c r="AX26" s="214">
        <f>IF(AND(($D26+$C$1)&gt;AX$3,AX$3&gt;=$C$1),'General Inputs'!V$9*$G26,IF(AND(($C26+$C$1)&gt;AX$3,AX$3&gt;=$C$1),'General Inputs'!V$9*$F26,0))</f>
        <v>0</v>
      </c>
      <c r="AY26" s="214">
        <f>IF(AND(($D26+$C$1)&gt;AY$3,AY$3&gt;=$C$1),'General Inputs'!W$9*$G26,IF(AND(($C26+$C$1)&gt;AY$3,AY$3&gt;=$C$1),'General Inputs'!W$9*$F26,0))</f>
        <v>0</v>
      </c>
      <c r="BA26" s="214">
        <f>IF(AND(($D26+$C$1)&gt;AF$3,AF$3&gt;=$C$1),'General Inputs'!D$10*$I26,IF(AND(($C26+$C$1)&gt;AF$3,AF$3&gt;=$C$1),'General Inputs'!D$10*$H26,0))</f>
        <v>1.1042639907443768</v>
      </c>
      <c r="BB26" s="214">
        <f>IF(AND(($D26+$C$1)&gt;AG$3,AG$3&gt;=$C$1),'General Inputs'!E$10*$I26,IF(AND(($C26+$C$1)&gt;AG$3,AG$3&gt;=$C$1),'General Inputs'!E$10*$H26,0))</f>
        <v>1.1208279506055423</v>
      </c>
      <c r="BC26" s="214">
        <f>IF(AND(($D26+$C$1)&gt;AH$3,AH$3&gt;=$C$1),'General Inputs'!F$10*$I26,IF(AND(($C26+$C$1)&gt;AH$3,AH$3&gt;=$C$1),'General Inputs'!F$10*$H26,0))</f>
        <v>0</v>
      </c>
      <c r="BD26" s="214">
        <f>IF(AND(($D26+$C$1)&gt;AI$3,AI$3&gt;=$C$1),'General Inputs'!G$10*$I26,IF(AND(($C26+$C$1)&gt;AI$3,AI$3&gt;=$C$1),'General Inputs'!G$10*$H26,0))</f>
        <v>0</v>
      </c>
      <c r="BE26" s="214">
        <f>IF(AND(($D26+$C$1)&gt;AJ$3,AJ$3&gt;=$C$1),'General Inputs'!H$10*$I26,IF(AND(($C26+$C$1)&gt;AJ$3,AJ$3&gt;=$C$1),'General Inputs'!H$10*$H26,0))</f>
        <v>0</v>
      </c>
      <c r="BF26" s="214">
        <f>IF(AND(($D26+$C$1)&gt;AK$3,AK$3&gt;=$C$1),'General Inputs'!I$10*$I26,IF(AND(($C26+$C$1)&gt;AK$3,AK$3&gt;=$C$1),'General Inputs'!I$10*$H26,0))</f>
        <v>0</v>
      </c>
      <c r="BG26" s="214">
        <f>IF(AND(($D26+$C$1)&gt;AL$3,AL$3&gt;=$C$1),'General Inputs'!J$10*$I26,IF(AND(($C26+$C$1)&gt;AL$3,AL$3&gt;=$C$1),'General Inputs'!J$10*$H26,0))</f>
        <v>0</v>
      </c>
      <c r="BH26" s="214">
        <f>IF(AND(($D26+$C$1)&gt;AM$3,AM$3&gt;=$C$1),'General Inputs'!K$10*$I26,IF(AND(($C26+$C$1)&gt;AM$3,AM$3&gt;=$C$1),'General Inputs'!K$10*$H26,0))</f>
        <v>0</v>
      </c>
      <c r="BI26" s="214">
        <f>IF(AND(($D26+$C$1)&gt;AN$3,AN$3&gt;=$C$1),'General Inputs'!L$10*$I26,IF(AND(($C26+$C$1)&gt;AN$3,AN$3&gt;=$C$1),'General Inputs'!L$10*$H26,0))</f>
        <v>0</v>
      </c>
      <c r="BJ26" s="214">
        <f>IF(AND(($D26+$C$1)&gt;AO$3,AO$3&gt;=$C$1),'General Inputs'!M$10*$I26,IF(AND(($C26+$C$1)&gt;AO$3,AO$3&gt;=$C$1),'General Inputs'!M$10*$H26,0))</f>
        <v>0</v>
      </c>
      <c r="BK26" s="214">
        <f>IF(AND(($D26+$C$1)&gt;AP$3,AP$3&gt;=$C$1),'General Inputs'!N$10*$I26,IF(AND(($C26+$C$1)&gt;AP$3,AP$3&gt;=$C$1),'General Inputs'!N$10*$H26,0))</f>
        <v>0</v>
      </c>
      <c r="BL26" s="214">
        <f>IF(AND(($D26+$C$1)&gt;AQ$3,AQ$3&gt;=$C$1),'General Inputs'!O$10*$I26,IF(AND(($C26+$C$1)&gt;AQ$3,AQ$3&gt;=$C$1),'General Inputs'!O$10*$H26,0))</f>
        <v>0</v>
      </c>
      <c r="BM26" s="214">
        <f>IF(AND(($D26+$C$1)&gt;AR$3,AR$3&gt;=$C$1),'General Inputs'!P$10*$I26,IF(AND(($C26+$C$1)&gt;AR$3,AR$3&gt;=$C$1),'General Inputs'!P$10*$H26,0))</f>
        <v>0</v>
      </c>
      <c r="BN26" s="214">
        <f>IF(AND(($D26+$C$1)&gt;AS$3,AS$3&gt;=$C$1),'General Inputs'!Q$10*$I26,IF(AND(($C26+$C$1)&gt;AS$3,AS$3&gt;=$C$1),'General Inputs'!Q$10*$H26,0))</f>
        <v>0</v>
      </c>
      <c r="BO26" s="214">
        <f>IF(AND(($D26+$C$1)&gt;AT$3,AT$3&gt;=$C$1),'General Inputs'!R$10*$I26,IF(AND(($C26+$C$1)&gt;AT$3,AT$3&gt;=$C$1),'General Inputs'!R$10*$H26,0))</f>
        <v>0</v>
      </c>
      <c r="BP26" s="214">
        <f>IF(AND(($D26+$C$1)&gt;AU$3,AU$3&gt;=$C$1),'General Inputs'!S$10*$I26,IF(AND(($C26+$C$1)&gt;AU$3,AU$3&gt;=$C$1),'General Inputs'!S$10*$H26,0))</f>
        <v>0</v>
      </c>
      <c r="BQ26" s="214">
        <f>IF(AND(($D26+$C$1)&gt;AV$3,AV$3&gt;=$C$1),'General Inputs'!T$10*$I26,IF(AND(($C26+$C$1)&gt;AV$3,AV$3&gt;=$C$1),'General Inputs'!T$10*$H26,0))</f>
        <v>0</v>
      </c>
      <c r="BR26" s="214">
        <f>IF(AND(($D26+$C$1)&gt;AW$3,AW$3&gt;=$C$1),'General Inputs'!U$10*$I26,IF(AND(($C26+$C$1)&gt;AW$3,AW$3&gt;=$C$1),'General Inputs'!U$10*$H26,0))</f>
        <v>0</v>
      </c>
      <c r="BS26" s="214">
        <f>IF(AND(($D26+$C$1)&gt;AX$3,AX$3&gt;=$C$1),'General Inputs'!V$10*$I26,IF(AND(($C26+$C$1)&gt;AX$3,AX$3&gt;=$C$1),'General Inputs'!V$10*$H26,0))</f>
        <v>0</v>
      </c>
      <c r="BT26" s="214">
        <f>IF(AND(($D26+$C$1)&gt;AY$3,AY$3&gt;=$C$1),'General Inputs'!W$10*$I26,IF(AND(($C26+$C$1)&gt;AY$3,AY$3&gt;=$C$1),'General Inputs'!W$10*$H26,0))</f>
        <v>0</v>
      </c>
    </row>
    <row r="27" spans="1:72">
      <c r="A27" s="341" t="s">
        <v>12</v>
      </c>
      <c r="B27" s="427" t="str">
        <f>Sources!B27</f>
        <v>CAC SEER 14</v>
      </c>
      <c r="C27" s="193">
        <f>Sources!C27</f>
        <v>18</v>
      </c>
      <c r="D27" s="193">
        <f>Sources!D27</f>
        <v>0</v>
      </c>
      <c r="F27" s="429">
        <f>Sources!F27*EnergyLineLoss</f>
        <v>177.86224933687009</v>
      </c>
      <c r="G27" s="429">
        <f>Sources!G27*EnergyLineLoss</f>
        <v>0</v>
      </c>
      <c r="H27" s="477">
        <f>Sources!H27*PeakLineLoss</f>
        <v>0.26127409090909115</v>
      </c>
      <c r="I27" s="477">
        <f>Sources!I27*PeakLineLoss</f>
        <v>0</v>
      </c>
      <c r="K27" s="419">
        <f>Sources!J27</f>
        <v>416.78421295927956</v>
      </c>
      <c r="L27" s="419">
        <f>Sources!K27</f>
        <v>0</v>
      </c>
      <c r="N27" s="438">
        <f t="shared" si="4"/>
        <v>0.27982024297884461</v>
      </c>
      <c r="P27" s="215">
        <f t="shared" si="5"/>
        <v>75.12040601960156</v>
      </c>
      <c r="Q27" s="215">
        <f t="shared" si="1"/>
        <v>41.50425372041056</v>
      </c>
      <c r="R27" s="215">
        <f t="shared" si="2"/>
        <v>416.78421295927956</v>
      </c>
      <c r="T27" s="214">
        <f t="shared" si="6"/>
        <v>416.78421295927956</v>
      </c>
      <c r="U27" s="214">
        <f t="shared" si="6"/>
        <v>0</v>
      </c>
      <c r="V27" s="214">
        <f t="shared" si="6"/>
        <v>0</v>
      </c>
      <c r="W27" s="214">
        <f t="shared" si="6"/>
        <v>0</v>
      </c>
      <c r="X27" s="214">
        <f t="shared" si="6"/>
        <v>0</v>
      </c>
      <c r="Y27" s="214">
        <f t="shared" si="6"/>
        <v>0</v>
      </c>
      <c r="Z27" s="214">
        <f t="shared" si="6"/>
        <v>0</v>
      </c>
      <c r="AA27" s="214">
        <f t="shared" si="6"/>
        <v>0</v>
      </c>
      <c r="AB27" s="214">
        <f t="shared" si="6"/>
        <v>0</v>
      </c>
      <c r="AC27" s="214">
        <f t="shared" si="6"/>
        <v>0</v>
      </c>
      <c r="AD27" s="214">
        <f t="shared" si="6"/>
        <v>0</v>
      </c>
      <c r="AF27" s="214">
        <f>IF(AND(($D27+$C$1)&gt;AF$3,AF$3&gt;=$C$1),'General Inputs'!D$9*$G27,IF(AND(($C27+$C$1)&gt;AF$3,AF$3&gt;=$C$1),'General Inputs'!D$9*$F27,0))</f>
        <v>7.0810997582584312</v>
      </c>
      <c r="AG27" s="214">
        <f>IF(AND(($D27+$C$1)&gt;AG$3,AG$3&gt;=$C$1),'General Inputs'!E$9*$G27,IF(AND(($C27+$C$1)&gt;AG$3,AG$3&gt;=$C$1),'General Inputs'!E$9*$F27,0))</f>
        <v>7.1873162546323064</v>
      </c>
      <c r="AH27" s="214">
        <f>IF(AND(($D27+$C$1)&gt;AH$3,AH$3&gt;=$C$1),'General Inputs'!F$9*$G27,IF(AND(($C27+$C$1)&gt;AH$3,AH$3&gt;=$C$1),'General Inputs'!F$9*$F27,0))</f>
        <v>7.2951259984517902</v>
      </c>
      <c r="AI27" s="214">
        <f>IF(AND(($D27+$C$1)&gt;AI$3,AI$3&gt;=$C$1),'General Inputs'!G$9*$G27,IF(AND(($C27+$C$1)&gt;AI$3,AI$3&gt;=$C$1),'General Inputs'!G$9*$F27,0))</f>
        <v>7.404552888428567</v>
      </c>
      <c r="AJ27" s="214">
        <f>IF(AND(($D27+$C$1)&gt;AJ$3,AJ$3&gt;=$C$1),'General Inputs'!H$9*$G27,IF(AND(($C27+$C$1)&gt;AJ$3,AJ$3&gt;=$C$1),'General Inputs'!H$9*$F27,0))</f>
        <v>7.5156211817549945</v>
      </c>
      <c r="AK27" s="214">
        <f>IF(AND(($D27+$C$1)&gt;AK$3,AK$3&gt;=$C$1),'General Inputs'!I$9*$G27,IF(AND(($C27+$C$1)&gt;AK$3,AK$3&gt;=$C$1),'General Inputs'!I$9*$F27,0))</f>
        <v>7.6283554994813176</v>
      </c>
      <c r="AL27" s="214">
        <f>IF(AND(($D27+$C$1)&gt;AL$3,AL$3&gt;=$C$1),'General Inputs'!J$9*$G27,IF(AND(($C27+$C$1)&gt;AL$3,AL$3&gt;=$C$1),'General Inputs'!J$9*$F27,0))</f>
        <v>7.7427808319735369</v>
      </c>
      <c r="AM27" s="214">
        <f>IF(AND(($D27+$C$1)&gt;AM$3,AM$3&gt;=$C$1),'General Inputs'!K$9*$G27,IF(AND(($C27+$C$1)&gt;AM$3,AM$3&gt;=$C$1),'General Inputs'!K$9*$F27,0))</f>
        <v>7.8589225444531383</v>
      </c>
      <c r="AN27" s="214">
        <f>IF(AND(($D27+$C$1)&gt;AN$3,AN$3&gt;=$C$1),'General Inputs'!L$9*$G27,IF(AND(($C27+$C$1)&gt;AN$3,AN$3&gt;=$C$1),'General Inputs'!L$9*$F27,0))</f>
        <v>7.9768063826199347</v>
      </c>
      <c r="AO27" s="214">
        <f>IF(AND(($D27+$C$1)&gt;AO$3,AO$3&gt;=$C$1),'General Inputs'!M$9*$G27,IF(AND(($C27+$C$1)&gt;AO$3,AO$3&gt;=$C$1),'General Inputs'!M$9*$F27,0))</f>
        <v>8.0964584783592333</v>
      </c>
      <c r="AP27" s="214">
        <f>IF(AND(($D27+$C$1)&gt;AP$3,AP$3&gt;=$C$1),'General Inputs'!N$9*$G27,IF(AND(($C27+$C$1)&gt;AP$3,AP$3&gt;=$C$1),'General Inputs'!N$9*$F27,0))</f>
        <v>8.2179053555346204</v>
      </c>
      <c r="AQ27" s="214">
        <f>IF(AND(($D27+$C$1)&gt;AQ$3,AQ$3&gt;=$C$1),'General Inputs'!O$9*$G27,IF(AND(($C27+$C$1)&gt;AQ$3,AQ$3&gt;=$C$1),'General Inputs'!O$9*$F27,0))</f>
        <v>8.3411739358676389</v>
      </c>
      <c r="AR27" s="214">
        <f>IF(AND(($D27+$C$1)&gt;AR$3,AR$3&gt;=$C$1),'General Inputs'!P$9*$G27,IF(AND(($C27+$C$1)&gt;AR$3,AR$3&gt;=$C$1),'General Inputs'!P$9*$F27,0))</f>
        <v>8.4662915449056531</v>
      </c>
      <c r="AS27" s="214">
        <f>IF(AND(($D27+$C$1)&gt;AS$3,AS$3&gt;=$C$1),'General Inputs'!Q$9*$G27,IF(AND(($C27+$C$1)&gt;AS$3,AS$3&gt;=$C$1),'General Inputs'!Q$9*$F27,0))</f>
        <v>8.5932859180792374</v>
      </c>
      <c r="AT27" s="214">
        <f>IF(AND(($D27+$C$1)&gt;AT$3,AT$3&gt;=$C$1),'General Inputs'!R$9*$G27,IF(AND(($C27+$C$1)&gt;AT$3,AT$3&gt;=$C$1),'General Inputs'!R$9*$F27,0))</f>
        <v>8.7221852068504244</v>
      </c>
      <c r="AU27" s="214">
        <f>IF(AND(($D27+$C$1)&gt;AU$3,AU$3&gt;=$C$1),'General Inputs'!S$9*$G27,IF(AND(($C27+$C$1)&gt;AU$3,AU$3&gt;=$C$1),'General Inputs'!S$9*$F27,0))</f>
        <v>8.8530179849531816</v>
      </c>
      <c r="AV27" s="214">
        <f>IF(AND(($D27+$C$1)&gt;AV$3,AV$3&gt;=$C$1),'General Inputs'!T$9*$G27,IF(AND(($C27+$C$1)&gt;AV$3,AV$3&gt;=$C$1),'General Inputs'!T$9*$F27,0))</f>
        <v>8.9858132547274785</v>
      </c>
      <c r="AW27" s="214">
        <f>IF(AND(($D27+$C$1)&gt;AW$3,AW$3&gt;=$C$1),'General Inputs'!U$9*$G27,IF(AND(($C27+$C$1)&gt;AW$3,AW$3&gt;=$C$1),'General Inputs'!U$9*$F27,0))</f>
        <v>9.1206004535483896</v>
      </c>
      <c r="AX27" s="214">
        <f>IF(AND(($D27+$C$1)&gt;AX$3,AX$3&gt;=$C$1),'General Inputs'!V$9*$G27,IF(AND(($C27+$C$1)&gt;AX$3,AX$3&gt;=$C$1),'General Inputs'!V$9*$F27,0))</f>
        <v>0</v>
      </c>
      <c r="AY27" s="214">
        <f>IF(AND(($D27+$C$1)&gt;AY$3,AY$3&gt;=$C$1),'General Inputs'!W$9*$G27,IF(AND(($C27+$C$1)&gt;AY$3,AY$3&gt;=$C$1),'General Inputs'!W$9*$F27,0))</f>
        <v>0</v>
      </c>
      <c r="BA27" s="214">
        <f>IF(AND(($D27+$C$1)&gt;AF$3,AF$3&gt;=$C$1),'General Inputs'!D$10*$I27,IF(AND(($C27+$C$1)&gt;AF$3,AF$3&gt;=$C$1),'General Inputs'!D$10*$H27,0))</f>
        <v>3.9123292399352572</v>
      </c>
      <c r="BB27" s="214">
        <f>IF(AND(($D27+$C$1)&gt;AG$3,AG$3&gt;=$C$1),'General Inputs'!E$10*$I27,IF(AND(($C27+$C$1)&gt;AG$3,AG$3&gt;=$C$1),'General Inputs'!E$10*$H27,0))</f>
        <v>3.9710141785342858</v>
      </c>
      <c r="BC27" s="214">
        <f>IF(AND(($D27+$C$1)&gt;AH$3,AH$3&gt;=$C$1),'General Inputs'!F$10*$I27,IF(AND(($C27+$C$1)&gt;AH$3,AH$3&gt;=$C$1),'General Inputs'!F$10*$H27,0))</f>
        <v>4.0305793912122994</v>
      </c>
      <c r="BD27" s="214">
        <f>IF(AND(($D27+$C$1)&gt;AI$3,AI$3&gt;=$C$1),'General Inputs'!G$10*$I27,IF(AND(($C27+$C$1)&gt;AI$3,AI$3&gt;=$C$1),'General Inputs'!G$10*$H27,0))</f>
        <v>4.0910380820804839</v>
      </c>
      <c r="BE27" s="214">
        <f>IF(AND(($D27+$C$1)&gt;AJ$3,AJ$3&gt;=$C$1),'General Inputs'!H$10*$I27,IF(AND(($C27+$C$1)&gt;AJ$3,AJ$3&gt;=$C$1),'General Inputs'!H$10*$H27,0))</f>
        <v>4.1524036533116906</v>
      </c>
      <c r="BF27" s="214">
        <f>IF(AND(($D27+$C$1)&gt;AK$3,AK$3&gt;=$C$1),'General Inputs'!I$10*$I27,IF(AND(($C27+$C$1)&gt;AK$3,AK$3&gt;=$C$1),'General Inputs'!I$10*$H27,0))</f>
        <v>4.214689708111365</v>
      </c>
      <c r="BG27" s="214">
        <f>IF(AND(($D27+$C$1)&gt;AL$3,AL$3&gt;=$C$1),'General Inputs'!J$10*$I27,IF(AND(($C27+$C$1)&gt;AL$3,AL$3&gt;=$C$1),'General Inputs'!J$10*$H27,0))</f>
        <v>4.2779100537330352</v>
      </c>
      <c r="BH27" s="214">
        <f>IF(AND(($D27+$C$1)&gt;AM$3,AM$3&gt;=$C$1),'General Inputs'!K$10*$I27,IF(AND(($C27+$C$1)&gt;AM$3,AM$3&gt;=$C$1),'General Inputs'!K$10*$H27,0))</f>
        <v>4.3420787045390306</v>
      </c>
      <c r="BI27" s="214">
        <f>IF(AND(($D27+$C$1)&gt;AN$3,AN$3&gt;=$C$1),'General Inputs'!L$10*$I27,IF(AND(($C27+$C$1)&gt;AN$3,AN$3&gt;=$C$1),'General Inputs'!L$10*$H27,0))</f>
        <v>4.4072098851071155</v>
      </c>
      <c r="BJ27" s="214">
        <f>IF(AND(($D27+$C$1)&gt;AO$3,AO$3&gt;=$C$1),'General Inputs'!M$10*$I27,IF(AND(($C27+$C$1)&gt;AO$3,AO$3&gt;=$C$1),'General Inputs'!M$10*$H27,0))</f>
        <v>4.4733180333837224</v>
      </c>
      <c r="BK27" s="214">
        <f>IF(AND(($D27+$C$1)&gt;AP$3,AP$3&gt;=$C$1),'General Inputs'!N$10*$I27,IF(AND(($C27+$C$1)&gt;AP$3,AP$3&gt;=$C$1),'General Inputs'!N$10*$H27,0))</f>
        <v>4.5404178038844778</v>
      </c>
      <c r="BL27" s="214">
        <f>IF(AND(($D27+$C$1)&gt;AQ$3,AQ$3&gt;=$C$1),'General Inputs'!O$10*$I27,IF(AND(($C27+$C$1)&gt;AQ$3,AQ$3&gt;=$C$1),'General Inputs'!O$10*$H27,0))</f>
        <v>4.6085240709427442</v>
      </c>
      <c r="BM27" s="214">
        <f>IF(AND(($D27+$C$1)&gt;AR$3,AR$3&gt;=$C$1),'General Inputs'!P$10*$I27,IF(AND(($C27+$C$1)&gt;AR$3,AR$3&gt;=$C$1),'General Inputs'!P$10*$H27,0))</f>
        <v>4.677651932006885</v>
      </c>
      <c r="BN27" s="214">
        <f>IF(AND(($D27+$C$1)&gt;AS$3,AS$3&gt;=$C$1),'General Inputs'!Q$10*$I27,IF(AND(($C27+$C$1)&gt;AS$3,AS$3&gt;=$C$1),'General Inputs'!Q$10*$H27,0))</f>
        <v>4.7478167109869878</v>
      </c>
      <c r="BO27" s="214">
        <f>IF(AND(($D27+$C$1)&gt;AT$3,AT$3&gt;=$C$1),'General Inputs'!R$10*$I27,IF(AND(($C27+$C$1)&gt;AT$3,AT$3&gt;=$C$1),'General Inputs'!R$10*$H27,0))</f>
        <v>4.8190339616517921</v>
      </c>
      <c r="BP27" s="214">
        <f>IF(AND(($D27+$C$1)&gt;AU$3,AU$3&gt;=$C$1),'General Inputs'!S$10*$I27,IF(AND(($C27+$C$1)&gt;AU$3,AU$3&gt;=$C$1),'General Inputs'!S$10*$H27,0))</f>
        <v>4.8913194710765691</v>
      </c>
      <c r="BQ27" s="214">
        <f>IF(AND(($D27+$C$1)&gt;AV$3,AV$3&gt;=$C$1),'General Inputs'!T$10*$I27,IF(AND(($C27+$C$1)&gt;AV$3,AV$3&gt;=$C$1),'General Inputs'!T$10*$H27,0))</f>
        <v>4.9646892631427164</v>
      </c>
      <c r="BR27" s="214">
        <f>IF(AND(($D27+$C$1)&gt;AW$3,AW$3&gt;=$C$1),'General Inputs'!U$10*$I27,IF(AND(($C27+$C$1)&gt;AW$3,AW$3&gt;=$C$1),'General Inputs'!U$10*$H27,0))</f>
        <v>5.0391596020898568</v>
      </c>
      <c r="BS27" s="214">
        <f>IF(AND(($D27+$C$1)&gt;AX$3,AX$3&gt;=$C$1),'General Inputs'!V$10*$I27,IF(AND(($C27+$C$1)&gt;AX$3,AX$3&gt;=$C$1),'General Inputs'!V$10*$H27,0))</f>
        <v>0</v>
      </c>
      <c r="BT27" s="214">
        <f>IF(AND(($D27+$C$1)&gt;AY$3,AY$3&gt;=$C$1),'General Inputs'!W$10*$I27,IF(AND(($C27+$C$1)&gt;AY$3,AY$3&gt;=$C$1),'General Inputs'!W$10*$H27,0))</f>
        <v>0</v>
      </c>
    </row>
    <row r="28" spans="1:72">
      <c r="A28" s="341" t="s">
        <v>12</v>
      </c>
      <c r="B28" s="427" t="str">
        <f>Sources!B28</f>
        <v>CAC SEER 15</v>
      </c>
      <c r="C28" s="193">
        <f>Sources!C28</f>
        <v>18</v>
      </c>
      <c r="D28" s="193">
        <f>Sources!D28</f>
        <v>0</v>
      </c>
      <c r="F28" s="429">
        <f>Sources!F28*EnergyLineLoss</f>
        <v>229.24467692307704</v>
      </c>
      <c r="G28" s="429">
        <f>Sources!G28*EnergyLineLoss</f>
        <v>0</v>
      </c>
      <c r="H28" s="477">
        <f>Sources!H28*PeakLineLoss</f>
        <v>0.42395418524871376</v>
      </c>
      <c r="I28" s="477">
        <f>Sources!I28*PeakLineLoss</f>
        <v>0</v>
      </c>
      <c r="K28" s="419">
        <f>Sources!J28</f>
        <v>555.7122839457063</v>
      </c>
      <c r="L28" s="419">
        <f>Sources!K28</f>
        <v>0</v>
      </c>
      <c r="N28" s="438">
        <f t="shared" si="4"/>
        <v>0.29541974560408135</v>
      </c>
      <c r="P28" s="215">
        <f t="shared" si="5"/>
        <v>96.82185664748647</v>
      </c>
      <c r="Q28" s="215">
        <f t="shared" si="1"/>
        <v>67.346524904817102</v>
      </c>
      <c r="R28" s="215">
        <f t="shared" si="2"/>
        <v>555.7122839457063</v>
      </c>
      <c r="T28" s="214">
        <f t="shared" si="6"/>
        <v>555.7122839457063</v>
      </c>
      <c r="U28" s="214">
        <f t="shared" si="6"/>
        <v>0</v>
      </c>
      <c r="V28" s="214">
        <f t="shared" si="6"/>
        <v>0</v>
      </c>
      <c r="W28" s="214">
        <f t="shared" si="6"/>
        <v>0</v>
      </c>
      <c r="X28" s="214">
        <f t="shared" si="6"/>
        <v>0</v>
      </c>
      <c r="Y28" s="214">
        <f t="shared" si="6"/>
        <v>0</v>
      </c>
      <c r="Z28" s="214">
        <f t="shared" si="6"/>
        <v>0</v>
      </c>
      <c r="AA28" s="214">
        <f t="shared" si="6"/>
        <v>0</v>
      </c>
      <c r="AB28" s="214">
        <f t="shared" si="6"/>
        <v>0</v>
      </c>
      <c r="AC28" s="214">
        <f t="shared" si="6"/>
        <v>0</v>
      </c>
      <c r="AD28" s="214">
        <f t="shared" si="6"/>
        <v>0</v>
      </c>
      <c r="AF28" s="214">
        <f>IF(AND(($D28+$C$1)&gt;AF$3,AF$3&gt;=$C$1),'General Inputs'!D$9*$G28,IF(AND(($C28+$C$1)&gt;AF$3,AF$3&gt;=$C$1),'General Inputs'!D$9*$F28,0))</f>
        <v>9.1267507995330899</v>
      </c>
      <c r="AG28" s="214">
        <f>IF(AND(($D28+$C$1)&gt;AG$3,AG$3&gt;=$C$1),'General Inputs'!E$9*$G28,IF(AND(($C28+$C$1)&gt;AG$3,AG$3&gt;=$C$1),'General Inputs'!E$9*$F28,0))</f>
        <v>9.263652061526086</v>
      </c>
      <c r="AH28" s="214">
        <f>IF(AND(($D28+$C$1)&gt;AH$3,AH$3&gt;=$C$1),'General Inputs'!F$9*$G28,IF(AND(($C28+$C$1)&gt;AH$3,AH$3&gt;=$C$1),'General Inputs'!F$9*$F28,0))</f>
        <v>9.402606842448975</v>
      </c>
      <c r="AI28" s="214">
        <f>IF(AND(($D28+$C$1)&gt;AI$3,AI$3&gt;=$C$1),'General Inputs'!G$9*$G28,IF(AND(($C28+$C$1)&gt;AI$3,AI$3&gt;=$C$1),'General Inputs'!G$9*$F28,0))</f>
        <v>9.543645945085709</v>
      </c>
      <c r="AJ28" s="214">
        <f>IF(AND(($D28+$C$1)&gt;AJ$3,AJ$3&gt;=$C$1),'General Inputs'!H$9*$G28,IF(AND(($C28+$C$1)&gt;AJ$3,AJ$3&gt;=$C$1),'General Inputs'!H$9*$F28,0))</f>
        <v>9.6868006342619939</v>
      </c>
      <c r="AK28" s="214">
        <f>IF(AND(($D28+$C$1)&gt;AK$3,AK$3&gt;=$C$1),'General Inputs'!I$9*$G28,IF(AND(($C28+$C$1)&gt;AK$3,AK$3&gt;=$C$1),'General Inputs'!I$9*$F28,0))</f>
        <v>9.8321026437759222</v>
      </c>
      <c r="AL28" s="214">
        <f>IF(AND(($D28+$C$1)&gt;AL$3,AL$3&gt;=$C$1),'General Inputs'!J$9*$G28,IF(AND(($C28+$C$1)&gt;AL$3,AL$3&gt;=$C$1),'General Inputs'!J$9*$F28,0))</f>
        <v>9.9795841834325589</v>
      </c>
      <c r="AM28" s="214">
        <f>IF(AND(($D28+$C$1)&gt;AM$3,AM$3&gt;=$C$1),'General Inputs'!K$9*$G28,IF(AND(($C28+$C$1)&gt;AM$3,AM$3&gt;=$C$1),'General Inputs'!K$9*$F28,0))</f>
        <v>10.129277946184047</v>
      </c>
      <c r="AN28" s="214">
        <f>IF(AND(($D28+$C$1)&gt;AN$3,AN$3&gt;=$C$1),'General Inputs'!L$9*$G28,IF(AND(($C28+$C$1)&gt;AN$3,AN$3&gt;=$C$1),'General Inputs'!L$9*$F28,0))</f>
        <v>10.281217115376807</v>
      </c>
      <c r="AO28" s="214">
        <f>IF(AND(($D28+$C$1)&gt;AO$3,AO$3&gt;=$C$1),'General Inputs'!M$9*$G28,IF(AND(($C28+$C$1)&gt;AO$3,AO$3&gt;=$C$1),'General Inputs'!M$9*$F28,0))</f>
        <v>10.435435372107456</v>
      </c>
      <c r="AP28" s="214">
        <f>IF(AND(($D28+$C$1)&gt;AP$3,AP$3&gt;=$C$1),'General Inputs'!N$9*$G28,IF(AND(($C28+$C$1)&gt;AP$3,AP$3&gt;=$C$1),'General Inputs'!N$9*$F28,0))</f>
        <v>10.591966902689068</v>
      </c>
      <c r="AQ28" s="214">
        <f>IF(AND(($D28+$C$1)&gt;AQ$3,AQ$3&gt;=$C$1),'General Inputs'!O$9*$G28,IF(AND(($C28+$C$1)&gt;AQ$3,AQ$3&gt;=$C$1),'General Inputs'!O$9*$F28,0))</f>
        <v>10.750846406229403</v>
      </c>
      <c r="AR28" s="214">
        <f>IF(AND(($D28+$C$1)&gt;AR$3,AR$3&gt;=$C$1),'General Inputs'!P$9*$G28,IF(AND(($C28+$C$1)&gt;AR$3,AR$3&gt;=$C$1),'General Inputs'!P$9*$F28,0))</f>
        <v>10.912109102322843</v>
      </c>
      <c r="AS28" s="214">
        <f>IF(AND(($D28+$C$1)&gt;AS$3,AS$3&gt;=$C$1),'General Inputs'!Q$9*$G28,IF(AND(($C28+$C$1)&gt;AS$3,AS$3&gt;=$C$1),'General Inputs'!Q$9*$F28,0))</f>
        <v>11.075790738857684</v>
      </c>
      <c r="AT28" s="214">
        <f>IF(AND(($D28+$C$1)&gt;AT$3,AT$3&gt;=$C$1),'General Inputs'!R$9*$G28,IF(AND(($C28+$C$1)&gt;AT$3,AT$3&gt;=$C$1),'General Inputs'!R$9*$F28,0))</f>
        <v>11.241927599940549</v>
      </c>
      <c r="AU28" s="214">
        <f>IF(AND(($D28+$C$1)&gt;AU$3,AU$3&gt;=$C$1),'General Inputs'!S$9*$G28,IF(AND(($C28+$C$1)&gt;AU$3,AU$3&gt;=$C$1),'General Inputs'!S$9*$F28,0))</f>
        <v>11.410556513939657</v>
      </c>
      <c r="AV28" s="214">
        <f>IF(AND(($D28+$C$1)&gt;AV$3,AV$3&gt;=$C$1),'General Inputs'!T$9*$G28,IF(AND(($C28+$C$1)&gt;AV$3,AV$3&gt;=$C$1),'General Inputs'!T$9*$F28,0))</f>
        <v>11.58171486164875</v>
      </c>
      <c r="AW28" s="214">
        <f>IF(AND(($D28+$C$1)&gt;AW$3,AW$3&gt;=$C$1),'General Inputs'!U$9*$G28,IF(AND(($C28+$C$1)&gt;AW$3,AW$3&gt;=$C$1),'General Inputs'!U$9*$F28,0))</f>
        <v>11.755440584573481</v>
      </c>
      <c r="AX28" s="214">
        <f>IF(AND(($D28+$C$1)&gt;AX$3,AX$3&gt;=$C$1),'General Inputs'!V$9*$G28,IF(AND(($C28+$C$1)&gt;AX$3,AX$3&gt;=$C$1),'General Inputs'!V$9*$F28,0))</f>
        <v>0</v>
      </c>
      <c r="AY28" s="214">
        <f>IF(AND(($D28+$C$1)&gt;AY$3,AY$3&gt;=$C$1),'General Inputs'!W$9*$G28,IF(AND(($C28+$C$1)&gt;AY$3,AY$3&gt;=$C$1),'General Inputs'!W$9*$F28,0))</f>
        <v>0</v>
      </c>
      <c r="BA28" s="214">
        <f>IF(AND(($D28+$C$1)&gt;AF$3,AF$3&gt;=$C$1),'General Inputs'!D$10*$I28,IF(AND(($C28+$C$1)&gt;AF$3,AF$3&gt;=$C$1),'General Inputs'!D$10*$H28,0))</f>
        <v>6.3483078232911696</v>
      </c>
      <c r="BB28" s="214">
        <f>IF(AND(($D28+$C$1)&gt;AG$3,AG$3&gt;=$C$1),'General Inputs'!E$10*$I28,IF(AND(($C28+$C$1)&gt;AG$3,AG$3&gt;=$C$1),'General Inputs'!E$10*$H28,0))</f>
        <v>6.4435324406405359</v>
      </c>
      <c r="BC28" s="214">
        <f>IF(AND(($D28+$C$1)&gt;AH$3,AH$3&gt;=$C$1),'General Inputs'!F$10*$I28,IF(AND(($C28+$C$1)&gt;AH$3,AH$3&gt;=$C$1),'General Inputs'!F$10*$H28,0))</f>
        <v>6.5401854272501438</v>
      </c>
      <c r="BD28" s="214">
        <f>IF(AND(($D28+$C$1)&gt;AI$3,AI$3&gt;=$C$1),'General Inputs'!G$10*$I28,IF(AND(($C28+$C$1)&gt;AI$3,AI$3&gt;=$C$1),'General Inputs'!G$10*$H28,0))</f>
        <v>6.6382882086588957</v>
      </c>
      <c r="BE28" s="214">
        <f>IF(AND(($D28+$C$1)&gt;AJ$3,AJ$3&gt;=$C$1),'General Inputs'!H$10*$I28,IF(AND(($C28+$C$1)&gt;AJ$3,AJ$3&gt;=$C$1),'General Inputs'!H$10*$H28,0))</f>
        <v>6.7378625317887781</v>
      </c>
      <c r="BF28" s="214">
        <f>IF(AND(($D28+$C$1)&gt;AK$3,AK$3&gt;=$C$1),'General Inputs'!I$10*$I28,IF(AND(($C28+$C$1)&gt;AK$3,AK$3&gt;=$C$1),'General Inputs'!I$10*$H28,0))</f>
        <v>6.838930469765609</v>
      </c>
      <c r="BG28" s="214">
        <f>IF(AND(($D28+$C$1)&gt;AL$3,AL$3&gt;=$C$1),'General Inputs'!J$10*$I28,IF(AND(($C28+$C$1)&gt;AL$3,AL$3&gt;=$C$1),'General Inputs'!J$10*$H28,0))</f>
        <v>6.9415144268120921</v>
      </c>
      <c r="BH28" s="214">
        <f>IF(AND(($D28+$C$1)&gt;AM$3,AM$3&gt;=$C$1),'General Inputs'!K$10*$I28,IF(AND(($C28+$C$1)&gt;AM$3,AM$3&gt;=$C$1),'General Inputs'!K$10*$H28,0))</f>
        <v>7.0456371432142726</v>
      </c>
      <c r="BI28" s="214">
        <f>IF(AND(($D28+$C$1)&gt;AN$3,AN$3&gt;=$C$1),'General Inputs'!L$10*$I28,IF(AND(($C28+$C$1)&gt;AN$3,AN$3&gt;=$C$1),'General Inputs'!L$10*$H28,0))</f>
        <v>7.1513217003624865</v>
      </c>
      <c r="BJ28" s="214">
        <f>IF(AND(($D28+$C$1)&gt;AO$3,AO$3&gt;=$C$1),'General Inputs'!M$10*$I28,IF(AND(($C28+$C$1)&gt;AO$3,AO$3&gt;=$C$1),'General Inputs'!M$10*$H28,0))</f>
        <v>7.2585915258679234</v>
      </c>
      <c r="BK28" s="214">
        <f>IF(AND(($D28+$C$1)&gt;AP$3,AP$3&gt;=$C$1),'General Inputs'!N$10*$I28,IF(AND(($C28+$C$1)&gt;AP$3,AP$3&gt;=$C$1),'General Inputs'!N$10*$H28,0))</f>
        <v>7.3674703987559411</v>
      </c>
      <c r="BL28" s="214">
        <f>IF(AND(($D28+$C$1)&gt;AQ$3,AQ$3&gt;=$C$1),'General Inputs'!O$10*$I28,IF(AND(($C28+$C$1)&gt;AQ$3,AQ$3&gt;=$C$1),'General Inputs'!O$10*$H28,0))</f>
        <v>7.4779824547372797</v>
      </c>
      <c r="BM28" s="214">
        <f>IF(AND(($D28+$C$1)&gt;AR$3,AR$3&gt;=$C$1),'General Inputs'!P$10*$I28,IF(AND(($C28+$C$1)&gt;AR$3,AR$3&gt;=$C$1),'General Inputs'!P$10*$H28,0))</f>
        <v>7.5901521915583388</v>
      </c>
      <c r="BN28" s="214">
        <f>IF(AND(($D28+$C$1)&gt;AS$3,AS$3&gt;=$C$1),'General Inputs'!Q$10*$I28,IF(AND(($C28+$C$1)&gt;AS$3,AS$3&gt;=$C$1),'General Inputs'!Q$10*$H28,0))</f>
        <v>7.7040044744317129</v>
      </c>
      <c r="BO28" s="214">
        <f>IF(AND(($D28+$C$1)&gt;AT$3,AT$3&gt;=$C$1),'General Inputs'!R$10*$I28,IF(AND(($C28+$C$1)&gt;AT$3,AT$3&gt;=$C$1),'General Inputs'!R$10*$H28,0))</f>
        <v>7.8195645415481874</v>
      </c>
      <c r="BP28" s="214">
        <f>IF(AND(($D28+$C$1)&gt;AU$3,AU$3&gt;=$C$1),'General Inputs'!S$10*$I28,IF(AND(($C28+$C$1)&gt;AU$3,AU$3&gt;=$C$1),'General Inputs'!S$10*$H28,0))</f>
        <v>7.9368580096714103</v>
      </c>
      <c r="BQ28" s="214">
        <f>IF(AND(($D28+$C$1)&gt;AV$3,AV$3&gt;=$C$1),'General Inputs'!T$10*$I28,IF(AND(($C28+$C$1)&gt;AV$3,AV$3&gt;=$C$1),'General Inputs'!T$10*$H28,0))</f>
        <v>8.05591087981648</v>
      </c>
      <c r="BR28" s="214">
        <f>IF(AND(($D28+$C$1)&gt;AW$3,AW$3&gt;=$C$1),'General Inputs'!U$10*$I28,IF(AND(($C28+$C$1)&gt;AW$3,AW$3&gt;=$C$1),'General Inputs'!U$10*$H28,0))</f>
        <v>8.1767495430137274</v>
      </c>
      <c r="BS28" s="214">
        <f>IF(AND(($D28+$C$1)&gt;AX$3,AX$3&gt;=$C$1),'General Inputs'!V$10*$I28,IF(AND(($C28+$C$1)&gt;AX$3,AX$3&gt;=$C$1),'General Inputs'!V$10*$H28,0))</f>
        <v>0</v>
      </c>
      <c r="BT28" s="214">
        <f>IF(AND(($D28+$C$1)&gt;AY$3,AY$3&gt;=$C$1),'General Inputs'!W$10*$I28,IF(AND(($C28+$C$1)&gt;AY$3,AY$3&gt;=$C$1),'General Inputs'!W$10*$H28,0))</f>
        <v>0</v>
      </c>
    </row>
    <row r="29" spans="1:72">
      <c r="A29" s="341" t="s">
        <v>12</v>
      </c>
      <c r="B29" s="427" t="str">
        <f>Sources!B29</f>
        <v>CAC SEER 16</v>
      </c>
      <c r="C29" s="193">
        <f>Sources!C29</f>
        <v>18</v>
      </c>
      <c r="D29" s="193">
        <f>Sources!D29</f>
        <v>0</v>
      </c>
      <c r="F29" s="429">
        <f>Sources!F29*EnergyLineLoss</f>
        <v>322.37532692307701</v>
      </c>
      <c r="G29" s="429">
        <f>Sources!G29*EnergyLineLoss</f>
        <v>0</v>
      </c>
      <c r="H29" s="477">
        <f>Sources!H29*PeakLineLoss</f>
        <v>0.48235216783216778</v>
      </c>
      <c r="I29" s="477">
        <f>Sources!I29*PeakLineLoss</f>
        <v>0</v>
      </c>
      <c r="K29" s="419">
        <f>Sources!J29</f>
        <v>833.56842591855946</v>
      </c>
      <c r="L29" s="419">
        <f>Sources!K29</f>
        <v>0</v>
      </c>
      <c r="N29" s="438">
        <f t="shared" si="4"/>
        <v>0.25526275580044283</v>
      </c>
      <c r="P29" s="215">
        <f t="shared" si="5"/>
        <v>136.15573591052782</v>
      </c>
      <c r="Q29" s="215">
        <f t="shared" si="1"/>
        <v>76.623237637680944</v>
      </c>
      <c r="R29" s="215">
        <f t="shared" si="2"/>
        <v>833.56842591855946</v>
      </c>
      <c r="T29" s="214">
        <f t="shared" si="6"/>
        <v>833.56842591855946</v>
      </c>
      <c r="U29" s="214">
        <f t="shared" si="6"/>
        <v>0</v>
      </c>
      <c r="V29" s="214">
        <f t="shared" ref="V29:AD49" si="15">IF($C$1=V$3,$K29,IF($D29+$C$1=V$3,-$L29,0))</f>
        <v>0</v>
      </c>
      <c r="W29" s="214">
        <f t="shared" si="15"/>
        <v>0</v>
      </c>
      <c r="X29" s="214">
        <f t="shared" si="15"/>
        <v>0</v>
      </c>
      <c r="Y29" s="214">
        <f t="shared" si="15"/>
        <v>0</v>
      </c>
      <c r="Z29" s="214">
        <f t="shared" si="15"/>
        <v>0</v>
      </c>
      <c r="AA29" s="214">
        <f t="shared" si="15"/>
        <v>0</v>
      </c>
      <c r="AB29" s="214">
        <f t="shared" si="15"/>
        <v>0</v>
      </c>
      <c r="AC29" s="214">
        <f t="shared" si="15"/>
        <v>0</v>
      </c>
      <c r="AD29" s="214">
        <f t="shared" si="15"/>
        <v>0</v>
      </c>
      <c r="AF29" s="214">
        <f>IF(AND(($D29+$C$1)&gt;AF$3,AF$3&gt;=$C$1),'General Inputs'!D$9*$G29,IF(AND(($C29+$C$1)&gt;AF$3,AF$3&gt;=$C$1),'General Inputs'!D$9*$F29,0))</f>
        <v>12.834493311843405</v>
      </c>
      <c r="AG29" s="214">
        <f>IF(AND(($D29+$C$1)&gt;AG$3,AG$3&gt;=$C$1),'General Inputs'!E$9*$G29,IF(AND(($C29+$C$1)&gt;AG$3,AG$3&gt;=$C$1),'General Inputs'!E$9*$F29,0))</f>
        <v>13.027010711521054</v>
      </c>
      <c r="AH29" s="214">
        <f>IF(AND(($D29+$C$1)&gt;AH$3,AH$3&gt;=$C$1),'General Inputs'!F$9*$G29,IF(AND(($C29+$C$1)&gt;AH$3,AH$3&gt;=$C$1),'General Inputs'!F$9*$F29,0))</f>
        <v>13.222415872193869</v>
      </c>
      <c r="AI29" s="214">
        <f>IF(AND(($D29+$C$1)&gt;AI$3,AI$3&gt;=$C$1),'General Inputs'!G$9*$G29,IF(AND(($C29+$C$1)&gt;AI$3,AI$3&gt;=$C$1),'General Inputs'!G$9*$F29,0))</f>
        <v>13.420752110276776</v>
      </c>
      <c r="AJ29" s="214">
        <f>IF(AND(($D29+$C$1)&gt;AJ$3,AJ$3&gt;=$C$1),'General Inputs'!H$9*$G29,IF(AND(($C29+$C$1)&gt;AJ$3,AJ$3&gt;=$C$1),'General Inputs'!H$9*$F29,0))</f>
        <v>13.622063391930926</v>
      </c>
      <c r="AK29" s="214">
        <f>IF(AND(($D29+$C$1)&gt;AK$3,AK$3&gt;=$C$1),'General Inputs'!I$9*$G29,IF(AND(($C29+$C$1)&gt;AK$3,AK$3&gt;=$C$1),'General Inputs'!I$9*$F29,0))</f>
        <v>13.826394342809888</v>
      </c>
      <c r="AL29" s="214">
        <f>IF(AND(($D29+$C$1)&gt;AL$3,AL$3&gt;=$C$1),'General Inputs'!J$9*$G29,IF(AND(($C29+$C$1)&gt;AL$3,AL$3&gt;=$C$1),'General Inputs'!J$9*$F29,0))</f>
        <v>14.033790257952033</v>
      </c>
      <c r="AM29" s="214">
        <f>IF(AND(($D29+$C$1)&gt;AM$3,AM$3&gt;=$C$1),'General Inputs'!K$9*$G29,IF(AND(($C29+$C$1)&gt;AM$3,AM$3&gt;=$C$1),'General Inputs'!K$9*$F29,0))</f>
        <v>14.244297111821313</v>
      </c>
      <c r="AN29" s="214">
        <f>IF(AND(($D29+$C$1)&gt;AN$3,AN$3&gt;=$C$1),'General Inputs'!L$9*$G29,IF(AND(($C29+$C$1)&gt;AN$3,AN$3&gt;=$C$1),'General Inputs'!L$9*$F29,0))</f>
        <v>14.45796156849863</v>
      </c>
      <c r="AO29" s="214">
        <f>IF(AND(($D29+$C$1)&gt;AO$3,AO$3&gt;=$C$1),'General Inputs'!M$9*$G29,IF(AND(($C29+$C$1)&gt;AO$3,AO$3&gt;=$C$1),'General Inputs'!M$9*$F29,0))</f>
        <v>14.674830992026108</v>
      </c>
      <c r="AP29" s="214">
        <f>IF(AND(($D29+$C$1)&gt;AP$3,AP$3&gt;=$C$1),'General Inputs'!N$9*$G29,IF(AND(($C29+$C$1)&gt;AP$3,AP$3&gt;=$C$1),'General Inputs'!N$9*$F29,0))</f>
        <v>14.894953456906499</v>
      </c>
      <c r="AQ29" s="214">
        <f>IF(AND(($D29+$C$1)&gt;AQ$3,AQ$3&gt;=$C$1),'General Inputs'!O$9*$G29,IF(AND(($C29+$C$1)&gt;AQ$3,AQ$3&gt;=$C$1),'General Inputs'!O$9*$F29,0))</f>
        <v>15.118377758760094</v>
      </c>
      <c r="AR29" s="214">
        <f>IF(AND(($D29+$C$1)&gt;AR$3,AR$3&gt;=$C$1),'General Inputs'!P$9*$G29,IF(AND(($C29+$C$1)&gt;AR$3,AR$3&gt;=$C$1),'General Inputs'!P$9*$F29,0))</f>
        <v>15.345153425141493</v>
      </c>
      <c r="AS29" s="214">
        <f>IF(AND(($D29+$C$1)&gt;AS$3,AS$3&gt;=$C$1),'General Inputs'!Q$9*$G29,IF(AND(($C29+$C$1)&gt;AS$3,AS$3&gt;=$C$1),'General Inputs'!Q$9*$F29,0))</f>
        <v>15.575330726518615</v>
      </c>
      <c r="AT29" s="214">
        <f>IF(AND(($D29+$C$1)&gt;AT$3,AT$3&gt;=$C$1),'General Inputs'!R$9*$G29,IF(AND(($C29+$C$1)&gt;AT$3,AT$3&gt;=$C$1),'General Inputs'!R$9*$F29,0))</f>
        <v>15.808960687416393</v>
      </c>
      <c r="AU29" s="214">
        <f>IF(AND(($D29+$C$1)&gt;AU$3,AU$3&gt;=$C$1),'General Inputs'!S$9*$G29,IF(AND(($C29+$C$1)&gt;AU$3,AU$3&gt;=$C$1),'General Inputs'!S$9*$F29,0))</f>
        <v>16.04609509772764</v>
      </c>
      <c r="AV29" s="214">
        <f>IF(AND(($D29+$C$1)&gt;AV$3,AV$3&gt;=$C$1),'General Inputs'!T$9*$G29,IF(AND(($C29+$C$1)&gt;AV$3,AV$3&gt;=$C$1),'General Inputs'!T$9*$F29,0))</f>
        <v>16.286786524193552</v>
      </c>
      <c r="AW29" s="214">
        <f>IF(AND(($D29+$C$1)&gt;AW$3,AW$3&gt;=$C$1),'General Inputs'!U$9*$G29,IF(AND(($C29+$C$1)&gt;AW$3,AW$3&gt;=$C$1),'General Inputs'!U$9*$F29,0))</f>
        <v>16.531088322056455</v>
      </c>
      <c r="AX29" s="214">
        <f>IF(AND(($D29+$C$1)&gt;AX$3,AX$3&gt;=$C$1),'General Inputs'!V$9*$G29,IF(AND(($C29+$C$1)&gt;AX$3,AX$3&gt;=$C$1),'General Inputs'!V$9*$F29,0))</f>
        <v>0</v>
      </c>
      <c r="AY29" s="214">
        <f>IF(AND(($D29+$C$1)&gt;AY$3,AY$3&gt;=$C$1),'General Inputs'!W$9*$G29,IF(AND(($C29+$C$1)&gt;AY$3,AY$3&gt;=$C$1),'General Inputs'!W$9*$F29,0))</f>
        <v>0</v>
      </c>
      <c r="BA29" s="214">
        <f>IF(AND(($D29+$C$1)&gt;AF$3,AF$3&gt;=$C$1),'General Inputs'!D$10*$I29,IF(AND(($C29+$C$1)&gt;AF$3,AF$3&gt;=$C$1),'General Inputs'!D$10*$H29,0))</f>
        <v>7.2227616737266214</v>
      </c>
      <c r="BB29" s="214">
        <f>IF(AND(($D29+$C$1)&gt;AG$3,AG$3&gt;=$C$1),'General Inputs'!E$10*$I29,IF(AND(($C29+$C$1)&gt;AG$3,AG$3&gt;=$C$1),'General Inputs'!E$10*$H29,0))</f>
        <v>7.3311030988325196</v>
      </c>
      <c r="BC29" s="214">
        <f>IF(AND(($D29+$C$1)&gt;AH$3,AH$3&gt;=$C$1),'General Inputs'!F$10*$I29,IF(AND(($C29+$C$1)&gt;AH$3,AH$3&gt;=$C$1),'General Inputs'!F$10*$H29,0))</f>
        <v>7.4410696453150074</v>
      </c>
      <c r="BD29" s="214">
        <f>IF(AND(($D29+$C$1)&gt;AI$3,AI$3&gt;=$C$1),'General Inputs'!G$10*$I29,IF(AND(($C29+$C$1)&gt;AI$3,AI$3&gt;=$C$1),'General Inputs'!G$10*$H29,0))</f>
        <v>7.5526856899947319</v>
      </c>
      <c r="BE29" s="214">
        <f>IF(AND(($D29+$C$1)&gt;AJ$3,AJ$3&gt;=$C$1),'General Inputs'!H$10*$I29,IF(AND(($C29+$C$1)&gt;AJ$3,AJ$3&gt;=$C$1),'General Inputs'!H$10*$H29,0))</f>
        <v>7.6659759753446517</v>
      </c>
      <c r="BF29" s="214">
        <f>IF(AND(($D29+$C$1)&gt;AK$3,AK$3&gt;=$C$1),'General Inputs'!I$10*$I29,IF(AND(($C29+$C$1)&gt;AK$3,AK$3&gt;=$C$1),'General Inputs'!I$10*$H29,0))</f>
        <v>7.7809656149748205</v>
      </c>
      <c r="BG29" s="214">
        <f>IF(AND(($D29+$C$1)&gt;AL$3,AL$3&gt;=$C$1),'General Inputs'!J$10*$I29,IF(AND(($C29+$C$1)&gt;AL$3,AL$3&gt;=$C$1),'General Inputs'!J$10*$H29,0))</f>
        <v>7.8976800991994418</v>
      </c>
      <c r="BH29" s="214">
        <f>IF(AND(($D29+$C$1)&gt;AM$3,AM$3&gt;=$C$1),'General Inputs'!K$10*$I29,IF(AND(($C29+$C$1)&gt;AM$3,AM$3&gt;=$C$1),'General Inputs'!K$10*$H29,0))</f>
        <v>8.0161453006874321</v>
      </c>
      <c r="BI29" s="214">
        <f>IF(AND(($D29+$C$1)&gt;AN$3,AN$3&gt;=$C$1),'General Inputs'!L$10*$I29,IF(AND(($C29+$C$1)&gt;AN$3,AN$3&gt;=$C$1),'General Inputs'!L$10*$H29,0))</f>
        <v>8.1363874801977438</v>
      </c>
      <c r="BJ29" s="214">
        <f>IF(AND(($D29+$C$1)&gt;AO$3,AO$3&gt;=$C$1),'General Inputs'!M$10*$I29,IF(AND(($C29+$C$1)&gt;AO$3,AO$3&gt;=$C$1),'General Inputs'!M$10*$H29,0))</f>
        <v>8.25843329240071</v>
      </c>
      <c r="BK29" s="214">
        <f>IF(AND(($D29+$C$1)&gt;AP$3,AP$3&gt;=$C$1),'General Inputs'!N$10*$I29,IF(AND(($C29+$C$1)&gt;AP$3,AP$3&gt;=$C$1),'General Inputs'!N$10*$H29,0))</f>
        <v>8.3823097917867191</v>
      </c>
      <c r="BL29" s="214">
        <f>IF(AND(($D29+$C$1)&gt;AQ$3,AQ$3&gt;=$C$1),'General Inputs'!O$10*$I29,IF(AND(($C29+$C$1)&gt;AQ$3,AQ$3&gt;=$C$1),'General Inputs'!O$10*$H29,0))</f>
        <v>8.5080444386635197</v>
      </c>
      <c r="BM29" s="214">
        <f>IF(AND(($D29+$C$1)&gt;AR$3,AR$3&gt;=$C$1),'General Inputs'!P$10*$I29,IF(AND(($C29+$C$1)&gt;AR$3,AR$3&gt;=$C$1),'General Inputs'!P$10*$H29,0))</f>
        <v>8.6356651052434721</v>
      </c>
      <c r="BN29" s="214">
        <f>IF(AND(($D29+$C$1)&gt;AS$3,AS$3&gt;=$C$1),'General Inputs'!Q$10*$I29,IF(AND(($C29+$C$1)&gt;AS$3,AS$3&gt;=$C$1),'General Inputs'!Q$10*$H29,0))</f>
        <v>8.7652000818221225</v>
      </c>
      <c r="BO29" s="214">
        <f>IF(AND(($D29+$C$1)&gt;AT$3,AT$3&gt;=$C$1),'General Inputs'!R$10*$I29,IF(AND(($C29+$C$1)&gt;AT$3,AT$3&gt;=$C$1),'General Inputs'!R$10*$H29,0))</f>
        <v>8.8966780830494532</v>
      </c>
      <c r="BP29" s="214">
        <f>IF(AND(($D29+$C$1)&gt;AU$3,AU$3&gt;=$C$1),'General Inputs'!S$10*$I29,IF(AND(($C29+$C$1)&gt;AU$3,AU$3&gt;=$C$1),'General Inputs'!S$10*$H29,0))</f>
        <v>9.0301282542951942</v>
      </c>
      <c r="BQ29" s="214">
        <f>IF(AND(($D29+$C$1)&gt;AV$3,AV$3&gt;=$C$1),'General Inputs'!T$10*$I29,IF(AND(($C29+$C$1)&gt;AV$3,AV$3&gt;=$C$1),'General Inputs'!T$10*$H29,0))</f>
        <v>9.1655801781096216</v>
      </c>
      <c r="BR29" s="214">
        <f>IF(AND(($D29+$C$1)&gt;AW$3,AW$3&gt;=$C$1),'General Inputs'!U$10*$I29,IF(AND(($C29+$C$1)&gt;AW$3,AW$3&gt;=$C$1),'General Inputs'!U$10*$H29,0))</f>
        <v>9.3030638807812647</v>
      </c>
      <c r="BS29" s="214">
        <f>IF(AND(($D29+$C$1)&gt;AX$3,AX$3&gt;=$C$1),'General Inputs'!V$10*$I29,IF(AND(($C29+$C$1)&gt;AX$3,AX$3&gt;=$C$1),'General Inputs'!V$10*$H29,0))</f>
        <v>0</v>
      </c>
      <c r="BT29" s="214">
        <f>IF(AND(($D29+$C$1)&gt;AY$3,AY$3&gt;=$C$1),'General Inputs'!W$10*$I29,IF(AND(($C29+$C$1)&gt;AY$3,AY$3&gt;=$C$1),'General Inputs'!W$10*$H29,0))</f>
        <v>0</v>
      </c>
    </row>
    <row r="30" spans="1:72">
      <c r="A30" s="341" t="s">
        <v>12</v>
      </c>
      <c r="B30" s="427" t="str">
        <f>Sources!B30</f>
        <v>Early Retirement CAC SEER 14</v>
      </c>
      <c r="C30" s="193">
        <f>Sources!C30</f>
        <v>18</v>
      </c>
      <c r="D30" s="193">
        <f>Sources!D30</f>
        <v>8</v>
      </c>
      <c r="F30" s="429">
        <f>Sources!F30*EnergyLineLoss</f>
        <v>177.86224933687009</v>
      </c>
      <c r="G30" s="429">
        <f>Sources!G30*EnergyLineLoss</f>
        <v>693.66277241379328</v>
      </c>
      <c r="H30" s="477">
        <f>Sources!H30*PeakLineLoss</f>
        <v>0.26127409090909115</v>
      </c>
      <c r="I30" s="477">
        <f>Sources!I30*PeakLineLoss</f>
        <v>0.87470021739130488</v>
      </c>
      <c r="K30" s="419">
        <f>Sources!J30</f>
        <v>2065.4366584381551</v>
      </c>
      <c r="L30" s="419">
        <f>Sources!K30</f>
        <v>1648.6524454788757</v>
      </c>
      <c r="N30" s="438">
        <f t="shared" si="4"/>
        <v>0.24851049303961795</v>
      </c>
      <c r="P30" s="215">
        <f t="shared" si="5"/>
        <v>205.43792907802739</v>
      </c>
      <c r="Q30" s="215">
        <f t="shared" si="1"/>
        <v>99.795779803245907</v>
      </c>
      <c r="R30" s="215">
        <f t="shared" si="2"/>
        <v>1228.2527999033523</v>
      </c>
      <c r="T30" s="214">
        <f t="shared" ref="T30:AD52" si="16">IF($C$1=T$3,$K30,IF($D30+$C$1=T$3,-$L30,0))</f>
        <v>2065.4366584381551</v>
      </c>
      <c r="U30" s="214">
        <f t="shared" si="16"/>
        <v>0</v>
      </c>
      <c r="V30" s="214">
        <f t="shared" si="15"/>
        <v>0</v>
      </c>
      <c r="W30" s="214">
        <f t="shared" si="15"/>
        <v>0</v>
      </c>
      <c r="X30" s="214">
        <f t="shared" si="15"/>
        <v>0</v>
      </c>
      <c r="Y30" s="214">
        <f t="shared" si="15"/>
        <v>0</v>
      </c>
      <c r="Z30" s="214">
        <f t="shared" si="15"/>
        <v>0</v>
      </c>
      <c r="AA30" s="214">
        <f t="shared" si="15"/>
        <v>0</v>
      </c>
      <c r="AB30" s="214">
        <f t="shared" si="15"/>
        <v>-1648.6524454788757</v>
      </c>
      <c r="AC30" s="214">
        <f t="shared" si="15"/>
        <v>0</v>
      </c>
      <c r="AD30" s="214">
        <f t="shared" si="15"/>
        <v>0</v>
      </c>
      <c r="AF30" s="214">
        <f>IF(AND(($D30+$C$1)&gt;AF$3,AF$3&gt;=$C$1),'General Inputs'!D$9*$G30,IF(AND(($C30+$C$1)&gt;AF$3,AF$3&gt;=$C$1),'General Inputs'!D$9*$F30,0))</f>
        <v>27.616289057207876</v>
      </c>
      <c r="AG30" s="214">
        <f>IF(AND(($D30+$C$1)&gt;AG$3,AG$3&gt;=$C$1),'General Inputs'!E$9*$G30,IF(AND(($C30+$C$1)&gt;AG$3,AG$3&gt;=$C$1),'General Inputs'!E$9*$F30,0))</f>
        <v>28.030533393065994</v>
      </c>
      <c r="AH30" s="214">
        <f>IF(AND(($D30+$C$1)&gt;AH$3,AH$3&gt;=$C$1),'General Inputs'!F$9*$G30,IF(AND(($C30+$C$1)&gt;AH$3,AH$3&gt;=$C$1),'General Inputs'!F$9*$F30,0))</f>
        <v>28.450991393961978</v>
      </c>
      <c r="AI30" s="214">
        <f>IF(AND(($D30+$C$1)&gt;AI$3,AI$3&gt;=$C$1),'General Inputs'!G$9*$G30,IF(AND(($C30+$C$1)&gt;AI$3,AI$3&gt;=$C$1),'General Inputs'!G$9*$F30,0))</f>
        <v>28.877756264871408</v>
      </c>
      <c r="AJ30" s="214">
        <f>IF(AND(($D30+$C$1)&gt;AJ$3,AJ$3&gt;=$C$1),'General Inputs'!H$9*$G30,IF(AND(($C30+$C$1)&gt;AJ$3,AJ$3&gt;=$C$1),'General Inputs'!H$9*$F30,0))</f>
        <v>29.310922608844475</v>
      </c>
      <c r="AK30" s="214">
        <f>IF(AND(($D30+$C$1)&gt;AK$3,AK$3&gt;=$C$1),'General Inputs'!I$9*$G30,IF(AND(($C30+$C$1)&gt;AK$3,AK$3&gt;=$C$1),'General Inputs'!I$9*$F30,0))</f>
        <v>29.750586447977135</v>
      </c>
      <c r="AL30" s="214">
        <f>IF(AND(($D30+$C$1)&gt;AL$3,AL$3&gt;=$C$1),'General Inputs'!J$9*$G30,IF(AND(($C30+$C$1)&gt;AL$3,AL$3&gt;=$C$1),'General Inputs'!J$9*$F30,0))</f>
        <v>30.196845244696789</v>
      </c>
      <c r="AM30" s="214">
        <f>IF(AND(($D30+$C$1)&gt;AM$3,AM$3&gt;=$C$1),'General Inputs'!K$9*$G30,IF(AND(($C30+$C$1)&gt;AM$3,AM$3&gt;=$C$1),'General Inputs'!K$9*$F30,0))</f>
        <v>30.649797923367235</v>
      </c>
      <c r="AN30" s="214">
        <f>IF(AND(($D30+$C$1)&gt;AN$3,AN$3&gt;=$C$1),'General Inputs'!L$9*$G30,IF(AND(($C30+$C$1)&gt;AN$3,AN$3&gt;=$C$1),'General Inputs'!L$9*$F30,0))</f>
        <v>7.9768063826199347</v>
      </c>
      <c r="AO30" s="214">
        <f>IF(AND(($D30+$C$1)&gt;AO$3,AO$3&gt;=$C$1),'General Inputs'!M$9*$G30,IF(AND(($C30+$C$1)&gt;AO$3,AO$3&gt;=$C$1),'General Inputs'!M$9*$F30,0))</f>
        <v>8.0964584783592333</v>
      </c>
      <c r="AP30" s="214">
        <f>IF(AND(($D30+$C$1)&gt;AP$3,AP$3&gt;=$C$1),'General Inputs'!N$9*$G30,IF(AND(($C30+$C$1)&gt;AP$3,AP$3&gt;=$C$1),'General Inputs'!N$9*$F30,0))</f>
        <v>8.2179053555346204</v>
      </c>
      <c r="AQ30" s="214">
        <f>IF(AND(($D30+$C$1)&gt;AQ$3,AQ$3&gt;=$C$1),'General Inputs'!O$9*$G30,IF(AND(($C30+$C$1)&gt;AQ$3,AQ$3&gt;=$C$1),'General Inputs'!O$9*$F30,0))</f>
        <v>8.3411739358676389</v>
      </c>
      <c r="AR30" s="214">
        <f>IF(AND(($D30+$C$1)&gt;AR$3,AR$3&gt;=$C$1),'General Inputs'!P$9*$G30,IF(AND(($C30+$C$1)&gt;AR$3,AR$3&gt;=$C$1),'General Inputs'!P$9*$F30,0))</f>
        <v>8.4662915449056531</v>
      </c>
      <c r="AS30" s="214">
        <f>IF(AND(($D30+$C$1)&gt;AS$3,AS$3&gt;=$C$1),'General Inputs'!Q$9*$G30,IF(AND(($C30+$C$1)&gt;AS$3,AS$3&gt;=$C$1),'General Inputs'!Q$9*$F30,0))</f>
        <v>8.5932859180792374</v>
      </c>
      <c r="AT30" s="214">
        <f>IF(AND(($D30+$C$1)&gt;AT$3,AT$3&gt;=$C$1),'General Inputs'!R$9*$G30,IF(AND(($C30+$C$1)&gt;AT$3,AT$3&gt;=$C$1),'General Inputs'!R$9*$F30,0))</f>
        <v>8.7221852068504244</v>
      </c>
      <c r="AU30" s="214">
        <f>IF(AND(($D30+$C$1)&gt;AU$3,AU$3&gt;=$C$1),'General Inputs'!S$9*$G30,IF(AND(($C30+$C$1)&gt;AU$3,AU$3&gt;=$C$1),'General Inputs'!S$9*$F30,0))</f>
        <v>8.8530179849531816</v>
      </c>
      <c r="AV30" s="214">
        <f>IF(AND(($D30+$C$1)&gt;AV$3,AV$3&gt;=$C$1),'General Inputs'!T$9*$G30,IF(AND(($C30+$C$1)&gt;AV$3,AV$3&gt;=$C$1),'General Inputs'!T$9*$F30,0))</f>
        <v>8.9858132547274785</v>
      </c>
      <c r="AW30" s="214">
        <f>IF(AND(($D30+$C$1)&gt;AW$3,AW$3&gt;=$C$1),'General Inputs'!U$9*$G30,IF(AND(($C30+$C$1)&gt;AW$3,AW$3&gt;=$C$1),'General Inputs'!U$9*$F30,0))</f>
        <v>9.1206004535483896</v>
      </c>
      <c r="AX30" s="214">
        <f>IF(AND(($D30+$C$1)&gt;AX$3,AX$3&gt;=$C$1),'General Inputs'!V$9*$G30,IF(AND(($C30+$C$1)&gt;AX$3,AX$3&gt;=$C$1),'General Inputs'!V$9*$F30,0))</f>
        <v>0</v>
      </c>
      <c r="AY30" s="214">
        <f>IF(AND(($D30+$C$1)&gt;AY$3,AY$3&gt;=$C$1),'General Inputs'!W$9*$G30,IF(AND(($C30+$C$1)&gt;AY$3,AY$3&gt;=$C$1),'General Inputs'!W$9*$F30,0))</f>
        <v>0</v>
      </c>
      <c r="BA30" s="214">
        <f>IF(AND(($D30+$C$1)&gt;AF$3,AF$3&gt;=$C$1),'General Inputs'!D$10*$I30,IF(AND(($C30+$C$1)&gt;AF$3,AF$3&gt;=$C$1),'General Inputs'!D$10*$H30,0))</f>
        <v>13.097797890218031</v>
      </c>
      <c r="BB30" s="214">
        <f>IF(AND(($D30+$C$1)&gt;AG$3,AG$3&gt;=$C$1),'General Inputs'!E$10*$I30,IF(AND(($C30+$C$1)&gt;AG$3,AG$3&gt;=$C$1),'General Inputs'!E$10*$H30,0))</f>
        <v>13.294264858571299</v>
      </c>
      <c r="BC30" s="214">
        <f>IF(AND(($D30+$C$1)&gt;AH$3,AH$3&gt;=$C$1),'General Inputs'!F$10*$I30,IF(AND(($C30+$C$1)&gt;AH$3,AH$3&gt;=$C$1),'General Inputs'!F$10*$H30,0))</f>
        <v>13.493678831449868</v>
      </c>
      <c r="BD30" s="214">
        <f>IF(AND(($D30+$C$1)&gt;AI$3,AI$3&gt;=$C$1),'General Inputs'!G$10*$I30,IF(AND(($C30+$C$1)&gt;AI$3,AI$3&gt;=$C$1),'General Inputs'!G$10*$H30,0))</f>
        <v>13.696084013921615</v>
      </c>
      <c r="BE30" s="214">
        <f>IF(AND(($D30+$C$1)&gt;AJ$3,AJ$3&gt;=$C$1),'General Inputs'!H$10*$I30,IF(AND(($C30+$C$1)&gt;AJ$3,AJ$3&gt;=$C$1),'General Inputs'!H$10*$H30,0))</f>
        <v>13.901525274130439</v>
      </c>
      <c r="BF30" s="214">
        <f>IF(AND(($D30+$C$1)&gt;AK$3,AK$3&gt;=$C$1),'General Inputs'!I$10*$I30,IF(AND(($C30+$C$1)&gt;AK$3,AK$3&gt;=$C$1),'General Inputs'!I$10*$H30,0))</f>
        <v>14.110048153242392</v>
      </c>
      <c r="BG30" s="214">
        <f>IF(AND(($D30+$C$1)&gt;AL$3,AL$3&gt;=$C$1),'General Inputs'!J$10*$I30,IF(AND(($C30+$C$1)&gt;AL$3,AL$3&gt;=$C$1),'General Inputs'!J$10*$H30,0))</f>
        <v>14.321698875541026</v>
      </c>
      <c r="BH30" s="214">
        <f>IF(AND(($D30+$C$1)&gt;AM$3,AM$3&gt;=$C$1),'General Inputs'!K$10*$I30,IF(AND(($C30+$C$1)&gt;AM$3,AM$3&gt;=$C$1),'General Inputs'!K$10*$H30,0))</f>
        <v>14.536524358674141</v>
      </c>
      <c r="BI30" s="214">
        <f>IF(AND(($D30+$C$1)&gt;AN$3,AN$3&gt;=$C$1),'General Inputs'!L$10*$I30,IF(AND(($C30+$C$1)&gt;AN$3,AN$3&gt;=$C$1),'General Inputs'!L$10*$H30,0))</f>
        <v>4.4072098851071155</v>
      </c>
      <c r="BJ30" s="214">
        <f>IF(AND(($D30+$C$1)&gt;AO$3,AO$3&gt;=$C$1),'General Inputs'!M$10*$I30,IF(AND(($C30+$C$1)&gt;AO$3,AO$3&gt;=$C$1),'General Inputs'!M$10*$H30,0))</f>
        <v>4.4733180333837224</v>
      </c>
      <c r="BK30" s="214">
        <f>IF(AND(($D30+$C$1)&gt;AP$3,AP$3&gt;=$C$1),'General Inputs'!N$10*$I30,IF(AND(($C30+$C$1)&gt;AP$3,AP$3&gt;=$C$1),'General Inputs'!N$10*$H30,0))</f>
        <v>4.5404178038844778</v>
      </c>
      <c r="BL30" s="214">
        <f>IF(AND(($D30+$C$1)&gt;AQ$3,AQ$3&gt;=$C$1),'General Inputs'!O$10*$I30,IF(AND(($C30+$C$1)&gt;AQ$3,AQ$3&gt;=$C$1),'General Inputs'!O$10*$H30,0))</f>
        <v>4.6085240709427442</v>
      </c>
      <c r="BM30" s="214">
        <f>IF(AND(($D30+$C$1)&gt;AR$3,AR$3&gt;=$C$1),'General Inputs'!P$10*$I30,IF(AND(($C30+$C$1)&gt;AR$3,AR$3&gt;=$C$1),'General Inputs'!P$10*$H30,0))</f>
        <v>4.677651932006885</v>
      </c>
      <c r="BN30" s="214">
        <f>IF(AND(($D30+$C$1)&gt;AS$3,AS$3&gt;=$C$1),'General Inputs'!Q$10*$I30,IF(AND(($C30+$C$1)&gt;AS$3,AS$3&gt;=$C$1),'General Inputs'!Q$10*$H30,0))</f>
        <v>4.7478167109869878</v>
      </c>
      <c r="BO30" s="214">
        <f>IF(AND(($D30+$C$1)&gt;AT$3,AT$3&gt;=$C$1),'General Inputs'!R$10*$I30,IF(AND(($C30+$C$1)&gt;AT$3,AT$3&gt;=$C$1),'General Inputs'!R$10*$H30,0))</f>
        <v>4.8190339616517921</v>
      </c>
      <c r="BP30" s="214">
        <f>IF(AND(($D30+$C$1)&gt;AU$3,AU$3&gt;=$C$1),'General Inputs'!S$10*$I30,IF(AND(($C30+$C$1)&gt;AU$3,AU$3&gt;=$C$1),'General Inputs'!S$10*$H30,0))</f>
        <v>4.8913194710765691</v>
      </c>
      <c r="BQ30" s="214">
        <f>IF(AND(($D30+$C$1)&gt;AV$3,AV$3&gt;=$C$1),'General Inputs'!T$10*$I30,IF(AND(($C30+$C$1)&gt;AV$3,AV$3&gt;=$C$1),'General Inputs'!T$10*$H30,0))</f>
        <v>4.9646892631427164</v>
      </c>
      <c r="BR30" s="214">
        <f>IF(AND(($D30+$C$1)&gt;AW$3,AW$3&gt;=$C$1),'General Inputs'!U$10*$I30,IF(AND(($C30+$C$1)&gt;AW$3,AW$3&gt;=$C$1),'General Inputs'!U$10*$H30,0))</f>
        <v>5.0391596020898568</v>
      </c>
      <c r="BS30" s="214">
        <f>IF(AND(($D30+$C$1)&gt;AX$3,AX$3&gt;=$C$1),'General Inputs'!V$10*$I30,IF(AND(($C30+$C$1)&gt;AX$3,AX$3&gt;=$C$1),'General Inputs'!V$10*$H30,0))</f>
        <v>0</v>
      </c>
      <c r="BT30" s="214">
        <f>IF(AND(($D30+$C$1)&gt;AY$3,AY$3&gt;=$C$1),'General Inputs'!W$10*$I30,IF(AND(($C30+$C$1)&gt;AY$3,AY$3&gt;=$C$1),'General Inputs'!W$10*$H30,0))</f>
        <v>0</v>
      </c>
    </row>
    <row r="31" spans="1:72">
      <c r="A31" s="341" t="s">
        <v>12</v>
      </c>
      <c r="B31" s="427" t="str">
        <f>Sources!B31</f>
        <v>Early Retirement CAC SEER 15</v>
      </c>
      <c r="C31" s="193">
        <f>Sources!C31</f>
        <v>18</v>
      </c>
      <c r="D31" s="193">
        <f>Sources!D31</f>
        <v>8</v>
      </c>
      <c r="F31" s="429">
        <f>Sources!F31*EnergyLineLoss</f>
        <v>229.24467692307704</v>
      </c>
      <c r="G31" s="429">
        <f>Sources!G31*EnergyLineLoss</f>
        <v>745.04520000000014</v>
      </c>
      <c r="H31" s="477">
        <f>Sources!H31*PeakLineLoss</f>
        <v>0.42395418524871376</v>
      </c>
      <c r="I31" s="477">
        <f>Sources!I31*PeakLineLoss</f>
        <v>1.0373803117309275</v>
      </c>
      <c r="K31" s="419">
        <f>Sources!J31</f>
        <v>2204.364729424582</v>
      </c>
      <c r="L31" s="419">
        <f>Sources!K31</f>
        <v>1648.6524454788757</v>
      </c>
      <c r="N31" s="438">
        <f t="shared" si="4"/>
        <v>0.25803274329311859</v>
      </c>
      <c r="P31" s="215">
        <f t="shared" si="5"/>
        <v>227.13937970591229</v>
      </c>
      <c r="Q31" s="215">
        <f t="shared" si="1"/>
        <v>125.63805098765243</v>
      </c>
      <c r="R31" s="215">
        <f t="shared" si="2"/>
        <v>1367.1808708897793</v>
      </c>
      <c r="T31" s="214">
        <f t="shared" si="16"/>
        <v>2204.364729424582</v>
      </c>
      <c r="U31" s="214">
        <f t="shared" si="16"/>
        <v>0</v>
      </c>
      <c r="V31" s="214">
        <f t="shared" si="15"/>
        <v>0</v>
      </c>
      <c r="W31" s="214">
        <f t="shared" si="15"/>
        <v>0</v>
      </c>
      <c r="X31" s="214">
        <f t="shared" si="15"/>
        <v>0</v>
      </c>
      <c r="Y31" s="214">
        <f t="shared" si="15"/>
        <v>0</v>
      </c>
      <c r="Z31" s="214">
        <f t="shared" si="15"/>
        <v>0</v>
      </c>
      <c r="AA31" s="214">
        <f t="shared" si="15"/>
        <v>0</v>
      </c>
      <c r="AB31" s="214">
        <f t="shared" si="15"/>
        <v>-1648.6524454788757</v>
      </c>
      <c r="AC31" s="214">
        <f t="shared" si="15"/>
        <v>0</v>
      </c>
      <c r="AD31" s="214">
        <f t="shared" si="15"/>
        <v>0</v>
      </c>
      <c r="AF31" s="214">
        <f>IF(AND(($D31+$C$1)&gt;AF$3,AF$3&gt;=$C$1),'General Inputs'!D$9*$G31,IF(AND(($C31+$C$1)&gt;AF$3,AF$3&gt;=$C$1),'General Inputs'!D$9*$F31,0))</f>
        <v>29.661940098482532</v>
      </c>
      <c r="AG31" s="214">
        <f>IF(AND(($D31+$C$1)&gt;AG$3,AG$3&gt;=$C$1),'General Inputs'!E$9*$G31,IF(AND(($C31+$C$1)&gt;AG$3,AG$3&gt;=$C$1),'General Inputs'!E$9*$F31,0))</f>
        <v>30.106869199959768</v>
      </c>
      <c r="AH31" s="214">
        <f>IF(AND(($D31+$C$1)&gt;AH$3,AH$3&gt;=$C$1),'General Inputs'!F$9*$G31,IF(AND(($C31+$C$1)&gt;AH$3,AH$3&gt;=$C$1),'General Inputs'!F$9*$F31,0))</f>
        <v>30.558472237959162</v>
      </c>
      <c r="AI31" s="214">
        <f>IF(AND(($D31+$C$1)&gt;AI$3,AI$3&gt;=$C$1),'General Inputs'!G$9*$G31,IF(AND(($C31+$C$1)&gt;AI$3,AI$3&gt;=$C$1),'General Inputs'!G$9*$F31,0))</f>
        <v>31.016849321528547</v>
      </c>
      <c r="AJ31" s="214">
        <f>IF(AND(($D31+$C$1)&gt;AJ$3,AJ$3&gt;=$C$1),'General Inputs'!H$9*$G31,IF(AND(($C31+$C$1)&gt;AJ$3,AJ$3&gt;=$C$1),'General Inputs'!H$9*$F31,0))</f>
        <v>31.482102061351469</v>
      </c>
      <c r="AK31" s="214">
        <f>IF(AND(($D31+$C$1)&gt;AK$3,AK$3&gt;=$C$1),'General Inputs'!I$9*$G31,IF(AND(($C31+$C$1)&gt;AK$3,AK$3&gt;=$C$1),'General Inputs'!I$9*$F31,0))</f>
        <v>31.954333592271738</v>
      </c>
      <c r="AL31" s="214">
        <f>IF(AND(($D31+$C$1)&gt;AL$3,AL$3&gt;=$C$1),'General Inputs'!J$9*$G31,IF(AND(($C31+$C$1)&gt;AL$3,AL$3&gt;=$C$1),'General Inputs'!J$9*$F31,0))</f>
        <v>32.433648596155805</v>
      </c>
      <c r="AM31" s="214">
        <f>IF(AND(($D31+$C$1)&gt;AM$3,AM$3&gt;=$C$1),'General Inputs'!K$9*$G31,IF(AND(($C31+$C$1)&gt;AM$3,AM$3&gt;=$C$1),'General Inputs'!K$9*$F31,0))</f>
        <v>32.920153325098141</v>
      </c>
      <c r="AN31" s="214">
        <f>IF(AND(($D31+$C$1)&gt;AN$3,AN$3&gt;=$C$1),'General Inputs'!L$9*$G31,IF(AND(($C31+$C$1)&gt;AN$3,AN$3&gt;=$C$1),'General Inputs'!L$9*$F31,0))</f>
        <v>10.281217115376807</v>
      </c>
      <c r="AO31" s="214">
        <f>IF(AND(($D31+$C$1)&gt;AO$3,AO$3&gt;=$C$1),'General Inputs'!M$9*$G31,IF(AND(($C31+$C$1)&gt;AO$3,AO$3&gt;=$C$1),'General Inputs'!M$9*$F31,0))</f>
        <v>10.435435372107456</v>
      </c>
      <c r="AP31" s="214">
        <f>IF(AND(($D31+$C$1)&gt;AP$3,AP$3&gt;=$C$1),'General Inputs'!N$9*$G31,IF(AND(($C31+$C$1)&gt;AP$3,AP$3&gt;=$C$1),'General Inputs'!N$9*$F31,0))</f>
        <v>10.591966902689068</v>
      </c>
      <c r="AQ31" s="214">
        <f>IF(AND(($D31+$C$1)&gt;AQ$3,AQ$3&gt;=$C$1),'General Inputs'!O$9*$G31,IF(AND(($C31+$C$1)&gt;AQ$3,AQ$3&gt;=$C$1),'General Inputs'!O$9*$F31,0))</f>
        <v>10.750846406229403</v>
      </c>
      <c r="AR31" s="214">
        <f>IF(AND(($D31+$C$1)&gt;AR$3,AR$3&gt;=$C$1),'General Inputs'!P$9*$G31,IF(AND(($C31+$C$1)&gt;AR$3,AR$3&gt;=$C$1),'General Inputs'!P$9*$F31,0))</f>
        <v>10.912109102322843</v>
      </c>
      <c r="AS31" s="214">
        <f>IF(AND(($D31+$C$1)&gt;AS$3,AS$3&gt;=$C$1),'General Inputs'!Q$9*$G31,IF(AND(($C31+$C$1)&gt;AS$3,AS$3&gt;=$C$1),'General Inputs'!Q$9*$F31,0))</f>
        <v>11.075790738857684</v>
      </c>
      <c r="AT31" s="214">
        <f>IF(AND(($D31+$C$1)&gt;AT$3,AT$3&gt;=$C$1),'General Inputs'!R$9*$G31,IF(AND(($C31+$C$1)&gt;AT$3,AT$3&gt;=$C$1),'General Inputs'!R$9*$F31,0))</f>
        <v>11.241927599940549</v>
      </c>
      <c r="AU31" s="214">
        <f>IF(AND(($D31+$C$1)&gt;AU$3,AU$3&gt;=$C$1),'General Inputs'!S$9*$G31,IF(AND(($C31+$C$1)&gt;AU$3,AU$3&gt;=$C$1),'General Inputs'!S$9*$F31,0))</f>
        <v>11.410556513939657</v>
      </c>
      <c r="AV31" s="214">
        <f>IF(AND(($D31+$C$1)&gt;AV$3,AV$3&gt;=$C$1),'General Inputs'!T$9*$G31,IF(AND(($C31+$C$1)&gt;AV$3,AV$3&gt;=$C$1),'General Inputs'!T$9*$F31,0))</f>
        <v>11.58171486164875</v>
      </c>
      <c r="AW31" s="214">
        <f>IF(AND(($D31+$C$1)&gt;AW$3,AW$3&gt;=$C$1),'General Inputs'!U$9*$G31,IF(AND(($C31+$C$1)&gt;AW$3,AW$3&gt;=$C$1),'General Inputs'!U$9*$F31,0))</f>
        <v>11.755440584573481</v>
      </c>
      <c r="AX31" s="214">
        <f>IF(AND(($D31+$C$1)&gt;AX$3,AX$3&gt;=$C$1),'General Inputs'!V$9*$G31,IF(AND(($C31+$C$1)&gt;AX$3,AX$3&gt;=$C$1),'General Inputs'!V$9*$F31,0))</f>
        <v>0</v>
      </c>
      <c r="AY31" s="214">
        <f>IF(AND(($D31+$C$1)&gt;AY$3,AY$3&gt;=$C$1),'General Inputs'!W$9*$G31,IF(AND(($C31+$C$1)&gt;AY$3,AY$3&gt;=$C$1),'General Inputs'!W$9*$F31,0))</f>
        <v>0</v>
      </c>
      <c r="BA31" s="214">
        <f>IF(AND(($D31+$C$1)&gt;AF$3,AF$3&gt;=$C$1),'General Inputs'!D$10*$I31,IF(AND(($C31+$C$1)&gt;AF$3,AF$3&gt;=$C$1),'General Inputs'!D$10*$H31,0))</f>
        <v>15.533776473573944</v>
      </c>
      <c r="BB31" s="214">
        <f>IF(AND(($D31+$C$1)&gt;AG$3,AG$3&gt;=$C$1),'General Inputs'!E$10*$I31,IF(AND(($C31+$C$1)&gt;AG$3,AG$3&gt;=$C$1),'General Inputs'!E$10*$H31,0))</f>
        <v>15.76678312067755</v>
      </c>
      <c r="BC31" s="214">
        <f>IF(AND(($D31+$C$1)&gt;AH$3,AH$3&gt;=$C$1),'General Inputs'!F$10*$I31,IF(AND(($C31+$C$1)&gt;AH$3,AH$3&gt;=$C$1),'General Inputs'!F$10*$H31,0))</f>
        <v>16.003284867487714</v>
      </c>
      <c r="BD31" s="214">
        <f>IF(AND(($D31+$C$1)&gt;AI$3,AI$3&gt;=$C$1),'General Inputs'!G$10*$I31,IF(AND(($C31+$C$1)&gt;AI$3,AI$3&gt;=$C$1),'General Inputs'!G$10*$H31,0))</f>
        <v>16.243334140500028</v>
      </c>
      <c r="BE31" s="214">
        <f>IF(AND(($D31+$C$1)&gt;AJ$3,AJ$3&gt;=$C$1),'General Inputs'!H$10*$I31,IF(AND(($C31+$C$1)&gt;AJ$3,AJ$3&gt;=$C$1),'General Inputs'!H$10*$H31,0))</f>
        <v>16.486984152607526</v>
      </c>
      <c r="BF31" s="214">
        <f>IF(AND(($D31+$C$1)&gt;AK$3,AK$3&gt;=$C$1),'General Inputs'!I$10*$I31,IF(AND(($C31+$C$1)&gt;AK$3,AK$3&gt;=$C$1),'General Inputs'!I$10*$H31,0))</f>
        <v>16.734288914896634</v>
      </c>
      <c r="BG31" s="214">
        <f>IF(AND(($D31+$C$1)&gt;AL$3,AL$3&gt;=$C$1),'General Inputs'!J$10*$I31,IF(AND(($C31+$C$1)&gt;AL$3,AL$3&gt;=$C$1),'General Inputs'!J$10*$H31,0))</f>
        <v>16.985303248620085</v>
      </c>
      <c r="BH31" s="214">
        <f>IF(AND(($D31+$C$1)&gt;AM$3,AM$3&gt;=$C$1),'General Inputs'!K$10*$I31,IF(AND(($C31+$C$1)&gt;AM$3,AM$3&gt;=$C$1),'General Inputs'!K$10*$H31,0))</f>
        <v>17.240082797349384</v>
      </c>
      <c r="BI31" s="214">
        <f>IF(AND(($D31+$C$1)&gt;AN$3,AN$3&gt;=$C$1),'General Inputs'!L$10*$I31,IF(AND(($C31+$C$1)&gt;AN$3,AN$3&gt;=$C$1),'General Inputs'!L$10*$H31,0))</f>
        <v>7.1513217003624865</v>
      </c>
      <c r="BJ31" s="214">
        <f>IF(AND(($D31+$C$1)&gt;AO$3,AO$3&gt;=$C$1),'General Inputs'!M$10*$I31,IF(AND(($C31+$C$1)&gt;AO$3,AO$3&gt;=$C$1),'General Inputs'!M$10*$H31,0))</f>
        <v>7.2585915258679234</v>
      </c>
      <c r="BK31" s="214">
        <f>IF(AND(($D31+$C$1)&gt;AP$3,AP$3&gt;=$C$1),'General Inputs'!N$10*$I31,IF(AND(($C31+$C$1)&gt;AP$3,AP$3&gt;=$C$1),'General Inputs'!N$10*$H31,0))</f>
        <v>7.3674703987559411</v>
      </c>
      <c r="BL31" s="214">
        <f>IF(AND(($D31+$C$1)&gt;AQ$3,AQ$3&gt;=$C$1),'General Inputs'!O$10*$I31,IF(AND(($C31+$C$1)&gt;AQ$3,AQ$3&gt;=$C$1),'General Inputs'!O$10*$H31,0))</f>
        <v>7.4779824547372797</v>
      </c>
      <c r="BM31" s="214">
        <f>IF(AND(($D31+$C$1)&gt;AR$3,AR$3&gt;=$C$1),'General Inputs'!P$10*$I31,IF(AND(($C31+$C$1)&gt;AR$3,AR$3&gt;=$C$1),'General Inputs'!P$10*$H31,0))</f>
        <v>7.5901521915583388</v>
      </c>
      <c r="BN31" s="214">
        <f>IF(AND(($D31+$C$1)&gt;AS$3,AS$3&gt;=$C$1),'General Inputs'!Q$10*$I31,IF(AND(($C31+$C$1)&gt;AS$3,AS$3&gt;=$C$1),'General Inputs'!Q$10*$H31,0))</f>
        <v>7.7040044744317129</v>
      </c>
      <c r="BO31" s="214">
        <f>IF(AND(($D31+$C$1)&gt;AT$3,AT$3&gt;=$C$1),'General Inputs'!R$10*$I31,IF(AND(($C31+$C$1)&gt;AT$3,AT$3&gt;=$C$1),'General Inputs'!R$10*$H31,0))</f>
        <v>7.8195645415481874</v>
      </c>
      <c r="BP31" s="214">
        <f>IF(AND(($D31+$C$1)&gt;AU$3,AU$3&gt;=$C$1),'General Inputs'!S$10*$I31,IF(AND(($C31+$C$1)&gt;AU$3,AU$3&gt;=$C$1),'General Inputs'!S$10*$H31,0))</f>
        <v>7.9368580096714103</v>
      </c>
      <c r="BQ31" s="214">
        <f>IF(AND(($D31+$C$1)&gt;AV$3,AV$3&gt;=$C$1),'General Inputs'!T$10*$I31,IF(AND(($C31+$C$1)&gt;AV$3,AV$3&gt;=$C$1),'General Inputs'!T$10*$H31,0))</f>
        <v>8.05591087981648</v>
      </c>
      <c r="BR31" s="214">
        <f>IF(AND(($D31+$C$1)&gt;AW$3,AW$3&gt;=$C$1),'General Inputs'!U$10*$I31,IF(AND(($C31+$C$1)&gt;AW$3,AW$3&gt;=$C$1),'General Inputs'!U$10*$H31,0))</f>
        <v>8.1767495430137274</v>
      </c>
      <c r="BS31" s="214">
        <f>IF(AND(($D31+$C$1)&gt;AX$3,AX$3&gt;=$C$1),'General Inputs'!V$10*$I31,IF(AND(($C31+$C$1)&gt;AX$3,AX$3&gt;=$C$1),'General Inputs'!V$10*$H31,0))</f>
        <v>0</v>
      </c>
      <c r="BT31" s="214">
        <f>IF(AND(($D31+$C$1)&gt;AY$3,AY$3&gt;=$C$1),'General Inputs'!W$10*$I31,IF(AND(($C31+$C$1)&gt;AY$3,AY$3&gt;=$C$1),'General Inputs'!W$10*$H31,0))</f>
        <v>0</v>
      </c>
    </row>
    <row r="32" spans="1:72">
      <c r="A32" s="341" t="s">
        <v>12</v>
      </c>
      <c r="B32" s="427" t="str">
        <f>Sources!B32</f>
        <v>Early Retirement CAC SEER 16</v>
      </c>
      <c r="C32" s="193">
        <f>Sources!C32</f>
        <v>18</v>
      </c>
      <c r="D32" s="193">
        <f>Sources!D32</f>
        <v>8</v>
      </c>
      <c r="F32" s="429">
        <f>Sources!F32*EnergyLineLoss</f>
        <v>322.37532692307701</v>
      </c>
      <c r="G32" s="429">
        <f>Sources!G32*EnergyLineLoss</f>
        <v>838.17584999999997</v>
      </c>
      <c r="H32" s="477">
        <f>Sources!H32*PeakLineLoss</f>
        <v>0.48235216783216778</v>
      </c>
      <c r="I32" s="477">
        <f>Sources!I32*PeakLineLoss</f>
        <v>1.0957782943143815</v>
      </c>
      <c r="K32" s="419">
        <f>Sources!J32</f>
        <v>2482.2208713974351</v>
      </c>
      <c r="L32" s="419">
        <f>Sources!K32</f>
        <v>1648.6524454788757</v>
      </c>
      <c r="N32" s="438">
        <f t="shared" si="4"/>
        <v>0.24399938697487988</v>
      </c>
      <c r="P32" s="215">
        <f t="shared" si="5"/>
        <v>266.47325896895359</v>
      </c>
      <c r="Q32" s="215">
        <f t="shared" si="1"/>
        <v>134.91476372051631</v>
      </c>
      <c r="R32" s="215">
        <f t="shared" si="2"/>
        <v>1645.0370128626323</v>
      </c>
      <c r="T32" s="214">
        <f t="shared" si="16"/>
        <v>2482.2208713974351</v>
      </c>
      <c r="U32" s="214">
        <f t="shared" si="16"/>
        <v>0</v>
      </c>
      <c r="V32" s="214">
        <f t="shared" si="15"/>
        <v>0</v>
      </c>
      <c r="W32" s="214">
        <f t="shared" si="15"/>
        <v>0</v>
      </c>
      <c r="X32" s="214">
        <f t="shared" si="15"/>
        <v>0</v>
      </c>
      <c r="Y32" s="214">
        <f t="shared" si="15"/>
        <v>0</v>
      </c>
      <c r="Z32" s="214">
        <f t="shared" si="15"/>
        <v>0</v>
      </c>
      <c r="AA32" s="214">
        <f t="shared" si="15"/>
        <v>0</v>
      </c>
      <c r="AB32" s="214">
        <f t="shared" si="15"/>
        <v>-1648.6524454788757</v>
      </c>
      <c r="AC32" s="214">
        <f t="shared" si="15"/>
        <v>0</v>
      </c>
      <c r="AD32" s="214">
        <f t="shared" si="15"/>
        <v>0</v>
      </c>
      <c r="AF32" s="214">
        <f>IF(AND(($D32+$C$1)&gt;AF$3,AF$3&gt;=$C$1),'General Inputs'!D$9*$G32,IF(AND(($C32+$C$1)&gt;AF$3,AF$3&gt;=$C$1),'General Inputs'!D$9*$F32,0))</f>
        <v>33.369682610792843</v>
      </c>
      <c r="AG32" s="214">
        <f>IF(AND(($D32+$C$1)&gt;AG$3,AG$3&gt;=$C$1),'General Inputs'!E$9*$G32,IF(AND(($C32+$C$1)&gt;AG$3,AG$3&gt;=$C$1),'General Inputs'!E$9*$F32,0))</f>
        <v>33.87022784995473</v>
      </c>
      <c r="AH32" s="214">
        <f>IF(AND(($D32+$C$1)&gt;AH$3,AH$3&gt;=$C$1),'General Inputs'!F$9*$G32,IF(AND(($C32+$C$1)&gt;AH$3,AH$3&gt;=$C$1),'General Inputs'!F$9*$F32,0))</f>
        <v>34.378281267704047</v>
      </c>
      <c r="AI32" s="214">
        <f>IF(AND(($D32+$C$1)&gt;AI$3,AI$3&gt;=$C$1),'General Inputs'!G$9*$G32,IF(AND(($C32+$C$1)&gt;AI$3,AI$3&gt;=$C$1),'General Inputs'!G$9*$F32,0))</f>
        <v>34.893955486719605</v>
      </c>
      <c r="AJ32" s="214">
        <f>IF(AND(($D32+$C$1)&gt;AJ$3,AJ$3&gt;=$C$1),'General Inputs'!H$9*$G32,IF(AND(($C32+$C$1)&gt;AJ$3,AJ$3&gt;=$C$1),'General Inputs'!H$9*$F32,0))</f>
        <v>35.417364819020392</v>
      </c>
      <c r="AK32" s="214">
        <f>IF(AND(($D32+$C$1)&gt;AK$3,AK$3&gt;=$C$1),'General Inputs'!I$9*$G32,IF(AND(($C32+$C$1)&gt;AK$3,AK$3&gt;=$C$1),'General Inputs'!I$9*$F32,0))</f>
        <v>35.948625291305696</v>
      </c>
      <c r="AL32" s="214">
        <f>IF(AND(($D32+$C$1)&gt;AL$3,AL$3&gt;=$C$1),'General Inputs'!J$9*$G32,IF(AND(($C32+$C$1)&gt;AL$3,AL$3&gt;=$C$1),'General Inputs'!J$9*$F32,0))</f>
        <v>36.487854670675276</v>
      </c>
      <c r="AM32" s="214">
        <f>IF(AND(($D32+$C$1)&gt;AM$3,AM$3&gt;=$C$1),'General Inputs'!K$9*$G32,IF(AND(($C32+$C$1)&gt;AM$3,AM$3&gt;=$C$1),'General Inputs'!K$9*$F32,0))</f>
        <v>37.035172490735398</v>
      </c>
      <c r="AN32" s="214">
        <f>IF(AND(($D32+$C$1)&gt;AN$3,AN$3&gt;=$C$1),'General Inputs'!L$9*$G32,IF(AND(($C32+$C$1)&gt;AN$3,AN$3&gt;=$C$1),'General Inputs'!L$9*$F32,0))</f>
        <v>14.45796156849863</v>
      </c>
      <c r="AO32" s="214">
        <f>IF(AND(($D32+$C$1)&gt;AO$3,AO$3&gt;=$C$1),'General Inputs'!M$9*$G32,IF(AND(($C32+$C$1)&gt;AO$3,AO$3&gt;=$C$1),'General Inputs'!M$9*$F32,0))</f>
        <v>14.674830992026108</v>
      </c>
      <c r="AP32" s="214">
        <f>IF(AND(($D32+$C$1)&gt;AP$3,AP$3&gt;=$C$1),'General Inputs'!N$9*$G32,IF(AND(($C32+$C$1)&gt;AP$3,AP$3&gt;=$C$1),'General Inputs'!N$9*$F32,0))</f>
        <v>14.894953456906499</v>
      </c>
      <c r="AQ32" s="214">
        <f>IF(AND(($D32+$C$1)&gt;AQ$3,AQ$3&gt;=$C$1),'General Inputs'!O$9*$G32,IF(AND(($C32+$C$1)&gt;AQ$3,AQ$3&gt;=$C$1),'General Inputs'!O$9*$F32,0))</f>
        <v>15.118377758760094</v>
      </c>
      <c r="AR32" s="214">
        <f>IF(AND(($D32+$C$1)&gt;AR$3,AR$3&gt;=$C$1),'General Inputs'!P$9*$G32,IF(AND(($C32+$C$1)&gt;AR$3,AR$3&gt;=$C$1),'General Inputs'!P$9*$F32,0))</f>
        <v>15.345153425141493</v>
      </c>
      <c r="AS32" s="214">
        <f>IF(AND(($D32+$C$1)&gt;AS$3,AS$3&gt;=$C$1),'General Inputs'!Q$9*$G32,IF(AND(($C32+$C$1)&gt;AS$3,AS$3&gt;=$C$1),'General Inputs'!Q$9*$F32,0))</f>
        <v>15.575330726518615</v>
      </c>
      <c r="AT32" s="214">
        <f>IF(AND(($D32+$C$1)&gt;AT$3,AT$3&gt;=$C$1),'General Inputs'!R$9*$G32,IF(AND(($C32+$C$1)&gt;AT$3,AT$3&gt;=$C$1),'General Inputs'!R$9*$F32,0))</f>
        <v>15.808960687416393</v>
      </c>
      <c r="AU32" s="214">
        <f>IF(AND(($D32+$C$1)&gt;AU$3,AU$3&gt;=$C$1),'General Inputs'!S$9*$G32,IF(AND(($C32+$C$1)&gt;AU$3,AU$3&gt;=$C$1),'General Inputs'!S$9*$F32,0))</f>
        <v>16.04609509772764</v>
      </c>
      <c r="AV32" s="214">
        <f>IF(AND(($D32+$C$1)&gt;AV$3,AV$3&gt;=$C$1),'General Inputs'!T$9*$G32,IF(AND(($C32+$C$1)&gt;AV$3,AV$3&gt;=$C$1),'General Inputs'!T$9*$F32,0))</f>
        <v>16.286786524193552</v>
      </c>
      <c r="AW32" s="214">
        <f>IF(AND(($D32+$C$1)&gt;AW$3,AW$3&gt;=$C$1),'General Inputs'!U$9*$G32,IF(AND(($C32+$C$1)&gt;AW$3,AW$3&gt;=$C$1),'General Inputs'!U$9*$F32,0))</f>
        <v>16.531088322056455</v>
      </c>
      <c r="AX32" s="214">
        <f>IF(AND(($D32+$C$1)&gt;AX$3,AX$3&gt;=$C$1),'General Inputs'!V$9*$G32,IF(AND(($C32+$C$1)&gt;AX$3,AX$3&gt;=$C$1),'General Inputs'!V$9*$F32,0))</f>
        <v>0</v>
      </c>
      <c r="AY32" s="214">
        <f>IF(AND(($D32+$C$1)&gt;AY$3,AY$3&gt;=$C$1),'General Inputs'!W$9*$G32,IF(AND(($C32+$C$1)&gt;AY$3,AY$3&gt;=$C$1),'General Inputs'!W$9*$F32,0))</f>
        <v>0</v>
      </c>
      <c r="BA32" s="214">
        <f>IF(AND(($D32+$C$1)&gt;AF$3,AF$3&gt;=$C$1),'General Inputs'!D$10*$I32,IF(AND(($C32+$C$1)&gt;AF$3,AF$3&gt;=$C$1),'General Inputs'!D$10*$H32,0))</f>
        <v>16.408230324009395</v>
      </c>
      <c r="BB32" s="214">
        <f>IF(AND(($D32+$C$1)&gt;AG$3,AG$3&gt;=$C$1),'General Inputs'!E$10*$I32,IF(AND(($C32+$C$1)&gt;AG$3,AG$3&gt;=$C$1),'General Inputs'!E$10*$H32,0))</f>
        <v>16.654353778869535</v>
      </c>
      <c r="BC32" s="214">
        <f>IF(AND(($D32+$C$1)&gt;AH$3,AH$3&gt;=$C$1),'General Inputs'!F$10*$I32,IF(AND(($C32+$C$1)&gt;AH$3,AH$3&gt;=$C$1),'General Inputs'!F$10*$H32,0))</f>
        <v>16.904169085552574</v>
      </c>
      <c r="BD32" s="214">
        <f>IF(AND(($D32+$C$1)&gt;AI$3,AI$3&gt;=$C$1),'General Inputs'!G$10*$I32,IF(AND(($C32+$C$1)&gt;AI$3,AI$3&gt;=$C$1),'General Inputs'!G$10*$H32,0))</f>
        <v>17.157731621835861</v>
      </c>
      <c r="BE32" s="214">
        <f>IF(AND(($D32+$C$1)&gt;AJ$3,AJ$3&gt;=$C$1),'General Inputs'!H$10*$I32,IF(AND(($C32+$C$1)&gt;AJ$3,AJ$3&gt;=$C$1),'General Inputs'!H$10*$H32,0))</f>
        <v>17.415097596163399</v>
      </c>
      <c r="BF32" s="214">
        <f>IF(AND(($D32+$C$1)&gt;AK$3,AK$3&gt;=$C$1),'General Inputs'!I$10*$I32,IF(AND(($C32+$C$1)&gt;AK$3,AK$3&gt;=$C$1),'General Inputs'!I$10*$H32,0))</f>
        <v>17.676324060105845</v>
      </c>
      <c r="BG32" s="214">
        <f>IF(AND(($D32+$C$1)&gt;AL$3,AL$3&gt;=$C$1),'General Inputs'!J$10*$I32,IF(AND(($C32+$C$1)&gt;AL$3,AL$3&gt;=$C$1),'General Inputs'!J$10*$H32,0))</f>
        <v>17.941468921007431</v>
      </c>
      <c r="BH32" s="214">
        <f>IF(AND(($D32+$C$1)&gt;AM$3,AM$3&gt;=$C$1),'General Inputs'!K$10*$I32,IF(AND(($C32+$C$1)&gt;AM$3,AM$3&gt;=$C$1),'General Inputs'!K$10*$H32,0))</f>
        <v>18.210590954822543</v>
      </c>
      <c r="BI32" s="214">
        <f>IF(AND(($D32+$C$1)&gt;AN$3,AN$3&gt;=$C$1),'General Inputs'!L$10*$I32,IF(AND(($C32+$C$1)&gt;AN$3,AN$3&gt;=$C$1),'General Inputs'!L$10*$H32,0))</f>
        <v>8.1363874801977438</v>
      </c>
      <c r="BJ32" s="214">
        <f>IF(AND(($D32+$C$1)&gt;AO$3,AO$3&gt;=$C$1),'General Inputs'!M$10*$I32,IF(AND(($C32+$C$1)&gt;AO$3,AO$3&gt;=$C$1),'General Inputs'!M$10*$H32,0))</f>
        <v>8.25843329240071</v>
      </c>
      <c r="BK32" s="214">
        <f>IF(AND(($D32+$C$1)&gt;AP$3,AP$3&gt;=$C$1),'General Inputs'!N$10*$I32,IF(AND(($C32+$C$1)&gt;AP$3,AP$3&gt;=$C$1),'General Inputs'!N$10*$H32,0))</f>
        <v>8.3823097917867191</v>
      </c>
      <c r="BL32" s="214">
        <f>IF(AND(($D32+$C$1)&gt;AQ$3,AQ$3&gt;=$C$1),'General Inputs'!O$10*$I32,IF(AND(($C32+$C$1)&gt;AQ$3,AQ$3&gt;=$C$1),'General Inputs'!O$10*$H32,0))</f>
        <v>8.5080444386635197</v>
      </c>
      <c r="BM32" s="214">
        <f>IF(AND(($D32+$C$1)&gt;AR$3,AR$3&gt;=$C$1),'General Inputs'!P$10*$I32,IF(AND(($C32+$C$1)&gt;AR$3,AR$3&gt;=$C$1),'General Inputs'!P$10*$H32,0))</f>
        <v>8.6356651052434721</v>
      </c>
      <c r="BN32" s="214">
        <f>IF(AND(($D32+$C$1)&gt;AS$3,AS$3&gt;=$C$1),'General Inputs'!Q$10*$I32,IF(AND(($C32+$C$1)&gt;AS$3,AS$3&gt;=$C$1),'General Inputs'!Q$10*$H32,0))</f>
        <v>8.7652000818221225</v>
      </c>
      <c r="BO32" s="214">
        <f>IF(AND(($D32+$C$1)&gt;AT$3,AT$3&gt;=$C$1),'General Inputs'!R$10*$I32,IF(AND(($C32+$C$1)&gt;AT$3,AT$3&gt;=$C$1),'General Inputs'!R$10*$H32,0))</f>
        <v>8.8966780830494532</v>
      </c>
      <c r="BP32" s="214">
        <f>IF(AND(($D32+$C$1)&gt;AU$3,AU$3&gt;=$C$1),'General Inputs'!S$10*$I32,IF(AND(($C32+$C$1)&gt;AU$3,AU$3&gt;=$C$1),'General Inputs'!S$10*$H32,0))</f>
        <v>9.0301282542951942</v>
      </c>
      <c r="BQ32" s="214">
        <f>IF(AND(($D32+$C$1)&gt;AV$3,AV$3&gt;=$C$1),'General Inputs'!T$10*$I32,IF(AND(($C32+$C$1)&gt;AV$3,AV$3&gt;=$C$1),'General Inputs'!T$10*$H32,0))</f>
        <v>9.1655801781096216</v>
      </c>
      <c r="BR32" s="214">
        <f>IF(AND(($D32+$C$1)&gt;AW$3,AW$3&gt;=$C$1),'General Inputs'!U$10*$I32,IF(AND(($C32+$C$1)&gt;AW$3,AW$3&gt;=$C$1),'General Inputs'!U$10*$H32,0))</f>
        <v>9.3030638807812647</v>
      </c>
      <c r="BS32" s="214">
        <f>IF(AND(($D32+$C$1)&gt;AX$3,AX$3&gt;=$C$1),'General Inputs'!V$10*$I32,IF(AND(($C32+$C$1)&gt;AX$3,AX$3&gt;=$C$1),'General Inputs'!V$10*$H32,0))</f>
        <v>0</v>
      </c>
      <c r="BT32" s="214">
        <f>IF(AND(($D32+$C$1)&gt;AY$3,AY$3&gt;=$C$1),'General Inputs'!W$10*$I32,IF(AND(($C32+$C$1)&gt;AY$3,AY$3&gt;=$C$1),'General Inputs'!W$10*$H32,0))</f>
        <v>0</v>
      </c>
    </row>
    <row r="33" spans="1:72">
      <c r="A33" s="341" t="s">
        <v>12</v>
      </c>
      <c r="B33" s="427" t="str">
        <f>Sources!B33</f>
        <v>Programmable Tstat CAC</v>
      </c>
      <c r="C33" s="193">
        <f>Sources!C33</f>
        <v>10</v>
      </c>
      <c r="D33" s="193">
        <f>Sources!D33</f>
        <v>0</v>
      </c>
      <c r="F33" s="429">
        <f>Sources!F33*EnergyLineLoss</f>
        <v>134.10813599999997</v>
      </c>
      <c r="G33" s="429">
        <f>Sources!G33*EnergyLineLoss</f>
        <v>0</v>
      </c>
      <c r="H33" s="477">
        <f>Sources!H33*PeakLineLoss</f>
        <v>0.24402014150943394</v>
      </c>
      <c r="I33" s="477">
        <f>Sources!I33*PeakLineLoss</f>
        <v>0</v>
      </c>
      <c r="K33" s="419">
        <f>Sources!J33</f>
        <v>30</v>
      </c>
      <c r="L33" s="419">
        <f>Sources!K33</f>
        <v>0</v>
      </c>
      <c r="N33" s="438">
        <f t="shared" si="4"/>
        <v>2.2337540171053916</v>
      </c>
      <c r="P33" s="215">
        <f t="shared" si="5"/>
        <v>39.78491291731185</v>
      </c>
      <c r="Q33" s="215">
        <f t="shared" si="1"/>
        <v>27.227707595849896</v>
      </c>
      <c r="R33" s="215">
        <f t="shared" si="2"/>
        <v>30</v>
      </c>
      <c r="T33" s="214">
        <f t="shared" si="16"/>
        <v>30</v>
      </c>
      <c r="U33" s="214">
        <f t="shared" si="16"/>
        <v>0</v>
      </c>
      <c r="V33" s="214">
        <f t="shared" si="15"/>
        <v>0</v>
      </c>
      <c r="W33" s="214">
        <f t="shared" si="15"/>
        <v>0</v>
      </c>
      <c r="X33" s="214">
        <f t="shared" si="15"/>
        <v>0</v>
      </c>
      <c r="Y33" s="214">
        <f t="shared" si="15"/>
        <v>0</v>
      </c>
      <c r="Z33" s="214">
        <f t="shared" si="15"/>
        <v>0</v>
      </c>
      <c r="AA33" s="214">
        <f t="shared" si="15"/>
        <v>0</v>
      </c>
      <c r="AB33" s="214">
        <f t="shared" si="15"/>
        <v>0</v>
      </c>
      <c r="AC33" s="214">
        <f t="shared" si="15"/>
        <v>0</v>
      </c>
      <c r="AD33" s="214">
        <f t="shared" si="15"/>
        <v>0</v>
      </c>
      <c r="AF33" s="214">
        <f>IF(AND(($D33+$C$1)&gt;AF$3,AF$3&gt;=$C$1),'General Inputs'!D$9*$G33,IF(AND(($C33+$C$1)&gt;AF$3,AF$3&gt;=$C$1),'General Inputs'!D$9*$F33,0))</f>
        <v>5.3391492177268542</v>
      </c>
      <c r="AG33" s="214">
        <f>IF(AND(($D33+$C$1)&gt;AG$3,AG$3&gt;=$C$1),'General Inputs'!E$9*$G33,IF(AND(($C33+$C$1)&gt;AG$3,AG$3&gt;=$C$1),'General Inputs'!E$9*$F33,0))</f>
        <v>5.4192364559927562</v>
      </c>
      <c r="AH33" s="214">
        <f>IF(AND(($D33+$C$1)&gt;AH$3,AH$3&gt;=$C$1),'General Inputs'!F$9*$G33,IF(AND(($C33+$C$1)&gt;AH$3,AH$3&gt;=$C$1),'General Inputs'!F$9*$F33,0))</f>
        <v>5.5005250028326467</v>
      </c>
      <c r="AI33" s="214">
        <f>IF(AND(($D33+$C$1)&gt;AI$3,AI$3&gt;=$C$1),'General Inputs'!G$9*$G33,IF(AND(($C33+$C$1)&gt;AI$3,AI$3&gt;=$C$1),'General Inputs'!G$9*$F33,0))</f>
        <v>5.5830328778751364</v>
      </c>
      <c r="AJ33" s="214">
        <f>IF(AND(($D33+$C$1)&gt;AJ$3,AJ$3&gt;=$C$1),'General Inputs'!H$9*$G33,IF(AND(($C33+$C$1)&gt;AJ$3,AJ$3&gt;=$C$1),'General Inputs'!H$9*$F33,0))</f>
        <v>5.6667783710432627</v>
      </c>
      <c r="AK33" s="214">
        <f>IF(AND(($D33+$C$1)&gt;AK$3,AK$3&gt;=$C$1),'General Inputs'!I$9*$G33,IF(AND(($C33+$C$1)&gt;AK$3,AK$3&gt;=$C$1),'General Inputs'!I$9*$F33,0))</f>
        <v>5.7517800466089106</v>
      </c>
      <c r="AL33" s="214">
        <f>IF(AND(($D33+$C$1)&gt;AL$3,AL$3&gt;=$C$1),'General Inputs'!J$9*$G33,IF(AND(($C33+$C$1)&gt;AL$3,AL$3&gt;=$C$1),'General Inputs'!J$9*$F33,0))</f>
        <v>5.8380567473080429</v>
      </c>
      <c r="AM33" s="214">
        <f>IF(AND(($D33+$C$1)&gt;AM$3,AM$3&gt;=$C$1),'General Inputs'!K$9*$G33,IF(AND(($C33+$C$1)&gt;AM$3,AM$3&gt;=$C$1),'General Inputs'!K$9*$F33,0))</f>
        <v>5.9256275985176625</v>
      </c>
      <c r="AN33" s="214">
        <f>IF(AND(($D33+$C$1)&gt;AN$3,AN$3&gt;=$C$1),'General Inputs'!L$9*$G33,IF(AND(($C33+$C$1)&gt;AN$3,AN$3&gt;=$C$1),'General Inputs'!L$9*$F33,0))</f>
        <v>6.0145120124954277</v>
      </c>
      <c r="AO33" s="214">
        <f>IF(AND(($D33+$C$1)&gt;AO$3,AO$3&gt;=$C$1),'General Inputs'!M$9*$G33,IF(AND(($C33+$C$1)&gt;AO$3,AO$3&gt;=$C$1),'General Inputs'!M$9*$F33,0))</f>
        <v>6.1047296926828576</v>
      </c>
      <c r="AP33" s="214">
        <f>IF(AND(($D33+$C$1)&gt;AP$3,AP$3&gt;=$C$1),'General Inputs'!N$9*$G33,IF(AND(($C33+$C$1)&gt;AP$3,AP$3&gt;=$C$1),'General Inputs'!N$9*$F33,0))</f>
        <v>0</v>
      </c>
      <c r="AQ33" s="214">
        <f>IF(AND(($D33+$C$1)&gt;AQ$3,AQ$3&gt;=$C$1),'General Inputs'!O$9*$G33,IF(AND(($C33+$C$1)&gt;AQ$3,AQ$3&gt;=$C$1),'General Inputs'!O$9*$F33,0))</f>
        <v>0</v>
      </c>
      <c r="AR33" s="214">
        <f>IF(AND(($D33+$C$1)&gt;AR$3,AR$3&gt;=$C$1),'General Inputs'!P$9*$G33,IF(AND(($C33+$C$1)&gt;AR$3,AR$3&gt;=$C$1),'General Inputs'!P$9*$F33,0))</f>
        <v>0</v>
      </c>
      <c r="AS33" s="214">
        <f>IF(AND(($D33+$C$1)&gt;AS$3,AS$3&gt;=$C$1),'General Inputs'!Q$9*$G33,IF(AND(($C33+$C$1)&gt;AS$3,AS$3&gt;=$C$1),'General Inputs'!Q$9*$F33,0))</f>
        <v>0</v>
      </c>
      <c r="AT33" s="214">
        <f>IF(AND(($D33+$C$1)&gt;AT$3,AT$3&gt;=$C$1),'General Inputs'!R$9*$G33,IF(AND(($C33+$C$1)&gt;AT$3,AT$3&gt;=$C$1),'General Inputs'!R$9*$F33,0))</f>
        <v>0</v>
      </c>
      <c r="AU33" s="214">
        <f>IF(AND(($D33+$C$1)&gt;AU$3,AU$3&gt;=$C$1),'General Inputs'!S$9*$G33,IF(AND(($C33+$C$1)&gt;AU$3,AU$3&gt;=$C$1),'General Inputs'!S$9*$F33,0))</f>
        <v>0</v>
      </c>
      <c r="AV33" s="214">
        <f>IF(AND(($D33+$C$1)&gt;AV$3,AV$3&gt;=$C$1),'General Inputs'!T$9*$G33,IF(AND(($C33+$C$1)&gt;AV$3,AV$3&gt;=$C$1),'General Inputs'!T$9*$F33,0))</f>
        <v>0</v>
      </c>
      <c r="AW33" s="214">
        <f>IF(AND(($D33+$C$1)&gt;AW$3,AW$3&gt;=$C$1),'General Inputs'!U$9*$G33,IF(AND(($C33+$C$1)&gt;AW$3,AW$3&gt;=$C$1),'General Inputs'!U$9*$F33,0))</f>
        <v>0</v>
      </c>
      <c r="AX33" s="214">
        <f>IF(AND(($D33+$C$1)&gt;AX$3,AX$3&gt;=$C$1),'General Inputs'!V$9*$G33,IF(AND(($C33+$C$1)&gt;AX$3,AX$3&gt;=$C$1),'General Inputs'!V$9*$F33,0))</f>
        <v>0</v>
      </c>
      <c r="AY33" s="214">
        <f>IF(AND(($D33+$C$1)&gt;AY$3,AY$3&gt;=$C$1),'General Inputs'!W$9*$G33,IF(AND(($C33+$C$1)&gt;AY$3,AY$3&gt;=$C$1),'General Inputs'!W$9*$F33,0))</f>
        <v>0</v>
      </c>
      <c r="BA33" s="214">
        <f>IF(AND(($D33+$C$1)&gt;AF$3,AF$3&gt;=$C$1),'General Inputs'!D$10*$I33,IF(AND(($C33+$C$1)&gt;AF$3,AF$3&gt;=$C$1),'General Inputs'!D$10*$H33,0))</f>
        <v>3.6539678750338687</v>
      </c>
      <c r="BB33" s="214">
        <f>IF(AND(($D33+$C$1)&gt;AG$3,AG$3&gt;=$C$1),'General Inputs'!E$10*$I33,IF(AND(($C33+$C$1)&gt;AG$3,AG$3&gt;=$C$1),'General Inputs'!E$10*$H33,0))</f>
        <v>3.7087773931593762</v>
      </c>
      <c r="BC33" s="214">
        <f>IF(AND(($D33+$C$1)&gt;AH$3,AH$3&gt;=$C$1),'General Inputs'!F$10*$I33,IF(AND(($C33+$C$1)&gt;AH$3,AH$3&gt;=$C$1),'General Inputs'!F$10*$H33,0))</f>
        <v>3.7644090540567667</v>
      </c>
      <c r="BD33" s="214">
        <f>IF(AND(($D33+$C$1)&gt;AI$3,AI$3&gt;=$C$1),'General Inputs'!G$10*$I33,IF(AND(($C33+$C$1)&gt;AI$3,AI$3&gt;=$C$1),'General Inputs'!G$10*$H33,0))</f>
        <v>3.8208751898676176</v>
      </c>
      <c r="BE33" s="214">
        <f>IF(AND(($D33+$C$1)&gt;AJ$3,AJ$3&gt;=$C$1),'General Inputs'!H$10*$I33,IF(AND(($C33+$C$1)&gt;AJ$3,AJ$3&gt;=$C$1),'General Inputs'!H$10*$H33,0))</f>
        <v>3.8781883177156318</v>
      </c>
      <c r="BF33" s="214">
        <f>IF(AND(($D33+$C$1)&gt;AK$3,AK$3&gt;=$C$1),'General Inputs'!I$10*$I33,IF(AND(($C33+$C$1)&gt;AK$3,AK$3&gt;=$C$1),'General Inputs'!I$10*$H33,0))</f>
        <v>3.9363611424813656</v>
      </c>
      <c r="BG33" s="214">
        <f>IF(AND(($D33+$C$1)&gt;AL$3,AL$3&gt;=$C$1),'General Inputs'!J$10*$I33,IF(AND(($C33+$C$1)&gt;AL$3,AL$3&gt;=$C$1),'General Inputs'!J$10*$H33,0))</f>
        <v>3.9954065596185853</v>
      </c>
      <c r="BH33" s="214">
        <f>IF(AND(($D33+$C$1)&gt;AM$3,AM$3&gt;=$C$1),'General Inputs'!K$10*$I33,IF(AND(($C33+$C$1)&gt;AM$3,AM$3&gt;=$C$1),'General Inputs'!K$10*$H33,0))</f>
        <v>4.0553376580128644</v>
      </c>
      <c r="BI33" s="214">
        <f>IF(AND(($D33+$C$1)&gt;AN$3,AN$3&gt;=$C$1),'General Inputs'!L$10*$I33,IF(AND(($C33+$C$1)&gt;AN$3,AN$3&gt;=$C$1),'General Inputs'!L$10*$H33,0))</f>
        <v>4.1161677228830564</v>
      </c>
      <c r="BJ33" s="214">
        <f>IF(AND(($D33+$C$1)&gt;AO$3,AO$3&gt;=$C$1),'General Inputs'!M$10*$I33,IF(AND(($C33+$C$1)&gt;AO$3,AO$3&gt;=$C$1),'General Inputs'!M$10*$H33,0))</f>
        <v>4.1779102387263025</v>
      </c>
      <c r="BK33" s="214">
        <f>IF(AND(($D33+$C$1)&gt;AP$3,AP$3&gt;=$C$1),'General Inputs'!N$10*$I33,IF(AND(($C33+$C$1)&gt;AP$3,AP$3&gt;=$C$1),'General Inputs'!N$10*$H33,0))</f>
        <v>0</v>
      </c>
      <c r="BL33" s="214">
        <f>IF(AND(($D33+$C$1)&gt;AQ$3,AQ$3&gt;=$C$1),'General Inputs'!O$10*$I33,IF(AND(($C33+$C$1)&gt;AQ$3,AQ$3&gt;=$C$1),'General Inputs'!O$10*$H33,0))</f>
        <v>0</v>
      </c>
      <c r="BM33" s="214">
        <f>IF(AND(($D33+$C$1)&gt;AR$3,AR$3&gt;=$C$1),'General Inputs'!P$10*$I33,IF(AND(($C33+$C$1)&gt;AR$3,AR$3&gt;=$C$1),'General Inputs'!P$10*$H33,0))</f>
        <v>0</v>
      </c>
      <c r="BN33" s="214">
        <f>IF(AND(($D33+$C$1)&gt;AS$3,AS$3&gt;=$C$1),'General Inputs'!Q$10*$I33,IF(AND(($C33+$C$1)&gt;AS$3,AS$3&gt;=$C$1),'General Inputs'!Q$10*$H33,0))</f>
        <v>0</v>
      </c>
      <c r="BO33" s="214">
        <f>IF(AND(($D33+$C$1)&gt;AT$3,AT$3&gt;=$C$1),'General Inputs'!R$10*$I33,IF(AND(($C33+$C$1)&gt;AT$3,AT$3&gt;=$C$1),'General Inputs'!R$10*$H33,0))</f>
        <v>0</v>
      </c>
      <c r="BP33" s="214">
        <f>IF(AND(($D33+$C$1)&gt;AU$3,AU$3&gt;=$C$1),'General Inputs'!S$10*$I33,IF(AND(($C33+$C$1)&gt;AU$3,AU$3&gt;=$C$1),'General Inputs'!S$10*$H33,0))</f>
        <v>0</v>
      </c>
      <c r="BQ33" s="214">
        <f>IF(AND(($D33+$C$1)&gt;AV$3,AV$3&gt;=$C$1),'General Inputs'!T$10*$I33,IF(AND(($C33+$C$1)&gt;AV$3,AV$3&gt;=$C$1),'General Inputs'!T$10*$H33,0))</f>
        <v>0</v>
      </c>
      <c r="BR33" s="214">
        <f>IF(AND(($D33+$C$1)&gt;AW$3,AW$3&gt;=$C$1),'General Inputs'!U$10*$I33,IF(AND(($C33+$C$1)&gt;AW$3,AW$3&gt;=$C$1),'General Inputs'!U$10*$H33,0))</f>
        <v>0</v>
      </c>
      <c r="BS33" s="214">
        <f>IF(AND(($D33+$C$1)&gt;AX$3,AX$3&gt;=$C$1),'General Inputs'!V$10*$I33,IF(AND(($C33+$C$1)&gt;AX$3,AX$3&gt;=$C$1),'General Inputs'!V$10*$H33,0))</f>
        <v>0</v>
      </c>
      <c r="BT33" s="214">
        <f>IF(AND(($D33+$C$1)&gt;AY$3,AY$3&gt;=$C$1),'General Inputs'!W$10*$I33,IF(AND(($C33+$C$1)&gt;AY$3,AY$3&gt;=$C$1),'General Inputs'!W$10*$H33,0))</f>
        <v>0</v>
      </c>
    </row>
    <row r="34" spans="1:72">
      <c r="A34" s="341" t="s">
        <v>12</v>
      </c>
      <c r="B34" s="427" t="str">
        <f>Sources!B34</f>
        <v>Heat Pump SEER 15</v>
      </c>
      <c r="C34" s="193">
        <f>Sources!C34</f>
        <v>18</v>
      </c>
      <c r="D34" s="193">
        <f>Sources!D34</f>
        <v>0</v>
      </c>
      <c r="F34" s="429">
        <f>Sources!F34*EnergyLineLoss</f>
        <v>501.30875023570508</v>
      </c>
      <c r="G34" s="429">
        <f>Sources!G34*EnergyLineLoss</f>
        <v>0</v>
      </c>
      <c r="H34" s="477">
        <f>Sources!H34*PeakLineLoss</f>
        <v>0.5246773594887183</v>
      </c>
      <c r="I34" s="477">
        <f>Sources!I34*PeakLineLoss</f>
        <v>0</v>
      </c>
      <c r="K34" s="419">
        <f>Sources!J34</f>
        <v>293.80824805778059</v>
      </c>
      <c r="L34" s="419">
        <f>Sources!K34</f>
        <v>0</v>
      </c>
      <c r="N34" s="438">
        <f t="shared" si="4"/>
        <v>1.0043124734709326</v>
      </c>
      <c r="P34" s="215">
        <f t="shared" si="5"/>
        <v>211.72855397527434</v>
      </c>
      <c r="Q34" s="215">
        <f t="shared" si="1"/>
        <v>83.346734357796592</v>
      </c>
      <c r="R34" s="215">
        <f t="shared" si="2"/>
        <v>293.80824805778059</v>
      </c>
      <c r="T34" s="214">
        <f t="shared" si="16"/>
        <v>293.80824805778059</v>
      </c>
      <c r="U34" s="214">
        <f t="shared" si="16"/>
        <v>0</v>
      </c>
      <c r="V34" s="214">
        <f t="shared" si="15"/>
        <v>0</v>
      </c>
      <c r="W34" s="214">
        <f t="shared" si="15"/>
        <v>0</v>
      </c>
      <c r="X34" s="214">
        <f t="shared" si="15"/>
        <v>0</v>
      </c>
      <c r="Y34" s="214">
        <f t="shared" si="15"/>
        <v>0</v>
      </c>
      <c r="Z34" s="214">
        <f t="shared" si="15"/>
        <v>0</v>
      </c>
      <c r="AA34" s="214">
        <f t="shared" si="15"/>
        <v>0</v>
      </c>
      <c r="AB34" s="214">
        <f t="shared" si="15"/>
        <v>0</v>
      </c>
      <c r="AC34" s="214">
        <f t="shared" si="15"/>
        <v>0</v>
      </c>
      <c r="AD34" s="214">
        <f t="shared" si="15"/>
        <v>0</v>
      </c>
      <c r="AF34" s="214">
        <f>IF(AND(($D34+$C$1)&gt;AF$3,AF$3&gt;=$C$1),'General Inputs'!D$9*$G34,IF(AND(($C34+$C$1)&gt;AF$3,AF$3&gt;=$C$1),'General Inputs'!D$9*$F34,0))</f>
        <v>19.958238936827755</v>
      </c>
      <c r="AG34" s="214">
        <f>IF(AND(($D34+$C$1)&gt;AG$3,AG$3&gt;=$C$1),'General Inputs'!E$9*$G34,IF(AND(($C34+$C$1)&gt;AG$3,AG$3&gt;=$C$1),'General Inputs'!E$9*$F34,0))</f>
        <v>20.257612520880169</v>
      </c>
      <c r="AH34" s="214">
        <f>IF(AND(($D34+$C$1)&gt;AH$3,AH$3&gt;=$C$1),'General Inputs'!F$9*$G34,IF(AND(($C34+$C$1)&gt;AH$3,AH$3&gt;=$C$1),'General Inputs'!F$9*$F34,0))</f>
        <v>20.56147670869337</v>
      </c>
      <c r="AI34" s="214">
        <f>IF(AND(($D34+$C$1)&gt;AI$3,AI$3&gt;=$C$1),'General Inputs'!G$9*$G34,IF(AND(($C34+$C$1)&gt;AI$3,AI$3&gt;=$C$1),'General Inputs'!G$9*$F34,0))</f>
        <v>20.869898859323769</v>
      </c>
      <c r="AJ34" s="214">
        <f>IF(AND(($D34+$C$1)&gt;AJ$3,AJ$3&gt;=$C$1),'General Inputs'!H$9*$G34,IF(AND(($C34+$C$1)&gt;AJ$3,AJ$3&gt;=$C$1),'General Inputs'!H$9*$F34,0))</f>
        <v>21.182947342213623</v>
      </c>
      <c r="AK34" s="214">
        <f>IF(AND(($D34+$C$1)&gt;AK$3,AK$3&gt;=$C$1),'General Inputs'!I$9*$G34,IF(AND(($C34+$C$1)&gt;AK$3,AK$3&gt;=$C$1),'General Inputs'!I$9*$F34,0))</f>
        <v>21.500691552346822</v>
      </c>
      <c r="AL34" s="214">
        <f>IF(AND(($D34+$C$1)&gt;AL$3,AL$3&gt;=$C$1),'General Inputs'!J$9*$G34,IF(AND(($C34+$C$1)&gt;AL$3,AL$3&gt;=$C$1),'General Inputs'!J$9*$F34,0))</f>
        <v>21.823201925632024</v>
      </c>
      <c r="AM34" s="214">
        <f>IF(AND(($D34+$C$1)&gt;AM$3,AM$3&gt;=$C$1),'General Inputs'!K$9*$G34,IF(AND(($C34+$C$1)&gt;AM$3,AM$3&gt;=$C$1),'General Inputs'!K$9*$F34,0))</f>
        <v>22.150549954516499</v>
      </c>
      <c r="AN34" s="214">
        <f>IF(AND(($D34+$C$1)&gt;AN$3,AN$3&gt;=$C$1),'General Inputs'!L$9*$G34,IF(AND(($C34+$C$1)&gt;AN$3,AN$3&gt;=$C$1),'General Inputs'!L$9*$F34,0))</f>
        <v>22.482808203834246</v>
      </c>
      <c r="AO34" s="214">
        <f>IF(AND(($D34+$C$1)&gt;AO$3,AO$3&gt;=$C$1),'General Inputs'!M$9*$G34,IF(AND(($C34+$C$1)&gt;AO$3,AO$3&gt;=$C$1),'General Inputs'!M$9*$F34,0))</f>
        <v>22.820050326891756</v>
      </c>
      <c r="AP34" s="214">
        <f>IF(AND(($D34+$C$1)&gt;AP$3,AP$3&gt;=$C$1),'General Inputs'!N$9*$G34,IF(AND(($C34+$C$1)&gt;AP$3,AP$3&gt;=$C$1),'General Inputs'!N$9*$F34,0))</f>
        <v>23.16235108179513</v>
      </c>
      <c r="AQ34" s="214">
        <f>IF(AND(($D34+$C$1)&gt;AQ$3,AQ$3&gt;=$C$1),'General Inputs'!O$9*$G34,IF(AND(($C34+$C$1)&gt;AQ$3,AQ$3&gt;=$C$1),'General Inputs'!O$9*$F34,0))</f>
        <v>23.509786348022054</v>
      </c>
      <c r="AR34" s="214">
        <f>IF(AND(($D34+$C$1)&gt;AR$3,AR$3&gt;=$C$1),'General Inputs'!P$9*$G34,IF(AND(($C34+$C$1)&gt;AR$3,AR$3&gt;=$C$1),'General Inputs'!P$9*$F34,0))</f>
        <v>23.862433143242384</v>
      </c>
      <c r="AS34" s="214">
        <f>IF(AND(($D34+$C$1)&gt;AS$3,AS$3&gt;=$C$1),'General Inputs'!Q$9*$G34,IF(AND(($C34+$C$1)&gt;AS$3,AS$3&gt;=$C$1),'General Inputs'!Q$9*$F34,0))</f>
        <v>24.220369640391016</v>
      </c>
      <c r="AT34" s="214">
        <f>IF(AND(($D34+$C$1)&gt;AT$3,AT$3&gt;=$C$1),'General Inputs'!R$9*$G34,IF(AND(($C34+$C$1)&gt;AT$3,AT$3&gt;=$C$1),'General Inputs'!R$9*$F34,0))</f>
        <v>24.583675184996881</v>
      </c>
      <c r="AU34" s="214">
        <f>IF(AND(($D34+$C$1)&gt;AU$3,AU$3&gt;=$C$1),'General Inputs'!S$9*$G34,IF(AND(($C34+$C$1)&gt;AU$3,AU$3&gt;=$C$1),'General Inputs'!S$9*$F34,0))</f>
        <v>24.952430312771835</v>
      </c>
      <c r="AV34" s="214">
        <f>IF(AND(($D34+$C$1)&gt;AV$3,AV$3&gt;=$C$1),'General Inputs'!T$9*$G34,IF(AND(($C34+$C$1)&gt;AV$3,AV$3&gt;=$C$1),'General Inputs'!T$9*$F34,0))</f>
        <v>25.326716767463409</v>
      </c>
      <c r="AW34" s="214">
        <f>IF(AND(($D34+$C$1)&gt;AW$3,AW$3&gt;=$C$1),'General Inputs'!U$9*$G34,IF(AND(($C34+$C$1)&gt;AW$3,AW$3&gt;=$C$1),'General Inputs'!U$9*$F34,0))</f>
        <v>25.70661751897536</v>
      </c>
      <c r="AX34" s="214">
        <f>IF(AND(($D34+$C$1)&gt;AX$3,AX$3&gt;=$C$1),'General Inputs'!V$9*$G34,IF(AND(($C34+$C$1)&gt;AX$3,AX$3&gt;=$C$1),'General Inputs'!V$9*$F34,0))</f>
        <v>0</v>
      </c>
      <c r="AY34" s="214">
        <f>IF(AND(($D34+$C$1)&gt;AY$3,AY$3&gt;=$C$1),'General Inputs'!W$9*$G34,IF(AND(($C34+$C$1)&gt;AY$3,AY$3&gt;=$C$1),'General Inputs'!W$9*$F34,0))</f>
        <v>0</v>
      </c>
      <c r="BA34" s="214">
        <f>IF(AND(($D34+$C$1)&gt;AF$3,AF$3&gt;=$C$1),'General Inputs'!D$10*$I34,IF(AND(($C34+$C$1)&gt;AF$3,AF$3&gt;=$C$1),'General Inputs'!D$10*$H34,0))</f>
        <v>7.8565408759721382</v>
      </c>
      <c r="BB34" s="214">
        <f>IF(AND(($D34+$C$1)&gt;AG$3,AG$3&gt;=$C$1),'General Inputs'!E$10*$I34,IF(AND(($C34+$C$1)&gt;AG$3,AG$3&gt;=$C$1),'General Inputs'!E$10*$H34,0))</f>
        <v>7.974388989111719</v>
      </c>
      <c r="BC34" s="214">
        <f>IF(AND(($D34+$C$1)&gt;AH$3,AH$3&gt;=$C$1),'General Inputs'!F$10*$I34,IF(AND(($C34+$C$1)&gt;AH$3,AH$3&gt;=$C$1),'General Inputs'!F$10*$H34,0))</f>
        <v>8.0940048239483939</v>
      </c>
      <c r="BD34" s="214">
        <f>IF(AND(($D34+$C$1)&gt;AI$3,AI$3&gt;=$C$1),'General Inputs'!G$10*$I34,IF(AND(($C34+$C$1)&gt;AI$3,AI$3&gt;=$C$1),'General Inputs'!G$10*$H34,0))</f>
        <v>8.2154148963076192</v>
      </c>
      <c r="BE34" s="214">
        <f>IF(AND(($D34+$C$1)&gt;AJ$3,AJ$3&gt;=$C$1),'General Inputs'!H$10*$I34,IF(AND(($C34+$C$1)&gt;AJ$3,AJ$3&gt;=$C$1),'General Inputs'!H$10*$H34,0))</f>
        <v>8.3386461197522337</v>
      </c>
      <c r="BF34" s="214">
        <f>IF(AND(($D34+$C$1)&gt;AK$3,AK$3&gt;=$C$1),'General Inputs'!I$10*$I34,IF(AND(($C34+$C$1)&gt;AK$3,AK$3&gt;=$C$1),'General Inputs'!I$10*$H34,0))</f>
        <v>8.4637258115485157</v>
      </c>
      <c r="BG34" s="214">
        <f>IF(AND(($D34+$C$1)&gt;AL$3,AL$3&gt;=$C$1),'General Inputs'!J$10*$I34,IF(AND(($C34+$C$1)&gt;AL$3,AL$3&gt;=$C$1),'General Inputs'!J$10*$H34,0))</f>
        <v>8.5906816987217418</v>
      </c>
      <c r="BH34" s="214">
        <f>IF(AND(($D34+$C$1)&gt;AM$3,AM$3&gt;=$C$1),'General Inputs'!K$10*$I34,IF(AND(($C34+$C$1)&gt;AM$3,AM$3&gt;=$C$1),'General Inputs'!K$10*$H34,0))</f>
        <v>8.7195419242025682</v>
      </c>
      <c r="BI34" s="214">
        <f>IF(AND(($D34+$C$1)&gt;AN$3,AN$3&gt;=$C$1),'General Inputs'!L$10*$I34,IF(AND(($C34+$C$1)&gt;AN$3,AN$3&gt;=$C$1),'General Inputs'!L$10*$H34,0))</f>
        <v>8.8503350530656046</v>
      </c>
      <c r="BJ34" s="214">
        <f>IF(AND(($D34+$C$1)&gt;AO$3,AO$3&gt;=$C$1),'General Inputs'!M$10*$I34,IF(AND(($C34+$C$1)&gt;AO$3,AO$3&gt;=$C$1),'General Inputs'!M$10*$H34,0))</f>
        <v>8.9830900788615899</v>
      </c>
      <c r="BK34" s="214">
        <f>IF(AND(($D34+$C$1)&gt;AP$3,AP$3&gt;=$C$1),'General Inputs'!N$10*$I34,IF(AND(($C34+$C$1)&gt;AP$3,AP$3&gt;=$C$1),'General Inputs'!N$10*$H34,0))</f>
        <v>9.1178364300445125</v>
      </c>
      <c r="BL34" s="214">
        <f>IF(AND(($D34+$C$1)&gt;AQ$3,AQ$3&gt;=$C$1),'General Inputs'!O$10*$I34,IF(AND(($C34+$C$1)&gt;AQ$3,AQ$3&gt;=$C$1),'General Inputs'!O$10*$H34,0))</f>
        <v>9.2546039764951793</v>
      </c>
      <c r="BM34" s="214">
        <f>IF(AND(($D34+$C$1)&gt;AR$3,AR$3&gt;=$C$1),'General Inputs'!P$10*$I34,IF(AND(($C34+$C$1)&gt;AR$3,AR$3&gt;=$C$1),'General Inputs'!P$10*$H34,0))</f>
        <v>9.3934230361426057</v>
      </c>
      <c r="BN34" s="214">
        <f>IF(AND(($D34+$C$1)&gt;AS$3,AS$3&gt;=$C$1),'General Inputs'!Q$10*$I34,IF(AND(($C34+$C$1)&gt;AS$3,AS$3&gt;=$C$1),'General Inputs'!Q$10*$H34,0))</f>
        <v>9.5343243816847441</v>
      </c>
      <c r="BO34" s="214">
        <f>IF(AND(($D34+$C$1)&gt;AT$3,AT$3&gt;=$C$1),'General Inputs'!R$10*$I34,IF(AND(($C34+$C$1)&gt;AT$3,AT$3&gt;=$C$1),'General Inputs'!R$10*$H34,0))</f>
        <v>9.6773392474100124</v>
      </c>
      <c r="BP34" s="214">
        <f>IF(AND(($D34+$C$1)&gt;AU$3,AU$3&gt;=$C$1),'General Inputs'!S$10*$I34,IF(AND(($C34+$C$1)&gt;AU$3,AU$3&gt;=$C$1),'General Inputs'!S$10*$H34,0))</f>
        <v>9.8224993361211634</v>
      </c>
      <c r="BQ34" s="214">
        <f>IF(AND(($D34+$C$1)&gt;AV$3,AV$3&gt;=$C$1),'General Inputs'!T$10*$I34,IF(AND(($C34+$C$1)&gt;AV$3,AV$3&gt;=$C$1),'General Inputs'!T$10*$H34,0))</f>
        <v>9.9698368261629788</v>
      </c>
      <c r="BR34" s="214">
        <f>IF(AND(($D34+$C$1)&gt;AW$3,AW$3&gt;=$C$1),'General Inputs'!U$10*$I34,IF(AND(($C34+$C$1)&gt;AW$3,AW$3&gt;=$C$1),'General Inputs'!U$10*$H34,0))</f>
        <v>10.119384378555424</v>
      </c>
      <c r="BS34" s="214">
        <f>IF(AND(($D34+$C$1)&gt;AX$3,AX$3&gt;=$C$1),'General Inputs'!V$10*$I34,IF(AND(($C34+$C$1)&gt;AX$3,AX$3&gt;=$C$1),'General Inputs'!V$10*$H34,0))</f>
        <v>0</v>
      </c>
      <c r="BT34" s="214">
        <f>IF(AND(($D34+$C$1)&gt;AY$3,AY$3&gt;=$C$1),'General Inputs'!W$10*$I34,IF(AND(($C34+$C$1)&gt;AY$3,AY$3&gt;=$C$1),'General Inputs'!W$10*$H34,0))</f>
        <v>0</v>
      </c>
    </row>
    <row r="35" spans="1:72">
      <c r="A35" s="341" t="s">
        <v>12</v>
      </c>
      <c r="B35" s="427" t="str">
        <f>Sources!B35</f>
        <v>Heat Pump SEER 16</v>
      </c>
      <c r="C35" s="193">
        <f>Sources!C35</f>
        <v>18</v>
      </c>
      <c r="D35" s="193">
        <f>Sources!D35</f>
        <v>0</v>
      </c>
      <c r="F35" s="429">
        <f>Sources!F35*EnergyLineLoss</f>
        <v>594.43940023570508</v>
      </c>
      <c r="G35" s="429">
        <f>Sources!G35*EnergyLineLoss</f>
        <v>0</v>
      </c>
      <c r="H35" s="477">
        <f>Sources!H35*PeakLineLoss</f>
        <v>0.5246773594887183</v>
      </c>
      <c r="I35" s="477">
        <f>Sources!I35*PeakLineLoss</f>
        <v>0</v>
      </c>
      <c r="K35" s="419">
        <f>Sources!J35</f>
        <v>587.61649611556118</v>
      </c>
      <c r="L35" s="419">
        <f>Sources!K35</f>
        <v>0</v>
      </c>
      <c r="N35" s="438">
        <f t="shared" si="4"/>
        <v>0.5690942473649464</v>
      </c>
      <c r="P35" s="215">
        <f t="shared" si="5"/>
        <v>251.06243323831563</v>
      </c>
      <c r="Q35" s="215">
        <f t="shared" si="1"/>
        <v>83.346734357796592</v>
      </c>
      <c r="R35" s="215">
        <f t="shared" si="2"/>
        <v>587.61649611556118</v>
      </c>
      <c r="T35" s="214">
        <f t="shared" si="16"/>
        <v>587.61649611556118</v>
      </c>
      <c r="U35" s="214">
        <f t="shared" si="16"/>
        <v>0</v>
      </c>
      <c r="V35" s="214">
        <f t="shared" si="15"/>
        <v>0</v>
      </c>
      <c r="W35" s="214">
        <f t="shared" si="15"/>
        <v>0</v>
      </c>
      <c r="X35" s="214">
        <f t="shared" si="15"/>
        <v>0</v>
      </c>
      <c r="Y35" s="214">
        <f t="shared" si="15"/>
        <v>0</v>
      </c>
      <c r="Z35" s="214">
        <f t="shared" si="15"/>
        <v>0</v>
      </c>
      <c r="AA35" s="214">
        <f t="shared" si="15"/>
        <v>0</v>
      </c>
      <c r="AB35" s="214">
        <f t="shared" si="15"/>
        <v>0</v>
      </c>
      <c r="AC35" s="214">
        <f t="shared" si="15"/>
        <v>0</v>
      </c>
      <c r="AD35" s="214">
        <f t="shared" si="15"/>
        <v>0</v>
      </c>
      <c r="AF35" s="214">
        <f>IF(AND(($D35+$C$1)&gt;AF$3,AF$3&gt;=$C$1),'General Inputs'!D$9*$G35,IF(AND(($C35+$C$1)&gt;AF$3,AF$3&gt;=$C$1),'General Inputs'!D$9*$F35,0))</f>
        <v>23.665981449138073</v>
      </c>
      <c r="AG35" s="214">
        <f>IF(AND(($D35+$C$1)&gt;AG$3,AG$3&gt;=$C$1),'General Inputs'!E$9*$G35,IF(AND(($C35+$C$1)&gt;AG$3,AG$3&gt;=$C$1),'General Inputs'!E$9*$F35,0))</f>
        <v>24.020971170875139</v>
      </c>
      <c r="AH35" s="214">
        <f>IF(AND(($D35+$C$1)&gt;AH$3,AH$3&gt;=$C$1),'General Inputs'!F$9*$G35,IF(AND(($C35+$C$1)&gt;AH$3,AH$3&gt;=$C$1),'General Inputs'!F$9*$F35,0))</f>
        <v>24.381285738438265</v>
      </c>
      <c r="AI35" s="214">
        <f>IF(AND(($D35+$C$1)&gt;AI$3,AI$3&gt;=$C$1),'General Inputs'!G$9*$G35,IF(AND(($C35+$C$1)&gt;AI$3,AI$3&gt;=$C$1),'General Inputs'!G$9*$F35,0))</f>
        <v>24.747005024514838</v>
      </c>
      <c r="AJ35" s="214">
        <f>IF(AND(($D35+$C$1)&gt;AJ$3,AJ$3&gt;=$C$1),'General Inputs'!H$9*$G35,IF(AND(($C35+$C$1)&gt;AJ$3,AJ$3&gt;=$C$1),'General Inputs'!H$9*$F35,0))</f>
        <v>25.118210099882557</v>
      </c>
      <c r="AK35" s="214">
        <f>IF(AND(($D35+$C$1)&gt;AK$3,AK$3&gt;=$C$1),'General Inputs'!I$9*$G35,IF(AND(($C35+$C$1)&gt;AK$3,AK$3&gt;=$C$1),'General Inputs'!I$9*$F35,0))</f>
        <v>25.494983251380791</v>
      </c>
      <c r="AL35" s="214">
        <f>IF(AND(($D35+$C$1)&gt;AL$3,AL$3&gt;=$C$1),'General Inputs'!J$9*$G35,IF(AND(($C35+$C$1)&gt;AL$3,AL$3&gt;=$C$1),'General Inputs'!J$9*$F35,0))</f>
        <v>25.877408000151497</v>
      </c>
      <c r="AM35" s="214">
        <f>IF(AND(($D35+$C$1)&gt;AM$3,AM$3&gt;=$C$1),'General Inputs'!K$9*$G35,IF(AND(($C35+$C$1)&gt;AM$3,AM$3&gt;=$C$1),'General Inputs'!K$9*$F35,0))</f>
        <v>26.265569120153767</v>
      </c>
      <c r="AN35" s="214">
        <f>IF(AND(($D35+$C$1)&gt;AN$3,AN$3&gt;=$C$1),'General Inputs'!L$9*$G35,IF(AND(($C35+$C$1)&gt;AN$3,AN$3&gt;=$C$1),'General Inputs'!L$9*$F35,0))</f>
        <v>26.65955265695607</v>
      </c>
      <c r="AO35" s="214">
        <f>IF(AND(($D35+$C$1)&gt;AO$3,AO$3&gt;=$C$1),'General Inputs'!M$9*$G35,IF(AND(($C35+$C$1)&gt;AO$3,AO$3&gt;=$C$1),'General Inputs'!M$9*$F35,0))</f>
        <v>27.059445946810406</v>
      </c>
      <c r="AP35" s="214">
        <f>IF(AND(($D35+$C$1)&gt;AP$3,AP$3&gt;=$C$1),'General Inputs'!N$9*$G35,IF(AND(($C35+$C$1)&gt;AP$3,AP$3&gt;=$C$1),'General Inputs'!N$9*$F35,0))</f>
        <v>27.465337636012563</v>
      </c>
      <c r="AQ35" s="214">
        <f>IF(AND(($D35+$C$1)&gt;AQ$3,AQ$3&gt;=$C$1),'General Inputs'!O$9*$G35,IF(AND(($C35+$C$1)&gt;AQ$3,AQ$3&gt;=$C$1),'General Inputs'!O$9*$F35,0))</f>
        <v>27.877317700552748</v>
      </c>
      <c r="AR35" s="214">
        <f>IF(AND(($D35+$C$1)&gt;AR$3,AR$3&gt;=$C$1),'General Inputs'!P$9*$G35,IF(AND(($C35+$C$1)&gt;AR$3,AR$3&gt;=$C$1),'General Inputs'!P$9*$F35,0))</f>
        <v>28.295477466061037</v>
      </c>
      <c r="AS35" s="214">
        <f>IF(AND(($D35+$C$1)&gt;AS$3,AS$3&gt;=$C$1),'General Inputs'!Q$9*$G35,IF(AND(($C35+$C$1)&gt;AS$3,AS$3&gt;=$C$1),'General Inputs'!Q$9*$F35,0))</f>
        <v>28.719909628051951</v>
      </c>
      <c r="AT35" s="214">
        <f>IF(AND(($D35+$C$1)&gt;AT$3,AT$3&gt;=$C$1),'General Inputs'!R$9*$G35,IF(AND(($C35+$C$1)&gt;AT$3,AT$3&gt;=$C$1),'General Inputs'!R$9*$F35,0))</f>
        <v>29.150708272472727</v>
      </c>
      <c r="AU35" s="214">
        <f>IF(AND(($D35+$C$1)&gt;AU$3,AU$3&gt;=$C$1),'General Inputs'!S$9*$G35,IF(AND(($C35+$C$1)&gt;AU$3,AU$3&gt;=$C$1),'General Inputs'!S$9*$F35,0))</f>
        <v>29.587968896559815</v>
      </c>
      <c r="AV35" s="214">
        <f>IF(AND(($D35+$C$1)&gt;AV$3,AV$3&gt;=$C$1),'General Inputs'!T$9*$G35,IF(AND(($C35+$C$1)&gt;AV$3,AV$3&gt;=$C$1),'General Inputs'!T$9*$F35,0))</f>
        <v>30.031788430008213</v>
      </c>
      <c r="AW35" s="214">
        <f>IF(AND(($D35+$C$1)&gt;AW$3,AW$3&gt;=$C$1),'General Inputs'!U$9*$G35,IF(AND(($C35+$C$1)&gt;AW$3,AW$3&gt;=$C$1),'General Inputs'!U$9*$F35,0))</f>
        <v>30.482265256458334</v>
      </c>
      <c r="AX35" s="214">
        <f>IF(AND(($D35+$C$1)&gt;AX$3,AX$3&gt;=$C$1),'General Inputs'!V$9*$G35,IF(AND(($C35+$C$1)&gt;AX$3,AX$3&gt;=$C$1),'General Inputs'!V$9*$F35,0))</f>
        <v>0</v>
      </c>
      <c r="AY35" s="214">
        <f>IF(AND(($D35+$C$1)&gt;AY$3,AY$3&gt;=$C$1),'General Inputs'!W$9*$G35,IF(AND(($C35+$C$1)&gt;AY$3,AY$3&gt;=$C$1),'General Inputs'!W$9*$F35,0))</f>
        <v>0</v>
      </c>
      <c r="BA35" s="214">
        <f>IF(AND(($D35+$C$1)&gt;AF$3,AF$3&gt;=$C$1),'General Inputs'!D$10*$I35,IF(AND(($C35+$C$1)&gt;AF$3,AF$3&gt;=$C$1),'General Inputs'!D$10*$H35,0))</f>
        <v>7.8565408759721382</v>
      </c>
      <c r="BB35" s="214">
        <f>IF(AND(($D35+$C$1)&gt;AG$3,AG$3&gt;=$C$1),'General Inputs'!E$10*$I35,IF(AND(($C35+$C$1)&gt;AG$3,AG$3&gt;=$C$1),'General Inputs'!E$10*$H35,0))</f>
        <v>7.974388989111719</v>
      </c>
      <c r="BC35" s="214">
        <f>IF(AND(($D35+$C$1)&gt;AH$3,AH$3&gt;=$C$1),'General Inputs'!F$10*$I35,IF(AND(($C35+$C$1)&gt;AH$3,AH$3&gt;=$C$1),'General Inputs'!F$10*$H35,0))</f>
        <v>8.0940048239483939</v>
      </c>
      <c r="BD35" s="214">
        <f>IF(AND(($D35+$C$1)&gt;AI$3,AI$3&gt;=$C$1),'General Inputs'!G$10*$I35,IF(AND(($C35+$C$1)&gt;AI$3,AI$3&gt;=$C$1),'General Inputs'!G$10*$H35,0))</f>
        <v>8.2154148963076192</v>
      </c>
      <c r="BE35" s="214">
        <f>IF(AND(($D35+$C$1)&gt;AJ$3,AJ$3&gt;=$C$1),'General Inputs'!H$10*$I35,IF(AND(($C35+$C$1)&gt;AJ$3,AJ$3&gt;=$C$1),'General Inputs'!H$10*$H35,0))</f>
        <v>8.3386461197522337</v>
      </c>
      <c r="BF35" s="214">
        <f>IF(AND(($D35+$C$1)&gt;AK$3,AK$3&gt;=$C$1),'General Inputs'!I$10*$I35,IF(AND(($C35+$C$1)&gt;AK$3,AK$3&gt;=$C$1),'General Inputs'!I$10*$H35,0))</f>
        <v>8.4637258115485157</v>
      </c>
      <c r="BG35" s="214">
        <f>IF(AND(($D35+$C$1)&gt;AL$3,AL$3&gt;=$C$1),'General Inputs'!J$10*$I35,IF(AND(($C35+$C$1)&gt;AL$3,AL$3&gt;=$C$1),'General Inputs'!J$10*$H35,0))</f>
        <v>8.5906816987217418</v>
      </c>
      <c r="BH35" s="214">
        <f>IF(AND(($D35+$C$1)&gt;AM$3,AM$3&gt;=$C$1),'General Inputs'!K$10*$I35,IF(AND(($C35+$C$1)&gt;AM$3,AM$3&gt;=$C$1),'General Inputs'!K$10*$H35,0))</f>
        <v>8.7195419242025682</v>
      </c>
      <c r="BI35" s="214">
        <f>IF(AND(($D35+$C$1)&gt;AN$3,AN$3&gt;=$C$1),'General Inputs'!L$10*$I35,IF(AND(($C35+$C$1)&gt;AN$3,AN$3&gt;=$C$1),'General Inputs'!L$10*$H35,0))</f>
        <v>8.8503350530656046</v>
      </c>
      <c r="BJ35" s="214">
        <f>IF(AND(($D35+$C$1)&gt;AO$3,AO$3&gt;=$C$1),'General Inputs'!M$10*$I35,IF(AND(($C35+$C$1)&gt;AO$3,AO$3&gt;=$C$1),'General Inputs'!M$10*$H35,0))</f>
        <v>8.9830900788615899</v>
      </c>
      <c r="BK35" s="214">
        <f>IF(AND(($D35+$C$1)&gt;AP$3,AP$3&gt;=$C$1),'General Inputs'!N$10*$I35,IF(AND(($C35+$C$1)&gt;AP$3,AP$3&gt;=$C$1),'General Inputs'!N$10*$H35,0))</f>
        <v>9.1178364300445125</v>
      </c>
      <c r="BL35" s="214">
        <f>IF(AND(($D35+$C$1)&gt;AQ$3,AQ$3&gt;=$C$1),'General Inputs'!O$10*$I35,IF(AND(($C35+$C$1)&gt;AQ$3,AQ$3&gt;=$C$1),'General Inputs'!O$10*$H35,0))</f>
        <v>9.2546039764951793</v>
      </c>
      <c r="BM35" s="214">
        <f>IF(AND(($D35+$C$1)&gt;AR$3,AR$3&gt;=$C$1),'General Inputs'!P$10*$I35,IF(AND(($C35+$C$1)&gt;AR$3,AR$3&gt;=$C$1),'General Inputs'!P$10*$H35,0))</f>
        <v>9.3934230361426057</v>
      </c>
      <c r="BN35" s="214">
        <f>IF(AND(($D35+$C$1)&gt;AS$3,AS$3&gt;=$C$1),'General Inputs'!Q$10*$I35,IF(AND(($C35+$C$1)&gt;AS$3,AS$3&gt;=$C$1),'General Inputs'!Q$10*$H35,0))</f>
        <v>9.5343243816847441</v>
      </c>
      <c r="BO35" s="214">
        <f>IF(AND(($D35+$C$1)&gt;AT$3,AT$3&gt;=$C$1),'General Inputs'!R$10*$I35,IF(AND(($C35+$C$1)&gt;AT$3,AT$3&gt;=$C$1),'General Inputs'!R$10*$H35,0))</f>
        <v>9.6773392474100124</v>
      </c>
      <c r="BP35" s="214">
        <f>IF(AND(($D35+$C$1)&gt;AU$3,AU$3&gt;=$C$1),'General Inputs'!S$10*$I35,IF(AND(($C35+$C$1)&gt;AU$3,AU$3&gt;=$C$1),'General Inputs'!S$10*$H35,0))</f>
        <v>9.8224993361211634</v>
      </c>
      <c r="BQ35" s="214">
        <f>IF(AND(($D35+$C$1)&gt;AV$3,AV$3&gt;=$C$1),'General Inputs'!T$10*$I35,IF(AND(($C35+$C$1)&gt;AV$3,AV$3&gt;=$C$1),'General Inputs'!T$10*$H35,0))</f>
        <v>9.9698368261629788</v>
      </c>
      <c r="BR35" s="214">
        <f>IF(AND(($D35+$C$1)&gt;AW$3,AW$3&gt;=$C$1),'General Inputs'!U$10*$I35,IF(AND(($C35+$C$1)&gt;AW$3,AW$3&gt;=$C$1),'General Inputs'!U$10*$H35,0))</f>
        <v>10.119384378555424</v>
      </c>
      <c r="BS35" s="214">
        <f>IF(AND(($D35+$C$1)&gt;AX$3,AX$3&gt;=$C$1),'General Inputs'!V$10*$I35,IF(AND(($C35+$C$1)&gt;AX$3,AX$3&gt;=$C$1),'General Inputs'!V$10*$H35,0))</f>
        <v>0</v>
      </c>
      <c r="BT35" s="214">
        <f>IF(AND(($D35+$C$1)&gt;AY$3,AY$3&gt;=$C$1),'General Inputs'!W$10*$I35,IF(AND(($C35+$C$1)&gt;AY$3,AY$3&gt;=$C$1),'General Inputs'!W$10*$H35,0))</f>
        <v>0</v>
      </c>
    </row>
    <row r="36" spans="1:72">
      <c r="A36" s="341" t="s">
        <v>12</v>
      </c>
      <c r="B36" s="427" t="str">
        <f>Sources!B36</f>
        <v>Early Retirement Heat Pump SEER 15</v>
      </c>
      <c r="C36" s="193">
        <f>Sources!C36</f>
        <v>18</v>
      </c>
      <c r="D36" s="193">
        <f>Sources!D36</f>
        <v>8</v>
      </c>
      <c r="F36" s="429">
        <f>Sources!F36*EnergyLineLoss</f>
        <v>501.30875023570508</v>
      </c>
      <c r="G36" s="429">
        <f>Sources!G36*EnergyLineLoss</f>
        <v>3443.3489647058827</v>
      </c>
      <c r="H36" s="477">
        <f>Sources!H36*PeakLineLoss</f>
        <v>0.5246773594887183</v>
      </c>
      <c r="I36" s="477">
        <f>Sources!I36*PeakLineLoss</f>
        <v>2.0040190526854222</v>
      </c>
      <c r="K36" s="419">
        <f>Sources!J36</f>
        <v>2480.1501390380126</v>
      </c>
      <c r="L36" s="419">
        <f>Sources!K36</f>
        <v>2186.3418909802322</v>
      </c>
      <c r="N36" s="438">
        <f t="shared" si="4"/>
        <v>0.86060049410599293</v>
      </c>
      <c r="P36" s="215">
        <f t="shared" si="5"/>
        <v>955.03798530529218</v>
      </c>
      <c r="Q36" s="215">
        <f t="shared" ref="Q36:Q48" si="17">BA36+NPV(DiscountRate,BB36:BT36)</f>
        <v>223.9228871684347</v>
      </c>
      <c r="R36" s="215">
        <f t="shared" ref="R36:R48" si="18">T36+NPV(DiscountRate,U36:AD36)</f>
        <v>1369.9281845038356</v>
      </c>
      <c r="T36" s="214">
        <f t="shared" si="16"/>
        <v>2480.1501390380126</v>
      </c>
      <c r="U36" s="214">
        <f t="shared" si="16"/>
        <v>0</v>
      </c>
      <c r="V36" s="214">
        <f t="shared" si="15"/>
        <v>0</v>
      </c>
      <c r="W36" s="214">
        <f t="shared" si="15"/>
        <v>0</v>
      </c>
      <c r="X36" s="214">
        <f t="shared" si="15"/>
        <v>0</v>
      </c>
      <c r="Y36" s="214">
        <f t="shared" si="15"/>
        <v>0</v>
      </c>
      <c r="Z36" s="214">
        <f t="shared" si="15"/>
        <v>0</v>
      </c>
      <c r="AA36" s="214">
        <f t="shared" si="15"/>
        <v>0</v>
      </c>
      <c r="AB36" s="214">
        <f t="shared" si="15"/>
        <v>-2186.3418909802322</v>
      </c>
      <c r="AC36" s="214">
        <f t="shared" si="15"/>
        <v>0</v>
      </c>
      <c r="AD36" s="214">
        <f t="shared" si="15"/>
        <v>0</v>
      </c>
      <c r="AF36" s="214">
        <f>IF(AND(($D36+$C$1)&gt;AF$3,AF$3&gt;=$C$1),'General Inputs'!D$9*$G36,IF(AND(($C36+$C$1)&gt;AF$3,AF$3&gt;=$C$1),'General Inputs'!D$9*$F36,0))</f>
        <v>137.08753607066754</v>
      </c>
      <c r="AG36" s="214">
        <f>IF(AND(($D36+$C$1)&gt;AG$3,AG$3&gt;=$C$1),'General Inputs'!E$9*$G36,IF(AND(($C36+$C$1)&gt;AG$3,AG$3&gt;=$C$1),'General Inputs'!E$9*$F36,0))</f>
        <v>139.14384911172755</v>
      </c>
      <c r="AH36" s="214">
        <f>IF(AND(($D36+$C$1)&gt;AH$3,AH$3&gt;=$C$1),'General Inputs'!F$9*$G36,IF(AND(($C36+$C$1)&gt;AH$3,AH$3&gt;=$C$1),'General Inputs'!F$9*$F36,0))</f>
        <v>141.23100684840344</v>
      </c>
      <c r="AI36" s="214">
        <f>IF(AND(($D36+$C$1)&gt;AI$3,AI$3&gt;=$C$1),'General Inputs'!G$9*$G36,IF(AND(($C36+$C$1)&gt;AI$3,AI$3&gt;=$C$1),'General Inputs'!G$9*$F36,0))</f>
        <v>143.34947195112949</v>
      </c>
      <c r="AJ36" s="214">
        <f>IF(AND(($D36+$C$1)&gt;AJ$3,AJ$3&gt;=$C$1),'General Inputs'!H$9*$G36,IF(AND(($C36+$C$1)&gt;AJ$3,AJ$3&gt;=$C$1),'General Inputs'!H$9*$F36,0))</f>
        <v>145.4997140303964</v>
      </c>
      <c r="AK36" s="214">
        <f>IF(AND(($D36+$C$1)&gt;AK$3,AK$3&gt;=$C$1),'General Inputs'!I$9*$G36,IF(AND(($C36+$C$1)&gt;AK$3,AK$3&gt;=$C$1),'General Inputs'!I$9*$F36,0))</f>
        <v>147.68220974085233</v>
      </c>
      <c r="AL36" s="214">
        <f>IF(AND(($D36+$C$1)&gt;AL$3,AL$3&gt;=$C$1),'General Inputs'!J$9*$G36,IF(AND(($C36+$C$1)&gt;AL$3,AL$3&gt;=$C$1),'General Inputs'!J$9*$F36,0))</f>
        <v>149.89744288696511</v>
      </c>
      <c r="AM36" s="214">
        <f>IF(AND(($D36+$C$1)&gt;AM$3,AM$3&gt;=$C$1),'General Inputs'!K$9*$G36,IF(AND(($C36+$C$1)&gt;AM$3,AM$3&gt;=$C$1),'General Inputs'!K$9*$F36,0))</f>
        <v>152.14590453026955</v>
      </c>
      <c r="AN36" s="214">
        <f>IF(AND(($D36+$C$1)&gt;AN$3,AN$3&gt;=$C$1),'General Inputs'!L$9*$G36,IF(AND(($C36+$C$1)&gt;AN$3,AN$3&gt;=$C$1),'General Inputs'!L$9*$F36,0))</f>
        <v>22.482808203834246</v>
      </c>
      <c r="AO36" s="214">
        <f>IF(AND(($D36+$C$1)&gt;AO$3,AO$3&gt;=$C$1),'General Inputs'!M$9*$G36,IF(AND(($C36+$C$1)&gt;AO$3,AO$3&gt;=$C$1),'General Inputs'!M$9*$F36,0))</f>
        <v>22.820050326891756</v>
      </c>
      <c r="AP36" s="214">
        <f>IF(AND(($D36+$C$1)&gt;AP$3,AP$3&gt;=$C$1),'General Inputs'!N$9*$G36,IF(AND(($C36+$C$1)&gt;AP$3,AP$3&gt;=$C$1),'General Inputs'!N$9*$F36,0))</f>
        <v>23.16235108179513</v>
      </c>
      <c r="AQ36" s="214">
        <f>IF(AND(($D36+$C$1)&gt;AQ$3,AQ$3&gt;=$C$1),'General Inputs'!O$9*$G36,IF(AND(($C36+$C$1)&gt;AQ$3,AQ$3&gt;=$C$1),'General Inputs'!O$9*$F36,0))</f>
        <v>23.509786348022054</v>
      </c>
      <c r="AR36" s="214">
        <f>IF(AND(($D36+$C$1)&gt;AR$3,AR$3&gt;=$C$1),'General Inputs'!P$9*$G36,IF(AND(($C36+$C$1)&gt;AR$3,AR$3&gt;=$C$1),'General Inputs'!P$9*$F36,0))</f>
        <v>23.862433143242384</v>
      </c>
      <c r="AS36" s="214">
        <f>IF(AND(($D36+$C$1)&gt;AS$3,AS$3&gt;=$C$1),'General Inputs'!Q$9*$G36,IF(AND(($C36+$C$1)&gt;AS$3,AS$3&gt;=$C$1),'General Inputs'!Q$9*$F36,0))</f>
        <v>24.220369640391016</v>
      </c>
      <c r="AT36" s="214">
        <f>IF(AND(($D36+$C$1)&gt;AT$3,AT$3&gt;=$C$1),'General Inputs'!R$9*$G36,IF(AND(($C36+$C$1)&gt;AT$3,AT$3&gt;=$C$1),'General Inputs'!R$9*$F36,0))</f>
        <v>24.583675184996881</v>
      </c>
      <c r="AU36" s="214">
        <f>IF(AND(($D36+$C$1)&gt;AU$3,AU$3&gt;=$C$1),'General Inputs'!S$9*$G36,IF(AND(($C36+$C$1)&gt;AU$3,AU$3&gt;=$C$1),'General Inputs'!S$9*$F36,0))</f>
        <v>24.952430312771835</v>
      </c>
      <c r="AV36" s="214">
        <f>IF(AND(($D36+$C$1)&gt;AV$3,AV$3&gt;=$C$1),'General Inputs'!T$9*$G36,IF(AND(($C36+$C$1)&gt;AV$3,AV$3&gt;=$C$1),'General Inputs'!T$9*$F36,0))</f>
        <v>25.326716767463409</v>
      </c>
      <c r="AW36" s="214">
        <f>IF(AND(($D36+$C$1)&gt;AW$3,AW$3&gt;=$C$1),'General Inputs'!U$9*$G36,IF(AND(($C36+$C$1)&gt;AW$3,AW$3&gt;=$C$1),'General Inputs'!U$9*$F36,0))</f>
        <v>25.70661751897536</v>
      </c>
      <c r="AX36" s="214">
        <f>IF(AND(($D36+$C$1)&gt;AX$3,AX$3&gt;=$C$1),'General Inputs'!V$9*$G36,IF(AND(($C36+$C$1)&gt;AX$3,AX$3&gt;=$C$1),'General Inputs'!V$9*$F36,0))</f>
        <v>0</v>
      </c>
      <c r="AY36" s="214">
        <f>IF(AND(($D36+$C$1)&gt;AY$3,AY$3&gt;=$C$1),'General Inputs'!W$9*$G36,IF(AND(($C36+$C$1)&gt;AY$3,AY$3&gt;=$C$1),'General Inputs'!W$9*$F36,0))</f>
        <v>0</v>
      </c>
      <c r="BA36" s="214">
        <f>IF(AND(($D36+$C$1)&gt;AF$3,AF$3&gt;=$C$1),'General Inputs'!D$10*$I36,IF(AND(($C36+$C$1)&gt;AF$3,AF$3&gt;=$C$1),'General Inputs'!D$10*$H36,0))</f>
        <v>30.008265687302877</v>
      </c>
      <c r="BB36" s="214">
        <f>IF(AND(($D36+$C$1)&gt;AG$3,AG$3&gt;=$C$1),'General Inputs'!E$10*$I36,IF(AND(($C36+$C$1)&gt;AG$3,AG$3&gt;=$C$1),'General Inputs'!E$10*$H36,0))</f>
        <v>30.458389672612416</v>
      </c>
      <c r="BC36" s="214">
        <f>IF(AND(($D36+$C$1)&gt;AH$3,AH$3&gt;=$C$1),'General Inputs'!F$10*$I36,IF(AND(($C36+$C$1)&gt;AH$3,AH$3&gt;=$C$1),'General Inputs'!F$10*$H36,0))</f>
        <v>30.915265517701599</v>
      </c>
      <c r="BD36" s="214">
        <f>IF(AND(($D36+$C$1)&gt;AI$3,AI$3&gt;=$C$1),'General Inputs'!G$10*$I36,IF(AND(($C36+$C$1)&gt;AI$3,AI$3&gt;=$C$1),'General Inputs'!G$10*$H36,0))</f>
        <v>31.378994500467122</v>
      </c>
      <c r="BE36" s="214">
        <f>IF(AND(($D36+$C$1)&gt;AJ$3,AJ$3&gt;=$C$1),'General Inputs'!H$10*$I36,IF(AND(($C36+$C$1)&gt;AJ$3,AJ$3&gt;=$C$1),'General Inputs'!H$10*$H36,0))</f>
        <v>31.849679417974126</v>
      </c>
      <c r="BF36" s="214">
        <f>IF(AND(($D36+$C$1)&gt;AK$3,AK$3&gt;=$C$1),'General Inputs'!I$10*$I36,IF(AND(($C36+$C$1)&gt;AK$3,AK$3&gt;=$C$1),'General Inputs'!I$10*$H36,0))</f>
        <v>32.327424609243728</v>
      </c>
      <c r="BG36" s="214">
        <f>IF(AND(($D36+$C$1)&gt;AL$3,AL$3&gt;=$C$1),'General Inputs'!J$10*$I36,IF(AND(($C36+$C$1)&gt;AL$3,AL$3&gt;=$C$1),'General Inputs'!J$10*$H36,0))</f>
        <v>32.812335978382386</v>
      </c>
      <c r="BH36" s="214">
        <f>IF(AND(($D36+$C$1)&gt;AM$3,AM$3&gt;=$C$1),'General Inputs'!K$10*$I36,IF(AND(($C36+$C$1)&gt;AM$3,AM$3&gt;=$C$1),'General Inputs'!K$10*$H36,0))</f>
        <v>33.304521018058118</v>
      </c>
      <c r="BI36" s="214">
        <f>IF(AND(($D36+$C$1)&gt;AN$3,AN$3&gt;=$C$1),'General Inputs'!L$10*$I36,IF(AND(($C36+$C$1)&gt;AN$3,AN$3&gt;=$C$1),'General Inputs'!L$10*$H36,0))</f>
        <v>8.8503350530656046</v>
      </c>
      <c r="BJ36" s="214">
        <f>IF(AND(($D36+$C$1)&gt;AO$3,AO$3&gt;=$C$1),'General Inputs'!M$10*$I36,IF(AND(($C36+$C$1)&gt;AO$3,AO$3&gt;=$C$1),'General Inputs'!M$10*$H36,0))</f>
        <v>8.9830900788615899</v>
      </c>
      <c r="BK36" s="214">
        <f>IF(AND(($D36+$C$1)&gt;AP$3,AP$3&gt;=$C$1),'General Inputs'!N$10*$I36,IF(AND(($C36+$C$1)&gt;AP$3,AP$3&gt;=$C$1),'General Inputs'!N$10*$H36,0))</f>
        <v>9.1178364300445125</v>
      </c>
      <c r="BL36" s="214">
        <f>IF(AND(($D36+$C$1)&gt;AQ$3,AQ$3&gt;=$C$1),'General Inputs'!O$10*$I36,IF(AND(($C36+$C$1)&gt;AQ$3,AQ$3&gt;=$C$1),'General Inputs'!O$10*$H36,0))</f>
        <v>9.2546039764951793</v>
      </c>
      <c r="BM36" s="214">
        <f>IF(AND(($D36+$C$1)&gt;AR$3,AR$3&gt;=$C$1),'General Inputs'!P$10*$I36,IF(AND(($C36+$C$1)&gt;AR$3,AR$3&gt;=$C$1),'General Inputs'!P$10*$H36,0))</f>
        <v>9.3934230361426057</v>
      </c>
      <c r="BN36" s="214">
        <f>IF(AND(($D36+$C$1)&gt;AS$3,AS$3&gt;=$C$1),'General Inputs'!Q$10*$I36,IF(AND(($C36+$C$1)&gt;AS$3,AS$3&gt;=$C$1),'General Inputs'!Q$10*$H36,0))</f>
        <v>9.5343243816847441</v>
      </c>
      <c r="BO36" s="214">
        <f>IF(AND(($D36+$C$1)&gt;AT$3,AT$3&gt;=$C$1),'General Inputs'!R$10*$I36,IF(AND(($C36+$C$1)&gt;AT$3,AT$3&gt;=$C$1),'General Inputs'!R$10*$H36,0))</f>
        <v>9.6773392474100124</v>
      </c>
      <c r="BP36" s="214">
        <f>IF(AND(($D36+$C$1)&gt;AU$3,AU$3&gt;=$C$1),'General Inputs'!S$10*$I36,IF(AND(($C36+$C$1)&gt;AU$3,AU$3&gt;=$C$1),'General Inputs'!S$10*$H36,0))</f>
        <v>9.8224993361211634</v>
      </c>
      <c r="BQ36" s="214">
        <f>IF(AND(($D36+$C$1)&gt;AV$3,AV$3&gt;=$C$1),'General Inputs'!T$10*$I36,IF(AND(($C36+$C$1)&gt;AV$3,AV$3&gt;=$C$1),'General Inputs'!T$10*$H36,0))</f>
        <v>9.9698368261629788</v>
      </c>
      <c r="BR36" s="214">
        <f>IF(AND(($D36+$C$1)&gt;AW$3,AW$3&gt;=$C$1),'General Inputs'!U$10*$I36,IF(AND(($C36+$C$1)&gt;AW$3,AW$3&gt;=$C$1),'General Inputs'!U$10*$H36,0))</f>
        <v>10.119384378555424</v>
      </c>
      <c r="BS36" s="214">
        <f>IF(AND(($D36+$C$1)&gt;AX$3,AX$3&gt;=$C$1),'General Inputs'!V$10*$I36,IF(AND(($C36+$C$1)&gt;AX$3,AX$3&gt;=$C$1),'General Inputs'!V$10*$H36,0))</f>
        <v>0</v>
      </c>
      <c r="BT36" s="214">
        <f>IF(AND(($D36+$C$1)&gt;AY$3,AY$3&gt;=$C$1),'General Inputs'!W$10*$I36,IF(AND(($C36+$C$1)&gt;AY$3,AY$3&gt;=$C$1),'General Inputs'!W$10*$H36,0))</f>
        <v>0</v>
      </c>
    </row>
    <row r="37" spans="1:72">
      <c r="A37" s="341" t="s">
        <v>12</v>
      </c>
      <c r="B37" s="427" t="str">
        <f>Sources!B37</f>
        <v>Early Retirement Heat Pump SEER 16</v>
      </c>
      <c r="C37" s="193">
        <f>Sources!C37</f>
        <v>18</v>
      </c>
      <c r="D37" s="193">
        <f>Sources!D37</f>
        <v>8</v>
      </c>
      <c r="F37" s="429">
        <f>Sources!F37*EnergyLineLoss</f>
        <v>594.43940023570508</v>
      </c>
      <c r="G37" s="429">
        <f>Sources!G37*EnergyLineLoss</f>
        <v>3536.4796147058828</v>
      </c>
      <c r="H37" s="477">
        <f>Sources!H37*PeakLineLoss</f>
        <v>0.5246773594887183</v>
      </c>
      <c r="I37" s="477">
        <f>Sources!I37*PeakLineLoss</f>
        <v>2.0040190526854222</v>
      </c>
      <c r="K37" s="419">
        <f>Sources!J37</f>
        <v>2773.9583870957931</v>
      </c>
      <c r="L37" s="419">
        <f>Sources!K37</f>
        <v>2186.3418909802322</v>
      </c>
      <c r="N37" s="438">
        <f t="shared" si="4"/>
        <v>0.73226427449267806</v>
      </c>
      <c r="P37" s="215">
        <f t="shared" si="5"/>
        <v>994.37186456833342</v>
      </c>
      <c r="Q37" s="215">
        <f t="shared" si="17"/>
        <v>223.9228871684347</v>
      </c>
      <c r="R37" s="215">
        <f t="shared" si="18"/>
        <v>1663.7364325616161</v>
      </c>
      <c r="T37" s="214">
        <f t="shared" si="16"/>
        <v>2773.9583870957931</v>
      </c>
      <c r="U37" s="214">
        <f t="shared" si="16"/>
        <v>0</v>
      </c>
      <c r="V37" s="214">
        <f t="shared" si="15"/>
        <v>0</v>
      </c>
      <c r="W37" s="214">
        <f t="shared" si="15"/>
        <v>0</v>
      </c>
      <c r="X37" s="214">
        <f t="shared" si="15"/>
        <v>0</v>
      </c>
      <c r="Y37" s="214">
        <f t="shared" si="15"/>
        <v>0</v>
      </c>
      <c r="Z37" s="214">
        <f t="shared" si="15"/>
        <v>0</v>
      </c>
      <c r="AA37" s="214">
        <f t="shared" si="15"/>
        <v>0</v>
      </c>
      <c r="AB37" s="214">
        <f t="shared" si="15"/>
        <v>-2186.3418909802322</v>
      </c>
      <c r="AC37" s="214">
        <f t="shared" si="15"/>
        <v>0</v>
      </c>
      <c r="AD37" s="214">
        <f t="shared" si="15"/>
        <v>0</v>
      </c>
      <c r="AF37" s="214">
        <f>IF(AND(($D37+$C$1)&gt;AF$3,AF$3&gt;=$C$1),'General Inputs'!D$9*$G37,IF(AND(($C37+$C$1)&gt;AF$3,AF$3&gt;=$C$1),'General Inputs'!D$9*$F37,0))</f>
        <v>140.79527858297786</v>
      </c>
      <c r="AG37" s="214">
        <f>IF(AND(($D37+$C$1)&gt;AG$3,AG$3&gt;=$C$1),'General Inputs'!E$9*$G37,IF(AND(($C37+$C$1)&gt;AG$3,AG$3&gt;=$C$1),'General Inputs'!E$9*$F37,0))</f>
        <v>142.90720776172253</v>
      </c>
      <c r="AH37" s="214">
        <f>IF(AND(($D37+$C$1)&gt;AH$3,AH$3&gt;=$C$1),'General Inputs'!F$9*$G37,IF(AND(($C37+$C$1)&gt;AH$3,AH$3&gt;=$C$1),'General Inputs'!F$9*$F37,0))</f>
        <v>145.05081587814834</v>
      </c>
      <c r="AI37" s="214">
        <f>IF(AND(($D37+$C$1)&gt;AI$3,AI$3&gt;=$C$1),'General Inputs'!G$9*$G37,IF(AND(($C37+$C$1)&gt;AI$3,AI$3&gt;=$C$1),'General Inputs'!G$9*$F37,0))</f>
        <v>147.22657811632055</v>
      </c>
      <c r="AJ37" s="214">
        <f>IF(AND(($D37+$C$1)&gt;AJ$3,AJ$3&gt;=$C$1),'General Inputs'!H$9*$G37,IF(AND(($C37+$C$1)&gt;AJ$3,AJ$3&gt;=$C$1),'General Inputs'!H$9*$F37,0))</f>
        <v>149.43497678806534</v>
      </c>
      <c r="AK37" s="214">
        <f>IF(AND(($D37+$C$1)&gt;AK$3,AK$3&gt;=$C$1),'General Inputs'!I$9*$G37,IF(AND(($C37+$C$1)&gt;AK$3,AK$3&gt;=$C$1),'General Inputs'!I$9*$F37,0))</f>
        <v>151.67650143988629</v>
      </c>
      <c r="AL37" s="214">
        <f>IF(AND(($D37+$C$1)&gt;AL$3,AL$3&gt;=$C$1),'General Inputs'!J$9*$G37,IF(AND(($C37+$C$1)&gt;AL$3,AL$3&gt;=$C$1),'General Inputs'!J$9*$F37,0))</f>
        <v>153.95164896148458</v>
      </c>
      <c r="AM37" s="214">
        <f>IF(AND(($D37+$C$1)&gt;AM$3,AM$3&gt;=$C$1),'General Inputs'!K$9*$G37,IF(AND(($C37+$C$1)&gt;AM$3,AM$3&gt;=$C$1),'General Inputs'!K$9*$F37,0))</f>
        <v>156.26092369590683</v>
      </c>
      <c r="AN37" s="214">
        <f>IF(AND(($D37+$C$1)&gt;AN$3,AN$3&gt;=$C$1),'General Inputs'!L$9*$G37,IF(AND(($C37+$C$1)&gt;AN$3,AN$3&gt;=$C$1),'General Inputs'!L$9*$F37,0))</f>
        <v>26.65955265695607</v>
      </c>
      <c r="AO37" s="214">
        <f>IF(AND(($D37+$C$1)&gt;AO$3,AO$3&gt;=$C$1),'General Inputs'!M$9*$G37,IF(AND(($C37+$C$1)&gt;AO$3,AO$3&gt;=$C$1),'General Inputs'!M$9*$F37,0))</f>
        <v>27.059445946810406</v>
      </c>
      <c r="AP37" s="214">
        <f>IF(AND(($D37+$C$1)&gt;AP$3,AP$3&gt;=$C$1),'General Inputs'!N$9*$G37,IF(AND(($C37+$C$1)&gt;AP$3,AP$3&gt;=$C$1),'General Inputs'!N$9*$F37,0))</f>
        <v>27.465337636012563</v>
      </c>
      <c r="AQ37" s="214">
        <f>IF(AND(($D37+$C$1)&gt;AQ$3,AQ$3&gt;=$C$1),'General Inputs'!O$9*$G37,IF(AND(($C37+$C$1)&gt;AQ$3,AQ$3&gt;=$C$1),'General Inputs'!O$9*$F37,0))</f>
        <v>27.877317700552748</v>
      </c>
      <c r="AR37" s="214">
        <f>IF(AND(($D37+$C$1)&gt;AR$3,AR$3&gt;=$C$1),'General Inputs'!P$9*$G37,IF(AND(($C37+$C$1)&gt;AR$3,AR$3&gt;=$C$1),'General Inputs'!P$9*$F37,0))</f>
        <v>28.295477466061037</v>
      </c>
      <c r="AS37" s="214">
        <f>IF(AND(($D37+$C$1)&gt;AS$3,AS$3&gt;=$C$1),'General Inputs'!Q$9*$G37,IF(AND(($C37+$C$1)&gt;AS$3,AS$3&gt;=$C$1),'General Inputs'!Q$9*$F37,0))</f>
        <v>28.719909628051951</v>
      </c>
      <c r="AT37" s="214">
        <f>IF(AND(($D37+$C$1)&gt;AT$3,AT$3&gt;=$C$1),'General Inputs'!R$9*$G37,IF(AND(($C37+$C$1)&gt;AT$3,AT$3&gt;=$C$1),'General Inputs'!R$9*$F37,0))</f>
        <v>29.150708272472727</v>
      </c>
      <c r="AU37" s="214">
        <f>IF(AND(($D37+$C$1)&gt;AU$3,AU$3&gt;=$C$1),'General Inputs'!S$9*$G37,IF(AND(($C37+$C$1)&gt;AU$3,AU$3&gt;=$C$1),'General Inputs'!S$9*$F37,0))</f>
        <v>29.587968896559815</v>
      </c>
      <c r="AV37" s="214">
        <f>IF(AND(($D37+$C$1)&gt;AV$3,AV$3&gt;=$C$1),'General Inputs'!T$9*$G37,IF(AND(($C37+$C$1)&gt;AV$3,AV$3&gt;=$C$1),'General Inputs'!T$9*$F37,0))</f>
        <v>30.031788430008213</v>
      </c>
      <c r="AW37" s="214">
        <f>IF(AND(($D37+$C$1)&gt;AW$3,AW$3&gt;=$C$1),'General Inputs'!U$9*$G37,IF(AND(($C37+$C$1)&gt;AW$3,AW$3&gt;=$C$1),'General Inputs'!U$9*$F37,0))</f>
        <v>30.482265256458334</v>
      </c>
      <c r="AX37" s="214">
        <f>IF(AND(($D37+$C$1)&gt;AX$3,AX$3&gt;=$C$1),'General Inputs'!V$9*$G37,IF(AND(($C37+$C$1)&gt;AX$3,AX$3&gt;=$C$1),'General Inputs'!V$9*$F37,0))</f>
        <v>0</v>
      </c>
      <c r="AY37" s="214">
        <f>IF(AND(($D37+$C$1)&gt;AY$3,AY$3&gt;=$C$1),'General Inputs'!W$9*$G37,IF(AND(($C37+$C$1)&gt;AY$3,AY$3&gt;=$C$1),'General Inputs'!W$9*$F37,0))</f>
        <v>0</v>
      </c>
      <c r="BA37" s="214">
        <f>IF(AND(($D37+$C$1)&gt;AF$3,AF$3&gt;=$C$1),'General Inputs'!D$10*$I37,IF(AND(($C37+$C$1)&gt;AF$3,AF$3&gt;=$C$1),'General Inputs'!D$10*$H37,0))</f>
        <v>30.008265687302877</v>
      </c>
      <c r="BB37" s="214">
        <f>IF(AND(($D37+$C$1)&gt;AG$3,AG$3&gt;=$C$1),'General Inputs'!E$10*$I37,IF(AND(($C37+$C$1)&gt;AG$3,AG$3&gt;=$C$1),'General Inputs'!E$10*$H37,0))</f>
        <v>30.458389672612416</v>
      </c>
      <c r="BC37" s="214">
        <f>IF(AND(($D37+$C$1)&gt;AH$3,AH$3&gt;=$C$1),'General Inputs'!F$10*$I37,IF(AND(($C37+$C$1)&gt;AH$3,AH$3&gt;=$C$1),'General Inputs'!F$10*$H37,0))</f>
        <v>30.915265517701599</v>
      </c>
      <c r="BD37" s="214">
        <f>IF(AND(($D37+$C$1)&gt;AI$3,AI$3&gt;=$C$1),'General Inputs'!G$10*$I37,IF(AND(($C37+$C$1)&gt;AI$3,AI$3&gt;=$C$1),'General Inputs'!G$10*$H37,0))</f>
        <v>31.378994500467122</v>
      </c>
      <c r="BE37" s="214">
        <f>IF(AND(($D37+$C$1)&gt;AJ$3,AJ$3&gt;=$C$1),'General Inputs'!H$10*$I37,IF(AND(($C37+$C$1)&gt;AJ$3,AJ$3&gt;=$C$1),'General Inputs'!H$10*$H37,0))</f>
        <v>31.849679417974126</v>
      </c>
      <c r="BF37" s="214">
        <f>IF(AND(($D37+$C$1)&gt;AK$3,AK$3&gt;=$C$1),'General Inputs'!I$10*$I37,IF(AND(($C37+$C$1)&gt;AK$3,AK$3&gt;=$C$1),'General Inputs'!I$10*$H37,0))</f>
        <v>32.327424609243728</v>
      </c>
      <c r="BG37" s="214">
        <f>IF(AND(($D37+$C$1)&gt;AL$3,AL$3&gt;=$C$1),'General Inputs'!J$10*$I37,IF(AND(($C37+$C$1)&gt;AL$3,AL$3&gt;=$C$1),'General Inputs'!J$10*$H37,0))</f>
        <v>32.812335978382386</v>
      </c>
      <c r="BH37" s="214">
        <f>IF(AND(($D37+$C$1)&gt;AM$3,AM$3&gt;=$C$1),'General Inputs'!K$10*$I37,IF(AND(($C37+$C$1)&gt;AM$3,AM$3&gt;=$C$1),'General Inputs'!K$10*$H37,0))</f>
        <v>33.304521018058118</v>
      </c>
      <c r="BI37" s="214">
        <f>IF(AND(($D37+$C$1)&gt;AN$3,AN$3&gt;=$C$1),'General Inputs'!L$10*$I37,IF(AND(($C37+$C$1)&gt;AN$3,AN$3&gt;=$C$1),'General Inputs'!L$10*$H37,0))</f>
        <v>8.8503350530656046</v>
      </c>
      <c r="BJ37" s="214">
        <f>IF(AND(($D37+$C$1)&gt;AO$3,AO$3&gt;=$C$1),'General Inputs'!M$10*$I37,IF(AND(($C37+$C$1)&gt;AO$3,AO$3&gt;=$C$1),'General Inputs'!M$10*$H37,0))</f>
        <v>8.9830900788615899</v>
      </c>
      <c r="BK37" s="214">
        <f>IF(AND(($D37+$C$1)&gt;AP$3,AP$3&gt;=$C$1),'General Inputs'!N$10*$I37,IF(AND(($C37+$C$1)&gt;AP$3,AP$3&gt;=$C$1),'General Inputs'!N$10*$H37,0))</f>
        <v>9.1178364300445125</v>
      </c>
      <c r="BL37" s="214">
        <f>IF(AND(($D37+$C$1)&gt;AQ$3,AQ$3&gt;=$C$1),'General Inputs'!O$10*$I37,IF(AND(($C37+$C$1)&gt;AQ$3,AQ$3&gt;=$C$1),'General Inputs'!O$10*$H37,0))</f>
        <v>9.2546039764951793</v>
      </c>
      <c r="BM37" s="214">
        <f>IF(AND(($D37+$C$1)&gt;AR$3,AR$3&gt;=$C$1),'General Inputs'!P$10*$I37,IF(AND(($C37+$C$1)&gt;AR$3,AR$3&gt;=$C$1),'General Inputs'!P$10*$H37,0))</f>
        <v>9.3934230361426057</v>
      </c>
      <c r="BN37" s="214">
        <f>IF(AND(($D37+$C$1)&gt;AS$3,AS$3&gt;=$C$1),'General Inputs'!Q$10*$I37,IF(AND(($C37+$C$1)&gt;AS$3,AS$3&gt;=$C$1),'General Inputs'!Q$10*$H37,0))</f>
        <v>9.5343243816847441</v>
      </c>
      <c r="BO37" s="214">
        <f>IF(AND(($D37+$C$1)&gt;AT$3,AT$3&gt;=$C$1),'General Inputs'!R$10*$I37,IF(AND(($C37+$C$1)&gt;AT$3,AT$3&gt;=$C$1),'General Inputs'!R$10*$H37,0))</f>
        <v>9.6773392474100124</v>
      </c>
      <c r="BP37" s="214">
        <f>IF(AND(($D37+$C$1)&gt;AU$3,AU$3&gt;=$C$1),'General Inputs'!S$10*$I37,IF(AND(($C37+$C$1)&gt;AU$3,AU$3&gt;=$C$1),'General Inputs'!S$10*$H37,0))</f>
        <v>9.8224993361211634</v>
      </c>
      <c r="BQ37" s="214">
        <f>IF(AND(($D37+$C$1)&gt;AV$3,AV$3&gt;=$C$1),'General Inputs'!T$10*$I37,IF(AND(($C37+$C$1)&gt;AV$3,AV$3&gt;=$C$1),'General Inputs'!T$10*$H37,0))</f>
        <v>9.9698368261629788</v>
      </c>
      <c r="BR37" s="214">
        <f>IF(AND(($D37+$C$1)&gt;AW$3,AW$3&gt;=$C$1),'General Inputs'!U$10*$I37,IF(AND(($C37+$C$1)&gt;AW$3,AW$3&gt;=$C$1),'General Inputs'!U$10*$H37,0))</f>
        <v>10.119384378555424</v>
      </c>
      <c r="BS37" s="214">
        <f>IF(AND(($D37+$C$1)&gt;AX$3,AX$3&gt;=$C$1),'General Inputs'!V$10*$I37,IF(AND(($C37+$C$1)&gt;AX$3,AX$3&gt;=$C$1),'General Inputs'!V$10*$H37,0))</f>
        <v>0</v>
      </c>
      <c r="BT37" s="214">
        <f>IF(AND(($D37+$C$1)&gt;AY$3,AY$3&gt;=$C$1),'General Inputs'!W$10*$I37,IF(AND(($C37+$C$1)&gt;AY$3,AY$3&gt;=$C$1),'General Inputs'!W$10*$H37,0))</f>
        <v>0</v>
      </c>
    </row>
    <row r="38" spans="1:72">
      <c r="A38" s="341" t="s">
        <v>12</v>
      </c>
      <c r="B38" s="427" t="str">
        <f>Sources!B38</f>
        <v>Programmable Tstat</v>
      </c>
      <c r="C38" s="193">
        <f>Sources!C38</f>
        <v>10</v>
      </c>
      <c r="D38" s="193">
        <f>Sources!D38</f>
        <v>0</v>
      </c>
      <c r="F38" s="429">
        <f>Sources!F38*EnergyLineLoss</f>
        <v>868.04675999999984</v>
      </c>
      <c r="G38" s="429">
        <f>Sources!G38*EnergyLineLoss</f>
        <v>0</v>
      </c>
      <c r="H38" s="477">
        <f>Sources!H38*PeakLineLoss</f>
        <v>0.24831489599999998</v>
      </c>
      <c r="I38" s="477">
        <f>Sources!I38*PeakLineLoss</f>
        <v>0</v>
      </c>
      <c r="K38" s="419">
        <f>Sources!J38</f>
        <v>30</v>
      </c>
      <c r="L38" s="419">
        <f>Sources!K38</f>
        <v>0</v>
      </c>
      <c r="N38" s="438">
        <f t="shared" si="4"/>
        <v>9.5074737581370066</v>
      </c>
      <c r="P38" s="215">
        <f t="shared" si="5"/>
        <v>257.51729749457337</v>
      </c>
      <c r="Q38" s="215">
        <f t="shared" si="17"/>
        <v>27.706915249536852</v>
      </c>
      <c r="R38" s="215">
        <f t="shared" si="18"/>
        <v>30</v>
      </c>
      <c r="T38" s="214">
        <f t="shared" si="16"/>
        <v>30</v>
      </c>
      <c r="U38" s="214">
        <f t="shared" si="16"/>
        <v>0</v>
      </c>
      <c r="V38" s="214">
        <f t="shared" si="15"/>
        <v>0</v>
      </c>
      <c r="W38" s="214">
        <f t="shared" si="15"/>
        <v>0</v>
      </c>
      <c r="X38" s="214">
        <f t="shared" si="15"/>
        <v>0</v>
      </c>
      <c r="Y38" s="214">
        <f t="shared" si="15"/>
        <v>0</v>
      </c>
      <c r="Z38" s="214">
        <f t="shared" si="15"/>
        <v>0</v>
      </c>
      <c r="AA38" s="214">
        <f t="shared" si="15"/>
        <v>0</v>
      </c>
      <c r="AB38" s="214">
        <f t="shared" si="15"/>
        <v>0</v>
      </c>
      <c r="AC38" s="214">
        <f t="shared" si="15"/>
        <v>0</v>
      </c>
      <c r="AD38" s="214">
        <f t="shared" si="15"/>
        <v>0</v>
      </c>
      <c r="AF38" s="214">
        <f>IF(AND(($D38+$C$1)&gt;AF$3,AF$3&gt;=$C$1),'General Inputs'!D$9*$G38,IF(AND(($C38+$C$1)&gt;AF$3,AF$3&gt;=$C$1),'General Inputs'!D$9*$F38,0))</f>
        <v>34.558911322161173</v>
      </c>
      <c r="AG38" s="214">
        <f>IF(AND(($D38+$C$1)&gt;AG$3,AG$3&gt;=$C$1),'General Inputs'!E$9*$G38,IF(AND(($C38+$C$1)&gt;AG$3,AG$3&gt;=$C$1),'General Inputs'!E$9*$F38,0))</f>
        <v>35.077294991993583</v>
      </c>
      <c r="AH38" s="214">
        <f>IF(AND(($D38+$C$1)&gt;AH$3,AH$3&gt;=$C$1),'General Inputs'!F$9*$G38,IF(AND(($C38+$C$1)&gt;AH$3,AH$3&gt;=$C$1),'General Inputs'!F$9*$F38,0))</f>
        <v>35.603454416873483</v>
      </c>
      <c r="AI38" s="214">
        <f>IF(AND(($D38+$C$1)&gt;AI$3,AI$3&gt;=$C$1),'General Inputs'!G$9*$G38,IF(AND(($C38+$C$1)&gt;AI$3,AI$3&gt;=$C$1),'General Inputs'!G$9*$F38,0))</f>
        <v>36.137506233126587</v>
      </c>
      <c r="AJ38" s="214">
        <f>IF(AND(($D38+$C$1)&gt;AJ$3,AJ$3&gt;=$C$1),'General Inputs'!H$9*$G38,IF(AND(($C38+$C$1)&gt;AJ$3,AJ$3&gt;=$C$1),'General Inputs'!H$9*$F38,0))</f>
        <v>36.679568826623481</v>
      </c>
      <c r="AK38" s="214">
        <f>IF(AND(($D38+$C$1)&gt;AK$3,AK$3&gt;=$C$1),'General Inputs'!I$9*$G38,IF(AND(($C38+$C$1)&gt;AK$3,AK$3&gt;=$C$1),'General Inputs'!I$9*$F38,0))</f>
        <v>37.229762359022821</v>
      </c>
      <c r="AL38" s="214">
        <f>IF(AND(($D38+$C$1)&gt;AL$3,AL$3&gt;=$C$1),'General Inputs'!J$9*$G38,IF(AND(($C38+$C$1)&gt;AL$3,AL$3&gt;=$C$1),'General Inputs'!J$9*$F38,0))</f>
        <v>37.788208794408163</v>
      </c>
      <c r="AM38" s="214">
        <f>IF(AND(($D38+$C$1)&gt;AM$3,AM$3&gt;=$C$1),'General Inputs'!K$9*$G38,IF(AND(($C38+$C$1)&gt;AM$3,AM$3&gt;=$C$1),'General Inputs'!K$9*$F38,0))</f>
        <v>38.35503192632428</v>
      </c>
      <c r="AN38" s="214">
        <f>IF(AND(($D38+$C$1)&gt;AN$3,AN$3&gt;=$C$1),'General Inputs'!L$9*$G38,IF(AND(($C38+$C$1)&gt;AN$3,AN$3&gt;=$C$1),'General Inputs'!L$9*$F38,0))</f>
        <v>38.930357405219141</v>
      </c>
      <c r="AO38" s="214">
        <f>IF(AND(($D38+$C$1)&gt;AO$3,AO$3&gt;=$C$1),'General Inputs'!M$9*$G38,IF(AND(($C38+$C$1)&gt;AO$3,AO$3&gt;=$C$1),'General Inputs'!M$9*$F38,0))</f>
        <v>39.514312766297422</v>
      </c>
      <c r="AP38" s="214">
        <f>IF(AND(($D38+$C$1)&gt;AP$3,AP$3&gt;=$C$1),'General Inputs'!N$9*$G38,IF(AND(($C38+$C$1)&gt;AP$3,AP$3&gt;=$C$1),'General Inputs'!N$9*$F38,0))</f>
        <v>0</v>
      </c>
      <c r="AQ38" s="214">
        <f>IF(AND(($D38+$C$1)&gt;AQ$3,AQ$3&gt;=$C$1),'General Inputs'!O$9*$G38,IF(AND(($C38+$C$1)&gt;AQ$3,AQ$3&gt;=$C$1),'General Inputs'!O$9*$F38,0))</f>
        <v>0</v>
      </c>
      <c r="AR38" s="214">
        <f>IF(AND(($D38+$C$1)&gt;AR$3,AR$3&gt;=$C$1),'General Inputs'!P$9*$G38,IF(AND(($C38+$C$1)&gt;AR$3,AR$3&gt;=$C$1),'General Inputs'!P$9*$F38,0))</f>
        <v>0</v>
      </c>
      <c r="AS38" s="214">
        <f>IF(AND(($D38+$C$1)&gt;AS$3,AS$3&gt;=$C$1),'General Inputs'!Q$9*$G38,IF(AND(($C38+$C$1)&gt;AS$3,AS$3&gt;=$C$1),'General Inputs'!Q$9*$F38,0))</f>
        <v>0</v>
      </c>
      <c r="AT38" s="214">
        <f>IF(AND(($D38+$C$1)&gt;AT$3,AT$3&gt;=$C$1),'General Inputs'!R$9*$G38,IF(AND(($C38+$C$1)&gt;AT$3,AT$3&gt;=$C$1),'General Inputs'!R$9*$F38,0))</f>
        <v>0</v>
      </c>
      <c r="AU38" s="214">
        <f>IF(AND(($D38+$C$1)&gt;AU$3,AU$3&gt;=$C$1),'General Inputs'!S$9*$G38,IF(AND(($C38+$C$1)&gt;AU$3,AU$3&gt;=$C$1),'General Inputs'!S$9*$F38,0))</f>
        <v>0</v>
      </c>
      <c r="AV38" s="214">
        <f>IF(AND(($D38+$C$1)&gt;AV$3,AV$3&gt;=$C$1),'General Inputs'!T$9*$G38,IF(AND(($C38+$C$1)&gt;AV$3,AV$3&gt;=$C$1),'General Inputs'!T$9*$F38,0))</f>
        <v>0</v>
      </c>
      <c r="AW38" s="214">
        <f>IF(AND(($D38+$C$1)&gt;AW$3,AW$3&gt;=$C$1),'General Inputs'!U$9*$G38,IF(AND(($C38+$C$1)&gt;AW$3,AW$3&gt;=$C$1),'General Inputs'!U$9*$F38,0))</f>
        <v>0</v>
      </c>
      <c r="AX38" s="214">
        <f>IF(AND(($D38+$C$1)&gt;AX$3,AX$3&gt;=$C$1),'General Inputs'!V$9*$G38,IF(AND(($C38+$C$1)&gt;AX$3,AX$3&gt;=$C$1),'General Inputs'!V$9*$F38,0))</f>
        <v>0</v>
      </c>
      <c r="AY38" s="214">
        <f>IF(AND(($D38+$C$1)&gt;AY$3,AY$3&gt;=$C$1),'General Inputs'!W$9*$G38,IF(AND(($C38+$C$1)&gt;AY$3,AY$3&gt;=$C$1),'General Inputs'!W$9*$F38,0))</f>
        <v>0</v>
      </c>
      <c r="BA38" s="214">
        <f>IF(AND(($D38+$C$1)&gt;AF$3,AF$3&gt;=$C$1),'General Inputs'!D$10*$I38,IF(AND(($C38+$C$1)&gt;AF$3,AF$3&gt;=$C$1),'General Inputs'!D$10*$H38,0))</f>
        <v>3.7182777096344646</v>
      </c>
      <c r="BB38" s="214">
        <f>IF(AND(($D38+$C$1)&gt;AG$3,AG$3&gt;=$C$1),'General Inputs'!E$10*$I38,IF(AND(($C38+$C$1)&gt;AG$3,AG$3&gt;=$C$1),'General Inputs'!E$10*$H38,0))</f>
        <v>3.7740518752789813</v>
      </c>
      <c r="BC38" s="214">
        <f>IF(AND(($D38+$C$1)&gt;AH$3,AH$3&gt;=$C$1),'General Inputs'!F$10*$I38,IF(AND(($C38+$C$1)&gt;AH$3,AH$3&gt;=$C$1),'General Inputs'!F$10*$H38,0))</f>
        <v>3.8306626534081656</v>
      </c>
      <c r="BD38" s="214">
        <f>IF(AND(($D38+$C$1)&gt;AI$3,AI$3&gt;=$C$1),'General Inputs'!G$10*$I38,IF(AND(($C38+$C$1)&gt;AI$3,AI$3&gt;=$C$1),'General Inputs'!G$10*$H38,0))</f>
        <v>3.888122593209288</v>
      </c>
      <c r="BE38" s="214">
        <f>IF(AND(($D38+$C$1)&gt;AJ$3,AJ$3&gt;=$C$1),'General Inputs'!H$10*$I38,IF(AND(($C38+$C$1)&gt;AJ$3,AJ$3&gt;=$C$1),'General Inputs'!H$10*$H38,0))</f>
        <v>3.9464444321074268</v>
      </c>
      <c r="BF38" s="214">
        <f>IF(AND(($D38+$C$1)&gt;AK$3,AK$3&gt;=$C$1),'General Inputs'!I$10*$I38,IF(AND(($C38+$C$1)&gt;AK$3,AK$3&gt;=$C$1),'General Inputs'!I$10*$H38,0))</f>
        <v>4.0056410985890372</v>
      </c>
      <c r="BG38" s="214">
        <f>IF(AND(($D38+$C$1)&gt;AL$3,AL$3&gt;=$C$1),'General Inputs'!J$10*$I38,IF(AND(($C38+$C$1)&gt;AL$3,AL$3&gt;=$C$1),'General Inputs'!J$10*$H38,0))</f>
        <v>4.0657257150678729</v>
      </c>
      <c r="BH38" s="214">
        <f>IF(AND(($D38+$C$1)&gt;AM$3,AM$3&gt;=$C$1),'General Inputs'!K$10*$I38,IF(AND(($C38+$C$1)&gt;AM$3,AM$3&gt;=$C$1),'General Inputs'!K$10*$H38,0))</f>
        <v>4.1267116007938904</v>
      </c>
      <c r="BI38" s="214">
        <f>IF(AND(($D38+$C$1)&gt;AN$3,AN$3&gt;=$C$1),'General Inputs'!L$10*$I38,IF(AND(($C38+$C$1)&gt;AN$3,AN$3&gt;=$C$1),'General Inputs'!L$10*$H38,0))</f>
        <v>4.1886122748057986</v>
      </c>
      <c r="BJ38" s="214">
        <f>IF(AND(($D38+$C$1)&gt;AO$3,AO$3&gt;=$C$1),'General Inputs'!M$10*$I38,IF(AND(($C38+$C$1)&gt;AO$3,AO$3&gt;=$C$1),'General Inputs'!M$10*$H38,0))</f>
        <v>4.2514414589278857</v>
      </c>
      <c r="BK38" s="214">
        <f>IF(AND(($D38+$C$1)&gt;AP$3,AP$3&gt;=$C$1),'General Inputs'!N$10*$I38,IF(AND(($C38+$C$1)&gt;AP$3,AP$3&gt;=$C$1),'General Inputs'!N$10*$H38,0))</f>
        <v>0</v>
      </c>
      <c r="BL38" s="214">
        <f>IF(AND(($D38+$C$1)&gt;AQ$3,AQ$3&gt;=$C$1),'General Inputs'!O$10*$I38,IF(AND(($C38+$C$1)&gt;AQ$3,AQ$3&gt;=$C$1),'General Inputs'!O$10*$H38,0))</f>
        <v>0</v>
      </c>
      <c r="BM38" s="214">
        <f>IF(AND(($D38+$C$1)&gt;AR$3,AR$3&gt;=$C$1),'General Inputs'!P$10*$I38,IF(AND(($C38+$C$1)&gt;AR$3,AR$3&gt;=$C$1),'General Inputs'!P$10*$H38,0))</f>
        <v>0</v>
      </c>
      <c r="BN38" s="214">
        <f>IF(AND(($D38+$C$1)&gt;AS$3,AS$3&gt;=$C$1),'General Inputs'!Q$10*$I38,IF(AND(($C38+$C$1)&gt;AS$3,AS$3&gt;=$C$1),'General Inputs'!Q$10*$H38,0))</f>
        <v>0</v>
      </c>
      <c r="BO38" s="214">
        <f>IF(AND(($D38+$C$1)&gt;AT$3,AT$3&gt;=$C$1),'General Inputs'!R$10*$I38,IF(AND(($C38+$C$1)&gt;AT$3,AT$3&gt;=$C$1),'General Inputs'!R$10*$H38,0))</f>
        <v>0</v>
      </c>
      <c r="BP38" s="214">
        <f>IF(AND(($D38+$C$1)&gt;AU$3,AU$3&gt;=$C$1),'General Inputs'!S$10*$I38,IF(AND(($C38+$C$1)&gt;AU$3,AU$3&gt;=$C$1),'General Inputs'!S$10*$H38,0))</f>
        <v>0</v>
      </c>
      <c r="BQ38" s="214">
        <f>IF(AND(($D38+$C$1)&gt;AV$3,AV$3&gt;=$C$1),'General Inputs'!T$10*$I38,IF(AND(($C38+$C$1)&gt;AV$3,AV$3&gt;=$C$1),'General Inputs'!T$10*$H38,0))</f>
        <v>0</v>
      </c>
      <c r="BR38" s="214">
        <f>IF(AND(($D38+$C$1)&gt;AW$3,AW$3&gt;=$C$1),'General Inputs'!U$10*$I38,IF(AND(($C38+$C$1)&gt;AW$3,AW$3&gt;=$C$1),'General Inputs'!U$10*$H38,0))</f>
        <v>0</v>
      </c>
      <c r="BS38" s="214">
        <f>IF(AND(($D38+$C$1)&gt;AX$3,AX$3&gt;=$C$1),'General Inputs'!V$10*$I38,IF(AND(($C38+$C$1)&gt;AX$3,AX$3&gt;=$C$1),'General Inputs'!V$10*$H38,0))</f>
        <v>0</v>
      </c>
      <c r="BT38" s="214">
        <f>IF(AND(($D38+$C$1)&gt;AY$3,AY$3&gt;=$C$1),'General Inputs'!W$10*$I38,IF(AND(($C38+$C$1)&gt;AY$3,AY$3&gt;=$C$1),'General Inputs'!W$10*$H38,0))</f>
        <v>0</v>
      </c>
    </row>
    <row r="39" spans="1:72">
      <c r="A39" s="341" t="s">
        <v>12</v>
      </c>
      <c r="B39" s="427" t="str">
        <f>Sources!B39</f>
        <v>Heat Pump SEER 15 Replace Electric Furnace</v>
      </c>
      <c r="C39" s="193">
        <f>Sources!C39</f>
        <v>18</v>
      </c>
      <c r="D39" s="193">
        <f>Sources!D39</f>
        <v>0</v>
      </c>
      <c r="F39" s="429">
        <f>Sources!F39*EnergyLineLoss</f>
        <v>14620.603045575292</v>
      </c>
      <c r="G39" s="429">
        <f>Sources!G39*EnergyLineLoss</f>
        <v>0</v>
      </c>
      <c r="H39" s="477">
        <f>Sources!H39*PeakLineLoss</f>
        <v>3.2973484359496279</v>
      </c>
      <c r="I39" s="477">
        <f>Sources!I39*PeakLineLoss</f>
        <v>0</v>
      </c>
      <c r="K39" s="419">
        <f>Sources!J39</f>
        <v>4554</v>
      </c>
      <c r="L39" s="419">
        <f>Sources!K39</f>
        <v>0</v>
      </c>
      <c r="N39" s="438">
        <f t="shared" ref="N39" si="19">IF(R39&gt;0,(P39+Q39)/R39,"n/a")</f>
        <v>1.470977126168562</v>
      </c>
      <c r="P39" s="215">
        <f t="shared" ref="P39" si="20">AF39+NPV(DiscountRate,AG39:AY39)</f>
        <v>6175.0351248220986</v>
      </c>
      <c r="Q39" s="215">
        <f t="shared" ref="Q39" si="21">BA39+NPV(DiscountRate,BB39:BT39)</f>
        <v>523.79470774953279</v>
      </c>
      <c r="R39" s="215">
        <f t="shared" ref="R39" si="22">T39+NPV(DiscountRate,U39:AD39)</f>
        <v>4554</v>
      </c>
      <c r="T39" s="214">
        <f t="shared" si="16"/>
        <v>4554</v>
      </c>
      <c r="U39" s="214">
        <f t="shared" si="16"/>
        <v>0</v>
      </c>
      <c r="V39" s="214">
        <f t="shared" si="15"/>
        <v>0</v>
      </c>
      <c r="W39" s="214">
        <f t="shared" si="15"/>
        <v>0</v>
      </c>
      <c r="X39" s="214">
        <f t="shared" si="15"/>
        <v>0</v>
      </c>
      <c r="Y39" s="214">
        <f t="shared" si="15"/>
        <v>0</v>
      </c>
      <c r="Z39" s="214">
        <f t="shared" si="15"/>
        <v>0</v>
      </c>
      <c r="AA39" s="214">
        <f t="shared" si="15"/>
        <v>0</v>
      </c>
      <c r="AB39" s="214">
        <f t="shared" si="15"/>
        <v>0</v>
      </c>
      <c r="AC39" s="214">
        <f t="shared" si="15"/>
        <v>0</v>
      </c>
      <c r="AD39" s="214">
        <f t="shared" si="15"/>
        <v>0</v>
      </c>
      <c r="AF39" s="214">
        <f>IF(AND(($D39+$C$1)&gt;AF$3,AF$3&gt;=$C$1),'General Inputs'!D$9*$G39,IF(AND(($C39+$C$1)&gt;AF$3,AF$3&gt;=$C$1),'General Inputs'!D$9*$F39,0))</f>
        <v>582.07938490382264</v>
      </c>
      <c r="AG39" s="214">
        <f>IF(AND(($D39+$C$1)&gt;AG$3,AG$3&gt;=$C$1),'General Inputs'!E$9*$G39,IF(AND(($C39+$C$1)&gt;AG$3,AG$3&gt;=$C$1),'General Inputs'!E$9*$F39,0))</f>
        <v>590.81057567737992</v>
      </c>
      <c r="AH39" s="214">
        <f>IF(AND(($D39+$C$1)&gt;AH$3,AH$3&gt;=$C$1),'General Inputs'!F$9*$G39,IF(AND(($C39+$C$1)&gt;AH$3,AH$3&gt;=$C$1),'General Inputs'!F$9*$F39,0))</f>
        <v>599.67273431254057</v>
      </c>
      <c r="AI39" s="214">
        <f>IF(AND(($D39+$C$1)&gt;AI$3,AI$3&gt;=$C$1),'General Inputs'!G$9*$G39,IF(AND(($C39+$C$1)&gt;AI$3,AI$3&gt;=$C$1),'General Inputs'!G$9*$F39,0))</f>
        <v>608.66782532722857</v>
      </c>
      <c r="AJ39" s="214">
        <f>IF(AND(($D39+$C$1)&gt;AJ$3,AJ$3&gt;=$C$1),'General Inputs'!H$9*$G39,IF(AND(($C39+$C$1)&gt;AJ$3,AJ$3&gt;=$C$1),'General Inputs'!H$9*$F39,0))</f>
        <v>617.79784270713697</v>
      </c>
      <c r="AK39" s="214">
        <f>IF(AND(($D39+$C$1)&gt;AK$3,AK$3&gt;=$C$1),'General Inputs'!I$9*$G39,IF(AND(($C39+$C$1)&gt;AK$3,AK$3&gt;=$C$1),'General Inputs'!I$9*$F39,0))</f>
        <v>627.0648103477439</v>
      </c>
      <c r="AL39" s="214">
        <f>IF(AND(($D39+$C$1)&gt;AL$3,AL$3&gt;=$C$1),'General Inputs'!J$9*$G39,IF(AND(($C39+$C$1)&gt;AL$3,AL$3&gt;=$C$1),'General Inputs'!J$9*$F39,0))</f>
        <v>636.47078250295999</v>
      </c>
      <c r="AM39" s="214">
        <f>IF(AND(($D39+$C$1)&gt;AM$3,AM$3&gt;=$C$1),'General Inputs'!K$9*$G39,IF(AND(($C39+$C$1)&gt;AM$3,AM$3&gt;=$C$1),'General Inputs'!K$9*$F39,0))</f>
        <v>646.01784424050425</v>
      </c>
      <c r="AN39" s="214">
        <f>IF(AND(($D39+$C$1)&gt;AN$3,AN$3&gt;=$C$1),'General Inputs'!L$9*$G39,IF(AND(($C39+$C$1)&gt;AN$3,AN$3&gt;=$C$1),'General Inputs'!L$9*$F39,0))</f>
        <v>655.70811190411177</v>
      </c>
      <c r="AO39" s="214">
        <f>IF(AND(($D39+$C$1)&gt;AO$3,AO$3&gt;=$C$1),'General Inputs'!M$9*$G39,IF(AND(($C39+$C$1)&gt;AO$3,AO$3&gt;=$C$1),'General Inputs'!M$9*$F39,0))</f>
        <v>665.54373358267333</v>
      </c>
      <c r="AP39" s="214">
        <f>IF(AND(($D39+$C$1)&gt;AP$3,AP$3&gt;=$C$1),'General Inputs'!N$9*$G39,IF(AND(($C39+$C$1)&gt;AP$3,AP$3&gt;=$C$1),'General Inputs'!N$9*$F39,0))</f>
        <v>675.5268895864134</v>
      </c>
      <c r="AQ39" s="214">
        <f>IF(AND(($D39+$C$1)&gt;AQ$3,AQ$3&gt;=$C$1),'General Inputs'!O$9*$G39,IF(AND(($C39+$C$1)&gt;AQ$3,AQ$3&gt;=$C$1),'General Inputs'!O$9*$F39,0))</f>
        <v>685.65979293020951</v>
      </c>
      <c r="AR39" s="214">
        <f>IF(AND(($D39+$C$1)&gt;AR$3,AR$3&gt;=$C$1),'General Inputs'!P$9*$G39,IF(AND(($C39+$C$1)&gt;AR$3,AR$3&gt;=$C$1),'General Inputs'!P$9*$F39,0))</f>
        <v>695.94468982416254</v>
      </c>
      <c r="AS39" s="214">
        <f>IF(AND(($D39+$C$1)&gt;AS$3,AS$3&gt;=$C$1),'General Inputs'!Q$9*$G39,IF(AND(($C39+$C$1)&gt;AS$3,AS$3&gt;=$C$1),'General Inputs'!Q$9*$F39,0))</f>
        <v>706.38386017152504</v>
      </c>
      <c r="AT39" s="214">
        <f>IF(AND(($D39+$C$1)&gt;AT$3,AT$3&gt;=$C$1),'General Inputs'!R$9*$G39,IF(AND(($C39+$C$1)&gt;AT$3,AT$3&gt;=$C$1),'General Inputs'!R$9*$F39,0))</f>
        <v>716.97961807409786</v>
      </c>
      <c r="AU39" s="214">
        <f>IF(AND(($D39+$C$1)&gt;AU$3,AU$3&gt;=$C$1),'General Inputs'!S$9*$G39,IF(AND(($C39+$C$1)&gt;AU$3,AU$3&gt;=$C$1),'General Inputs'!S$9*$F39,0))</f>
        <v>727.73431234520922</v>
      </c>
      <c r="AV39" s="214">
        <f>IF(AND(($D39+$C$1)&gt;AV$3,AV$3&gt;=$C$1),'General Inputs'!T$9*$G39,IF(AND(($C39+$C$1)&gt;AV$3,AV$3&gt;=$C$1),'General Inputs'!T$9*$F39,0))</f>
        <v>738.6503270303873</v>
      </c>
      <c r="AW39" s="214">
        <f>IF(AND(($D39+$C$1)&gt;AW$3,AW$3&gt;=$C$1),'General Inputs'!U$9*$G39,IF(AND(($C39+$C$1)&gt;AW$3,AW$3&gt;=$C$1),'General Inputs'!U$9*$F39,0))</f>
        <v>749.73008193584315</v>
      </c>
      <c r="AX39" s="214">
        <f>IF(AND(($D39+$C$1)&gt;AX$3,AX$3&gt;=$C$1),'General Inputs'!V$9*$G39,IF(AND(($C39+$C$1)&gt;AX$3,AX$3&gt;=$C$1),'General Inputs'!V$9*$F39,0))</f>
        <v>0</v>
      </c>
      <c r="AY39" s="214">
        <f>IF(AND(($D39+$C$1)&gt;AY$3,AY$3&gt;=$C$1),'General Inputs'!W$9*$G39,IF(AND(($C39+$C$1)&gt;AY$3,AY$3&gt;=$C$1),'General Inputs'!W$9*$F39,0))</f>
        <v>0</v>
      </c>
      <c r="BA39" s="214">
        <f>IF(AND(($D39+$C$1)&gt;AF$3,AF$3&gt;=$C$1),'General Inputs'!D$10*$I39,IF(AND(($C39+$C$1)&gt;AF$3,AF$3&gt;=$C$1),'General Inputs'!D$10*$H39,0))</f>
        <v>49.374634336433722</v>
      </c>
      <c r="BB39" s="214">
        <f>IF(AND(($D39+$C$1)&gt;AG$3,AG$3&gt;=$C$1),'General Inputs'!E$10*$I39,IF(AND(($C39+$C$1)&gt;AG$3,AG$3&gt;=$C$1),'General Inputs'!E$10*$H39,0))</f>
        <v>50.115253851480219</v>
      </c>
      <c r="BC39" s="214">
        <f>IF(AND(($D39+$C$1)&gt;AH$3,AH$3&gt;=$C$1),'General Inputs'!F$10*$I39,IF(AND(($C39+$C$1)&gt;AH$3,AH$3&gt;=$C$1),'General Inputs'!F$10*$H39,0))</f>
        <v>50.866982659252422</v>
      </c>
      <c r="BD39" s="214">
        <f>IF(AND(($D39+$C$1)&gt;AI$3,AI$3&gt;=$C$1),'General Inputs'!G$10*$I39,IF(AND(($C39+$C$1)&gt;AI$3,AI$3&gt;=$C$1),'General Inputs'!G$10*$H39,0))</f>
        <v>51.6299873991412</v>
      </c>
      <c r="BE39" s="214">
        <f>IF(AND(($D39+$C$1)&gt;AJ$3,AJ$3&gt;=$C$1),'General Inputs'!H$10*$I39,IF(AND(($C39+$C$1)&gt;AJ$3,AJ$3&gt;=$C$1),'General Inputs'!H$10*$H39,0))</f>
        <v>52.404437210128314</v>
      </c>
      <c r="BF39" s="214">
        <f>IF(AND(($D39+$C$1)&gt;AK$3,AK$3&gt;=$C$1),'General Inputs'!I$10*$I39,IF(AND(($C39+$C$1)&gt;AK$3,AK$3&gt;=$C$1),'General Inputs'!I$10*$H39,0))</f>
        <v>53.19050376828023</v>
      </c>
      <c r="BG39" s="214">
        <f>IF(AND(($D39+$C$1)&gt;AL$3,AL$3&gt;=$C$1),'General Inputs'!J$10*$I39,IF(AND(($C39+$C$1)&gt;AL$3,AL$3&gt;=$C$1),'General Inputs'!J$10*$H39,0))</f>
        <v>53.98836132480443</v>
      </c>
      <c r="BH39" s="214">
        <f>IF(AND(($D39+$C$1)&gt;AM$3,AM$3&gt;=$C$1),'General Inputs'!K$10*$I39,IF(AND(($C39+$C$1)&gt;AM$3,AM$3&gt;=$C$1),'General Inputs'!K$10*$H39,0))</f>
        <v>54.798186744676492</v>
      </c>
      <c r="BI39" s="214">
        <f>IF(AND(($D39+$C$1)&gt;AN$3,AN$3&gt;=$C$1),'General Inputs'!L$10*$I39,IF(AND(($C39+$C$1)&gt;AN$3,AN$3&gt;=$C$1),'General Inputs'!L$10*$H39,0))</f>
        <v>55.620159545846633</v>
      </c>
      <c r="BJ39" s="214">
        <f>IF(AND(($D39+$C$1)&gt;AO$3,AO$3&gt;=$C$1),'General Inputs'!M$10*$I39,IF(AND(($C39+$C$1)&gt;AO$3,AO$3&gt;=$C$1),'General Inputs'!M$10*$H39,0))</f>
        <v>56.454461939034331</v>
      </c>
      <c r="BK39" s="214">
        <f>IF(AND(($D39+$C$1)&gt;AP$3,AP$3&gt;=$C$1),'General Inputs'!N$10*$I39,IF(AND(($C39+$C$1)&gt;AP$3,AP$3&gt;=$C$1),'General Inputs'!N$10*$H39,0))</f>
        <v>57.301278868119837</v>
      </c>
      <c r="BL39" s="214">
        <f>IF(AND(($D39+$C$1)&gt;AQ$3,AQ$3&gt;=$C$1),'General Inputs'!O$10*$I39,IF(AND(($C39+$C$1)&gt;AQ$3,AQ$3&gt;=$C$1),'General Inputs'!O$10*$H39,0))</f>
        <v>58.160798051141633</v>
      </c>
      <c r="BM39" s="214">
        <f>IF(AND(($D39+$C$1)&gt;AR$3,AR$3&gt;=$C$1),'General Inputs'!P$10*$I39,IF(AND(($C39+$C$1)&gt;AR$3,AR$3&gt;=$C$1),'General Inputs'!P$10*$H39,0))</f>
        <v>59.033210021908751</v>
      </c>
      <c r="BN39" s="214">
        <f>IF(AND(($D39+$C$1)&gt;AS$3,AS$3&gt;=$C$1),'General Inputs'!Q$10*$I39,IF(AND(($C39+$C$1)&gt;AS$3,AS$3&gt;=$C$1),'General Inputs'!Q$10*$H39,0))</f>
        <v>59.918708172237373</v>
      </c>
      <c r="BO39" s="214">
        <f>IF(AND(($D39+$C$1)&gt;AT$3,AT$3&gt;=$C$1),'General Inputs'!R$10*$I39,IF(AND(($C39+$C$1)&gt;AT$3,AT$3&gt;=$C$1),'General Inputs'!R$10*$H39,0))</f>
        <v>60.817488794820925</v>
      </c>
      <c r="BP39" s="214">
        <f>IF(AND(($D39+$C$1)&gt;AU$3,AU$3&gt;=$C$1),'General Inputs'!S$10*$I39,IF(AND(($C39+$C$1)&gt;AU$3,AU$3&gt;=$C$1),'General Inputs'!S$10*$H39,0))</f>
        <v>61.729751126743238</v>
      </c>
      <c r="BQ39" s="214">
        <f>IF(AND(($D39+$C$1)&gt;AV$3,AV$3&gt;=$C$1),'General Inputs'!T$10*$I39,IF(AND(($C39+$C$1)&gt;AV$3,AV$3&gt;=$C$1),'General Inputs'!T$10*$H39,0))</f>
        <v>62.655697393644381</v>
      </c>
      <c r="BR39" s="214">
        <f>IF(AND(($D39+$C$1)&gt;AW$3,AW$3&gt;=$C$1),'General Inputs'!U$10*$I39,IF(AND(($C39+$C$1)&gt;AW$3,AW$3&gt;=$C$1),'General Inputs'!U$10*$H39,0))</f>
        <v>63.595532854549042</v>
      </c>
      <c r="BS39" s="214">
        <f>IF(AND(($D39+$C$1)&gt;AX$3,AX$3&gt;=$C$1),'General Inputs'!V$10*$I39,IF(AND(($C39+$C$1)&gt;AX$3,AX$3&gt;=$C$1),'General Inputs'!V$10*$H39,0))</f>
        <v>0</v>
      </c>
      <c r="BT39" s="214">
        <f>IF(AND(($D39+$C$1)&gt;AY$3,AY$3&gt;=$C$1),'General Inputs'!W$10*$I39,IF(AND(($C39+$C$1)&gt;AY$3,AY$3&gt;=$C$1),'General Inputs'!W$10*$H39,0))</f>
        <v>0</v>
      </c>
    </row>
    <row r="40" spans="1:72">
      <c r="A40" s="341" t="s">
        <v>12</v>
      </c>
      <c r="B40" s="427" t="str">
        <f>Sources!B40</f>
        <v>ECM Blower Motor</v>
      </c>
      <c r="C40" s="193">
        <f>Sources!C40</f>
        <v>20</v>
      </c>
      <c r="D40" s="193">
        <f>Sources!D40</f>
        <v>0</v>
      </c>
      <c r="F40" s="429">
        <f>Sources!F40*EnergyLineLoss</f>
        <v>753.83999999999992</v>
      </c>
      <c r="G40" s="429">
        <f>Sources!G40*EnergyLineLoss</f>
        <v>0</v>
      </c>
      <c r="H40" s="477">
        <f>Sources!H40*PeakLineLoss</f>
        <v>6.8787899999999985E-2</v>
      </c>
      <c r="I40" s="477">
        <f>Sources!I40*PeakLineLoss</f>
        <v>0</v>
      </c>
      <c r="K40" s="419">
        <f>Sources!J40</f>
        <v>250</v>
      </c>
      <c r="L40" s="419">
        <f>Sources!K40</f>
        <v>0</v>
      </c>
      <c r="N40" s="438">
        <f t="shared" si="4"/>
        <v>1.3855381446489654</v>
      </c>
      <c r="P40" s="215">
        <f t="shared" si="5"/>
        <v>334.89087716889452</v>
      </c>
      <c r="Q40" s="215">
        <f t="shared" si="17"/>
        <v>11.493658993346868</v>
      </c>
      <c r="R40" s="215">
        <f t="shared" si="18"/>
        <v>250</v>
      </c>
      <c r="T40" s="214">
        <f t="shared" si="16"/>
        <v>250</v>
      </c>
      <c r="U40" s="214">
        <f t="shared" si="16"/>
        <v>0</v>
      </c>
      <c r="V40" s="214">
        <f t="shared" si="15"/>
        <v>0</v>
      </c>
      <c r="W40" s="214">
        <f t="shared" si="15"/>
        <v>0</v>
      </c>
      <c r="X40" s="214">
        <f t="shared" si="15"/>
        <v>0</v>
      </c>
      <c r="Y40" s="214">
        <f t="shared" si="15"/>
        <v>0</v>
      </c>
      <c r="Z40" s="214">
        <f t="shared" si="15"/>
        <v>0</v>
      </c>
      <c r="AA40" s="214">
        <f t="shared" si="15"/>
        <v>0</v>
      </c>
      <c r="AB40" s="214">
        <f t="shared" si="15"/>
        <v>0</v>
      </c>
      <c r="AC40" s="214">
        <f t="shared" si="15"/>
        <v>0</v>
      </c>
      <c r="AD40" s="214">
        <f t="shared" si="15"/>
        <v>0</v>
      </c>
      <c r="AF40" s="214">
        <f>IF(AND(($D40+$C$1)&gt;AF$3,AF$3&gt;=$C$1),'General Inputs'!D$9*$G40,IF(AND(($C40+$C$1)&gt;AF$3,AF$3&gt;=$C$1),'General Inputs'!D$9*$F40,0))</f>
        <v>30.01208104399581</v>
      </c>
      <c r="AG40" s="214">
        <f>IF(AND(($D40+$C$1)&gt;AG$3,AG$3&gt;=$C$1),'General Inputs'!E$9*$G40,IF(AND(($C40+$C$1)&gt;AG$3,AG$3&gt;=$C$1),'General Inputs'!E$9*$F40,0))</f>
        <v>30.462262259655741</v>
      </c>
      <c r="AH40" s="214">
        <f>IF(AND(($D40+$C$1)&gt;AH$3,AH$3&gt;=$C$1),'General Inputs'!F$9*$G40,IF(AND(($C40+$C$1)&gt;AH$3,AH$3&gt;=$C$1),'General Inputs'!F$9*$F40,0))</f>
        <v>30.919196193550576</v>
      </c>
      <c r="AI40" s="214">
        <f>IF(AND(($D40+$C$1)&gt;AI$3,AI$3&gt;=$C$1),'General Inputs'!G$9*$G40,IF(AND(($C40+$C$1)&gt;AI$3,AI$3&gt;=$C$1),'General Inputs'!G$9*$F40,0))</f>
        <v>31.382984136453832</v>
      </c>
      <c r="AJ40" s="214">
        <f>IF(AND(($D40+$C$1)&gt;AJ$3,AJ$3&gt;=$C$1),'General Inputs'!H$9*$G40,IF(AND(($C40+$C$1)&gt;AJ$3,AJ$3&gt;=$C$1),'General Inputs'!H$9*$F40,0))</f>
        <v>31.853728898500634</v>
      </c>
      <c r="AK40" s="214">
        <f>IF(AND(($D40+$C$1)&gt;AK$3,AK$3&gt;=$C$1),'General Inputs'!I$9*$G40,IF(AND(($C40+$C$1)&gt;AK$3,AK$3&gt;=$C$1),'General Inputs'!I$9*$F40,0))</f>
        <v>32.331534831978139</v>
      </c>
      <c r="AL40" s="214">
        <f>IF(AND(($D40+$C$1)&gt;AL$3,AL$3&gt;=$C$1),'General Inputs'!J$9*$G40,IF(AND(($C40+$C$1)&gt;AL$3,AL$3&gt;=$C$1),'General Inputs'!J$9*$F40,0))</f>
        <v>32.816507854457804</v>
      </c>
      <c r="AM40" s="214">
        <f>IF(AND(($D40+$C$1)&gt;AM$3,AM$3&gt;=$C$1),'General Inputs'!K$9*$G40,IF(AND(($C40+$C$1)&gt;AM$3,AM$3&gt;=$C$1),'General Inputs'!K$9*$F40,0))</f>
        <v>33.308755472274669</v>
      </c>
      <c r="AN40" s="214">
        <f>IF(AND(($D40+$C$1)&gt;AN$3,AN$3&gt;=$C$1),'General Inputs'!L$9*$G40,IF(AND(($C40+$C$1)&gt;AN$3,AN$3&gt;=$C$1),'General Inputs'!L$9*$F40,0))</f>
        <v>33.808386804358783</v>
      </c>
      <c r="AO40" s="214">
        <f>IF(AND(($D40+$C$1)&gt;AO$3,AO$3&gt;=$C$1),'General Inputs'!M$9*$G40,IF(AND(($C40+$C$1)&gt;AO$3,AO$3&gt;=$C$1),'General Inputs'!M$9*$F40,0))</f>
        <v>34.315512606424164</v>
      </c>
      <c r="AP40" s="214">
        <f>IF(AND(($D40+$C$1)&gt;AP$3,AP$3&gt;=$C$1),'General Inputs'!N$9*$G40,IF(AND(($C40+$C$1)&gt;AP$3,AP$3&gt;=$C$1),'General Inputs'!N$9*$F40,0))</f>
        <v>34.83024529552052</v>
      </c>
      <c r="AQ40" s="214">
        <f>IF(AND(($D40+$C$1)&gt;AQ$3,AQ$3&gt;=$C$1),'General Inputs'!O$9*$G40,IF(AND(($C40+$C$1)&gt;AQ$3,AQ$3&gt;=$C$1),'General Inputs'!O$9*$F40,0))</f>
        <v>35.352698974953327</v>
      </c>
      <c r="AR40" s="214">
        <f>IF(AND(($D40+$C$1)&gt;AR$3,AR$3&gt;=$C$1),'General Inputs'!P$9*$G40,IF(AND(($C40+$C$1)&gt;AR$3,AR$3&gt;=$C$1),'General Inputs'!P$9*$F40,0))</f>
        <v>35.882989459577622</v>
      </c>
      <c r="AS40" s="214">
        <f>IF(AND(($D40+$C$1)&gt;AS$3,AS$3&gt;=$C$1),'General Inputs'!Q$9*$G40,IF(AND(($C40+$C$1)&gt;AS$3,AS$3&gt;=$C$1),'General Inputs'!Q$9*$F40,0))</f>
        <v>36.421234301471287</v>
      </c>
      <c r="AT40" s="214">
        <f>IF(AND(($D40+$C$1)&gt;AT$3,AT$3&gt;=$C$1),'General Inputs'!R$9*$G40,IF(AND(($C40+$C$1)&gt;AT$3,AT$3&gt;=$C$1),'General Inputs'!R$9*$F40,0))</f>
        <v>36.967552815993351</v>
      </c>
      <c r="AU40" s="214">
        <f>IF(AND(($D40+$C$1)&gt;AU$3,AU$3&gt;=$C$1),'General Inputs'!S$9*$G40,IF(AND(($C40+$C$1)&gt;AU$3,AU$3&gt;=$C$1),'General Inputs'!S$9*$F40,0))</f>
        <v>37.522066108233247</v>
      </c>
      <c r="AV40" s="214">
        <f>IF(AND(($D40+$C$1)&gt;AV$3,AV$3&gt;=$C$1),'General Inputs'!T$9*$G40,IF(AND(($C40+$C$1)&gt;AV$3,AV$3&gt;=$C$1),'General Inputs'!T$9*$F40,0))</f>
        <v>38.084897099856747</v>
      </c>
      <c r="AW40" s="214">
        <f>IF(AND(($D40+$C$1)&gt;AW$3,AW$3&gt;=$C$1),'General Inputs'!U$9*$G40,IF(AND(($C40+$C$1)&gt;AW$3,AW$3&gt;=$C$1),'General Inputs'!U$9*$F40,0))</f>
        <v>38.656170556354596</v>
      </c>
      <c r="AX40" s="214">
        <f>IF(AND(($D40+$C$1)&gt;AX$3,AX$3&gt;=$C$1),'General Inputs'!V$9*$G40,IF(AND(($C40+$C$1)&gt;AX$3,AX$3&gt;=$C$1),'General Inputs'!V$9*$F40,0))</f>
        <v>39.236013114699908</v>
      </c>
      <c r="AY40" s="214">
        <f>IF(AND(($D40+$C$1)&gt;AY$3,AY$3&gt;=$C$1),'General Inputs'!W$9*$G40,IF(AND(($C40+$C$1)&gt;AY$3,AY$3&gt;=$C$1),'General Inputs'!W$9*$F40,0))</f>
        <v>39.824553311420402</v>
      </c>
      <c r="BA40" s="214">
        <f>IF(AND(($D40+$C$1)&gt;AF$3,AF$3&gt;=$C$1),'General Inputs'!D$10*$I40,IF(AND(($C40+$C$1)&gt;AF$3,AF$3&gt;=$C$1),'General Inputs'!D$10*$H40,0))</f>
        <v>1.0300329113665601</v>
      </c>
      <c r="BB40" s="214">
        <f>IF(AND(($D40+$C$1)&gt;AG$3,AG$3&gt;=$C$1),'General Inputs'!E$10*$I40,IF(AND(($C40+$C$1)&gt;AG$3,AG$3&gt;=$C$1),'General Inputs'!E$10*$H40,0))</f>
        <v>1.0454834050370583</v>
      </c>
      <c r="BC40" s="214">
        <f>IF(AND(($D40+$C$1)&gt;AH$3,AH$3&gt;=$C$1),'General Inputs'!F$10*$I40,IF(AND(($C40+$C$1)&gt;AH$3,AH$3&gt;=$C$1),'General Inputs'!F$10*$H40,0))</f>
        <v>1.0611656561126142</v>
      </c>
      <c r="BD40" s="214">
        <f>IF(AND(($D40+$C$1)&gt;AI$3,AI$3&gt;=$C$1),'General Inputs'!G$10*$I40,IF(AND(($C40+$C$1)&gt;AI$3,AI$3&gt;=$C$1),'General Inputs'!G$10*$H40,0))</f>
        <v>1.0770831409543031</v>
      </c>
      <c r="BE40" s="214">
        <f>IF(AND(($D40+$C$1)&gt;AJ$3,AJ$3&gt;=$C$1),'General Inputs'!H$10*$I40,IF(AND(($C40+$C$1)&gt;AJ$3,AJ$3&gt;=$C$1),'General Inputs'!H$10*$H40,0))</f>
        <v>1.0932393880686178</v>
      </c>
      <c r="BF40" s="214">
        <f>IF(AND(($D40+$C$1)&gt;AK$3,AK$3&gt;=$C$1),'General Inputs'!I$10*$I40,IF(AND(($C40+$C$1)&gt;AK$3,AK$3&gt;=$C$1),'General Inputs'!I$10*$H40,0))</f>
        <v>1.1096379788896467</v>
      </c>
      <c r="BG40" s="214">
        <f>IF(AND(($D40+$C$1)&gt;AL$3,AL$3&gt;=$C$1),'General Inputs'!J$10*$I40,IF(AND(($C40+$C$1)&gt;AL$3,AL$3&gt;=$C$1),'General Inputs'!J$10*$H40,0))</f>
        <v>1.1262825485729913</v>
      </c>
      <c r="BH40" s="214">
        <f>IF(AND(($D40+$C$1)&gt;AM$3,AM$3&gt;=$C$1),'General Inputs'!K$10*$I40,IF(AND(($C40+$C$1)&gt;AM$3,AM$3&gt;=$C$1),'General Inputs'!K$10*$H40,0))</f>
        <v>1.1431767868015861</v>
      </c>
      <c r="BI40" s="214">
        <f>IF(AND(($D40+$C$1)&gt;AN$3,AN$3&gt;=$C$1),'General Inputs'!L$10*$I40,IF(AND(($C40+$C$1)&gt;AN$3,AN$3&gt;=$C$1),'General Inputs'!L$10*$H40,0))</f>
        <v>1.1603244386036098</v>
      </c>
      <c r="BJ40" s="214">
        <f>IF(AND(($D40+$C$1)&gt;AO$3,AO$3&gt;=$C$1),'General Inputs'!M$10*$I40,IF(AND(($C40+$C$1)&gt;AO$3,AO$3&gt;=$C$1),'General Inputs'!M$10*$H40,0))</f>
        <v>1.1777293051826638</v>
      </c>
      <c r="BK40" s="214">
        <f>IF(AND(($D40+$C$1)&gt;AP$3,AP$3&gt;=$C$1),'General Inputs'!N$10*$I40,IF(AND(($C40+$C$1)&gt;AP$3,AP$3&gt;=$C$1),'General Inputs'!N$10*$H40,0))</f>
        <v>1.1953952447604037</v>
      </c>
      <c r="BL40" s="214">
        <f>IF(AND(($D40+$C$1)&gt;AQ$3,AQ$3&gt;=$C$1),'General Inputs'!O$10*$I40,IF(AND(($C40+$C$1)&gt;AQ$3,AQ$3&gt;=$C$1),'General Inputs'!O$10*$H40,0))</f>
        <v>1.2133261734318097</v>
      </c>
      <c r="BM40" s="214">
        <f>IF(AND(($D40+$C$1)&gt;AR$3,AR$3&gt;=$C$1),'General Inputs'!P$10*$I40,IF(AND(($C40+$C$1)&gt;AR$3,AR$3&gt;=$C$1),'General Inputs'!P$10*$H40,0))</f>
        <v>1.2315260660332867</v>
      </c>
      <c r="BN40" s="214">
        <f>IF(AND(($D40+$C$1)&gt;AS$3,AS$3&gt;=$C$1),'General Inputs'!Q$10*$I40,IF(AND(($C40+$C$1)&gt;AS$3,AS$3&gt;=$C$1),'General Inputs'!Q$10*$H40,0))</f>
        <v>1.2499989570237859</v>
      </c>
      <c r="BO40" s="214">
        <f>IF(AND(($D40+$C$1)&gt;AT$3,AT$3&gt;=$C$1),'General Inputs'!R$10*$I40,IF(AND(($C40+$C$1)&gt;AT$3,AT$3&gt;=$C$1),'General Inputs'!R$10*$H40,0))</f>
        <v>1.2687489413791424</v>
      </c>
      <c r="BP40" s="214">
        <f>IF(AND(($D40+$C$1)&gt;AU$3,AU$3&gt;=$C$1),'General Inputs'!S$10*$I40,IF(AND(($C40+$C$1)&gt;AU$3,AU$3&gt;=$C$1),'General Inputs'!S$10*$H40,0))</f>
        <v>1.2877801754998295</v>
      </c>
      <c r="BQ40" s="214">
        <f>IF(AND(($D40+$C$1)&gt;AV$3,AV$3&gt;=$C$1),'General Inputs'!T$10*$I40,IF(AND(($C40+$C$1)&gt;AV$3,AV$3&gt;=$C$1),'General Inputs'!T$10*$H40,0))</f>
        <v>1.3070968781323269</v>
      </c>
      <c r="BR40" s="214">
        <f>IF(AND(($D40+$C$1)&gt;AW$3,AW$3&gt;=$C$1),'General Inputs'!U$10*$I40,IF(AND(($C40+$C$1)&gt;AW$3,AW$3&gt;=$C$1),'General Inputs'!U$10*$H40,0))</f>
        <v>1.3267033313043117</v>
      </c>
      <c r="BS40" s="214">
        <f>IF(AND(($D40+$C$1)&gt;AX$3,AX$3&gt;=$C$1),'General Inputs'!V$10*$I40,IF(AND(($C40+$C$1)&gt;AX$3,AX$3&gt;=$C$1),'General Inputs'!V$10*$H40,0))</f>
        <v>1.3466038812738761</v>
      </c>
      <c r="BT40" s="214">
        <f>IF(AND(($D40+$C$1)&gt;AY$3,AY$3&gt;=$C$1),'General Inputs'!W$10*$I40,IF(AND(($C40+$C$1)&gt;AY$3,AY$3&gt;=$C$1),'General Inputs'!W$10*$H40,0))</f>
        <v>1.3668029394929841</v>
      </c>
    </row>
    <row r="41" spans="1:72">
      <c r="A41" s="341" t="s">
        <v>12</v>
      </c>
      <c r="B41" s="427" t="str">
        <f>Sources!B41</f>
        <v>Ductless Mini-Split SEER 21</v>
      </c>
      <c r="C41" s="193">
        <f>Sources!C41</f>
        <v>18</v>
      </c>
      <c r="D41" s="193">
        <f>Sources!D41</f>
        <v>0</v>
      </c>
      <c r="F41" s="429">
        <f>Sources!F41*EnergyLineLoss</f>
        <v>1273.0155616724742</v>
      </c>
      <c r="G41" s="429">
        <f>Sources!G41*EnergyLineLoss</f>
        <v>0</v>
      </c>
      <c r="H41" s="477">
        <f>Sources!H41*PeakLineLoss</f>
        <v>0.58412153215077611</v>
      </c>
      <c r="I41" s="477">
        <f>Sources!I41*PeakLineLoss</f>
        <v>0</v>
      </c>
      <c r="K41" s="419">
        <f>Sources!J41</f>
        <v>1055.8714961155604</v>
      </c>
      <c r="L41" s="419">
        <f>Sources!K41</f>
        <v>0</v>
      </c>
      <c r="N41" s="438">
        <f t="shared" si="4"/>
        <v>0.59708951568300439</v>
      </c>
      <c r="P41" s="215">
        <f t="shared" si="5"/>
        <v>537.66016239334624</v>
      </c>
      <c r="Q41" s="215">
        <f t="shared" si="17"/>
        <v>92.789637845783034</v>
      </c>
      <c r="R41" s="215">
        <f t="shared" si="18"/>
        <v>1055.8714961155604</v>
      </c>
      <c r="T41" s="214">
        <f t="shared" si="16"/>
        <v>1055.8714961155604</v>
      </c>
      <c r="U41" s="214">
        <f t="shared" si="16"/>
        <v>0</v>
      </c>
      <c r="V41" s="214">
        <f t="shared" si="15"/>
        <v>0</v>
      </c>
      <c r="W41" s="214">
        <f t="shared" si="15"/>
        <v>0</v>
      </c>
      <c r="X41" s="214">
        <f t="shared" si="15"/>
        <v>0</v>
      </c>
      <c r="Y41" s="214">
        <f t="shared" si="15"/>
        <v>0</v>
      </c>
      <c r="Z41" s="214">
        <f t="shared" si="15"/>
        <v>0</v>
      </c>
      <c r="AA41" s="214">
        <f t="shared" si="15"/>
        <v>0</v>
      </c>
      <c r="AB41" s="214">
        <f t="shared" si="15"/>
        <v>0</v>
      </c>
      <c r="AC41" s="214">
        <f t="shared" si="15"/>
        <v>0</v>
      </c>
      <c r="AD41" s="214">
        <f t="shared" si="15"/>
        <v>0</v>
      </c>
      <c r="AF41" s="214">
        <f>IF(AND(($D41+$C$1)&gt;AF$3,AF$3&gt;=$C$1),'General Inputs'!D$9*$G41,IF(AND(($C41+$C$1)&gt;AF$3,AF$3&gt;=$C$1),'General Inputs'!D$9*$F41,0))</f>
        <v>50.681638288207239</v>
      </c>
      <c r="AG41" s="214">
        <f>IF(AND(($D41+$C$1)&gt;AG$3,AG$3&gt;=$C$1),'General Inputs'!E$9*$G41,IF(AND(($C41+$C$1)&gt;AG$3,AG$3&gt;=$C$1),'General Inputs'!E$9*$F41,0))</f>
        <v>51.441862862530343</v>
      </c>
      <c r="AH41" s="214">
        <f>IF(AND(($D41+$C$1)&gt;AH$3,AH$3&gt;=$C$1),'General Inputs'!F$9*$G41,IF(AND(($C41+$C$1)&gt;AH$3,AH$3&gt;=$C$1),'General Inputs'!F$9*$F41,0))</f>
        <v>52.21349080546829</v>
      </c>
      <c r="AI41" s="214">
        <f>IF(AND(($D41+$C$1)&gt;AI$3,AI$3&gt;=$C$1),'General Inputs'!G$9*$G41,IF(AND(($C41+$C$1)&gt;AI$3,AI$3&gt;=$C$1),'General Inputs'!G$9*$F41,0))</f>
        <v>52.996693167550312</v>
      </c>
      <c r="AJ41" s="214">
        <f>IF(AND(($D41+$C$1)&gt;AJ$3,AJ$3&gt;=$C$1),'General Inputs'!H$9*$G41,IF(AND(($C41+$C$1)&gt;AJ$3,AJ$3&gt;=$C$1),'General Inputs'!H$9*$F41,0))</f>
        <v>53.791643565063559</v>
      </c>
      <c r="AK41" s="214">
        <f>IF(AND(($D41+$C$1)&gt;AK$3,AK$3&gt;=$C$1),'General Inputs'!I$9*$G41,IF(AND(($C41+$C$1)&gt;AK$3,AK$3&gt;=$C$1),'General Inputs'!I$9*$F41,0))</f>
        <v>54.598518218539503</v>
      </c>
      <c r="AL41" s="214">
        <f>IF(AND(($D41+$C$1)&gt;AL$3,AL$3&gt;=$C$1),'General Inputs'!J$9*$G41,IF(AND(($C41+$C$1)&gt;AL$3,AL$3&gt;=$C$1),'General Inputs'!J$9*$F41,0))</f>
        <v>55.417495991817589</v>
      </c>
      <c r="AM41" s="214">
        <f>IF(AND(($D41+$C$1)&gt;AM$3,AM$3&gt;=$C$1),'General Inputs'!K$9*$G41,IF(AND(($C41+$C$1)&gt;AM$3,AM$3&gt;=$C$1),'General Inputs'!K$9*$F41,0))</f>
        <v>56.248758431694839</v>
      </c>
      <c r="AN41" s="214">
        <f>IF(AND(($D41+$C$1)&gt;AN$3,AN$3&gt;=$C$1),'General Inputs'!L$9*$G41,IF(AND(($C41+$C$1)&gt;AN$3,AN$3&gt;=$C$1),'General Inputs'!L$9*$F41,0))</f>
        <v>57.092489808170257</v>
      </c>
      <c r="AO41" s="214">
        <f>IF(AND(($D41+$C$1)&gt;AO$3,AO$3&gt;=$C$1),'General Inputs'!M$9*$G41,IF(AND(($C41+$C$1)&gt;AO$3,AO$3&gt;=$C$1),'General Inputs'!M$9*$F41,0))</f>
        <v>57.948877155292806</v>
      </c>
      <c r="AP41" s="214">
        <f>IF(AND(($D41+$C$1)&gt;AP$3,AP$3&gt;=$C$1),'General Inputs'!N$9*$G41,IF(AND(($C41+$C$1)&gt;AP$3,AP$3&gt;=$C$1),'General Inputs'!N$9*$F41,0))</f>
        <v>58.818110312622196</v>
      </c>
      <c r="AQ41" s="214">
        <f>IF(AND(($D41+$C$1)&gt;AQ$3,AQ$3&gt;=$C$1),'General Inputs'!O$9*$G41,IF(AND(($C41+$C$1)&gt;AQ$3,AQ$3&gt;=$C$1),'General Inputs'!O$9*$F41,0))</f>
        <v>59.700381967311522</v>
      </c>
      <c r="AR41" s="214">
        <f>IF(AND(($D41+$C$1)&gt;AR$3,AR$3&gt;=$C$1),'General Inputs'!P$9*$G41,IF(AND(($C41+$C$1)&gt;AR$3,AR$3&gt;=$C$1),'General Inputs'!P$9*$F41,0))</f>
        <v>60.595887696821187</v>
      </c>
      <c r="AS41" s="214">
        <f>IF(AND(($D41+$C$1)&gt;AS$3,AS$3&gt;=$C$1),'General Inputs'!Q$9*$G41,IF(AND(($C41+$C$1)&gt;AS$3,AS$3&gt;=$C$1),'General Inputs'!Q$9*$F41,0))</f>
        <v>61.504826012273497</v>
      </c>
      <c r="AT41" s="214">
        <f>IF(AND(($D41+$C$1)&gt;AT$3,AT$3&gt;=$C$1),'General Inputs'!R$9*$G41,IF(AND(($C41+$C$1)&gt;AT$3,AT$3&gt;=$C$1),'General Inputs'!R$9*$F41,0))</f>
        <v>62.427398402457598</v>
      </c>
      <c r="AU41" s="214">
        <f>IF(AND(($D41+$C$1)&gt;AU$3,AU$3&gt;=$C$1),'General Inputs'!S$9*$G41,IF(AND(($C41+$C$1)&gt;AU$3,AU$3&gt;=$C$1),'General Inputs'!S$9*$F41,0))</f>
        <v>63.363809378494459</v>
      </c>
      <c r="AV41" s="214">
        <f>IF(AND(($D41+$C$1)&gt;AV$3,AV$3&gt;=$C$1),'General Inputs'!T$9*$G41,IF(AND(($C41+$C$1)&gt;AV$3,AV$3&gt;=$C$1),'General Inputs'!T$9*$F41,0))</f>
        <v>64.314266519171866</v>
      </c>
      <c r="AW41" s="214">
        <f>IF(AND(($D41+$C$1)&gt;AW$3,AW$3&gt;=$C$1),'General Inputs'!U$9*$G41,IF(AND(($C41+$C$1)&gt;AW$3,AW$3&gt;=$C$1),'General Inputs'!U$9*$F41,0))</f>
        <v>65.27898051695945</v>
      </c>
      <c r="AX41" s="214">
        <f>IF(AND(($D41+$C$1)&gt;AX$3,AX$3&gt;=$C$1),'General Inputs'!V$9*$G41,IF(AND(($C41+$C$1)&gt;AX$3,AX$3&gt;=$C$1),'General Inputs'!V$9*$F41,0))</f>
        <v>0</v>
      </c>
      <c r="AY41" s="214">
        <f>IF(AND(($D41+$C$1)&gt;AY$3,AY$3&gt;=$C$1),'General Inputs'!W$9*$G41,IF(AND(($C41+$C$1)&gt;AY$3,AY$3&gt;=$C$1),'General Inputs'!W$9*$F41,0))</f>
        <v>0</v>
      </c>
      <c r="BA41" s="214">
        <f>IF(AND(($D41+$C$1)&gt;AF$3,AF$3&gt;=$C$1),'General Inputs'!D$10*$I41,IF(AND(($C41+$C$1)&gt;AF$3,AF$3&gt;=$C$1),'General Inputs'!D$10*$H41,0))</f>
        <v>8.7466604207013106</v>
      </c>
      <c r="BB41" s="214">
        <f>IF(AND(($D41+$C$1)&gt;AG$3,AG$3&gt;=$C$1),'General Inputs'!E$10*$I41,IF(AND(($C41+$C$1)&gt;AG$3,AG$3&gt;=$C$1),'General Inputs'!E$10*$H41,0))</f>
        <v>8.8778603270118293</v>
      </c>
      <c r="BC41" s="214">
        <f>IF(AND(($D41+$C$1)&gt;AH$3,AH$3&gt;=$C$1),'General Inputs'!F$10*$I41,IF(AND(($C41+$C$1)&gt;AH$3,AH$3&gt;=$C$1),'General Inputs'!F$10*$H41,0))</f>
        <v>9.0110282319170061</v>
      </c>
      <c r="BD41" s="214">
        <f>IF(AND(($D41+$C$1)&gt;AI$3,AI$3&gt;=$C$1),'General Inputs'!G$10*$I41,IF(AND(($C41+$C$1)&gt;AI$3,AI$3&gt;=$C$1),'General Inputs'!G$10*$H41,0))</f>
        <v>9.146193655395761</v>
      </c>
      <c r="BE41" s="214">
        <f>IF(AND(($D41+$C$1)&gt;AJ$3,AJ$3&gt;=$C$1),'General Inputs'!H$10*$I41,IF(AND(($C41+$C$1)&gt;AJ$3,AJ$3&gt;=$C$1),'General Inputs'!H$10*$H41,0))</f>
        <v>9.2833865602266972</v>
      </c>
      <c r="BF41" s="214">
        <f>IF(AND(($D41+$C$1)&gt;AK$3,AK$3&gt;=$C$1),'General Inputs'!I$10*$I41,IF(AND(($C41+$C$1)&gt;AK$3,AK$3&gt;=$C$1),'General Inputs'!I$10*$H41,0))</f>
        <v>9.4226373586300962</v>
      </c>
      <c r="BG41" s="214">
        <f>IF(AND(($D41+$C$1)&gt;AL$3,AL$3&gt;=$C$1),'General Inputs'!J$10*$I41,IF(AND(($C41+$C$1)&gt;AL$3,AL$3&gt;=$C$1),'General Inputs'!J$10*$H41,0))</f>
        <v>9.5639769190095461</v>
      </c>
      <c r="BH41" s="214">
        <f>IF(AND(($D41+$C$1)&gt;AM$3,AM$3&gt;=$C$1),'General Inputs'!K$10*$I41,IF(AND(($C41+$C$1)&gt;AM$3,AM$3&gt;=$C$1),'General Inputs'!K$10*$H41,0))</f>
        <v>9.7074365727946876</v>
      </c>
      <c r="BI41" s="214">
        <f>IF(AND(($D41+$C$1)&gt;AN$3,AN$3&gt;=$C$1),'General Inputs'!L$10*$I41,IF(AND(($C41+$C$1)&gt;AN$3,AN$3&gt;=$C$1),'General Inputs'!L$10*$H41,0))</f>
        <v>9.8530481213866086</v>
      </c>
      <c r="BJ41" s="214">
        <f>IF(AND(($D41+$C$1)&gt;AO$3,AO$3&gt;=$C$1),'General Inputs'!M$10*$I41,IF(AND(($C41+$C$1)&gt;AO$3,AO$3&gt;=$C$1),'General Inputs'!M$10*$H41,0))</f>
        <v>10.000843843207408</v>
      </c>
      <c r="BK41" s="214">
        <f>IF(AND(($D41+$C$1)&gt;AP$3,AP$3&gt;=$C$1),'General Inputs'!N$10*$I41,IF(AND(($C41+$C$1)&gt;AP$3,AP$3&gt;=$C$1),'General Inputs'!N$10*$H41,0))</f>
        <v>10.150856500855516</v>
      </c>
      <c r="BL41" s="214">
        <f>IF(AND(($D41+$C$1)&gt;AQ$3,AQ$3&gt;=$C$1),'General Inputs'!O$10*$I41,IF(AND(($C41+$C$1)&gt;AQ$3,AQ$3&gt;=$C$1),'General Inputs'!O$10*$H41,0))</f>
        <v>10.303119348368348</v>
      </c>
      <c r="BM41" s="214">
        <f>IF(AND(($D41+$C$1)&gt;AR$3,AR$3&gt;=$C$1),'General Inputs'!P$10*$I41,IF(AND(($C41+$C$1)&gt;AR$3,AR$3&gt;=$C$1),'General Inputs'!P$10*$H41,0))</f>
        <v>10.457666138593872</v>
      </c>
      <c r="BN41" s="214">
        <f>IF(AND(($D41+$C$1)&gt;AS$3,AS$3&gt;=$C$1),'General Inputs'!Q$10*$I41,IF(AND(($C41+$C$1)&gt;AS$3,AS$3&gt;=$C$1),'General Inputs'!Q$10*$H41,0))</f>
        <v>10.614531130672781</v>
      </c>
      <c r="BO41" s="214">
        <f>IF(AND(($D41+$C$1)&gt;AT$3,AT$3&gt;=$C$1),'General Inputs'!R$10*$I41,IF(AND(($C41+$C$1)&gt;AT$3,AT$3&gt;=$C$1),'General Inputs'!R$10*$H41,0))</f>
        <v>10.773749097632869</v>
      </c>
      <c r="BP41" s="214">
        <f>IF(AND(($D41+$C$1)&gt;AU$3,AU$3&gt;=$C$1),'General Inputs'!S$10*$I41,IF(AND(($C41+$C$1)&gt;AU$3,AU$3&gt;=$C$1),'General Inputs'!S$10*$H41,0))</f>
        <v>10.935355334097363</v>
      </c>
      <c r="BQ41" s="214">
        <f>IF(AND(($D41+$C$1)&gt;AV$3,AV$3&gt;=$C$1),'General Inputs'!T$10*$I41,IF(AND(($C41+$C$1)&gt;AV$3,AV$3&gt;=$C$1),'General Inputs'!T$10*$H41,0))</f>
        <v>11.099385664108821</v>
      </c>
      <c r="BR41" s="214">
        <f>IF(AND(($D41+$C$1)&gt;AW$3,AW$3&gt;=$C$1),'General Inputs'!U$10*$I41,IF(AND(($C41+$C$1)&gt;AW$3,AW$3&gt;=$C$1),'General Inputs'!U$10*$H41,0))</f>
        <v>11.265876449070452</v>
      </c>
      <c r="BS41" s="214">
        <f>IF(AND(($D41+$C$1)&gt;AX$3,AX$3&gt;=$C$1),'General Inputs'!V$10*$I41,IF(AND(($C41+$C$1)&gt;AX$3,AX$3&gt;=$C$1),'General Inputs'!V$10*$H41,0))</f>
        <v>0</v>
      </c>
      <c r="BT41" s="214">
        <f>IF(AND(($D41+$C$1)&gt;AY$3,AY$3&gt;=$C$1),'General Inputs'!W$10*$I41,IF(AND(($C41+$C$1)&gt;AY$3,AY$3&gt;=$C$1),'General Inputs'!W$10*$H41,0))</f>
        <v>0</v>
      </c>
    </row>
    <row r="42" spans="1:72">
      <c r="A42" s="341" t="s">
        <v>12</v>
      </c>
      <c r="B42" s="427" t="str">
        <f>Sources!B42</f>
        <v>Geothermal EER ≥21</v>
      </c>
      <c r="C42" s="193">
        <f>Sources!C42</f>
        <v>18</v>
      </c>
      <c r="D42" s="193">
        <f>Sources!D42</f>
        <v>0</v>
      </c>
      <c r="F42" s="429">
        <f>Sources!F42*EnergyLineLoss</f>
        <v>5187.9964220182746</v>
      </c>
      <c r="G42" s="429">
        <f>Sources!G42*EnergyLineLoss</f>
        <v>0</v>
      </c>
      <c r="H42" s="477">
        <f>Sources!H42*PeakLineLoss</f>
        <v>0.81139897673293904</v>
      </c>
      <c r="I42" s="477">
        <f>Sources!I42*PeakLineLoss</f>
        <v>0</v>
      </c>
      <c r="K42" s="419">
        <f>Sources!J42</f>
        <v>1230</v>
      </c>
      <c r="L42" s="419">
        <f>Sources!K42</f>
        <v>0</v>
      </c>
      <c r="N42" s="438">
        <f t="shared" si="4"/>
        <v>1.8862211496557282</v>
      </c>
      <c r="P42" s="215">
        <f t="shared" si="5"/>
        <v>2191.1586022513256</v>
      </c>
      <c r="Q42" s="215">
        <f t="shared" si="17"/>
        <v>128.8934118252198</v>
      </c>
      <c r="R42" s="215">
        <f t="shared" si="18"/>
        <v>1230</v>
      </c>
      <c r="T42" s="214">
        <f t="shared" si="16"/>
        <v>1230</v>
      </c>
      <c r="U42" s="214">
        <f t="shared" si="16"/>
        <v>0</v>
      </c>
      <c r="V42" s="214">
        <f t="shared" si="15"/>
        <v>0</v>
      </c>
      <c r="W42" s="214">
        <f t="shared" si="15"/>
        <v>0</v>
      </c>
      <c r="X42" s="214">
        <f t="shared" si="15"/>
        <v>0</v>
      </c>
      <c r="Y42" s="214">
        <f t="shared" si="15"/>
        <v>0</v>
      </c>
      <c r="Z42" s="214">
        <f t="shared" si="15"/>
        <v>0</v>
      </c>
      <c r="AA42" s="214">
        <f t="shared" si="15"/>
        <v>0</v>
      </c>
      <c r="AB42" s="214">
        <f t="shared" si="15"/>
        <v>0</v>
      </c>
      <c r="AC42" s="214">
        <f t="shared" si="15"/>
        <v>0</v>
      </c>
      <c r="AD42" s="214">
        <f t="shared" si="15"/>
        <v>0</v>
      </c>
      <c r="AF42" s="214">
        <f>IF(AND(($D42+$C$1)&gt;AF$3,AF$3&gt;=$C$1),'General Inputs'!D$9*$G42,IF(AND(($C42+$C$1)&gt;AF$3,AF$3&gt;=$C$1),'General Inputs'!D$9*$F42,0))</f>
        <v>206.54591037033424</v>
      </c>
      <c r="AG42" s="214">
        <f>IF(AND(($D42+$C$1)&gt;AG$3,AG$3&gt;=$C$1),'General Inputs'!E$9*$G42,IF(AND(($C42+$C$1)&gt;AG$3,AG$3&gt;=$C$1),'General Inputs'!E$9*$F42,0))</f>
        <v>209.64409902588923</v>
      </c>
      <c r="AH42" s="214">
        <f>IF(AND(($D42+$C$1)&gt;AH$3,AH$3&gt;=$C$1),'General Inputs'!F$9*$G42,IF(AND(($C42+$C$1)&gt;AH$3,AH$3&gt;=$C$1),'General Inputs'!F$9*$F42,0))</f>
        <v>212.78876051127753</v>
      </c>
      <c r="AI42" s="214">
        <f>IF(AND(($D42+$C$1)&gt;AI$3,AI$3&gt;=$C$1),'General Inputs'!G$9*$G42,IF(AND(($C42+$C$1)&gt;AI$3,AI$3&gt;=$C$1),'General Inputs'!G$9*$F42,0))</f>
        <v>215.98059191894669</v>
      </c>
      <c r="AJ42" s="214">
        <f>IF(AND(($D42+$C$1)&gt;AJ$3,AJ$3&gt;=$C$1),'General Inputs'!H$9*$G42,IF(AND(($C42+$C$1)&gt;AJ$3,AJ$3&gt;=$C$1),'General Inputs'!H$9*$F42,0))</f>
        <v>219.22030079773086</v>
      </c>
      <c r="AK42" s="214">
        <f>IF(AND(($D42+$C$1)&gt;AK$3,AK$3&gt;=$C$1),'General Inputs'!I$9*$G42,IF(AND(($C42+$C$1)&gt;AK$3,AK$3&gt;=$C$1),'General Inputs'!I$9*$F42,0))</f>
        <v>222.50860530969678</v>
      </c>
      <c r="AL42" s="214">
        <f>IF(AND(($D42+$C$1)&gt;AL$3,AL$3&gt;=$C$1),'General Inputs'!J$9*$G42,IF(AND(($C42+$C$1)&gt;AL$3,AL$3&gt;=$C$1),'General Inputs'!J$9*$F42,0))</f>
        <v>225.84623438934221</v>
      </c>
      <c r="AM42" s="214">
        <f>IF(AND(($D42+$C$1)&gt;AM$3,AM$3&gt;=$C$1),'General Inputs'!K$9*$G42,IF(AND(($C42+$C$1)&gt;AM$3,AM$3&gt;=$C$1),'General Inputs'!K$9*$F42,0))</f>
        <v>229.2339279051823</v>
      </c>
      <c r="AN42" s="214">
        <f>IF(AND(($D42+$C$1)&gt;AN$3,AN$3&gt;=$C$1),'General Inputs'!L$9*$G42,IF(AND(($C42+$C$1)&gt;AN$3,AN$3&gt;=$C$1),'General Inputs'!L$9*$F42,0))</f>
        <v>232.67243682376002</v>
      </c>
      <c r="AO42" s="214">
        <f>IF(AND(($D42+$C$1)&gt;AO$3,AO$3&gt;=$C$1),'General Inputs'!M$9*$G42,IF(AND(($C42+$C$1)&gt;AO$3,AO$3&gt;=$C$1),'General Inputs'!M$9*$F42,0))</f>
        <v>236.16252337611638</v>
      </c>
      <c r="AP42" s="214">
        <f>IF(AND(($D42+$C$1)&gt;AP$3,AP$3&gt;=$C$1),'General Inputs'!N$9*$G42,IF(AND(($C42+$C$1)&gt;AP$3,AP$3&gt;=$C$1),'General Inputs'!N$9*$F42,0))</f>
        <v>239.70496122675812</v>
      </c>
      <c r="AQ42" s="214">
        <f>IF(AND(($D42+$C$1)&gt;AQ$3,AQ$3&gt;=$C$1),'General Inputs'!O$9*$G42,IF(AND(($C42+$C$1)&gt;AQ$3,AQ$3&gt;=$C$1),'General Inputs'!O$9*$F42,0))</f>
        <v>243.30053564515944</v>
      </c>
      <c r="AR42" s="214">
        <f>IF(AND(($D42+$C$1)&gt;AR$3,AR$3&gt;=$C$1),'General Inputs'!P$9*$G42,IF(AND(($C42+$C$1)&gt;AR$3,AR$3&gt;=$C$1),'General Inputs'!P$9*$F42,0))</f>
        <v>246.95004367983682</v>
      </c>
      <c r="AS42" s="214">
        <f>IF(AND(($D42+$C$1)&gt;AS$3,AS$3&gt;=$C$1),'General Inputs'!Q$9*$G42,IF(AND(($C42+$C$1)&gt;AS$3,AS$3&gt;=$C$1),'General Inputs'!Q$9*$F42,0))</f>
        <v>250.65429433503436</v>
      </c>
      <c r="AT42" s="214">
        <f>IF(AND(($D42+$C$1)&gt;AT$3,AT$3&gt;=$C$1),'General Inputs'!R$9*$G42,IF(AND(($C42+$C$1)&gt;AT$3,AT$3&gt;=$C$1),'General Inputs'!R$9*$F42,0))</f>
        <v>254.41410875005985</v>
      </c>
      <c r="AU42" s="214">
        <f>IF(AND(($D42+$C$1)&gt;AU$3,AU$3&gt;=$C$1),'General Inputs'!S$9*$G42,IF(AND(($C42+$C$1)&gt;AU$3,AU$3&gt;=$C$1),'General Inputs'!S$9*$F42,0))</f>
        <v>258.23032038131072</v>
      </c>
      <c r="AV42" s="214">
        <f>IF(AND(($D42+$C$1)&gt;AV$3,AV$3&gt;=$C$1),'General Inputs'!T$9*$G42,IF(AND(($C42+$C$1)&gt;AV$3,AV$3&gt;=$C$1),'General Inputs'!T$9*$F42,0))</f>
        <v>262.10377518703041</v>
      </c>
      <c r="AW42" s="214">
        <f>IF(AND(($D42+$C$1)&gt;AW$3,AW$3&gt;=$C$1),'General Inputs'!U$9*$G42,IF(AND(($C42+$C$1)&gt;AW$3,AW$3&gt;=$C$1),'General Inputs'!U$9*$F42,0))</f>
        <v>266.03533181483584</v>
      </c>
      <c r="AX42" s="214">
        <f>IF(AND(($D42+$C$1)&gt;AX$3,AX$3&gt;=$C$1),'General Inputs'!V$9*$G42,IF(AND(($C42+$C$1)&gt;AX$3,AX$3&gt;=$C$1),'General Inputs'!V$9*$F42,0))</f>
        <v>0</v>
      </c>
      <c r="AY42" s="214">
        <f>IF(AND(($D42+$C$1)&gt;AY$3,AY$3&gt;=$C$1),'General Inputs'!W$9*$G42,IF(AND(($C42+$C$1)&gt;AY$3,AY$3&gt;=$C$1),'General Inputs'!W$9*$F42,0))</f>
        <v>0</v>
      </c>
      <c r="BA42" s="214">
        <f>IF(AND(($D42+$C$1)&gt;AF$3,AF$3&gt;=$C$1),'General Inputs'!D$10*$I42,IF(AND(($C42+$C$1)&gt;AF$3,AF$3&gt;=$C$1),'General Inputs'!D$10*$H42,0))</f>
        <v>12.149922446884947</v>
      </c>
      <c r="BB42" s="214">
        <f>IF(AND(($D42+$C$1)&gt;AG$3,AG$3&gt;=$C$1),'General Inputs'!E$10*$I42,IF(AND(($C42+$C$1)&gt;AG$3,AG$3&gt;=$C$1),'General Inputs'!E$10*$H42,0))</f>
        <v>12.33217128358822</v>
      </c>
      <c r="BC42" s="214">
        <f>IF(AND(($D42+$C$1)&gt;AH$3,AH$3&gt;=$C$1),'General Inputs'!F$10*$I42,IF(AND(($C42+$C$1)&gt;AH$3,AH$3&gt;=$C$1),'General Inputs'!F$10*$H42,0))</f>
        <v>12.517153852842043</v>
      </c>
      <c r="BD42" s="214">
        <f>IF(AND(($D42+$C$1)&gt;AI$3,AI$3&gt;=$C$1),'General Inputs'!G$10*$I42,IF(AND(($C42+$C$1)&gt;AI$3,AI$3&gt;=$C$1),'General Inputs'!G$10*$H42,0))</f>
        <v>12.704911160634673</v>
      </c>
      <c r="BE42" s="214">
        <f>IF(AND(($D42+$C$1)&gt;AJ$3,AJ$3&gt;=$C$1),'General Inputs'!H$10*$I42,IF(AND(($C42+$C$1)&gt;AJ$3,AJ$3&gt;=$C$1),'General Inputs'!H$10*$H42,0))</f>
        <v>12.895484828044191</v>
      </c>
      <c r="BF42" s="214">
        <f>IF(AND(($D42+$C$1)&gt;AK$3,AK$3&gt;=$C$1),'General Inputs'!I$10*$I42,IF(AND(($C42+$C$1)&gt;AK$3,AK$3&gt;=$C$1),'General Inputs'!I$10*$H42,0))</f>
        <v>13.088917100464851</v>
      </c>
      <c r="BG42" s="214">
        <f>IF(AND(($D42+$C$1)&gt;AL$3,AL$3&gt;=$C$1),'General Inputs'!J$10*$I42,IF(AND(($C42+$C$1)&gt;AL$3,AL$3&gt;=$C$1),'General Inputs'!J$10*$H42,0))</f>
        <v>13.285250856971823</v>
      </c>
      <c r="BH42" s="214">
        <f>IF(AND(($D42+$C$1)&gt;AM$3,AM$3&gt;=$C$1),'General Inputs'!K$10*$I42,IF(AND(($C42+$C$1)&gt;AM$3,AM$3&gt;=$C$1),'General Inputs'!K$10*$H42,0))</f>
        <v>13.484529619826398</v>
      </c>
      <c r="BI42" s="214">
        <f>IF(AND(($D42+$C$1)&gt;AN$3,AN$3&gt;=$C$1),'General Inputs'!L$10*$I42,IF(AND(($C42+$C$1)&gt;AN$3,AN$3&gt;=$C$1),'General Inputs'!L$10*$H42,0))</f>
        <v>13.686797564123793</v>
      </c>
      <c r="BJ42" s="214">
        <f>IF(AND(($D42+$C$1)&gt;AO$3,AO$3&gt;=$C$1),'General Inputs'!M$10*$I42,IF(AND(($C42+$C$1)&gt;AO$3,AO$3&gt;=$C$1),'General Inputs'!M$10*$H42,0))</f>
        <v>13.892099527585652</v>
      </c>
      <c r="BK42" s="214">
        <f>IF(AND(($D42+$C$1)&gt;AP$3,AP$3&gt;=$C$1),'General Inputs'!N$10*$I42,IF(AND(($C42+$C$1)&gt;AP$3,AP$3&gt;=$C$1),'General Inputs'!N$10*$H42,0))</f>
        <v>14.100481020499434</v>
      </c>
      <c r="BL42" s="214">
        <f>IF(AND(($D42+$C$1)&gt;AQ$3,AQ$3&gt;=$C$1),'General Inputs'!O$10*$I42,IF(AND(($C42+$C$1)&gt;AQ$3,AQ$3&gt;=$C$1),'General Inputs'!O$10*$H42,0))</f>
        <v>14.311988235806924</v>
      </c>
      <c r="BM42" s="214">
        <f>IF(AND(($D42+$C$1)&gt;AR$3,AR$3&gt;=$C$1),'General Inputs'!P$10*$I42,IF(AND(($C42+$C$1)&gt;AR$3,AR$3&gt;=$C$1),'General Inputs'!P$10*$H42,0))</f>
        <v>14.526668059344026</v>
      </c>
      <c r="BN42" s="214">
        <f>IF(AND(($D42+$C$1)&gt;AS$3,AS$3&gt;=$C$1),'General Inputs'!Q$10*$I42,IF(AND(($C42+$C$1)&gt;AS$3,AS$3&gt;=$C$1),'General Inputs'!Q$10*$H42,0))</f>
        <v>14.744568080234185</v>
      </c>
      <c r="BO42" s="214">
        <f>IF(AND(($D42+$C$1)&gt;AT$3,AT$3&gt;=$C$1),'General Inputs'!R$10*$I42,IF(AND(($C42+$C$1)&gt;AT$3,AT$3&gt;=$C$1),'General Inputs'!R$10*$H42,0))</f>
        <v>14.965736601437696</v>
      </c>
      <c r="BP42" s="214">
        <f>IF(AND(($D42+$C$1)&gt;AU$3,AU$3&gt;=$C$1),'General Inputs'!S$10*$I42,IF(AND(($C42+$C$1)&gt;AU$3,AU$3&gt;=$C$1),'General Inputs'!S$10*$H42,0))</f>
        <v>15.19022265045926</v>
      </c>
      <c r="BQ42" s="214">
        <f>IF(AND(($D42+$C$1)&gt;AV$3,AV$3&gt;=$C$1),'General Inputs'!T$10*$I42,IF(AND(($C42+$C$1)&gt;AV$3,AV$3&gt;=$C$1),'General Inputs'!T$10*$H42,0))</f>
        <v>15.418075990216147</v>
      </c>
      <c r="BR42" s="214">
        <f>IF(AND(($D42+$C$1)&gt;AW$3,AW$3&gt;=$C$1),'General Inputs'!U$10*$I42,IF(AND(($C42+$C$1)&gt;AW$3,AW$3&gt;=$C$1),'General Inputs'!U$10*$H42,0))</f>
        <v>15.649347130069389</v>
      </c>
      <c r="BS42" s="214">
        <f>IF(AND(($D42+$C$1)&gt;AX$3,AX$3&gt;=$C$1),'General Inputs'!V$10*$I42,IF(AND(($C42+$C$1)&gt;AX$3,AX$3&gt;=$C$1),'General Inputs'!V$10*$H42,0))</f>
        <v>0</v>
      </c>
      <c r="BT42" s="214">
        <f>IF(AND(($D42+$C$1)&gt;AY$3,AY$3&gt;=$C$1),'General Inputs'!W$10*$I42,IF(AND(($C42+$C$1)&gt;AY$3,AY$3&gt;=$C$1),'General Inputs'!W$10*$H42,0))</f>
        <v>0</v>
      </c>
    </row>
    <row r="43" spans="1:72">
      <c r="A43" s="341" t="s">
        <v>12</v>
      </c>
      <c r="B43" s="427" t="str">
        <f>Sources!B43</f>
        <v>Early Retirement Geothermal EER ≥21</v>
      </c>
      <c r="C43" s="193">
        <f>Sources!C43</f>
        <v>18</v>
      </c>
      <c r="D43" s="193">
        <f>Sources!D43</f>
        <v>6</v>
      </c>
      <c r="F43" s="429">
        <f>Sources!F43*EnergyLineLoss</f>
        <v>5187.9964220182746</v>
      </c>
      <c r="G43" s="429">
        <f>Sources!G43*EnergyLineLoss</f>
        <v>11718.587321318171</v>
      </c>
      <c r="H43" s="477">
        <f>Sources!H43*PeakLineLoss</f>
        <v>0.81139897673293904</v>
      </c>
      <c r="I43" s="477">
        <f>Sources!I43*PeakLineLoss</f>
        <v>1.7098151489817426</v>
      </c>
      <c r="K43" s="419">
        <f>Sources!J43</f>
        <v>2913</v>
      </c>
      <c r="L43" s="419">
        <f>Sources!K43</f>
        <v>2376</v>
      </c>
      <c r="N43" s="438">
        <f t="shared" si="4"/>
        <v>2.4989690633805153</v>
      </c>
      <c r="P43" s="215">
        <f t="shared" si="5"/>
        <v>3510.6217743994862</v>
      </c>
      <c r="Q43" s="215">
        <f t="shared" si="17"/>
        <v>197.16570225015874</v>
      </c>
      <c r="R43" s="215">
        <f t="shared" si="18"/>
        <v>1483.7268419937475</v>
      </c>
      <c r="T43" s="214">
        <f t="shared" si="16"/>
        <v>2913</v>
      </c>
      <c r="U43" s="214">
        <f t="shared" si="16"/>
        <v>0</v>
      </c>
      <c r="V43" s="214">
        <f t="shared" si="15"/>
        <v>0</v>
      </c>
      <c r="W43" s="214">
        <f t="shared" si="15"/>
        <v>0</v>
      </c>
      <c r="X43" s="214">
        <f t="shared" si="15"/>
        <v>0</v>
      </c>
      <c r="Y43" s="214">
        <f t="shared" si="15"/>
        <v>0</v>
      </c>
      <c r="Z43" s="214">
        <f t="shared" si="15"/>
        <v>-2376</v>
      </c>
      <c r="AA43" s="214">
        <f t="shared" si="15"/>
        <v>0</v>
      </c>
      <c r="AB43" s="214">
        <f t="shared" si="15"/>
        <v>0</v>
      </c>
      <c r="AC43" s="214">
        <f t="shared" si="15"/>
        <v>0</v>
      </c>
      <c r="AD43" s="214">
        <f t="shared" si="15"/>
        <v>0</v>
      </c>
      <c r="AF43" s="214">
        <f>IF(AND(($D43+$C$1)&gt;AF$3,AF$3&gt;=$C$1),'General Inputs'!D$9*$G43,IF(AND(($C43+$C$1)&gt;AF$3,AF$3&gt;=$C$1),'General Inputs'!D$9*$F43,0))</f>
        <v>466.54355355054486</v>
      </c>
      <c r="AG43" s="214">
        <f>IF(AND(($D43+$C$1)&gt;AG$3,AG$3&gt;=$C$1),'General Inputs'!E$9*$G43,IF(AND(($C43+$C$1)&gt;AG$3,AG$3&gt;=$C$1),'General Inputs'!E$9*$F43,0))</f>
        <v>473.54170685380296</v>
      </c>
      <c r="AH43" s="214">
        <f>IF(AND(($D43+$C$1)&gt;AH$3,AH$3&gt;=$C$1),'General Inputs'!F$9*$G43,IF(AND(($C43+$C$1)&gt;AH$3,AH$3&gt;=$C$1),'General Inputs'!F$9*$F43,0))</f>
        <v>480.64483245661</v>
      </c>
      <c r="AI43" s="214">
        <f>IF(AND(($D43+$C$1)&gt;AI$3,AI$3&gt;=$C$1),'General Inputs'!G$9*$G43,IF(AND(($C43+$C$1)&gt;AI$3,AI$3&gt;=$C$1),'General Inputs'!G$9*$F43,0))</f>
        <v>487.85450494345912</v>
      </c>
      <c r="AJ43" s="214">
        <f>IF(AND(($D43+$C$1)&gt;AJ$3,AJ$3&gt;=$C$1),'General Inputs'!H$9*$G43,IF(AND(($C43+$C$1)&gt;AJ$3,AJ$3&gt;=$C$1),'General Inputs'!H$9*$F43,0))</f>
        <v>495.17232251761089</v>
      </c>
      <c r="AK43" s="214">
        <f>IF(AND(($D43+$C$1)&gt;AK$3,AK$3&gt;=$C$1),'General Inputs'!I$9*$G43,IF(AND(($C43+$C$1)&gt;AK$3,AK$3&gt;=$C$1),'General Inputs'!I$9*$F43,0))</f>
        <v>502.59990735537502</v>
      </c>
      <c r="AL43" s="214">
        <f>IF(AND(($D43+$C$1)&gt;AL$3,AL$3&gt;=$C$1),'General Inputs'!J$9*$G43,IF(AND(($C43+$C$1)&gt;AL$3,AL$3&gt;=$C$1),'General Inputs'!J$9*$F43,0))</f>
        <v>225.84623438934221</v>
      </c>
      <c r="AM43" s="214">
        <f>IF(AND(($D43+$C$1)&gt;AM$3,AM$3&gt;=$C$1),'General Inputs'!K$9*$G43,IF(AND(($C43+$C$1)&gt;AM$3,AM$3&gt;=$C$1),'General Inputs'!K$9*$F43,0))</f>
        <v>229.2339279051823</v>
      </c>
      <c r="AN43" s="214">
        <f>IF(AND(($D43+$C$1)&gt;AN$3,AN$3&gt;=$C$1),'General Inputs'!L$9*$G43,IF(AND(($C43+$C$1)&gt;AN$3,AN$3&gt;=$C$1),'General Inputs'!L$9*$F43,0))</f>
        <v>232.67243682376002</v>
      </c>
      <c r="AO43" s="214">
        <f>IF(AND(($D43+$C$1)&gt;AO$3,AO$3&gt;=$C$1),'General Inputs'!M$9*$G43,IF(AND(($C43+$C$1)&gt;AO$3,AO$3&gt;=$C$1),'General Inputs'!M$9*$F43,0))</f>
        <v>236.16252337611638</v>
      </c>
      <c r="AP43" s="214">
        <f>IF(AND(($D43+$C$1)&gt;AP$3,AP$3&gt;=$C$1),'General Inputs'!N$9*$G43,IF(AND(($C43+$C$1)&gt;AP$3,AP$3&gt;=$C$1),'General Inputs'!N$9*$F43,0))</f>
        <v>239.70496122675812</v>
      </c>
      <c r="AQ43" s="214">
        <f>IF(AND(($D43+$C$1)&gt;AQ$3,AQ$3&gt;=$C$1),'General Inputs'!O$9*$G43,IF(AND(($C43+$C$1)&gt;AQ$3,AQ$3&gt;=$C$1),'General Inputs'!O$9*$F43,0))</f>
        <v>243.30053564515944</v>
      </c>
      <c r="AR43" s="214">
        <f>IF(AND(($D43+$C$1)&gt;AR$3,AR$3&gt;=$C$1),'General Inputs'!P$9*$G43,IF(AND(($C43+$C$1)&gt;AR$3,AR$3&gt;=$C$1),'General Inputs'!P$9*$F43,0))</f>
        <v>246.95004367983682</v>
      </c>
      <c r="AS43" s="214">
        <f>IF(AND(($D43+$C$1)&gt;AS$3,AS$3&gt;=$C$1),'General Inputs'!Q$9*$G43,IF(AND(($C43+$C$1)&gt;AS$3,AS$3&gt;=$C$1),'General Inputs'!Q$9*$F43,0))</f>
        <v>250.65429433503436</v>
      </c>
      <c r="AT43" s="214">
        <f>IF(AND(($D43+$C$1)&gt;AT$3,AT$3&gt;=$C$1),'General Inputs'!R$9*$G43,IF(AND(($C43+$C$1)&gt;AT$3,AT$3&gt;=$C$1),'General Inputs'!R$9*$F43,0))</f>
        <v>254.41410875005985</v>
      </c>
      <c r="AU43" s="214">
        <f>IF(AND(($D43+$C$1)&gt;AU$3,AU$3&gt;=$C$1),'General Inputs'!S$9*$G43,IF(AND(($C43+$C$1)&gt;AU$3,AU$3&gt;=$C$1),'General Inputs'!S$9*$F43,0))</f>
        <v>258.23032038131072</v>
      </c>
      <c r="AV43" s="214">
        <f>IF(AND(($D43+$C$1)&gt;AV$3,AV$3&gt;=$C$1),'General Inputs'!T$9*$G43,IF(AND(($C43+$C$1)&gt;AV$3,AV$3&gt;=$C$1),'General Inputs'!T$9*$F43,0))</f>
        <v>262.10377518703041</v>
      </c>
      <c r="AW43" s="214">
        <f>IF(AND(($D43+$C$1)&gt;AW$3,AW$3&gt;=$C$1),'General Inputs'!U$9*$G43,IF(AND(($C43+$C$1)&gt;AW$3,AW$3&gt;=$C$1),'General Inputs'!U$9*$F43,0))</f>
        <v>266.03533181483584</v>
      </c>
      <c r="AX43" s="214">
        <f>IF(AND(($D43+$C$1)&gt;AX$3,AX$3&gt;=$C$1),'General Inputs'!V$9*$G43,IF(AND(($C43+$C$1)&gt;AX$3,AX$3&gt;=$C$1),'General Inputs'!V$9*$F43,0))</f>
        <v>0</v>
      </c>
      <c r="AY43" s="214">
        <f>IF(AND(($D43+$C$1)&gt;AY$3,AY$3&gt;=$C$1),'General Inputs'!W$9*$G43,IF(AND(($C43+$C$1)&gt;AY$3,AY$3&gt;=$C$1),'General Inputs'!W$9*$F43,0))</f>
        <v>0</v>
      </c>
      <c r="BA43" s="214">
        <f>IF(AND(($D43+$C$1)&gt;AF$3,AF$3&gt;=$C$1),'General Inputs'!D$10*$I43,IF(AND(($C43+$C$1)&gt;AF$3,AF$3&gt;=$C$1),'General Inputs'!D$10*$H43,0))</f>
        <v>25.602844043855288</v>
      </c>
      <c r="BB43" s="214">
        <f>IF(AND(($D43+$C$1)&gt;AG$3,AG$3&gt;=$C$1),'General Inputs'!E$10*$I43,IF(AND(($C43+$C$1)&gt;AG$3,AG$3&gt;=$C$1),'General Inputs'!E$10*$H43,0))</f>
        <v>25.986886704513115</v>
      </c>
      <c r="BC43" s="214">
        <f>IF(AND(($D43+$C$1)&gt;AH$3,AH$3&gt;=$C$1),'General Inputs'!F$10*$I43,IF(AND(($C43+$C$1)&gt;AH$3,AH$3&gt;=$C$1),'General Inputs'!F$10*$H43,0))</f>
        <v>26.37669000508081</v>
      </c>
      <c r="BD43" s="214">
        <f>IF(AND(($D43+$C$1)&gt;AI$3,AI$3&gt;=$C$1),'General Inputs'!G$10*$I43,IF(AND(($C43+$C$1)&gt;AI$3,AI$3&gt;=$C$1),'General Inputs'!G$10*$H43,0))</f>
        <v>26.77234035515702</v>
      </c>
      <c r="BE43" s="214">
        <f>IF(AND(($D43+$C$1)&gt;AJ$3,AJ$3&gt;=$C$1),'General Inputs'!H$10*$I43,IF(AND(($C43+$C$1)&gt;AJ$3,AJ$3&gt;=$C$1),'General Inputs'!H$10*$H43,0))</f>
        <v>27.173925460484373</v>
      </c>
      <c r="BF43" s="214">
        <f>IF(AND(($D43+$C$1)&gt;AK$3,AK$3&gt;=$C$1),'General Inputs'!I$10*$I43,IF(AND(($C43+$C$1)&gt;AK$3,AK$3&gt;=$C$1),'General Inputs'!I$10*$H43,0))</f>
        <v>27.581534342391635</v>
      </c>
      <c r="BG43" s="214">
        <f>IF(AND(($D43+$C$1)&gt;AL$3,AL$3&gt;=$C$1),'General Inputs'!J$10*$I43,IF(AND(($C43+$C$1)&gt;AL$3,AL$3&gt;=$C$1),'General Inputs'!J$10*$H43,0))</f>
        <v>13.285250856971823</v>
      </c>
      <c r="BH43" s="214">
        <f>IF(AND(($D43+$C$1)&gt;AM$3,AM$3&gt;=$C$1),'General Inputs'!K$10*$I43,IF(AND(($C43+$C$1)&gt;AM$3,AM$3&gt;=$C$1),'General Inputs'!K$10*$H43,0))</f>
        <v>13.484529619826398</v>
      </c>
      <c r="BI43" s="214">
        <f>IF(AND(($D43+$C$1)&gt;AN$3,AN$3&gt;=$C$1),'General Inputs'!L$10*$I43,IF(AND(($C43+$C$1)&gt;AN$3,AN$3&gt;=$C$1),'General Inputs'!L$10*$H43,0))</f>
        <v>13.686797564123793</v>
      </c>
      <c r="BJ43" s="214">
        <f>IF(AND(($D43+$C$1)&gt;AO$3,AO$3&gt;=$C$1),'General Inputs'!M$10*$I43,IF(AND(($C43+$C$1)&gt;AO$3,AO$3&gt;=$C$1),'General Inputs'!M$10*$H43,0))</f>
        <v>13.892099527585652</v>
      </c>
      <c r="BK43" s="214">
        <f>IF(AND(($D43+$C$1)&gt;AP$3,AP$3&gt;=$C$1),'General Inputs'!N$10*$I43,IF(AND(($C43+$C$1)&gt;AP$3,AP$3&gt;=$C$1),'General Inputs'!N$10*$H43,0))</f>
        <v>14.100481020499434</v>
      </c>
      <c r="BL43" s="214">
        <f>IF(AND(($D43+$C$1)&gt;AQ$3,AQ$3&gt;=$C$1),'General Inputs'!O$10*$I43,IF(AND(($C43+$C$1)&gt;AQ$3,AQ$3&gt;=$C$1),'General Inputs'!O$10*$H43,0))</f>
        <v>14.311988235806924</v>
      </c>
      <c r="BM43" s="214">
        <f>IF(AND(($D43+$C$1)&gt;AR$3,AR$3&gt;=$C$1),'General Inputs'!P$10*$I43,IF(AND(($C43+$C$1)&gt;AR$3,AR$3&gt;=$C$1),'General Inputs'!P$10*$H43,0))</f>
        <v>14.526668059344026</v>
      </c>
      <c r="BN43" s="214">
        <f>IF(AND(($D43+$C$1)&gt;AS$3,AS$3&gt;=$C$1),'General Inputs'!Q$10*$I43,IF(AND(($C43+$C$1)&gt;AS$3,AS$3&gt;=$C$1),'General Inputs'!Q$10*$H43,0))</f>
        <v>14.744568080234185</v>
      </c>
      <c r="BO43" s="214">
        <f>IF(AND(($D43+$C$1)&gt;AT$3,AT$3&gt;=$C$1),'General Inputs'!R$10*$I43,IF(AND(($C43+$C$1)&gt;AT$3,AT$3&gt;=$C$1),'General Inputs'!R$10*$H43,0))</f>
        <v>14.965736601437696</v>
      </c>
      <c r="BP43" s="214">
        <f>IF(AND(($D43+$C$1)&gt;AU$3,AU$3&gt;=$C$1),'General Inputs'!S$10*$I43,IF(AND(($C43+$C$1)&gt;AU$3,AU$3&gt;=$C$1),'General Inputs'!S$10*$H43,0))</f>
        <v>15.19022265045926</v>
      </c>
      <c r="BQ43" s="214">
        <f>IF(AND(($D43+$C$1)&gt;AV$3,AV$3&gt;=$C$1),'General Inputs'!T$10*$I43,IF(AND(($C43+$C$1)&gt;AV$3,AV$3&gt;=$C$1),'General Inputs'!T$10*$H43,0))</f>
        <v>15.418075990216147</v>
      </c>
      <c r="BR43" s="214">
        <f>IF(AND(($D43+$C$1)&gt;AW$3,AW$3&gt;=$C$1),'General Inputs'!U$10*$I43,IF(AND(($C43+$C$1)&gt;AW$3,AW$3&gt;=$C$1),'General Inputs'!U$10*$H43,0))</f>
        <v>15.649347130069389</v>
      </c>
      <c r="BS43" s="214">
        <f>IF(AND(($D43+$C$1)&gt;AX$3,AX$3&gt;=$C$1),'General Inputs'!V$10*$I43,IF(AND(($C43+$C$1)&gt;AX$3,AX$3&gt;=$C$1),'General Inputs'!V$10*$H43,0))</f>
        <v>0</v>
      </c>
      <c r="BT43" s="214">
        <f>IF(AND(($D43+$C$1)&gt;AY$3,AY$3&gt;=$C$1),'General Inputs'!W$10*$I43,IF(AND(($C43+$C$1)&gt;AY$3,AY$3&gt;=$C$1),'General Inputs'!W$10*$H43,0))</f>
        <v>0</v>
      </c>
    </row>
    <row r="44" spans="1:72">
      <c r="A44" s="341" t="s">
        <v>12</v>
      </c>
      <c r="B44" s="427" t="str">
        <f>Sources!B44</f>
        <v>Heat Pump Water Heater</v>
      </c>
      <c r="C44" s="193">
        <f>Sources!C44</f>
        <v>15</v>
      </c>
      <c r="D44" s="193">
        <f>Sources!D44</f>
        <v>0</v>
      </c>
      <c r="F44" s="429">
        <f>Sources!F44*EnergyLineLoss</f>
        <v>1815.1933588429342</v>
      </c>
      <c r="G44" s="429">
        <f>Sources!G44*EnergyLineLoss</f>
        <v>0</v>
      </c>
      <c r="H44" s="477">
        <f>Sources!H44*PeakLineLoss</f>
        <v>8.5994158334446152E-2</v>
      </c>
      <c r="I44" s="477">
        <f>Sources!I44*PeakLineLoss</f>
        <v>0</v>
      </c>
      <c r="K44" s="419">
        <f>Sources!J44</f>
        <v>700</v>
      </c>
      <c r="L44" s="419">
        <f>Sources!K44</f>
        <v>0</v>
      </c>
      <c r="N44" s="438">
        <f t="shared" si="4"/>
        <v>1.0114102808052039</v>
      </c>
      <c r="P44" s="215">
        <f t="shared" si="5"/>
        <v>695.59285987682256</v>
      </c>
      <c r="Q44" s="215">
        <f t="shared" si="17"/>
        <v>12.394336686820061</v>
      </c>
      <c r="R44" s="215">
        <f t="shared" si="18"/>
        <v>700</v>
      </c>
      <c r="T44" s="214">
        <f t="shared" si="16"/>
        <v>700</v>
      </c>
      <c r="U44" s="214">
        <f t="shared" si="16"/>
        <v>0</v>
      </c>
      <c r="V44" s="214">
        <f t="shared" si="15"/>
        <v>0</v>
      </c>
      <c r="W44" s="214">
        <f t="shared" si="15"/>
        <v>0</v>
      </c>
      <c r="X44" s="214">
        <f t="shared" si="15"/>
        <v>0</v>
      </c>
      <c r="Y44" s="214">
        <f t="shared" si="15"/>
        <v>0</v>
      </c>
      <c r="Z44" s="214">
        <f t="shared" si="15"/>
        <v>0</v>
      </c>
      <c r="AA44" s="214">
        <f t="shared" si="15"/>
        <v>0</v>
      </c>
      <c r="AB44" s="214">
        <f t="shared" si="15"/>
        <v>0</v>
      </c>
      <c r="AC44" s="214">
        <f t="shared" si="15"/>
        <v>0</v>
      </c>
      <c r="AD44" s="214">
        <f t="shared" si="15"/>
        <v>0</v>
      </c>
      <c r="AF44" s="214">
        <f>IF(AND(($D44+$C$1)&gt;AF$3,AF$3&gt;=$C$1),'General Inputs'!D$9*$G44,IF(AND(($C44+$C$1)&gt;AF$3,AF$3&gt;=$C$1),'General Inputs'!D$9*$F44,0))</f>
        <v>72.266966725189846</v>
      </c>
      <c r="AG44" s="214">
        <f>IF(AND(($D44+$C$1)&gt;AG$3,AG$3&gt;=$C$1),'General Inputs'!E$9*$G44,IF(AND(($C44+$C$1)&gt;AG$3,AG$3&gt;=$C$1),'General Inputs'!E$9*$F44,0))</f>
        <v>73.350971226067685</v>
      </c>
      <c r="AH44" s="214">
        <f>IF(AND(($D44+$C$1)&gt;AH$3,AH$3&gt;=$C$1),'General Inputs'!F$9*$G44,IF(AND(($C44+$C$1)&gt;AH$3,AH$3&gt;=$C$1),'General Inputs'!F$9*$F44,0))</f>
        <v>74.451235794458697</v>
      </c>
      <c r="AI44" s="214">
        <f>IF(AND(($D44+$C$1)&gt;AI$3,AI$3&gt;=$C$1),'General Inputs'!G$9*$G44,IF(AND(($C44+$C$1)&gt;AI$3,AI$3&gt;=$C$1),'General Inputs'!G$9*$F44,0))</f>
        <v>75.568004331375562</v>
      </c>
      <c r="AJ44" s="214">
        <f>IF(AND(($D44+$C$1)&gt;AJ$3,AJ$3&gt;=$C$1),'General Inputs'!H$9*$G44,IF(AND(($C44+$C$1)&gt;AJ$3,AJ$3&gt;=$C$1),'General Inputs'!H$9*$F44,0))</f>
        <v>76.701524396346187</v>
      </c>
      <c r="AK44" s="214">
        <f>IF(AND(($D44+$C$1)&gt;AK$3,AK$3&gt;=$C$1),'General Inputs'!I$9*$G44,IF(AND(($C44+$C$1)&gt;AK$3,AK$3&gt;=$C$1),'General Inputs'!I$9*$F44,0))</f>
        <v>77.852047262291379</v>
      </c>
      <c r="AL44" s="214">
        <f>IF(AND(($D44+$C$1)&gt;AL$3,AL$3&gt;=$C$1),'General Inputs'!J$9*$G44,IF(AND(($C44+$C$1)&gt;AL$3,AL$3&gt;=$C$1),'General Inputs'!J$9*$F44,0))</f>
        <v>79.019827971225737</v>
      </c>
      <c r="AM44" s="214">
        <f>IF(AND(($D44+$C$1)&gt;AM$3,AM$3&gt;=$C$1),'General Inputs'!K$9*$G44,IF(AND(($C44+$C$1)&gt;AM$3,AM$3&gt;=$C$1),'General Inputs'!K$9*$F44,0))</f>
        <v>80.205125390794109</v>
      </c>
      <c r="AN44" s="214">
        <f>IF(AND(($D44+$C$1)&gt;AN$3,AN$3&gt;=$C$1),'General Inputs'!L$9*$G44,IF(AND(($C44+$C$1)&gt;AN$3,AN$3&gt;=$C$1),'General Inputs'!L$9*$F44,0))</f>
        <v>81.408202271656009</v>
      </c>
      <c r="AO44" s="214">
        <f>IF(AND(($D44+$C$1)&gt;AO$3,AO$3&gt;=$C$1),'General Inputs'!M$9*$G44,IF(AND(($C44+$C$1)&gt;AO$3,AO$3&gt;=$C$1),'General Inputs'!M$9*$F44,0))</f>
        <v>82.629325305730831</v>
      </c>
      <c r="AP44" s="214">
        <f>IF(AND(($D44+$C$1)&gt;AP$3,AP$3&gt;=$C$1),'General Inputs'!N$9*$G44,IF(AND(($C44+$C$1)&gt;AP$3,AP$3&gt;=$C$1),'General Inputs'!N$9*$F44,0))</f>
        <v>83.868765185316789</v>
      </c>
      <c r="AQ44" s="214">
        <f>IF(AND(($D44+$C$1)&gt;AQ$3,AQ$3&gt;=$C$1),'General Inputs'!O$9*$G44,IF(AND(($C44+$C$1)&gt;AQ$3,AQ$3&gt;=$C$1),'General Inputs'!O$9*$F44,0))</f>
        <v>85.126796663096542</v>
      </c>
      <c r="AR44" s="214">
        <f>IF(AND(($D44+$C$1)&gt;AR$3,AR$3&gt;=$C$1),'General Inputs'!P$9*$G44,IF(AND(($C44+$C$1)&gt;AR$3,AR$3&gt;=$C$1),'General Inputs'!P$9*$F44,0))</f>
        <v>86.403698613042977</v>
      </c>
      <c r="AS44" s="214">
        <f>IF(AND(($D44+$C$1)&gt;AS$3,AS$3&gt;=$C$1),'General Inputs'!Q$9*$G44,IF(AND(($C44+$C$1)&gt;AS$3,AS$3&gt;=$C$1),'General Inputs'!Q$9*$F44,0))</f>
        <v>87.699754092238621</v>
      </c>
      <c r="AT44" s="214">
        <f>IF(AND(($D44+$C$1)&gt;AT$3,AT$3&gt;=$C$1),'General Inputs'!R$9*$G44,IF(AND(($C44+$C$1)&gt;AT$3,AT$3&gt;=$C$1),'General Inputs'!R$9*$F44,0))</f>
        <v>89.01525040362219</v>
      </c>
      <c r="AU44" s="214">
        <f>IF(AND(($D44+$C$1)&gt;AU$3,AU$3&gt;=$C$1),'General Inputs'!S$9*$G44,IF(AND(($C44+$C$1)&gt;AU$3,AU$3&gt;=$C$1),'General Inputs'!S$9*$F44,0))</f>
        <v>0</v>
      </c>
      <c r="AV44" s="214">
        <f>IF(AND(($D44+$C$1)&gt;AV$3,AV$3&gt;=$C$1),'General Inputs'!T$9*$G44,IF(AND(($C44+$C$1)&gt;AV$3,AV$3&gt;=$C$1),'General Inputs'!T$9*$F44,0))</f>
        <v>0</v>
      </c>
      <c r="AW44" s="214">
        <f>IF(AND(($D44+$C$1)&gt;AW$3,AW$3&gt;=$C$1),'General Inputs'!U$9*$G44,IF(AND(($C44+$C$1)&gt;AW$3,AW$3&gt;=$C$1),'General Inputs'!U$9*$F44,0))</f>
        <v>0</v>
      </c>
      <c r="AX44" s="214">
        <f>IF(AND(($D44+$C$1)&gt;AX$3,AX$3&gt;=$C$1),'General Inputs'!V$9*$G44,IF(AND(($C44+$C$1)&gt;AX$3,AX$3&gt;=$C$1),'General Inputs'!V$9*$F44,0))</f>
        <v>0</v>
      </c>
      <c r="AY44" s="214">
        <f>IF(AND(($D44+$C$1)&gt;AY$3,AY$3&gt;=$C$1),'General Inputs'!W$9*$G44,IF(AND(($C44+$C$1)&gt;AY$3,AY$3&gt;=$C$1),'General Inputs'!W$9*$F44,0))</f>
        <v>0</v>
      </c>
      <c r="BA44" s="214">
        <f>IF(AND(($D44+$C$1)&gt;AF$3,AF$3&gt;=$C$1),'General Inputs'!D$10*$I44,IF(AND(($C44+$C$1)&gt;AF$3,AF$3&gt;=$C$1),'General Inputs'!D$10*$H44,0))</f>
        <v>1.2876801482491327</v>
      </c>
      <c r="BB44" s="214">
        <f>IF(AND(($D44+$C$1)&gt;AG$3,AG$3&gt;=$C$1),'General Inputs'!E$10*$I44,IF(AND(($C44+$C$1)&gt;AG$3,AG$3&gt;=$C$1),'General Inputs'!E$10*$H44,0))</f>
        <v>1.3069953504728695</v>
      </c>
      <c r="BC44" s="214">
        <f>IF(AND(($D44+$C$1)&gt;AH$3,AH$3&gt;=$C$1),'General Inputs'!F$10*$I44,IF(AND(($C44+$C$1)&gt;AH$3,AH$3&gt;=$C$1),'General Inputs'!F$10*$H44,0))</f>
        <v>1.3266002807299626</v>
      </c>
      <c r="BD44" s="214">
        <f>IF(AND(($D44+$C$1)&gt;AI$3,AI$3&gt;=$C$1),'General Inputs'!G$10*$I44,IF(AND(($C44+$C$1)&gt;AI$3,AI$3&gt;=$C$1),'General Inputs'!G$10*$H44,0))</f>
        <v>1.3464992849409119</v>
      </c>
      <c r="BE44" s="214">
        <f>IF(AND(($D44+$C$1)&gt;AJ$3,AJ$3&gt;=$C$1),'General Inputs'!H$10*$I44,IF(AND(($C44+$C$1)&gt;AJ$3,AJ$3&gt;=$C$1),'General Inputs'!H$10*$H44,0))</f>
        <v>1.3666967742150256</v>
      </c>
      <c r="BF44" s="214">
        <f>IF(AND(($D44+$C$1)&gt;AK$3,AK$3&gt;=$C$1),'General Inputs'!I$10*$I44,IF(AND(($C44+$C$1)&gt;AK$3,AK$3&gt;=$C$1),'General Inputs'!I$10*$H44,0))</f>
        <v>1.3871972258282506</v>
      </c>
      <c r="BG44" s="214">
        <f>IF(AND(($D44+$C$1)&gt;AL$3,AL$3&gt;=$C$1),'General Inputs'!J$10*$I44,IF(AND(($C44+$C$1)&gt;AL$3,AL$3&gt;=$C$1),'General Inputs'!J$10*$H44,0))</f>
        <v>1.4080051842156742</v>
      </c>
      <c r="BH44" s="214">
        <f>IF(AND(($D44+$C$1)&gt;AM$3,AM$3&gt;=$C$1),'General Inputs'!K$10*$I44,IF(AND(($C44+$C$1)&gt;AM$3,AM$3&gt;=$C$1),'General Inputs'!K$10*$H44,0))</f>
        <v>1.4291252619789092</v>
      </c>
      <c r="BI44" s="214">
        <f>IF(AND(($D44+$C$1)&gt;AN$3,AN$3&gt;=$C$1),'General Inputs'!L$10*$I44,IF(AND(($C44+$C$1)&gt;AN$3,AN$3&gt;=$C$1),'General Inputs'!L$10*$H44,0))</f>
        <v>1.4505621409085927</v>
      </c>
      <c r="BJ44" s="214">
        <f>IF(AND(($D44+$C$1)&gt;AO$3,AO$3&gt;=$C$1),'General Inputs'!M$10*$I44,IF(AND(($C44+$C$1)&gt;AO$3,AO$3&gt;=$C$1),'General Inputs'!M$10*$H44,0))</f>
        <v>1.4723205730222215</v>
      </c>
      <c r="BK44" s="214">
        <f>IF(AND(($D44+$C$1)&gt;AP$3,AP$3&gt;=$C$1),'General Inputs'!N$10*$I44,IF(AND(($C44+$C$1)&gt;AP$3,AP$3&gt;=$C$1),'General Inputs'!N$10*$H44,0))</f>
        <v>1.4944053816175547</v>
      </c>
      <c r="BL44" s="214">
        <f>IF(AND(($D44+$C$1)&gt;AQ$3,AQ$3&gt;=$C$1),'General Inputs'!O$10*$I44,IF(AND(($C44+$C$1)&gt;AQ$3,AQ$3&gt;=$C$1),'General Inputs'!O$10*$H44,0))</f>
        <v>1.5168214623418179</v>
      </c>
      <c r="BM44" s="214">
        <f>IF(AND(($D44+$C$1)&gt;AR$3,AR$3&gt;=$C$1),'General Inputs'!P$10*$I44,IF(AND(($C44+$C$1)&gt;AR$3,AR$3&gt;=$C$1),'General Inputs'!P$10*$H44,0))</f>
        <v>1.539573784276945</v>
      </c>
      <c r="BN44" s="214">
        <f>IF(AND(($D44+$C$1)&gt;AS$3,AS$3&gt;=$C$1),'General Inputs'!Q$10*$I44,IF(AND(($C44+$C$1)&gt;AS$3,AS$3&gt;=$C$1),'General Inputs'!Q$10*$H44,0))</f>
        <v>1.5626673910410991</v>
      </c>
      <c r="BO44" s="214">
        <f>IF(AND(($D44+$C$1)&gt;AT$3,AT$3&gt;=$C$1),'General Inputs'!R$10*$I44,IF(AND(($C44+$C$1)&gt;AT$3,AT$3&gt;=$C$1),'General Inputs'!R$10*$H44,0))</f>
        <v>1.5861074019067152</v>
      </c>
      <c r="BP44" s="214">
        <f>IF(AND(($D44+$C$1)&gt;AU$3,AU$3&gt;=$C$1),'General Inputs'!S$10*$I44,IF(AND(($C44+$C$1)&gt;AU$3,AU$3&gt;=$C$1),'General Inputs'!S$10*$H44,0))</f>
        <v>0</v>
      </c>
      <c r="BQ44" s="214">
        <f>IF(AND(($D44+$C$1)&gt;AV$3,AV$3&gt;=$C$1),'General Inputs'!T$10*$I44,IF(AND(($C44+$C$1)&gt;AV$3,AV$3&gt;=$C$1),'General Inputs'!T$10*$H44,0))</f>
        <v>0</v>
      </c>
      <c r="BR44" s="214">
        <f>IF(AND(($D44+$C$1)&gt;AW$3,AW$3&gt;=$C$1),'General Inputs'!U$10*$I44,IF(AND(($C44+$C$1)&gt;AW$3,AW$3&gt;=$C$1),'General Inputs'!U$10*$H44,0))</f>
        <v>0</v>
      </c>
      <c r="BS44" s="214">
        <f>IF(AND(($D44+$C$1)&gt;AX$3,AX$3&gt;=$C$1),'General Inputs'!V$10*$I44,IF(AND(($C44+$C$1)&gt;AX$3,AX$3&gt;=$C$1),'General Inputs'!V$10*$H44,0))</f>
        <v>0</v>
      </c>
      <c r="BT44" s="214">
        <f>IF(AND(($D44+$C$1)&gt;AY$3,AY$3&gt;=$C$1),'General Inputs'!W$10*$I44,IF(AND(($C44+$C$1)&gt;AY$3,AY$3&gt;=$C$1),'General Inputs'!W$10*$H44,0))</f>
        <v>0</v>
      </c>
    </row>
    <row r="45" spans="1:72">
      <c r="A45" s="341" t="s">
        <v>12</v>
      </c>
      <c r="B45" s="427" t="str">
        <f>Sources!B45</f>
        <v>Electric Storage Water Heater</v>
      </c>
      <c r="C45" s="193">
        <f>Sources!C45</f>
        <v>15</v>
      </c>
      <c r="D45" s="193">
        <f>Sources!D45</f>
        <v>0</v>
      </c>
      <c r="F45" s="429">
        <f>Sources!F45*EnergyLineLoss</f>
        <v>133.41911275594003</v>
      </c>
      <c r="G45" s="429">
        <f>Sources!G45*EnergyLineLoss</f>
        <v>0</v>
      </c>
      <c r="H45" s="477">
        <f>Sources!H45*PeakLineLoss</f>
        <v>1.5881661511807841E-2</v>
      </c>
      <c r="I45" s="477">
        <f>Sources!I45*PeakLineLoss</f>
        <v>0</v>
      </c>
      <c r="K45" s="419">
        <f>Sources!J45</f>
        <v>50</v>
      </c>
      <c r="L45" s="419">
        <f>Sources!K45</f>
        <v>0</v>
      </c>
      <c r="N45" s="438">
        <f t="shared" ref="N45" si="23">IF(R45&gt;0,(P45+Q45)/R45,"n/a")</f>
        <v>1.0683203771285583</v>
      </c>
      <c r="P45" s="215">
        <f t="shared" ref="P45" si="24">AF45+NPV(DiscountRate,AG45:AY45)</f>
        <v>51.126995232777773</v>
      </c>
      <c r="Q45" s="215">
        <f t="shared" ref="Q45" si="25">BA45+NPV(DiscountRate,BB45:BT45)</f>
        <v>2.2890236236501433</v>
      </c>
      <c r="R45" s="215">
        <f t="shared" ref="R45" si="26">T45+NPV(DiscountRate,U45:AD45)</f>
        <v>50</v>
      </c>
      <c r="T45" s="214">
        <f t="shared" si="16"/>
        <v>50</v>
      </c>
      <c r="U45" s="214">
        <f t="shared" si="16"/>
        <v>0</v>
      </c>
      <c r="V45" s="214">
        <f t="shared" si="15"/>
        <v>0</v>
      </c>
      <c r="W45" s="214">
        <f t="shared" si="15"/>
        <v>0</v>
      </c>
      <c r="X45" s="214">
        <f t="shared" si="15"/>
        <v>0</v>
      </c>
      <c r="Y45" s="214">
        <f t="shared" si="15"/>
        <v>0</v>
      </c>
      <c r="Z45" s="214">
        <f t="shared" si="15"/>
        <v>0</v>
      </c>
      <c r="AA45" s="214">
        <f t="shared" si="15"/>
        <v>0</v>
      </c>
      <c r="AB45" s="214">
        <f t="shared" si="15"/>
        <v>0</v>
      </c>
      <c r="AC45" s="214">
        <f t="shared" si="15"/>
        <v>0</v>
      </c>
      <c r="AD45" s="214">
        <f t="shared" si="15"/>
        <v>0</v>
      </c>
      <c r="AF45" s="214">
        <f>IF(AND(($D45+$C$1)&gt;AF$3,AF$3&gt;=$C$1),'General Inputs'!D$9*$G45,IF(AND(($C45+$C$1)&gt;AF$3,AF$3&gt;=$C$1),'General Inputs'!D$9*$F45,0))</f>
        <v>5.3117176388216167</v>
      </c>
      <c r="AG45" s="214">
        <f>IF(AND(($D45+$C$1)&gt;AG$3,AG$3&gt;=$C$1),'General Inputs'!E$9*$G45,IF(AND(($C45+$C$1)&gt;AG$3,AG$3&gt;=$C$1),'General Inputs'!E$9*$F45,0))</f>
        <v>5.3913934034039404</v>
      </c>
      <c r="AH45" s="214">
        <f>IF(AND(($D45+$C$1)&gt;AH$3,AH$3&gt;=$C$1),'General Inputs'!F$9*$G45,IF(AND(($C45+$C$1)&gt;AH$3,AH$3&gt;=$C$1),'General Inputs'!F$9*$F45,0))</f>
        <v>5.472264304454999</v>
      </c>
      <c r="AI45" s="214">
        <f>IF(AND(($D45+$C$1)&gt;AI$3,AI$3&gt;=$C$1),'General Inputs'!G$9*$G45,IF(AND(($C45+$C$1)&gt;AI$3,AI$3&gt;=$C$1),'General Inputs'!G$9*$F45,0))</f>
        <v>5.5543482690218235</v>
      </c>
      <c r="AJ45" s="214">
        <f>IF(AND(($D45+$C$1)&gt;AJ$3,AJ$3&gt;=$C$1),'General Inputs'!H$9*$G45,IF(AND(($C45+$C$1)&gt;AJ$3,AJ$3&gt;=$C$1),'General Inputs'!H$9*$F45,0))</f>
        <v>5.6376634930571505</v>
      </c>
      <c r="AK45" s="214">
        <f>IF(AND(($D45+$C$1)&gt;AK$3,AK$3&gt;=$C$1),'General Inputs'!I$9*$G45,IF(AND(($C45+$C$1)&gt;AK$3,AK$3&gt;=$C$1),'General Inputs'!I$9*$F45,0))</f>
        <v>5.7222284454530064</v>
      </c>
      <c r="AL45" s="214">
        <f>IF(AND(($D45+$C$1)&gt;AL$3,AL$3&gt;=$C$1),'General Inputs'!J$9*$G45,IF(AND(($C45+$C$1)&gt;AL$3,AL$3&gt;=$C$1),'General Inputs'!J$9*$F45,0))</f>
        <v>5.8080618721348012</v>
      </c>
      <c r="AM45" s="214">
        <f>IF(AND(($D45+$C$1)&gt;AM$3,AM$3&gt;=$C$1),'General Inputs'!K$9*$G45,IF(AND(($C45+$C$1)&gt;AM$3,AM$3&gt;=$C$1),'General Inputs'!K$9*$F45,0))</f>
        <v>5.8951828002168218</v>
      </c>
      <c r="AN45" s="214">
        <f>IF(AND(($D45+$C$1)&gt;AN$3,AN$3&gt;=$C$1),'General Inputs'!L$9*$G45,IF(AND(($C45+$C$1)&gt;AN$3,AN$3&gt;=$C$1),'General Inputs'!L$9*$F45,0))</f>
        <v>5.9836105422200738</v>
      </c>
      <c r="AO45" s="214">
        <f>IF(AND(($D45+$C$1)&gt;AO$3,AO$3&gt;=$C$1),'General Inputs'!M$9*$G45,IF(AND(($C45+$C$1)&gt;AO$3,AO$3&gt;=$C$1),'General Inputs'!M$9*$F45,0))</f>
        <v>6.0733647003533742</v>
      </c>
      <c r="AP45" s="214">
        <f>IF(AND(($D45+$C$1)&gt;AP$3,AP$3&gt;=$C$1),'General Inputs'!N$9*$G45,IF(AND(($C45+$C$1)&gt;AP$3,AP$3&gt;=$C$1),'General Inputs'!N$9*$F45,0))</f>
        <v>6.1644651708586746</v>
      </c>
      <c r="AQ45" s="214">
        <f>IF(AND(($D45+$C$1)&gt;AQ$3,AQ$3&gt;=$C$1),'General Inputs'!O$9*$G45,IF(AND(($C45+$C$1)&gt;AQ$3,AQ$3&gt;=$C$1),'General Inputs'!O$9*$F45,0))</f>
        <v>6.2569321484215532</v>
      </c>
      <c r="AR45" s="214">
        <f>IF(AND(($D45+$C$1)&gt;AR$3,AR$3&gt;=$C$1),'General Inputs'!P$9*$G45,IF(AND(($C45+$C$1)&gt;AR$3,AR$3&gt;=$C$1),'General Inputs'!P$9*$F45,0))</f>
        <v>6.3507861306478759</v>
      </c>
      <c r="AS45" s="214">
        <f>IF(AND(($D45+$C$1)&gt;AS$3,AS$3&gt;=$C$1),'General Inputs'!Q$9*$G45,IF(AND(($C45+$C$1)&gt;AS$3,AS$3&gt;=$C$1),'General Inputs'!Q$9*$F45,0))</f>
        <v>6.446047922607594</v>
      </c>
      <c r="AT45" s="214">
        <f>IF(AND(($D45+$C$1)&gt;AT$3,AT$3&gt;=$C$1),'General Inputs'!R$9*$G45,IF(AND(($C45+$C$1)&gt;AT$3,AT$3&gt;=$C$1),'General Inputs'!R$9*$F45,0))</f>
        <v>6.5427386414467072</v>
      </c>
      <c r="AU45" s="214">
        <f>IF(AND(($D45+$C$1)&gt;AU$3,AU$3&gt;=$C$1),'General Inputs'!S$9*$G45,IF(AND(($C45+$C$1)&gt;AU$3,AU$3&gt;=$C$1),'General Inputs'!S$9*$F45,0))</f>
        <v>0</v>
      </c>
      <c r="AV45" s="214">
        <f>IF(AND(($D45+$C$1)&gt;AV$3,AV$3&gt;=$C$1),'General Inputs'!T$9*$G45,IF(AND(($C45+$C$1)&gt;AV$3,AV$3&gt;=$C$1),'General Inputs'!T$9*$F45,0))</f>
        <v>0</v>
      </c>
      <c r="AW45" s="214">
        <f>IF(AND(($D45+$C$1)&gt;AW$3,AW$3&gt;=$C$1),'General Inputs'!U$9*$G45,IF(AND(($C45+$C$1)&gt;AW$3,AW$3&gt;=$C$1),'General Inputs'!U$9*$F45,0))</f>
        <v>0</v>
      </c>
      <c r="AX45" s="214">
        <f>IF(AND(($D45+$C$1)&gt;AX$3,AX$3&gt;=$C$1),'General Inputs'!V$9*$G45,IF(AND(($C45+$C$1)&gt;AX$3,AX$3&gt;=$C$1),'General Inputs'!V$9*$F45,0))</f>
        <v>0</v>
      </c>
      <c r="AY45" s="214">
        <f>IF(AND(($D45+$C$1)&gt;AY$3,AY$3&gt;=$C$1),'General Inputs'!W$9*$G45,IF(AND(($C45+$C$1)&gt;AY$3,AY$3&gt;=$C$1),'General Inputs'!W$9*$F45,0))</f>
        <v>0</v>
      </c>
      <c r="BA45" s="214">
        <f>IF(AND(($D45+$C$1)&gt;AF$3,AF$3&gt;=$C$1),'General Inputs'!D$10*$I45,IF(AND(($C45+$C$1)&gt;AF$3,AF$3&gt;=$C$1),'General Inputs'!D$10*$H45,0))</f>
        <v>0.23781266827953285</v>
      </c>
      <c r="BB45" s="214">
        <f>IF(AND(($D45+$C$1)&gt;AG$3,AG$3&gt;=$C$1),'General Inputs'!E$10*$I45,IF(AND(($C45+$C$1)&gt;AG$3,AG$3&gt;=$C$1),'General Inputs'!E$10*$H45,0))</f>
        <v>0.2413798583037258</v>
      </c>
      <c r="BC45" s="214">
        <f>IF(AND(($D45+$C$1)&gt;AH$3,AH$3&gt;=$C$1),'General Inputs'!F$10*$I45,IF(AND(($C45+$C$1)&gt;AH$3,AH$3&gt;=$C$1),'General Inputs'!F$10*$H45,0))</f>
        <v>0.24500055617828168</v>
      </c>
      <c r="BD45" s="214">
        <f>IF(AND(($D45+$C$1)&gt;AI$3,AI$3&gt;=$C$1),'General Inputs'!G$10*$I45,IF(AND(($C45+$C$1)&gt;AI$3,AI$3&gt;=$C$1),'General Inputs'!G$10*$H45,0))</f>
        <v>0.24867556452095588</v>
      </c>
      <c r="BE45" s="214">
        <f>IF(AND(($D45+$C$1)&gt;AJ$3,AJ$3&gt;=$C$1),'General Inputs'!H$10*$I45,IF(AND(($C45+$C$1)&gt;AJ$3,AJ$3&gt;=$C$1),'General Inputs'!H$10*$H45,0))</f>
        <v>0.25240569798877022</v>
      </c>
      <c r="BF45" s="214">
        <f>IF(AND(($D45+$C$1)&gt;AK$3,AK$3&gt;=$C$1),'General Inputs'!I$10*$I45,IF(AND(($C45+$C$1)&gt;AK$3,AK$3&gt;=$C$1),'General Inputs'!I$10*$H45,0))</f>
        <v>0.25619178345860172</v>
      </c>
      <c r="BG45" s="214">
        <f>IF(AND(($D45+$C$1)&gt;AL$3,AL$3&gt;=$C$1),'General Inputs'!J$10*$I45,IF(AND(($C45+$C$1)&gt;AL$3,AL$3&gt;=$C$1),'General Inputs'!J$10*$H45,0))</f>
        <v>0.26003466021048072</v>
      </c>
      <c r="BH45" s="214">
        <f>IF(AND(($D45+$C$1)&gt;AM$3,AM$3&gt;=$C$1),'General Inputs'!K$10*$I45,IF(AND(($C45+$C$1)&gt;AM$3,AM$3&gt;=$C$1),'General Inputs'!K$10*$H45,0))</f>
        <v>0.26393518011363787</v>
      </c>
      <c r="BI45" s="214">
        <f>IF(AND(($D45+$C$1)&gt;AN$3,AN$3&gt;=$C$1),'General Inputs'!L$10*$I45,IF(AND(($C45+$C$1)&gt;AN$3,AN$3&gt;=$C$1),'General Inputs'!L$10*$H45,0))</f>
        <v>0.26789420781534246</v>
      </c>
      <c r="BJ45" s="214">
        <f>IF(AND(($D45+$C$1)&gt;AO$3,AO$3&gt;=$C$1),'General Inputs'!M$10*$I45,IF(AND(($C45+$C$1)&gt;AO$3,AO$3&gt;=$C$1),'General Inputs'!M$10*$H45,0))</f>
        <v>0.27191262093257257</v>
      </c>
      <c r="BK45" s="214">
        <f>IF(AND(($D45+$C$1)&gt;AP$3,AP$3&gt;=$C$1),'General Inputs'!N$10*$I45,IF(AND(($C45+$C$1)&gt;AP$3,AP$3&gt;=$C$1),'General Inputs'!N$10*$H45,0))</f>
        <v>0.27599131024656109</v>
      </c>
      <c r="BL45" s="214">
        <f>IF(AND(($D45+$C$1)&gt;AQ$3,AQ$3&gt;=$C$1),'General Inputs'!O$10*$I45,IF(AND(($C45+$C$1)&gt;AQ$3,AQ$3&gt;=$C$1),'General Inputs'!O$10*$H45,0))</f>
        <v>0.28013117990025949</v>
      </c>
      <c r="BM45" s="214">
        <f>IF(AND(($D45+$C$1)&gt;AR$3,AR$3&gt;=$C$1),'General Inputs'!P$10*$I45,IF(AND(($C45+$C$1)&gt;AR$3,AR$3&gt;=$C$1),'General Inputs'!P$10*$H45,0))</f>
        <v>0.28433314759876338</v>
      </c>
      <c r="BN45" s="214">
        <f>IF(AND(($D45+$C$1)&gt;AS$3,AS$3&gt;=$C$1),'General Inputs'!Q$10*$I45,IF(AND(($C45+$C$1)&gt;AS$3,AS$3&gt;=$C$1),'General Inputs'!Q$10*$H45,0))</f>
        <v>0.28859814481274482</v>
      </c>
      <c r="BO45" s="214">
        <f>IF(AND(($D45+$C$1)&gt;AT$3,AT$3&gt;=$C$1),'General Inputs'!R$10*$I45,IF(AND(($C45+$C$1)&gt;AT$3,AT$3&gt;=$C$1),'General Inputs'!R$10*$H45,0))</f>
        <v>0.2929271169849359</v>
      </c>
      <c r="BP45" s="214">
        <f>IF(AND(($D45+$C$1)&gt;AU$3,AU$3&gt;=$C$1),'General Inputs'!S$10*$I45,IF(AND(($C45+$C$1)&gt;AU$3,AU$3&gt;=$C$1),'General Inputs'!S$10*$H45,0))</f>
        <v>0</v>
      </c>
      <c r="BQ45" s="214">
        <f>IF(AND(($D45+$C$1)&gt;AV$3,AV$3&gt;=$C$1),'General Inputs'!T$10*$I45,IF(AND(($C45+$C$1)&gt;AV$3,AV$3&gt;=$C$1),'General Inputs'!T$10*$H45,0))</f>
        <v>0</v>
      </c>
      <c r="BR45" s="214">
        <f>IF(AND(($D45+$C$1)&gt;AW$3,AW$3&gt;=$C$1),'General Inputs'!U$10*$I45,IF(AND(($C45+$C$1)&gt;AW$3,AW$3&gt;=$C$1),'General Inputs'!U$10*$H45,0))</f>
        <v>0</v>
      </c>
      <c r="BS45" s="214">
        <f>IF(AND(($D45+$C$1)&gt;AX$3,AX$3&gt;=$C$1),'General Inputs'!V$10*$I45,IF(AND(($C45+$C$1)&gt;AX$3,AX$3&gt;=$C$1),'General Inputs'!V$10*$H45,0))</f>
        <v>0</v>
      </c>
      <c r="BT45" s="214">
        <f>IF(AND(($D45+$C$1)&gt;AY$3,AY$3&gt;=$C$1),'General Inputs'!W$10*$I45,IF(AND(($C45+$C$1)&gt;AY$3,AY$3&gt;=$C$1),'General Inputs'!W$10*$H45,0))</f>
        <v>0</v>
      </c>
    </row>
    <row r="46" spans="1:72">
      <c r="A46" s="341" t="s">
        <v>12</v>
      </c>
      <c r="B46" s="427" t="str">
        <f>Sources!B46</f>
        <v>Water Heater Temperature Setback</v>
      </c>
      <c r="C46" s="193">
        <f>Sources!C46</f>
        <v>2</v>
      </c>
      <c r="D46" s="193">
        <f>Sources!D46</f>
        <v>0</v>
      </c>
      <c r="F46" s="429">
        <f>Sources!F46*EnergyLineLoss</f>
        <v>90.460800000000006</v>
      </c>
      <c r="G46" s="429">
        <f>Sources!G46*EnergyLineLoss</f>
        <v>0</v>
      </c>
      <c r="H46" s="477">
        <f>Sources!H46*PeakLineLoss</f>
        <v>1.0319507186858316E-2</v>
      </c>
      <c r="I46" s="477">
        <f>Sources!I46*PeakLineLoss</f>
        <v>0</v>
      </c>
      <c r="K46" s="419">
        <f>Sources!J46</f>
        <v>5</v>
      </c>
      <c r="L46" s="419">
        <f>Sources!K46</f>
        <v>0</v>
      </c>
      <c r="N46" s="438">
        <f t="shared" si="4"/>
        <v>1.4517303712136269</v>
      </c>
      <c r="P46" s="215">
        <f t="shared" si="5"/>
        <v>6.960023293047497</v>
      </c>
      <c r="Q46" s="215">
        <f t="shared" si="17"/>
        <v>0.29862856302063789</v>
      </c>
      <c r="R46" s="215">
        <f t="shared" si="18"/>
        <v>5</v>
      </c>
      <c r="T46" s="214">
        <f t="shared" si="16"/>
        <v>5</v>
      </c>
      <c r="U46" s="214">
        <f t="shared" si="16"/>
        <v>0</v>
      </c>
      <c r="V46" s="214">
        <f t="shared" si="15"/>
        <v>0</v>
      </c>
      <c r="W46" s="214">
        <f t="shared" si="15"/>
        <v>0</v>
      </c>
      <c r="X46" s="214">
        <f t="shared" si="15"/>
        <v>0</v>
      </c>
      <c r="Y46" s="214">
        <f t="shared" si="15"/>
        <v>0</v>
      </c>
      <c r="Z46" s="214">
        <f t="shared" si="15"/>
        <v>0</v>
      </c>
      <c r="AA46" s="214">
        <f t="shared" si="15"/>
        <v>0</v>
      </c>
      <c r="AB46" s="214">
        <f t="shared" si="15"/>
        <v>0</v>
      </c>
      <c r="AC46" s="214">
        <f t="shared" si="15"/>
        <v>0</v>
      </c>
      <c r="AD46" s="214">
        <f t="shared" si="15"/>
        <v>0</v>
      </c>
      <c r="AF46" s="214">
        <f>IF(AND(($D46+$C$1)&gt;AF$3,AF$3&gt;=$C$1),'General Inputs'!D$9*$G46,IF(AND(($C46+$C$1)&gt;AF$3,AF$3&gt;=$C$1),'General Inputs'!D$9*$F46,0))</f>
        <v>3.6014497252794979</v>
      </c>
      <c r="AG46" s="214">
        <f>IF(AND(($D46+$C$1)&gt;AG$3,AG$3&gt;=$C$1),'General Inputs'!E$9*$G46,IF(AND(($C46+$C$1)&gt;AG$3,AG$3&gt;=$C$1),'General Inputs'!E$9*$F46,0))</f>
        <v>3.6554714711586898</v>
      </c>
      <c r="AH46" s="214">
        <f>IF(AND(($D46+$C$1)&gt;AH$3,AH$3&gt;=$C$1),'General Inputs'!F$9*$G46,IF(AND(($C46+$C$1)&gt;AH$3,AH$3&gt;=$C$1),'General Inputs'!F$9*$F46,0))</f>
        <v>0</v>
      </c>
      <c r="AI46" s="214">
        <f>IF(AND(($D46+$C$1)&gt;AI$3,AI$3&gt;=$C$1),'General Inputs'!G$9*$G46,IF(AND(($C46+$C$1)&gt;AI$3,AI$3&gt;=$C$1),'General Inputs'!G$9*$F46,0))</f>
        <v>0</v>
      </c>
      <c r="AJ46" s="214">
        <f>IF(AND(($D46+$C$1)&gt;AJ$3,AJ$3&gt;=$C$1),'General Inputs'!H$9*$G46,IF(AND(($C46+$C$1)&gt;AJ$3,AJ$3&gt;=$C$1),'General Inputs'!H$9*$F46,0))</f>
        <v>0</v>
      </c>
      <c r="AK46" s="214">
        <f>IF(AND(($D46+$C$1)&gt;AK$3,AK$3&gt;=$C$1),'General Inputs'!I$9*$G46,IF(AND(($C46+$C$1)&gt;AK$3,AK$3&gt;=$C$1),'General Inputs'!I$9*$F46,0))</f>
        <v>0</v>
      </c>
      <c r="AL46" s="214">
        <f>IF(AND(($D46+$C$1)&gt;AL$3,AL$3&gt;=$C$1),'General Inputs'!J$9*$G46,IF(AND(($C46+$C$1)&gt;AL$3,AL$3&gt;=$C$1),'General Inputs'!J$9*$F46,0))</f>
        <v>0</v>
      </c>
      <c r="AM46" s="214">
        <f>IF(AND(($D46+$C$1)&gt;AM$3,AM$3&gt;=$C$1),'General Inputs'!K$9*$G46,IF(AND(($C46+$C$1)&gt;AM$3,AM$3&gt;=$C$1),'General Inputs'!K$9*$F46,0))</f>
        <v>0</v>
      </c>
      <c r="AN46" s="214">
        <f>IF(AND(($D46+$C$1)&gt;AN$3,AN$3&gt;=$C$1),'General Inputs'!L$9*$G46,IF(AND(($C46+$C$1)&gt;AN$3,AN$3&gt;=$C$1),'General Inputs'!L$9*$F46,0))</f>
        <v>0</v>
      </c>
      <c r="AO46" s="214">
        <f>IF(AND(($D46+$C$1)&gt;AO$3,AO$3&gt;=$C$1),'General Inputs'!M$9*$G46,IF(AND(($C46+$C$1)&gt;AO$3,AO$3&gt;=$C$1),'General Inputs'!M$9*$F46,0))</f>
        <v>0</v>
      </c>
      <c r="AP46" s="214">
        <f>IF(AND(($D46+$C$1)&gt;AP$3,AP$3&gt;=$C$1),'General Inputs'!N$9*$G46,IF(AND(($C46+$C$1)&gt;AP$3,AP$3&gt;=$C$1),'General Inputs'!N$9*$F46,0))</f>
        <v>0</v>
      </c>
      <c r="AQ46" s="214">
        <f>IF(AND(($D46+$C$1)&gt;AQ$3,AQ$3&gt;=$C$1),'General Inputs'!O$9*$G46,IF(AND(($C46+$C$1)&gt;AQ$3,AQ$3&gt;=$C$1),'General Inputs'!O$9*$F46,0))</f>
        <v>0</v>
      </c>
      <c r="AR46" s="214">
        <f>IF(AND(($D46+$C$1)&gt;AR$3,AR$3&gt;=$C$1),'General Inputs'!P$9*$G46,IF(AND(($C46+$C$1)&gt;AR$3,AR$3&gt;=$C$1),'General Inputs'!P$9*$F46,0))</f>
        <v>0</v>
      </c>
      <c r="AS46" s="214">
        <f>IF(AND(($D46+$C$1)&gt;AS$3,AS$3&gt;=$C$1),'General Inputs'!Q$9*$G46,IF(AND(($C46+$C$1)&gt;AS$3,AS$3&gt;=$C$1),'General Inputs'!Q$9*$F46,0))</f>
        <v>0</v>
      </c>
      <c r="AT46" s="214">
        <f>IF(AND(($D46+$C$1)&gt;AT$3,AT$3&gt;=$C$1),'General Inputs'!R$9*$G46,IF(AND(($C46+$C$1)&gt;AT$3,AT$3&gt;=$C$1),'General Inputs'!R$9*$F46,0))</f>
        <v>0</v>
      </c>
      <c r="AU46" s="214">
        <f>IF(AND(($D46+$C$1)&gt;AU$3,AU$3&gt;=$C$1),'General Inputs'!S$9*$G46,IF(AND(($C46+$C$1)&gt;AU$3,AU$3&gt;=$C$1),'General Inputs'!S$9*$F46,0))</f>
        <v>0</v>
      </c>
      <c r="AV46" s="214">
        <f>IF(AND(($D46+$C$1)&gt;AV$3,AV$3&gt;=$C$1),'General Inputs'!T$9*$G46,IF(AND(($C46+$C$1)&gt;AV$3,AV$3&gt;=$C$1),'General Inputs'!T$9*$F46,0))</f>
        <v>0</v>
      </c>
      <c r="AW46" s="214">
        <f>IF(AND(($D46+$C$1)&gt;AW$3,AW$3&gt;=$C$1),'General Inputs'!U$9*$G46,IF(AND(($C46+$C$1)&gt;AW$3,AW$3&gt;=$C$1),'General Inputs'!U$9*$F46,0))</f>
        <v>0</v>
      </c>
      <c r="AX46" s="214">
        <f>IF(AND(($D46+$C$1)&gt;AX$3,AX$3&gt;=$C$1),'General Inputs'!V$9*$G46,IF(AND(($C46+$C$1)&gt;AX$3,AX$3&gt;=$C$1),'General Inputs'!V$9*$F46,0))</f>
        <v>0</v>
      </c>
      <c r="AY46" s="214">
        <f>IF(AND(($D46+$C$1)&gt;AY$3,AY$3&gt;=$C$1),'General Inputs'!W$9*$G46,IF(AND(($C46+$C$1)&gt;AY$3,AY$3&gt;=$C$1),'General Inputs'!W$9*$F46,0))</f>
        <v>0</v>
      </c>
      <c r="BA46" s="214">
        <f>IF(AND(($D46+$C$1)&gt;AF$3,AF$3&gt;=$C$1),'General Inputs'!D$10*$I46,IF(AND(($C46+$C$1)&gt;AF$3,AF$3&gt;=$C$1),'General Inputs'!D$10*$H46,0))</f>
        <v>0.15452473518667981</v>
      </c>
      <c r="BB46" s="214">
        <f>IF(AND(($D46+$C$1)&gt;AG$3,AG$3&gt;=$C$1),'General Inputs'!E$10*$I46,IF(AND(($C46+$C$1)&gt;AG$3,AG$3&gt;=$C$1),'General Inputs'!E$10*$H46,0))</f>
        <v>0.15684260621447998</v>
      </c>
      <c r="BC46" s="214">
        <f>IF(AND(($D46+$C$1)&gt;AH$3,AH$3&gt;=$C$1),'General Inputs'!F$10*$I46,IF(AND(($C46+$C$1)&gt;AH$3,AH$3&gt;=$C$1),'General Inputs'!F$10*$H46,0))</f>
        <v>0</v>
      </c>
      <c r="BD46" s="214">
        <f>IF(AND(($D46+$C$1)&gt;AI$3,AI$3&gt;=$C$1),'General Inputs'!G$10*$I46,IF(AND(($C46+$C$1)&gt;AI$3,AI$3&gt;=$C$1),'General Inputs'!G$10*$H46,0))</f>
        <v>0</v>
      </c>
      <c r="BE46" s="214">
        <f>IF(AND(($D46+$C$1)&gt;AJ$3,AJ$3&gt;=$C$1),'General Inputs'!H$10*$I46,IF(AND(($C46+$C$1)&gt;AJ$3,AJ$3&gt;=$C$1),'General Inputs'!H$10*$H46,0))</f>
        <v>0</v>
      </c>
      <c r="BF46" s="214">
        <f>IF(AND(($D46+$C$1)&gt;AK$3,AK$3&gt;=$C$1),'General Inputs'!I$10*$I46,IF(AND(($C46+$C$1)&gt;AK$3,AK$3&gt;=$C$1),'General Inputs'!I$10*$H46,0))</f>
        <v>0</v>
      </c>
      <c r="BG46" s="214">
        <f>IF(AND(($D46+$C$1)&gt;AL$3,AL$3&gt;=$C$1),'General Inputs'!J$10*$I46,IF(AND(($C46+$C$1)&gt;AL$3,AL$3&gt;=$C$1),'General Inputs'!J$10*$H46,0))</f>
        <v>0</v>
      </c>
      <c r="BH46" s="214">
        <f>IF(AND(($D46+$C$1)&gt;AM$3,AM$3&gt;=$C$1),'General Inputs'!K$10*$I46,IF(AND(($C46+$C$1)&gt;AM$3,AM$3&gt;=$C$1),'General Inputs'!K$10*$H46,0))</f>
        <v>0</v>
      </c>
      <c r="BI46" s="214">
        <f>IF(AND(($D46+$C$1)&gt;AN$3,AN$3&gt;=$C$1),'General Inputs'!L$10*$I46,IF(AND(($C46+$C$1)&gt;AN$3,AN$3&gt;=$C$1),'General Inputs'!L$10*$H46,0))</f>
        <v>0</v>
      </c>
      <c r="BJ46" s="214">
        <f>IF(AND(($D46+$C$1)&gt;AO$3,AO$3&gt;=$C$1),'General Inputs'!M$10*$I46,IF(AND(($C46+$C$1)&gt;AO$3,AO$3&gt;=$C$1),'General Inputs'!M$10*$H46,0))</f>
        <v>0</v>
      </c>
      <c r="BK46" s="214">
        <f>IF(AND(($D46+$C$1)&gt;AP$3,AP$3&gt;=$C$1),'General Inputs'!N$10*$I46,IF(AND(($C46+$C$1)&gt;AP$3,AP$3&gt;=$C$1),'General Inputs'!N$10*$H46,0))</f>
        <v>0</v>
      </c>
      <c r="BL46" s="214">
        <f>IF(AND(($D46+$C$1)&gt;AQ$3,AQ$3&gt;=$C$1),'General Inputs'!O$10*$I46,IF(AND(($C46+$C$1)&gt;AQ$3,AQ$3&gt;=$C$1),'General Inputs'!O$10*$H46,0))</f>
        <v>0</v>
      </c>
      <c r="BM46" s="214">
        <f>IF(AND(($D46+$C$1)&gt;AR$3,AR$3&gt;=$C$1),'General Inputs'!P$10*$I46,IF(AND(($C46+$C$1)&gt;AR$3,AR$3&gt;=$C$1),'General Inputs'!P$10*$H46,0))</f>
        <v>0</v>
      </c>
      <c r="BN46" s="214">
        <f>IF(AND(($D46+$C$1)&gt;AS$3,AS$3&gt;=$C$1),'General Inputs'!Q$10*$I46,IF(AND(($C46+$C$1)&gt;AS$3,AS$3&gt;=$C$1),'General Inputs'!Q$10*$H46,0))</f>
        <v>0</v>
      </c>
      <c r="BO46" s="214">
        <f>IF(AND(($D46+$C$1)&gt;AT$3,AT$3&gt;=$C$1),'General Inputs'!R$10*$I46,IF(AND(($C46+$C$1)&gt;AT$3,AT$3&gt;=$C$1),'General Inputs'!R$10*$H46,0))</f>
        <v>0</v>
      </c>
      <c r="BP46" s="214">
        <f>IF(AND(($D46+$C$1)&gt;AU$3,AU$3&gt;=$C$1),'General Inputs'!S$10*$I46,IF(AND(($C46+$C$1)&gt;AU$3,AU$3&gt;=$C$1),'General Inputs'!S$10*$H46,0))</f>
        <v>0</v>
      </c>
      <c r="BQ46" s="214">
        <f>IF(AND(($D46+$C$1)&gt;AV$3,AV$3&gt;=$C$1),'General Inputs'!T$10*$I46,IF(AND(($C46+$C$1)&gt;AV$3,AV$3&gt;=$C$1),'General Inputs'!T$10*$H46,0))</f>
        <v>0</v>
      </c>
      <c r="BR46" s="214">
        <f>IF(AND(($D46+$C$1)&gt;AW$3,AW$3&gt;=$C$1),'General Inputs'!U$10*$I46,IF(AND(($C46+$C$1)&gt;AW$3,AW$3&gt;=$C$1),'General Inputs'!U$10*$H46,0))</f>
        <v>0</v>
      </c>
      <c r="BS46" s="214">
        <f>IF(AND(($D46+$C$1)&gt;AX$3,AX$3&gt;=$C$1),'General Inputs'!V$10*$I46,IF(AND(($C46+$C$1)&gt;AX$3,AX$3&gt;=$C$1),'General Inputs'!V$10*$H46,0))</f>
        <v>0</v>
      </c>
      <c r="BT46" s="214">
        <f>IF(AND(($D46+$C$1)&gt;AY$3,AY$3&gt;=$C$1),'General Inputs'!W$10*$I46,IF(AND(($C46+$C$1)&gt;AY$3,AY$3&gt;=$C$1),'General Inputs'!W$10*$H46,0))</f>
        <v>0</v>
      </c>
    </row>
    <row r="47" spans="1:72">
      <c r="A47" s="341" t="s">
        <v>12</v>
      </c>
      <c r="B47" s="427" t="str">
        <f>Sources!B47</f>
        <v>School-Based Education</v>
      </c>
      <c r="C47" s="193">
        <f>Sources!C47</f>
        <v>5</v>
      </c>
      <c r="D47" s="193">
        <f>Sources!D47</f>
        <v>0</v>
      </c>
      <c r="F47" s="429">
        <f>Sources!F47*EnergyLineLoss</f>
        <v>349.30693564172253</v>
      </c>
      <c r="G47" s="429">
        <f>Sources!G47*EnergyLineLoss</f>
        <v>0</v>
      </c>
      <c r="H47" s="477">
        <f>Sources!H47*PeakLineLoss</f>
        <v>3.0578312110095322E-2</v>
      </c>
      <c r="I47" s="477">
        <f>Sources!I47*PeakLineLoss</f>
        <v>0</v>
      </c>
      <c r="K47" s="419">
        <f>Sources!J47</f>
        <v>0</v>
      </c>
      <c r="L47" s="419">
        <f>Sources!K47</f>
        <v>0</v>
      </c>
      <c r="N47" s="438" t="str">
        <f t="shared" si="4"/>
        <v>n/a</v>
      </c>
      <c r="P47" s="215">
        <f t="shared" si="5"/>
        <v>60.766476086821683</v>
      </c>
      <c r="Q47" s="215">
        <f t="shared" si="17"/>
        <v>2.0007483616108312</v>
      </c>
      <c r="R47" s="215">
        <f t="shared" si="18"/>
        <v>0</v>
      </c>
      <c r="T47" s="214">
        <f t="shared" si="16"/>
        <v>0</v>
      </c>
      <c r="U47" s="214">
        <f t="shared" si="16"/>
        <v>0</v>
      </c>
      <c r="V47" s="214">
        <f t="shared" si="15"/>
        <v>0</v>
      </c>
      <c r="W47" s="214">
        <f t="shared" si="15"/>
        <v>0</v>
      </c>
      <c r="X47" s="214">
        <f t="shared" si="15"/>
        <v>0</v>
      </c>
      <c r="Y47" s="214">
        <f t="shared" si="15"/>
        <v>0</v>
      </c>
      <c r="Z47" s="214">
        <f t="shared" si="15"/>
        <v>0</v>
      </c>
      <c r="AA47" s="214">
        <f t="shared" si="15"/>
        <v>0</v>
      </c>
      <c r="AB47" s="214">
        <f t="shared" si="15"/>
        <v>0</v>
      </c>
      <c r="AC47" s="214">
        <f t="shared" si="15"/>
        <v>0</v>
      </c>
      <c r="AD47" s="214">
        <f t="shared" si="15"/>
        <v>0</v>
      </c>
      <c r="AF47" s="214">
        <f>IF(AND(($D47+$C$1)&gt;AF$3,AF$3&gt;=$C$1),'General Inputs'!D$9*$G47,IF(AND(($C47+$C$1)&gt;AF$3,AF$3&gt;=$C$1),'General Inputs'!D$9*$F47,0))</f>
        <v>13.906701769220533</v>
      </c>
      <c r="AG47" s="214">
        <f>IF(AND(($D47+$C$1)&gt;AG$3,AG$3&gt;=$C$1),'General Inputs'!E$9*$G47,IF(AND(($C47+$C$1)&gt;AG$3,AG$3&gt;=$C$1),'General Inputs'!E$9*$F47,0))</f>
        <v>14.115302295758838</v>
      </c>
      <c r="AH47" s="214">
        <f>IF(AND(($D47+$C$1)&gt;AH$3,AH$3&gt;=$C$1),'General Inputs'!F$9*$G47,IF(AND(($C47+$C$1)&gt;AH$3,AH$3&gt;=$C$1),'General Inputs'!F$9*$F47,0))</f>
        <v>14.327031830195219</v>
      </c>
      <c r="AI47" s="214">
        <f>IF(AND(($D47+$C$1)&gt;AI$3,AI$3&gt;=$C$1),'General Inputs'!G$9*$G47,IF(AND(($C47+$C$1)&gt;AI$3,AI$3&gt;=$C$1),'General Inputs'!G$9*$F47,0))</f>
        <v>14.541937307648146</v>
      </c>
      <c r="AJ47" s="214">
        <f>IF(AND(($D47+$C$1)&gt;AJ$3,AJ$3&gt;=$C$1),'General Inputs'!H$9*$G47,IF(AND(($C47+$C$1)&gt;AJ$3,AJ$3&gt;=$C$1),'General Inputs'!H$9*$F47,0))</f>
        <v>14.760066367262867</v>
      </c>
      <c r="AK47" s="214">
        <f>IF(AND(($D47+$C$1)&gt;AK$3,AK$3&gt;=$C$1),'General Inputs'!I$9*$G47,IF(AND(($C47+$C$1)&gt;AK$3,AK$3&gt;=$C$1),'General Inputs'!I$9*$F47,0))</f>
        <v>0</v>
      </c>
      <c r="AL47" s="214">
        <f>IF(AND(($D47+$C$1)&gt;AL$3,AL$3&gt;=$C$1),'General Inputs'!J$9*$G47,IF(AND(($C47+$C$1)&gt;AL$3,AL$3&gt;=$C$1),'General Inputs'!J$9*$F47,0))</f>
        <v>0</v>
      </c>
      <c r="AM47" s="214">
        <f>IF(AND(($D47+$C$1)&gt;AM$3,AM$3&gt;=$C$1),'General Inputs'!K$9*$G47,IF(AND(($C47+$C$1)&gt;AM$3,AM$3&gt;=$C$1),'General Inputs'!K$9*$F47,0))</f>
        <v>0</v>
      </c>
      <c r="AN47" s="214">
        <f>IF(AND(($D47+$C$1)&gt;AN$3,AN$3&gt;=$C$1),'General Inputs'!L$9*$G47,IF(AND(($C47+$C$1)&gt;AN$3,AN$3&gt;=$C$1),'General Inputs'!L$9*$F47,0))</f>
        <v>0</v>
      </c>
      <c r="AO47" s="214">
        <f>IF(AND(($D47+$C$1)&gt;AO$3,AO$3&gt;=$C$1),'General Inputs'!M$9*$G47,IF(AND(($C47+$C$1)&gt;AO$3,AO$3&gt;=$C$1),'General Inputs'!M$9*$F47,0))</f>
        <v>0</v>
      </c>
      <c r="AP47" s="214">
        <f>IF(AND(($D47+$C$1)&gt;AP$3,AP$3&gt;=$C$1),'General Inputs'!N$9*$G47,IF(AND(($C47+$C$1)&gt;AP$3,AP$3&gt;=$C$1),'General Inputs'!N$9*$F47,0))</f>
        <v>0</v>
      </c>
      <c r="AQ47" s="214">
        <f>IF(AND(($D47+$C$1)&gt;AQ$3,AQ$3&gt;=$C$1),'General Inputs'!O$9*$G47,IF(AND(($C47+$C$1)&gt;AQ$3,AQ$3&gt;=$C$1),'General Inputs'!O$9*$F47,0))</f>
        <v>0</v>
      </c>
      <c r="AR47" s="214">
        <f>IF(AND(($D47+$C$1)&gt;AR$3,AR$3&gt;=$C$1),'General Inputs'!P$9*$G47,IF(AND(($C47+$C$1)&gt;AR$3,AR$3&gt;=$C$1),'General Inputs'!P$9*$F47,0))</f>
        <v>0</v>
      </c>
      <c r="AS47" s="214">
        <f>IF(AND(($D47+$C$1)&gt;AS$3,AS$3&gt;=$C$1),'General Inputs'!Q$9*$G47,IF(AND(($C47+$C$1)&gt;AS$3,AS$3&gt;=$C$1),'General Inputs'!Q$9*$F47,0))</f>
        <v>0</v>
      </c>
      <c r="AT47" s="214">
        <f>IF(AND(($D47+$C$1)&gt;AT$3,AT$3&gt;=$C$1),'General Inputs'!R$9*$G47,IF(AND(($C47+$C$1)&gt;AT$3,AT$3&gt;=$C$1),'General Inputs'!R$9*$F47,0))</f>
        <v>0</v>
      </c>
      <c r="AU47" s="214">
        <f>IF(AND(($D47+$C$1)&gt;AU$3,AU$3&gt;=$C$1),'General Inputs'!S$9*$G47,IF(AND(($C47+$C$1)&gt;AU$3,AU$3&gt;=$C$1),'General Inputs'!S$9*$F47,0))</f>
        <v>0</v>
      </c>
      <c r="AV47" s="214">
        <f>IF(AND(($D47+$C$1)&gt;AV$3,AV$3&gt;=$C$1),'General Inputs'!T$9*$G47,IF(AND(($C47+$C$1)&gt;AV$3,AV$3&gt;=$C$1),'General Inputs'!T$9*$F47,0))</f>
        <v>0</v>
      </c>
      <c r="AW47" s="214">
        <f>IF(AND(($D47+$C$1)&gt;AW$3,AW$3&gt;=$C$1),'General Inputs'!U$9*$G47,IF(AND(($C47+$C$1)&gt;AW$3,AW$3&gt;=$C$1),'General Inputs'!U$9*$F47,0))</f>
        <v>0</v>
      </c>
      <c r="AX47" s="214">
        <f>IF(AND(($D47+$C$1)&gt;AX$3,AX$3&gt;=$C$1),'General Inputs'!V$9*$G47,IF(AND(($C47+$C$1)&gt;AX$3,AX$3&gt;=$C$1),'General Inputs'!V$9*$F47,0))</f>
        <v>0</v>
      </c>
      <c r="AY47" s="214">
        <f>IF(AND(($D47+$C$1)&gt;AY$3,AY$3&gt;=$C$1),'General Inputs'!W$9*$G47,IF(AND(($C47+$C$1)&gt;AY$3,AY$3&gt;=$C$1),'General Inputs'!W$9*$F47,0))</f>
        <v>0</v>
      </c>
      <c r="BA47" s="214">
        <f>IF(AND(($D47+$C$1)&gt;AF$3,AF$3&gt;=$C$1),'General Inputs'!D$10*$I47,IF(AND(($C47+$C$1)&gt;AF$3,AF$3&gt;=$C$1),'General Inputs'!D$10*$H47,0))</f>
        <v>0.45788093323734014</v>
      </c>
      <c r="BB47" s="214">
        <f>IF(AND(($D47+$C$1)&gt;AG$3,AG$3&gt;=$C$1),'General Inputs'!E$10*$I47,IF(AND(($C47+$C$1)&gt;AG$3,AG$3&gt;=$C$1),'General Inputs'!E$10*$H47,0))</f>
        <v>0.46474914723590016</v>
      </c>
      <c r="BC47" s="214">
        <f>IF(AND(($D47+$C$1)&gt;AH$3,AH$3&gt;=$C$1),'General Inputs'!F$10*$I47,IF(AND(($C47+$C$1)&gt;AH$3,AH$3&gt;=$C$1),'General Inputs'!F$10*$H47,0))</f>
        <v>0.47172038444443865</v>
      </c>
      <c r="BD47" s="214">
        <f>IF(AND(($D47+$C$1)&gt;AI$3,AI$3&gt;=$C$1),'General Inputs'!G$10*$I47,IF(AND(($C47+$C$1)&gt;AI$3,AI$3&gt;=$C$1),'General Inputs'!G$10*$H47,0))</f>
        <v>0.4787961902111052</v>
      </c>
      <c r="BE47" s="214">
        <f>IF(AND(($D47+$C$1)&gt;AJ$3,AJ$3&gt;=$C$1),'General Inputs'!H$10*$I47,IF(AND(($C47+$C$1)&gt;AJ$3,AJ$3&gt;=$C$1),'General Inputs'!H$10*$H47,0))</f>
        <v>0.48597813306427173</v>
      </c>
      <c r="BF47" s="214">
        <f>IF(AND(($D47+$C$1)&gt;AK$3,AK$3&gt;=$C$1),'General Inputs'!I$10*$I47,IF(AND(($C47+$C$1)&gt;AK$3,AK$3&gt;=$C$1),'General Inputs'!I$10*$H47,0))</f>
        <v>0</v>
      </c>
      <c r="BG47" s="214">
        <f>IF(AND(($D47+$C$1)&gt;AL$3,AL$3&gt;=$C$1),'General Inputs'!J$10*$I47,IF(AND(($C47+$C$1)&gt;AL$3,AL$3&gt;=$C$1),'General Inputs'!J$10*$H47,0))</f>
        <v>0</v>
      </c>
      <c r="BH47" s="214">
        <f>IF(AND(($D47+$C$1)&gt;AM$3,AM$3&gt;=$C$1),'General Inputs'!K$10*$I47,IF(AND(($C47+$C$1)&gt;AM$3,AM$3&gt;=$C$1),'General Inputs'!K$10*$H47,0))</f>
        <v>0</v>
      </c>
      <c r="BI47" s="214">
        <f>IF(AND(($D47+$C$1)&gt;AN$3,AN$3&gt;=$C$1),'General Inputs'!L$10*$I47,IF(AND(($C47+$C$1)&gt;AN$3,AN$3&gt;=$C$1),'General Inputs'!L$10*$H47,0))</f>
        <v>0</v>
      </c>
      <c r="BJ47" s="214">
        <f>IF(AND(($D47+$C$1)&gt;AO$3,AO$3&gt;=$C$1),'General Inputs'!M$10*$I47,IF(AND(($C47+$C$1)&gt;AO$3,AO$3&gt;=$C$1),'General Inputs'!M$10*$H47,0))</f>
        <v>0</v>
      </c>
      <c r="BK47" s="214">
        <f>IF(AND(($D47+$C$1)&gt;AP$3,AP$3&gt;=$C$1),'General Inputs'!N$10*$I47,IF(AND(($C47+$C$1)&gt;AP$3,AP$3&gt;=$C$1),'General Inputs'!N$10*$H47,0))</f>
        <v>0</v>
      </c>
      <c r="BL47" s="214">
        <f>IF(AND(($D47+$C$1)&gt;AQ$3,AQ$3&gt;=$C$1),'General Inputs'!O$10*$I47,IF(AND(($C47+$C$1)&gt;AQ$3,AQ$3&gt;=$C$1),'General Inputs'!O$10*$H47,0))</f>
        <v>0</v>
      </c>
      <c r="BM47" s="214">
        <f>IF(AND(($D47+$C$1)&gt;AR$3,AR$3&gt;=$C$1),'General Inputs'!P$10*$I47,IF(AND(($C47+$C$1)&gt;AR$3,AR$3&gt;=$C$1),'General Inputs'!P$10*$H47,0))</f>
        <v>0</v>
      </c>
      <c r="BN47" s="214">
        <f>IF(AND(($D47+$C$1)&gt;AS$3,AS$3&gt;=$C$1),'General Inputs'!Q$10*$I47,IF(AND(($C47+$C$1)&gt;AS$3,AS$3&gt;=$C$1),'General Inputs'!Q$10*$H47,0))</f>
        <v>0</v>
      </c>
      <c r="BO47" s="214">
        <f>IF(AND(($D47+$C$1)&gt;AT$3,AT$3&gt;=$C$1),'General Inputs'!R$10*$I47,IF(AND(($C47+$C$1)&gt;AT$3,AT$3&gt;=$C$1),'General Inputs'!R$10*$H47,0))</f>
        <v>0</v>
      </c>
      <c r="BP47" s="214">
        <f>IF(AND(($D47+$C$1)&gt;AU$3,AU$3&gt;=$C$1),'General Inputs'!S$10*$I47,IF(AND(($C47+$C$1)&gt;AU$3,AU$3&gt;=$C$1),'General Inputs'!S$10*$H47,0))</f>
        <v>0</v>
      </c>
      <c r="BQ47" s="214">
        <f>IF(AND(($D47+$C$1)&gt;AV$3,AV$3&gt;=$C$1),'General Inputs'!T$10*$I47,IF(AND(($C47+$C$1)&gt;AV$3,AV$3&gt;=$C$1),'General Inputs'!T$10*$H47,0))</f>
        <v>0</v>
      </c>
      <c r="BR47" s="214">
        <f>IF(AND(($D47+$C$1)&gt;AW$3,AW$3&gt;=$C$1),'General Inputs'!U$10*$I47,IF(AND(($C47+$C$1)&gt;AW$3,AW$3&gt;=$C$1),'General Inputs'!U$10*$H47,0))</f>
        <v>0</v>
      </c>
      <c r="BS47" s="214">
        <f>IF(AND(($D47+$C$1)&gt;AX$3,AX$3&gt;=$C$1),'General Inputs'!V$10*$I47,IF(AND(($C47+$C$1)&gt;AX$3,AX$3&gt;=$C$1),'General Inputs'!V$10*$H47,0))</f>
        <v>0</v>
      </c>
      <c r="BT47" s="214">
        <f>IF(AND(($D47+$C$1)&gt;AY$3,AY$3&gt;=$C$1),'General Inputs'!W$10*$I47,IF(AND(($C47+$C$1)&gt;AY$3,AY$3&gt;=$C$1),'General Inputs'!W$10*$H47,0))</f>
        <v>0</v>
      </c>
    </row>
    <row r="48" spans="1:72">
      <c r="A48" s="342" t="s">
        <v>112</v>
      </c>
      <c r="B48" s="427" t="str">
        <f>Sources!B48</f>
        <v>Delamping (T8 to T8)</v>
      </c>
      <c r="C48" s="193">
        <f>Sources!C48</f>
        <v>11</v>
      </c>
      <c r="D48" s="193">
        <f>Sources!D48</f>
        <v>0</v>
      </c>
      <c r="F48" s="429">
        <f>Sources!F48*EnergyLineLoss</f>
        <v>112.70510024999999</v>
      </c>
      <c r="G48" s="429">
        <f>Sources!G48*EnergyLineLoss</f>
        <v>0</v>
      </c>
      <c r="H48" s="477">
        <f>Sources!H48*PeakLineLoss</f>
        <v>1.7427524399999998E-2</v>
      </c>
      <c r="I48" s="477">
        <f>Sources!I48*PeakLineLoss</f>
        <v>0</v>
      </c>
      <c r="K48" s="419">
        <f>Sources!J48</f>
        <v>12</v>
      </c>
      <c r="L48" s="419">
        <f>Sources!K48</f>
        <v>0</v>
      </c>
      <c r="N48" s="438">
        <f t="shared" si="4"/>
        <v>3.145168310418033</v>
      </c>
      <c r="P48" s="215">
        <f t="shared" si="5"/>
        <v>35.66763836082572</v>
      </c>
      <c r="Q48" s="215">
        <f t="shared" si="17"/>
        <v>2.0743813641906796</v>
      </c>
      <c r="R48" s="215">
        <f t="shared" si="18"/>
        <v>12</v>
      </c>
      <c r="T48" s="214">
        <f t="shared" si="16"/>
        <v>12</v>
      </c>
      <c r="U48" s="214">
        <f t="shared" si="16"/>
        <v>0</v>
      </c>
      <c r="V48" s="214">
        <f t="shared" si="15"/>
        <v>0</v>
      </c>
      <c r="W48" s="214">
        <f t="shared" si="15"/>
        <v>0</v>
      </c>
      <c r="X48" s="214">
        <f t="shared" si="15"/>
        <v>0</v>
      </c>
      <c r="Y48" s="214">
        <f t="shared" si="15"/>
        <v>0</v>
      </c>
      <c r="Z48" s="214">
        <f t="shared" si="15"/>
        <v>0</v>
      </c>
      <c r="AA48" s="214">
        <f t="shared" si="15"/>
        <v>0</v>
      </c>
      <c r="AB48" s="214">
        <f t="shared" si="15"/>
        <v>0</v>
      </c>
      <c r="AC48" s="214">
        <f t="shared" si="15"/>
        <v>0</v>
      </c>
      <c r="AD48" s="214">
        <f t="shared" si="15"/>
        <v>0</v>
      </c>
      <c r="AF48" s="214">
        <f>IF(AND(($D48+$C$1)&gt;AF$3,AF$3&gt;=$C$1),'General Inputs'!D$9*$G48,IF(AND(($C48+$C$1)&gt;AF$3,AF$3&gt;=$C$1),'General Inputs'!D$9*$F48,0))</f>
        <v>4.4870457958912668</v>
      </c>
      <c r="AG48" s="214">
        <f>IF(AND(($D48+$C$1)&gt;AG$3,AG$3&gt;=$C$1),'General Inputs'!E$9*$G48,IF(AND(($C48+$C$1)&gt;AG$3,AG$3&gt;=$C$1),'General Inputs'!E$9*$F48,0))</f>
        <v>4.5543514828296345</v>
      </c>
      <c r="AH48" s="214">
        <f>IF(AND(($D48+$C$1)&gt;AH$3,AH$3&gt;=$C$1),'General Inputs'!F$9*$G48,IF(AND(($C48+$C$1)&gt;AH$3,AH$3&gt;=$C$1),'General Inputs'!F$9*$F48,0))</f>
        <v>4.6226667550720792</v>
      </c>
      <c r="AI48" s="214">
        <f>IF(AND(($D48+$C$1)&gt;AI$3,AI$3&gt;=$C$1),'General Inputs'!G$9*$G48,IF(AND(($C48+$C$1)&gt;AI$3,AI$3&gt;=$C$1),'General Inputs'!G$9*$F48,0))</f>
        <v>4.6920067563981593</v>
      </c>
      <c r="AJ48" s="214">
        <f>IF(AND(($D48+$C$1)&gt;AJ$3,AJ$3&gt;=$C$1),'General Inputs'!H$9*$G48,IF(AND(($C48+$C$1)&gt;AJ$3,AJ$3&gt;=$C$1),'General Inputs'!H$9*$F48,0))</f>
        <v>4.7623868577441311</v>
      </c>
      <c r="AK48" s="214">
        <f>IF(AND(($D48+$C$1)&gt;AK$3,AK$3&gt;=$C$1),'General Inputs'!I$9*$G48,IF(AND(($C48+$C$1)&gt;AK$3,AK$3&gt;=$C$1),'General Inputs'!I$9*$F48,0))</f>
        <v>4.8338226606102923</v>
      </c>
      <c r="AL48" s="214">
        <f>IF(AND(($D48+$C$1)&gt;AL$3,AL$3&gt;=$C$1),'General Inputs'!J$9*$G48,IF(AND(($C48+$C$1)&gt;AL$3,AL$3&gt;=$C$1),'General Inputs'!J$9*$F48,0))</f>
        <v>4.9063300005194463</v>
      </c>
      <c r="AM48" s="214">
        <f>IF(AND(($D48+$C$1)&gt;AM$3,AM$3&gt;=$C$1),'General Inputs'!K$9*$G48,IF(AND(($C48+$C$1)&gt;AM$3,AM$3&gt;=$C$1),'General Inputs'!K$9*$F48,0))</f>
        <v>4.9799249505272369</v>
      </c>
      <c r="AN48" s="214">
        <f>IF(AND(($D48+$C$1)&gt;AN$3,AN$3&gt;=$C$1),'General Inputs'!L$9*$G48,IF(AND(($C48+$C$1)&gt;AN$3,AN$3&gt;=$C$1),'General Inputs'!L$9*$F48,0))</f>
        <v>5.0546238247851454</v>
      </c>
      <c r="AO48" s="214">
        <f>IF(AND(($D48+$C$1)&gt;AO$3,AO$3&gt;=$C$1),'General Inputs'!M$9*$G48,IF(AND(($C48+$C$1)&gt;AO$3,AO$3&gt;=$C$1),'General Inputs'!M$9*$F48,0))</f>
        <v>5.1304431821569221</v>
      </c>
      <c r="AP48" s="214">
        <f>IF(AND(($D48+$C$1)&gt;AP$3,AP$3&gt;=$C$1),'General Inputs'!N$9*$G48,IF(AND(($C48+$C$1)&gt;AP$3,AP$3&gt;=$C$1),'General Inputs'!N$9*$F48,0))</f>
        <v>5.2073998298892752</v>
      </c>
      <c r="AQ48" s="214">
        <f>IF(AND(($D48+$C$1)&gt;AQ$3,AQ$3&gt;=$C$1),'General Inputs'!O$9*$G48,IF(AND(($C48+$C$1)&gt;AQ$3,AQ$3&gt;=$C$1),'General Inputs'!O$9*$F48,0))</f>
        <v>0</v>
      </c>
      <c r="AR48" s="214">
        <f>IF(AND(($D48+$C$1)&gt;AR$3,AR$3&gt;=$C$1),'General Inputs'!P$9*$G48,IF(AND(($C48+$C$1)&gt;AR$3,AR$3&gt;=$C$1),'General Inputs'!P$9*$F48,0))</f>
        <v>0</v>
      </c>
      <c r="AS48" s="214">
        <f>IF(AND(($D48+$C$1)&gt;AS$3,AS$3&gt;=$C$1),'General Inputs'!Q$9*$G48,IF(AND(($C48+$C$1)&gt;AS$3,AS$3&gt;=$C$1),'General Inputs'!Q$9*$F48,0))</f>
        <v>0</v>
      </c>
      <c r="AT48" s="214">
        <f>IF(AND(($D48+$C$1)&gt;AT$3,AT$3&gt;=$C$1),'General Inputs'!R$9*$G48,IF(AND(($C48+$C$1)&gt;AT$3,AT$3&gt;=$C$1),'General Inputs'!R$9*$F48,0))</f>
        <v>0</v>
      </c>
      <c r="AU48" s="214">
        <f>IF(AND(($D48+$C$1)&gt;AU$3,AU$3&gt;=$C$1),'General Inputs'!S$9*$G48,IF(AND(($C48+$C$1)&gt;AU$3,AU$3&gt;=$C$1),'General Inputs'!S$9*$F48,0))</f>
        <v>0</v>
      </c>
      <c r="AV48" s="214">
        <f>IF(AND(($D48+$C$1)&gt;AV$3,AV$3&gt;=$C$1),'General Inputs'!T$9*$G48,IF(AND(($C48+$C$1)&gt;AV$3,AV$3&gt;=$C$1),'General Inputs'!T$9*$F48,0))</f>
        <v>0</v>
      </c>
      <c r="AW48" s="214">
        <f>IF(AND(($D48+$C$1)&gt;AW$3,AW$3&gt;=$C$1),'General Inputs'!U$9*$G48,IF(AND(($C48+$C$1)&gt;AW$3,AW$3&gt;=$C$1),'General Inputs'!U$9*$F48,0))</f>
        <v>0</v>
      </c>
      <c r="AX48" s="214">
        <f>IF(AND(($D48+$C$1)&gt;AX$3,AX$3&gt;=$C$1),'General Inputs'!V$9*$G48,IF(AND(($C48+$C$1)&gt;AX$3,AX$3&gt;=$C$1),'General Inputs'!V$9*$F48,0))</f>
        <v>0</v>
      </c>
      <c r="AY48" s="214">
        <f>IF(AND(($D48+$C$1)&gt;AY$3,AY$3&gt;=$C$1),'General Inputs'!W$9*$G48,IF(AND(($C48+$C$1)&gt;AY$3,AY$3&gt;=$C$1),'General Inputs'!W$9*$F48,0))</f>
        <v>0</v>
      </c>
      <c r="BA48" s="214">
        <f>IF(AND(($D48+$C$1)&gt;AF$3,AF$3&gt;=$C$1),'General Inputs'!D$10*$I48,IF(AND(($C48+$C$1)&gt;AF$3,AF$3&gt;=$C$1),'General Inputs'!D$10*$H48,0))</f>
        <v>0.26096048426603752</v>
      </c>
      <c r="BB48" s="214">
        <f>IF(AND(($D48+$C$1)&gt;AG$3,AG$3&gt;=$C$1),'General Inputs'!E$10*$I48,IF(AND(($C48+$C$1)&gt;AG$3,AG$3&gt;=$C$1),'General Inputs'!E$10*$H48,0))</f>
        <v>0.26487489153002808</v>
      </c>
      <c r="BC48" s="214">
        <f>IF(AND(($D48+$C$1)&gt;AH$3,AH$3&gt;=$C$1),'General Inputs'!F$10*$I48,IF(AND(($C48+$C$1)&gt;AH$3,AH$3&gt;=$C$1),'General Inputs'!F$10*$H48,0))</f>
        <v>0.26884801490297849</v>
      </c>
      <c r="BD48" s="214">
        <f>IF(AND(($D48+$C$1)&gt;AI$3,AI$3&gt;=$C$1),'General Inputs'!G$10*$I48,IF(AND(($C48+$C$1)&gt;AI$3,AI$3&gt;=$C$1),'General Inputs'!G$10*$H48,0))</f>
        <v>0.27288073512652311</v>
      </c>
      <c r="BE48" s="214">
        <f>IF(AND(($D48+$C$1)&gt;AJ$3,AJ$3&gt;=$C$1),'General Inputs'!H$10*$I48,IF(AND(($C48+$C$1)&gt;AJ$3,AJ$3&gt;=$C$1),'General Inputs'!H$10*$H48,0))</f>
        <v>0.27697394615342097</v>
      </c>
      <c r="BF48" s="214">
        <f>IF(AND(($D48+$C$1)&gt;AK$3,AK$3&gt;=$C$1),'General Inputs'!I$10*$I48,IF(AND(($C48+$C$1)&gt;AK$3,AK$3&gt;=$C$1),'General Inputs'!I$10*$H48,0))</f>
        <v>0.28112855534572223</v>
      </c>
      <c r="BG48" s="214">
        <f>IF(AND(($D48+$C$1)&gt;AL$3,AL$3&gt;=$C$1),'General Inputs'!J$10*$I48,IF(AND(($C48+$C$1)&gt;AL$3,AL$3&gt;=$C$1),'General Inputs'!J$10*$H48,0))</f>
        <v>0.28534548367590801</v>
      </c>
      <c r="BH48" s="214">
        <f>IF(AND(($D48+$C$1)&gt;AM$3,AM$3&gt;=$C$1),'General Inputs'!K$10*$I48,IF(AND(($C48+$C$1)&gt;AM$3,AM$3&gt;=$C$1),'General Inputs'!K$10*$H48,0))</f>
        <v>0.28962566593104661</v>
      </c>
      <c r="BI48" s="214">
        <f>IF(AND(($D48+$C$1)&gt;AN$3,AN$3&gt;=$C$1),'General Inputs'!L$10*$I48,IF(AND(($C48+$C$1)&gt;AN$3,AN$3&gt;=$C$1),'General Inputs'!L$10*$H48,0))</f>
        <v>0.29397005092001227</v>
      </c>
      <c r="BJ48" s="214">
        <f>IF(AND(($D48+$C$1)&gt;AO$3,AO$3&gt;=$C$1),'General Inputs'!M$10*$I48,IF(AND(($C48+$C$1)&gt;AO$3,AO$3&gt;=$C$1),'General Inputs'!M$10*$H48,0))</f>
        <v>0.2983796016838125</v>
      </c>
      <c r="BK48" s="214">
        <f>IF(AND(($D48+$C$1)&gt;AP$3,AP$3&gt;=$C$1),'General Inputs'!N$10*$I48,IF(AND(($C48+$C$1)&gt;AP$3,AP$3&gt;=$C$1),'General Inputs'!N$10*$H48,0))</f>
        <v>0.30285529570906961</v>
      </c>
      <c r="BL48" s="214">
        <f>IF(AND(($D48+$C$1)&gt;AQ$3,AQ$3&gt;=$C$1),'General Inputs'!O$10*$I48,IF(AND(($C48+$C$1)&gt;AQ$3,AQ$3&gt;=$C$1),'General Inputs'!O$10*$H48,0))</f>
        <v>0</v>
      </c>
      <c r="BM48" s="214">
        <f>IF(AND(($D48+$C$1)&gt;AR$3,AR$3&gt;=$C$1),'General Inputs'!P$10*$I48,IF(AND(($C48+$C$1)&gt;AR$3,AR$3&gt;=$C$1),'General Inputs'!P$10*$H48,0))</f>
        <v>0</v>
      </c>
      <c r="BN48" s="214">
        <f>IF(AND(($D48+$C$1)&gt;AS$3,AS$3&gt;=$C$1),'General Inputs'!Q$10*$I48,IF(AND(($C48+$C$1)&gt;AS$3,AS$3&gt;=$C$1),'General Inputs'!Q$10*$H48,0))</f>
        <v>0</v>
      </c>
      <c r="BO48" s="214">
        <f>IF(AND(($D48+$C$1)&gt;AT$3,AT$3&gt;=$C$1),'General Inputs'!R$10*$I48,IF(AND(($C48+$C$1)&gt;AT$3,AT$3&gt;=$C$1),'General Inputs'!R$10*$H48,0))</f>
        <v>0</v>
      </c>
      <c r="BP48" s="214">
        <f>IF(AND(($D48+$C$1)&gt;AU$3,AU$3&gt;=$C$1),'General Inputs'!S$10*$I48,IF(AND(($C48+$C$1)&gt;AU$3,AU$3&gt;=$C$1),'General Inputs'!S$10*$H48,0))</f>
        <v>0</v>
      </c>
      <c r="BQ48" s="214">
        <f>IF(AND(($D48+$C$1)&gt;AV$3,AV$3&gt;=$C$1),'General Inputs'!T$10*$I48,IF(AND(($C48+$C$1)&gt;AV$3,AV$3&gt;=$C$1),'General Inputs'!T$10*$H48,0))</f>
        <v>0</v>
      </c>
      <c r="BR48" s="214">
        <f>IF(AND(($D48+$C$1)&gt;AW$3,AW$3&gt;=$C$1),'General Inputs'!U$10*$I48,IF(AND(($C48+$C$1)&gt;AW$3,AW$3&gt;=$C$1),'General Inputs'!U$10*$H48,0))</f>
        <v>0</v>
      </c>
      <c r="BS48" s="214">
        <f>IF(AND(($D48+$C$1)&gt;AX$3,AX$3&gt;=$C$1),'General Inputs'!V$10*$I48,IF(AND(($C48+$C$1)&gt;AX$3,AX$3&gt;=$C$1),'General Inputs'!V$10*$H48,0))</f>
        <v>0</v>
      </c>
      <c r="BT48" s="214">
        <f>IF(AND(($D48+$C$1)&gt;AY$3,AY$3&gt;=$C$1),'General Inputs'!W$10*$I48,IF(AND(($C48+$C$1)&gt;AY$3,AY$3&gt;=$C$1),'General Inputs'!W$10*$H48,0))</f>
        <v>0</v>
      </c>
    </row>
    <row r="49" spans="1:72">
      <c r="A49" s="342" t="s">
        <v>112</v>
      </c>
      <c r="B49" s="427" t="str">
        <f>Sources!B49</f>
        <v>Delamp T12 to T8 (2 Lamp Fixtures)</v>
      </c>
      <c r="C49" s="193">
        <f>Sources!C49</f>
        <v>11</v>
      </c>
      <c r="D49" s="193">
        <f>Sources!D49</f>
        <v>0</v>
      </c>
      <c r="F49" s="429">
        <f>Sources!F49*EnergyLineLoss</f>
        <v>433.97273137499991</v>
      </c>
      <c r="G49" s="429">
        <f>Sources!G49*EnergyLineLoss</f>
        <v>0</v>
      </c>
      <c r="H49" s="477">
        <f>Sources!H49*PeakLineLoss</f>
        <v>6.7104952199999984E-2</v>
      </c>
      <c r="I49" s="477">
        <f>Sources!I49*PeakLineLoss</f>
        <v>0</v>
      </c>
      <c r="K49" s="419">
        <f>Sources!J49</f>
        <v>55</v>
      </c>
      <c r="L49" s="419">
        <f>Sources!K49</f>
        <v>0</v>
      </c>
      <c r="N49" s="438">
        <f t="shared" ref="N49:N87" si="27">IF(R49&gt;0,(P49+Q49)/R49,"n/a")</f>
        <v>2.6422951016482896</v>
      </c>
      <c r="P49" s="215">
        <f t="shared" ref="P49:P87" si="28">AF49+NPV(DiscountRate,AG49:AY49)</f>
        <v>137.33879306977738</v>
      </c>
      <c r="Q49" s="215">
        <f t="shared" ref="Q49:Q87" si="29">BA49+NPV(DiscountRate,BB49:BT49)</f>
        <v>7.9874375208785446</v>
      </c>
      <c r="R49" s="215">
        <f t="shared" ref="R49:R87" si="30">T49+NPV(DiscountRate,U49:AD49)</f>
        <v>55</v>
      </c>
      <c r="T49" s="214">
        <f t="shared" si="16"/>
        <v>55</v>
      </c>
      <c r="U49" s="214">
        <f t="shared" si="16"/>
        <v>0</v>
      </c>
      <c r="V49" s="214">
        <f t="shared" si="15"/>
        <v>0</v>
      </c>
      <c r="W49" s="214">
        <f t="shared" si="15"/>
        <v>0</v>
      </c>
      <c r="X49" s="214">
        <f t="shared" si="15"/>
        <v>0</v>
      </c>
      <c r="Y49" s="214">
        <f t="shared" si="15"/>
        <v>0</v>
      </c>
      <c r="Z49" s="214">
        <f t="shared" si="15"/>
        <v>0</v>
      </c>
      <c r="AA49" s="214">
        <f t="shared" si="15"/>
        <v>0</v>
      </c>
      <c r="AB49" s="214">
        <f t="shared" si="15"/>
        <v>0</v>
      </c>
      <c r="AC49" s="214">
        <f t="shared" si="15"/>
        <v>0</v>
      </c>
      <c r="AD49" s="214">
        <f t="shared" si="15"/>
        <v>0</v>
      </c>
      <c r="AF49" s="214">
        <f>IF(AND(($D49+$C$1)&gt;AF$3,AF$3&gt;=$C$1),'General Inputs'!D$9*$G49,IF(AND(($C49+$C$1)&gt;AF$3,AF$3&gt;=$C$1),'General Inputs'!D$9*$F49,0))</f>
        <v>17.277439224385443</v>
      </c>
      <c r="AG49" s="214">
        <f>IF(AND(($D49+$C$1)&gt;AG$3,AG$3&gt;=$C$1),'General Inputs'!E$9*$G49,IF(AND(($C49+$C$1)&gt;AG$3,AG$3&gt;=$C$1),'General Inputs'!E$9*$F49,0))</f>
        <v>17.536600812751221</v>
      </c>
      <c r="AH49" s="214">
        <f>IF(AND(($D49+$C$1)&gt;AH$3,AH$3&gt;=$C$1),'General Inputs'!F$9*$G49,IF(AND(($C49+$C$1)&gt;AH$3,AH$3&gt;=$C$1),'General Inputs'!F$9*$F49,0))</f>
        <v>17.799649824942488</v>
      </c>
      <c r="AI49" s="214">
        <f>IF(AND(($D49+$C$1)&gt;AI$3,AI$3&gt;=$C$1),'General Inputs'!G$9*$G49,IF(AND(($C49+$C$1)&gt;AI$3,AI$3&gt;=$C$1),'General Inputs'!G$9*$F49,0))</f>
        <v>18.066644572316623</v>
      </c>
      <c r="AJ49" s="214">
        <f>IF(AND(($D49+$C$1)&gt;AJ$3,AJ$3&gt;=$C$1),'General Inputs'!H$9*$G49,IF(AND(($C49+$C$1)&gt;AJ$3,AJ$3&gt;=$C$1),'General Inputs'!H$9*$F49,0))</f>
        <v>18.337644240901369</v>
      </c>
      <c r="AK49" s="214">
        <f>IF(AND(($D49+$C$1)&gt;AK$3,AK$3&gt;=$C$1),'General Inputs'!I$9*$G49,IF(AND(($C49+$C$1)&gt;AK$3,AK$3&gt;=$C$1),'General Inputs'!I$9*$F49,0))</f>
        <v>18.612708904514889</v>
      </c>
      <c r="AL49" s="214">
        <f>IF(AND(($D49+$C$1)&gt;AL$3,AL$3&gt;=$C$1),'General Inputs'!J$9*$G49,IF(AND(($C49+$C$1)&gt;AL$3,AL$3&gt;=$C$1),'General Inputs'!J$9*$F49,0))</f>
        <v>18.891899538082608</v>
      </c>
      <c r="AM49" s="214">
        <f>IF(AND(($D49+$C$1)&gt;AM$3,AM$3&gt;=$C$1),'General Inputs'!K$9*$G49,IF(AND(($C49+$C$1)&gt;AM$3,AM$3&gt;=$C$1),'General Inputs'!K$9*$F49,0))</f>
        <v>19.175278031153844</v>
      </c>
      <c r="AN49" s="214">
        <f>IF(AND(($D49+$C$1)&gt;AN$3,AN$3&gt;=$C$1),'General Inputs'!L$9*$G49,IF(AND(($C49+$C$1)&gt;AN$3,AN$3&gt;=$C$1),'General Inputs'!L$9*$F49,0))</f>
        <v>19.46290720162115</v>
      </c>
      <c r="AO49" s="214">
        <f>IF(AND(($D49+$C$1)&gt;AO$3,AO$3&gt;=$C$1),'General Inputs'!M$9*$G49,IF(AND(($C49+$C$1)&gt;AO$3,AO$3&gt;=$C$1),'General Inputs'!M$9*$F49,0))</f>
        <v>19.754850809645465</v>
      </c>
      <c r="AP49" s="214">
        <f>IF(AND(($D49+$C$1)&gt;AP$3,AP$3&gt;=$C$1),'General Inputs'!N$9*$G49,IF(AND(($C49+$C$1)&gt;AP$3,AP$3&gt;=$C$1),'General Inputs'!N$9*$F49,0))</f>
        <v>20.051173571790148</v>
      </c>
      <c r="AQ49" s="214">
        <f>IF(AND(($D49+$C$1)&gt;AQ$3,AQ$3&gt;=$C$1),'General Inputs'!O$9*$G49,IF(AND(($C49+$C$1)&gt;AQ$3,AQ$3&gt;=$C$1),'General Inputs'!O$9*$F49,0))</f>
        <v>0</v>
      </c>
      <c r="AR49" s="214">
        <f>IF(AND(($D49+$C$1)&gt;AR$3,AR$3&gt;=$C$1),'General Inputs'!P$9*$G49,IF(AND(($C49+$C$1)&gt;AR$3,AR$3&gt;=$C$1),'General Inputs'!P$9*$F49,0))</f>
        <v>0</v>
      </c>
      <c r="AS49" s="214">
        <f>IF(AND(($D49+$C$1)&gt;AS$3,AS$3&gt;=$C$1),'General Inputs'!Q$9*$G49,IF(AND(($C49+$C$1)&gt;AS$3,AS$3&gt;=$C$1),'General Inputs'!Q$9*$F49,0))</f>
        <v>0</v>
      </c>
      <c r="AT49" s="214">
        <f>IF(AND(($D49+$C$1)&gt;AT$3,AT$3&gt;=$C$1),'General Inputs'!R$9*$G49,IF(AND(($C49+$C$1)&gt;AT$3,AT$3&gt;=$C$1),'General Inputs'!R$9*$F49,0))</f>
        <v>0</v>
      </c>
      <c r="AU49" s="214">
        <f>IF(AND(($D49+$C$1)&gt;AU$3,AU$3&gt;=$C$1),'General Inputs'!S$9*$G49,IF(AND(($C49+$C$1)&gt;AU$3,AU$3&gt;=$C$1),'General Inputs'!S$9*$F49,0))</f>
        <v>0</v>
      </c>
      <c r="AV49" s="214">
        <f>IF(AND(($D49+$C$1)&gt;AV$3,AV$3&gt;=$C$1),'General Inputs'!T$9*$G49,IF(AND(($C49+$C$1)&gt;AV$3,AV$3&gt;=$C$1),'General Inputs'!T$9*$F49,0))</f>
        <v>0</v>
      </c>
      <c r="AW49" s="214">
        <f>IF(AND(($D49+$C$1)&gt;AW$3,AW$3&gt;=$C$1),'General Inputs'!U$9*$G49,IF(AND(($C49+$C$1)&gt;AW$3,AW$3&gt;=$C$1),'General Inputs'!U$9*$F49,0))</f>
        <v>0</v>
      </c>
      <c r="AX49" s="214">
        <f>IF(AND(($D49+$C$1)&gt;AX$3,AX$3&gt;=$C$1),'General Inputs'!V$9*$G49,IF(AND(($C49+$C$1)&gt;AX$3,AX$3&gt;=$C$1),'General Inputs'!V$9*$F49,0))</f>
        <v>0</v>
      </c>
      <c r="AY49" s="214">
        <f>IF(AND(($D49+$C$1)&gt;AY$3,AY$3&gt;=$C$1),'General Inputs'!W$9*$G49,IF(AND(($C49+$C$1)&gt;AY$3,AY$3&gt;=$C$1),'General Inputs'!W$9*$F49,0))</f>
        <v>0</v>
      </c>
      <c r="BA49" s="214">
        <f>IF(AND(($D49+$C$1)&gt;AF$3,AF$3&gt;=$C$1),'General Inputs'!D$10*$I49,IF(AND(($C49+$C$1)&gt;AF$3,AF$3&gt;=$C$1),'General Inputs'!D$10*$H49,0))</f>
        <v>1.0048323801377836</v>
      </c>
      <c r="BB49" s="214">
        <f>IF(AND(($D49+$C$1)&gt;AG$3,AG$3&gt;=$C$1),'General Inputs'!E$10*$I49,IF(AND(($C49+$C$1)&gt;AG$3,AG$3&gt;=$C$1),'General Inputs'!E$10*$H49,0))</f>
        <v>1.0199048658398502</v>
      </c>
      <c r="BC49" s="214">
        <f>IF(AND(($D49+$C$1)&gt;AH$3,AH$3&gt;=$C$1),'General Inputs'!F$10*$I49,IF(AND(($C49+$C$1)&gt;AH$3,AH$3&gt;=$C$1),'General Inputs'!F$10*$H49,0))</f>
        <v>1.035203438827448</v>
      </c>
      <c r="BD49" s="214">
        <f>IF(AND(($D49+$C$1)&gt;AI$3,AI$3&gt;=$C$1),'General Inputs'!G$10*$I49,IF(AND(($C49+$C$1)&gt;AI$3,AI$3&gt;=$C$1),'General Inputs'!G$10*$H49,0))</f>
        <v>1.0507314904098595</v>
      </c>
      <c r="BE49" s="214">
        <f>IF(AND(($D49+$C$1)&gt;AJ$3,AJ$3&gt;=$C$1),'General Inputs'!H$10*$I49,IF(AND(($C49+$C$1)&gt;AJ$3,AJ$3&gt;=$C$1),'General Inputs'!H$10*$H49,0))</f>
        <v>1.0664924627660073</v>
      </c>
      <c r="BF49" s="214">
        <f>IF(AND(($D49+$C$1)&gt;AK$3,AK$3&gt;=$C$1),'General Inputs'!I$10*$I49,IF(AND(($C49+$C$1)&gt;AK$3,AK$3&gt;=$C$1),'General Inputs'!I$10*$H49,0))</f>
        <v>1.0824898497074973</v>
      </c>
      <c r="BG49" s="214">
        <f>IF(AND(($D49+$C$1)&gt;AL$3,AL$3&gt;=$C$1),'General Inputs'!J$10*$I49,IF(AND(($C49+$C$1)&gt;AL$3,AL$3&gt;=$C$1),'General Inputs'!J$10*$H49,0))</f>
        <v>1.0987271974531096</v>
      </c>
      <c r="BH49" s="214">
        <f>IF(AND(($D49+$C$1)&gt;AM$3,AM$3&gt;=$C$1),'General Inputs'!K$10*$I49,IF(AND(($C49+$C$1)&gt;AM$3,AM$3&gt;=$C$1),'General Inputs'!K$10*$H49,0))</f>
        <v>1.1152081054149061</v>
      </c>
      <c r="BI49" s="214">
        <f>IF(AND(($D49+$C$1)&gt;AN$3,AN$3&gt;=$C$1),'General Inputs'!L$10*$I49,IF(AND(($C49+$C$1)&gt;AN$3,AN$3&gt;=$C$1),'General Inputs'!L$10*$H49,0))</f>
        <v>1.1319362269961297</v>
      </c>
      <c r="BJ49" s="214">
        <f>IF(AND(($D49+$C$1)&gt;AO$3,AO$3&gt;=$C$1),'General Inputs'!M$10*$I49,IF(AND(($C49+$C$1)&gt;AO$3,AO$3&gt;=$C$1),'General Inputs'!M$10*$H49,0))</f>
        <v>1.1489152704010717</v>
      </c>
      <c r="BK49" s="214">
        <f>IF(AND(($D49+$C$1)&gt;AP$3,AP$3&gt;=$C$1),'General Inputs'!N$10*$I49,IF(AND(($C49+$C$1)&gt;AP$3,AP$3&gt;=$C$1),'General Inputs'!N$10*$H49,0))</f>
        <v>1.1661489994570875</v>
      </c>
      <c r="BL49" s="214">
        <f>IF(AND(($D49+$C$1)&gt;AQ$3,AQ$3&gt;=$C$1),'General Inputs'!O$10*$I49,IF(AND(($C49+$C$1)&gt;AQ$3,AQ$3&gt;=$C$1),'General Inputs'!O$10*$H49,0))</f>
        <v>0</v>
      </c>
      <c r="BM49" s="214">
        <f>IF(AND(($D49+$C$1)&gt;AR$3,AR$3&gt;=$C$1),'General Inputs'!P$10*$I49,IF(AND(($C49+$C$1)&gt;AR$3,AR$3&gt;=$C$1),'General Inputs'!P$10*$H49,0))</f>
        <v>0</v>
      </c>
      <c r="BN49" s="214">
        <f>IF(AND(($D49+$C$1)&gt;AS$3,AS$3&gt;=$C$1),'General Inputs'!Q$10*$I49,IF(AND(($C49+$C$1)&gt;AS$3,AS$3&gt;=$C$1),'General Inputs'!Q$10*$H49,0))</f>
        <v>0</v>
      </c>
      <c r="BO49" s="214">
        <f>IF(AND(($D49+$C$1)&gt;AT$3,AT$3&gt;=$C$1),'General Inputs'!R$10*$I49,IF(AND(($C49+$C$1)&gt;AT$3,AT$3&gt;=$C$1),'General Inputs'!R$10*$H49,0))</f>
        <v>0</v>
      </c>
      <c r="BP49" s="214">
        <f>IF(AND(($D49+$C$1)&gt;AU$3,AU$3&gt;=$C$1),'General Inputs'!S$10*$I49,IF(AND(($C49+$C$1)&gt;AU$3,AU$3&gt;=$C$1),'General Inputs'!S$10*$H49,0))</f>
        <v>0</v>
      </c>
      <c r="BQ49" s="214">
        <f>IF(AND(($D49+$C$1)&gt;AV$3,AV$3&gt;=$C$1),'General Inputs'!T$10*$I49,IF(AND(($C49+$C$1)&gt;AV$3,AV$3&gt;=$C$1),'General Inputs'!T$10*$H49,0))</f>
        <v>0</v>
      </c>
      <c r="BR49" s="214">
        <f>IF(AND(($D49+$C$1)&gt;AW$3,AW$3&gt;=$C$1),'General Inputs'!U$10*$I49,IF(AND(($C49+$C$1)&gt;AW$3,AW$3&gt;=$C$1),'General Inputs'!U$10*$H49,0))</f>
        <v>0</v>
      </c>
      <c r="BS49" s="214">
        <f>IF(AND(($D49+$C$1)&gt;AX$3,AX$3&gt;=$C$1),'General Inputs'!V$10*$I49,IF(AND(($C49+$C$1)&gt;AX$3,AX$3&gt;=$C$1),'General Inputs'!V$10*$H49,0))</f>
        <v>0</v>
      </c>
      <c r="BT49" s="214">
        <f>IF(AND(($D49+$C$1)&gt;AY$3,AY$3&gt;=$C$1),'General Inputs'!W$10*$I49,IF(AND(($C49+$C$1)&gt;AY$3,AY$3&gt;=$C$1),'General Inputs'!W$10*$H49,0))</f>
        <v>0</v>
      </c>
    </row>
    <row r="50" spans="1:72">
      <c r="A50" s="342" t="s">
        <v>112</v>
      </c>
      <c r="B50" s="427" t="str">
        <f>Sources!B50</f>
        <v>Delamp T12 to T8 (3-4 Lamp Fixtures)</v>
      </c>
      <c r="C50" s="193">
        <f>Sources!C50</f>
        <v>11</v>
      </c>
      <c r="D50" s="193">
        <f>Sources!D50</f>
        <v>0</v>
      </c>
      <c r="F50" s="429">
        <f>Sources!F50*EnergyLineLoss</f>
        <v>927.78373762499984</v>
      </c>
      <c r="G50" s="429">
        <f>Sources!G50*EnergyLineLoss</f>
        <v>0</v>
      </c>
      <c r="H50" s="477">
        <f>Sources!H50*PeakLineLoss</f>
        <v>0.14346266219999998</v>
      </c>
      <c r="I50" s="477">
        <f>Sources!I50*PeakLineLoss</f>
        <v>0</v>
      </c>
      <c r="K50" s="419">
        <f>Sources!J50</f>
        <v>122</v>
      </c>
      <c r="L50" s="419">
        <f>Sources!K50</f>
        <v>0</v>
      </c>
      <c r="N50" s="438">
        <f t="shared" si="27"/>
        <v>2.5466454918392425</v>
      </c>
      <c r="P50" s="215">
        <f t="shared" si="28"/>
        <v>293.61452815586949</v>
      </c>
      <c r="Q50" s="215">
        <f t="shared" si="29"/>
        <v>17.076221848518124</v>
      </c>
      <c r="R50" s="215">
        <f t="shared" si="30"/>
        <v>122</v>
      </c>
      <c r="T50" s="214">
        <f t="shared" si="16"/>
        <v>122</v>
      </c>
      <c r="U50" s="214">
        <f t="shared" si="16"/>
        <v>0</v>
      </c>
      <c r="V50" s="214">
        <f t="shared" si="16"/>
        <v>0</v>
      </c>
      <c r="W50" s="214">
        <f t="shared" si="16"/>
        <v>0</v>
      </c>
      <c r="X50" s="214">
        <f t="shared" si="16"/>
        <v>0</v>
      </c>
      <c r="Y50" s="214">
        <f t="shared" si="16"/>
        <v>0</v>
      </c>
      <c r="Z50" s="214">
        <f t="shared" si="16"/>
        <v>0</v>
      </c>
      <c r="AA50" s="214">
        <f t="shared" si="16"/>
        <v>0</v>
      </c>
      <c r="AB50" s="214">
        <f t="shared" si="16"/>
        <v>0</v>
      </c>
      <c r="AC50" s="214">
        <f t="shared" si="16"/>
        <v>0</v>
      </c>
      <c r="AD50" s="214">
        <f t="shared" si="16"/>
        <v>0</v>
      </c>
      <c r="AF50" s="214">
        <f>IF(AND(($D50+$C$1)&gt;AF$3,AF$3&gt;=$C$1),'General Inputs'!D$9*$G50,IF(AND(($C50+$C$1)&gt;AF$3,AF$3&gt;=$C$1),'General Inputs'!D$9*$F50,0))</f>
        <v>36.93717595896058</v>
      </c>
      <c r="AG50" s="214">
        <f>IF(AND(($D50+$C$1)&gt;AG$3,AG$3&gt;=$C$1),'General Inputs'!E$9*$G50,IF(AND(($C50+$C$1)&gt;AG$3,AG$3&gt;=$C$1),'General Inputs'!E$9*$F50,0))</f>
        <v>37.491233598344984</v>
      </c>
      <c r="AH50" s="214">
        <f>IF(AND(($D50+$C$1)&gt;AH$3,AH$3&gt;=$C$1),'General Inputs'!F$9*$G50,IF(AND(($C50+$C$1)&gt;AH$3,AH$3&gt;=$C$1),'General Inputs'!F$9*$F50,0))</f>
        <v>38.053602102320156</v>
      </c>
      <c r="AI50" s="214">
        <f>IF(AND(($D50+$C$1)&gt;AI$3,AI$3&gt;=$C$1),'General Inputs'!G$9*$G50,IF(AND(($C50+$C$1)&gt;AI$3,AI$3&gt;=$C$1),'General Inputs'!G$9*$F50,0))</f>
        <v>38.624406133854954</v>
      </c>
      <c r="AJ50" s="214">
        <f>IF(AND(($D50+$C$1)&gt;AJ$3,AJ$3&gt;=$C$1),'General Inputs'!H$9*$G50,IF(AND(($C50+$C$1)&gt;AJ$3,AJ$3&gt;=$C$1),'General Inputs'!H$9*$F50,0))</f>
        <v>39.203772225862771</v>
      </c>
      <c r="AK50" s="214">
        <f>IF(AND(($D50+$C$1)&gt;AK$3,AK$3&gt;=$C$1),'General Inputs'!I$9*$G50,IF(AND(($C50+$C$1)&gt;AK$3,AK$3&gt;=$C$1),'General Inputs'!I$9*$F50,0))</f>
        <v>39.79182880925071</v>
      </c>
      <c r="AL50" s="214">
        <f>IF(AND(($D50+$C$1)&gt;AL$3,AL$3&gt;=$C$1),'General Inputs'!J$9*$G50,IF(AND(($C50+$C$1)&gt;AL$3,AL$3&gt;=$C$1),'General Inputs'!J$9*$F50,0))</f>
        <v>40.388706241389464</v>
      </c>
      <c r="AM50" s="214">
        <f>IF(AND(($D50+$C$1)&gt;AM$3,AM$3&gt;=$C$1),'General Inputs'!K$9*$G50,IF(AND(($C50+$C$1)&gt;AM$3,AM$3&gt;=$C$1),'General Inputs'!K$9*$F50,0))</f>
        <v>40.994536835010294</v>
      </c>
      <c r="AN50" s="214">
        <f>IF(AND(($D50+$C$1)&gt;AN$3,AN$3&gt;=$C$1),'General Inputs'!L$9*$G50,IF(AND(($C50+$C$1)&gt;AN$3,AN$3&gt;=$C$1),'General Inputs'!L$9*$F50,0))</f>
        <v>41.609454887535449</v>
      </c>
      <c r="AO50" s="214">
        <f>IF(AND(($D50+$C$1)&gt;AO$3,AO$3&gt;=$C$1),'General Inputs'!M$9*$G50,IF(AND(($C50+$C$1)&gt;AO$3,AO$3&gt;=$C$1),'General Inputs'!M$9*$F50,0))</f>
        <v>42.233596710848474</v>
      </c>
      <c r="AP50" s="214">
        <f>IF(AND(($D50+$C$1)&gt;AP$3,AP$3&gt;=$C$1),'General Inputs'!N$9*$G50,IF(AND(($C50+$C$1)&gt;AP$3,AP$3&gt;=$C$1),'General Inputs'!N$9*$F50,0))</f>
        <v>42.867100661511195</v>
      </c>
      <c r="AQ50" s="214">
        <f>IF(AND(($D50+$C$1)&gt;AQ$3,AQ$3&gt;=$C$1),'General Inputs'!O$9*$G50,IF(AND(($C50+$C$1)&gt;AQ$3,AQ$3&gt;=$C$1),'General Inputs'!O$9*$F50,0))</f>
        <v>0</v>
      </c>
      <c r="AR50" s="214">
        <f>IF(AND(($D50+$C$1)&gt;AR$3,AR$3&gt;=$C$1),'General Inputs'!P$9*$G50,IF(AND(($C50+$C$1)&gt;AR$3,AR$3&gt;=$C$1),'General Inputs'!P$9*$F50,0))</f>
        <v>0</v>
      </c>
      <c r="AS50" s="214">
        <f>IF(AND(($D50+$C$1)&gt;AS$3,AS$3&gt;=$C$1),'General Inputs'!Q$9*$G50,IF(AND(($C50+$C$1)&gt;AS$3,AS$3&gt;=$C$1),'General Inputs'!Q$9*$F50,0))</f>
        <v>0</v>
      </c>
      <c r="AT50" s="214">
        <f>IF(AND(($D50+$C$1)&gt;AT$3,AT$3&gt;=$C$1),'General Inputs'!R$9*$G50,IF(AND(($C50+$C$1)&gt;AT$3,AT$3&gt;=$C$1),'General Inputs'!R$9*$F50,0))</f>
        <v>0</v>
      </c>
      <c r="AU50" s="214">
        <f>IF(AND(($D50+$C$1)&gt;AU$3,AU$3&gt;=$C$1),'General Inputs'!S$9*$G50,IF(AND(($C50+$C$1)&gt;AU$3,AU$3&gt;=$C$1),'General Inputs'!S$9*$F50,0))</f>
        <v>0</v>
      </c>
      <c r="AV50" s="214">
        <f>IF(AND(($D50+$C$1)&gt;AV$3,AV$3&gt;=$C$1),'General Inputs'!T$9*$G50,IF(AND(($C50+$C$1)&gt;AV$3,AV$3&gt;=$C$1),'General Inputs'!T$9*$F50,0))</f>
        <v>0</v>
      </c>
      <c r="AW50" s="214">
        <f>IF(AND(($D50+$C$1)&gt;AW$3,AW$3&gt;=$C$1),'General Inputs'!U$9*$G50,IF(AND(($C50+$C$1)&gt;AW$3,AW$3&gt;=$C$1),'General Inputs'!U$9*$F50,0))</f>
        <v>0</v>
      </c>
      <c r="AX50" s="214">
        <f>IF(AND(($D50+$C$1)&gt;AX$3,AX$3&gt;=$C$1),'General Inputs'!V$9*$G50,IF(AND(($C50+$C$1)&gt;AX$3,AX$3&gt;=$C$1),'General Inputs'!V$9*$F50,0))</f>
        <v>0</v>
      </c>
      <c r="AY50" s="214">
        <f>IF(AND(($D50+$C$1)&gt;AY$3,AY$3&gt;=$C$1),'General Inputs'!W$9*$G50,IF(AND(($C50+$C$1)&gt;AY$3,AY$3&gt;=$C$1),'General Inputs'!W$9*$F50,0))</f>
        <v>0</v>
      </c>
      <c r="BA50" s="214">
        <f>IF(AND(($D50+$C$1)&gt;AF$3,AF$3&gt;=$C$1),'General Inputs'!D$10*$I50,IF(AND(($C50+$C$1)&gt;AF$3,AF$3&gt;=$C$1),'General Inputs'!D$10*$H50,0))</f>
        <v>2.148215945220938</v>
      </c>
      <c r="BB50" s="214">
        <f>IF(AND(($D50+$C$1)&gt;AG$3,AG$3&gt;=$C$1),'General Inputs'!E$10*$I50,IF(AND(($C50+$C$1)&gt;AG$3,AG$3&gt;=$C$1),'General Inputs'!E$10*$H50,0))</f>
        <v>2.1804391843992517</v>
      </c>
      <c r="BC50" s="214">
        <f>IF(AND(($D50+$C$1)&gt;AH$3,AH$3&gt;=$C$1),'General Inputs'!F$10*$I50,IF(AND(($C50+$C$1)&gt;AH$3,AH$3&gt;=$C$1),'General Inputs'!F$10*$H50,0))</f>
        <v>2.2131457721652401</v>
      </c>
      <c r="BD50" s="214">
        <f>IF(AND(($D50+$C$1)&gt;AI$3,AI$3&gt;=$C$1),'General Inputs'!G$10*$I50,IF(AND(($C50+$C$1)&gt;AI$3,AI$3&gt;=$C$1),'General Inputs'!G$10*$H50,0))</f>
        <v>2.2463429587477188</v>
      </c>
      <c r="BE50" s="214">
        <f>IF(AND(($D50+$C$1)&gt;AJ$3,AJ$3&gt;=$C$1),'General Inputs'!H$10*$I50,IF(AND(($C50+$C$1)&gt;AJ$3,AJ$3&gt;=$C$1),'General Inputs'!H$10*$H50,0))</f>
        <v>2.2800381031289345</v>
      </c>
      <c r="BF50" s="214">
        <f>IF(AND(($D50+$C$1)&gt;AK$3,AK$3&gt;=$C$1),'General Inputs'!I$10*$I50,IF(AND(($C50+$C$1)&gt;AK$3,AK$3&gt;=$C$1),'General Inputs'!I$10*$H50,0))</f>
        <v>2.3142386746758681</v>
      </c>
      <c r="BG50" s="214">
        <f>IF(AND(($D50+$C$1)&gt;AL$3,AL$3&gt;=$C$1),'General Inputs'!J$10*$I50,IF(AND(($C50+$C$1)&gt;AL$3,AL$3&gt;=$C$1),'General Inputs'!J$10*$H50,0))</f>
        <v>2.3489522547960058</v>
      </c>
      <c r="BH50" s="214">
        <f>IF(AND(($D50+$C$1)&gt;AM$3,AM$3&gt;=$C$1),'General Inputs'!K$10*$I50,IF(AND(($C50+$C$1)&gt;AM$3,AM$3&gt;=$C$1),'General Inputs'!K$10*$H50,0))</f>
        <v>2.3841865386179455</v>
      </c>
      <c r="BI50" s="214">
        <f>IF(AND(($D50+$C$1)&gt;AN$3,AN$3&gt;=$C$1),'General Inputs'!L$10*$I50,IF(AND(($C50+$C$1)&gt;AN$3,AN$3&gt;=$C$1),'General Inputs'!L$10*$H50,0))</f>
        <v>2.4199493366972145</v>
      </c>
      <c r="BJ50" s="214">
        <f>IF(AND(($D50+$C$1)&gt;AO$3,AO$3&gt;=$C$1),'General Inputs'!M$10*$I50,IF(AND(($C50+$C$1)&gt;AO$3,AO$3&gt;=$C$1),'General Inputs'!M$10*$H50,0))</f>
        <v>2.4562485767476727</v>
      </c>
      <c r="BK50" s="214">
        <f>IF(AND(($D50+$C$1)&gt;AP$3,AP$3&gt;=$C$1),'General Inputs'!N$10*$I50,IF(AND(($C50+$C$1)&gt;AP$3,AP$3&gt;=$C$1),'General Inputs'!N$10*$H50,0))</f>
        <v>2.4930923053988874</v>
      </c>
      <c r="BL50" s="214">
        <f>IF(AND(($D50+$C$1)&gt;AQ$3,AQ$3&gt;=$C$1),'General Inputs'!O$10*$I50,IF(AND(($C50+$C$1)&gt;AQ$3,AQ$3&gt;=$C$1),'General Inputs'!O$10*$H50,0))</f>
        <v>0</v>
      </c>
      <c r="BM50" s="214">
        <f>IF(AND(($D50+$C$1)&gt;AR$3,AR$3&gt;=$C$1),'General Inputs'!P$10*$I50,IF(AND(($C50+$C$1)&gt;AR$3,AR$3&gt;=$C$1),'General Inputs'!P$10*$H50,0))</f>
        <v>0</v>
      </c>
      <c r="BN50" s="214">
        <f>IF(AND(($D50+$C$1)&gt;AS$3,AS$3&gt;=$C$1),'General Inputs'!Q$10*$I50,IF(AND(($C50+$C$1)&gt;AS$3,AS$3&gt;=$C$1),'General Inputs'!Q$10*$H50,0))</f>
        <v>0</v>
      </c>
      <c r="BO50" s="214">
        <f>IF(AND(($D50+$C$1)&gt;AT$3,AT$3&gt;=$C$1),'General Inputs'!R$10*$I50,IF(AND(($C50+$C$1)&gt;AT$3,AT$3&gt;=$C$1),'General Inputs'!R$10*$H50,0))</f>
        <v>0</v>
      </c>
      <c r="BP50" s="214">
        <f>IF(AND(($D50+$C$1)&gt;AU$3,AU$3&gt;=$C$1),'General Inputs'!S$10*$I50,IF(AND(($C50+$C$1)&gt;AU$3,AU$3&gt;=$C$1),'General Inputs'!S$10*$H50,0))</f>
        <v>0</v>
      </c>
      <c r="BQ50" s="214">
        <f>IF(AND(($D50+$C$1)&gt;AV$3,AV$3&gt;=$C$1),'General Inputs'!T$10*$I50,IF(AND(($C50+$C$1)&gt;AV$3,AV$3&gt;=$C$1),'General Inputs'!T$10*$H50,0))</f>
        <v>0</v>
      </c>
      <c r="BR50" s="214">
        <f>IF(AND(($D50+$C$1)&gt;AW$3,AW$3&gt;=$C$1),'General Inputs'!U$10*$I50,IF(AND(($C50+$C$1)&gt;AW$3,AW$3&gt;=$C$1),'General Inputs'!U$10*$H50,0))</f>
        <v>0</v>
      </c>
      <c r="BS50" s="214">
        <f>IF(AND(($D50+$C$1)&gt;AX$3,AX$3&gt;=$C$1),'General Inputs'!V$10*$I50,IF(AND(($C50+$C$1)&gt;AX$3,AX$3&gt;=$C$1),'General Inputs'!V$10*$H50,0))</f>
        <v>0</v>
      </c>
      <c r="BT50" s="214">
        <f>IF(AND(($D50+$C$1)&gt;AY$3,AY$3&gt;=$C$1),'General Inputs'!W$10*$I50,IF(AND(($C50+$C$1)&gt;AY$3,AY$3&gt;=$C$1),'General Inputs'!W$10*$H50,0))</f>
        <v>0</v>
      </c>
    </row>
    <row r="51" spans="1:72">
      <c r="A51" s="342" t="s">
        <v>112</v>
      </c>
      <c r="B51" s="427" t="str">
        <f>Sources!B51</f>
        <v>T8 (≤4 ft, 1-2 Lamp)</v>
      </c>
      <c r="C51" s="193">
        <f>Sources!C51</f>
        <v>18</v>
      </c>
      <c r="D51" s="193">
        <f>Sources!D51</f>
        <v>0</v>
      </c>
      <c r="F51" s="429">
        <f>Sources!F51*EnergyLineLoss</f>
        <v>238.19119124999997</v>
      </c>
      <c r="G51" s="429">
        <f>Sources!G51*EnergyLineLoss</f>
        <v>0</v>
      </c>
      <c r="H51" s="477">
        <f>Sources!H51*PeakLineLoss</f>
        <v>3.6831365999999997E-2</v>
      </c>
      <c r="I51" s="477">
        <f>Sources!I51*PeakLineLoss</f>
        <v>0</v>
      </c>
      <c r="K51" s="419">
        <f>Sources!J51</f>
        <v>43</v>
      </c>
      <c r="L51" s="419">
        <f>Sources!K51</f>
        <v>0</v>
      </c>
      <c r="N51" s="438">
        <f t="shared" si="27"/>
        <v>2.4756096662525127</v>
      </c>
      <c r="P51" s="215">
        <f t="shared" si="28"/>
        <v>100.60043130964397</v>
      </c>
      <c r="Q51" s="215">
        <f t="shared" si="29"/>
        <v>5.8507843392140657</v>
      </c>
      <c r="R51" s="215">
        <f t="shared" si="30"/>
        <v>43</v>
      </c>
      <c r="T51" s="214">
        <f t="shared" si="16"/>
        <v>43</v>
      </c>
      <c r="U51" s="214">
        <f t="shared" si="16"/>
        <v>0</v>
      </c>
      <c r="V51" s="214">
        <f t="shared" si="16"/>
        <v>0</v>
      </c>
      <c r="W51" s="214">
        <f t="shared" si="16"/>
        <v>0</v>
      </c>
      <c r="X51" s="214">
        <f t="shared" si="16"/>
        <v>0</v>
      </c>
      <c r="Y51" s="214">
        <f t="shared" si="16"/>
        <v>0</v>
      </c>
      <c r="Z51" s="214">
        <f t="shared" si="16"/>
        <v>0</v>
      </c>
      <c r="AA51" s="214">
        <f t="shared" si="16"/>
        <v>0</v>
      </c>
      <c r="AB51" s="214">
        <f t="shared" si="16"/>
        <v>0</v>
      </c>
      <c r="AC51" s="214">
        <f t="shared" si="16"/>
        <v>0</v>
      </c>
      <c r="AD51" s="214">
        <f t="shared" si="16"/>
        <v>0</v>
      </c>
      <c r="AF51" s="214">
        <f>IF(AND(($D51+$C$1)&gt;AF$3,AF$3&gt;=$C$1),'General Inputs'!D$9*$G51,IF(AND(($C51+$C$1)&gt;AF$3,AF$3&gt;=$C$1),'General Inputs'!D$9*$F51,0))</f>
        <v>9.4829318366774196</v>
      </c>
      <c r="AG51" s="214">
        <f>IF(AND(($D51+$C$1)&gt;AG$3,AG$3&gt;=$C$1),'General Inputs'!E$9*$G51,IF(AND(($C51+$C$1)&gt;AG$3,AG$3&gt;=$C$1),'General Inputs'!E$9*$F51,0))</f>
        <v>9.6251758142275783</v>
      </c>
      <c r="AH51" s="214">
        <f>IF(AND(($D51+$C$1)&gt;AH$3,AH$3&gt;=$C$1),'General Inputs'!F$9*$G51,IF(AND(($C51+$C$1)&gt;AH$3,AH$3&gt;=$C$1),'General Inputs'!F$9*$F51,0))</f>
        <v>9.7695534514409914</v>
      </c>
      <c r="AI51" s="214">
        <f>IF(AND(($D51+$C$1)&gt;AI$3,AI$3&gt;=$C$1),'General Inputs'!G$9*$G51,IF(AND(($C51+$C$1)&gt;AI$3,AI$3&gt;=$C$1),'General Inputs'!G$9*$F51,0))</f>
        <v>9.9160967532126065</v>
      </c>
      <c r="AJ51" s="214">
        <f>IF(AND(($D51+$C$1)&gt;AJ$3,AJ$3&gt;=$C$1),'General Inputs'!H$9*$G51,IF(AND(($C51+$C$1)&gt;AJ$3,AJ$3&gt;=$C$1),'General Inputs'!H$9*$F51,0))</f>
        <v>10.064838204510794</v>
      </c>
      <c r="AK51" s="214">
        <f>IF(AND(($D51+$C$1)&gt;AK$3,AK$3&gt;=$C$1),'General Inputs'!I$9*$G51,IF(AND(($C51+$C$1)&gt;AK$3,AK$3&gt;=$C$1),'General Inputs'!I$9*$F51,0))</f>
        <v>10.215810777578454</v>
      </c>
      <c r="AL51" s="214">
        <f>IF(AND(($D51+$C$1)&gt;AL$3,AL$3&gt;=$C$1),'General Inputs'!J$9*$G51,IF(AND(($C51+$C$1)&gt;AL$3,AL$3&gt;=$C$1),'General Inputs'!J$9*$F51,0))</f>
        <v>10.36904793924213</v>
      </c>
      <c r="AM51" s="214">
        <f>IF(AND(($D51+$C$1)&gt;AM$3,AM$3&gt;=$C$1),'General Inputs'!K$9*$G51,IF(AND(($C51+$C$1)&gt;AM$3,AM$3&gt;=$C$1),'General Inputs'!K$9*$F51,0))</f>
        <v>10.524583658330759</v>
      </c>
      <c r="AN51" s="214">
        <f>IF(AND(($D51+$C$1)&gt;AN$3,AN$3&gt;=$C$1),'General Inputs'!L$9*$G51,IF(AND(($C51+$C$1)&gt;AN$3,AN$3&gt;=$C$1),'General Inputs'!L$9*$F51,0))</f>
        <v>10.68245241320572</v>
      </c>
      <c r="AO51" s="214">
        <f>IF(AND(($D51+$C$1)&gt;AO$3,AO$3&gt;=$C$1),'General Inputs'!M$9*$G51,IF(AND(($C51+$C$1)&gt;AO$3,AO$3&gt;=$C$1),'General Inputs'!M$9*$F51,0))</f>
        <v>10.842689199403804</v>
      </c>
      <c r="AP51" s="214">
        <f>IF(AND(($D51+$C$1)&gt;AP$3,AP$3&gt;=$C$1),'General Inputs'!N$9*$G51,IF(AND(($C51+$C$1)&gt;AP$3,AP$3&gt;=$C$1),'General Inputs'!N$9*$F51,0))</f>
        <v>11.005329537394861</v>
      </c>
      <c r="AQ51" s="214">
        <f>IF(AND(($D51+$C$1)&gt;AQ$3,AQ$3&gt;=$C$1),'General Inputs'!O$9*$G51,IF(AND(($C51+$C$1)&gt;AQ$3,AQ$3&gt;=$C$1),'General Inputs'!O$9*$F51,0))</f>
        <v>11.170409480455781</v>
      </c>
      <c r="AR51" s="214">
        <f>IF(AND(($D51+$C$1)&gt;AR$3,AR$3&gt;=$C$1),'General Inputs'!P$9*$G51,IF(AND(($C51+$C$1)&gt;AR$3,AR$3&gt;=$C$1),'General Inputs'!P$9*$F51,0))</f>
        <v>11.337965622662617</v>
      </c>
      <c r="AS51" s="214">
        <f>IF(AND(($D51+$C$1)&gt;AS$3,AS$3&gt;=$C$1),'General Inputs'!Q$9*$G51,IF(AND(($C51+$C$1)&gt;AS$3,AS$3&gt;=$C$1),'General Inputs'!Q$9*$F51,0))</f>
        <v>11.508035107002556</v>
      </c>
      <c r="AT51" s="214">
        <f>IF(AND(($D51+$C$1)&gt;AT$3,AT$3&gt;=$C$1),'General Inputs'!R$9*$G51,IF(AND(($C51+$C$1)&gt;AT$3,AT$3&gt;=$C$1),'General Inputs'!R$9*$F51,0))</f>
        <v>11.680655633607595</v>
      </c>
      <c r="AU51" s="214">
        <f>IF(AND(($D51+$C$1)&gt;AU$3,AU$3&gt;=$C$1),'General Inputs'!S$9*$G51,IF(AND(($C51+$C$1)&gt;AU$3,AU$3&gt;=$C$1),'General Inputs'!S$9*$F51,0))</f>
        <v>11.855865468111707</v>
      </c>
      <c r="AV51" s="214">
        <f>IF(AND(($D51+$C$1)&gt;AV$3,AV$3&gt;=$C$1),'General Inputs'!T$9*$G51,IF(AND(($C51+$C$1)&gt;AV$3,AV$3&gt;=$C$1),'General Inputs'!T$9*$F51,0))</f>
        <v>12.033703450133382</v>
      </c>
      <c r="AW51" s="214">
        <f>IF(AND(($D51+$C$1)&gt;AW$3,AW$3&gt;=$C$1),'General Inputs'!U$9*$G51,IF(AND(($C51+$C$1)&gt;AW$3,AW$3&gt;=$C$1),'General Inputs'!U$9*$F51,0))</f>
        <v>12.214209001885381</v>
      </c>
      <c r="AX51" s="214">
        <f>IF(AND(($D51+$C$1)&gt;AX$3,AX$3&gt;=$C$1),'General Inputs'!V$9*$G51,IF(AND(($C51+$C$1)&gt;AX$3,AX$3&gt;=$C$1),'General Inputs'!V$9*$F51,0))</f>
        <v>0</v>
      </c>
      <c r="AY51" s="214">
        <f>IF(AND(($D51+$C$1)&gt;AY$3,AY$3&gt;=$C$1),'General Inputs'!W$9*$G51,IF(AND(($C51+$C$1)&gt;AY$3,AY$3&gt;=$C$1),'General Inputs'!W$9*$F51,0))</f>
        <v>0</v>
      </c>
      <c r="BA51" s="214">
        <f>IF(AND(($D51+$C$1)&gt;AF$3,AF$3&gt;=$C$1),'General Inputs'!D$10*$I51,IF(AND(($C51+$C$1)&gt;AF$3,AF$3&gt;=$C$1),'General Inputs'!D$10*$H51,0))</f>
        <v>0.55151442551069796</v>
      </c>
      <c r="BB51" s="214">
        <f>IF(AND(($D51+$C$1)&gt;AG$3,AG$3&gt;=$C$1),'General Inputs'!E$10*$I51,IF(AND(($C51+$C$1)&gt;AG$3,AG$3&gt;=$C$1),'General Inputs'!E$10*$H51,0))</f>
        <v>0.55978714189335832</v>
      </c>
      <c r="BC51" s="214">
        <f>IF(AND(($D51+$C$1)&gt;AH$3,AH$3&gt;=$C$1),'General Inputs'!F$10*$I51,IF(AND(($C51+$C$1)&gt;AH$3,AH$3&gt;=$C$1),'General Inputs'!F$10*$H51,0))</f>
        <v>0.56818394902175862</v>
      </c>
      <c r="BD51" s="214">
        <f>IF(AND(($D51+$C$1)&gt;AI$3,AI$3&gt;=$C$1),'General Inputs'!G$10*$I51,IF(AND(($C51+$C$1)&gt;AI$3,AI$3&gt;=$C$1),'General Inputs'!G$10*$H51,0))</f>
        <v>0.57670670825708503</v>
      </c>
      <c r="BE51" s="214">
        <f>IF(AND(($D51+$C$1)&gt;AJ$3,AJ$3&gt;=$C$1),'General Inputs'!H$10*$I51,IF(AND(($C51+$C$1)&gt;AJ$3,AJ$3&gt;=$C$1),'General Inputs'!H$10*$H51,0))</f>
        <v>0.58535730888094117</v>
      </c>
      <c r="BF51" s="214">
        <f>IF(AND(($D51+$C$1)&gt;AK$3,AK$3&gt;=$C$1),'General Inputs'!I$10*$I51,IF(AND(($C51+$C$1)&gt;AK$3,AK$3&gt;=$C$1),'General Inputs'!I$10*$H51,0))</f>
        <v>0.59413766851415517</v>
      </c>
      <c r="BG51" s="214">
        <f>IF(AND(($D51+$C$1)&gt;AL$3,AL$3&gt;=$C$1),'General Inputs'!J$10*$I51,IF(AND(($C51+$C$1)&gt;AL$3,AL$3&gt;=$C$1),'General Inputs'!J$10*$H51,0))</f>
        <v>0.60304973354186753</v>
      </c>
      <c r="BH51" s="214">
        <f>IF(AND(($D51+$C$1)&gt;AM$3,AM$3&gt;=$C$1),'General Inputs'!K$10*$I51,IF(AND(($C51+$C$1)&gt;AM$3,AM$3&gt;=$C$1),'General Inputs'!K$10*$H51,0))</f>
        <v>0.61209547954499544</v>
      </c>
      <c r="BI51" s="214">
        <f>IF(AND(($D51+$C$1)&gt;AN$3,AN$3&gt;=$C$1),'General Inputs'!L$10*$I51,IF(AND(($C51+$C$1)&gt;AN$3,AN$3&gt;=$C$1),'General Inputs'!L$10*$H51,0))</f>
        <v>0.62127691173817035</v>
      </c>
      <c r="BJ51" s="214">
        <f>IF(AND(($D51+$C$1)&gt;AO$3,AO$3&gt;=$C$1),'General Inputs'!M$10*$I51,IF(AND(($C51+$C$1)&gt;AO$3,AO$3&gt;=$C$1),'General Inputs'!M$10*$H51,0))</f>
        <v>0.63059606541424285</v>
      </c>
      <c r="BK51" s="214">
        <f>IF(AND(($D51+$C$1)&gt;AP$3,AP$3&gt;=$C$1),'General Inputs'!N$10*$I51,IF(AND(($C51+$C$1)&gt;AP$3,AP$3&gt;=$C$1),'General Inputs'!N$10*$H51,0))</f>
        <v>0.64005500639545643</v>
      </c>
      <c r="BL51" s="214">
        <f>IF(AND(($D51+$C$1)&gt;AQ$3,AQ$3&gt;=$C$1),'General Inputs'!O$10*$I51,IF(AND(($C51+$C$1)&gt;AQ$3,AQ$3&gt;=$C$1),'General Inputs'!O$10*$H51,0))</f>
        <v>0.64965583149138817</v>
      </c>
      <c r="BM51" s="214">
        <f>IF(AND(($D51+$C$1)&gt;AR$3,AR$3&gt;=$C$1),'General Inputs'!P$10*$I51,IF(AND(($C51+$C$1)&gt;AR$3,AR$3&gt;=$C$1),'General Inputs'!P$10*$H51,0))</f>
        <v>0.65940066896375904</v>
      </c>
      <c r="BN51" s="214">
        <f>IF(AND(($D51+$C$1)&gt;AS$3,AS$3&gt;=$C$1),'General Inputs'!Q$10*$I51,IF(AND(($C51+$C$1)&gt;AS$3,AS$3&gt;=$C$1),'General Inputs'!Q$10*$H51,0))</f>
        <v>0.66929167899821529</v>
      </c>
      <c r="BO51" s="214">
        <f>IF(AND(($D51+$C$1)&gt;AT$3,AT$3&gt;=$C$1),'General Inputs'!R$10*$I51,IF(AND(($C51+$C$1)&gt;AT$3,AT$3&gt;=$C$1),'General Inputs'!R$10*$H51,0))</f>
        <v>0.6793310541831884</v>
      </c>
      <c r="BP51" s="214">
        <f>IF(AND(($D51+$C$1)&gt;AU$3,AU$3&gt;=$C$1),'General Inputs'!S$10*$I51,IF(AND(($C51+$C$1)&gt;AU$3,AU$3&gt;=$C$1),'General Inputs'!S$10*$H51,0))</f>
        <v>0.68952101999593629</v>
      </c>
      <c r="BQ51" s="214">
        <f>IF(AND(($D51+$C$1)&gt;AV$3,AV$3&gt;=$C$1),'General Inputs'!T$10*$I51,IF(AND(($C51+$C$1)&gt;AV$3,AV$3&gt;=$C$1),'General Inputs'!T$10*$H51,0))</f>
        <v>0.69986383529587515</v>
      </c>
      <c r="BR51" s="214">
        <f>IF(AND(($D51+$C$1)&gt;AW$3,AW$3&gt;=$C$1),'General Inputs'!U$10*$I51,IF(AND(($C51+$C$1)&gt;AW$3,AW$3&gt;=$C$1),'General Inputs'!U$10*$H51,0))</f>
        <v>0.71036179282531331</v>
      </c>
      <c r="BS51" s="214">
        <f>IF(AND(($D51+$C$1)&gt;AX$3,AX$3&gt;=$C$1),'General Inputs'!V$10*$I51,IF(AND(($C51+$C$1)&gt;AX$3,AX$3&gt;=$C$1),'General Inputs'!V$10*$H51,0))</f>
        <v>0</v>
      </c>
      <c r="BT51" s="214">
        <f>IF(AND(($D51+$C$1)&gt;AY$3,AY$3&gt;=$C$1),'General Inputs'!W$10*$I51,IF(AND(($C51+$C$1)&gt;AY$3,AY$3&gt;=$C$1),'General Inputs'!W$10*$H51,0))</f>
        <v>0</v>
      </c>
    </row>
    <row r="52" spans="1:72">
      <c r="A52" s="342" t="s">
        <v>112</v>
      </c>
      <c r="B52" s="427" t="str">
        <f>Sources!B52</f>
        <v>T8 (≤4 ft, 3-4 Lamp)</v>
      </c>
      <c r="C52" s="193">
        <f>Sources!C52</f>
        <v>18</v>
      </c>
      <c r="D52" s="193">
        <f>Sources!D52</f>
        <v>0</v>
      </c>
      <c r="F52" s="429">
        <f>Sources!F52*EnergyLineLoss</f>
        <v>366.00109874999993</v>
      </c>
      <c r="G52" s="429">
        <f>Sources!G52*EnergyLineLoss</f>
        <v>0</v>
      </c>
      <c r="H52" s="477">
        <f>Sources!H52*PeakLineLoss</f>
        <v>5.6594537999999993E-2</v>
      </c>
      <c r="I52" s="477">
        <f>Sources!I52*PeakLineLoss</f>
        <v>0</v>
      </c>
      <c r="K52" s="419">
        <f>Sources!J52</f>
        <v>55</v>
      </c>
      <c r="L52" s="419">
        <f>Sources!K52</f>
        <v>0</v>
      </c>
      <c r="N52" s="438">
        <f t="shared" si="27"/>
        <v>2.9740250935157673</v>
      </c>
      <c r="P52" s="215">
        <f t="shared" si="28"/>
        <v>154.5811505489651</v>
      </c>
      <c r="Q52" s="215">
        <f t="shared" si="29"/>
        <v>8.9902295944020985</v>
      </c>
      <c r="R52" s="215">
        <f t="shared" si="30"/>
        <v>55</v>
      </c>
      <c r="T52" s="214">
        <f t="shared" si="16"/>
        <v>55</v>
      </c>
      <c r="U52" s="214">
        <f t="shared" si="16"/>
        <v>0</v>
      </c>
      <c r="V52" s="214">
        <f t="shared" si="16"/>
        <v>0</v>
      </c>
      <c r="W52" s="214">
        <f t="shared" si="16"/>
        <v>0</v>
      </c>
      <c r="X52" s="214">
        <f t="shared" si="16"/>
        <v>0</v>
      </c>
      <c r="Y52" s="214">
        <f t="shared" si="16"/>
        <v>0</v>
      </c>
      <c r="Z52" s="214">
        <f t="shared" ref="V52:AD80" si="31">IF($C$1=Z$3,$K52,IF($D52+$C$1=Z$3,-$L52,0))</f>
        <v>0</v>
      </c>
      <c r="AA52" s="214">
        <f t="shared" si="31"/>
        <v>0</v>
      </c>
      <c r="AB52" s="214">
        <f t="shared" si="31"/>
        <v>0</v>
      </c>
      <c r="AC52" s="214">
        <f t="shared" si="31"/>
        <v>0</v>
      </c>
      <c r="AD52" s="214">
        <f t="shared" si="31"/>
        <v>0</v>
      </c>
      <c r="AF52" s="214">
        <f>IF(AND(($D52+$C$1)&gt;AF$3,AF$3&gt;=$C$1),'General Inputs'!D$9*$G52,IF(AND(($C52+$C$1)&gt;AF$3,AF$3&gt;=$C$1),'General Inputs'!D$9*$F52,0))</f>
        <v>14.571334285626277</v>
      </c>
      <c r="AG52" s="214">
        <f>IF(AND(($D52+$C$1)&gt;AG$3,AG$3&gt;=$C$1),'General Inputs'!E$9*$G52,IF(AND(($C52+$C$1)&gt;AG$3,AG$3&gt;=$C$1),'General Inputs'!E$9*$F52,0))</f>
        <v>14.789904299910669</v>
      </c>
      <c r="AH52" s="214">
        <f>IF(AND(($D52+$C$1)&gt;AH$3,AH$3&gt;=$C$1),'General Inputs'!F$9*$G52,IF(AND(($C52+$C$1)&gt;AH$3,AH$3&gt;=$C$1),'General Inputs'!F$9*$F52,0))</f>
        <v>15.011752864409328</v>
      </c>
      <c r="AI52" s="214">
        <f>IF(AND(($D52+$C$1)&gt;AI$3,AI$3&gt;=$C$1),'General Inputs'!G$9*$G52,IF(AND(($C52+$C$1)&gt;AI$3,AI$3&gt;=$C$1),'General Inputs'!G$9*$F52,0))</f>
        <v>15.236929157375465</v>
      </c>
      <c r="AJ52" s="214">
        <f>IF(AND(($D52+$C$1)&gt;AJ$3,AJ$3&gt;=$C$1),'General Inputs'!H$9*$G52,IF(AND(($C52+$C$1)&gt;AJ$3,AJ$3&gt;=$C$1),'General Inputs'!H$9*$F52,0))</f>
        <v>15.465483094736095</v>
      </c>
      <c r="AK52" s="214">
        <f>IF(AND(($D52+$C$1)&gt;AK$3,AK$3&gt;=$C$1),'General Inputs'!I$9*$G52,IF(AND(($C52+$C$1)&gt;AK$3,AK$3&gt;=$C$1),'General Inputs'!I$9*$F52,0))</f>
        <v>15.697465341157134</v>
      </c>
      <c r="AL52" s="214">
        <f>IF(AND(($D52+$C$1)&gt;AL$3,AL$3&gt;=$C$1),'General Inputs'!J$9*$G52,IF(AND(($C52+$C$1)&gt;AL$3,AL$3&gt;=$C$1),'General Inputs'!J$9*$F52,0))</f>
        <v>15.932927321274489</v>
      </c>
      <c r="AM52" s="214">
        <f>IF(AND(($D52+$C$1)&gt;AM$3,AM$3&gt;=$C$1),'General Inputs'!K$9*$G52,IF(AND(($C52+$C$1)&gt;AM$3,AM$3&gt;=$C$1),'General Inputs'!K$9*$F52,0))</f>
        <v>16.171921231093606</v>
      </c>
      <c r="AN52" s="214">
        <f>IF(AND(($D52+$C$1)&gt;AN$3,AN$3&gt;=$C$1),'General Inputs'!L$9*$G52,IF(AND(($C52+$C$1)&gt;AN$3,AN$3&gt;=$C$1),'General Inputs'!L$9*$F52,0))</f>
        <v>16.414500049560008</v>
      </c>
      <c r="AO52" s="214">
        <f>IF(AND(($D52+$C$1)&gt;AO$3,AO$3&gt;=$C$1),'General Inputs'!M$9*$G52,IF(AND(($C52+$C$1)&gt;AO$3,AO$3&gt;=$C$1),'General Inputs'!M$9*$F52,0))</f>
        <v>16.660717550303403</v>
      </c>
      <c r="AP52" s="214">
        <f>IF(AND(($D52+$C$1)&gt;AP$3,AP$3&gt;=$C$1),'General Inputs'!N$9*$G52,IF(AND(($C52+$C$1)&gt;AP$3,AP$3&gt;=$C$1),'General Inputs'!N$9*$F52,0))</f>
        <v>16.910628313557954</v>
      </c>
      <c r="AQ52" s="214">
        <f>IF(AND(($D52+$C$1)&gt;AQ$3,AQ$3&gt;=$C$1),'General Inputs'!O$9*$G52,IF(AND(($C52+$C$1)&gt;AQ$3,AQ$3&gt;=$C$1),'General Inputs'!O$9*$F52,0))</f>
        <v>17.164287738261322</v>
      </c>
      <c r="AR52" s="214">
        <f>IF(AND(($D52+$C$1)&gt;AR$3,AR$3&gt;=$C$1),'General Inputs'!P$9*$G52,IF(AND(($C52+$C$1)&gt;AR$3,AR$3&gt;=$C$1),'General Inputs'!P$9*$F52,0))</f>
        <v>17.42175205433524</v>
      </c>
      <c r="AS52" s="214">
        <f>IF(AND(($D52+$C$1)&gt;AS$3,AS$3&gt;=$C$1),'General Inputs'!Q$9*$G52,IF(AND(($C52+$C$1)&gt;AS$3,AS$3&gt;=$C$1),'General Inputs'!Q$9*$F52,0))</f>
        <v>17.683078335150267</v>
      </c>
      <c r="AT52" s="214">
        <f>IF(AND(($D52+$C$1)&gt;AT$3,AT$3&gt;=$C$1),'General Inputs'!R$9*$G52,IF(AND(($C52+$C$1)&gt;AT$3,AT$3&gt;=$C$1),'General Inputs'!R$9*$F52,0))</f>
        <v>17.948324510177521</v>
      </c>
      <c r="AU52" s="214">
        <f>IF(AND(($D52+$C$1)&gt;AU$3,AU$3&gt;=$C$1),'General Inputs'!S$9*$G52,IF(AND(($C52+$C$1)&gt;AU$3,AU$3&gt;=$C$1),'General Inputs'!S$9*$F52,0))</f>
        <v>18.217549377830181</v>
      </c>
      <c r="AV52" s="214">
        <f>IF(AND(($D52+$C$1)&gt;AV$3,AV$3&gt;=$C$1),'General Inputs'!T$9*$G52,IF(AND(($C52+$C$1)&gt;AV$3,AV$3&gt;=$C$1),'General Inputs'!T$9*$F52,0))</f>
        <v>18.490812618497635</v>
      </c>
      <c r="AW52" s="214">
        <f>IF(AND(($D52+$C$1)&gt;AW$3,AW$3&gt;=$C$1),'General Inputs'!U$9*$G52,IF(AND(($C52+$C$1)&gt;AW$3,AW$3&gt;=$C$1),'General Inputs'!U$9*$F52,0))</f>
        <v>18.768174807775097</v>
      </c>
      <c r="AX52" s="214">
        <f>IF(AND(($D52+$C$1)&gt;AX$3,AX$3&gt;=$C$1),'General Inputs'!V$9*$G52,IF(AND(($C52+$C$1)&gt;AX$3,AX$3&gt;=$C$1),'General Inputs'!V$9*$F52,0))</f>
        <v>0</v>
      </c>
      <c r="AY52" s="214">
        <f>IF(AND(($D52+$C$1)&gt;AY$3,AY$3&gt;=$C$1),'General Inputs'!W$9*$G52,IF(AND(($C52+$C$1)&gt;AY$3,AY$3&gt;=$C$1),'General Inputs'!W$9*$F52,0))</f>
        <v>0</v>
      </c>
      <c r="BA52" s="214">
        <f>IF(AND(($D52+$C$1)&gt;AF$3,AF$3&gt;=$C$1),'General Inputs'!D$10*$I52,IF(AND(($C52+$C$1)&gt;AF$3,AF$3&gt;=$C$1),'General Inputs'!D$10*$H52,0))</f>
        <v>0.84744899529692597</v>
      </c>
      <c r="BB52" s="214">
        <f>IF(AND(($D52+$C$1)&gt;AG$3,AG$3&gt;=$C$1),'General Inputs'!E$10*$I52,IF(AND(($C52+$C$1)&gt;AG$3,AG$3&gt;=$C$1),'General Inputs'!E$10*$H52,0))</f>
        <v>0.86016073022637984</v>
      </c>
      <c r="BC52" s="214">
        <f>IF(AND(($D52+$C$1)&gt;AH$3,AH$3&gt;=$C$1),'General Inputs'!F$10*$I52,IF(AND(($C52+$C$1)&gt;AH$3,AH$3&gt;=$C$1),'General Inputs'!F$10*$H52,0))</f>
        <v>0.87306314117977546</v>
      </c>
      <c r="BD52" s="214">
        <f>IF(AND(($D52+$C$1)&gt;AI$3,AI$3&gt;=$C$1),'General Inputs'!G$10*$I52,IF(AND(($C52+$C$1)&gt;AI$3,AI$3&gt;=$C$1),'General Inputs'!G$10*$H52,0))</f>
        <v>0.88615908829747203</v>
      </c>
      <c r="BE52" s="214">
        <f>IF(AND(($D52+$C$1)&gt;AJ$3,AJ$3&gt;=$C$1),'General Inputs'!H$10*$I52,IF(AND(($C52+$C$1)&gt;AJ$3,AJ$3&gt;=$C$1),'General Inputs'!H$10*$H52,0))</f>
        <v>0.89945147462193398</v>
      </c>
      <c r="BF52" s="214">
        <f>IF(AND(($D52+$C$1)&gt;AK$3,AK$3&gt;=$C$1),'General Inputs'!I$10*$I52,IF(AND(($C52+$C$1)&gt;AK$3,AK$3&gt;=$C$1),'General Inputs'!I$10*$H52,0))</f>
        <v>0.91294324674126281</v>
      </c>
      <c r="BG52" s="214">
        <f>IF(AND(($D52+$C$1)&gt;AL$3,AL$3&gt;=$C$1),'General Inputs'!J$10*$I52,IF(AND(($C52+$C$1)&gt;AL$3,AL$3&gt;=$C$1),'General Inputs'!J$10*$H52,0))</f>
        <v>0.92663739544238166</v>
      </c>
      <c r="BH52" s="214">
        <f>IF(AND(($D52+$C$1)&gt;AM$3,AM$3&gt;=$C$1),'General Inputs'!K$10*$I52,IF(AND(($C52+$C$1)&gt;AM$3,AM$3&gt;=$C$1),'General Inputs'!K$10*$H52,0))</f>
        <v>0.94053695637401735</v>
      </c>
      <c r="BI52" s="214">
        <f>IF(AND(($D52+$C$1)&gt;AN$3,AN$3&gt;=$C$1),'General Inputs'!L$10*$I52,IF(AND(($C52+$C$1)&gt;AN$3,AN$3&gt;=$C$1),'General Inputs'!L$10*$H52,0))</f>
        <v>0.9546450107196276</v>
      </c>
      <c r="BJ52" s="214">
        <f>IF(AND(($D52+$C$1)&gt;AO$3,AO$3&gt;=$C$1),'General Inputs'!M$10*$I52,IF(AND(($C52+$C$1)&gt;AO$3,AO$3&gt;=$C$1),'General Inputs'!M$10*$H52,0))</f>
        <v>0.96896468588042195</v>
      </c>
      <c r="BK52" s="214">
        <f>IF(AND(($D52+$C$1)&gt;AP$3,AP$3&gt;=$C$1),'General Inputs'!N$10*$I52,IF(AND(($C52+$C$1)&gt;AP$3,AP$3&gt;=$C$1),'General Inputs'!N$10*$H52,0))</f>
        <v>0.98349915616862815</v>
      </c>
      <c r="BL52" s="214">
        <f>IF(AND(($D52+$C$1)&gt;AQ$3,AQ$3&gt;=$C$1),'General Inputs'!O$10*$I52,IF(AND(($C52+$C$1)&gt;AQ$3,AQ$3&gt;=$C$1),'General Inputs'!O$10*$H52,0))</f>
        <v>0.99825164351115747</v>
      </c>
      <c r="BM52" s="214">
        <f>IF(AND(($D52+$C$1)&gt;AR$3,AR$3&gt;=$C$1),'General Inputs'!P$10*$I52,IF(AND(($C52+$C$1)&gt;AR$3,AR$3&gt;=$C$1),'General Inputs'!P$10*$H52,0))</f>
        <v>1.0132254181638247</v>
      </c>
      <c r="BN52" s="214">
        <f>IF(AND(($D52+$C$1)&gt;AS$3,AS$3&gt;=$C$1),'General Inputs'!Q$10*$I52,IF(AND(($C52+$C$1)&gt;AS$3,AS$3&gt;=$C$1),'General Inputs'!Q$10*$H52,0))</f>
        <v>1.0284237994362819</v>
      </c>
      <c r="BO52" s="214">
        <f>IF(AND(($D52+$C$1)&gt;AT$3,AT$3&gt;=$C$1),'General Inputs'!R$10*$I52,IF(AND(($C52+$C$1)&gt;AT$3,AT$3&gt;=$C$1),'General Inputs'!R$10*$H52,0))</f>
        <v>1.043850156427826</v>
      </c>
      <c r="BP52" s="214">
        <f>IF(AND(($D52+$C$1)&gt;AU$3,AU$3&gt;=$C$1),'General Inputs'!S$10*$I52,IF(AND(($C52+$C$1)&gt;AU$3,AU$3&gt;=$C$1),'General Inputs'!S$10*$H52,0))</f>
        <v>1.0595079087742434</v>
      </c>
      <c r="BQ52" s="214">
        <f>IF(AND(($D52+$C$1)&gt;AV$3,AV$3&gt;=$C$1),'General Inputs'!T$10*$I52,IF(AND(($C52+$C$1)&gt;AV$3,AV$3&gt;=$C$1),'General Inputs'!T$10*$H52,0))</f>
        <v>1.0754005274058569</v>
      </c>
      <c r="BR52" s="214">
        <f>IF(AND(($D52+$C$1)&gt;AW$3,AW$3&gt;=$C$1),'General Inputs'!U$10*$I52,IF(AND(($C52+$C$1)&gt;AW$3,AW$3&gt;=$C$1),'General Inputs'!U$10*$H52,0))</f>
        <v>1.0915315353169448</v>
      </c>
      <c r="BS52" s="214">
        <f>IF(AND(($D52+$C$1)&gt;AX$3,AX$3&gt;=$C$1),'General Inputs'!V$10*$I52,IF(AND(($C52+$C$1)&gt;AX$3,AX$3&gt;=$C$1),'General Inputs'!V$10*$H52,0))</f>
        <v>0</v>
      </c>
      <c r="BT52" s="214">
        <f>IF(AND(($D52+$C$1)&gt;AY$3,AY$3&gt;=$C$1),'General Inputs'!W$10*$I52,IF(AND(($C52+$C$1)&gt;AY$3,AY$3&gt;=$C$1),'General Inputs'!W$10*$H52,0))</f>
        <v>0</v>
      </c>
    </row>
    <row r="53" spans="1:72">
      <c r="A53" s="342" t="s">
        <v>112</v>
      </c>
      <c r="B53" s="427" t="str">
        <f>Sources!B53</f>
        <v>T8 (5-8 ft, 1-2 Lamp)</v>
      </c>
      <c r="C53" s="193">
        <f>Sources!C53</f>
        <v>18</v>
      </c>
      <c r="D53" s="193">
        <f>Sources!D53</f>
        <v>0</v>
      </c>
      <c r="F53" s="429">
        <f>Sources!F53*EnergyLineLoss</f>
        <v>348.57247499999994</v>
      </c>
      <c r="G53" s="429">
        <f>Sources!G53*EnergyLineLoss</f>
        <v>0</v>
      </c>
      <c r="H53" s="477">
        <f>Sources!H53*PeakLineLoss</f>
        <v>5.3899559999999999E-2</v>
      </c>
      <c r="I53" s="477">
        <f>Sources!I53*PeakLineLoss</f>
        <v>0</v>
      </c>
      <c r="K53" s="419">
        <f>Sources!J53</f>
        <v>93</v>
      </c>
      <c r="L53" s="419">
        <f>Sources!K53</f>
        <v>0</v>
      </c>
      <c r="N53" s="438">
        <f t="shared" si="27"/>
        <v>1.6750781376688912</v>
      </c>
      <c r="P53" s="215">
        <f t="shared" si="28"/>
        <v>147.22014337996677</v>
      </c>
      <c r="Q53" s="215">
        <f t="shared" si="29"/>
        <v>8.5621234232400969</v>
      </c>
      <c r="R53" s="215">
        <f t="shared" si="30"/>
        <v>93</v>
      </c>
      <c r="T53" s="214">
        <f t="shared" ref="T53:U82" si="32">IF($C$1=T$3,$K53,IF($D53+$C$1=T$3,-$L53,0))</f>
        <v>93</v>
      </c>
      <c r="U53" s="214">
        <f t="shared" si="32"/>
        <v>0</v>
      </c>
      <c r="V53" s="214">
        <f t="shared" si="31"/>
        <v>0</v>
      </c>
      <c r="W53" s="214">
        <f t="shared" si="31"/>
        <v>0</v>
      </c>
      <c r="X53" s="214">
        <f t="shared" si="31"/>
        <v>0</v>
      </c>
      <c r="Y53" s="214">
        <f t="shared" si="31"/>
        <v>0</v>
      </c>
      <c r="Z53" s="214">
        <f t="shared" si="31"/>
        <v>0</v>
      </c>
      <c r="AA53" s="214">
        <f t="shared" si="31"/>
        <v>0</v>
      </c>
      <c r="AB53" s="214">
        <f t="shared" si="31"/>
        <v>0</v>
      </c>
      <c r="AC53" s="214">
        <f t="shared" si="31"/>
        <v>0</v>
      </c>
      <c r="AD53" s="214">
        <f t="shared" si="31"/>
        <v>0</v>
      </c>
      <c r="AF53" s="214">
        <f>IF(AND(($D53+$C$1)&gt;AF$3,AF$3&gt;=$C$1),'General Inputs'!D$9*$G53,IF(AND(($C53+$C$1)&gt;AF$3,AF$3&gt;=$C$1),'General Inputs'!D$9*$F53,0))</f>
        <v>13.877461224405979</v>
      </c>
      <c r="AG53" s="214">
        <f>IF(AND(($D53+$C$1)&gt;AG$3,AG$3&gt;=$C$1),'General Inputs'!E$9*$G53,IF(AND(($C53+$C$1)&gt;AG$3,AG$3&gt;=$C$1),'General Inputs'!E$9*$F53,0))</f>
        <v>14.085623142772066</v>
      </c>
      <c r="AH53" s="214">
        <f>IF(AND(($D53+$C$1)&gt;AH$3,AH$3&gt;=$C$1),'General Inputs'!F$9*$G53,IF(AND(($C53+$C$1)&gt;AH$3,AH$3&gt;=$C$1),'General Inputs'!F$9*$F53,0))</f>
        <v>14.296907489913645</v>
      </c>
      <c r="AI53" s="214">
        <f>IF(AND(($D53+$C$1)&gt;AI$3,AI$3&gt;=$C$1),'General Inputs'!G$9*$G53,IF(AND(($C53+$C$1)&gt;AI$3,AI$3&gt;=$C$1),'General Inputs'!G$9*$F53,0))</f>
        <v>14.511361102262349</v>
      </c>
      <c r="AJ53" s="214">
        <f>IF(AND(($D53+$C$1)&gt;AJ$3,AJ$3&gt;=$C$1),'General Inputs'!H$9*$G53,IF(AND(($C53+$C$1)&gt;AJ$3,AJ$3&gt;=$C$1),'General Inputs'!H$9*$F53,0))</f>
        <v>14.729031518796281</v>
      </c>
      <c r="AK53" s="214">
        <f>IF(AND(($D53+$C$1)&gt;AK$3,AK$3&gt;=$C$1),'General Inputs'!I$9*$G53,IF(AND(($C53+$C$1)&gt;AK$3,AK$3&gt;=$C$1),'General Inputs'!I$9*$F53,0))</f>
        <v>14.949966991578224</v>
      </c>
      <c r="AL53" s="214">
        <f>IF(AND(($D53+$C$1)&gt;AL$3,AL$3&gt;=$C$1),'General Inputs'!J$9*$G53,IF(AND(($C53+$C$1)&gt;AL$3,AL$3&gt;=$C$1),'General Inputs'!J$9*$F53,0))</f>
        <v>15.174216496451896</v>
      </c>
      <c r="AM53" s="214">
        <f>IF(AND(($D53+$C$1)&gt;AM$3,AM$3&gt;=$C$1),'General Inputs'!K$9*$G53,IF(AND(($C53+$C$1)&gt;AM$3,AM$3&gt;=$C$1),'General Inputs'!K$9*$F53,0))</f>
        <v>15.401829743898672</v>
      </c>
      <c r="AN53" s="214">
        <f>IF(AND(($D53+$C$1)&gt;AN$3,AN$3&gt;=$C$1),'General Inputs'!L$9*$G53,IF(AND(($C53+$C$1)&gt;AN$3,AN$3&gt;=$C$1),'General Inputs'!L$9*$F53,0))</f>
        <v>15.63285719005715</v>
      </c>
      <c r="AO53" s="214">
        <f>IF(AND(($D53+$C$1)&gt;AO$3,AO$3&gt;=$C$1),'General Inputs'!M$9*$G53,IF(AND(($C53+$C$1)&gt;AO$3,AO$3&gt;=$C$1),'General Inputs'!M$9*$F53,0))</f>
        <v>15.867350047908005</v>
      </c>
      <c r="AP53" s="214">
        <f>IF(AND(($D53+$C$1)&gt;AP$3,AP$3&gt;=$C$1),'General Inputs'!N$9*$G53,IF(AND(($C53+$C$1)&gt;AP$3,AP$3&gt;=$C$1),'General Inputs'!N$9*$F53,0))</f>
        <v>16.105360298626625</v>
      </c>
      <c r="AQ53" s="214">
        <f>IF(AND(($D53+$C$1)&gt;AQ$3,AQ$3&gt;=$C$1),'General Inputs'!O$9*$G53,IF(AND(($C53+$C$1)&gt;AQ$3,AQ$3&gt;=$C$1),'General Inputs'!O$9*$F53,0))</f>
        <v>16.346940703106021</v>
      </c>
      <c r="AR53" s="214">
        <f>IF(AND(($D53+$C$1)&gt;AR$3,AR$3&gt;=$C$1),'General Inputs'!P$9*$G53,IF(AND(($C53+$C$1)&gt;AR$3,AR$3&gt;=$C$1),'General Inputs'!P$9*$F53,0))</f>
        <v>16.59214481365261</v>
      </c>
      <c r="AS53" s="214">
        <f>IF(AND(($D53+$C$1)&gt;AS$3,AS$3&gt;=$C$1),'General Inputs'!Q$9*$G53,IF(AND(($C53+$C$1)&gt;AS$3,AS$3&gt;=$C$1),'General Inputs'!Q$9*$F53,0))</f>
        <v>16.841026985857397</v>
      </c>
      <c r="AT53" s="214">
        <f>IF(AND(($D53+$C$1)&gt;AT$3,AT$3&gt;=$C$1),'General Inputs'!R$9*$G53,IF(AND(($C53+$C$1)&gt;AT$3,AT$3&gt;=$C$1),'General Inputs'!R$9*$F53,0))</f>
        <v>17.093642390645257</v>
      </c>
      <c r="AU53" s="214">
        <f>IF(AND(($D53+$C$1)&gt;AU$3,AU$3&gt;=$C$1),'General Inputs'!S$9*$G53,IF(AND(($C53+$C$1)&gt;AU$3,AU$3&gt;=$C$1),'General Inputs'!S$9*$F53,0))</f>
        <v>17.350047026504935</v>
      </c>
      <c r="AV53" s="214">
        <f>IF(AND(($D53+$C$1)&gt;AV$3,AV$3&gt;=$C$1),'General Inputs'!T$9*$G53,IF(AND(($C53+$C$1)&gt;AV$3,AV$3&gt;=$C$1),'General Inputs'!T$9*$F53,0))</f>
        <v>17.610297731902509</v>
      </c>
      <c r="AW53" s="214">
        <f>IF(AND(($D53+$C$1)&gt;AW$3,AW$3&gt;=$C$1),'General Inputs'!U$9*$G53,IF(AND(($C53+$C$1)&gt;AW$3,AW$3&gt;=$C$1),'General Inputs'!U$9*$F53,0))</f>
        <v>17.874452197881045</v>
      </c>
      <c r="AX53" s="214">
        <f>IF(AND(($D53+$C$1)&gt;AX$3,AX$3&gt;=$C$1),'General Inputs'!V$9*$G53,IF(AND(($C53+$C$1)&gt;AX$3,AX$3&gt;=$C$1),'General Inputs'!V$9*$F53,0))</f>
        <v>0</v>
      </c>
      <c r="AY53" s="214">
        <f>IF(AND(($D53+$C$1)&gt;AY$3,AY$3&gt;=$C$1),'General Inputs'!W$9*$G53,IF(AND(($C53+$C$1)&gt;AY$3,AY$3&gt;=$C$1),'General Inputs'!W$9*$F53,0))</f>
        <v>0</v>
      </c>
      <c r="BA53" s="214">
        <f>IF(AND(($D53+$C$1)&gt;AF$3,AF$3&gt;=$C$1),'General Inputs'!D$10*$I53,IF(AND(($C53+$C$1)&gt;AF$3,AF$3&gt;=$C$1),'General Inputs'!D$10*$H53,0))</f>
        <v>0.80709428123516769</v>
      </c>
      <c r="BB53" s="214">
        <f>IF(AND(($D53+$C$1)&gt;AG$3,AG$3&gt;=$C$1),'General Inputs'!E$10*$I53,IF(AND(($C53+$C$1)&gt;AG$3,AG$3&gt;=$C$1),'General Inputs'!E$10*$H53,0))</f>
        <v>0.81920069545369512</v>
      </c>
      <c r="BC53" s="214">
        <f>IF(AND(($D53+$C$1)&gt;AH$3,AH$3&gt;=$C$1),'General Inputs'!F$10*$I53,IF(AND(($C53+$C$1)&gt;AH$3,AH$3&gt;=$C$1),'General Inputs'!F$10*$H53,0))</f>
        <v>0.8314887058855005</v>
      </c>
      <c r="BD53" s="214">
        <f>IF(AND(($D53+$C$1)&gt;AI$3,AI$3&gt;=$C$1),'General Inputs'!G$10*$I53,IF(AND(($C53+$C$1)&gt;AI$3,AI$3&gt;=$C$1),'General Inputs'!G$10*$H53,0))</f>
        <v>0.84396103647378296</v>
      </c>
      <c r="BE53" s="214">
        <f>IF(AND(($D53+$C$1)&gt;AJ$3,AJ$3&gt;=$C$1),'General Inputs'!H$10*$I53,IF(AND(($C53+$C$1)&gt;AJ$3,AJ$3&gt;=$C$1),'General Inputs'!H$10*$H53,0))</f>
        <v>0.85662045202088966</v>
      </c>
      <c r="BF53" s="214">
        <f>IF(AND(($D53+$C$1)&gt;AK$3,AK$3&gt;=$C$1),'General Inputs'!I$10*$I53,IF(AND(($C53+$C$1)&gt;AK$3,AK$3&gt;=$C$1),'General Inputs'!I$10*$H53,0))</f>
        <v>0.86946975880120281</v>
      </c>
      <c r="BG53" s="214">
        <f>IF(AND(($D53+$C$1)&gt;AL$3,AL$3&gt;=$C$1),'General Inputs'!J$10*$I53,IF(AND(($C53+$C$1)&gt;AL$3,AL$3&gt;=$C$1),'General Inputs'!J$10*$H53,0))</f>
        <v>0.88251180518322081</v>
      </c>
      <c r="BH53" s="214">
        <f>IF(AND(($D53+$C$1)&gt;AM$3,AM$3&gt;=$C$1),'General Inputs'!K$10*$I53,IF(AND(($C53+$C$1)&gt;AM$3,AM$3&gt;=$C$1),'General Inputs'!K$10*$H53,0))</f>
        <v>0.89574948226096895</v>
      </c>
      <c r="BI53" s="214">
        <f>IF(AND(($D53+$C$1)&gt;AN$3,AN$3&gt;=$C$1),'General Inputs'!L$10*$I53,IF(AND(($C53+$C$1)&gt;AN$3,AN$3&gt;=$C$1),'General Inputs'!L$10*$H53,0))</f>
        <v>0.90918572449488344</v>
      </c>
      <c r="BJ53" s="214">
        <f>IF(AND(($D53+$C$1)&gt;AO$3,AO$3&gt;=$C$1),'General Inputs'!M$10*$I53,IF(AND(($C53+$C$1)&gt;AO$3,AO$3&gt;=$C$1),'General Inputs'!M$10*$H53,0))</f>
        <v>0.9228235103623067</v>
      </c>
      <c r="BK53" s="214">
        <f>IF(AND(($D53+$C$1)&gt;AP$3,AP$3&gt;=$C$1),'General Inputs'!N$10*$I53,IF(AND(($C53+$C$1)&gt;AP$3,AP$3&gt;=$C$1),'General Inputs'!N$10*$H53,0))</f>
        <v>0.93666586301774113</v>
      </c>
      <c r="BL53" s="214">
        <f>IF(AND(($D53+$C$1)&gt;AQ$3,AQ$3&gt;=$C$1),'General Inputs'!O$10*$I53,IF(AND(($C53+$C$1)&gt;AQ$3,AQ$3&gt;=$C$1),'General Inputs'!O$10*$H53,0))</f>
        <v>0.95071585096300715</v>
      </c>
      <c r="BM53" s="214">
        <f>IF(AND(($D53+$C$1)&gt;AR$3,AR$3&gt;=$C$1),'General Inputs'!P$10*$I53,IF(AND(($C53+$C$1)&gt;AR$3,AR$3&gt;=$C$1),'General Inputs'!P$10*$H53,0))</f>
        <v>0.96497658872745229</v>
      </c>
      <c r="BN53" s="214">
        <f>IF(AND(($D53+$C$1)&gt;AS$3,AS$3&gt;=$C$1),'General Inputs'!Q$10*$I53,IF(AND(($C53+$C$1)&gt;AS$3,AS$3&gt;=$C$1),'General Inputs'!Q$10*$H53,0))</f>
        <v>0.97945123755836394</v>
      </c>
      <c r="BO53" s="214">
        <f>IF(AND(($D53+$C$1)&gt;AT$3,AT$3&gt;=$C$1),'General Inputs'!R$10*$I53,IF(AND(($C53+$C$1)&gt;AT$3,AT$3&gt;=$C$1),'General Inputs'!R$10*$H53,0))</f>
        <v>0.99414300612173923</v>
      </c>
      <c r="BP53" s="214">
        <f>IF(AND(($D53+$C$1)&gt;AU$3,AU$3&gt;=$C$1),'General Inputs'!S$10*$I53,IF(AND(($C53+$C$1)&gt;AU$3,AU$3&gt;=$C$1),'General Inputs'!S$10*$H53,0))</f>
        <v>1.0090551512135653</v>
      </c>
      <c r="BQ53" s="214">
        <f>IF(AND(($D53+$C$1)&gt;AV$3,AV$3&gt;=$C$1),'General Inputs'!T$10*$I53,IF(AND(($C53+$C$1)&gt;AV$3,AV$3&gt;=$C$1),'General Inputs'!T$10*$H53,0))</f>
        <v>1.0241909784817687</v>
      </c>
      <c r="BR53" s="214">
        <f>IF(AND(($D53+$C$1)&gt;AW$3,AW$3&gt;=$C$1),'General Inputs'!U$10*$I53,IF(AND(($C53+$C$1)&gt;AW$3,AW$3&gt;=$C$1),'General Inputs'!U$10*$H53,0))</f>
        <v>1.039553843158995</v>
      </c>
      <c r="BS53" s="214">
        <f>IF(AND(($D53+$C$1)&gt;AX$3,AX$3&gt;=$C$1),'General Inputs'!V$10*$I53,IF(AND(($C53+$C$1)&gt;AX$3,AX$3&gt;=$C$1),'General Inputs'!V$10*$H53,0))</f>
        <v>0</v>
      </c>
      <c r="BT53" s="214">
        <f>IF(AND(($D53+$C$1)&gt;AY$3,AY$3&gt;=$C$1),'General Inputs'!W$10*$I53,IF(AND(($C53+$C$1)&gt;AY$3,AY$3&gt;=$C$1),'General Inputs'!W$10*$H53,0))</f>
        <v>0</v>
      </c>
    </row>
    <row r="54" spans="1:72">
      <c r="A54" s="342" t="s">
        <v>112</v>
      </c>
      <c r="B54" s="427" t="str">
        <f>Sources!B54</f>
        <v>High Performance T8 (1-2 Lamp)</v>
      </c>
      <c r="C54" s="193">
        <f>Sources!C54</f>
        <v>15</v>
      </c>
      <c r="D54" s="193">
        <f>Sources!D54</f>
        <v>0</v>
      </c>
      <c r="F54" s="429">
        <f>Sources!F54*EnergyLineLoss</f>
        <v>58.095412499999995</v>
      </c>
      <c r="G54" s="429">
        <f>Sources!G54*EnergyLineLoss</f>
        <v>0</v>
      </c>
      <c r="H54" s="477">
        <f>Sources!H54*PeakLineLoss</f>
        <v>8.9832599999999999E-3</v>
      </c>
      <c r="I54" s="477">
        <f>Sources!I54*PeakLineLoss</f>
        <v>0</v>
      </c>
      <c r="K54" s="419">
        <f>Sources!J54</f>
        <v>15</v>
      </c>
      <c r="L54" s="419">
        <f>Sources!K54</f>
        <v>0</v>
      </c>
      <c r="N54" s="438">
        <f t="shared" si="27"/>
        <v>1.5704842479769823</v>
      </c>
      <c r="P54" s="215">
        <f t="shared" si="28"/>
        <v>22.262506597290486</v>
      </c>
      <c r="Q54" s="215">
        <f t="shared" si="29"/>
        <v>1.2947571223642498</v>
      </c>
      <c r="R54" s="215">
        <f t="shared" si="30"/>
        <v>15</v>
      </c>
      <c r="T54" s="214">
        <f t="shared" si="32"/>
        <v>15</v>
      </c>
      <c r="U54" s="214">
        <f t="shared" si="32"/>
        <v>0</v>
      </c>
      <c r="V54" s="214">
        <f t="shared" si="31"/>
        <v>0</v>
      </c>
      <c r="W54" s="214">
        <f t="shared" si="31"/>
        <v>0</v>
      </c>
      <c r="X54" s="214">
        <f t="shared" si="31"/>
        <v>0</v>
      </c>
      <c r="Y54" s="214">
        <f t="shared" si="31"/>
        <v>0</v>
      </c>
      <c r="Z54" s="214">
        <f t="shared" si="31"/>
        <v>0</v>
      </c>
      <c r="AA54" s="214">
        <f t="shared" si="31"/>
        <v>0</v>
      </c>
      <c r="AB54" s="214">
        <f t="shared" si="31"/>
        <v>0</v>
      </c>
      <c r="AC54" s="214">
        <f t="shared" si="31"/>
        <v>0</v>
      </c>
      <c r="AD54" s="214">
        <f t="shared" si="31"/>
        <v>0</v>
      </c>
      <c r="AF54" s="214">
        <f>IF(AND(($D54+$C$1)&gt;AF$3,AF$3&gt;=$C$1),'General Inputs'!D$9*$G54,IF(AND(($C54+$C$1)&gt;AF$3,AF$3&gt;=$C$1),'General Inputs'!D$9*$F54,0))</f>
        <v>2.3129102040676632</v>
      </c>
      <c r="AG54" s="214">
        <f>IF(AND(($D54+$C$1)&gt;AG$3,AG$3&gt;=$C$1),'General Inputs'!E$9*$G54,IF(AND(($C54+$C$1)&gt;AG$3,AG$3&gt;=$C$1),'General Inputs'!E$9*$F54,0))</f>
        <v>2.3476038571286777</v>
      </c>
      <c r="AH54" s="214">
        <f>IF(AND(($D54+$C$1)&gt;AH$3,AH$3&gt;=$C$1),'General Inputs'!F$9*$G54,IF(AND(($C54+$C$1)&gt;AH$3,AH$3&gt;=$C$1),'General Inputs'!F$9*$F54,0))</f>
        <v>2.3828179149856079</v>
      </c>
      <c r="AI54" s="214">
        <f>IF(AND(($D54+$C$1)&gt;AI$3,AI$3&gt;=$C$1),'General Inputs'!G$9*$G54,IF(AND(($C54+$C$1)&gt;AI$3,AI$3&gt;=$C$1),'General Inputs'!G$9*$F54,0))</f>
        <v>2.4185601837103916</v>
      </c>
      <c r="AJ54" s="214">
        <f>IF(AND(($D54+$C$1)&gt;AJ$3,AJ$3&gt;=$C$1),'General Inputs'!H$9*$G54,IF(AND(($C54+$C$1)&gt;AJ$3,AJ$3&gt;=$C$1),'General Inputs'!H$9*$F54,0))</f>
        <v>2.4548385864660474</v>
      </c>
      <c r="AK54" s="214">
        <f>IF(AND(($D54+$C$1)&gt;AK$3,AK$3&gt;=$C$1),'General Inputs'!I$9*$G54,IF(AND(($C54+$C$1)&gt;AK$3,AK$3&gt;=$C$1),'General Inputs'!I$9*$F54,0))</f>
        <v>2.4916611652630376</v>
      </c>
      <c r="AL54" s="214">
        <f>IF(AND(($D54+$C$1)&gt;AL$3,AL$3&gt;=$C$1),'General Inputs'!J$9*$G54,IF(AND(($C54+$C$1)&gt;AL$3,AL$3&gt;=$C$1),'General Inputs'!J$9*$F54,0))</f>
        <v>2.5290360827419827</v>
      </c>
      <c r="AM54" s="214">
        <f>IF(AND(($D54+$C$1)&gt;AM$3,AM$3&gt;=$C$1),'General Inputs'!K$9*$G54,IF(AND(($C54+$C$1)&gt;AM$3,AM$3&gt;=$C$1),'General Inputs'!K$9*$F54,0))</f>
        <v>2.566971623983112</v>
      </c>
      <c r="AN54" s="214">
        <f>IF(AND(($D54+$C$1)&gt;AN$3,AN$3&gt;=$C$1),'General Inputs'!L$9*$G54,IF(AND(($C54+$C$1)&gt;AN$3,AN$3&gt;=$C$1),'General Inputs'!L$9*$F54,0))</f>
        <v>2.6054761983428585</v>
      </c>
      <c r="AO54" s="214">
        <f>IF(AND(($D54+$C$1)&gt;AO$3,AO$3&gt;=$C$1),'General Inputs'!M$9*$G54,IF(AND(($C54+$C$1)&gt;AO$3,AO$3&gt;=$C$1),'General Inputs'!M$9*$F54,0))</f>
        <v>2.6445583413180009</v>
      </c>
      <c r="AP54" s="214">
        <f>IF(AND(($D54+$C$1)&gt;AP$3,AP$3&gt;=$C$1),'General Inputs'!N$9*$G54,IF(AND(($C54+$C$1)&gt;AP$3,AP$3&gt;=$C$1),'General Inputs'!N$9*$F54,0))</f>
        <v>2.6842267164377711</v>
      </c>
      <c r="AQ54" s="214">
        <f>IF(AND(($D54+$C$1)&gt;AQ$3,AQ$3&gt;=$C$1),'General Inputs'!O$9*$G54,IF(AND(($C54+$C$1)&gt;AQ$3,AQ$3&gt;=$C$1),'General Inputs'!O$9*$F54,0))</f>
        <v>2.7244901171843372</v>
      </c>
      <c r="AR54" s="214">
        <f>IF(AND(($D54+$C$1)&gt;AR$3,AR$3&gt;=$C$1),'General Inputs'!P$9*$G54,IF(AND(($C54+$C$1)&gt;AR$3,AR$3&gt;=$C$1),'General Inputs'!P$9*$F54,0))</f>
        <v>2.7653574689421019</v>
      </c>
      <c r="AS54" s="214">
        <f>IF(AND(($D54+$C$1)&gt;AS$3,AS$3&gt;=$C$1),'General Inputs'!Q$9*$G54,IF(AND(($C54+$C$1)&gt;AS$3,AS$3&gt;=$C$1),'General Inputs'!Q$9*$F54,0))</f>
        <v>2.8068378309762334</v>
      </c>
      <c r="AT54" s="214">
        <f>IF(AND(($D54+$C$1)&gt;AT$3,AT$3&gt;=$C$1),'General Inputs'!R$9*$G54,IF(AND(($C54+$C$1)&gt;AT$3,AT$3&gt;=$C$1),'General Inputs'!R$9*$F54,0))</f>
        <v>2.8489403984408765</v>
      </c>
      <c r="AU54" s="214">
        <f>IF(AND(($D54+$C$1)&gt;AU$3,AU$3&gt;=$C$1),'General Inputs'!S$9*$G54,IF(AND(($C54+$C$1)&gt;AU$3,AU$3&gt;=$C$1),'General Inputs'!S$9*$F54,0))</f>
        <v>0</v>
      </c>
      <c r="AV54" s="214">
        <f>IF(AND(($D54+$C$1)&gt;AV$3,AV$3&gt;=$C$1),'General Inputs'!T$9*$G54,IF(AND(($C54+$C$1)&gt;AV$3,AV$3&gt;=$C$1),'General Inputs'!T$9*$F54,0))</f>
        <v>0</v>
      </c>
      <c r="AW54" s="214">
        <f>IF(AND(($D54+$C$1)&gt;AW$3,AW$3&gt;=$C$1),'General Inputs'!U$9*$G54,IF(AND(($C54+$C$1)&gt;AW$3,AW$3&gt;=$C$1),'General Inputs'!U$9*$F54,0))</f>
        <v>0</v>
      </c>
      <c r="AX54" s="214">
        <f>IF(AND(($D54+$C$1)&gt;AX$3,AX$3&gt;=$C$1),'General Inputs'!V$9*$G54,IF(AND(($C54+$C$1)&gt;AX$3,AX$3&gt;=$C$1),'General Inputs'!V$9*$F54,0))</f>
        <v>0</v>
      </c>
      <c r="AY54" s="214">
        <f>IF(AND(($D54+$C$1)&gt;AY$3,AY$3&gt;=$C$1),'General Inputs'!W$9*$G54,IF(AND(($C54+$C$1)&gt;AY$3,AY$3&gt;=$C$1),'General Inputs'!W$9*$F54,0))</f>
        <v>0</v>
      </c>
      <c r="BA54" s="214">
        <f>IF(AND(($D54+$C$1)&gt;AF$3,AF$3&gt;=$C$1),'General Inputs'!D$10*$I54,IF(AND(($C54+$C$1)&gt;AF$3,AF$3&gt;=$C$1),'General Inputs'!D$10*$H54,0))</f>
        <v>0.13451571353919461</v>
      </c>
      <c r="BB54" s="214">
        <f>IF(AND(($D54+$C$1)&gt;AG$3,AG$3&gt;=$C$1),'General Inputs'!E$10*$I54,IF(AND(($C54+$C$1)&gt;AG$3,AG$3&gt;=$C$1),'General Inputs'!E$10*$H54,0))</f>
        <v>0.13653344924228253</v>
      </c>
      <c r="BC54" s="214">
        <f>IF(AND(($D54+$C$1)&gt;AH$3,AH$3&gt;=$C$1),'General Inputs'!F$10*$I54,IF(AND(($C54+$C$1)&gt;AH$3,AH$3&gt;=$C$1),'General Inputs'!F$10*$H54,0))</f>
        <v>0.13858145098091676</v>
      </c>
      <c r="BD54" s="214">
        <f>IF(AND(($D54+$C$1)&gt;AI$3,AI$3&gt;=$C$1),'General Inputs'!G$10*$I54,IF(AND(($C54+$C$1)&gt;AI$3,AI$3&gt;=$C$1),'General Inputs'!G$10*$H54,0))</f>
        <v>0.1406601727456305</v>
      </c>
      <c r="BE54" s="214">
        <f>IF(AND(($D54+$C$1)&gt;AJ$3,AJ$3&gt;=$C$1),'General Inputs'!H$10*$I54,IF(AND(($C54+$C$1)&gt;AJ$3,AJ$3&gt;=$C$1),'General Inputs'!H$10*$H54,0))</f>
        <v>0.14277007533681493</v>
      </c>
      <c r="BF54" s="214">
        <f>IF(AND(($D54+$C$1)&gt;AK$3,AK$3&gt;=$C$1),'General Inputs'!I$10*$I54,IF(AND(($C54+$C$1)&gt;AK$3,AK$3&gt;=$C$1),'General Inputs'!I$10*$H54,0))</f>
        <v>0.14491162646686714</v>
      </c>
      <c r="BG54" s="214">
        <f>IF(AND(($D54+$C$1)&gt;AL$3,AL$3&gt;=$C$1),'General Inputs'!J$10*$I54,IF(AND(($C54+$C$1)&gt;AL$3,AL$3&gt;=$C$1),'General Inputs'!J$10*$H54,0))</f>
        <v>0.14708530086387012</v>
      </c>
      <c r="BH54" s="214">
        <f>IF(AND(($D54+$C$1)&gt;AM$3,AM$3&gt;=$C$1),'General Inputs'!K$10*$I54,IF(AND(($C54+$C$1)&gt;AM$3,AM$3&gt;=$C$1),'General Inputs'!K$10*$H54,0))</f>
        <v>0.14929158037682816</v>
      </c>
      <c r="BI54" s="214">
        <f>IF(AND(($D54+$C$1)&gt;AN$3,AN$3&gt;=$C$1),'General Inputs'!L$10*$I54,IF(AND(($C54+$C$1)&gt;AN$3,AN$3&gt;=$C$1),'General Inputs'!L$10*$H54,0))</f>
        <v>0.15153095408248057</v>
      </c>
      <c r="BJ54" s="214">
        <f>IF(AND(($D54+$C$1)&gt;AO$3,AO$3&gt;=$C$1),'General Inputs'!M$10*$I54,IF(AND(($C54+$C$1)&gt;AO$3,AO$3&gt;=$C$1),'General Inputs'!M$10*$H54,0))</f>
        <v>0.15380391839371779</v>
      </c>
      <c r="BK54" s="214">
        <f>IF(AND(($D54+$C$1)&gt;AP$3,AP$3&gt;=$C$1),'General Inputs'!N$10*$I54,IF(AND(($C54+$C$1)&gt;AP$3,AP$3&gt;=$C$1),'General Inputs'!N$10*$H54,0))</f>
        <v>0.15611097716962352</v>
      </c>
      <c r="BL54" s="214">
        <f>IF(AND(($D54+$C$1)&gt;AQ$3,AQ$3&gt;=$C$1),'General Inputs'!O$10*$I54,IF(AND(($C54+$C$1)&gt;AQ$3,AQ$3&gt;=$C$1),'General Inputs'!O$10*$H54,0))</f>
        <v>0.15845264182716787</v>
      </c>
      <c r="BM54" s="214">
        <f>IF(AND(($D54+$C$1)&gt;AR$3,AR$3&gt;=$C$1),'General Inputs'!P$10*$I54,IF(AND(($C54+$C$1)&gt;AR$3,AR$3&gt;=$C$1),'General Inputs'!P$10*$H54,0))</f>
        <v>0.16082943145457537</v>
      </c>
      <c r="BN54" s="214">
        <f>IF(AND(($D54+$C$1)&gt;AS$3,AS$3&gt;=$C$1),'General Inputs'!Q$10*$I54,IF(AND(($C54+$C$1)&gt;AS$3,AS$3&gt;=$C$1),'General Inputs'!Q$10*$H54,0))</f>
        <v>0.163241872926394</v>
      </c>
      <c r="BO54" s="214">
        <f>IF(AND(($D54+$C$1)&gt;AT$3,AT$3&gt;=$C$1),'General Inputs'!R$10*$I54,IF(AND(($C54+$C$1)&gt;AT$3,AT$3&gt;=$C$1),'General Inputs'!R$10*$H54,0))</f>
        <v>0.16569050102028987</v>
      </c>
      <c r="BP54" s="214">
        <f>IF(AND(($D54+$C$1)&gt;AU$3,AU$3&gt;=$C$1),'General Inputs'!S$10*$I54,IF(AND(($C54+$C$1)&gt;AU$3,AU$3&gt;=$C$1),'General Inputs'!S$10*$H54,0))</f>
        <v>0</v>
      </c>
      <c r="BQ54" s="214">
        <f>IF(AND(($D54+$C$1)&gt;AV$3,AV$3&gt;=$C$1),'General Inputs'!T$10*$I54,IF(AND(($C54+$C$1)&gt;AV$3,AV$3&gt;=$C$1),'General Inputs'!T$10*$H54,0))</f>
        <v>0</v>
      </c>
      <c r="BR54" s="214">
        <f>IF(AND(($D54+$C$1)&gt;AW$3,AW$3&gt;=$C$1),'General Inputs'!U$10*$I54,IF(AND(($C54+$C$1)&gt;AW$3,AW$3&gt;=$C$1),'General Inputs'!U$10*$H54,0))</f>
        <v>0</v>
      </c>
      <c r="BS54" s="214">
        <f>IF(AND(($D54+$C$1)&gt;AX$3,AX$3&gt;=$C$1),'General Inputs'!V$10*$I54,IF(AND(($C54+$C$1)&gt;AX$3,AX$3&gt;=$C$1),'General Inputs'!V$10*$H54,0))</f>
        <v>0</v>
      </c>
      <c r="BT54" s="214">
        <f>IF(AND(($D54+$C$1)&gt;AY$3,AY$3&gt;=$C$1),'General Inputs'!W$10*$I54,IF(AND(($C54+$C$1)&gt;AY$3,AY$3&gt;=$C$1),'General Inputs'!W$10*$H54,0))</f>
        <v>0</v>
      </c>
    </row>
    <row r="55" spans="1:72">
      <c r="A55" s="342" t="s">
        <v>112</v>
      </c>
      <c r="B55" s="427" t="str">
        <f>Sources!B55</f>
        <v>High Performance T8 (3-4 Lamp)</v>
      </c>
      <c r="C55" s="193">
        <f>Sources!C55</f>
        <v>15</v>
      </c>
      <c r="D55" s="193">
        <f>Sources!D55</f>
        <v>0</v>
      </c>
      <c r="F55" s="429">
        <f>Sources!F55*EnergyLineLoss</f>
        <v>92.952659999999995</v>
      </c>
      <c r="G55" s="429">
        <f>Sources!G55*EnergyLineLoss</f>
        <v>0</v>
      </c>
      <c r="H55" s="477">
        <f>Sources!H55*PeakLineLoss</f>
        <v>1.4373215999999999E-2</v>
      </c>
      <c r="I55" s="477">
        <f>Sources!I55*PeakLineLoss</f>
        <v>0</v>
      </c>
      <c r="K55" s="419">
        <f>Sources!J55</f>
        <v>18</v>
      </c>
      <c r="L55" s="419">
        <f>Sources!K55</f>
        <v>0</v>
      </c>
      <c r="N55" s="438">
        <f t="shared" si="27"/>
        <v>2.093978997302643</v>
      </c>
      <c r="P55" s="215">
        <f t="shared" si="28"/>
        <v>35.62001055566477</v>
      </c>
      <c r="Q55" s="215">
        <f t="shared" si="29"/>
        <v>2.0716113957828002</v>
      </c>
      <c r="R55" s="215">
        <f t="shared" si="30"/>
        <v>18</v>
      </c>
      <c r="T55" s="214">
        <f t="shared" si="32"/>
        <v>18</v>
      </c>
      <c r="U55" s="214">
        <f t="shared" si="32"/>
        <v>0</v>
      </c>
      <c r="V55" s="214">
        <f t="shared" si="31"/>
        <v>0</v>
      </c>
      <c r="W55" s="214">
        <f t="shared" si="31"/>
        <v>0</v>
      </c>
      <c r="X55" s="214">
        <f t="shared" si="31"/>
        <v>0</v>
      </c>
      <c r="Y55" s="214">
        <f t="shared" si="31"/>
        <v>0</v>
      </c>
      <c r="Z55" s="214">
        <f t="shared" si="31"/>
        <v>0</v>
      </c>
      <c r="AA55" s="214">
        <f t="shared" si="31"/>
        <v>0</v>
      </c>
      <c r="AB55" s="214">
        <f t="shared" si="31"/>
        <v>0</v>
      </c>
      <c r="AC55" s="214">
        <f t="shared" si="31"/>
        <v>0</v>
      </c>
      <c r="AD55" s="214">
        <f t="shared" si="31"/>
        <v>0</v>
      </c>
      <c r="AF55" s="214">
        <f>IF(AND(($D55+$C$1)&gt;AF$3,AF$3&gt;=$C$1),'General Inputs'!D$9*$G55,IF(AND(($C55+$C$1)&gt;AF$3,AF$3&gt;=$C$1),'General Inputs'!D$9*$F55,0))</f>
        <v>3.7006563265082613</v>
      </c>
      <c r="AG55" s="214">
        <f>IF(AND(($D55+$C$1)&gt;AG$3,AG$3&gt;=$C$1),'General Inputs'!E$9*$G55,IF(AND(($C55+$C$1)&gt;AG$3,AG$3&gt;=$C$1),'General Inputs'!E$9*$F55,0))</f>
        <v>3.7561661714058845</v>
      </c>
      <c r="AH55" s="214">
        <f>IF(AND(($D55+$C$1)&gt;AH$3,AH$3&gt;=$C$1),'General Inputs'!F$9*$G55,IF(AND(($C55+$C$1)&gt;AH$3,AH$3&gt;=$C$1),'General Inputs'!F$9*$F55,0))</f>
        <v>3.8125086639769723</v>
      </c>
      <c r="AI55" s="214">
        <f>IF(AND(($D55+$C$1)&gt;AI$3,AI$3&gt;=$C$1),'General Inputs'!G$9*$G55,IF(AND(($C55+$C$1)&gt;AI$3,AI$3&gt;=$C$1),'General Inputs'!G$9*$F55,0))</f>
        <v>3.8696962939366268</v>
      </c>
      <c r="AJ55" s="214">
        <f>IF(AND(($D55+$C$1)&gt;AJ$3,AJ$3&gt;=$C$1),'General Inputs'!H$9*$G55,IF(AND(($C55+$C$1)&gt;AJ$3,AJ$3&gt;=$C$1),'General Inputs'!H$9*$F55,0))</f>
        <v>3.9277417383456759</v>
      </c>
      <c r="AK55" s="214">
        <f>IF(AND(($D55+$C$1)&gt;AK$3,AK$3&gt;=$C$1),'General Inputs'!I$9*$G55,IF(AND(($C55+$C$1)&gt;AK$3,AK$3&gt;=$C$1),'General Inputs'!I$9*$F55,0))</f>
        <v>3.9866578644208603</v>
      </c>
      <c r="AL55" s="214">
        <f>IF(AND(($D55+$C$1)&gt;AL$3,AL$3&gt;=$C$1),'General Inputs'!J$9*$G55,IF(AND(($C55+$C$1)&gt;AL$3,AL$3&gt;=$C$1),'General Inputs'!J$9*$F55,0))</f>
        <v>4.0464577323871724</v>
      </c>
      <c r="AM55" s="214">
        <f>IF(AND(($D55+$C$1)&gt;AM$3,AM$3&gt;=$C$1),'General Inputs'!K$9*$G55,IF(AND(($C55+$C$1)&gt;AM$3,AM$3&gt;=$C$1),'General Inputs'!K$9*$F55,0))</f>
        <v>4.1071545983729791</v>
      </c>
      <c r="AN55" s="214">
        <f>IF(AND(($D55+$C$1)&gt;AN$3,AN$3&gt;=$C$1),'General Inputs'!L$9*$G55,IF(AND(($C55+$C$1)&gt;AN$3,AN$3&gt;=$C$1),'General Inputs'!L$9*$F55,0))</f>
        <v>4.1687619173485739</v>
      </c>
      <c r="AO55" s="214">
        <f>IF(AND(($D55+$C$1)&gt;AO$3,AO$3&gt;=$C$1),'General Inputs'!M$9*$G55,IF(AND(($C55+$C$1)&gt;AO$3,AO$3&gt;=$C$1),'General Inputs'!M$9*$F55,0))</f>
        <v>4.231293346108802</v>
      </c>
      <c r="AP55" s="214">
        <f>IF(AND(($D55+$C$1)&gt;AP$3,AP$3&gt;=$C$1),'General Inputs'!N$9*$G55,IF(AND(($C55+$C$1)&gt;AP$3,AP$3&gt;=$C$1),'General Inputs'!N$9*$F55,0))</f>
        <v>4.2947627463004334</v>
      </c>
      <c r="AQ55" s="214">
        <f>IF(AND(($D55+$C$1)&gt;AQ$3,AQ$3&gt;=$C$1),'General Inputs'!O$9*$G55,IF(AND(($C55+$C$1)&gt;AQ$3,AQ$3&gt;=$C$1),'General Inputs'!O$9*$F55,0))</f>
        <v>4.3591841874949395</v>
      </c>
      <c r="AR55" s="214">
        <f>IF(AND(($D55+$C$1)&gt;AR$3,AR$3&gt;=$C$1),'General Inputs'!P$9*$G55,IF(AND(($C55+$C$1)&gt;AR$3,AR$3&gt;=$C$1),'General Inputs'!P$9*$F55,0))</f>
        <v>4.4245719503073628</v>
      </c>
      <c r="AS55" s="214">
        <f>IF(AND(($D55+$C$1)&gt;AS$3,AS$3&gt;=$C$1),'General Inputs'!Q$9*$G55,IF(AND(($C55+$C$1)&gt;AS$3,AS$3&gt;=$C$1),'General Inputs'!Q$9*$F55,0))</f>
        <v>4.4909405295619731</v>
      </c>
      <c r="AT55" s="214">
        <f>IF(AND(($D55+$C$1)&gt;AT$3,AT$3&gt;=$C$1),'General Inputs'!R$9*$G55,IF(AND(($C55+$C$1)&gt;AT$3,AT$3&gt;=$C$1),'General Inputs'!R$9*$F55,0))</f>
        <v>4.5583046375054028</v>
      </c>
      <c r="AU55" s="214">
        <f>IF(AND(($D55+$C$1)&gt;AU$3,AU$3&gt;=$C$1),'General Inputs'!S$9*$G55,IF(AND(($C55+$C$1)&gt;AU$3,AU$3&gt;=$C$1),'General Inputs'!S$9*$F55,0))</f>
        <v>0</v>
      </c>
      <c r="AV55" s="214">
        <f>IF(AND(($D55+$C$1)&gt;AV$3,AV$3&gt;=$C$1),'General Inputs'!T$9*$G55,IF(AND(($C55+$C$1)&gt;AV$3,AV$3&gt;=$C$1),'General Inputs'!T$9*$F55,0))</f>
        <v>0</v>
      </c>
      <c r="AW55" s="214">
        <f>IF(AND(($D55+$C$1)&gt;AW$3,AW$3&gt;=$C$1),'General Inputs'!U$9*$G55,IF(AND(($C55+$C$1)&gt;AW$3,AW$3&gt;=$C$1),'General Inputs'!U$9*$F55,0))</f>
        <v>0</v>
      </c>
      <c r="AX55" s="214">
        <f>IF(AND(($D55+$C$1)&gt;AX$3,AX$3&gt;=$C$1),'General Inputs'!V$9*$G55,IF(AND(($C55+$C$1)&gt;AX$3,AX$3&gt;=$C$1),'General Inputs'!V$9*$F55,0))</f>
        <v>0</v>
      </c>
      <c r="AY55" s="214">
        <f>IF(AND(($D55+$C$1)&gt;AY$3,AY$3&gt;=$C$1),'General Inputs'!W$9*$G55,IF(AND(($C55+$C$1)&gt;AY$3,AY$3&gt;=$C$1),'General Inputs'!W$9*$F55,0))</f>
        <v>0</v>
      </c>
      <c r="BA55" s="214">
        <f>IF(AND(($D55+$C$1)&gt;AF$3,AF$3&gt;=$C$1),'General Inputs'!D$10*$I55,IF(AND(($C55+$C$1)&gt;AF$3,AF$3&gt;=$C$1),'General Inputs'!D$10*$H55,0))</f>
        <v>0.21522514166271139</v>
      </c>
      <c r="BB55" s="214">
        <f>IF(AND(($D55+$C$1)&gt;AG$3,AG$3&gt;=$C$1),'General Inputs'!E$10*$I55,IF(AND(($C55+$C$1)&gt;AG$3,AG$3&gt;=$C$1),'General Inputs'!E$10*$H55,0))</f>
        <v>0.21845351878765204</v>
      </c>
      <c r="BC55" s="214">
        <f>IF(AND(($D55+$C$1)&gt;AH$3,AH$3&gt;=$C$1),'General Inputs'!F$10*$I55,IF(AND(($C55+$C$1)&gt;AH$3,AH$3&gt;=$C$1),'General Inputs'!F$10*$H55,0))</f>
        <v>0.22173032156946682</v>
      </c>
      <c r="BD55" s="214">
        <f>IF(AND(($D55+$C$1)&gt;AI$3,AI$3&gt;=$C$1),'General Inputs'!G$10*$I55,IF(AND(($C55+$C$1)&gt;AI$3,AI$3&gt;=$C$1),'General Inputs'!G$10*$H55,0))</f>
        <v>0.22505627639300879</v>
      </c>
      <c r="BE55" s="214">
        <f>IF(AND(($D55+$C$1)&gt;AJ$3,AJ$3&gt;=$C$1),'General Inputs'!H$10*$I55,IF(AND(($C55+$C$1)&gt;AJ$3,AJ$3&gt;=$C$1),'General Inputs'!H$10*$H55,0))</f>
        <v>0.22843212053890391</v>
      </c>
      <c r="BF55" s="214">
        <f>IF(AND(($D55+$C$1)&gt;AK$3,AK$3&gt;=$C$1),'General Inputs'!I$10*$I55,IF(AND(($C55+$C$1)&gt;AK$3,AK$3&gt;=$C$1),'General Inputs'!I$10*$H55,0))</f>
        <v>0.23185860234698741</v>
      </c>
      <c r="BG55" s="214">
        <f>IF(AND(($D55+$C$1)&gt;AL$3,AL$3&gt;=$C$1),'General Inputs'!J$10*$I55,IF(AND(($C55+$C$1)&gt;AL$3,AL$3&gt;=$C$1),'General Inputs'!J$10*$H55,0))</f>
        <v>0.23533648138219221</v>
      </c>
      <c r="BH55" s="214">
        <f>IF(AND(($D55+$C$1)&gt;AM$3,AM$3&gt;=$C$1),'General Inputs'!K$10*$I55,IF(AND(($C55+$C$1)&gt;AM$3,AM$3&gt;=$C$1),'General Inputs'!K$10*$H55,0))</f>
        <v>0.23886652860292507</v>
      </c>
      <c r="BI55" s="214">
        <f>IF(AND(($D55+$C$1)&gt;AN$3,AN$3&gt;=$C$1),'General Inputs'!L$10*$I55,IF(AND(($C55+$C$1)&gt;AN$3,AN$3&gt;=$C$1),'General Inputs'!L$10*$H55,0))</f>
        <v>0.24244952653196891</v>
      </c>
      <c r="BJ55" s="214">
        <f>IF(AND(($D55+$C$1)&gt;AO$3,AO$3&gt;=$C$1),'General Inputs'!M$10*$I55,IF(AND(($C55+$C$1)&gt;AO$3,AO$3&gt;=$C$1),'General Inputs'!M$10*$H55,0))</f>
        <v>0.24608626942994846</v>
      </c>
      <c r="BK55" s="214">
        <f>IF(AND(($D55+$C$1)&gt;AP$3,AP$3&gt;=$C$1),'General Inputs'!N$10*$I55,IF(AND(($C55+$C$1)&gt;AP$3,AP$3&gt;=$C$1),'General Inputs'!N$10*$H55,0))</f>
        <v>0.24977756347139765</v>
      </c>
      <c r="BL55" s="214">
        <f>IF(AND(($D55+$C$1)&gt;AQ$3,AQ$3&gt;=$C$1),'General Inputs'!O$10*$I55,IF(AND(($C55+$C$1)&gt;AQ$3,AQ$3&gt;=$C$1),'General Inputs'!O$10*$H55,0))</f>
        <v>0.2535242269234686</v>
      </c>
      <c r="BM55" s="214">
        <f>IF(AND(($D55+$C$1)&gt;AR$3,AR$3&gt;=$C$1),'General Inputs'!P$10*$I55,IF(AND(($C55+$C$1)&gt;AR$3,AR$3&gt;=$C$1),'General Inputs'!P$10*$H55,0))</f>
        <v>0.2573270903273206</v>
      </c>
      <c r="BN55" s="214">
        <f>IF(AND(($D55+$C$1)&gt;AS$3,AS$3&gt;=$C$1),'General Inputs'!Q$10*$I55,IF(AND(($C55+$C$1)&gt;AS$3,AS$3&gt;=$C$1),'General Inputs'!Q$10*$H55,0))</f>
        <v>0.26118699668223039</v>
      </c>
      <c r="BO55" s="214">
        <f>IF(AND(($D55+$C$1)&gt;AT$3,AT$3&gt;=$C$1),'General Inputs'!R$10*$I55,IF(AND(($C55+$C$1)&gt;AT$3,AT$3&gt;=$C$1),'General Inputs'!R$10*$H55,0))</f>
        <v>0.2651048016324638</v>
      </c>
      <c r="BP55" s="214">
        <f>IF(AND(($D55+$C$1)&gt;AU$3,AU$3&gt;=$C$1),'General Inputs'!S$10*$I55,IF(AND(($C55+$C$1)&gt;AU$3,AU$3&gt;=$C$1),'General Inputs'!S$10*$H55,0))</f>
        <v>0</v>
      </c>
      <c r="BQ55" s="214">
        <f>IF(AND(($D55+$C$1)&gt;AV$3,AV$3&gt;=$C$1),'General Inputs'!T$10*$I55,IF(AND(($C55+$C$1)&gt;AV$3,AV$3&gt;=$C$1),'General Inputs'!T$10*$H55,0))</f>
        <v>0</v>
      </c>
      <c r="BR55" s="214">
        <f>IF(AND(($D55+$C$1)&gt;AW$3,AW$3&gt;=$C$1),'General Inputs'!U$10*$I55,IF(AND(($C55+$C$1)&gt;AW$3,AW$3&gt;=$C$1),'General Inputs'!U$10*$H55,0))</f>
        <v>0</v>
      </c>
      <c r="BS55" s="214">
        <f>IF(AND(($D55+$C$1)&gt;AX$3,AX$3&gt;=$C$1),'General Inputs'!V$10*$I55,IF(AND(($C55+$C$1)&gt;AX$3,AX$3&gt;=$C$1),'General Inputs'!V$10*$H55,0))</f>
        <v>0</v>
      </c>
      <c r="BT55" s="214">
        <f>IF(AND(($D55+$C$1)&gt;AY$3,AY$3&gt;=$C$1),'General Inputs'!W$10*$I55,IF(AND(($C55+$C$1)&gt;AY$3,AY$3&gt;=$C$1),'General Inputs'!W$10*$H55,0))</f>
        <v>0</v>
      </c>
    </row>
    <row r="56" spans="1:72">
      <c r="A56" s="342" t="s">
        <v>112</v>
      </c>
      <c r="B56" s="427" t="str">
        <f>Sources!B56</f>
        <v xml:space="preserve">Low-Wattage T8 </v>
      </c>
      <c r="C56" s="193">
        <f>Sources!C56</f>
        <v>6</v>
      </c>
      <c r="D56" s="193">
        <f>Sources!D56</f>
        <v>0</v>
      </c>
      <c r="F56" s="429">
        <f>Sources!F56*EnergyLineLoss</f>
        <v>40.666788750000002</v>
      </c>
      <c r="G56" s="429">
        <f>Sources!G56*EnergyLineLoss</f>
        <v>0</v>
      </c>
      <c r="H56" s="477">
        <f>Sources!H56*PeakLineLoss</f>
        <v>6.2882820000000001E-3</v>
      </c>
      <c r="I56" s="477">
        <f>Sources!I56*PeakLineLoss</f>
        <v>0</v>
      </c>
      <c r="K56" s="419">
        <f>Sources!J56</f>
        <v>2</v>
      </c>
      <c r="L56" s="419">
        <f>Sources!K56</f>
        <v>0</v>
      </c>
      <c r="N56" s="438">
        <f t="shared" si="27"/>
        <v>4.3471583583229059</v>
      </c>
      <c r="P56" s="215">
        <f t="shared" si="28"/>
        <v>8.2164586501516315</v>
      </c>
      <c r="Q56" s="215">
        <f t="shared" si="29"/>
        <v>0.47785806649418078</v>
      </c>
      <c r="R56" s="215">
        <f t="shared" si="30"/>
        <v>2</v>
      </c>
      <c r="T56" s="214">
        <f t="shared" si="32"/>
        <v>2</v>
      </c>
      <c r="U56" s="214">
        <f t="shared" si="32"/>
        <v>0</v>
      </c>
      <c r="V56" s="214">
        <f t="shared" si="31"/>
        <v>0</v>
      </c>
      <c r="W56" s="214">
        <f t="shared" si="31"/>
        <v>0</v>
      </c>
      <c r="X56" s="214">
        <f t="shared" si="31"/>
        <v>0</v>
      </c>
      <c r="Y56" s="214">
        <f t="shared" si="31"/>
        <v>0</v>
      </c>
      <c r="Z56" s="214">
        <f t="shared" si="31"/>
        <v>0</v>
      </c>
      <c r="AA56" s="214">
        <f t="shared" si="31"/>
        <v>0</v>
      </c>
      <c r="AB56" s="214">
        <f t="shared" si="31"/>
        <v>0</v>
      </c>
      <c r="AC56" s="214">
        <f t="shared" si="31"/>
        <v>0</v>
      </c>
      <c r="AD56" s="214">
        <f t="shared" si="31"/>
        <v>0</v>
      </c>
      <c r="AF56" s="214">
        <f>IF(AND(($D56+$C$1)&gt;AF$3,AF$3&gt;=$C$1),'General Inputs'!D$9*$G56,IF(AND(($C56+$C$1)&gt;AF$3,AF$3&gt;=$C$1),'General Inputs'!D$9*$F56,0))</f>
        <v>1.6190371428473644</v>
      </c>
      <c r="AG56" s="214">
        <f>IF(AND(($D56+$C$1)&gt;AG$3,AG$3&gt;=$C$1),'General Inputs'!E$9*$G56,IF(AND(($C56+$C$1)&gt;AG$3,AG$3&gt;=$C$1),'General Inputs'!E$9*$F56,0))</f>
        <v>1.6433226999900747</v>
      </c>
      <c r="AH56" s="214">
        <f>IF(AND(($D56+$C$1)&gt;AH$3,AH$3&gt;=$C$1),'General Inputs'!F$9*$G56,IF(AND(($C56+$C$1)&gt;AH$3,AH$3&gt;=$C$1),'General Inputs'!F$9*$F56,0))</f>
        <v>1.6679725404899257</v>
      </c>
      <c r="AI56" s="214">
        <f>IF(AND(($D56+$C$1)&gt;AI$3,AI$3&gt;=$C$1),'General Inputs'!G$9*$G56,IF(AND(($C56+$C$1)&gt;AI$3,AI$3&gt;=$C$1),'General Inputs'!G$9*$F56,0))</f>
        <v>1.6929921285972744</v>
      </c>
      <c r="AJ56" s="214">
        <f>IF(AND(($D56+$C$1)&gt;AJ$3,AJ$3&gt;=$C$1),'General Inputs'!H$9*$G56,IF(AND(($C56+$C$1)&gt;AJ$3,AJ$3&gt;=$C$1),'General Inputs'!H$9*$F56,0))</f>
        <v>1.7183870105262333</v>
      </c>
      <c r="AK56" s="214">
        <f>IF(AND(($D56+$C$1)&gt;AK$3,AK$3&gt;=$C$1),'General Inputs'!I$9*$G56,IF(AND(($C56+$C$1)&gt;AK$3,AK$3&gt;=$C$1),'General Inputs'!I$9*$F56,0))</f>
        <v>1.7441628156841265</v>
      </c>
      <c r="AL56" s="214">
        <f>IF(AND(($D56+$C$1)&gt;AL$3,AL$3&gt;=$C$1),'General Inputs'!J$9*$G56,IF(AND(($C56+$C$1)&gt;AL$3,AL$3&gt;=$C$1),'General Inputs'!J$9*$F56,0))</f>
        <v>0</v>
      </c>
      <c r="AM56" s="214">
        <f>IF(AND(($D56+$C$1)&gt;AM$3,AM$3&gt;=$C$1),'General Inputs'!K$9*$G56,IF(AND(($C56+$C$1)&gt;AM$3,AM$3&gt;=$C$1),'General Inputs'!K$9*$F56,0))</f>
        <v>0</v>
      </c>
      <c r="AN56" s="214">
        <f>IF(AND(($D56+$C$1)&gt;AN$3,AN$3&gt;=$C$1),'General Inputs'!L$9*$G56,IF(AND(($C56+$C$1)&gt;AN$3,AN$3&gt;=$C$1),'General Inputs'!L$9*$F56,0))</f>
        <v>0</v>
      </c>
      <c r="AO56" s="214">
        <f>IF(AND(($D56+$C$1)&gt;AO$3,AO$3&gt;=$C$1),'General Inputs'!M$9*$G56,IF(AND(($C56+$C$1)&gt;AO$3,AO$3&gt;=$C$1),'General Inputs'!M$9*$F56,0))</f>
        <v>0</v>
      </c>
      <c r="AP56" s="214">
        <f>IF(AND(($D56+$C$1)&gt;AP$3,AP$3&gt;=$C$1),'General Inputs'!N$9*$G56,IF(AND(($C56+$C$1)&gt;AP$3,AP$3&gt;=$C$1),'General Inputs'!N$9*$F56,0))</f>
        <v>0</v>
      </c>
      <c r="AQ56" s="214">
        <f>IF(AND(($D56+$C$1)&gt;AQ$3,AQ$3&gt;=$C$1),'General Inputs'!O$9*$G56,IF(AND(($C56+$C$1)&gt;AQ$3,AQ$3&gt;=$C$1),'General Inputs'!O$9*$F56,0))</f>
        <v>0</v>
      </c>
      <c r="AR56" s="214">
        <f>IF(AND(($D56+$C$1)&gt;AR$3,AR$3&gt;=$C$1),'General Inputs'!P$9*$G56,IF(AND(($C56+$C$1)&gt;AR$3,AR$3&gt;=$C$1),'General Inputs'!P$9*$F56,0))</f>
        <v>0</v>
      </c>
      <c r="AS56" s="214">
        <f>IF(AND(($D56+$C$1)&gt;AS$3,AS$3&gt;=$C$1),'General Inputs'!Q$9*$G56,IF(AND(($C56+$C$1)&gt;AS$3,AS$3&gt;=$C$1),'General Inputs'!Q$9*$F56,0))</f>
        <v>0</v>
      </c>
      <c r="AT56" s="214">
        <f>IF(AND(($D56+$C$1)&gt;AT$3,AT$3&gt;=$C$1),'General Inputs'!R$9*$G56,IF(AND(($C56+$C$1)&gt;AT$3,AT$3&gt;=$C$1),'General Inputs'!R$9*$F56,0))</f>
        <v>0</v>
      </c>
      <c r="AU56" s="214">
        <f>IF(AND(($D56+$C$1)&gt;AU$3,AU$3&gt;=$C$1),'General Inputs'!S$9*$G56,IF(AND(($C56+$C$1)&gt;AU$3,AU$3&gt;=$C$1),'General Inputs'!S$9*$F56,0))</f>
        <v>0</v>
      </c>
      <c r="AV56" s="214">
        <f>IF(AND(($D56+$C$1)&gt;AV$3,AV$3&gt;=$C$1),'General Inputs'!T$9*$G56,IF(AND(($C56+$C$1)&gt;AV$3,AV$3&gt;=$C$1),'General Inputs'!T$9*$F56,0))</f>
        <v>0</v>
      </c>
      <c r="AW56" s="214">
        <f>IF(AND(($D56+$C$1)&gt;AW$3,AW$3&gt;=$C$1),'General Inputs'!U$9*$G56,IF(AND(($C56+$C$1)&gt;AW$3,AW$3&gt;=$C$1),'General Inputs'!U$9*$F56,0))</f>
        <v>0</v>
      </c>
      <c r="AX56" s="214">
        <f>IF(AND(($D56+$C$1)&gt;AX$3,AX$3&gt;=$C$1),'General Inputs'!V$9*$G56,IF(AND(($C56+$C$1)&gt;AX$3,AX$3&gt;=$C$1),'General Inputs'!V$9*$F56,0))</f>
        <v>0</v>
      </c>
      <c r="AY56" s="214">
        <f>IF(AND(($D56+$C$1)&gt;AY$3,AY$3&gt;=$C$1),'General Inputs'!W$9*$G56,IF(AND(($C56+$C$1)&gt;AY$3,AY$3&gt;=$C$1),'General Inputs'!W$9*$F56,0))</f>
        <v>0</v>
      </c>
      <c r="BA56" s="214">
        <f>IF(AND(($D56+$C$1)&gt;AF$3,AF$3&gt;=$C$1),'General Inputs'!D$10*$I56,IF(AND(($C56+$C$1)&gt;AF$3,AF$3&gt;=$C$1),'General Inputs'!D$10*$H56,0))</f>
        <v>9.4160999477436239E-2</v>
      </c>
      <c r="BB56" s="214">
        <f>IF(AND(($D56+$C$1)&gt;AG$3,AG$3&gt;=$C$1),'General Inputs'!E$10*$I56,IF(AND(($C56+$C$1)&gt;AG$3,AG$3&gt;=$C$1),'General Inputs'!E$10*$H56,0))</f>
        <v>9.5573414469597773E-2</v>
      </c>
      <c r="BC56" s="214">
        <f>IF(AND(($D56+$C$1)&gt;AH$3,AH$3&gt;=$C$1),'General Inputs'!F$10*$I56,IF(AND(($C56+$C$1)&gt;AH$3,AH$3&gt;=$C$1),'General Inputs'!F$10*$H56,0))</f>
        <v>9.7007015686641732E-2</v>
      </c>
      <c r="BD56" s="214">
        <f>IF(AND(($D56+$C$1)&gt;AI$3,AI$3&gt;=$C$1),'General Inputs'!G$10*$I56,IF(AND(($C56+$C$1)&gt;AI$3,AI$3&gt;=$C$1),'General Inputs'!G$10*$H56,0))</f>
        <v>9.8462120921941343E-2</v>
      </c>
      <c r="BE56" s="214">
        <f>IF(AND(($D56+$C$1)&gt;AJ$3,AJ$3&gt;=$C$1),'General Inputs'!H$10*$I56,IF(AND(($C56+$C$1)&gt;AJ$3,AJ$3&gt;=$C$1),'General Inputs'!H$10*$H56,0))</f>
        <v>9.9939052735770459E-2</v>
      </c>
      <c r="BF56" s="214">
        <f>IF(AND(($D56+$C$1)&gt;AK$3,AK$3&gt;=$C$1),'General Inputs'!I$10*$I56,IF(AND(($C56+$C$1)&gt;AK$3,AK$3&gt;=$C$1),'General Inputs'!I$10*$H56,0))</f>
        <v>0.101438138526807</v>
      </c>
      <c r="BG56" s="214">
        <f>IF(AND(($D56+$C$1)&gt;AL$3,AL$3&gt;=$C$1),'General Inputs'!J$10*$I56,IF(AND(($C56+$C$1)&gt;AL$3,AL$3&gt;=$C$1),'General Inputs'!J$10*$H56,0))</f>
        <v>0</v>
      </c>
      <c r="BH56" s="214">
        <f>IF(AND(($D56+$C$1)&gt;AM$3,AM$3&gt;=$C$1),'General Inputs'!K$10*$I56,IF(AND(($C56+$C$1)&gt;AM$3,AM$3&gt;=$C$1),'General Inputs'!K$10*$H56,0))</f>
        <v>0</v>
      </c>
      <c r="BI56" s="214">
        <f>IF(AND(($D56+$C$1)&gt;AN$3,AN$3&gt;=$C$1),'General Inputs'!L$10*$I56,IF(AND(($C56+$C$1)&gt;AN$3,AN$3&gt;=$C$1),'General Inputs'!L$10*$H56,0))</f>
        <v>0</v>
      </c>
      <c r="BJ56" s="214">
        <f>IF(AND(($D56+$C$1)&gt;AO$3,AO$3&gt;=$C$1),'General Inputs'!M$10*$I56,IF(AND(($C56+$C$1)&gt;AO$3,AO$3&gt;=$C$1),'General Inputs'!M$10*$H56,0))</f>
        <v>0</v>
      </c>
      <c r="BK56" s="214">
        <f>IF(AND(($D56+$C$1)&gt;AP$3,AP$3&gt;=$C$1),'General Inputs'!N$10*$I56,IF(AND(($C56+$C$1)&gt;AP$3,AP$3&gt;=$C$1),'General Inputs'!N$10*$H56,0))</f>
        <v>0</v>
      </c>
      <c r="BL56" s="214">
        <f>IF(AND(($D56+$C$1)&gt;AQ$3,AQ$3&gt;=$C$1),'General Inputs'!O$10*$I56,IF(AND(($C56+$C$1)&gt;AQ$3,AQ$3&gt;=$C$1),'General Inputs'!O$10*$H56,0))</f>
        <v>0</v>
      </c>
      <c r="BM56" s="214">
        <f>IF(AND(($D56+$C$1)&gt;AR$3,AR$3&gt;=$C$1),'General Inputs'!P$10*$I56,IF(AND(($C56+$C$1)&gt;AR$3,AR$3&gt;=$C$1),'General Inputs'!P$10*$H56,0))</f>
        <v>0</v>
      </c>
      <c r="BN56" s="214">
        <f>IF(AND(($D56+$C$1)&gt;AS$3,AS$3&gt;=$C$1),'General Inputs'!Q$10*$I56,IF(AND(($C56+$C$1)&gt;AS$3,AS$3&gt;=$C$1),'General Inputs'!Q$10*$H56,0))</f>
        <v>0</v>
      </c>
      <c r="BO56" s="214">
        <f>IF(AND(($D56+$C$1)&gt;AT$3,AT$3&gt;=$C$1),'General Inputs'!R$10*$I56,IF(AND(($C56+$C$1)&gt;AT$3,AT$3&gt;=$C$1),'General Inputs'!R$10*$H56,0))</f>
        <v>0</v>
      </c>
      <c r="BP56" s="214">
        <f>IF(AND(($D56+$C$1)&gt;AU$3,AU$3&gt;=$C$1),'General Inputs'!S$10*$I56,IF(AND(($C56+$C$1)&gt;AU$3,AU$3&gt;=$C$1),'General Inputs'!S$10*$H56,0))</f>
        <v>0</v>
      </c>
      <c r="BQ56" s="214">
        <f>IF(AND(($D56+$C$1)&gt;AV$3,AV$3&gt;=$C$1),'General Inputs'!T$10*$I56,IF(AND(($C56+$C$1)&gt;AV$3,AV$3&gt;=$C$1),'General Inputs'!T$10*$H56,0))</f>
        <v>0</v>
      </c>
      <c r="BR56" s="214">
        <f>IF(AND(($D56+$C$1)&gt;AW$3,AW$3&gt;=$C$1),'General Inputs'!U$10*$I56,IF(AND(($C56+$C$1)&gt;AW$3,AW$3&gt;=$C$1),'General Inputs'!U$10*$H56,0))</f>
        <v>0</v>
      </c>
      <c r="BS56" s="214">
        <f>IF(AND(($D56+$C$1)&gt;AX$3,AX$3&gt;=$C$1),'General Inputs'!V$10*$I56,IF(AND(($C56+$C$1)&gt;AX$3,AX$3&gt;=$C$1),'General Inputs'!V$10*$H56,0))</f>
        <v>0</v>
      </c>
      <c r="BT56" s="214">
        <f>IF(AND(($D56+$C$1)&gt;AY$3,AY$3&gt;=$C$1),'General Inputs'!W$10*$I56,IF(AND(($C56+$C$1)&gt;AY$3,AY$3&gt;=$C$1),'General Inputs'!W$10*$H56,0))</f>
        <v>0</v>
      </c>
    </row>
    <row r="57" spans="1:72">
      <c r="A57" s="342" t="s">
        <v>112</v>
      </c>
      <c r="B57" s="427" t="str">
        <f>Sources!B57</f>
        <v>Fluorescent Fixture Specular Reflector 4-ft</v>
      </c>
      <c r="C57" s="193">
        <f>Sources!C57</f>
        <v>15</v>
      </c>
      <c r="D57" s="193">
        <f>Sources!D57</f>
        <v>0</v>
      </c>
      <c r="F57" s="429">
        <f>Sources!F57*EnergyLineLoss</f>
        <v>116.19082499999999</v>
      </c>
      <c r="G57" s="429">
        <f>Sources!G57*EnergyLineLoss</f>
        <v>0</v>
      </c>
      <c r="H57" s="477">
        <f>Sources!H57*PeakLineLoss</f>
        <v>1.796652E-2</v>
      </c>
      <c r="I57" s="477">
        <f>Sources!I57*PeakLineLoss</f>
        <v>0</v>
      </c>
      <c r="K57" s="419">
        <f>Sources!J57</f>
        <v>30</v>
      </c>
      <c r="L57" s="419">
        <f>Sources!K57</f>
        <v>0</v>
      </c>
      <c r="N57" s="438">
        <f t="shared" si="27"/>
        <v>1.5704842479769823</v>
      </c>
      <c r="P57" s="215">
        <f t="shared" si="28"/>
        <v>44.525013194580971</v>
      </c>
      <c r="Q57" s="215">
        <f t="shared" si="29"/>
        <v>2.5895142447284996</v>
      </c>
      <c r="R57" s="215">
        <f t="shared" si="30"/>
        <v>30</v>
      </c>
      <c r="T57" s="214">
        <f t="shared" si="32"/>
        <v>30</v>
      </c>
      <c r="U57" s="214">
        <f t="shared" si="32"/>
        <v>0</v>
      </c>
      <c r="V57" s="214">
        <f t="shared" si="31"/>
        <v>0</v>
      </c>
      <c r="W57" s="214">
        <f t="shared" si="31"/>
        <v>0</v>
      </c>
      <c r="X57" s="214">
        <f t="shared" si="31"/>
        <v>0</v>
      </c>
      <c r="Y57" s="214">
        <f t="shared" si="31"/>
        <v>0</v>
      </c>
      <c r="Z57" s="214">
        <f t="shared" si="31"/>
        <v>0</v>
      </c>
      <c r="AA57" s="214">
        <f t="shared" si="31"/>
        <v>0</v>
      </c>
      <c r="AB57" s="214">
        <f t="shared" si="31"/>
        <v>0</v>
      </c>
      <c r="AC57" s="214">
        <f t="shared" si="31"/>
        <v>0</v>
      </c>
      <c r="AD57" s="214">
        <f t="shared" si="31"/>
        <v>0</v>
      </c>
      <c r="AF57" s="214">
        <f>IF(AND(($D57+$C$1)&gt;AF$3,AF$3&gt;=$C$1),'General Inputs'!D$9*$G57,IF(AND(($C57+$C$1)&gt;AF$3,AF$3&gt;=$C$1),'General Inputs'!D$9*$F57,0))</f>
        <v>4.6258204081353265</v>
      </c>
      <c r="AG57" s="214">
        <f>IF(AND(($D57+$C$1)&gt;AG$3,AG$3&gt;=$C$1),'General Inputs'!E$9*$G57,IF(AND(($C57+$C$1)&gt;AG$3,AG$3&gt;=$C$1),'General Inputs'!E$9*$F57,0))</f>
        <v>4.6952077142573554</v>
      </c>
      <c r="AH57" s="214">
        <f>IF(AND(($D57+$C$1)&gt;AH$3,AH$3&gt;=$C$1),'General Inputs'!F$9*$G57,IF(AND(($C57+$C$1)&gt;AH$3,AH$3&gt;=$C$1),'General Inputs'!F$9*$F57,0))</f>
        <v>4.7656358299712158</v>
      </c>
      <c r="AI57" s="214">
        <f>IF(AND(($D57+$C$1)&gt;AI$3,AI$3&gt;=$C$1),'General Inputs'!G$9*$G57,IF(AND(($C57+$C$1)&gt;AI$3,AI$3&gt;=$C$1),'General Inputs'!G$9*$F57,0))</f>
        <v>4.8371203674207832</v>
      </c>
      <c r="AJ57" s="214">
        <f>IF(AND(($D57+$C$1)&gt;AJ$3,AJ$3&gt;=$C$1),'General Inputs'!H$9*$G57,IF(AND(($C57+$C$1)&gt;AJ$3,AJ$3&gt;=$C$1),'General Inputs'!H$9*$F57,0))</f>
        <v>4.9096771729320947</v>
      </c>
      <c r="AK57" s="214">
        <f>IF(AND(($D57+$C$1)&gt;AK$3,AK$3&gt;=$C$1),'General Inputs'!I$9*$G57,IF(AND(($C57+$C$1)&gt;AK$3,AK$3&gt;=$C$1),'General Inputs'!I$9*$F57,0))</f>
        <v>4.9833223305260752</v>
      </c>
      <c r="AL57" s="214">
        <f>IF(AND(($D57+$C$1)&gt;AL$3,AL$3&gt;=$C$1),'General Inputs'!J$9*$G57,IF(AND(($C57+$C$1)&gt;AL$3,AL$3&gt;=$C$1),'General Inputs'!J$9*$F57,0))</f>
        <v>5.0580721654839653</v>
      </c>
      <c r="AM57" s="214">
        <f>IF(AND(($D57+$C$1)&gt;AM$3,AM$3&gt;=$C$1),'General Inputs'!K$9*$G57,IF(AND(($C57+$C$1)&gt;AM$3,AM$3&gt;=$C$1),'General Inputs'!K$9*$F57,0))</f>
        <v>5.1339432479662239</v>
      </c>
      <c r="AN57" s="214">
        <f>IF(AND(($D57+$C$1)&gt;AN$3,AN$3&gt;=$C$1),'General Inputs'!L$9*$G57,IF(AND(($C57+$C$1)&gt;AN$3,AN$3&gt;=$C$1),'General Inputs'!L$9*$F57,0))</f>
        <v>5.210952396685717</v>
      </c>
      <c r="AO57" s="214">
        <f>IF(AND(($D57+$C$1)&gt;AO$3,AO$3&gt;=$C$1),'General Inputs'!M$9*$G57,IF(AND(($C57+$C$1)&gt;AO$3,AO$3&gt;=$C$1),'General Inputs'!M$9*$F57,0))</f>
        <v>5.2891166826360019</v>
      </c>
      <c r="AP57" s="214">
        <f>IF(AND(($D57+$C$1)&gt;AP$3,AP$3&gt;=$C$1),'General Inputs'!N$9*$G57,IF(AND(($C57+$C$1)&gt;AP$3,AP$3&gt;=$C$1),'General Inputs'!N$9*$F57,0))</f>
        <v>5.3684534328755422</v>
      </c>
      <c r="AQ57" s="214">
        <f>IF(AND(($D57+$C$1)&gt;AQ$3,AQ$3&gt;=$C$1),'General Inputs'!O$9*$G57,IF(AND(($C57+$C$1)&gt;AQ$3,AQ$3&gt;=$C$1),'General Inputs'!O$9*$F57,0))</f>
        <v>5.4489802343686744</v>
      </c>
      <c r="AR57" s="214">
        <f>IF(AND(($D57+$C$1)&gt;AR$3,AR$3&gt;=$C$1),'General Inputs'!P$9*$G57,IF(AND(($C57+$C$1)&gt;AR$3,AR$3&gt;=$C$1),'General Inputs'!P$9*$F57,0))</f>
        <v>5.5307149378842038</v>
      </c>
      <c r="AS57" s="214">
        <f>IF(AND(($D57+$C$1)&gt;AS$3,AS$3&gt;=$C$1),'General Inputs'!Q$9*$G57,IF(AND(($C57+$C$1)&gt;AS$3,AS$3&gt;=$C$1),'General Inputs'!Q$9*$F57,0))</f>
        <v>5.6136756619524668</v>
      </c>
      <c r="AT57" s="214">
        <f>IF(AND(($D57+$C$1)&gt;AT$3,AT$3&gt;=$C$1),'General Inputs'!R$9*$G57,IF(AND(($C57+$C$1)&gt;AT$3,AT$3&gt;=$C$1),'General Inputs'!R$9*$F57,0))</f>
        <v>5.6978807968817531</v>
      </c>
      <c r="AU57" s="214">
        <f>IF(AND(($D57+$C$1)&gt;AU$3,AU$3&gt;=$C$1),'General Inputs'!S$9*$G57,IF(AND(($C57+$C$1)&gt;AU$3,AU$3&gt;=$C$1),'General Inputs'!S$9*$F57,0))</f>
        <v>0</v>
      </c>
      <c r="AV57" s="214">
        <f>IF(AND(($D57+$C$1)&gt;AV$3,AV$3&gt;=$C$1),'General Inputs'!T$9*$G57,IF(AND(($C57+$C$1)&gt;AV$3,AV$3&gt;=$C$1),'General Inputs'!T$9*$F57,0))</f>
        <v>0</v>
      </c>
      <c r="AW57" s="214">
        <f>IF(AND(($D57+$C$1)&gt;AW$3,AW$3&gt;=$C$1),'General Inputs'!U$9*$G57,IF(AND(($C57+$C$1)&gt;AW$3,AW$3&gt;=$C$1),'General Inputs'!U$9*$F57,0))</f>
        <v>0</v>
      </c>
      <c r="AX57" s="214">
        <f>IF(AND(($D57+$C$1)&gt;AX$3,AX$3&gt;=$C$1),'General Inputs'!V$9*$G57,IF(AND(($C57+$C$1)&gt;AX$3,AX$3&gt;=$C$1),'General Inputs'!V$9*$F57,0))</f>
        <v>0</v>
      </c>
      <c r="AY57" s="214">
        <f>IF(AND(($D57+$C$1)&gt;AY$3,AY$3&gt;=$C$1),'General Inputs'!W$9*$G57,IF(AND(($C57+$C$1)&gt;AY$3,AY$3&gt;=$C$1),'General Inputs'!W$9*$F57,0))</f>
        <v>0</v>
      </c>
      <c r="BA57" s="214">
        <f>IF(AND(($D57+$C$1)&gt;AF$3,AF$3&gt;=$C$1),'General Inputs'!D$10*$I57,IF(AND(($C57+$C$1)&gt;AF$3,AF$3&gt;=$C$1),'General Inputs'!D$10*$H57,0))</f>
        <v>0.26903142707838923</v>
      </c>
      <c r="BB57" s="214">
        <f>IF(AND(($D57+$C$1)&gt;AG$3,AG$3&gt;=$C$1),'General Inputs'!E$10*$I57,IF(AND(($C57+$C$1)&gt;AG$3,AG$3&gt;=$C$1),'General Inputs'!E$10*$H57,0))</f>
        <v>0.27306689848456506</v>
      </c>
      <c r="BC57" s="214">
        <f>IF(AND(($D57+$C$1)&gt;AH$3,AH$3&gt;=$C$1),'General Inputs'!F$10*$I57,IF(AND(($C57+$C$1)&gt;AH$3,AH$3&gt;=$C$1),'General Inputs'!F$10*$H57,0))</f>
        <v>0.27716290196183352</v>
      </c>
      <c r="BD57" s="214">
        <f>IF(AND(($D57+$C$1)&gt;AI$3,AI$3&gt;=$C$1),'General Inputs'!G$10*$I57,IF(AND(($C57+$C$1)&gt;AI$3,AI$3&gt;=$C$1),'General Inputs'!G$10*$H57,0))</f>
        <v>0.281320345491261</v>
      </c>
      <c r="BE57" s="214">
        <f>IF(AND(($D57+$C$1)&gt;AJ$3,AJ$3&gt;=$C$1),'General Inputs'!H$10*$I57,IF(AND(($C57+$C$1)&gt;AJ$3,AJ$3&gt;=$C$1),'General Inputs'!H$10*$H57,0))</f>
        <v>0.28554015067362987</v>
      </c>
      <c r="BF57" s="214">
        <f>IF(AND(($D57+$C$1)&gt;AK$3,AK$3&gt;=$C$1),'General Inputs'!I$10*$I57,IF(AND(($C57+$C$1)&gt;AK$3,AK$3&gt;=$C$1),'General Inputs'!I$10*$H57,0))</f>
        <v>0.28982325293373429</v>
      </c>
      <c r="BG57" s="214">
        <f>IF(AND(($D57+$C$1)&gt;AL$3,AL$3&gt;=$C$1),'General Inputs'!J$10*$I57,IF(AND(($C57+$C$1)&gt;AL$3,AL$3&gt;=$C$1),'General Inputs'!J$10*$H57,0))</f>
        <v>0.29417060172774023</v>
      </c>
      <c r="BH57" s="214">
        <f>IF(AND(($D57+$C$1)&gt;AM$3,AM$3&gt;=$C$1),'General Inputs'!K$10*$I57,IF(AND(($C57+$C$1)&gt;AM$3,AM$3&gt;=$C$1),'General Inputs'!K$10*$H57,0))</f>
        <v>0.29858316075365632</v>
      </c>
      <c r="BI57" s="214">
        <f>IF(AND(($D57+$C$1)&gt;AN$3,AN$3&gt;=$C$1),'General Inputs'!L$10*$I57,IF(AND(($C57+$C$1)&gt;AN$3,AN$3&gt;=$C$1),'General Inputs'!L$10*$H57,0))</f>
        <v>0.30306190816496115</v>
      </c>
      <c r="BJ57" s="214">
        <f>IF(AND(($D57+$C$1)&gt;AO$3,AO$3&gt;=$C$1),'General Inputs'!M$10*$I57,IF(AND(($C57+$C$1)&gt;AO$3,AO$3&gt;=$C$1),'General Inputs'!M$10*$H57,0))</f>
        <v>0.30760783678743558</v>
      </c>
      <c r="BK57" s="214">
        <f>IF(AND(($D57+$C$1)&gt;AP$3,AP$3&gt;=$C$1),'General Inputs'!N$10*$I57,IF(AND(($C57+$C$1)&gt;AP$3,AP$3&gt;=$C$1),'General Inputs'!N$10*$H57,0))</f>
        <v>0.31222195433924704</v>
      </c>
      <c r="BL57" s="214">
        <f>IF(AND(($D57+$C$1)&gt;AQ$3,AQ$3&gt;=$C$1),'General Inputs'!O$10*$I57,IF(AND(($C57+$C$1)&gt;AQ$3,AQ$3&gt;=$C$1),'General Inputs'!O$10*$H57,0))</f>
        <v>0.31690528365433573</v>
      </c>
      <c r="BM57" s="214">
        <f>IF(AND(($D57+$C$1)&gt;AR$3,AR$3&gt;=$C$1),'General Inputs'!P$10*$I57,IF(AND(($C57+$C$1)&gt;AR$3,AR$3&gt;=$C$1),'General Inputs'!P$10*$H57,0))</f>
        <v>0.32165886290915074</v>
      </c>
      <c r="BN57" s="214">
        <f>IF(AND(($D57+$C$1)&gt;AS$3,AS$3&gt;=$C$1),'General Inputs'!Q$10*$I57,IF(AND(($C57+$C$1)&gt;AS$3,AS$3&gt;=$C$1),'General Inputs'!Q$10*$H57,0))</f>
        <v>0.326483745852788</v>
      </c>
      <c r="BO57" s="214">
        <f>IF(AND(($D57+$C$1)&gt;AT$3,AT$3&gt;=$C$1),'General Inputs'!R$10*$I57,IF(AND(($C57+$C$1)&gt;AT$3,AT$3&gt;=$C$1),'General Inputs'!R$10*$H57,0))</f>
        <v>0.33138100204057974</v>
      </c>
      <c r="BP57" s="214">
        <f>IF(AND(($D57+$C$1)&gt;AU$3,AU$3&gt;=$C$1),'General Inputs'!S$10*$I57,IF(AND(($C57+$C$1)&gt;AU$3,AU$3&gt;=$C$1),'General Inputs'!S$10*$H57,0))</f>
        <v>0</v>
      </c>
      <c r="BQ57" s="214">
        <f>IF(AND(($D57+$C$1)&gt;AV$3,AV$3&gt;=$C$1),'General Inputs'!T$10*$I57,IF(AND(($C57+$C$1)&gt;AV$3,AV$3&gt;=$C$1),'General Inputs'!T$10*$H57,0))</f>
        <v>0</v>
      </c>
      <c r="BR57" s="214">
        <f>IF(AND(($D57+$C$1)&gt;AW$3,AW$3&gt;=$C$1),'General Inputs'!U$10*$I57,IF(AND(($C57+$C$1)&gt;AW$3,AW$3&gt;=$C$1),'General Inputs'!U$10*$H57,0))</f>
        <v>0</v>
      </c>
      <c r="BS57" s="214">
        <f>IF(AND(($D57+$C$1)&gt;AX$3,AX$3&gt;=$C$1),'General Inputs'!V$10*$I57,IF(AND(($C57+$C$1)&gt;AX$3,AX$3&gt;=$C$1),'General Inputs'!V$10*$H57,0))</f>
        <v>0</v>
      </c>
      <c r="BT57" s="214">
        <f>IF(AND(($D57+$C$1)&gt;AY$3,AY$3&gt;=$C$1),'General Inputs'!W$10*$I57,IF(AND(($C57+$C$1)&gt;AY$3,AY$3&gt;=$C$1),'General Inputs'!W$10*$H57,0))</f>
        <v>0</v>
      </c>
    </row>
    <row r="58" spans="1:72">
      <c r="A58" s="342" t="s">
        <v>112</v>
      </c>
      <c r="B58" s="427" t="str">
        <f>Sources!B58</f>
        <v>Fluorescent Fixture Specular Reflector two 4-ft</v>
      </c>
      <c r="C58" s="193">
        <f>Sources!C58</f>
        <v>15</v>
      </c>
      <c r="D58" s="193">
        <f>Sources!D58</f>
        <v>0</v>
      </c>
      <c r="F58" s="429">
        <f>Sources!F58*EnergyLineLoss</f>
        <v>151.04807249999999</v>
      </c>
      <c r="G58" s="429">
        <f>Sources!G58*EnergyLineLoss</f>
        <v>0</v>
      </c>
      <c r="H58" s="477">
        <f>Sources!H58*PeakLineLoss</f>
        <v>2.3356476000000001E-2</v>
      </c>
      <c r="I58" s="477">
        <f>Sources!I58*PeakLineLoss</f>
        <v>0</v>
      </c>
      <c r="K58" s="419">
        <f>Sources!J58</f>
        <v>30</v>
      </c>
      <c r="L58" s="419">
        <f>Sources!K58</f>
        <v>0</v>
      </c>
      <c r="N58" s="438">
        <f t="shared" si="27"/>
        <v>2.0416295223700769</v>
      </c>
      <c r="P58" s="215">
        <f t="shared" si="28"/>
        <v>57.882517152955259</v>
      </c>
      <c r="Q58" s="215">
        <f t="shared" si="29"/>
        <v>3.3663685181470502</v>
      </c>
      <c r="R58" s="215">
        <f t="shared" si="30"/>
        <v>30</v>
      </c>
      <c r="T58" s="214">
        <f t="shared" si="32"/>
        <v>30</v>
      </c>
      <c r="U58" s="214">
        <f t="shared" si="32"/>
        <v>0</v>
      </c>
      <c r="V58" s="214">
        <f t="shared" si="31"/>
        <v>0</v>
      </c>
      <c r="W58" s="214">
        <f t="shared" si="31"/>
        <v>0</v>
      </c>
      <c r="X58" s="214">
        <f t="shared" si="31"/>
        <v>0</v>
      </c>
      <c r="Y58" s="214">
        <f t="shared" si="31"/>
        <v>0</v>
      </c>
      <c r="Z58" s="214">
        <f t="shared" si="31"/>
        <v>0</v>
      </c>
      <c r="AA58" s="214">
        <f t="shared" si="31"/>
        <v>0</v>
      </c>
      <c r="AB58" s="214">
        <f t="shared" si="31"/>
        <v>0</v>
      </c>
      <c r="AC58" s="214">
        <f t="shared" si="31"/>
        <v>0</v>
      </c>
      <c r="AD58" s="214">
        <f t="shared" si="31"/>
        <v>0</v>
      </c>
      <c r="AF58" s="214">
        <f>IF(AND(($D58+$C$1)&gt;AF$3,AF$3&gt;=$C$1),'General Inputs'!D$9*$G58,IF(AND(($C58+$C$1)&gt;AF$3,AF$3&gt;=$C$1),'General Inputs'!D$9*$F58,0))</f>
        <v>6.0135665305759245</v>
      </c>
      <c r="AG58" s="214">
        <f>IF(AND(($D58+$C$1)&gt;AG$3,AG$3&gt;=$C$1),'General Inputs'!E$9*$G58,IF(AND(($C58+$C$1)&gt;AG$3,AG$3&gt;=$C$1),'General Inputs'!E$9*$F58,0))</f>
        <v>6.1037700285345622</v>
      </c>
      <c r="AH58" s="214">
        <f>IF(AND(($D58+$C$1)&gt;AH$3,AH$3&gt;=$C$1),'General Inputs'!F$9*$G58,IF(AND(($C58+$C$1)&gt;AH$3,AH$3&gt;=$C$1),'General Inputs'!F$9*$F58,0))</f>
        <v>6.1953265789625807</v>
      </c>
      <c r="AI58" s="214">
        <f>IF(AND(($D58+$C$1)&gt;AI$3,AI$3&gt;=$C$1),'General Inputs'!G$9*$G58,IF(AND(($C58+$C$1)&gt;AI$3,AI$3&gt;=$C$1),'General Inputs'!G$9*$F58,0))</f>
        <v>6.2882564776470184</v>
      </c>
      <c r="AJ58" s="214">
        <f>IF(AND(($D58+$C$1)&gt;AJ$3,AJ$3&gt;=$C$1),'General Inputs'!H$9*$G58,IF(AND(($C58+$C$1)&gt;AJ$3,AJ$3&gt;=$C$1),'General Inputs'!H$9*$F58,0))</f>
        <v>6.3825803248117232</v>
      </c>
      <c r="AK58" s="214">
        <f>IF(AND(($D58+$C$1)&gt;AK$3,AK$3&gt;=$C$1),'General Inputs'!I$9*$G58,IF(AND(($C58+$C$1)&gt;AK$3,AK$3&gt;=$C$1),'General Inputs'!I$9*$F58,0))</f>
        <v>6.4783190296838979</v>
      </c>
      <c r="AL58" s="214">
        <f>IF(AND(($D58+$C$1)&gt;AL$3,AL$3&gt;=$C$1),'General Inputs'!J$9*$G58,IF(AND(($C58+$C$1)&gt;AL$3,AL$3&gt;=$C$1),'General Inputs'!J$9*$F58,0))</f>
        <v>6.5754938151291551</v>
      </c>
      <c r="AM58" s="214">
        <f>IF(AND(($D58+$C$1)&gt;AM$3,AM$3&gt;=$C$1),'General Inputs'!K$9*$G58,IF(AND(($C58+$C$1)&gt;AM$3,AM$3&gt;=$C$1),'General Inputs'!K$9*$F58,0))</f>
        <v>6.6741262223560911</v>
      </c>
      <c r="AN58" s="214">
        <f>IF(AND(($D58+$C$1)&gt;AN$3,AN$3&gt;=$C$1),'General Inputs'!L$9*$G58,IF(AND(($C58+$C$1)&gt;AN$3,AN$3&gt;=$C$1),'General Inputs'!L$9*$F58,0))</f>
        <v>6.774238115691432</v>
      </c>
      <c r="AO58" s="214">
        <f>IF(AND(($D58+$C$1)&gt;AO$3,AO$3&gt;=$C$1),'General Inputs'!M$9*$G58,IF(AND(($C58+$C$1)&gt;AO$3,AO$3&gt;=$C$1),'General Inputs'!M$9*$F58,0))</f>
        <v>6.8758516874268025</v>
      </c>
      <c r="AP58" s="214">
        <f>IF(AND(($D58+$C$1)&gt;AP$3,AP$3&gt;=$C$1),'General Inputs'!N$9*$G58,IF(AND(($C58+$C$1)&gt;AP$3,AP$3&gt;=$C$1),'General Inputs'!N$9*$F58,0))</f>
        <v>6.9789894627382045</v>
      </c>
      <c r="AQ58" s="214">
        <f>IF(AND(($D58+$C$1)&gt;AQ$3,AQ$3&gt;=$C$1),'General Inputs'!O$9*$G58,IF(AND(($C58+$C$1)&gt;AQ$3,AQ$3&gt;=$C$1),'General Inputs'!O$9*$F58,0))</f>
        <v>7.0836743046792767</v>
      </c>
      <c r="AR58" s="214">
        <f>IF(AND(($D58+$C$1)&gt;AR$3,AR$3&gt;=$C$1),'General Inputs'!P$9*$G58,IF(AND(($C58+$C$1)&gt;AR$3,AR$3&gt;=$C$1),'General Inputs'!P$9*$F58,0))</f>
        <v>7.1899294192494647</v>
      </c>
      <c r="AS58" s="214">
        <f>IF(AND(($D58+$C$1)&gt;AS$3,AS$3&gt;=$C$1),'General Inputs'!Q$9*$G58,IF(AND(($C58+$C$1)&gt;AS$3,AS$3&gt;=$C$1),'General Inputs'!Q$9*$F58,0))</f>
        <v>7.2977783605382065</v>
      </c>
      <c r="AT58" s="214">
        <f>IF(AND(($D58+$C$1)&gt;AT$3,AT$3&gt;=$C$1),'General Inputs'!R$9*$G58,IF(AND(($C58+$C$1)&gt;AT$3,AT$3&gt;=$C$1),'General Inputs'!R$9*$F58,0))</f>
        <v>7.4072450359462794</v>
      </c>
      <c r="AU58" s="214">
        <f>IF(AND(($D58+$C$1)&gt;AU$3,AU$3&gt;=$C$1),'General Inputs'!S$9*$G58,IF(AND(($C58+$C$1)&gt;AU$3,AU$3&gt;=$C$1),'General Inputs'!S$9*$F58,0))</f>
        <v>0</v>
      </c>
      <c r="AV58" s="214">
        <f>IF(AND(($D58+$C$1)&gt;AV$3,AV$3&gt;=$C$1),'General Inputs'!T$9*$G58,IF(AND(($C58+$C$1)&gt;AV$3,AV$3&gt;=$C$1),'General Inputs'!T$9*$F58,0))</f>
        <v>0</v>
      </c>
      <c r="AW58" s="214">
        <f>IF(AND(($D58+$C$1)&gt;AW$3,AW$3&gt;=$C$1),'General Inputs'!U$9*$G58,IF(AND(($C58+$C$1)&gt;AW$3,AW$3&gt;=$C$1),'General Inputs'!U$9*$F58,0))</f>
        <v>0</v>
      </c>
      <c r="AX58" s="214">
        <f>IF(AND(($D58+$C$1)&gt;AX$3,AX$3&gt;=$C$1),'General Inputs'!V$9*$G58,IF(AND(($C58+$C$1)&gt;AX$3,AX$3&gt;=$C$1),'General Inputs'!V$9*$F58,0))</f>
        <v>0</v>
      </c>
      <c r="AY58" s="214">
        <f>IF(AND(($D58+$C$1)&gt;AY$3,AY$3&gt;=$C$1),'General Inputs'!W$9*$G58,IF(AND(($C58+$C$1)&gt;AY$3,AY$3&gt;=$C$1),'General Inputs'!W$9*$F58,0))</f>
        <v>0</v>
      </c>
      <c r="BA58" s="214">
        <f>IF(AND(($D58+$C$1)&gt;AF$3,AF$3&gt;=$C$1),'General Inputs'!D$10*$I58,IF(AND(($C58+$C$1)&gt;AF$3,AF$3&gt;=$C$1),'General Inputs'!D$10*$H58,0))</f>
        <v>0.34974085520190601</v>
      </c>
      <c r="BB58" s="214">
        <f>IF(AND(($D58+$C$1)&gt;AG$3,AG$3&gt;=$C$1),'General Inputs'!E$10*$I58,IF(AND(($C58+$C$1)&gt;AG$3,AG$3&gt;=$C$1),'General Inputs'!E$10*$H58,0))</f>
        <v>0.35498696802993457</v>
      </c>
      <c r="BC58" s="214">
        <f>IF(AND(($D58+$C$1)&gt;AH$3,AH$3&gt;=$C$1),'General Inputs'!F$10*$I58,IF(AND(($C58+$C$1)&gt;AH$3,AH$3&gt;=$C$1),'General Inputs'!F$10*$H58,0))</f>
        <v>0.3603117725503836</v>
      </c>
      <c r="BD58" s="214">
        <f>IF(AND(($D58+$C$1)&gt;AI$3,AI$3&gt;=$C$1),'General Inputs'!G$10*$I58,IF(AND(($C58+$C$1)&gt;AI$3,AI$3&gt;=$C$1),'General Inputs'!G$10*$H58,0))</f>
        <v>0.36571644913863932</v>
      </c>
      <c r="BE58" s="214">
        <f>IF(AND(($D58+$C$1)&gt;AJ$3,AJ$3&gt;=$C$1),'General Inputs'!H$10*$I58,IF(AND(($C58+$C$1)&gt;AJ$3,AJ$3&gt;=$C$1),'General Inputs'!H$10*$H58,0))</f>
        <v>0.37120219587571884</v>
      </c>
      <c r="BF58" s="214">
        <f>IF(AND(($D58+$C$1)&gt;AK$3,AK$3&gt;=$C$1),'General Inputs'!I$10*$I58,IF(AND(($C58+$C$1)&gt;AK$3,AK$3&gt;=$C$1),'General Inputs'!I$10*$H58,0))</f>
        <v>0.37677022881385458</v>
      </c>
      <c r="BG58" s="214">
        <f>IF(AND(($D58+$C$1)&gt;AL$3,AL$3&gt;=$C$1),'General Inputs'!J$10*$I58,IF(AND(($C58+$C$1)&gt;AL$3,AL$3&gt;=$C$1),'General Inputs'!J$10*$H58,0))</f>
        <v>0.38242178224606233</v>
      </c>
      <c r="BH58" s="214">
        <f>IF(AND(($D58+$C$1)&gt;AM$3,AM$3&gt;=$C$1),'General Inputs'!K$10*$I58,IF(AND(($C58+$C$1)&gt;AM$3,AM$3&gt;=$C$1),'General Inputs'!K$10*$H58,0))</f>
        <v>0.38815810897975328</v>
      </c>
      <c r="BI58" s="214">
        <f>IF(AND(($D58+$C$1)&gt;AN$3,AN$3&gt;=$C$1),'General Inputs'!L$10*$I58,IF(AND(($C58+$C$1)&gt;AN$3,AN$3&gt;=$C$1),'General Inputs'!L$10*$H58,0))</f>
        <v>0.39398048061444951</v>
      </c>
      <c r="BJ58" s="214">
        <f>IF(AND(($D58+$C$1)&gt;AO$3,AO$3&gt;=$C$1),'General Inputs'!M$10*$I58,IF(AND(($C58+$C$1)&gt;AO$3,AO$3&gt;=$C$1),'General Inputs'!M$10*$H58,0))</f>
        <v>0.39989018782366625</v>
      </c>
      <c r="BK58" s="214">
        <f>IF(AND(($D58+$C$1)&gt;AP$3,AP$3&gt;=$C$1),'General Inputs'!N$10*$I58,IF(AND(($C58+$C$1)&gt;AP$3,AP$3&gt;=$C$1),'General Inputs'!N$10*$H58,0))</f>
        <v>0.4058885406410212</v>
      </c>
      <c r="BL58" s="214">
        <f>IF(AND(($D58+$C$1)&gt;AQ$3,AQ$3&gt;=$C$1),'General Inputs'!O$10*$I58,IF(AND(($C58+$C$1)&gt;AQ$3,AQ$3&gt;=$C$1),'General Inputs'!O$10*$H58,0))</f>
        <v>0.41197686875063649</v>
      </c>
      <c r="BM58" s="214">
        <f>IF(AND(($D58+$C$1)&gt;AR$3,AR$3&gt;=$C$1),'General Inputs'!P$10*$I58,IF(AND(($C58+$C$1)&gt;AR$3,AR$3&gt;=$C$1),'General Inputs'!P$10*$H58,0))</f>
        <v>0.418156521781896</v>
      </c>
      <c r="BN58" s="214">
        <f>IF(AND(($D58+$C$1)&gt;AS$3,AS$3&gt;=$C$1),'General Inputs'!Q$10*$I58,IF(AND(($C58+$C$1)&gt;AS$3,AS$3&gt;=$C$1),'General Inputs'!Q$10*$H58,0))</f>
        <v>0.42442886960862442</v>
      </c>
      <c r="BO58" s="214">
        <f>IF(AND(($D58+$C$1)&gt;AT$3,AT$3&gt;=$C$1),'General Inputs'!R$10*$I58,IF(AND(($C58+$C$1)&gt;AT$3,AT$3&gt;=$C$1),'General Inputs'!R$10*$H58,0))</f>
        <v>0.43079530265275368</v>
      </c>
      <c r="BP58" s="214">
        <f>IF(AND(($D58+$C$1)&gt;AU$3,AU$3&gt;=$C$1),'General Inputs'!S$10*$I58,IF(AND(($C58+$C$1)&gt;AU$3,AU$3&gt;=$C$1),'General Inputs'!S$10*$H58,0))</f>
        <v>0</v>
      </c>
      <c r="BQ58" s="214">
        <f>IF(AND(($D58+$C$1)&gt;AV$3,AV$3&gt;=$C$1),'General Inputs'!T$10*$I58,IF(AND(($C58+$C$1)&gt;AV$3,AV$3&gt;=$C$1),'General Inputs'!T$10*$H58,0))</f>
        <v>0</v>
      </c>
      <c r="BR58" s="214">
        <f>IF(AND(($D58+$C$1)&gt;AW$3,AW$3&gt;=$C$1),'General Inputs'!U$10*$I58,IF(AND(($C58+$C$1)&gt;AW$3,AW$3&gt;=$C$1),'General Inputs'!U$10*$H58,0))</f>
        <v>0</v>
      </c>
      <c r="BS58" s="214">
        <f>IF(AND(($D58+$C$1)&gt;AX$3,AX$3&gt;=$C$1),'General Inputs'!V$10*$I58,IF(AND(($C58+$C$1)&gt;AX$3,AX$3&gt;=$C$1),'General Inputs'!V$10*$H58,0))</f>
        <v>0</v>
      </c>
      <c r="BT58" s="214">
        <f>IF(AND(($D58+$C$1)&gt;AY$3,AY$3&gt;=$C$1),'General Inputs'!W$10*$I58,IF(AND(($C58+$C$1)&gt;AY$3,AY$3&gt;=$C$1),'General Inputs'!W$10*$H58,0))</f>
        <v>0</v>
      </c>
    </row>
    <row r="59" spans="1:72">
      <c r="A59" s="342" t="s">
        <v>112</v>
      </c>
      <c r="B59" s="427" t="str">
        <f>Sources!B59</f>
        <v>Fluorescent Fixture Specular Reflector 8-ft</v>
      </c>
      <c r="C59" s="193">
        <f>Sources!C59</f>
        <v>15</v>
      </c>
      <c r="D59" s="193">
        <f>Sources!D59</f>
        <v>0</v>
      </c>
      <c r="F59" s="429">
        <f>Sources!F59*EnergyLineLoss</f>
        <v>133.61944874999998</v>
      </c>
      <c r="G59" s="429">
        <f>Sources!G59*EnergyLineLoss</f>
        <v>0</v>
      </c>
      <c r="H59" s="477">
        <f>Sources!H59*PeakLineLoss</f>
        <v>2.0661498E-2</v>
      </c>
      <c r="I59" s="477">
        <f>Sources!I59*PeakLineLoss</f>
        <v>0</v>
      </c>
      <c r="K59" s="419">
        <f>Sources!J59</f>
        <v>50</v>
      </c>
      <c r="L59" s="419">
        <f>Sources!K59</f>
        <v>0</v>
      </c>
      <c r="N59" s="438">
        <f t="shared" si="27"/>
        <v>1.0836341311041178</v>
      </c>
      <c r="P59" s="215">
        <f t="shared" si="28"/>
        <v>51.203765173768112</v>
      </c>
      <c r="Q59" s="215">
        <f t="shared" si="29"/>
        <v>2.9779413814377746</v>
      </c>
      <c r="R59" s="215">
        <f t="shared" si="30"/>
        <v>50</v>
      </c>
      <c r="T59" s="214">
        <f t="shared" si="32"/>
        <v>50</v>
      </c>
      <c r="U59" s="214">
        <f t="shared" si="32"/>
        <v>0</v>
      </c>
      <c r="V59" s="214">
        <f t="shared" si="31"/>
        <v>0</v>
      </c>
      <c r="W59" s="214">
        <f t="shared" si="31"/>
        <v>0</v>
      </c>
      <c r="X59" s="214">
        <f t="shared" si="31"/>
        <v>0</v>
      </c>
      <c r="Y59" s="214">
        <f t="shared" si="31"/>
        <v>0</v>
      </c>
      <c r="Z59" s="214">
        <f t="shared" si="31"/>
        <v>0</v>
      </c>
      <c r="AA59" s="214">
        <f t="shared" si="31"/>
        <v>0</v>
      </c>
      <c r="AB59" s="214">
        <f t="shared" si="31"/>
        <v>0</v>
      </c>
      <c r="AC59" s="214">
        <f t="shared" si="31"/>
        <v>0</v>
      </c>
      <c r="AD59" s="214">
        <f t="shared" si="31"/>
        <v>0</v>
      </c>
      <c r="AF59" s="214">
        <f>IF(AND(($D59+$C$1)&gt;AF$3,AF$3&gt;=$C$1),'General Inputs'!D$9*$G59,IF(AND(($C59+$C$1)&gt;AF$3,AF$3&gt;=$C$1),'General Inputs'!D$9*$F59,0))</f>
        <v>5.3196934693556246</v>
      </c>
      <c r="AG59" s="214">
        <f>IF(AND(($D59+$C$1)&gt;AG$3,AG$3&gt;=$C$1),'General Inputs'!E$9*$G59,IF(AND(($C59+$C$1)&gt;AG$3,AG$3&gt;=$C$1),'General Inputs'!E$9*$F59,0))</f>
        <v>5.3994888713959588</v>
      </c>
      <c r="AH59" s="214">
        <f>IF(AND(($D59+$C$1)&gt;AH$3,AH$3&gt;=$C$1),'General Inputs'!F$9*$G59,IF(AND(($C59+$C$1)&gt;AH$3,AH$3&gt;=$C$1),'General Inputs'!F$9*$F59,0))</f>
        <v>5.4804812044668969</v>
      </c>
      <c r="AI59" s="214">
        <f>IF(AND(($D59+$C$1)&gt;AI$3,AI$3&gt;=$C$1),'General Inputs'!G$9*$G59,IF(AND(($C59+$C$1)&gt;AI$3,AI$3&gt;=$C$1),'General Inputs'!G$9*$F59,0))</f>
        <v>5.5626884225338999</v>
      </c>
      <c r="AJ59" s="214">
        <f>IF(AND(($D59+$C$1)&gt;AJ$3,AJ$3&gt;=$C$1),'General Inputs'!H$9*$G59,IF(AND(($C59+$C$1)&gt;AJ$3,AJ$3&gt;=$C$1),'General Inputs'!H$9*$F59,0))</f>
        <v>5.6461287488719076</v>
      </c>
      <c r="AK59" s="214">
        <f>IF(AND(($D59+$C$1)&gt;AK$3,AK$3&gt;=$C$1),'General Inputs'!I$9*$G59,IF(AND(($C59+$C$1)&gt;AK$3,AK$3&gt;=$C$1),'General Inputs'!I$9*$F59,0))</f>
        <v>5.7308206801049861</v>
      </c>
      <c r="AL59" s="214">
        <f>IF(AND(($D59+$C$1)&gt;AL$3,AL$3&gt;=$C$1),'General Inputs'!J$9*$G59,IF(AND(($C59+$C$1)&gt;AL$3,AL$3&gt;=$C$1),'General Inputs'!J$9*$F59,0))</f>
        <v>5.8167829903065593</v>
      </c>
      <c r="AM59" s="214">
        <f>IF(AND(($D59+$C$1)&gt;AM$3,AM$3&gt;=$C$1),'General Inputs'!K$9*$G59,IF(AND(($C59+$C$1)&gt;AM$3,AM$3&gt;=$C$1),'General Inputs'!K$9*$F59,0))</f>
        <v>5.9040347351611571</v>
      </c>
      <c r="AN59" s="214">
        <f>IF(AND(($D59+$C$1)&gt;AN$3,AN$3&gt;=$C$1),'General Inputs'!L$9*$G59,IF(AND(($C59+$C$1)&gt;AN$3,AN$3&gt;=$C$1),'General Inputs'!L$9*$F59,0))</f>
        <v>5.992595256188574</v>
      </c>
      <c r="AO59" s="214">
        <f>IF(AND(($D59+$C$1)&gt;AO$3,AO$3&gt;=$C$1),'General Inputs'!M$9*$G59,IF(AND(($C59+$C$1)&gt;AO$3,AO$3&gt;=$C$1),'General Inputs'!M$9*$F59,0))</f>
        <v>6.0824841850314018</v>
      </c>
      <c r="AP59" s="214">
        <f>IF(AND(($D59+$C$1)&gt;AP$3,AP$3&gt;=$C$1),'General Inputs'!N$9*$G59,IF(AND(($C59+$C$1)&gt;AP$3,AP$3&gt;=$C$1),'General Inputs'!N$9*$F59,0))</f>
        <v>6.173721447806872</v>
      </c>
      <c r="AQ59" s="214">
        <f>IF(AND(($D59+$C$1)&gt;AQ$3,AQ$3&gt;=$C$1),'General Inputs'!O$9*$G59,IF(AND(($C59+$C$1)&gt;AQ$3,AQ$3&gt;=$C$1),'General Inputs'!O$9*$F59,0))</f>
        <v>6.2663272695239751</v>
      </c>
      <c r="AR59" s="214">
        <f>IF(AND(($D59+$C$1)&gt;AR$3,AR$3&gt;=$C$1),'General Inputs'!P$9*$G59,IF(AND(($C59+$C$1)&gt;AR$3,AR$3&gt;=$C$1),'General Inputs'!P$9*$F59,0))</f>
        <v>6.3603221785668334</v>
      </c>
      <c r="AS59" s="214">
        <f>IF(AND(($D59+$C$1)&gt;AS$3,AS$3&gt;=$C$1),'General Inputs'!Q$9*$G59,IF(AND(($C59+$C$1)&gt;AS$3,AS$3&gt;=$C$1),'General Inputs'!Q$9*$F59,0))</f>
        <v>6.4557270112453358</v>
      </c>
      <c r="AT59" s="214">
        <f>IF(AND(($D59+$C$1)&gt;AT$3,AT$3&gt;=$C$1),'General Inputs'!R$9*$G59,IF(AND(($C59+$C$1)&gt;AT$3,AT$3&gt;=$C$1),'General Inputs'!R$9*$F59,0))</f>
        <v>6.5525629164140158</v>
      </c>
      <c r="AU59" s="214">
        <f>IF(AND(($D59+$C$1)&gt;AU$3,AU$3&gt;=$C$1),'General Inputs'!S$9*$G59,IF(AND(($C59+$C$1)&gt;AU$3,AU$3&gt;=$C$1),'General Inputs'!S$9*$F59,0))</f>
        <v>0</v>
      </c>
      <c r="AV59" s="214">
        <f>IF(AND(($D59+$C$1)&gt;AV$3,AV$3&gt;=$C$1),'General Inputs'!T$9*$G59,IF(AND(($C59+$C$1)&gt;AV$3,AV$3&gt;=$C$1),'General Inputs'!T$9*$F59,0))</f>
        <v>0</v>
      </c>
      <c r="AW59" s="214">
        <f>IF(AND(($D59+$C$1)&gt;AW$3,AW$3&gt;=$C$1),'General Inputs'!U$9*$G59,IF(AND(($C59+$C$1)&gt;AW$3,AW$3&gt;=$C$1),'General Inputs'!U$9*$F59,0))</f>
        <v>0</v>
      </c>
      <c r="AX59" s="214">
        <f>IF(AND(($D59+$C$1)&gt;AX$3,AX$3&gt;=$C$1),'General Inputs'!V$9*$G59,IF(AND(($C59+$C$1)&gt;AX$3,AX$3&gt;=$C$1),'General Inputs'!V$9*$F59,0))</f>
        <v>0</v>
      </c>
      <c r="AY59" s="214">
        <f>IF(AND(($D59+$C$1)&gt;AY$3,AY$3&gt;=$C$1),'General Inputs'!W$9*$G59,IF(AND(($C59+$C$1)&gt;AY$3,AY$3&gt;=$C$1),'General Inputs'!W$9*$F59,0))</f>
        <v>0</v>
      </c>
      <c r="BA59" s="214">
        <f>IF(AND(($D59+$C$1)&gt;AF$3,AF$3&gt;=$C$1),'General Inputs'!D$10*$I59,IF(AND(($C59+$C$1)&gt;AF$3,AF$3&gt;=$C$1),'General Inputs'!D$10*$H59,0))</f>
        <v>0.30938614114014762</v>
      </c>
      <c r="BB59" s="214">
        <f>IF(AND(($D59+$C$1)&gt;AG$3,AG$3&gt;=$C$1),'General Inputs'!E$10*$I59,IF(AND(($C59+$C$1)&gt;AG$3,AG$3&gt;=$C$1),'General Inputs'!E$10*$H59,0))</f>
        <v>0.31402693325724984</v>
      </c>
      <c r="BC59" s="214">
        <f>IF(AND(($D59+$C$1)&gt;AH$3,AH$3&gt;=$C$1),'General Inputs'!F$10*$I59,IF(AND(($C59+$C$1)&gt;AH$3,AH$3&gt;=$C$1),'General Inputs'!F$10*$H59,0))</f>
        <v>0.31873733725610853</v>
      </c>
      <c r="BD59" s="214">
        <f>IF(AND(($D59+$C$1)&gt;AI$3,AI$3&gt;=$C$1),'General Inputs'!G$10*$I59,IF(AND(($C59+$C$1)&gt;AI$3,AI$3&gt;=$C$1),'General Inputs'!G$10*$H59,0))</f>
        <v>0.32351839731495013</v>
      </c>
      <c r="BE59" s="214">
        <f>IF(AND(($D59+$C$1)&gt;AJ$3,AJ$3&gt;=$C$1),'General Inputs'!H$10*$I59,IF(AND(($C59+$C$1)&gt;AJ$3,AJ$3&gt;=$C$1),'General Inputs'!H$10*$H59,0))</f>
        <v>0.32837117327467436</v>
      </c>
      <c r="BF59" s="214">
        <f>IF(AND(($D59+$C$1)&gt;AK$3,AK$3&gt;=$C$1),'General Inputs'!I$10*$I59,IF(AND(($C59+$C$1)&gt;AK$3,AK$3&gt;=$C$1),'General Inputs'!I$10*$H59,0))</f>
        <v>0.33329674087379441</v>
      </c>
      <c r="BG59" s="214">
        <f>IF(AND(($D59+$C$1)&gt;AL$3,AL$3&gt;=$C$1),'General Inputs'!J$10*$I59,IF(AND(($C59+$C$1)&gt;AL$3,AL$3&gt;=$C$1),'General Inputs'!J$10*$H59,0))</f>
        <v>0.33829619198690131</v>
      </c>
      <c r="BH59" s="214">
        <f>IF(AND(($D59+$C$1)&gt;AM$3,AM$3&gt;=$C$1),'General Inputs'!K$10*$I59,IF(AND(($C59+$C$1)&gt;AM$3,AM$3&gt;=$C$1),'General Inputs'!K$10*$H59,0))</f>
        <v>0.34337063486670477</v>
      </c>
      <c r="BI59" s="214">
        <f>IF(AND(($D59+$C$1)&gt;AN$3,AN$3&gt;=$C$1),'General Inputs'!L$10*$I59,IF(AND(($C59+$C$1)&gt;AN$3,AN$3&gt;=$C$1),'General Inputs'!L$10*$H59,0))</f>
        <v>0.34852119438970536</v>
      </c>
      <c r="BJ59" s="214">
        <f>IF(AND(($D59+$C$1)&gt;AO$3,AO$3&gt;=$C$1),'General Inputs'!M$10*$I59,IF(AND(($C59+$C$1)&gt;AO$3,AO$3&gt;=$C$1),'General Inputs'!M$10*$H59,0))</f>
        <v>0.35374901230555095</v>
      </c>
      <c r="BK59" s="214">
        <f>IF(AND(($D59+$C$1)&gt;AP$3,AP$3&gt;=$C$1),'General Inputs'!N$10*$I59,IF(AND(($C59+$C$1)&gt;AP$3,AP$3&gt;=$C$1),'General Inputs'!N$10*$H59,0))</f>
        <v>0.35905524749013412</v>
      </c>
      <c r="BL59" s="214">
        <f>IF(AND(($D59+$C$1)&gt;AQ$3,AQ$3&gt;=$C$1),'General Inputs'!O$10*$I59,IF(AND(($C59+$C$1)&gt;AQ$3,AQ$3&gt;=$C$1),'General Inputs'!O$10*$H59,0))</f>
        <v>0.36444107620248611</v>
      </c>
      <c r="BM59" s="214">
        <f>IF(AND(($D59+$C$1)&gt;AR$3,AR$3&gt;=$C$1),'General Inputs'!P$10*$I59,IF(AND(($C59+$C$1)&gt;AR$3,AR$3&gt;=$C$1),'General Inputs'!P$10*$H59,0))</f>
        <v>0.3699076923455234</v>
      </c>
      <c r="BN59" s="214">
        <f>IF(AND(($D59+$C$1)&gt;AS$3,AS$3&gt;=$C$1),'General Inputs'!Q$10*$I59,IF(AND(($C59+$C$1)&gt;AS$3,AS$3&gt;=$C$1),'General Inputs'!Q$10*$H59,0))</f>
        <v>0.37545630773070621</v>
      </c>
      <c r="BO59" s="214">
        <f>IF(AND(($D59+$C$1)&gt;AT$3,AT$3&gt;=$C$1),'General Inputs'!R$10*$I59,IF(AND(($C59+$C$1)&gt;AT$3,AT$3&gt;=$C$1),'General Inputs'!R$10*$H59,0))</f>
        <v>0.38108815234666671</v>
      </c>
      <c r="BP59" s="214">
        <f>IF(AND(($D59+$C$1)&gt;AU$3,AU$3&gt;=$C$1),'General Inputs'!S$10*$I59,IF(AND(($C59+$C$1)&gt;AU$3,AU$3&gt;=$C$1),'General Inputs'!S$10*$H59,0))</f>
        <v>0</v>
      </c>
      <c r="BQ59" s="214">
        <f>IF(AND(($D59+$C$1)&gt;AV$3,AV$3&gt;=$C$1),'General Inputs'!T$10*$I59,IF(AND(($C59+$C$1)&gt;AV$3,AV$3&gt;=$C$1),'General Inputs'!T$10*$H59,0))</f>
        <v>0</v>
      </c>
      <c r="BR59" s="214">
        <f>IF(AND(($D59+$C$1)&gt;AW$3,AW$3&gt;=$C$1),'General Inputs'!U$10*$I59,IF(AND(($C59+$C$1)&gt;AW$3,AW$3&gt;=$C$1),'General Inputs'!U$10*$H59,0))</f>
        <v>0</v>
      </c>
      <c r="BS59" s="214">
        <f>IF(AND(($D59+$C$1)&gt;AX$3,AX$3&gt;=$C$1),'General Inputs'!V$10*$I59,IF(AND(($C59+$C$1)&gt;AX$3,AX$3&gt;=$C$1),'General Inputs'!V$10*$H59,0))</f>
        <v>0</v>
      </c>
      <c r="BT59" s="214">
        <f>IF(AND(($D59+$C$1)&gt;AY$3,AY$3&gt;=$C$1),'General Inputs'!W$10*$I59,IF(AND(($C59+$C$1)&gt;AY$3,AY$3&gt;=$C$1),'General Inputs'!W$10*$H59,0))</f>
        <v>0</v>
      </c>
    </row>
    <row r="60" spans="1:72">
      <c r="A60" s="342" t="s">
        <v>112</v>
      </c>
      <c r="B60" s="427" t="str">
        <f>Sources!B60</f>
        <v>Fluorescent Fixture Specular Reflector two 8-ft</v>
      </c>
      <c r="C60" s="193">
        <f>Sources!C60</f>
        <v>15</v>
      </c>
      <c r="D60" s="193">
        <f>Sources!D60</f>
        <v>0</v>
      </c>
      <c r="F60" s="429">
        <f>Sources!F60*EnergyLineLoss</f>
        <v>284.66752124999999</v>
      </c>
      <c r="G60" s="429">
        <f>Sources!G60*EnergyLineLoss</f>
        <v>0</v>
      </c>
      <c r="H60" s="477">
        <f>Sources!H60*PeakLineLoss</f>
        <v>4.4017974000000001E-2</v>
      </c>
      <c r="I60" s="477">
        <f>Sources!I60*PeakLineLoss</f>
        <v>0</v>
      </c>
      <c r="K60" s="419">
        <f>Sources!J60</f>
        <v>50</v>
      </c>
      <c r="L60" s="419">
        <f>Sources!K60</f>
        <v>0</v>
      </c>
      <c r="N60" s="438">
        <f t="shared" si="27"/>
        <v>2.3086118445261645</v>
      </c>
      <c r="P60" s="215">
        <f t="shared" si="28"/>
        <v>109.08628232672339</v>
      </c>
      <c r="Q60" s="215">
        <f t="shared" si="29"/>
        <v>6.3443098995848244</v>
      </c>
      <c r="R60" s="215">
        <f t="shared" si="30"/>
        <v>50</v>
      </c>
      <c r="T60" s="214">
        <f t="shared" si="32"/>
        <v>50</v>
      </c>
      <c r="U60" s="214">
        <f t="shared" si="32"/>
        <v>0</v>
      </c>
      <c r="V60" s="214">
        <f t="shared" si="31"/>
        <v>0</v>
      </c>
      <c r="W60" s="214">
        <f t="shared" si="31"/>
        <v>0</v>
      </c>
      <c r="X60" s="214">
        <f t="shared" si="31"/>
        <v>0</v>
      </c>
      <c r="Y60" s="214">
        <f t="shared" si="31"/>
        <v>0</v>
      </c>
      <c r="Z60" s="214">
        <f t="shared" si="31"/>
        <v>0</v>
      </c>
      <c r="AA60" s="214">
        <f t="shared" si="31"/>
        <v>0</v>
      </c>
      <c r="AB60" s="214">
        <f t="shared" si="31"/>
        <v>0</v>
      </c>
      <c r="AC60" s="214">
        <f t="shared" si="31"/>
        <v>0</v>
      </c>
      <c r="AD60" s="214">
        <f t="shared" si="31"/>
        <v>0</v>
      </c>
      <c r="AF60" s="214">
        <f>IF(AND(($D60+$C$1)&gt;AF$3,AF$3&gt;=$C$1),'General Inputs'!D$9*$G60,IF(AND(($C60+$C$1)&gt;AF$3,AF$3&gt;=$C$1),'General Inputs'!D$9*$F60,0))</f>
        <v>11.333259999931551</v>
      </c>
      <c r="AG60" s="214">
        <f>IF(AND(($D60+$C$1)&gt;AG$3,AG$3&gt;=$C$1),'General Inputs'!E$9*$G60,IF(AND(($C60+$C$1)&gt;AG$3,AG$3&gt;=$C$1),'General Inputs'!E$9*$F60,0))</f>
        <v>11.503258899930522</v>
      </c>
      <c r="AH60" s="214">
        <f>IF(AND(($D60+$C$1)&gt;AH$3,AH$3&gt;=$C$1),'General Inputs'!F$9*$G60,IF(AND(($C60+$C$1)&gt;AH$3,AH$3&gt;=$C$1),'General Inputs'!F$9*$F60,0))</f>
        <v>11.675807783429478</v>
      </c>
      <c r="AI60" s="214">
        <f>IF(AND(($D60+$C$1)&gt;AI$3,AI$3&gt;=$C$1),'General Inputs'!G$9*$G60,IF(AND(($C60+$C$1)&gt;AI$3,AI$3&gt;=$C$1),'General Inputs'!G$9*$F60,0))</f>
        <v>11.85094490018092</v>
      </c>
      <c r="AJ60" s="214">
        <f>IF(AND(($D60+$C$1)&gt;AJ$3,AJ$3&gt;=$C$1),'General Inputs'!H$9*$G60,IF(AND(($C60+$C$1)&gt;AJ$3,AJ$3&gt;=$C$1),'General Inputs'!H$9*$F60,0))</f>
        <v>12.028709073683633</v>
      </c>
      <c r="AK60" s="214">
        <f>IF(AND(($D60+$C$1)&gt;AK$3,AK$3&gt;=$C$1),'General Inputs'!I$9*$G60,IF(AND(($C60+$C$1)&gt;AK$3,AK$3&gt;=$C$1),'General Inputs'!I$9*$F60,0))</f>
        <v>12.209139709788884</v>
      </c>
      <c r="AL60" s="214">
        <f>IF(AND(($D60+$C$1)&gt;AL$3,AL$3&gt;=$C$1),'General Inputs'!J$9*$G60,IF(AND(($C60+$C$1)&gt;AL$3,AL$3&gt;=$C$1),'General Inputs'!J$9*$F60,0))</f>
        <v>12.392276805435717</v>
      </c>
      <c r="AM60" s="214">
        <f>IF(AND(($D60+$C$1)&gt;AM$3,AM$3&gt;=$C$1),'General Inputs'!K$9*$G60,IF(AND(($C60+$C$1)&gt;AM$3,AM$3&gt;=$C$1),'General Inputs'!K$9*$F60,0))</f>
        <v>12.57816095751725</v>
      </c>
      <c r="AN60" s="214">
        <f>IF(AND(($D60+$C$1)&gt;AN$3,AN$3&gt;=$C$1),'General Inputs'!L$9*$G60,IF(AND(($C60+$C$1)&gt;AN$3,AN$3&gt;=$C$1),'General Inputs'!L$9*$F60,0))</f>
        <v>12.766833371880008</v>
      </c>
      <c r="AO60" s="214">
        <f>IF(AND(($D60+$C$1)&gt;AO$3,AO$3&gt;=$C$1),'General Inputs'!M$9*$G60,IF(AND(($C60+$C$1)&gt;AO$3,AO$3&gt;=$C$1),'General Inputs'!M$9*$F60,0))</f>
        <v>12.958335872458205</v>
      </c>
      <c r="AP60" s="214">
        <f>IF(AND(($D60+$C$1)&gt;AP$3,AP$3&gt;=$C$1),'General Inputs'!N$9*$G60,IF(AND(($C60+$C$1)&gt;AP$3,AP$3&gt;=$C$1),'General Inputs'!N$9*$F60,0))</f>
        <v>13.152710910545078</v>
      </c>
      <c r="AQ60" s="214">
        <f>IF(AND(($D60+$C$1)&gt;AQ$3,AQ$3&gt;=$C$1),'General Inputs'!O$9*$G60,IF(AND(($C60+$C$1)&gt;AQ$3,AQ$3&gt;=$C$1),'General Inputs'!O$9*$F60,0))</f>
        <v>13.350001574203253</v>
      </c>
      <c r="AR60" s="214">
        <f>IF(AND(($D60+$C$1)&gt;AR$3,AR$3&gt;=$C$1),'General Inputs'!P$9*$G60,IF(AND(($C60+$C$1)&gt;AR$3,AR$3&gt;=$C$1),'General Inputs'!P$9*$F60,0))</f>
        <v>13.550251597816301</v>
      </c>
      <c r="AS60" s="214">
        <f>IF(AND(($D60+$C$1)&gt;AS$3,AS$3&gt;=$C$1),'General Inputs'!Q$9*$G60,IF(AND(($C60+$C$1)&gt;AS$3,AS$3&gt;=$C$1),'General Inputs'!Q$9*$F60,0))</f>
        <v>13.753505371783543</v>
      </c>
      <c r="AT60" s="214">
        <f>IF(AND(($D60+$C$1)&gt;AT$3,AT$3&gt;=$C$1),'General Inputs'!R$9*$G60,IF(AND(($C60+$C$1)&gt;AT$3,AT$3&gt;=$C$1),'General Inputs'!R$9*$F60,0))</f>
        <v>13.959807952360297</v>
      </c>
      <c r="AU60" s="214">
        <f>IF(AND(($D60+$C$1)&gt;AU$3,AU$3&gt;=$C$1),'General Inputs'!S$9*$G60,IF(AND(($C60+$C$1)&gt;AU$3,AU$3&gt;=$C$1),'General Inputs'!S$9*$F60,0))</f>
        <v>0</v>
      </c>
      <c r="AV60" s="214">
        <f>IF(AND(($D60+$C$1)&gt;AV$3,AV$3&gt;=$C$1),'General Inputs'!T$9*$G60,IF(AND(($C60+$C$1)&gt;AV$3,AV$3&gt;=$C$1),'General Inputs'!T$9*$F60,0))</f>
        <v>0</v>
      </c>
      <c r="AW60" s="214">
        <f>IF(AND(($D60+$C$1)&gt;AW$3,AW$3&gt;=$C$1),'General Inputs'!U$9*$G60,IF(AND(($C60+$C$1)&gt;AW$3,AW$3&gt;=$C$1),'General Inputs'!U$9*$F60,0))</f>
        <v>0</v>
      </c>
      <c r="AX60" s="214">
        <f>IF(AND(($D60+$C$1)&gt;AX$3,AX$3&gt;=$C$1),'General Inputs'!V$9*$G60,IF(AND(($C60+$C$1)&gt;AX$3,AX$3&gt;=$C$1),'General Inputs'!V$9*$F60,0))</f>
        <v>0</v>
      </c>
      <c r="AY60" s="214">
        <f>IF(AND(($D60+$C$1)&gt;AY$3,AY$3&gt;=$C$1),'General Inputs'!W$9*$G60,IF(AND(($C60+$C$1)&gt;AY$3,AY$3&gt;=$C$1),'General Inputs'!W$9*$F60,0))</f>
        <v>0</v>
      </c>
      <c r="BA60" s="214">
        <f>IF(AND(($D60+$C$1)&gt;AF$3,AF$3&gt;=$C$1),'General Inputs'!D$10*$I60,IF(AND(($C60+$C$1)&gt;AF$3,AF$3&gt;=$C$1),'General Inputs'!D$10*$H60,0))</f>
        <v>0.65912699634205363</v>
      </c>
      <c r="BB60" s="214">
        <f>IF(AND(($D60+$C$1)&gt;AG$3,AG$3&gt;=$C$1),'General Inputs'!E$10*$I60,IF(AND(($C60+$C$1)&gt;AG$3,AG$3&gt;=$C$1),'General Inputs'!E$10*$H60,0))</f>
        <v>0.66901390128718441</v>
      </c>
      <c r="BC60" s="214">
        <f>IF(AND(($D60+$C$1)&gt;AH$3,AH$3&gt;=$C$1),'General Inputs'!F$10*$I60,IF(AND(($C60+$C$1)&gt;AH$3,AH$3&gt;=$C$1),'General Inputs'!F$10*$H60,0))</f>
        <v>0.67904910980649213</v>
      </c>
      <c r="BD60" s="214">
        <f>IF(AND(($D60+$C$1)&gt;AI$3,AI$3&gt;=$C$1),'General Inputs'!G$10*$I60,IF(AND(($C60+$C$1)&gt;AI$3,AI$3&gt;=$C$1),'General Inputs'!G$10*$H60,0))</f>
        <v>0.68923484645358946</v>
      </c>
      <c r="BE60" s="214">
        <f>IF(AND(($D60+$C$1)&gt;AJ$3,AJ$3&gt;=$C$1),'General Inputs'!H$10*$I60,IF(AND(($C60+$C$1)&gt;AJ$3,AJ$3&gt;=$C$1),'General Inputs'!H$10*$H60,0))</f>
        <v>0.69957336915039325</v>
      </c>
      <c r="BF60" s="214">
        <f>IF(AND(($D60+$C$1)&gt;AK$3,AK$3&gt;=$C$1),'General Inputs'!I$10*$I60,IF(AND(($C60+$C$1)&gt;AK$3,AK$3&gt;=$C$1),'General Inputs'!I$10*$H60,0))</f>
        <v>0.71006696968764904</v>
      </c>
      <c r="BG60" s="214">
        <f>IF(AND(($D60+$C$1)&gt;AL$3,AL$3&gt;=$C$1),'General Inputs'!J$10*$I60,IF(AND(($C60+$C$1)&gt;AL$3,AL$3&gt;=$C$1),'General Inputs'!J$10*$H60,0))</f>
        <v>0.72071797423296369</v>
      </c>
      <c r="BH60" s="214">
        <f>IF(AND(($D60+$C$1)&gt;AM$3,AM$3&gt;=$C$1),'General Inputs'!K$10*$I60,IF(AND(($C60+$C$1)&gt;AM$3,AM$3&gt;=$C$1),'General Inputs'!K$10*$H60,0))</f>
        <v>0.73152874384645805</v>
      </c>
      <c r="BI60" s="214">
        <f>IF(AND(($D60+$C$1)&gt;AN$3,AN$3&gt;=$C$1),'General Inputs'!L$10*$I60,IF(AND(($C60+$C$1)&gt;AN$3,AN$3&gt;=$C$1),'General Inputs'!L$10*$H60,0))</f>
        <v>0.74250167500415487</v>
      </c>
      <c r="BJ60" s="214">
        <f>IF(AND(($D60+$C$1)&gt;AO$3,AO$3&gt;=$C$1),'General Inputs'!M$10*$I60,IF(AND(($C60+$C$1)&gt;AO$3,AO$3&gt;=$C$1),'General Inputs'!M$10*$H60,0))</f>
        <v>0.75363920012921715</v>
      </c>
      <c r="BK60" s="214">
        <f>IF(AND(($D60+$C$1)&gt;AP$3,AP$3&gt;=$C$1),'General Inputs'!N$10*$I60,IF(AND(($C60+$C$1)&gt;AP$3,AP$3&gt;=$C$1),'General Inputs'!N$10*$H60,0))</f>
        <v>0.76494378813115527</v>
      </c>
      <c r="BL60" s="214">
        <f>IF(AND(($D60+$C$1)&gt;AQ$3,AQ$3&gt;=$C$1),'General Inputs'!O$10*$I60,IF(AND(($C60+$C$1)&gt;AQ$3,AQ$3&gt;=$C$1),'General Inputs'!O$10*$H60,0))</f>
        <v>0.77641794495312255</v>
      </c>
      <c r="BM60" s="214">
        <f>IF(AND(($D60+$C$1)&gt;AR$3,AR$3&gt;=$C$1),'General Inputs'!P$10*$I60,IF(AND(($C60+$C$1)&gt;AR$3,AR$3&gt;=$C$1),'General Inputs'!P$10*$H60,0))</f>
        <v>0.78806421412741934</v>
      </c>
      <c r="BN60" s="214">
        <f>IF(AND(($D60+$C$1)&gt;AS$3,AS$3&gt;=$C$1),'General Inputs'!Q$10*$I60,IF(AND(($C60+$C$1)&gt;AS$3,AS$3&gt;=$C$1),'General Inputs'!Q$10*$H60,0))</f>
        <v>0.79988517733933062</v>
      </c>
      <c r="BO60" s="214">
        <f>IF(AND(($D60+$C$1)&gt;AT$3,AT$3&gt;=$C$1),'General Inputs'!R$10*$I60,IF(AND(($C60+$C$1)&gt;AT$3,AT$3&gt;=$C$1),'General Inputs'!R$10*$H60,0))</f>
        <v>0.81188345499942038</v>
      </c>
      <c r="BP60" s="214">
        <f>IF(AND(($D60+$C$1)&gt;AU$3,AU$3&gt;=$C$1),'General Inputs'!S$10*$I60,IF(AND(($C60+$C$1)&gt;AU$3,AU$3&gt;=$C$1),'General Inputs'!S$10*$H60,0))</f>
        <v>0</v>
      </c>
      <c r="BQ60" s="214">
        <f>IF(AND(($D60+$C$1)&gt;AV$3,AV$3&gt;=$C$1),'General Inputs'!T$10*$I60,IF(AND(($C60+$C$1)&gt;AV$3,AV$3&gt;=$C$1),'General Inputs'!T$10*$H60,0))</f>
        <v>0</v>
      </c>
      <c r="BR60" s="214">
        <f>IF(AND(($D60+$C$1)&gt;AW$3,AW$3&gt;=$C$1),'General Inputs'!U$10*$I60,IF(AND(($C60+$C$1)&gt;AW$3,AW$3&gt;=$C$1),'General Inputs'!U$10*$H60,0))</f>
        <v>0</v>
      </c>
      <c r="BS60" s="214">
        <f>IF(AND(($D60+$C$1)&gt;AX$3,AX$3&gt;=$C$1),'General Inputs'!V$10*$I60,IF(AND(($C60+$C$1)&gt;AX$3,AX$3&gt;=$C$1),'General Inputs'!V$10*$H60,0))</f>
        <v>0</v>
      </c>
      <c r="BT60" s="214">
        <f>IF(AND(($D60+$C$1)&gt;AY$3,AY$3&gt;=$C$1),'General Inputs'!W$10*$I60,IF(AND(($C60+$C$1)&gt;AY$3,AY$3&gt;=$C$1),'General Inputs'!W$10*$H60,0))</f>
        <v>0</v>
      </c>
    </row>
    <row r="61" spans="1:72">
      <c r="A61" s="342" t="s">
        <v>112</v>
      </c>
      <c r="B61" s="427" t="str">
        <f>Sources!B61</f>
        <v>High Bay Fluorescent Fixture (replace 400W HID)</v>
      </c>
      <c r="C61" s="193">
        <f>Sources!C61</f>
        <v>18</v>
      </c>
      <c r="D61" s="193">
        <f>Sources!D61</f>
        <v>0</v>
      </c>
      <c r="F61" s="429">
        <f>Sources!F61*EnergyLineLoss</f>
        <v>1405.9089825000001</v>
      </c>
      <c r="G61" s="429">
        <f>Sources!G61*EnergyLineLoss</f>
        <v>0</v>
      </c>
      <c r="H61" s="477">
        <f>Sources!H61*PeakLineLoss</f>
        <v>0.21739489200000001</v>
      </c>
      <c r="I61" s="477">
        <f>Sources!I61*PeakLineLoss</f>
        <v>0</v>
      </c>
      <c r="K61" s="419">
        <f>Sources!J61</f>
        <v>102</v>
      </c>
      <c r="L61" s="419">
        <f>Sources!K61</f>
        <v>0</v>
      </c>
      <c r="N61" s="438">
        <f t="shared" si="27"/>
        <v>6.1600177396039326</v>
      </c>
      <c r="P61" s="215">
        <f t="shared" si="28"/>
        <v>593.78791163253277</v>
      </c>
      <c r="Q61" s="215">
        <f t="shared" si="29"/>
        <v>34.533897807068392</v>
      </c>
      <c r="R61" s="215">
        <f t="shared" si="30"/>
        <v>102</v>
      </c>
      <c r="T61" s="214">
        <f t="shared" si="32"/>
        <v>102</v>
      </c>
      <c r="U61" s="214">
        <f t="shared" si="32"/>
        <v>0</v>
      </c>
      <c r="V61" s="214">
        <f t="shared" si="31"/>
        <v>0</v>
      </c>
      <c r="W61" s="214">
        <f t="shared" si="31"/>
        <v>0</v>
      </c>
      <c r="X61" s="214">
        <f t="shared" si="31"/>
        <v>0</v>
      </c>
      <c r="Y61" s="214">
        <f t="shared" si="31"/>
        <v>0</v>
      </c>
      <c r="Z61" s="214">
        <f t="shared" si="31"/>
        <v>0</v>
      </c>
      <c r="AA61" s="214">
        <f t="shared" si="31"/>
        <v>0</v>
      </c>
      <c r="AB61" s="214">
        <f t="shared" si="31"/>
        <v>0</v>
      </c>
      <c r="AC61" s="214">
        <f t="shared" si="31"/>
        <v>0</v>
      </c>
      <c r="AD61" s="214">
        <f t="shared" si="31"/>
        <v>0</v>
      </c>
      <c r="AF61" s="214">
        <f>IF(AND(($D61+$C$1)&gt;AF$3,AF$3&gt;=$C$1),'General Inputs'!D$9*$G61,IF(AND(($C61+$C$1)&gt;AF$3,AF$3&gt;=$C$1),'General Inputs'!D$9*$F61,0))</f>
        <v>55.972426938437458</v>
      </c>
      <c r="AG61" s="214">
        <f>IF(AND(($D61+$C$1)&gt;AG$3,AG$3&gt;=$C$1),'General Inputs'!E$9*$G61,IF(AND(($C61+$C$1)&gt;AG$3,AG$3&gt;=$C$1),'General Inputs'!E$9*$F61,0))</f>
        <v>56.812013342514014</v>
      </c>
      <c r="AH61" s="214">
        <f>IF(AND(($D61+$C$1)&gt;AH$3,AH$3&gt;=$C$1),'General Inputs'!F$9*$G61,IF(AND(($C61+$C$1)&gt;AH$3,AH$3&gt;=$C$1),'General Inputs'!F$9*$F61,0))</f>
        <v>57.664193542651716</v>
      </c>
      <c r="AI61" s="214">
        <f>IF(AND(($D61+$C$1)&gt;AI$3,AI$3&gt;=$C$1),'General Inputs'!G$9*$G61,IF(AND(($C61+$C$1)&gt;AI$3,AI$3&gt;=$C$1),'General Inputs'!G$9*$F61,0))</f>
        <v>58.529156445791486</v>
      </c>
      <c r="AJ61" s="214">
        <f>IF(AND(($D61+$C$1)&gt;AJ$3,AJ$3&gt;=$C$1),'General Inputs'!H$9*$G61,IF(AND(($C61+$C$1)&gt;AJ$3,AJ$3&gt;=$C$1),'General Inputs'!H$9*$F61,0))</f>
        <v>59.407093792478349</v>
      </c>
      <c r="AK61" s="214">
        <f>IF(AND(($D61+$C$1)&gt;AK$3,AK$3&gt;=$C$1),'General Inputs'!I$9*$G61,IF(AND(($C61+$C$1)&gt;AK$3,AK$3&gt;=$C$1),'General Inputs'!I$9*$F61,0))</f>
        <v>60.298200199365517</v>
      </c>
      <c r="AL61" s="214">
        <f>IF(AND(($D61+$C$1)&gt;AL$3,AL$3&gt;=$C$1),'General Inputs'!J$9*$G61,IF(AND(($C61+$C$1)&gt;AL$3,AL$3&gt;=$C$1),'General Inputs'!J$9*$F61,0))</f>
        <v>61.202673202355989</v>
      </c>
      <c r="AM61" s="214">
        <f>IF(AND(($D61+$C$1)&gt;AM$3,AM$3&gt;=$C$1),'General Inputs'!K$9*$G61,IF(AND(($C61+$C$1)&gt;AM$3,AM$3&gt;=$C$1),'General Inputs'!K$9*$F61,0))</f>
        <v>62.120713300391323</v>
      </c>
      <c r="AN61" s="214">
        <f>IF(AND(($D61+$C$1)&gt;AN$3,AN$3&gt;=$C$1),'General Inputs'!L$9*$G61,IF(AND(($C61+$C$1)&gt;AN$3,AN$3&gt;=$C$1),'General Inputs'!L$9*$F61,0))</f>
        <v>63.05252399989719</v>
      </c>
      <c r="AO61" s="214">
        <f>IF(AND(($D61+$C$1)&gt;AO$3,AO$3&gt;=$C$1),'General Inputs'!M$9*$G61,IF(AND(($C61+$C$1)&gt;AO$3,AO$3&gt;=$C$1),'General Inputs'!M$9*$F61,0))</f>
        <v>63.998311859895637</v>
      </c>
      <c r="AP61" s="214">
        <f>IF(AND(($D61+$C$1)&gt;AP$3,AP$3&gt;=$C$1),'General Inputs'!N$9*$G61,IF(AND(($C61+$C$1)&gt;AP$3,AP$3&gt;=$C$1),'General Inputs'!N$9*$F61,0))</f>
        <v>64.958286537794066</v>
      </c>
      <c r="AQ61" s="214">
        <f>IF(AND(($D61+$C$1)&gt;AQ$3,AQ$3&gt;=$C$1),'General Inputs'!O$9*$G61,IF(AND(($C61+$C$1)&gt;AQ$3,AQ$3&gt;=$C$1),'General Inputs'!O$9*$F61,0))</f>
        <v>65.932660835860972</v>
      </c>
      <c r="AR61" s="214">
        <f>IF(AND(($D61+$C$1)&gt;AR$3,AR$3&gt;=$C$1),'General Inputs'!P$9*$G61,IF(AND(($C61+$C$1)&gt;AR$3,AR$3&gt;=$C$1),'General Inputs'!P$9*$F61,0))</f>
        <v>66.921650748398875</v>
      </c>
      <c r="AS61" s="214">
        <f>IF(AND(($D61+$C$1)&gt;AS$3,AS$3&gt;=$C$1),'General Inputs'!Q$9*$G61,IF(AND(($C61+$C$1)&gt;AS$3,AS$3&gt;=$C$1),'General Inputs'!Q$9*$F61,0))</f>
        <v>67.92547550962486</v>
      </c>
      <c r="AT61" s="214">
        <f>IF(AND(($D61+$C$1)&gt;AT$3,AT$3&gt;=$C$1),'General Inputs'!R$9*$G61,IF(AND(($C61+$C$1)&gt;AT$3,AT$3&gt;=$C$1),'General Inputs'!R$9*$F61,0))</f>
        <v>68.944357642269225</v>
      </c>
      <c r="AU61" s="214">
        <f>IF(AND(($D61+$C$1)&gt;AU$3,AU$3&gt;=$C$1),'General Inputs'!S$9*$G61,IF(AND(($C61+$C$1)&gt;AU$3,AU$3&gt;=$C$1),'General Inputs'!S$9*$F61,0))</f>
        <v>69.978523006903259</v>
      </c>
      <c r="AV61" s="214">
        <f>IF(AND(($D61+$C$1)&gt;AV$3,AV$3&gt;=$C$1),'General Inputs'!T$9*$G61,IF(AND(($C61+$C$1)&gt;AV$3,AV$3&gt;=$C$1),'General Inputs'!T$9*$F61,0))</f>
        <v>71.028200852006805</v>
      </c>
      <c r="AW61" s="214">
        <f>IF(AND(($D61+$C$1)&gt;AW$3,AW$3&gt;=$C$1),'General Inputs'!U$9*$G61,IF(AND(($C61+$C$1)&gt;AW$3,AW$3&gt;=$C$1),'General Inputs'!U$9*$F61,0))</f>
        <v>72.093623864786906</v>
      </c>
      <c r="AX61" s="214">
        <f>IF(AND(($D61+$C$1)&gt;AX$3,AX$3&gt;=$C$1),'General Inputs'!V$9*$G61,IF(AND(($C61+$C$1)&gt;AX$3,AX$3&gt;=$C$1),'General Inputs'!V$9*$F61,0))</f>
        <v>0</v>
      </c>
      <c r="AY61" s="214">
        <f>IF(AND(($D61+$C$1)&gt;AY$3,AY$3&gt;=$C$1),'General Inputs'!W$9*$G61,IF(AND(($C61+$C$1)&gt;AY$3,AY$3&gt;=$C$1),'General Inputs'!W$9*$F61,0))</f>
        <v>0</v>
      </c>
      <c r="BA61" s="214">
        <f>IF(AND(($D61+$C$1)&gt;AF$3,AF$3&gt;=$C$1),'General Inputs'!D$10*$I61,IF(AND(($C61+$C$1)&gt;AF$3,AF$3&gt;=$C$1),'General Inputs'!D$10*$H61,0))</f>
        <v>3.25528026764851</v>
      </c>
      <c r="BB61" s="214">
        <f>IF(AND(($D61+$C$1)&gt;AG$3,AG$3&gt;=$C$1),'General Inputs'!E$10*$I61,IF(AND(($C61+$C$1)&gt;AG$3,AG$3&gt;=$C$1),'General Inputs'!E$10*$H61,0))</f>
        <v>3.3041094716632373</v>
      </c>
      <c r="BC61" s="214">
        <f>IF(AND(($D61+$C$1)&gt;AH$3,AH$3&gt;=$C$1),'General Inputs'!F$10*$I61,IF(AND(($C61+$C$1)&gt;AH$3,AH$3&gt;=$C$1),'General Inputs'!F$10*$H61,0))</f>
        <v>3.3536711137381854</v>
      </c>
      <c r="BD61" s="214">
        <f>IF(AND(($D61+$C$1)&gt;AI$3,AI$3&gt;=$C$1),'General Inputs'!G$10*$I61,IF(AND(($C61+$C$1)&gt;AI$3,AI$3&gt;=$C$1),'General Inputs'!G$10*$H61,0))</f>
        <v>3.4039761804442583</v>
      </c>
      <c r="BE61" s="214">
        <f>IF(AND(($D61+$C$1)&gt;AJ$3,AJ$3&gt;=$C$1),'General Inputs'!H$10*$I61,IF(AND(($C61+$C$1)&gt;AJ$3,AJ$3&gt;=$C$1),'General Inputs'!H$10*$H61,0))</f>
        <v>3.4550358231509217</v>
      </c>
      <c r="BF61" s="214">
        <f>IF(AND(($D61+$C$1)&gt;AK$3,AK$3&gt;=$C$1),'General Inputs'!I$10*$I61,IF(AND(($C61+$C$1)&gt;AK$3,AK$3&gt;=$C$1),'General Inputs'!I$10*$H61,0))</f>
        <v>3.5068613604981849</v>
      </c>
      <c r="BG61" s="214">
        <f>IF(AND(($D61+$C$1)&gt;AL$3,AL$3&gt;=$C$1),'General Inputs'!J$10*$I61,IF(AND(($C61+$C$1)&gt;AL$3,AL$3&gt;=$C$1),'General Inputs'!J$10*$H61,0))</f>
        <v>3.5594642809056571</v>
      </c>
      <c r="BH61" s="214">
        <f>IF(AND(($D61+$C$1)&gt;AM$3,AM$3&gt;=$C$1),'General Inputs'!K$10*$I61,IF(AND(($C61+$C$1)&gt;AM$3,AM$3&gt;=$C$1),'General Inputs'!K$10*$H61,0))</f>
        <v>3.6128562451192416</v>
      </c>
      <c r="BI61" s="214">
        <f>IF(AND(($D61+$C$1)&gt;AN$3,AN$3&gt;=$C$1),'General Inputs'!L$10*$I61,IF(AND(($C61+$C$1)&gt;AN$3,AN$3&gt;=$C$1),'General Inputs'!L$10*$H61,0))</f>
        <v>3.6670490887960301</v>
      </c>
      <c r="BJ61" s="214">
        <f>IF(AND(($D61+$C$1)&gt;AO$3,AO$3&gt;=$C$1),'General Inputs'!M$10*$I61,IF(AND(($C61+$C$1)&gt;AO$3,AO$3&gt;=$C$1),'General Inputs'!M$10*$H61,0))</f>
        <v>3.7220548251279708</v>
      </c>
      <c r="BK61" s="214">
        <f>IF(AND(($D61+$C$1)&gt;AP$3,AP$3&gt;=$C$1),'General Inputs'!N$10*$I61,IF(AND(($C61+$C$1)&gt;AP$3,AP$3&gt;=$C$1),'General Inputs'!N$10*$H61,0))</f>
        <v>3.7778856475048896</v>
      </c>
      <c r="BL61" s="214">
        <f>IF(AND(($D61+$C$1)&gt;AQ$3,AQ$3&gt;=$C$1),'General Inputs'!O$10*$I61,IF(AND(($C61+$C$1)&gt;AQ$3,AQ$3&gt;=$C$1),'General Inputs'!O$10*$H61,0))</f>
        <v>3.8345539322174624</v>
      </c>
      <c r="BM61" s="214">
        <f>IF(AND(($D61+$C$1)&gt;AR$3,AR$3&gt;=$C$1),'General Inputs'!P$10*$I61,IF(AND(($C61+$C$1)&gt;AR$3,AR$3&gt;=$C$1),'General Inputs'!P$10*$H61,0))</f>
        <v>3.892072241200724</v>
      </c>
      <c r="BN61" s="214">
        <f>IF(AND(($D61+$C$1)&gt;AS$3,AS$3&gt;=$C$1),'General Inputs'!Q$10*$I61,IF(AND(($C61+$C$1)&gt;AS$3,AS$3&gt;=$C$1),'General Inputs'!Q$10*$H61,0))</f>
        <v>3.9504533248187346</v>
      </c>
      <c r="BO61" s="214">
        <f>IF(AND(($D61+$C$1)&gt;AT$3,AT$3&gt;=$C$1),'General Inputs'!R$10*$I61,IF(AND(($C61+$C$1)&gt;AT$3,AT$3&gt;=$C$1),'General Inputs'!R$10*$H61,0))</f>
        <v>4.009710124691015</v>
      </c>
      <c r="BP61" s="214">
        <f>IF(AND(($D61+$C$1)&gt;AU$3,AU$3&gt;=$C$1),'General Inputs'!S$10*$I61,IF(AND(($C61+$C$1)&gt;AU$3,AU$3&gt;=$C$1),'General Inputs'!S$10*$H61,0))</f>
        <v>4.0698557765613801</v>
      </c>
      <c r="BQ61" s="214">
        <f>IF(AND(($D61+$C$1)&gt;AV$3,AV$3&gt;=$C$1),'General Inputs'!T$10*$I61,IF(AND(($C61+$C$1)&gt;AV$3,AV$3&gt;=$C$1),'General Inputs'!T$10*$H61,0))</f>
        <v>4.1309036132098003</v>
      </c>
      <c r="BR61" s="214">
        <f>IF(AND(($D61+$C$1)&gt;AW$3,AW$3&gt;=$C$1),'General Inputs'!U$10*$I61,IF(AND(($C61+$C$1)&gt;AW$3,AW$3&gt;=$C$1),'General Inputs'!U$10*$H61,0))</f>
        <v>4.1928671674079467</v>
      </c>
      <c r="BS61" s="214">
        <f>IF(AND(($D61+$C$1)&gt;AX$3,AX$3&gt;=$C$1),'General Inputs'!V$10*$I61,IF(AND(($C61+$C$1)&gt;AX$3,AX$3&gt;=$C$1),'General Inputs'!V$10*$H61,0))</f>
        <v>0</v>
      </c>
      <c r="BT61" s="214">
        <f>IF(AND(($D61+$C$1)&gt;AY$3,AY$3&gt;=$C$1),'General Inputs'!W$10*$I61,IF(AND(($C61+$C$1)&gt;AY$3,AY$3&gt;=$C$1),'General Inputs'!W$10*$H61,0))</f>
        <v>0</v>
      </c>
    </row>
    <row r="62" spans="1:72">
      <c r="A62" s="342" t="s">
        <v>112</v>
      </c>
      <c r="B62" s="427" t="str">
        <f>Sources!B62</f>
        <v>High Bay Fluorescent Fixture (replace 1000 W HID)</v>
      </c>
      <c r="C62" s="193">
        <f>Sources!C62</f>
        <v>18</v>
      </c>
      <c r="D62" s="193">
        <f>Sources!D62</f>
        <v>0</v>
      </c>
      <c r="F62" s="429">
        <f>Sources!F62*EnergyLineLoss</f>
        <v>2835.0561299999999</v>
      </c>
      <c r="G62" s="429">
        <f>Sources!G62*EnergyLineLoss</f>
        <v>0</v>
      </c>
      <c r="H62" s="477">
        <f>Sources!H62*PeakLineLoss</f>
        <v>0.43838308800000003</v>
      </c>
      <c r="I62" s="477">
        <f>Sources!I62*PeakLineLoss</f>
        <v>0</v>
      </c>
      <c r="K62" s="419">
        <f>Sources!J62</f>
        <v>169</v>
      </c>
      <c r="L62" s="419">
        <f>Sources!K62</f>
        <v>0</v>
      </c>
      <c r="N62" s="438">
        <f t="shared" si="27"/>
        <v>7.4972136291878622</v>
      </c>
      <c r="P62" s="215">
        <f t="shared" si="28"/>
        <v>1197.390499490396</v>
      </c>
      <c r="Q62" s="215">
        <f t="shared" si="29"/>
        <v>69.638603842352779</v>
      </c>
      <c r="R62" s="215">
        <f t="shared" si="30"/>
        <v>169</v>
      </c>
      <c r="T62" s="214">
        <f t="shared" si="32"/>
        <v>169</v>
      </c>
      <c r="U62" s="214">
        <f t="shared" si="32"/>
        <v>0</v>
      </c>
      <c r="V62" s="214">
        <f t="shared" si="31"/>
        <v>0</v>
      </c>
      <c r="W62" s="214">
        <f t="shared" si="31"/>
        <v>0</v>
      </c>
      <c r="X62" s="214">
        <f t="shared" si="31"/>
        <v>0</v>
      </c>
      <c r="Y62" s="214">
        <f t="shared" si="31"/>
        <v>0</v>
      </c>
      <c r="Z62" s="214">
        <f t="shared" si="31"/>
        <v>0</v>
      </c>
      <c r="AA62" s="214">
        <f t="shared" si="31"/>
        <v>0</v>
      </c>
      <c r="AB62" s="214">
        <f t="shared" si="31"/>
        <v>0</v>
      </c>
      <c r="AC62" s="214">
        <f t="shared" si="31"/>
        <v>0</v>
      </c>
      <c r="AD62" s="214">
        <f t="shared" si="31"/>
        <v>0</v>
      </c>
      <c r="AF62" s="214">
        <f>IF(AND(($D62+$C$1)&gt;AF$3,AF$3&gt;=$C$1),'General Inputs'!D$9*$G62,IF(AND(($C62+$C$1)&gt;AF$3,AF$3&gt;=$C$1),'General Inputs'!D$9*$F62,0))</f>
        <v>112.87001795850198</v>
      </c>
      <c r="AG62" s="214">
        <f>IF(AND(($D62+$C$1)&gt;AG$3,AG$3&gt;=$C$1),'General Inputs'!E$9*$G62,IF(AND(($C62+$C$1)&gt;AG$3,AG$3&gt;=$C$1),'General Inputs'!E$9*$F62,0))</f>
        <v>114.56306822787948</v>
      </c>
      <c r="AH62" s="214">
        <f>IF(AND(($D62+$C$1)&gt;AH$3,AH$3&gt;=$C$1),'General Inputs'!F$9*$G62,IF(AND(($C62+$C$1)&gt;AH$3,AH$3&gt;=$C$1),'General Inputs'!F$9*$F62,0))</f>
        <v>116.28151425129766</v>
      </c>
      <c r="AI62" s="214">
        <f>IF(AND(($D62+$C$1)&gt;AI$3,AI$3&gt;=$C$1),'General Inputs'!G$9*$G62,IF(AND(($C62+$C$1)&gt;AI$3,AI$3&gt;=$C$1),'General Inputs'!G$9*$F62,0))</f>
        <v>118.02573696506713</v>
      </c>
      <c r="AJ62" s="214">
        <f>IF(AND(($D62+$C$1)&gt;AJ$3,AJ$3&gt;=$C$1),'General Inputs'!H$9*$G62,IF(AND(($C62+$C$1)&gt;AJ$3,AJ$3&gt;=$C$1),'General Inputs'!H$9*$F62,0))</f>
        <v>119.79612301954312</v>
      </c>
      <c r="AK62" s="214">
        <f>IF(AND(($D62+$C$1)&gt;AK$3,AK$3&gt;=$C$1),'General Inputs'!I$9*$G62,IF(AND(($C62+$C$1)&gt;AK$3,AK$3&gt;=$C$1),'General Inputs'!I$9*$F62,0))</f>
        <v>121.59306486483624</v>
      </c>
      <c r="AL62" s="214">
        <f>IF(AND(($D62+$C$1)&gt;AL$3,AL$3&gt;=$C$1),'General Inputs'!J$9*$G62,IF(AND(($C62+$C$1)&gt;AL$3,AL$3&gt;=$C$1),'General Inputs'!J$9*$F62,0))</f>
        <v>123.41696083780877</v>
      </c>
      <c r="AM62" s="214">
        <f>IF(AND(($D62+$C$1)&gt;AM$3,AM$3&gt;=$C$1),'General Inputs'!K$9*$G62,IF(AND(($C62+$C$1)&gt;AM$3,AM$3&gt;=$C$1),'General Inputs'!K$9*$F62,0))</f>
        <v>125.26821525037587</v>
      </c>
      <c r="AN62" s="214">
        <f>IF(AND(($D62+$C$1)&gt;AN$3,AN$3&gt;=$C$1),'General Inputs'!L$9*$G62,IF(AND(($C62+$C$1)&gt;AN$3,AN$3&gt;=$C$1),'General Inputs'!L$9*$F62,0))</f>
        <v>127.1472384791315</v>
      </c>
      <c r="AO62" s="214">
        <f>IF(AND(($D62+$C$1)&gt;AO$3,AO$3&gt;=$C$1),'General Inputs'!M$9*$G62,IF(AND(($C62+$C$1)&gt;AO$3,AO$3&gt;=$C$1),'General Inputs'!M$9*$F62,0))</f>
        <v>129.05444705631845</v>
      </c>
      <c r="AP62" s="214">
        <f>IF(AND(($D62+$C$1)&gt;AP$3,AP$3&gt;=$C$1),'General Inputs'!N$9*$G62,IF(AND(($C62+$C$1)&gt;AP$3,AP$3&gt;=$C$1),'General Inputs'!N$9*$F62,0))</f>
        <v>130.99026376216324</v>
      </c>
      <c r="AQ62" s="214">
        <f>IF(AND(($D62+$C$1)&gt;AQ$3,AQ$3&gt;=$C$1),'General Inputs'!O$9*$G62,IF(AND(($C62+$C$1)&gt;AQ$3,AQ$3&gt;=$C$1),'General Inputs'!O$9*$F62,0))</f>
        <v>132.95511771859566</v>
      </c>
      <c r="AR62" s="214">
        <f>IF(AND(($D62+$C$1)&gt;AR$3,AR$3&gt;=$C$1),'General Inputs'!P$9*$G62,IF(AND(($C62+$C$1)&gt;AR$3,AR$3&gt;=$C$1),'General Inputs'!P$9*$F62,0))</f>
        <v>134.94944448437457</v>
      </c>
      <c r="AS62" s="214">
        <f>IF(AND(($D62+$C$1)&gt;AS$3,AS$3&gt;=$C$1),'General Inputs'!Q$9*$G62,IF(AND(($C62+$C$1)&gt;AS$3,AS$3&gt;=$C$1),'General Inputs'!Q$9*$F62,0))</f>
        <v>136.97368615164018</v>
      </c>
      <c r="AT62" s="214">
        <f>IF(AND(($D62+$C$1)&gt;AT$3,AT$3&gt;=$C$1),'General Inputs'!R$9*$G62,IF(AND(($C62+$C$1)&gt;AT$3,AT$3&gt;=$C$1),'General Inputs'!R$9*$F62,0))</f>
        <v>139.02829144391478</v>
      </c>
      <c r="AU62" s="214">
        <f>IF(AND(($D62+$C$1)&gt;AU$3,AU$3&gt;=$C$1),'General Inputs'!S$9*$G62,IF(AND(($C62+$C$1)&gt;AU$3,AU$3&gt;=$C$1),'General Inputs'!S$9*$F62,0))</f>
        <v>141.1137158155735</v>
      </c>
      <c r="AV62" s="214">
        <f>IF(AND(($D62+$C$1)&gt;AV$3,AV$3&gt;=$C$1),'General Inputs'!T$9*$G62,IF(AND(($C62+$C$1)&gt;AV$3,AV$3&gt;=$C$1),'General Inputs'!T$9*$F62,0))</f>
        <v>143.23042155280709</v>
      </c>
      <c r="AW62" s="214">
        <f>IF(AND(($D62+$C$1)&gt;AW$3,AW$3&gt;=$C$1),'General Inputs'!U$9*$G62,IF(AND(($C62+$C$1)&gt;AW$3,AW$3&gt;=$C$1),'General Inputs'!U$9*$F62,0))</f>
        <v>145.37887787609918</v>
      </c>
      <c r="AX62" s="214">
        <f>IF(AND(($D62+$C$1)&gt;AX$3,AX$3&gt;=$C$1),'General Inputs'!V$9*$G62,IF(AND(($C62+$C$1)&gt;AX$3,AX$3&gt;=$C$1),'General Inputs'!V$9*$F62,0))</f>
        <v>0</v>
      </c>
      <c r="AY62" s="214">
        <f>IF(AND(($D62+$C$1)&gt;AY$3,AY$3&gt;=$C$1),'General Inputs'!W$9*$G62,IF(AND(($C62+$C$1)&gt;AY$3,AY$3&gt;=$C$1),'General Inputs'!W$9*$F62,0))</f>
        <v>0</v>
      </c>
      <c r="BA62" s="214">
        <f>IF(AND(($D62+$C$1)&gt;AF$3,AF$3&gt;=$C$1),'General Inputs'!D$10*$I62,IF(AND(($C62+$C$1)&gt;AF$3,AF$3&gt;=$C$1),'General Inputs'!D$10*$H62,0))</f>
        <v>6.5643668207126984</v>
      </c>
      <c r="BB62" s="214">
        <f>IF(AND(($D62+$C$1)&gt;AG$3,AG$3&gt;=$C$1),'General Inputs'!E$10*$I62,IF(AND(($C62+$C$1)&gt;AG$3,AG$3&gt;=$C$1),'General Inputs'!E$10*$H62,0))</f>
        <v>6.6628323230233875</v>
      </c>
      <c r="BC62" s="214">
        <f>IF(AND(($D62+$C$1)&gt;AH$3,AH$3&gt;=$C$1),'General Inputs'!F$10*$I62,IF(AND(($C62+$C$1)&gt;AH$3,AH$3&gt;=$C$1),'General Inputs'!F$10*$H62,0))</f>
        <v>6.7627748078687384</v>
      </c>
      <c r="BD62" s="214">
        <f>IF(AND(($D62+$C$1)&gt;AI$3,AI$3&gt;=$C$1),'General Inputs'!G$10*$I62,IF(AND(($C62+$C$1)&gt;AI$3,AI$3&gt;=$C$1),'General Inputs'!G$10*$H62,0))</f>
        <v>6.8642164299867687</v>
      </c>
      <c r="BE62" s="214">
        <f>IF(AND(($D62+$C$1)&gt;AJ$3,AJ$3&gt;=$C$1),'General Inputs'!H$10*$I62,IF(AND(($C62+$C$1)&gt;AJ$3,AJ$3&gt;=$C$1),'General Inputs'!H$10*$H62,0))</f>
        <v>6.9671796764365697</v>
      </c>
      <c r="BF62" s="214">
        <f>IF(AND(($D62+$C$1)&gt;AK$3,AK$3&gt;=$C$1),'General Inputs'!I$10*$I62,IF(AND(($C62+$C$1)&gt;AK$3,AK$3&gt;=$C$1),'General Inputs'!I$10*$H62,0))</f>
        <v>7.071687371583117</v>
      </c>
      <c r="BG62" s="214">
        <f>IF(AND(($D62+$C$1)&gt;AL$3,AL$3&gt;=$C$1),'General Inputs'!J$10*$I62,IF(AND(($C62+$C$1)&gt;AL$3,AL$3&gt;=$C$1),'General Inputs'!J$10*$H62,0))</f>
        <v>7.177762682156863</v>
      </c>
      <c r="BH62" s="214">
        <f>IF(AND(($D62+$C$1)&gt;AM$3,AM$3&gt;=$C$1),'General Inputs'!K$10*$I62,IF(AND(($C62+$C$1)&gt;AM$3,AM$3&gt;=$C$1),'General Inputs'!K$10*$H62,0))</f>
        <v>7.2854291223892149</v>
      </c>
      <c r="BI62" s="214">
        <f>IF(AND(($D62+$C$1)&gt;AN$3,AN$3&gt;=$C$1),'General Inputs'!L$10*$I62,IF(AND(($C62+$C$1)&gt;AN$3,AN$3&gt;=$C$1),'General Inputs'!L$10*$H62,0))</f>
        <v>7.3947105592250528</v>
      </c>
      <c r="BJ62" s="214">
        <f>IF(AND(($D62+$C$1)&gt;AO$3,AO$3&gt;=$C$1),'General Inputs'!M$10*$I62,IF(AND(($C62+$C$1)&gt;AO$3,AO$3&gt;=$C$1),'General Inputs'!M$10*$H62,0))</f>
        <v>7.5056312176134288</v>
      </c>
      <c r="BK62" s="214">
        <f>IF(AND(($D62+$C$1)&gt;AP$3,AP$3&gt;=$C$1),'General Inputs'!N$10*$I62,IF(AND(($C62+$C$1)&gt;AP$3,AP$3&gt;=$C$1),'General Inputs'!N$10*$H62,0))</f>
        <v>7.6182156858776287</v>
      </c>
      <c r="BL62" s="214">
        <f>IF(AND(($D62+$C$1)&gt;AQ$3,AQ$3&gt;=$C$1),'General Inputs'!O$10*$I62,IF(AND(($C62+$C$1)&gt;AQ$3,AQ$3&gt;=$C$1),'General Inputs'!O$10*$H62,0))</f>
        <v>7.7324889211657926</v>
      </c>
      <c r="BM62" s="214">
        <f>IF(AND(($D62+$C$1)&gt;AR$3,AR$3&gt;=$C$1),'General Inputs'!P$10*$I62,IF(AND(($C62+$C$1)&gt;AR$3,AR$3&gt;=$C$1),'General Inputs'!P$10*$H62,0))</f>
        <v>7.8484762549832787</v>
      </c>
      <c r="BN62" s="214">
        <f>IF(AND(($D62+$C$1)&gt;AS$3,AS$3&gt;=$C$1),'General Inputs'!Q$10*$I62,IF(AND(($C62+$C$1)&gt;AS$3,AS$3&gt;=$C$1),'General Inputs'!Q$10*$H62,0))</f>
        <v>7.9662033988080276</v>
      </c>
      <c r="BO62" s="214">
        <f>IF(AND(($D62+$C$1)&gt;AT$3,AT$3&gt;=$C$1),'General Inputs'!R$10*$I62,IF(AND(($C62+$C$1)&gt;AT$3,AT$3&gt;=$C$1),'General Inputs'!R$10*$H62,0))</f>
        <v>8.0856964497901469</v>
      </c>
      <c r="BP62" s="214">
        <f>IF(AND(($D62+$C$1)&gt;AU$3,AU$3&gt;=$C$1),'General Inputs'!S$10*$I62,IF(AND(($C62+$C$1)&gt;AU$3,AU$3&gt;=$C$1),'General Inputs'!S$10*$H62,0))</f>
        <v>8.2069818965369983</v>
      </c>
      <c r="BQ62" s="214">
        <f>IF(AND(($D62+$C$1)&gt;AV$3,AV$3&gt;=$C$1),'General Inputs'!T$10*$I62,IF(AND(($C62+$C$1)&gt;AV$3,AV$3&gt;=$C$1),'General Inputs'!T$10*$H62,0))</f>
        <v>8.3300866249850518</v>
      </c>
      <c r="BR62" s="214">
        <f>IF(AND(($D62+$C$1)&gt;AW$3,AW$3&gt;=$C$1),'General Inputs'!U$10*$I62,IF(AND(($C62+$C$1)&gt;AW$3,AW$3&gt;=$C$1),'General Inputs'!U$10*$H62,0))</f>
        <v>8.4550379243598268</v>
      </c>
      <c r="BS62" s="214">
        <f>IF(AND(($D62+$C$1)&gt;AX$3,AX$3&gt;=$C$1),'General Inputs'!V$10*$I62,IF(AND(($C62+$C$1)&gt;AX$3,AX$3&gt;=$C$1),'General Inputs'!V$10*$H62,0))</f>
        <v>0</v>
      </c>
      <c r="BT62" s="214">
        <f>IF(AND(($D62+$C$1)&gt;AY$3,AY$3&gt;=$C$1),'General Inputs'!W$10*$I62,IF(AND(($C62+$C$1)&gt;AY$3,AY$3&gt;=$C$1),'General Inputs'!W$10*$H62,0))</f>
        <v>0</v>
      </c>
    </row>
    <row r="63" spans="1:72">
      <c r="A63" s="342" t="s">
        <v>112</v>
      </c>
      <c r="B63" s="427" t="str">
        <f>Sources!B63</f>
        <v>Pin-Based CFL ≤18W</v>
      </c>
      <c r="C63" s="193">
        <f>Sources!C63</f>
        <v>10</v>
      </c>
      <c r="D63" s="193">
        <f>Sources!D63</f>
        <v>0</v>
      </c>
      <c r="F63" s="429">
        <f>Sources!F63*EnergyLineLoss</f>
        <v>366.00109874999993</v>
      </c>
      <c r="G63" s="429">
        <f>Sources!G63*EnergyLineLoss</f>
        <v>0</v>
      </c>
      <c r="H63" s="477">
        <f>Sources!H63*PeakLineLoss</f>
        <v>5.6594537999999993E-2</v>
      </c>
      <c r="I63" s="477">
        <f>Sources!I63*PeakLineLoss</f>
        <v>0</v>
      </c>
      <c r="K63" s="419">
        <f>Sources!J63</f>
        <v>20</v>
      </c>
      <c r="L63" s="419">
        <f>Sources!K63</f>
        <v>0</v>
      </c>
      <c r="N63" s="438">
        <f t="shared" si="27"/>
        <v>5.7446881994394214</v>
      </c>
      <c r="P63" s="215">
        <f t="shared" si="28"/>
        <v>108.57895930646002</v>
      </c>
      <c r="Q63" s="215">
        <f t="shared" si="29"/>
        <v>6.3148046823284139</v>
      </c>
      <c r="R63" s="215">
        <f t="shared" si="30"/>
        <v>20</v>
      </c>
      <c r="T63" s="214">
        <f t="shared" si="32"/>
        <v>20</v>
      </c>
      <c r="U63" s="214">
        <f t="shared" si="32"/>
        <v>0</v>
      </c>
      <c r="V63" s="214">
        <f t="shared" si="31"/>
        <v>0</v>
      </c>
      <c r="W63" s="214">
        <f t="shared" si="31"/>
        <v>0</v>
      </c>
      <c r="X63" s="214">
        <f t="shared" si="31"/>
        <v>0</v>
      </c>
      <c r="Y63" s="214">
        <f t="shared" si="31"/>
        <v>0</v>
      </c>
      <c r="Z63" s="214">
        <f t="shared" si="31"/>
        <v>0</v>
      </c>
      <c r="AA63" s="214">
        <f t="shared" si="31"/>
        <v>0</v>
      </c>
      <c r="AB63" s="214">
        <f t="shared" si="31"/>
        <v>0</v>
      </c>
      <c r="AC63" s="214">
        <f t="shared" si="31"/>
        <v>0</v>
      </c>
      <c r="AD63" s="214">
        <f t="shared" si="31"/>
        <v>0</v>
      </c>
      <c r="AF63" s="214">
        <f>IF(AND(($D63+$C$1)&gt;AF$3,AF$3&gt;=$C$1),'General Inputs'!D$9*$G63,IF(AND(($C63+$C$1)&gt;AF$3,AF$3&gt;=$C$1),'General Inputs'!D$9*$F63,0))</f>
        <v>14.571334285626277</v>
      </c>
      <c r="AG63" s="214">
        <f>IF(AND(($D63+$C$1)&gt;AG$3,AG$3&gt;=$C$1),'General Inputs'!E$9*$G63,IF(AND(($C63+$C$1)&gt;AG$3,AG$3&gt;=$C$1),'General Inputs'!E$9*$F63,0))</f>
        <v>14.789904299910669</v>
      </c>
      <c r="AH63" s="214">
        <f>IF(AND(($D63+$C$1)&gt;AH$3,AH$3&gt;=$C$1),'General Inputs'!F$9*$G63,IF(AND(($C63+$C$1)&gt;AH$3,AH$3&gt;=$C$1),'General Inputs'!F$9*$F63,0))</f>
        <v>15.011752864409328</v>
      </c>
      <c r="AI63" s="214">
        <f>IF(AND(($D63+$C$1)&gt;AI$3,AI$3&gt;=$C$1),'General Inputs'!G$9*$G63,IF(AND(($C63+$C$1)&gt;AI$3,AI$3&gt;=$C$1),'General Inputs'!G$9*$F63,0))</f>
        <v>15.236929157375465</v>
      </c>
      <c r="AJ63" s="214">
        <f>IF(AND(($D63+$C$1)&gt;AJ$3,AJ$3&gt;=$C$1),'General Inputs'!H$9*$G63,IF(AND(($C63+$C$1)&gt;AJ$3,AJ$3&gt;=$C$1),'General Inputs'!H$9*$F63,0))</f>
        <v>15.465483094736095</v>
      </c>
      <c r="AK63" s="214">
        <f>IF(AND(($D63+$C$1)&gt;AK$3,AK$3&gt;=$C$1),'General Inputs'!I$9*$G63,IF(AND(($C63+$C$1)&gt;AK$3,AK$3&gt;=$C$1),'General Inputs'!I$9*$F63,0))</f>
        <v>15.697465341157134</v>
      </c>
      <c r="AL63" s="214">
        <f>IF(AND(($D63+$C$1)&gt;AL$3,AL$3&gt;=$C$1),'General Inputs'!J$9*$G63,IF(AND(($C63+$C$1)&gt;AL$3,AL$3&gt;=$C$1),'General Inputs'!J$9*$F63,0))</f>
        <v>15.932927321274489</v>
      </c>
      <c r="AM63" s="214">
        <f>IF(AND(($D63+$C$1)&gt;AM$3,AM$3&gt;=$C$1),'General Inputs'!K$9*$G63,IF(AND(($C63+$C$1)&gt;AM$3,AM$3&gt;=$C$1),'General Inputs'!K$9*$F63,0))</f>
        <v>16.171921231093606</v>
      </c>
      <c r="AN63" s="214">
        <f>IF(AND(($D63+$C$1)&gt;AN$3,AN$3&gt;=$C$1),'General Inputs'!L$9*$G63,IF(AND(($C63+$C$1)&gt;AN$3,AN$3&gt;=$C$1),'General Inputs'!L$9*$F63,0))</f>
        <v>16.414500049560008</v>
      </c>
      <c r="AO63" s="214">
        <f>IF(AND(($D63+$C$1)&gt;AO$3,AO$3&gt;=$C$1),'General Inputs'!M$9*$G63,IF(AND(($C63+$C$1)&gt;AO$3,AO$3&gt;=$C$1),'General Inputs'!M$9*$F63,0))</f>
        <v>16.660717550303403</v>
      </c>
      <c r="AP63" s="214">
        <f>IF(AND(($D63+$C$1)&gt;AP$3,AP$3&gt;=$C$1),'General Inputs'!N$9*$G63,IF(AND(($C63+$C$1)&gt;AP$3,AP$3&gt;=$C$1),'General Inputs'!N$9*$F63,0))</f>
        <v>0</v>
      </c>
      <c r="AQ63" s="214">
        <f>IF(AND(($D63+$C$1)&gt;AQ$3,AQ$3&gt;=$C$1),'General Inputs'!O$9*$G63,IF(AND(($C63+$C$1)&gt;AQ$3,AQ$3&gt;=$C$1),'General Inputs'!O$9*$F63,0))</f>
        <v>0</v>
      </c>
      <c r="AR63" s="214">
        <f>IF(AND(($D63+$C$1)&gt;AR$3,AR$3&gt;=$C$1),'General Inputs'!P$9*$G63,IF(AND(($C63+$C$1)&gt;AR$3,AR$3&gt;=$C$1),'General Inputs'!P$9*$F63,0))</f>
        <v>0</v>
      </c>
      <c r="AS63" s="214">
        <f>IF(AND(($D63+$C$1)&gt;AS$3,AS$3&gt;=$C$1),'General Inputs'!Q$9*$G63,IF(AND(($C63+$C$1)&gt;AS$3,AS$3&gt;=$C$1),'General Inputs'!Q$9*$F63,0))</f>
        <v>0</v>
      </c>
      <c r="AT63" s="214">
        <f>IF(AND(($D63+$C$1)&gt;AT$3,AT$3&gt;=$C$1),'General Inputs'!R$9*$G63,IF(AND(($C63+$C$1)&gt;AT$3,AT$3&gt;=$C$1),'General Inputs'!R$9*$F63,0))</f>
        <v>0</v>
      </c>
      <c r="AU63" s="214">
        <f>IF(AND(($D63+$C$1)&gt;AU$3,AU$3&gt;=$C$1),'General Inputs'!S$9*$G63,IF(AND(($C63+$C$1)&gt;AU$3,AU$3&gt;=$C$1),'General Inputs'!S$9*$F63,0))</f>
        <v>0</v>
      </c>
      <c r="AV63" s="214">
        <f>IF(AND(($D63+$C$1)&gt;AV$3,AV$3&gt;=$C$1),'General Inputs'!T$9*$G63,IF(AND(($C63+$C$1)&gt;AV$3,AV$3&gt;=$C$1),'General Inputs'!T$9*$F63,0))</f>
        <v>0</v>
      </c>
      <c r="AW63" s="214">
        <f>IF(AND(($D63+$C$1)&gt;AW$3,AW$3&gt;=$C$1),'General Inputs'!U$9*$G63,IF(AND(($C63+$C$1)&gt;AW$3,AW$3&gt;=$C$1),'General Inputs'!U$9*$F63,0))</f>
        <v>0</v>
      </c>
      <c r="AX63" s="214">
        <f>IF(AND(($D63+$C$1)&gt;AX$3,AX$3&gt;=$C$1),'General Inputs'!V$9*$G63,IF(AND(($C63+$C$1)&gt;AX$3,AX$3&gt;=$C$1),'General Inputs'!V$9*$F63,0))</f>
        <v>0</v>
      </c>
      <c r="AY63" s="214">
        <f>IF(AND(($D63+$C$1)&gt;AY$3,AY$3&gt;=$C$1),'General Inputs'!W$9*$G63,IF(AND(($C63+$C$1)&gt;AY$3,AY$3&gt;=$C$1),'General Inputs'!W$9*$F63,0))</f>
        <v>0</v>
      </c>
      <c r="BA63" s="214">
        <f>IF(AND(($D63+$C$1)&gt;AF$3,AF$3&gt;=$C$1),'General Inputs'!D$10*$I63,IF(AND(($C63+$C$1)&gt;AF$3,AF$3&gt;=$C$1),'General Inputs'!D$10*$H63,0))</f>
        <v>0.84744899529692597</v>
      </c>
      <c r="BB63" s="214">
        <f>IF(AND(($D63+$C$1)&gt;AG$3,AG$3&gt;=$C$1),'General Inputs'!E$10*$I63,IF(AND(($C63+$C$1)&gt;AG$3,AG$3&gt;=$C$1),'General Inputs'!E$10*$H63,0))</f>
        <v>0.86016073022637984</v>
      </c>
      <c r="BC63" s="214">
        <f>IF(AND(($D63+$C$1)&gt;AH$3,AH$3&gt;=$C$1),'General Inputs'!F$10*$I63,IF(AND(($C63+$C$1)&gt;AH$3,AH$3&gt;=$C$1),'General Inputs'!F$10*$H63,0))</f>
        <v>0.87306314117977546</v>
      </c>
      <c r="BD63" s="214">
        <f>IF(AND(($D63+$C$1)&gt;AI$3,AI$3&gt;=$C$1),'General Inputs'!G$10*$I63,IF(AND(($C63+$C$1)&gt;AI$3,AI$3&gt;=$C$1),'General Inputs'!G$10*$H63,0))</f>
        <v>0.88615908829747203</v>
      </c>
      <c r="BE63" s="214">
        <f>IF(AND(($D63+$C$1)&gt;AJ$3,AJ$3&gt;=$C$1),'General Inputs'!H$10*$I63,IF(AND(($C63+$C$1)&gt;AJ$3,AJ$3&gt;=$C$1),'General Inputs'!H$10*$H63,0))</f>
        <v>0.89945147462193398</v>
      </c>
      <c r="BF63" s="214">
        <f>IF(AND(($D63+$C$1)&gt;AK$3,AK$3&gt;=$C$1),'General Inputs'!I$10*$I63,IF(AND(($C63+$C$1)&gt;AK$3,AK$3&gt;=$C$1),'General Inputs'!I$10*$H63,0))</f>
        <v>0.91294324674126281</v>
      </c>
      <c r="BG63" s="214">
        <f>IF(AND(($D63+$C$1)&gt;AL$3,AL$3&gt;=$C$1),'General Inputs'!J$10*$I63,IF(AND(($C63+$C$1)&gt;AL$3,AL$3&gt;=$C$1),'General Inputs'!J$10*$H63,0))</f>
        <v>0.92663739544238166</v>
      </c>
      <c r="BH63" s="214">
        <f>IF(AND(($D63+$C$1)&gt;AM$3,AM$3&gt;=$C$1),'General Inputs'!K$10*$I63,IF(AND(($C63+$C$1)&gt;AM$3,AM$3&gt;=$C$1),'General Inputs'!K$10*$H63,0))</f>
        <v>0.94053695637401735</v>
      </c>
      <c r="BI63" s="214">
        <f>IF(AND(($D63+$C$1)&gt;AN$3,AN$3&gt;=$C$1),'General Inputs'!L$10*$I63,IF(AND(($C63+$C$1)&gt;AN$3,AN$3&gt;=$C$1),'General Inputs'!L$10*$H63,0))</f>
        <v>0.9546450107196276</v>
      </c>
      <c r="BJ63" s="214">
        <f>IF(AND(($D63+$C$1)&gt;AO$3,AO$3&gt;=$C$1),'General Inputs'!M$10*$I63,IF(AND(($C63+$C$1)&gt;AO$3,AO$3&gt;=$C$1),'General Inputs'!M$10*$H63,0))</f>
        <v>0.96896468588042195</v>
      </c>
      <c r="BK63" s="214">
        <f>IF(AND(($D63+$C$1)&gt;AP$3,AP$3&gt;=$C$1),'General Inputs'!N$10*$I63,IF(AND(($C63+$C$1)&gt;AP$3,AP$3&gt;=$C$1),'General Inputs'!N$10*$H63,0))</f>
        <v>0</v>
      </c>
      <c r="BL63" s="214">
        <f>IF(AND(($D63+$C$1)&gt;AQ$3,AQ$3&gt;=$C$1),'General Inputs'!O$10*$I63,IF(AND(($C63+$C$1)&gt;AQ$3,AQ$3&gt;=$C$1),'General Inputs'!O$10*$H63,0))</f>
        <v>0</v>
      </c>
      <c r="BM63" s="214">
        <f>IF(AND(($D63+$C$1)&gt;AR$3,AR$3&gt;=$C$1),'General Inputs'!P$10*$I63,IF(AND(($C63+$C$1)&gt;AR$3,AR$3&gt;=$C$1),'General Inputs'!P$10*$H63,0))</f>
        <v>0</v>
      </c>
      <c r="BN63" s="214">
        <f>IF(AND(($D63+$C$1)&gt;AS$3,AS$3&gt;=$C$1),'General Inputs'!Q$10*$I63,IF(AND(($C63+$C$1)&gt;AS$3,AS$3&gt;=$C$1),'General Inputs'!Q$10*$H63,0))</f>
        <v>0</v>
      </c>
      <c r="BO63" s="214">
        <f>IF(AND(($D63+$C$1)&gt;AT$3,AT$3&gt;=$C$1),'General Inputs'!R$10*$I63,IF(AND(($C63+$C$1)&gt;AT$3,AT$3&gt;=$C$1),'General Inputs'!R$10*$H63,0))</f>
        <v>0</v>
      </c>
      <c r="BP63" s="214">
        <f>IF(AND(($D63+$C$1)&gt;AU$3,AU$3&gt;=$C$1),'General Inputs'!S$10*$I63,IF(AND(($C63+$C$1)&gt;AU$3,AU$3&gt;=$C$1),'General Inputs'!S$10*$H63,0))</f>
        <v>0</v>
      </c>
      <c r="BQ63" s="214">
        <f>IF(AND(($D63+$C$1)&gt;AV$3,AV$3&gt;=$C$1),'General Inputs'!T$10*$I63,IF(AND(($C63+$C$1)&gt;AV$3,AV$3&gt;=$C$1),'General Inputs'!T$10*$H63,0))</f>
        <v>0</v>
      </c>
      <c r="BR63" s="214">
        <f>IF(AND(($D63+$C$1)&gt;AW$3,AW$3&gt;=$C$1),'General Inputs'!U$10*$I63,IF(AND(($C63+$C$1)&gt;AW$3,AW$3&gt;=$C$1),'General Inputs'!U$10*$H63,0))</f>
        <v>0</v>
      </c>
      <c r="BS63" s="214">
        <f>IF(AND(($D63+$C$1)&gt;AX$3,AX$3&gt;=$C$1),'General Inputs'!V$10*$I63,IF(AND(($C63+$C$1)&gt;AX$3,AX$3&gt;=$C$1),'General Inputs'!V$10*$H63,0))</f>
        <v>0</v>
      </c>
      <c r="BT63" s="214">
        <f>IF(AND(($D63+$C$1)&gt;AY$3,AY$3&gt;=$C$1),'General Inputs'!W$10*$I63,IF(AND(($C63+$C$1)&gt;AY$3,AY$3&gt;=$C$1),'General Inputs'!W$10*$H63,0))</f>
        <v>0</v>
      </c>
    </row>
    <row r="64" spans="1:72">
      <c r="A64" s="342" t="s">
        <v>112</v>
      </c>
      <c r="B64" s="427" t="str">
        <f>Sources!B64</f>
        <v>Pin-Based CFL 19W or 32W</v>
      </c>
      <c r="C64" s="193">
        <f>Sources!C64</f>
        <v>10</v>
      </c>
      <c r="D64" s="193">
        <f>Sources!D64</f>
        <v>0</v>
      </c>
      <c r="F64" s="429">
        <f>Sources!F64*EnergyLineLoss</f>
        <v>639.04953750000004</v>
      </c>
      <c r="G64" s="429">
        <f>Sources!G64*EnergyLineLoss</f>
        <v>0</v>
      </c>
      <c r="H64" s="477">
        <f>Sources!H64*PeakLineLoss</f>
        <v>9.8815860000000005E-2</v>
      </c>
      <c r="I64" s="477">
        <f>Sources!I64*PeakLineLoss</f>
        <v>0</v>
      </c>
      <c r="K64" s="419">
        <f>Sources!J64</f>
        <v>40</v>
      </c>
      <c r="L64" s="419">
        <f>Sources!K64</f>
        <v>0</v>
      </c>
      <c r="N64" s="438">
        <f t="shared" si="27"/>
        <v>5.0152039836375897</v>
      </c>
      <c r="P64" s="215">
        <f t="shared" si="28"/>
        <v>189.58230990016827</v>
      </c>
      <c r="Q64" s="215">
        <f t="shared" si="29"/>
        <v>11.025849445335329</v>
      </c>
      <c r="R64" s="215">
        <f t="shared" si="30"/>
        <v>40</v>
      </c>
      <c r="T64" s="214">
        <f t="shared" si="32"/>
        <v>40</v>
      </c>
      <c r="U64" s="214">
        <f t="shared" si="32"/>
        <v>0</v>
      </c>
      <c r="V64" s="214">
        <f t="shared" si="31"/>
        <v>0</v>
      </c>
      <c r="W64" s="214">
        <f t="shared" si="31"/>
        <v>0</v>
      </c>
      <c r="X64" s="214">
        <f t="shared" si="31"/>
        <v>0</v>
      </c>
      <c r="Y64" s="214">
        <f t="shared" si="31"/>
        <v>0</v>
      </c>
      <c r="Z64" s="214">
        <f t="shared" si="31"/>
        <v>0</v>
      </c>
      <c r="AA64" s="214">
        <f t="shared" si="31"/>
        <v>0</v>
      </c>
      <c r="AB64" s="214">
        <f t="shared" si="31"/>
        <v>0</v>
      </c>
      <c r="AC64" s="214">
        <f t="shared" si="31"/>
        <v>0</v>
      </c>
      <c r="AD64" s="214">
        <f t="shared" si="31"/>
        <v>0</v>
      </c>
      <c r="AF64" s="214">
        <f>IF(AND(($D64+$C$1)&gt;AF$3,AF$3&gt;=$C$1),'General Inputs'!D$9*$G64,IF(AND(($C64+$C$1)&gt;AF$3,AF$3&gt;=$C$1),'General Inputs'!D$9*$F64,0))</f>
        <v>25.442012244744298</v>
      </c>
      <c r="AG64" s="214">
        <f>IF(AND(($D64+$C$1)&gt;AG$3,AG$3&gt;=$C$1),'General Inputs'!E$9*$G64,IF(AND(($C64+$C$1)&gt;AG$3,AG$3&gt;=$C$1),'General Inputs'!E$9*$F64,0))</f>
        <v>25.823642428415461</v>
      </c>
      <c r="AH64" s="214">
        <f>IF(AND(($D64+$C$1)&gt;AH$3,AH$3&gt;=$C$1),'General Inputs'!F$9*$G64,IF(AND(($C64+$C$1)&gt;AH$3,AH$3&gt;=$C$1),'General Inputs'!F$9*$F64,0))</f>
        <v>26.210997064841688</v>
      </c>
      <c r="AI64" s="214">
        <f>IF(AND(($D64+$C$1)&gt;AI$3,AI$3&gt;=$C$1),'General Inputs'!G$9*$G64,IF(AND(($C64+$C$1)&gt;AI$3,AI$3&gt;=$C$1),'General Inputs'!G$9*$F64,0))</f>
        <v>26.604162020814311</v>
      </c>
      <c r="AJ64" s="214">
        <f>IF(AND(($D64+$C$1)&gt;AJ$3,AJ$3&gt;=$C$1),'General Inputs'!H$9*$G64,IF(AND(($C64+$C$1)&gt;AJ$3,AJ$3&gt;=$C$1),'General Inputs'!H$9*$F64,0))</f>
        <v>27.003224451126524</v>
      </c>
      <c r="AK64" s="214">
        <f>IF(AND(($D64+$C$1)&gt;AK$3,AK$3&gt;=$C$1),'General Inputs'!I$9*$G64,IF(AND(($C64+$C$1)&gt;AK$3,AK$3&gt;=$C$1),'General Inputs'!I$9*$F64,0))</f>
        <v>27.408272817893415</v>
      </c>
      <c r="AL64" s="214">
        <f>IF(AND(($D64+$C$1)&gt;AL$3,AL$3&gt;=$C$1),'General Inputs'!J$9*$G64,IF(AND(($C64+$C$1)&gt;AL$3,AL$3&gt;=$C$1),'General Inputs'!J$9*$F64,0))</f>
        <v>27.819396910161814</v>
      </c>
      <c r="AM64" s="214">
        <f>IF(AND(($D64+$C$1)&gt;AM$3,AM$3&gt;=$C$1),'General Inputs'!K$9*$G64,IF(AND(($C64+$C$1)&gt;AM$3,AM$3&gt;=$C$1),'General Inputs'!K$9*$F64,0))</f>
        <v>28.236687863814236</v>
      </c>
      <c r="AN64" s="214">
        <f>IF(AND(($D64+$C$1)&gt;AN$3,AN$3&gt;=$C$1),'General Inputs'!L$9*$G64,IF(AND(($C64+$C$1)&gt;AN$3,AN$3&gt;=$C$1),'General Inputs'!L$9*$F64,0))</f>
        <v>28.660238181771447</v>
      </c>
      <c r="AO64" s="214">
        <f>IF(AND(($D64+$C$1)&gt;AO$3,AO$3&gt;=$C$1),'General Inputs'!M$9*$G64,IF(AND(($C64+$C$1)&gt;AO$3,AO$3&gt;=$C$1),'General Inputs'!M$9*$F64,0))</f>
        <v>29.090141754498017</v>
      </c>
      <c r="AP64" s="214">
        <f>IF(AND(($D64+$C$1)&gt;AP$3,AP$3&gt;=$C$1),'General Inputs'!N$9*$G64,IF(AND(($C64+$C$1)&gt;AP$3,AP$3&gt;=$C$1),'General Inputs'!N$9*$F64,0))</f>
        <v>0</v>
      </c>
      <c r="AQ64" s="214">
        <f>IF(AND(($D64+$C$1)&gt;AQ$3,AQ$3&gt;=$C$1),'General Inputs'!O$9*$G64,IF(AND(($C64+$C$1)&gt;AQ$3,AQ$3&gt;=$C$1),'General Inputs'!O$9*$F64,0))</f>
        <v>0</v>
      </c>
      <c r="AR64" s="214">
        <f>IF(AND(($D64+$C$1)&gt;AR$3,AR$3&gt;=$C$1),'General Inputs'!P$9*$G64,IF(AND(($C64+$C$1)&gt;AR$3,AR$3&gt;=$C$1),'General Inputs'!P$9*$F64,0))</f>
        <v>0</v>
      </c>
      <c r="AS64" s="214">
        <f>IF(AND(($D64+$C$1)&gt;AS$3,AS$3&gt;=$C$1),'General Inputs'!Q$9*$G64,IF(AND(($C64+$C$1)&gt;AS$3,AS$3&gt;=$C$1),'General Inputs'!Q$9*$F64,0))</f>
        <v>0</v>
      </c>
      <c r="AT64" s="214">
        <f>IF(AND(($D64+$C$1)&gt;AT$3,AT$3&gt;=$C$1),'General Inputs'!R$9*$G64,IF(AND(($C64+$C$1)&gt;AT$3,AT$3&gt;=$C$1),'General Inputs'!R$9*$F64,0))</f>
        <v>0</v>
      </c>
      <c r="AU64" s="214">
        <f>IF(AND(($D64+$C$1)&gt;AU$3,AU$3&gt;=$C$1),'General Inputs'!S$9*$G64,IF(AND(($C64+$C$1)&gt;AU$3,AU$3&gt;=$C$1),'General Inputs'!S$9*$F64,0))</f>
        <v>0</v>
      </c>
      <c r="AV64" s="214">
        <f>IF(AND(($D64+$C$1)&gt;AV$3,AV$3&gt;=$C$1),'General Inputs'!T$9*$G64,IF(AND(($C64+$C$1)&gt;AV$3,AV$3&gt;=$C$1),'General Inputs'!T$9*$F64,0))</f>
        <v>0</v>
      </c>
      <c r="AW64" s="214">
        <f>IF(AND(($D64+$C$1)&gt;AW$3,AW$3&gt;=$C$1),'General Inputs'!U$9*$G64,IF(AND(($C64+$C$1)&gt;AW$3,AW$3&gt;=$C$1),'General Inputs'!U$9*$F64,0))</f>
        <v>0</v>
      </c>
      <c r="AX64" s="214">
        <f>IF(AND(($D64+$C$1)&gt;AX$3,AX$3&gt;=$C$1),'General Inputs'!V$9*$G64,IF(AND(($C64+$C$1)&gt;AX$3,AX$3&gt;=$C$1),'General Inputs'!V$9*$F64,0))</f>
        <v>0</v>
      </c>
      <c r="AY64" s="214">
        <f>IF(AND(($D64+$C$1)&gt;AY$3,AY$3&gt;=$C$1),'General Inputs'!W$9*$G64,IF(AND(($C64+$C$1)&gt;AY$3,AY$3&gt;=$C$1),'General Inputs'!W$9*$F64,0))</f>
        <v>0</v>
      </c>
      <c r="BA64" s="214">
        <f>IF(AND(($D64+$C$1)&gt;AF$3,AF$3&gt;=$C$1),'General Inputs'!D$10*$I64,IF(AND(($C64+$C$1)&gt;AF$3,AF$3&gt;=$C$1),'General Inputs'!D$10*$H64,0))</f>
        <v>1.479672848931141</v>
      </c>
      <c r="BB64" s="214">
        <f>IF(AND(($D64+$C$1)&gt;AG$3,AG$3&gt;=$C$1),'General Inputs'!E$10*$I64,IF(AND(($C64+$C$1)&gt;AG$3,AG$3&gt;=$C$1),'General Inputs'!E$10*$H64,0))</f>
        <v>1.501867941665108</v>
      </c>
      <c r="BC64" s="214">
        <f>IF(AND(($D64+$C$1)&gt;AH$3,AH$3&gt;=$C$1),'General Inputs'!F$10*$I64,IF(AND(($C64+$C$1)&gt;AH$3,AH$3&gt;=$C$1),'General Inputs'!F$10*$H64,0))</f>
        <v>1.5243959607900843</v>
      </c>
      <c r="BD64" s="214">
        <f>IF(AND(($D64+$C$1)&gt;AI$3,AI$3&gt;=$C$1),'General Inputs'!G$10*$I64,IF(AND(($C64+$C$1)&gt;AI$3,AI$3&gt;=$C$1),'General Inputs'!G$10*$H64,0))</f>
        <v>1.5472619002019354</v>
      </c>
      <c r="BE64" s="214">
        <f>IF(AND(($D64+$C$1)&gt;AJ$3,AJ$3&gt;=$C$1),'General Inputs'!H$10*$I64,IF(AND(($C64+$C$1)&gt;AJ$3,AJ$3&gt;=$C$1),'General Inputs'!H$10*$H64,0))</f>
        <v>1.5704708287049645</v>
      </c>
      <c r="BF64" s="214">
        <f>IF(AND(($D64+$C$1)&gt;AK$3,AK$3&gt;=$C$1),'General Inputs'!I$10*$I64,IF(AND(($C64+$C$1)&gt;AK$3,AK$3&gt;=$C$1),'General Inputs'!I$10*$H64,0))</f>
        <v>1.5940278911355386</v>
      </c>
      <c r="BG64" s="214">
        <f>IF(AND(($D64+$C$1)&gt;AL$3,AL$3&gt;=$C$1),'General Inputs'!J$10*$I64,IF(AND(($C64+$C$1)&gt;AL$3,AL$3&gt;=$C$1),'General Inputs'!J$10*$H64,0))</f>
        <v>1.6179383095025714</v>
      </c>
      <c r="BH64" s="214">
        <f>IF(AND(($D64+$C$1)&gt;AM$3,AM$3&gt;=$C$1),'General Inputs'!K$10*$I64,IF(AND(($C64+$C$1)&gt;AM$3,AM$3&gt;=$C$1),'General Inputs'!K$10*$H64,0))</f>
        <v>1.6422073841451099</v>
      </c>
      <c r="BI64" s="214">
        <f>IF(AND(($D64+$C$1)&gt;AN$3,AN$3&gt;=$C$1),'General Inputs'!L$10*$I64,IF(AND(($C64+$C$1)&gt;AN$3,AN$3&gt;=$C$1),'General Inputs'!L$10*$H64,0))</f>
        <v>1.6668404949072866</v>
      </c>
      <c r="BJ64" s="214">
        <f>IF(AND(($D64+$C$1)&gt;AO$3,AO$3&gt;=$C$1),'General Inputs'!M$10*$I64,IF(AND(($C64+$C$1)&gt;AO$3,AO$3&gt;=$C$1),'General Inputs'!M$10*$H64,0))</f>
        <v>1.6918431023308957</v>
      </c>
      <c r="BK64" s="214">
        <f>IF(AND(($D64+$C$1)&gt;AP$3,AP$3&gt;=$C$1),'General Inputs'!N$10*$I64,IF(AND(($C64+$C$1)&gt;AP$3,AP$3&gt;=$C$1),'General Inputs'!N$10*$H64,0))</f>
        <v>0</v>
      </c>
      <c r="BL64" s="214">
        <f>IF(AND(($D64+$C$1)&gt;AQ$3,AQ$3&gt;=$C$1),'General Inputs'!O$10*$I64,IF(AND(($C64+$C$1)&gt;AQ$3,AQ$3&gt;=$C$1),'General Inputs'!O$10*$H64,0))</f>
        <v>0</v>
      </c>
      <c r="BM64" s="214">
        <f>IF(AND(($D64+$C$1)&gt;AR$3,AR$3&gt;=$C$1),'General Inputs'!P$10*$I64,IF(AND(($C64+$C$1)&gt;AR$3,AR$3&gt;=$C$1),'General Inputs'!P$10*$H64,0))</f>
        <v>0</v>
      </c>
      <c r="BN64" s="214">
        <f>IF(AND(($D64+$C$1)&gt;AS$3,AS$3&gt;=$C$1),'General Inputs'!Q$10*$I64,IF(AND(($C64+$C$1)&gt;AS$3,AS$3&gt;=$C$1),'General Inputs'!Q$10*$H64,0))</f>
        <v>0</v>
      </c>
      <c r="BO64" s="214">
        <f>IF(AND(($D64+$C$1)&gt;AT$3,AT$3&gt;=$C$1),'General Inputs'!R$10*$I64,IF(AND(($C64+$C$1)&gt;AT$3,AT$3&gt;=$C$1),'General Inputs'!R$10*$H64,0))</f>
        <v>0</v>
      </c>
      <c r="BP64" s="214">
        <f>IF(AND(($D64+$C$1)&gt;AU$3,AU$3&gt;=$C$1),'General Inputs'!S$10*$I64,IF(AND(($C64+$C$1)&gt;AU$3,AU$3&gt;=$C$1),'General Inputs'!S$10*$H64,0))</f>
        <v>0</v>
      </c>
      <c r="BQ64" s="214">
        <f>IF(AND(($D64+$C$1)&gt;AV$3,AV$3&gt;=$C$1),'General Inputs'!T$10*$I64,IF(AND(($C64+$C$1)&gt;AV$3,AV$3&gt;=$C$1),'General Inputs'!T$10*$H64,0))</f>
        <v>0</v>
      </c>
      <c r="BR64" s="214">
        <f>IF(AND(($D64+$C$1)&gt;AW$3,AW$3&gt;=$C$1),'General Inputs'!U$10*$I64,IF(AND(($C64+$C$1)&gt;AW$3,AW$3&gt;=$C$1),'General Inputs'!U$10*$H64,0))</f>
        <v>0</v>
      </c>
      <c r="BS64" s="214">
        <f>IF(AND(($D64+$C$1)&gt;AX$3,AX$3&gt;=$C$1),'General Inputs'!V$10*$I64,IF(AND(($C64+$C$1)&gt;AX$3,AX$3&gt;=$C$1),'General Inputs'!V$10*$H64,0))</f>
        <v>0</v>
      </c>
      <c r="BT64" s="214">
        <f>IF(AND(($D64+$C$1)&gt;AY$3,AY$3&gt;=$C$1),'General Inputs'!W$10*$I64,IF(AND(($C64+$C$1)&gt;AY$3,AY$3&gt;=$C$1),'General Inputs'!W$10*$H64,0))</f>
        <v>0</v>
      </c>
    </row>
    <row r="65" spans="1:72">
      <c r="A65" s="342" t="s">
        <v>112</v>
      </c>
      <c r="B65" s="427" t="str">
        <f>Sources!B65</f>
        <v>Pin-Based CFL ≥32W</v>
      </c>
      <c r="C65" s="193">
        <f>Sources!C65</f>
        <v>10</v>
      </c>
      <c r="D65" s="193">
        <f>Sources!D65</f>
        <v>0</v>
      </c>
      <c r="F65" s="429">
        <f>Sources!F65*EnergyLineLoss</f>
        <v>1074.76513125</v>
      </c>
      <c r="G65" s="429">
        <f>Sources!G65*EnergyLineLoss</f>
        <v>0</v>
      </c>
      <c r="H65" s="477">
        <f>Sources!H65*PeakLineLoss</f>
        <v>0.16619031000000001</v>
      </c>
      <c r="I65" s="477">
        <f>Sources!I65*PeakLineLoss</f>
        <v>0</v>
      </c>
      <c r="K65" s="419">
        <f>Sources!J65</f>
        <v>50</v>
      </c>
      <c r="L65" s="419">
        <f>Sources!K65</f>
        <v>0</v>
      </c>
      <c r="N65" s="438">
        <f t="shared" si="27"/>
        <v>6.7477289961669404</v>
      </c>
      <c r="P65" s="215">
        <f t="shared" si="28"/>
        <v>318.84297574119216</v>
      </c>
      <c r="Q65" s="215">
        <f t="shared" si="29"/>
        <v>18.543474067154868</v>
      </c>
      <c r="R65" s="215">
        <f t="shared" si="30"/>
        <v>50</v>
      </c>
      <c r="T65" s="214">
        <f t="shared" si="32"/>
        <v>50</v>
      </c>
      <c r="U65" s="214">
        <f t="shared" si="32"/>
        <v>0</v>
      </c>
      <c r="V65" s="214">
        <f t="shared" si="31"/>
        <v>0</v>
      </c>
      <c r="W65" s="214">
        <f t="shared" si="31"/>
        <v>0</v>
      </c>
      <c r="X65" s="214">
        <f t="shared" si="31"/>
        <v>0</v>
      </c>
      <c r="Y65" s="214">
        <f t="shared" si="31"/>
        <v>0</v>
      </c>
      <c r="Z65" s="214">
        <f t="shared" si="31"/>
        <v>0</v>
      </c>
      <c r="AA65" s="214">
        <f t="shared" si="31"/>
        <v>0</v>
      </c>
      <c r="AB65" s="214">
        <f t="shared" si="31"/>
        <v>0</v>
      </c>
      <c r="AC65" s="214">
        <f t="shared" si="31"/>
        <v>0</v>
      </c>
      <c r="AD65" s="214">
        <f t="shared" si="31"/>
        <v>0</v>
      </c>
      <c r="AF65" s="214">
        <f>IF(AND(($D65+$C$1)&gt;AF$3,AF$3&gt;=$C$1),'General Inputs'!D$9*$G65,IF(AND(($C65+$C$1)&gt;AF$3,AF$3&gt;=$C$1),'General Inputs'!D$9*$F65,0))</f>
        <v>42.788838775251769</v>
      </c>
      <c r="AG65" s="214">
        <f>IF(AND(($D65+$C$1)&gt;AG$3,AG$3&gt;=$C$1),'General Inputs'!E$9*$G65,IF(AND(($C65+$C$1)&gt;AG$3,AG$3&gt;=$C$1),'General Inputs'!E$9*$F65,0))</f>
        <v>43.430671356880545</v>
      </c>
      <c r="AH65" s="214">
        <f>IF(AND(($D65+$C$1)&gt;AH$3,AH$3&gt;=$C$1),'General Inputs'!F$9*$G65,IF(AND(($C65+$C$1)&gt;AH$3,AH$3&gt;=$C$1),'General Inputs'!F$9*$F65,0))</f>
        <v>44.082131427233747</v>
      </c>
      <c r="AI65" s="214">
        <f>IF(AND(($D65+$C$1)&gt;AI$3,AI$3&gt;=$C$1),'General Inputs'!G$9*$G65,IF(AND(($C65+$C$1)&gt;AI$3,AI$3&gt;=$C$1),'General Inputs'!G$9*$F65,0))</f>
        <v>44.743363398642252</v>
      </c>
      <c r="AJ65" s="214">
        <f>IF(AND(($D65+$C$1)&gt;AJ$3,AJ$3&gt;=$C$1),'General Inputs'!H$9*$G65,IF(AND(($C65+$C$1)&gt;AJ$3,AJ$3&gt;=$C$1),'General Inputs'!H$9*$F65,0))</f>
        <v>45.414513849621876</v>
      </c>
      <c r="AK65" s="214">
        <f>IF(AND(($D65+$C$1)&gt;AK$3,AK$3&gt;=$C$1),'General Inputs'!I$9*$G65,IF(AND(($C65+$C$1)&gt;AK$3,AK$3&gt;=$C$1),'General Inputs'!I$9*$F65,0))</f>
        <v>46.0957315573662</v>
      </c>
      <c r="AL65" s="214">
        <f>IF(AND(($D65+$C$1)&gt;AL$3,AL$3&gt;=$C$1),'General Inputs'!J$9*$G65,IF(AND(($C65+$C$1)&gt;AL$3,AL$3&gt;=$C$1),'General Inputs'!J$9*$F65,0))</f>
        <v>46.787167530726684</v>
      </c>
      <c r="AM65" s="214">
        <f>IF(AND(($D65+$C$1)&gt;AM$3,AM$3&gt;=$C$1),'General Inputs'!K$9*$G65,IF(AND(($C65+$C$1)&gt;AM$3,AM$3&gt;=$C$1),'General Inputs'!K$9*$F65,0))</f>
        <v>47.488975043687574</v>
      </c>
      <c r="AN65" s="214">
        <f>IF(AND(($D65+$C$1)&gt;AN$3,AN$3&gt;=$C$1),'General Inputs'!L$9*$G65,IF(AND(($C65+$C$1)&gt;AN$3,AN$3&gt;=$C$1),'General Inputs'!L$9*$F65,0))</f>
        <v>48.201309669342884</v>
      </c>
      <c r="AO65" s="214">
        <f>IF(AND(($D65+$C$1)&gt;AO$3,AO$3&gt;=$C$1),'General Inputs'!M$9*$G65,IF(AND(($C65+$C$1)&gt;AO$3,AO$3&gt;=$C$1),'General Inputs'!M$9*$F65,0))</f>
        <v>48.924329314383023</v>
      </c>
      <c r="AP65" s="214">
        <f>IF(AND(($D65+$C$1)&gt;AP$3,AP$3&gt;=$C$1),'General Inputs'!N$9*$G65,IF(AND(($C65+$C$1)&gt;AP$3,AP$3&gt;=$C$1),'General Inputs'!N$9*$F65,0))</f>
        <v>0</v>
      </c>
      <c r="AQ65" s="214">
        <f>IF(AND(($D65+$C$1)&gt;AQ$3,AQ$3&gt;=$C$1),'General Inputs'!O$9*$G65,IF(AND(($C65+$C$1)&gt;AQ$3,AQ$3&gt;=$C$1),'General Inputs'!O$9*$F65,0))</f>
        <v>0</v>
      </c>
      <c r="AR65" s="214">
        <f>IF(AND(($D65+$C$1)&gt;AR$3,AR$3&gt;=$C$1),'General Inputs'!P$9*$G65,IF(AND(($C65+$C$1)&gt;AR$3,AR$3&gt;=$C$1),'General Inputs'!P$9*$F65,0))</f>
        <v>0</v>
      </c>
      <c r="AS65" s="214">
        <f>IF(AND(($D65+$C$1)&gt;AS$3,AS$3&gt;=$C$1),'General Inputs'!Q$9*$G65,IF(AND(($C65+$C$1)&gt;AS$3,AS$3&gt;=$C$1),'General Inputs'!Q$9*$F65,0))</f>
        <v>0</v>
      </c>
      <c r="AT65" s="214">
        <f>IF(AND(($D65+$C$1)&gt;AT$3,AT$3&gt;=$C$1),'General Inputs'!R$9*$G65,IF(AND(($C65+$C$1)&gt;AT$3,AT$3&gt;=$C$1),'General Inputs'!R$9*$F65,0))</f>
        <v>0</v>
      </c>
      <c r="AU65" s="214">
        <f>IF(AND(($D65+$C$1)&gt;AU$3,AU$3&gt;=$C$1),'General Inputs'!S$9*$G65,IF(AND(($C65+$C$1)&gt;AU$3,AU$3&gt;=$C$1),'General Inputs'!S$9*$F65,0))</f>
        <v>0</v>
      </c>
      <c r="AV65" s="214">
        <f>IF(AND(($D65+$C$1)&gt;AV$3,AV$3&gt;=$C$1),'General Inputs'!T$9*$G65,IF(AND(($C65+$C$1)&gt;AV$3,AV$3&gt;=$C$1),'General Inputs'!T$9*$F65,0))</f>
        <v>0</v>
      </c>
      <c r="AW65" s="214">
        <f>IF(AND(($D65+$C$1)&gt;AW$3,AW$3&gt;=$C$1),'General Inputs'!U$9*$G65,IF(AND(($C65+$C$1)&gt;AW$3,AW$3&gt;=$C$1),'General Inputs'!U$9*$F65,0))</f>
        <v>0</v>
      </c>
      <c r="AX65" s="214">
        <f>IF(AND(($D65+$C$1)&gt;AX$3,AX$3&gt;=$C$1),'General Inputs'!V$9*$G65,IF(AND(($C65+$C$1)&gt;AX$3,AX$3&gt;=$C$1),'General Inputs'!V$9*$F65,0))</f>
        <v>0</v>
      </c>
      <c r="AY65" s="214">
        <f>IF(AND(($D65+$C$1)&gt;AY$3,AY$3&gt;=$C$1),'General Inputs'!W$9*$G65,IF(AND(($C65+$C$1)&gt;AY$3,AY$3&gt;=$C$1),'General Inputs'!W$9*$F65,0))</f>
        <v>0</v>
      </c>
      <c r="BA65" s="214">
        <f>IF(AND(($D65+$C$1)&gt;AF$3,AF$3&gt;=$C$1),'General Inputs'!D$10*$I65,IF(AND(($C65+$C$1)&gt;AF$3,AF$3&gt;=$C$1),'General Inputs'!D$10*$H65,0))</f>
        <v>2.4885407004751006</v>
      </c>
      <c r="BB65" s="214">
        <f>IF(AND(($D65+$C$1)&gt;AG$3,AG$3&gt;=$C$1),'General Inputs'!E$10*$I65,IF(AND(($C65+$C$1)&gt;AG$3,AG$3&gt;=$C$1),'General Inputs'!E$10*$H65,0))</f>
        <v>2.5258688109822267</v>
      </c>
      <c r="BC65" s="214">
        <f>IF(AND(($D65+$C$1)&gt;AH$3,AH$3&gt;=$C$1),'General Inputs'!F$10*$I65,IF(AND(($C65+$C$1)&gt;AH$3,AH$3&gt;=$C$1),'General Inputs'!F$10*$H65,0))</f>
        <v>2.56375684314696</v>
      </c>
      <c r="BD65" s="214">
        <f>IF(AND(($D65+$C$1)&gt;AI$3,AI$3&gt;=$C$1),'General Inputs'!G$10*$I65,IF(AND(($C65+$C$1)&gt;AI$3,AI$3&gt;=$C$1),'General Inputs'!G$10*$H65,0))</f>
        <v>2.6022131957941643</v>
      </c>
      <c r="BE65" s="214">
        <f>IF(AND(($D65+$C$1)&gt;AJ$3,AJ$3&gt;=$C$1),'General Inputs'!H$10*$I65,IF(AND(($C65+$C$1)&gt;AJ$3,AJ$3&gt;=$C$1),'General Inputs'!H$10*$H65,0))</f>
        <v>2.6412463937310764</v>
      </c>
      <c r="BF65" s="214">
        <f>IF(AND(($D65+$C$1)&gt;AK$3,AK$3&gt;=$C$1),'General Inputs'!I$10*$I65,IF(AND(($C65+$C$1)&gt;AK$3,AK$3&gt;=$C$1),'General Inputs'!I$10*$H65,0))</f>
        <v>2.6808650896370421</v>
      </c>
      <c r="BG65" s="214">
        <f>IF(AND(($D65+$C$1)&gt;AL$3,AL$3&gt;=$C$1),'General Inputs'!J$10*$I65,IF(AND(($C65+$C$1)&gt;AL$3,AL$3&gt;=$C$1),'General Inputs'!J$10*$H65,0))</f>
        <v>2.7210780659815974</v>
      </c>
      <c r="BH65" s="214">
        <f>IF(AND(($D65+$C$1)&gt;AM$3,AM$3&gt;=$C$1),'General Inputs'!K$10*$I65,IF(AND(($C65+$C$1)&gt;AM$3,AM$3&gt;=$C$1),'General Inputs'!K$10*$H65,0))</f>
        <v>2.7618942369713211</v>
      </c>
      <c r="BI65" s="214">
        <f>IF(AND(($D65+$C$1)&gt;AN$3,AN$3&gt;=$C$1),'General Inputs'!L$10*$I65,IF(AND(($C65+$C$1)&gt;AN$3,AN$3&gt;=$C$1),'General Inputs'!L$10*$H65,0))</f>
        <v>2.803322650525891</v>
      </c>
      <c r="BJ65" s="214">
        <f>IF(AND(($D65+$C$1)&gt;AO$3,AO$3&gt;=$C$1),'General Inputs'!M$10*$I65,IF(AND(($C65+$C$1)&gt;AO$3,AO$3&gt;=$C$1),'General Inputs'!M$10*$H65,0))</f>
        <v>2.8453724902837791</v>
      </c>
      <c r="BK65" s="214">
        <f>IF(AND(($D65+$C$1)&gt;AP$3,AP$3&gt;=$C$1),'General Inputs'!N$10*$I65,IF(AND(($C65+$C$1)&gt;AP$3,AP$3&gt;=$C$1),'General Inputs'!N$10*$H65,0))</f>
        <v>0</v>
      </c>
      <c r="BL65" s="214">
        <f>IF(AND(($D65+$C$1)&gt;AQ$3,AQ$3&gt;=$C$1),'General Inputs'!O$10*$I65,IF(AND(($C65+$C$1)&gt;AQ$3,AQ$3&gt;=$C$1),'General Inputs'!O$10*$H65,0))</f>
        <v>0</v>
      </c>
      <c r="BM65" s="214">
        <f>IF(AND(($D65+$C$1)&gt;AR$3,AR$3&gt;=$C$1),'General Inputs'!P$10*$I65,IF(AND(($C65+$C$1)&gt;AR$3,AR$3&gt;=$C$1),'General Inputs'!P$10*$H65,0))</f>
        <v>0</v>
      </c>
      <c r="BN65" s="214">
        <f>IF(AND(($D65+$C$1)&gt;AS$3,AS$3&gt;=$C$1),'General Inputs'!Q$10*$I65,IF(AND(($C65+$C$1)&gt;AS$3,AS$3&gt;=$C$1),'General Inputs'!Q$10*$H65,0))</f>
        <v>0</v>
      </c>
      <c r="BO65" s="214">
        <f>IF(AND(($D65+$C$1)&gt;AT$3,AT$3&gt;=$C$1),'General Inputs'!R$10*$I65,IF(AND(($C65+$C$1)&gt;AT$3,AT$3&gt;=$C$1),'General Inputs'!R$10*$H65,0))</f>
        <v>0</v>
      </c>
      <c r="BP65" s="214">
        <f>IF(AND(($D65+$C$1)&gt;AU$3,AU$3&gt;=$C$1),'General Inputs'!S$10*$I65,IF(AND(($C65+$C$1)&gt;AU$3,AU$3&gt;=$C$1),'General Inputs'!S$10*$H65,0))</f>
        <v>0</v>
      </c>
      <c r="BQ65" s="214">
        <f>IF(AND(($D65+$C$1)&gt;AV$3,AV$3&gt;=$C$1),'General Inputs'!T$10*$I65,IF(AND(($C65+$C$1)&gt;AV$3,AV$3&gt;=$C$1),'General Inputs'!T$10*$H65,0))</f>
        <v>0</v>
      </c>
      <c r="BR65" s="214">
        <f>IF(AND(($D65+$C$1)&gt;AW$3,AW$3&gt;=$C$1),'General Inputs'!U$10*$I65,IF(AND(($C65+$C$1)&gt;AW$3,AW$3&gt;=$C$1),'General Inputs'!U$10*$H65,0))</f>
        <v>0</v>
      </c>
      <c r="BS65" s="214">
        <f>IF(AND(($D65+$C$1)&gt;AX$3,AX$3&gt;=$C$1),'General Inputs'!V$10*$I65,IF(AND(($C65+$C$1)&gt;AX$3,AX$3&gt;=$C$1),'General Inputs'!V$10*$H65,0))</f>
        <v>0</v>
      </c>
      <c r="BT65" s="214">
        <f>IF(AND(($D65+$C$1)&gt;AY$3,AY$3&gt;=$C$1),'General Inputs'!W$10*$I65,IF(AND(($C65+$C$1)&gt;AY$3,AY$3&gt;=$C$1),'General Inputs'!W$10*$H65,0))</f>
        <v>0</v>
      </c>
    </row>
    <row r="66" spans="1:72">
      <c r="A66" s="342" t="s">
        <v>112</v>
      </c>
      <c r="B66" s="427" t="str">
        <f>Sources!B66</f>
        <v>Multi-CFL Fixture</v>
      </c>
      <c r="C66" s="193">
        <f>Sources!C66</f>
        <v>18</v>
      </c>
      <c r="D66" s="193">
        <f>Sources!D66</f>
        <v>0</v>
      </c>
      <c r="F66" s="429">
        <f>Sources!F66*EnergyLineLoss</f>
        <v>1243.2418275</v>
      </c>
      <c r="G66" s="429">
        <f>Sources!G66*EnergyLineLoss</f>
        <v>0</v>
      </c>
      <c r="H66" s="477">
        <f>Sources!H66*PeakLineLoss</f>
        <v>0.19224176400000001</v>
      </c>
      <c r="I66" s="477">
        <f>Sources!I66*PeakLineLoss</f>
        <v>0</v>
      </c>
      <c r="K66" s="419">
        <f>Sources!J66</f>
        <v>98</v>
      </c>
      <c r="L66" s="419">
        <f>Sources!K66</f>
        <v>0</v>
      </c>
      <c r="N66" s="438">
        <f t="shared" si="27"/>
        <v>5.6696267169874597</v>
      </c>
      <c r="P66" s="215">
        <f t="shared" si="28"/>
        <v>525.08517805521478</v>
      </c>
      <c r="Q66" s="215">
        <f t="shared" si="29"/>
        <v>30.538240209556346</v>
      </c>
      <c r="R66" s="215">
        <f t="shared" si="30"/>
        <v>98</v>
      </c>
      <c r="T66" s="214">
        <f t="shared" si="32"/>
        <v>98</v>
      </c>
      <c r="U66" s="214">
        <f t="shared" si="32"/>
        <v>0</v>
      </c>
      <c r="V66" s="214">
        <f t="shared" si="31"/>
        <v>0</v>
      </c>
      <c r="W66" s="214">
        <f t="shared" si="31"/>
        <v>0</v>
      </c>
      <c r="X66" s="214">
        <f t="shared" si="31"/>
        <v>0</v>
      </c>
      <c r="Y66" s="214">
        <f t="shared" si="31"/>
        <v>0</v>
      </c>
      <c r="Z66" s="214">
        <f t="shared" si="31"/>
        <v>0</v>
      </c>
      <c r="AA66" s="214">
        <f t="shared" si="31"/>
        <v>0</v>
      </c>
      <c r="AB66" s="214">
        <f t="shared" si="31"/>
        <v>0</v>
      </c>
      <c r="AC66" s="214">
        <f t="shared" si="31"/>
        <v>0</v>
      </c>
      <c r="AD66" s="214">
        <f t="shared" si="31"/>
        <v>0</v>
      </c>
      <c r="AF66" s="214">
        <f>IF(AND(($D66+$C$1)&gt;AF$3,AF$3&gt;=$C$1),'General Inputs'!D$9*$G66,IF(AND(($C66+$C$1)&gt;AF$3,AF$3&gt;=$C$1),'General Inputs'!D$9*$F66,0))</f>
        <v>49.496278367047999</v>
      </c>
      <c r="AG66" s="214">
        <f>IF(AND(($D66+$C$1)&gt;AG$3,AG$3&gt;=$C$1),'General Inputs'!E$9*$G66,IF(AND(($C66+$C$1)&gt;AG$3,AG$3&gt;=$C$1),'General Inputs'!E$9*$F66,0))</f>
        <v>50.23872254255371</v>
      </c>
      <c r="AH66" s="214">
        <f>IF(AND(($D66+$C$1)&gt;AH$3,AH$3&gt;=$C$1),'General Inputs'!F$9*$G66,IF(AND(($C66+$C$1)&gt;AH$3,AH$3&gt;=$C$1),'General Inputs'!F$9*$F66,0))</f>
        <v>50.992303380692007</v>
      </c>
      <c r="AI66" s="214">
        <f>IF(AND(($D66+$C$1)&gt;AI$3,AI$3&gt;=$C$1),'General Inputs'!G$9*$G66,IF(AND(($C66+$C$1)&gt;AI$3,AI$3&gt;=$C$1),'General Inputs'!G$9*$F66,0))</f>
        <v>51.757187931402385</v>
      </c>
      <c r="AJ66" s="214">
        <f>IF(AND(($D66+$C$1)&gt;AJ$3,AJ$3&gt;=$C$1),'General Inputs'!H$9*$G66,IF(AND(($C66+$C$1)&gt;AJ$3,AJ$3&gt;=$C$1),'General Inputs'!H$9*$F66,0))</f>
        <v>52.533545750373413</v>
      </c>
      <c r="AK66" s="214">
        <f>IF(AND(($D66+$C$1)&gt;AK$3,AK$3&gt;=$C$1),'General Inputs'!I$9*$G66,IF(AND(($C66+$C$1)&gt;AK$3,AK$3&gt;=$C$1),'General Inputs'!I$9*$F66,0))</f>
        <v>53.321548936629007</v>
      </c>
      <c r="AL66" s="214">
        <f>IF(AND(($D66+$C$1)&gt;AL$3,AL$3&gt;=$C$1),'General Inputs'!J$9*$G66,IF(AND(($C66+$C$1)&gt;AL$3,AL$3&gt;=$C$1),'General Inputs'!J$9*$F66,0))</f>
        <v>54.121372170678434</v>
      </c>
      <c r="AM66" s="214">
        <f>IF(AND(($D66+$C$1)&gt;AM$3,AM$3&gt;=$C$1),'General Inputs'!K$9*$G66,IF(AND(($C66+$C$1)&gt;AM$3,AM$3&gt;=$C$1),'General Inputs'!K$9*$F66,0))</f>
        <v>54.9331927532386</v>
      </c>
      <c r="AN66" s="214">
        <f>IF(AND(($D66+$C$1)&gt;AN$3,AN$3&gt;=$C$1),'General Inputs'!L$9*$G66,IF(AND(($C66+$C$1)&gt;AN$3,AN$3&gt;=$C$1),'General Inputs'!L$9*$F66,0))</f>
        <v>55.757190644537175</v>
      </c>
      <c r="AO66" s="214">
        <f>IF(AND(($D66+$C$1)&gt;AO$3,AO$3&gt;=$C$1),'General Inputs'!M$9*$G66,IF(AND(($C66+$C$1)&gt;AO$3,AO$3&gt;=$C$1),'General Inputs'!M$9*$F66,0))</f>
        <v>56.593548504205224</v>
      </c>
      <c r="AP66" s="214">
        <f>IF(AND(($D66+$C$1)&gt;AP$3,AP$3&gt;=$C$1),'General Inputs'!N$9*$G66,IF(AND(($C66+$C$1)&gt;AP$3,AP$3&gt;=$C$1),'General Inputs'!N$9*$F66,0))</f>
        <v>57.442451731768301</v>
      </c>
      <c r="AQ66" s="214">
        <f>IF(AND(($D66+$C$1)&gt;AQ$3,AQ$3&gt;=$C$1),'General Inputs'!O$9*$G66,IF(AND(($C66+$C$1)&gt;AQ$3,AQ$3&gt;=$C$1),'General Inputs'!O$9*$F66,0))</f>
        <v>58.304088507744815</v>
      </c>
      <c r="AR66" s="214">
        <f>IF(AND(($D66+$C$1)&gt;AR$3,AR$3&gt;=$C$1),'General Inputs'!P$9*$G66,IF(AND(($C66+$C$1)&gt;AR$3,AR$3&gt;=$C$1),'General Inputs'!P$9*$F66,0))</f>
        <v>59.178649835360986</v>
      </c>
      <c r="AS66" s="214">
        <f>IF(AND(($D66+$C$1)&gt;AS$3,AS$3&gt;=$C$1),'General Inputs'!Q$9*$G66,IF(AND(($C66+$C$1)&gt;AS$3,AS$3&gt;=$C$1),'General Inputs'!Q$9*$F66,0))</f>
        <v>60.066329582891399</v>
      </c>
      <c r="AT66" s="214">
        <f>IF(AND(($D66+$C$1)&gt;AT$3,AT$3&gt;=$C$1),'General Inputs'!R$9*$G66,IF(AND(($C66+$C$1)&gt;AT$3,AT$3&gt;=$C$1),'General Inputs'!R$9*$F66,0))</f>
        <v>60.967324526634762</v>
      </c>
      <c r="AU66" s="214">
        <f>IF(AND(($D66+$C$1)&gt;AU$3,AU$3&gt;=$C$1),'General Inputs'!S$9*$G66,IF(AND(($C66+$C$1)&gt;AU$3,AU$3&gt;=$C$1),'General Inputs'!S$9*$F66,0))</f>
        <v>61.88183439453428</v>
      </c>
      <c r="AV66" s="214">
        <f>IF(AND(($D66+$C$1)&gt;AV$3,AV$3&gt;=$C$1),'General Inputs'!T$9*$G66,IF(AND(($C66+$C$1)&gt;AV$3,AV$3&gt;=$C$1),'General Inputs'!T$9*$F66,0))</f>
        <v>62.810061910452291</v>
      </c>
      <c r="AW66" s="214">
        <f>IF(AND(($D66+$C$1)&gt;AW$3,AW$3&gt;=$C$1),'General Inputs'!U$9*$G66,IF(AND(($C66+$C$1)&gt;AW$3,AW$3&gt;=$C$1),'General Inputs'!U$9*$F66,0))</f>
        <v>63.75221283910907</v>
      </c>
      <c r="AX66" s="214">
        <f>IF(AND(($D66+$C$1)&gt;AX$3,AX$3&gt;=$C$1),'General Inputs'!V$9*$G66,IF(AND(($C66+$C$1)&gt;AX$3,AX$3&gt;=$C$1),'General Inputs'!V$9*$F66,0))</f>
        <v>0</v>
      </c>
      <c r="AY66" s="214">
        <f>IF(AND(($D66+$C$1)&gt;AY$3,AY$3&gt;=$C$1),'General Inputs'!W$9*$G66,IF(AND(($C66+$C$1)&gt;AY$3,AY$3&gt;=$C$1),'General Inputs'!W$9*$F66,0))</f>
        <v>0</v>
      </c>
      <c r="BA66" s="214">
        <f>IF(AND(($D66+$C$1)&gt;AF$3,AF$3&gt;=$C$1),'General Inputs'!D$10*$I66,IF(AND(($C66+$C$1)&gt;AF$3,AF$3&gt;=$C$1),'General Inputs'!D$10*$H66,0))</f>
        <v>2.8786362697387653</v>
      </c>
      <c r="BB66" s="214">
        <f>IF(AND(($D66+$C$1)&gt;AG$3,AG$3&gt;=$C$1),'General Inputs'!E$10*$I66,IF(AND(($C66+$C$1)&gt;AG$3,AG$3&gt;=$C$1),'General Inputs'!E$10*$H66,0))</f>
        <v>2.9218158137848462</v>
      </c>
      <c r="BC66" s="214">
        <f>IF(AND(($D66+$C$1)&gt;AH$3,AH$3&gt;=$C$1),'General Inputs'!F$10*$I66,IF(AND(($C66+$C$1)&gt;AH$3,AH$3&gt;=$C$1),'General Inputs'!F$10*$H66,0))</f>
        <v>2.9656430509916185</v>
      </c>
      <c r="BD66" s="214">
        <f>IF(AND(($D66+$C$1)&gt;AI$3,AI$3&gt;=$C$1),'General Inputs'!G$10*$I66,IF(AND(($C66+$C$1)&gt;AI$3,AI$3&gt;=$C$1),'General Inputs'!G$10*$H66,0))</f>
        <v>3.0101276967564927</v>
      </c>
      <c r="BE66" s="214">
        <f>IF(AND(($D66+$C$1)&gt;AJ$3,AJ$3&gt;=$C$1),'General Inputs'!H$10*$I66,IF(AND(($C66+$C$1)&gt;AJ$3,AJ$3&gt;=$C$1),'General Inputs'!H$10*$H66,0))</f>
        <v>3.0552796122078401</v>
      </c>
      <c r="BF66" s="214">
        <f>IF(AND(($D66+$C$1)&gt;AK$3,AK$3&gt;=$C$1),'General Inputs'!I$10*$I66,IF(AND(($C66+$C$1)&gt;AK$3,AK$3&gt;=$C$1),'General Inputs'!I$10*$H66,0))</f>
        <v>3.1011088063909571</v>
      </c>
      <c r="BG66" s="214">
        <f>IF(AND(($D66+$C$1)&gt;AL$3,AL$3&gt;=$C$1),'General Inputs'!J$10*$I66,IF(AND(($C66+$C$1)&gt;AL$3,AL$3&gt;=$C$1),'General Inputs'!J$10*$H66,0))</f>
        <v>3.1476254384868207</v>
      </c>
      <c r="BH66" s="214">
        <f>IF(AND(($D66+$C$1)&gt;AM$3,AM$3&gt;=$C$1),'General Inputs'!K$10*$I66,IF(AND(($C66+$C$1)&gt;AM$3,AM$3&gt;=$C$1),'General Inputs'!K$10*$H66,0))</f>
        <v>3.1948398200641228</v>
      </c>
      <c r="BI66" s="214">
        <f>IF(AND(($D66+$C$1)&gt;AN$3,AN$3&gt;=$C$1),'General Inputs'!L$10*$I66,IF(AND(($C66+$C$1)&gt;AN$3,AN$3&gt;=$C$1),'General Inputs'!L$10*$H66,0))</f>
        <v>3.2427624173650846</v>
      </c>
      <c r="BJ66" s="214">
        <f>IF(AND(($D66+$C$1)&gt;AO$3,AO$3&gt;=$C$1),'General Inputs'!M$10*$I66,IF(AND(($C66+$C$1)&gt;AO$3,AO$3&gt;=$C$1),'General Inputs'!M$10*$H66,0))</f>
        <v>3.2914038536255608</v>
      </c>
      <c r="BK66" s="214">
        <f>IF(AND(($D66+$C$1)&gt;AP$3,AP$3&gt;=$C$1),'General Inputs'!N$10*$I66,IF(AND(($C66+$C$1)&gt;AP$3,AP$3&gt;=$C$1),'General Inputs'!N$10*$H66,0))</f>
        <v>3.3407749114299436</v>
      </c>
      <c r="BL66" s="214">
        <f>IF(AND(($D66+$C$1)&gt;AQ$3,AQ$3&gt;=$C$1),'General Inputs'!O$10*$I66,IF(AND(($C66+$C$1)&gt;AQ$3,AQ$3&gt;=$C$1),'General Inputs'!O$10*$H66,0))</f>
        <v>3.3908865351013926</v>
      </c>
      <c r="BM66" s="214">
        <f>IF(AND(($D66+$C$1)&gt;AR$3,AR$3&gt;=$C$1),'General Inputs'!P$10*$I66,IF(AND(($C66+$C$1)&gt;AR$3,AR$3&gt;=$C$1),'General Inputs'!P$10*$H66,0))</f>
        <v>3.441749833127913</v>
      </c>
      <c r="BN66" s="214">
        <f>IF(AND(($D66+$C$1)&gt;AS$3,AS$3&gt;=$C$1),'General Inputs'!Q$10*$I66,IF(AND(($C66+$C$1)&gt;AS$3,AS$3&gt;=$C$1),'General Inputs'!Q$10*$H66,0))</f>
        <v>3.4933760806248317</v>
      </c>
      <c r="BO66" s="214">
        <f>IF(AND(($D66+$C$1)&gt;AT$3,AT$3&gt;=$C$1),'General Inputs'!R$10*$I66,IF(AND(($C66+$C$1)&gt;AT$3,AT$3&gt;=$C$1),'General Inputs'!R$10*$H66,0))</f>
        <v>3.5457767218342036</v>
      </c>
      <c r="BP66" s="214">
        <f>IF(AND(($D66+$C$1)&gt;AU$3,AU$3&gt;=$C$1),'General Inputs'!S$10*$I66,IF(AND(($C66+$C$1)&gt;AU$3,AU$3&gt;=$C$1),'General Inputs'!S$10*$H66,0))</f>
        <v>3.5989633726617165</v>
      </c>
      <c r="BQ66" s="214">
        <f>IF(AND(($D66+$C$1)&gt;AV$3,AV$3&gt;=$C$1),'General Inputs'!T$10*$I66,IF(AND(($C66+$C$1)&gt;AV$3,AV$3&gt;=$C$1),'General Inputs'!T$10*$H66,0))</f>
        <v>3.6529478232516417</v>
      </c>
      <c r="BR66" s="214">
        <f>IF(AND(($D66+$C$1)&gt;AW$3,AW$3&gt;=$C$1),'General Inputs'!U$10*$I66,IF(AND(($C66+$C$1)&gt;AW$3,AW$3&gt;=$C$1),'General Inputs'!U$10*$H66,0))</f>
        <v>3.707742040600416</v>
      </c>
      <c r="BS66" s="214">
        <f>IF(AND(($D66+$C$1)&gt;AX$3,AX$3&gt;=$C$1),'General Inputs'!V$10*$I66,IF(AND(($C66+$C$1)&gt;AX$3,AX$3&gt;=$C$1),'General Inputs'!V$10*$H66,0))</f>
        <v>0</v>
      </c>
      <c r="BT66" s="214">
        <f>IF(AND(($D66+$C$1)&gt;AY$3,AY$3&gt;=$C$1),'General Inputs'!W$10*$I66,IF(AND(($C66+$C$1)&gt;AY$3,AY$3&gt;=$C$1),'General Inputs'!W$10*$H66,0))</f>
        <v>0</v>
      </c>
    </row>
    <row r="67" spans="1:72">
      <c r="A67" s="342" t="s">
        <v>112</v>
      </c>
      <c r="B67" s="427" t="str">
        <f>Sources!B67</f>
        <v>Indirect Fixture</v>
      </c>
      <c r="C67" s="193">
        <f>Sources!C67</f>
        <v>18</v>
      </c>
      <c r="D67" s="193">
        <f>Sources!D67</f>
        <v>0</v>
      </c>
      <c r="F67" s="429">
        <f>Sources!F67*EnergyLineLoss</f>
        <v>156.85761374999998</v>
      </c>
      <c r="G67" s="429">
        <f>Sources!G67*EnergyLineLoss</f>
        <v>0</v>
      </c>
      <c r="H67" s="477">
        <f>Sources!H67*PeakLineLoss</f>
        <v>92.481509999999986</v>
      </c>
      <c r="I67" s="477">
        <f>Sources!I67*PeakLineLoss</f>
        <v>0</v>
      </c>
      <c r="K67" s="419">
        <f>Sources!J67</f>
        <v>60</v>
      </c>
      <c r="L67" s="419">
        <f>Sources!K67</f>
        <v>0</v>
      </c>
      <c r="N67" s="438">
        <f t="shared" si="27"/>
        <v>245.95404811458755</v>
      </c>
      <c r="P67" s="215">
        <f t="shared" si="28"/>
        <v>66.24906452098503</v>
      </c>
      <c r="Q67" s="215">
        <f t="shared" si="29"/>
        <v>14690.993822354267</v>
      </c>
      <c r="R67" s="215">
        <f t="shared" si="30"/>
        <v>60</v>
      </c>
      <c r="T67" s="214">
        <f t="shared" si="32"/>
        <v>60</v>
      </c>
      <c r="U67" s="214">
        <f t="shared" si="32"/>
        <v>0</v>
      </c>
      <c r="V67" s="214">
        <f t="shared" si="31"/>
        <v>0</v>
      </c>
      <c r="W67" s="214">
        <f t="shared" si="31"/>
        <v>0</v>
      </c>
      <c r="X67" s="214">
        <f t="shared" si="31"/>
        <v>0</v>
      </c>
      <c r="Y67" s="214">
        <f t="shared" si="31"/>
        <v>0</v>
      </c>
      <c r="Z67" s="214">
        <f t="shared" si="31"/>
        <v>0</v>
      </c>
      <c r="AA67" s="214">
        <f t="shared" si="31"/>
        <v>0</v>
      </c>
      <c r="AB67" s="214">
        <f t="shared" si="31"/>
        <v>0</v>
      </c>
      <c r="AC67" s="214">
        <f t="shared" si="31"/>
        <v>0</v>
      </c>
      <c r="AD67" s="214">
        <f t="shared" si="31"/>
        <v>0</v>
      </c>
      <c r="AF67" s="214">
        <f>IF(AND(($D67+$C$1)&gt;AF$3,AF$3&gt;=$C$1),'General Inputs'!D$9*$G67,IF(AND(($C67+$C$1)&gt;AF$3,AF$3&gt;=$C$1),'General Inputs'!D$9*$F67,0))</f>
        <v>6.2448575509826902</v>
      </c>
      <c r="AG67" s="214">
        <f>IF(AND(($D67+$C$1)&gt;AG$3,AG$3&gt;=$C$1),'General Inputs'!E$9*$G67,IF(AND(($C67+$C$1)&gt;AG$3,AG$3&gt;=$C$1),'General Inputs'!E$9*$F67,0))</f>
        <v>6.3385304142474297</v>
      </c>
      <c r="AH67" s="214">
        <f>IF(AND(($D67+$C$1)&gt;AH$3,AH$3&gt;=$C$1),'General Inputs'!F$9*$G67,IF(AND(($C67+$C$1)&gt;AH$3,AH$3&gt;=$C$1),'General Inputs'!F$9*$F67,0))</f>
        <v>6.4336083704611404</v>
      </c>
      <c r="AI67" s="214">
        <f>IF(AND(($D67+$C$1)&gt;AI$3,AI$3&gt;=$C$1),'General Inputs'!G$9*$G67,IF(AND(($C67+$C$1)&gt;AI$3,AI$3&gt;=$C$1),'General Inputs'!G$9*$F67,0))</f>
        <v>6.5301124960180577</v>
      </c>
      <c r="AJ67" s="214">
        <f>IF(AND(($D67+$C$1)&gt;AJ$3,AJ$3&gt;=$C$1),'General Inputs'!H$9*$G67,IF(AND(($C67+$C$1)&gt;AJ$3,AJ$3&gt;=$C$1),'General Inputs'!H$9*$F67,0))</f>
        <v>6.6280641834583278</v>
      </c>
      <c r="AK67" s="214">
        <f>IF(AND(($D67+$C$1)&gt;AK$3,AK$3&gt;=$C$1),'General Inputs'!I$9*$G67,IF(AND(($C67+$C$1)&gt;AK$3,AK$3&gt;=$C$1),'General Inputs'!I$9*$F67,0))</f>
        <v>6.727485146210201</v>
      </c>
      <c r="AL67" s="214">
        <f>IF(AND(($D67+$C$1)&gt;AL$3,AL$3&gt;=$C$1),'General Inputs'!J$9*$G67,IF(AND(($C67+$C$1)&gt;AL$3,AL$3&gt;=$C$1),'General Inputs'!J$9*$F67,0))</f>
        <v>6.8283974234033531</v>
      </c>
      <c r="AM67" s="214">
        <f>IF(AND(($D67+$C$1)&gt;AM$3,AM$3&gt;=$C$1),'General Inputs'!K$9*$G67,IF(AND(($C67+$C$1)&gt;AM$3,AM$3&gt;=$C$1),'General Inputs'!K$9*$F67,0))</f>
        <v>6.9308233847544027</v>
      </c>
      <c r="AN67" s="214">
        <f>IF(AND(($D67+$C$1)&gt;AN$3,AN$3&gt;=$C$1),'General Inputs'!L$9*$G67,IF(AND(($C67+$C$1)&gt;AN$3,AN$3&gt;=$C$1),'General Inputs'!L$9*$F67,0))</f>
        <v>7.034785735525718</v>
      </c>
      <c r="AO67" s="214">
        <f>IF(AND(($D67+$C$1)&gt;AO$3,AO$3&gt;=$C$1),'General Inputs'!M$9*$G67,IF(AND(($C67+$C$1)&gt;AO$3,AO$3&gt;=$C$1),'General Inputs'!M$9*$F67,0))</f>
        <v>7.1403075215586025</v>
      </c>
      <c r="AP67" s="214">
        <f>IF(AND(($D67+$C$1)&gt;AP$3,AP$3&gt;=$C$1),'General Inputs'!N$9*$G67,IF(AND(($C67+$C$1)&gt;AP$3,AP$3&gt;=$C$1),'General Inputs'!N$9*$F67,0))</f>
        <v>7.2474121343819817</v>
      </c>
      <c r="AQ67" s="214">
        <f>IF(AND(($D67+$C$1)&gt;AQ$3,AQ$3&gt;=$C$1),'General Inputs'!O$9*$G67,IF(AND(($C67+$C$1)&gt;AQ$3,AQ$3&gt;=$C$1),'General Inputs'!O$9*$F67,0))</f>
        <v>7.35612331639771</v>
      </c>
      <c r="AR67" s="214">
        <f>IF(AND(($D67+$C$1)&gt;AR$3,AR$3&gt;=$C$1),'General Inputs'!P$9*$G67,IF(AND(($C67+$C$1)&gt;AR$3,AR$3&gt;=$C$1),'General Inputs'!P$9*$F67,0))</f>
        <v>7.4664651661436752</v>
      </c>
      <c r="AS67" s="214">
        <f>IF(AND(($D67+$C$1)&gt;AS$3,AS$3&gt;=$C$1),'General Inputs'!Q$9*$G67,IF(AND(($C67+$C$1)&gt;AS$3,AS$3&gt;=$C$1),'General Inputs'!Q$9*$F67,0))</f>
        <v>7.5784621436358295</v>
      </c>
      <c r="AT67" s="214">
        <f>IF(AND(($D67+$C$1)&gt;AT$3,AT$3&gt;=$C$1),'General Inputs'!R$9*$G67,IF(AND(($C67+$C$1)&gt;AT$3,AT$3&gt;=$C$1),'General Inputs'!R$9*$F67,0))</f>
        <v>7.6921390757903669</v>
      </c>
      <c r="AU67" s="214">
        <f>IF(AND(($D67+$C$1)&gt;AU$3,AU$3&gt;=$C$1),'General Inputs'!S$9*$G67,IF(AND(($C67+$C$1)&gt;AU$3,AU$3&gt;=$C$1),'General Inputs'!S$9*$F67,0))</f>
        <v>7.8075211619272213</v>
      </c>
      <c r="AV67" s="214">
        <f>IF(AND(($D67+$C$1)&gt;AV$3,AV$3&gt;=$C$1),'General Inputs'!T$9*$G67,IF(AND(($C67+$C$1)&gt;AV$3,AV$3&gt;=$C$1),'General Inputs'!T$9*$F67,0))</f>
        <v>7.9246339793561296</v>
      </c>
      <c r="AW67" s="214">
        <f>IF(AND(($D67+$C$1)&gt;AW$3,AW$3&gt;=$C$1),'General Inputs'!U$9*$G67,IF(AND(($C67+$C$1)&gt;AW$3,AW$3&gt;=$C$1),'General Inputs'!U$9*$F67,0))</f>
        <v>8.0435034890464703</v>
      </c>
      <c r="AX67" s="214">
        <f>IF(AND(($D67+$C$1)&gt;AX$3,AX$3&gt;=$C$1),'General Inputs'!V$9*$G67,IF(AND(($C67+$C$1)&gt;AX$3,AX$3&gt;=$C$1),'General Inputs'!V$9*$F67,0))</f>
        <v>0</v>
      </c>
      <c r="AY67" s="214">
        <f>IF(AND(($D67+$C$1)&gt;AY$3,AY$3&gt;=$C$1),'General Inputs'!W$9*$G67,IF(AND(($C67+$C$1)&gt;AY$3,AY$3&gt;=$C$1),'General Inputs'!W$9*$F67,0))</f>
        <v>0</v>
      </c>
      <c r="BA67" s="214">
        <f>IF(AND(($D67+$C$1)&gt;AF$3,AF$3&gt;=$C$1),'General Inputs'!D$10*$I67,IF(AND(($C67+$C$1)&gt;AF$3,AF$3&gt;=$C$1),'General Inputs'!D$10*$H67,0))</f>
        <v>1384.8220252817086</v>
      </c>
      <c r="BB67" s="214">
        <f>IF(AND(($D67+$C$1)&gt;AG$3,AG$3&gt;=$C$1),'General Inputs'!E$10*$I67,IF(AND(($C67+$C$1)&gt;AG$3,AG$3&gt;=$C$1),'General Inputs'!E$10*$H67,0))</f>
        <v>1405.5943556609341</v>
      </c>
      <c r="BC67" s="214">
        <f>IF(AND(($D67+$C$1)&gt;AH$3,AH$3&gt;=$C$1),'General Inputs'!F$10*$I67,IF(AND(($C67+$C$1)&gt;AH$3,AH$3&gt;=$C$1),'General Inputs'!F$10*$H67,0))</f>
        <v>1426.6782709958479</v>
      </c>
      <c r="BD67" s="214">
        <f>IF(AND(($D67+$C$1)&gt;AI$3,AI$3&gt;=$C$1),'General Inputs'!G$10*$I67,IF(AND(($C67+$C$1)&gt;AI$3,AI$3&gt;=$C$1),'General Inputs'!G$10*$H67,0))</f>
        <v>1448.0784450607855</v>
      </c>
      <c r="BE67" s="214">
        <f>IF(AND(($D67+$C$1)&gt;AJ$3,AJ$3&gt;=$C$1),'General Inputs'!H$10*$I67,IF(AND(($C67+$C$1)&gt;AJ$3,AJ$3&gt;=$C$1),'General Inputs'!H$10*$H67,0))</f>
        <v>1469.7996217366972</v>
      </c>
      <c r="BF67" s="214">
        <f>IF(AND(($D67+$C$1)&gt;AK$3,AK$3&gt;=$C$1),'General Inputs'!I$10*$I67,IF(AND(($C67+$C$1)&gt;AK$3,AK$3&gt;=$C$1),'General Inputs'!I$10*$H67,0))</f>
        <v>1491.8466160627474</v>
      </c>
      <c r="BG67" s="214">
        <f>IF(AND(($D67+$C$1)&gt;AL$3,AL$3&gt;=$C$1),'General Inputs'!J$10*$I67,IF(AND(($C67+$C$1)&gt;AL$3,AL$3&gt;=$C$1),'General Inputs'!J$10*$H67,0))</f>
        <v>1514.2243153036884</v>
      </c>
      <c r="BH67" s="214">
        <f>IF(AND(($D67+$C$1)&gt;AM$3,AM$3&gt;=$C$1),'General Inputs'!K$10*$I67,IF(AND(($C67+$C$1)&gt;AM$3,AM$3&gt;=$C$1),'General Inputs'!K$10*$H67,0))</f>
        <v>1536.9376800332436</v>
      </c>
      <c r="BI67" s="214">
        <f>IF(AND(($D67+$C$1)&gt;AN$3,AN$3&gt;=$C$1),'General Inputs'!L$10*$I67,IF(AND(($C67+$C$1)&gt;AN$3,AN$3&gt;=$C$1),'General Inputs'!L$10*$H67,0))</f>
        <v>1559.9917452337422</v>
      </c>
      <c r="BJ67" s="214">
        <f>IF(AND(($D67+$C$1)&gt;AO$3,AO$3&gt;=$C$1),'General Inputs'!M$10*$I67,IF(AND(($C67+$C$1)&gt;AO$3,AO$3&gt;=$C$1),'General Inputs'!M$10*$H67,0))</f>
        <v>1583.3916214122482</v>
      </c>
      <c r="BK67" s="214">
        <f>IF(AND(($D67+$C$1)&gt;AP$3,AP$3&gt;=$C$1),'General Inputs'!N$10*$I67,IF(AND(($C67+$C$1)&gt;AP$3,AP$3&gt;=$C$1),'General Inputs'!N$10*$H67,0))</f>
        <v>1607.1424957334318</v>
      </c>
      <c r="BL67" s="214">
        <f>IF(AND(($D67+$C$1)&gt;AQ$3,AQ$3&gt;=$C$1),'General Inputs'!O$10*$I67,IF(AND(($C67+$C$1)&gt;AQ$3,AQ$3&gt;=$C$1),'General Inputs'!O$10*$H67,0))</f>
        <v>1631.2496331694331</v>
      </c>
      <c r="BM67" s="214">
        <f>IF(AND(($D67+$C$1)&gt;AR$3,AR$3&gt;=$C$1),'General Inputs'!P$10*$I67,IF(AND(($C67+$C$1)&gt;AR$3,AR$3&gt;=$C$1),'General Inputs'!P$10*$H67,0))</f>
        <v>1655.7183776669744</v>
      </c>
      <c r="BN67" s="214">
        <f>IF(AND(($D67+$C$1)&gt;AS$3,AS$3&gt;=$C$1),'General Inputs'!Q$10*$I67,IF(AND(($C67+$C$1)&gt;AS$3,AS$3&gt;=$C$1),'General Inputs'!Q$10*$H67,0))</f>
        <v>1680.554153331979</v>
      </c>
      <c r="BO67" s="214">
        <f>IF(AND(($D67+$C$1)&gt;AT$3,AT$3&gt;=$C$1),'General Inputs'!R$10*$I67,IF(AND(($C67+$C$1)&gt;AT$3,AT$3&gt;=$C$1),'General Inputs'!R$10*$H67,0))</f>
        <v>1705.7624656319583</v>
      </c>
      <c r="BP67" s="214">
        <f>IF(AND(($D67+$C$1)&gt;AU$3,AU$3&gt;=$C$1),'General Inputs'!S$10*$I67,IF(AND(($C67+$C$1)&gt;AU$3,AU$3&gt;=$C$1),'General Inputs'!S$10*$H67,0))</f>
        <v>1731.3489026164377</v>
      </c>
      <c r="BQ67" s="214">
        <f>IF(AND(($D67+$C$1)&gt;AV$3,AV$3&gt;=$C$1),'General Inputs'!T$10*$I67,IF(AND(($C67+$C$1)&gt;AV$3,AV$3&gt;=$C$1),'General Inputs'!T$10*$H67,0))</f>
        <v>1757.319136155684</v>
      </c>
      <c r="BR67" s="214">
        <f>IF(AND(($D67+$C$1)&gt;AW$3,AW$3&gt;=$C$1),'General Inputs'!U$10*$I67,IF(AND(($C67+$C$1)&gt;AW$3,AW$3&gt;=$C$1),'General Inputs'!U$10*$H67,0))</f>
        <v>1783.678923198019</v>
      </c>
      <c r="BS67" s="214">
        <f>IF(AND(($D67+$C$1)&gt;AX$3,AX$3&gt;=$C$1),'General Inputs'!V$10*$I67,IF(AND(($C67+$C$1)&gt;AX$3,AX$3&gt;=$C$1),'General Inputs'!V$10*$H67,0))</f>
        <v>0</v>
      </c>
      <c r="BT67" s="214">
        <f>IF(AND(($D67+$C$1)&gt;AY$3,AY$3&gt;=$C$1),'General Inputs'!W$10*$I67,IF(AND(($C67+$C$1)&gt;AY$3,AY$3&gt;=$C$1),'General Inputs'!W$10*$H67,0))</f>
        <v>0</v>
      </c>
    </row>
    <row r="68" spans="1:72">
      <c r="A68" s="342" t="s">
        <v>112</v>
      </c>
      <c r="B68" s="427" t="str">
        <f>Sources!B68</f>
        <v>Ceramic Integrated Metal Halide (≤150W)</v>
      </c>
      <c r="C68" s="193">
        <f>Sources!C68</f>
        <v>18</v>
      </c>
      <c r="D68" s="193">
        <f>Sources!D68</f>
        <v>0</v>
      </c>
      <c r="F68" s="429">
        <f>Sources!F68*EnergyLineLoss</f>
        <v>946.95522374999985</v>
      </c>
      <c r="G68" s="429">
        <f>Sources!G68*EnergyLineLoss</f>
        <v>0</v>
      </c>
      <c r="H68" s="477">
        <f>Sources!H68*PeakLineLoss</f>
        <v>0.14642713799999998</v>
      </c>
      <c r="I68" s="477">
        <f>Sources!I68*PeakLineLoss</f>
        <v>0</v>
      </c>
      <c r="K68" s="419">
        <f>Sources!J68</f>
        <v>145</v>
      </c>
      <c r="L68" s="419">
        <f>Sources!K68</f>
        <v>0</v>
      </c>
      <c r="N68" s="438">
        <f t="shared" si="27"/>
        <v>2.9186792516003126</v>
      </c>
      <c r="P68" s="215">
        <f t="shared" si="28"/>
        <v>399.94805618224302</v>
      </c>
      <c r="Q68" s="215">
        <f t="shared" si="29"/>
        <v>23.260435299802261</v>
      </c>
      <c r="R68" s="215">
        <f t="shared" si="30"/>
        <v>145</v>
      </c>
      <c r="T68" s="214">
        <f t="shared" si="32"/>
        <v>145</v>
      </c>
      <c r="U68" s="214">
        <f t="shared" si="32"/>
        <v>0</v>
      </c>
      <c r="V68" s="214">
        <f t="shared" si="31"/>
        <v>0</v>
      </c>
      <c r="W68" s="214">
        <f t="shared" si="31"/>
        <v>0</v>
      </c>
      <c r="X68" s="214">
        <f t="shared" si="31"/>
        <v>0</v>
      </c>
      <c r="Y68" s="214">
        <f t="shared" si="31"/>
        <v>0</v>
      </c>
      <c r="Z68" s="214">
        <f t="shared" si="31"/>
        <v>0</v>
      </c>
      <c r="AA68" s="214">
        <f t="shared" si="31"/>
        <v>0</v>
      </c>
      <c r="AB68" s="214">
        <f t="shared" si="31"/>
        <v>0</v>
      </c>
      <c r="AC68" s="214">
        <f t="shared" si="31"/>
        <v>0</v>
      </c>
      <c r="AD68" s="214">
        <f t="shared" si="31"/>
        <v>0</v>
      </c>
      <c r="AF68" s="214">
        <f>IF(AND(($D68+$C$1)&gt;AF$3,AF$3&gt;=$C$1),'General Inputs'!D$9*$G68,IF(AND(($C68+$C$1)&gt;AF$3,AF$3&gt;=$C$1),'General Inputs'!D$9*$F68,0))</f>
        <v>37.700436326302906</v>
      </c>
      <c r="AG68" s="214">
        <f>IF(AND(($D68+$C$1)&gt;AG$3,AG$3&gt;=$C$1),'General Inputs'!E$9*$G68,IF(AND(($C68+$C$1)&gt;AG$3,AG$3&gt;=$C$1),'General Inputs'!E$9*$F68,0))</f>
        <v>38.265942871197446</v>
      </c>
      <c r="AH68" s="214">
        <f>IF(AND(($D68+$C$1)&gt;AH$3,AH$3&gt;=$C$1),'General Inputs'!F$9*$G68,IF(AND(($C68+$C$1)&gt;AH$3,AH$3&gt;=$C$1),'General Inputs'!F$9*$F68,0))</f>
        <v>38.839932014265401</v>
      </c>
      <c r="AI68" s="214">
        <f>IF(AND(($D68+$C$1)&gt;AI$3,AI$3&gt;=$C$1),'General Inputs'!G$9*$G68,IF(AND(($C68+$C$1)&gt;AI$3,AI$3&gt;=$C$1),'General Inputs'!G$9*$F68,0))</f>
        <v>39.422530994479381</v>
      </c>
      <c r="AJ68" s="214">
        <f>IF(AND(($D68+$C$1)&gt;AJ$3,AJ$3&gt;=$C$1),'General Inputs'!H$9*$G68,IF(AND(($C68+$C$1)&gt;AJ$3,AJ$3&gt;=$C$1),'General Inputs'!H$9*$F68,0))</f>
        <v>40.013868959396568</v>
      </c>
      <c r="AK68" s="214">
        <f>IF(AND(($D68+$C$1)&gt;AK$3,AK$3&gt;=$C$1),'General Inputs'!I$9*$G68,IF(AND(($C68+$C$1)&gt;AK$3,AK$3&gt;=$C$1),'General Inputs'!I$9*$F68,0))</f>
        <v>40.614076993787506</v>
      </c>
      <c r="AL68" s="214">
        <f>IF(AND(($D68+$C$1)&gt;AL$3,AL$3&gt;=$C$1),'General Inputs'!J$9*$G68,IF(AND(($C68+$C$1)&gt;AL$3,AL$3&gt;=$C$1),'General Inputs'!J$9*$F68,0))</f>
        <v>41.223288148694316</v>
      </c>
      <c r="AM68" s="214">
        <f>IF(AND(($D68+$C$1)&gt;AM$3,AM$3&gt;=$C$1),'General Inputs'!K$9*$G68,IF(AND(($C68+$C$1)&gt;AM$3,AM$3&gt;=$C$1),'General Inputs'!K$9*$F68,0))</f>
        <v>41.841637470924724</v>
      </c>
      <c r="AN68" s="214">
        <f>IF(AND(($D68+$C$1)&gt;AN$3,AN$3&gt;=$C$1),'General Inputs'!L$9*$G68,IF(AND(($C68+$C$1)&gt;AN$3,AN$3&gt;=$C$1),'General Inputs'!L$9*$F68,0))</f>
        <v>42.469262032988588</v>
      </c>
      <c r="AO68" s="214">
        <f>IF(AND(($D68+$C$1)&gt;AO$3,AO$3&gt;=$C$1),'General Inputs'!M$9*$G68,IF(AND(($C68+$C$1)&gt;AO$3,AO$3&gt;=$C$1),'General Inputs'!M$9*$F68,0))</f>
        <v>43.106300963483413</v>
      </c>
      <c r="AP68" s="214">
        <f>IF(AND(($D68+$C$1)&gt;AP$3,AP$3&gt;=$C$1),'General Inputs'!N$9*$G68,IF(AND(($C68+$C$1)&gt;AP$3,AP$3&gt;=$C$1),'General Inputs'!N$9*$F68,0))</f>
        <v>43.75289547793566</v>
      </c>
      <c r="AQ68" s="214">
        <f>IF(AND(($D68+$C$1)&gt;AQ$3,AQ$3&gt;=$C$1),'General Inputs'!O$9*$G68,IF(AND(($C68+$C$1)&gt;AQ$3,AQ$3&gt;=$C$1),'General Inputs'!O$9*$F68,0))</f>
        <v>44.409188910104689</v>
      </c>
      <c r="AR68" s="214">
        <f>IF(AND(($D68+$C$1)&gt;AR$3,AR$3&gt;=$C$1),'General Inputs'!P$9*$G68,IF(AND(($C68+$C$1)&gt;AR$3,AR$3&gt;=$C$1),'General Inputs'!P$9*$F68,0))</f>
        <v>45.075326743756257</v>
      </c>
      <c r="AS68" s="214">
        <f>IF(AND(($D68+$C$1)&gt;AS$3,AS$3&gt;=$C$1),'General Inputs'!Q$9*$G68,IF(AND(($C68+$C$1)&gt;AS$3,AS$3&gt;=$C$1),'General Inputs'!Q$9*$F68,0))</f>
        <v>45.751456644912601</v>
      </c>
      <c r="AT68" s="214">
        <f>IF(AND(($D68+$C$1)&gt;AT$3,AT$3&gt;=$C$1),'General Inputs'!R$9*$G68,IF(AND(($C68+$C$1)&gt;AT$3,AT$3&gt;=$C$1),'General Inputs'!R$9*$F68,0))</f>
        <v>46.437728494586288</v>
      </c>
      <c r="AU68" s="214">
        <f>IF(AND(($D68+$C$1)&gt;AU$3,AU$3&gt;=$C$1),'General Inputs'!S$9*$G68,IF(AND(($C68+$C$1)&gt;AU$3,AU$3&gt;=$C$1),'General Inputs'!S$9*$F68,0))</f>
        <v>47.134294422005077</v>
      </c>
      <c r="AV68" s="214">
        <f>IF(AND(($D68+$C$1)&gt;AV$3,AV$3&gt;=$C$1),'General Inputs'!T$9*$G68,IF(AND(($C68+$C$1)&gt;AV$3,AV$3&gt;=$C$1),'General Inputs'!T$9*$F68,0))</f>
        <v>47.841308838335152</v>
      </c>
      <c r="AW68" s="214">
        <f>IF(AND(($D68+$C$1)&gt;AW$3,AW$3&gt;=$C$1),'General Inputs'!U$9*$G68,IF(AND(($C68+$C$1)&gt;AW$3,AW$3&gt;=$C$1),'General Inputs'!U$9*$F68,0))</f>
        <v>48.558928470910175</v>
      </c>
      <c r="AX68" s="214">
        <f>IF(AND(($D68+$C$1)&gt;AX$3,AX$3&gt;=$C$1),'General Inputs'!V$9*$G68,IF(AND(($C68+$C$1)&gt;AX$3,AX$3&gt;=$C$1),'General Inputs'!V$9*$F68,0))</f>
        <v>0</v>
      </c>
      <c r="AY68" s="214">
        <f>IF(AND(($D68+$C$1)&gt;AY$3,AY$3&gt;=$C$1),'General Inputs'!W$9*$G68,IF(AND(($C68+$C$1)&gt;AY$3,AY$3&gt;=$C$1),'General Inputs'!W$9*$F68,0))</f>
        <v>0</v>
      </c>
      <c r="BA68" s="214">
        <f>IF(AND(($D68+$C$1)&gt;AF$3,AF$3&gt;=$C$1),'General Inputs'!D$10*$I68,IF(AND(($C68+$C$1)&gt;AF$3,AF$3&gt;=$C$1),'General Inputs'!D$10*$H68,0))</f>
        <v>2.1926061306888722</v>
      </c>
      <c r="BB68" s="214">
        <f>IF(AND(($D68+$C$1)&gt;AG$3,AG$3&gt;=$C$1),'General Inputs'!E$10*$I68,IF(AND(($C68+$C$1)&gt;AG$3,AG$3&gt;=$C$1),'General Inputs'!E$10*$H68,0))</f>
        <v>2.2254952226492049</v>
      </c>
      <c r="BC68" s="214">
        <f>IF(AND(($D68+$C$1)&gt;AH$3,AH$3&gt;=$C$1),'General Inputs'!F$10*$I68,IF(AND(($C68+$C$1)&gt;AH$3,AH$3&gt;=$C$1),'General Inputs'!F$10*$H68,0))</f>
        <v>2.2588776509889428</v>
      </c>
      <c r="BD68" s="214">
        <f>IF(AND(($D68+$C$1)&gt;AI$3,AI$3&gt;=$C$1),'General Inputs'!G$10*$I68,IF(AND(($C68+$C$1)&gt;AI$3,AI$3&gt;=$C$1),'General Inputs'!G$10*$H68,0))</f>
        <v>2.2927608157537769</v>
      </c>
      <c r="BE68" s="214">
        <f>IF(AND(($D68+$C$1)&gt;AJ$3,AJ$3&gt;=$C$1),'General Inputs'!H$10*$I68,IF(AND(($C68+$C$1)&gt;AJ$3,AJ$3&gt;=$C$1),'General Inputs'!H$10*$H68,0))</f>
        <v>2.3271522279900831</v>
      </c>
      <c r="BF68" s="214">
        <f>IF(AND(($D68+$C$1)&gt;AK$3,AK$3&gt;=$C$1),'General Inputs'!I$10*$I68,IF(AND(($C68+$C$1)&gt;AK$3,AK$3&gt;=$C$1),'General Inputs'!I$10*$H68,0))</f>
        <v>2.3620595114099343</v>
      </c>
      <c r="BG68" s="214">
        <f>IF(AND(($D68+$C$1)&gt;AL$3,AL$3&gt;=$C$1),'General Inputs'!J$10*$I68,IF(AND(($C68+$C$1)&gt;AL$3,AL$3&gt;=$C$1),'General Inputs'!J$10*$H68,0))</f>
        <v>2.3974904040810827</v>
      </c>
      <c r="BH68" s="214">
        <f>IF(AND(($D68+$C$1)&gt;AM$3,AM$3&gt;=$C$1),'General Inputs'!K$10*$I68,IF(AND(($C68+$C$1)&gt;AM$3,AM$3&gt;=$C$1),'General Inputs'!K$10*$H68,0))</f>
        <v>2.4334527601422988</v>
      </c>
      <c r="BI68" s="214">
        <f>IF(AND(($D68+$C$1)&gt;AN$3,AN$3&gt;=$C$1),'General Inputs'!L$10*$I68,IF(AND(($C68+$C$1)&gt;AN$3,AN$3&gt;=$C$1),'General Inputs'!L$10*$H68,0))</f>
        <v>2.4699545515444332</v>
      </c>
      <c r="BJ68" s="214">
        <f>IF(AND(($D68+$C$1)&gt;AO$3,AO$3&gt;=$C$1),'General Inputs'!M$10*$I68,IF(AND(($C68+$C$1)&gt;AO$3,AO$3&gt;=$C$1),'General Inputs'!M$10*$H68,0))</f>
        <v>2.5070038698175998</v>
      </c>
      <c r="BK68" s="214">
        <f>IF(AND(($D68+$C$1)&gt;AP$3,AP$3&gt;=$C$1),'General Inputs'!N$10*$I68,IF(AND(($C68+$C$1)&gt;AP$3,AP$3&gt;=$C$1),'General Inputs'!N$10*$H68,0))</f>
        <v>2.5446089278648634</v>
      </c>
      <c r="BL68" s="214">
        <f>IF(AND(($D68+$C$1)&gt;AQ$3,AQ$3&gt;=$C$1),'General Inputs'!O$10*$I68,IF(AND(($C68+$C$1)&gt;AQ$3,AQ$3&gt;=$C$1),'General Inputs'!O$10*$H68,0))</f>
        <v>2.582778061782836</v>
      </c>
      <c r="BM68" s="214">
        <f>IF(AND(($D68+$C$1)&gt;AR$3,AR$3&gt;=$C$1),'General Inputs'!P$10*$I68,IF(AND(($C68+$C$1)&gt;AR$3,AR$3&gt;=$C$1),'General Inputs'!P$10*$H68,0))</f>
        <v>2.6215197327095785</v>
      </c>
      <c r="BN68" s="214">
        <f>IF(AND(($D68+$C$1)&gt;AS$3,AS$3&gt;=$C$1),'General Inputs'!Q$10*$I68,IF(AND(($C68+$C$1)&gt;AS$3,AS$3&gt;=$C$1),'General Inputs'!Q$10*$H68,0))</f>
        <v>2.660842528700222</v>
      </c>
      <c r="BO68" s="214">
        <f>IF(AND(($D68+$C$1)&gt;AT$3,AT$3&gt;=$C$1),'General Inputs'!R$10*$I68,IF(AND(($C68+$C$1)&gt;AT$3,AT$3&gt;=$C$1),'General Inputs'!R$10*$H68,0))</f>
        <v>2.7007551666307248</v>
      </c>
      <c r="BP68" s="214">
        <f>IF(AND(($D68+$C$1)&gt;AU$3,AU$3&gt;=$C$1),'General Inputs'!S$10*$I68,IF(AND(($C68+$C$1)&gt;AU$3,AU$3&gt;=$C$1),'General Inputs'!S$10*$H68,0))</f>
        <v>2.7412664941301856</v>
      </c>
      <c r="BQ68" s="214">
        <f>IF(AND(($D68+$C$1)&gt;AV$3,AV$3&gt;=$C$1),'General Inputs'!T$10*$I68,IF(AND(($C68+$C$1)&gt;AV$3,AV$3&gt;=$C$1),'General Inputs'!T$10*$H68,0))</f>
        <v>2.7823854915421378</v>
      </c>
      <c r="BR68" s="214">
        <f>IF(AND(($D68+$C$1)&gt;AW$3,AW$3&gt;=$C$1),'General Inputs'!U$10*$I68,IF(AND(($C68+$C$1)&gt;AW$3,AW$3&gt;=$C$1),'General Inputs'!U$10*$H68,0))</f>
        <v>2.8241212739152699</v>
      </c>
      <c r="BS68" s="214">
        <f>IF(AND(($D68+$C$1)&gt;AX$3,AX$3&gt;=$C$1),'General Inputs'!V$10*$I68,IF(AND(($C68+$C$1)&gt;AX$3,AX$3&gt;=$C$1),'General Inputs'!V$10*$H68,0))</f>
        <v>0</v>
      </c>
      <c r="BT68" s="214">
        <f>IF(AND(($D68+$C$1)&gt;AY$3,AY$3&gt;=$C$1),'General Inputs'!W$10*$I68,IF(AND(($C68+$C$1)&gt;AY$3,AY$3&gt;=$C$1),'General Inputs'!W$10*$H68,0))</f>
        <v>0</v>
      </c>
    </row>
    <row r="69" spans="1:72">
      <c r="A69" s="342" t="s">
        <v>112</v>
      </c>
      <c r="B69" s="427" t="str">
        <f>Sources!B69</f>
        <v>Ceramic Integrated Metal Halide (150 &lt; 250W)</v>
      </c>
      <c r="C69" s="193">
        <f>Sources!C69</f>
        <v>18</v>
      </c>
      <c r="D69" s="193">
        <f>Sources!D69</f>
        <v>0</v>
      </c>
      <c r="F69" s="429">
        <f>Sources!F69*EnergyLineLoss</f>
        <v>1063.1460487499999</v>
      </c>
      <c r="G69" s="429">
        <f>Sources!G69*EnergyLineLoss</f>
        <v>0</v>
      </c>
      <c r="H69" s="477">
        <f>Sources!H69*PeakLineLoss</f>
        <v>0.164393658</v>
      </c>
      <c r="I69" s="477">
        <f>Sources!I69*PeakLineLoss</f>
        <v>0</v>
      </c>
      <c r="K69" s="419">
        <f>Sources!J69</f>
        <v>98</v>
      </c>
      <c r="L69" s="419">
        <f>Sources!K69</f>
        <v>0</v>
      </c>
      <c r="N69" s="438">
        <f t="shared" si="27"/>
        <v>4.8483256505079693</v>
      </c>
      <c r="P69" s="215">
        <f t="shared" si="28"/>
        <v>449.02143730889867</v>
      </c>
      <c r="Q69" s="215">
        <f t="shared" si="29"/>
        <v>26.114476440882299</v>
      </c>
      <c r="R69" s="215">
        <f t="shared" si="30"/>
        <v>98</v>
      </c>
      <c r="T69" s="214">
        <f t="shared" si="32"/>
        <v>98</v>
      </c>
      <c r="U69" s="214">
        <f t="shared" si="32"/>
        <v>0</v>
      </c>
      <c r="V69" s="214">
        <f t="shared" si="31"/>
        <v>0</v>
      </c>
      <c r="W69" s="214">
        <f t="shared" si="31"/>
        <v>0</v>
      </c>
      <c r="X69" s="214">
        <f t="shared" si="31"/>
        <v>0</v>
      </c>
      <c r="Y69" s="214">
        <f t="shared" si="31"/>
        <v>0</v>
      </c>
      <c r="Z69" s="214">
        <f t="shared" si="31"/>
        <v>0</v>
      </c>
      <c r="AA69" s="214">
        <f t="shared" si="31"/>
        <v>0</v>
      </c>
      <c r="AB69" s="214">
        <f t="shared" si="31"/>
        <v>0</v>
      </c>
      <c r="AC69" s="214">
        <f t="shared" si="31"/>
        <v>0</v>
      </c>
      <c r="AD69" s="214">
        <f t="shared" si="31"/>
        <v>0</v>
      </c>
      <c r="AF69" s="214">
        <f>IF(AND(($D69+$C$1)&gt;AF$3,AF$3&gt;=$C$1),'General Inputs'!D$9*$G69,IF(AND(($C69+$C$1)&gt;AF$3,AF$3&gt;=$C$1),'General Inputs'!D$9*$F69,0))</f>
        <v>42.326256734438232</v>
      </c>
      <c r="AG69" s="214">
        <f>IF(AND(($D69+$C$1)&gt;AG$3,AG$3&gt;=$C$1),'General Inputs'!E$9*$G69,IF(AND(($C69+$C$1)&gt;AG$3,AG$3&gt;=$C$1),'General Inputs'!E$9*$F69,0))</f>
        <v>42.961150585454803</v>
      </c>
      <c r="AH69" s="214">
        <f>IF(AND(($D69+$C$1)&gt;AH$3,AH$3&gt;=$C$1),'General Inputs'!F$9*$G69,IF(AND(($C69+$C$1)&gt;AH$3,AH$3&gt;=$C$1),'General Inputs'!F$9*$F69,0))</f>
        <v>43.605567844236617</v>
      </c>
      <c r="AI69" s="214">
        <f>IF(AND(($D69+$C$1)&gt;AI$3,AI$3&gt;=$C$1),'General Inputs'!G$9*$G69,IF(AND(($C69+$C$1)&gt;AI$3,AI$3&gt;=$C$1),'General Inputs'!G$9*$F69,0))</f>
        <v>44.259651361900168</v>
      </c>
      <c r="AJ69" s="214">
        <f>IF(AND(($D69+$C$1)&gt;AJ$3,AJ$3&gt;=$C$1),'General Inputs'!H$9*$G69,IF(AND(($C69+$C$1)&gt;AJ$3,AJ$3&gt;=$C$1),'General Inputs'!H$9*$F69,0))</f>
        <v>44.92354613232866</v>
      </c>
      <c r="AK69" s="214">
        <f>IF(AND(($D69+$C$1)&gt;AK$3,AK$3&gt;=$C$1),'General Inputs'!I$9*$G69,IF(AND(($C69+$C$1)&gt;AK$3,AK$3&gt;=$C$1),'General Inputs'!I$9*$F69,0))</f>
        <v>45.597399324313585</v>
      </c>
      <c r="AL69" s="214">
        <f>IF(AND(($D69+$C$1)&gt;AL$3,AL$3&gt;=$C$1),'General Inputs'!J$9*$G69,IF(AND(($C69+$C$1)&gt;AL$3,AL$3&gt;=$C$1),'General Inputs'!J$9*$F69,0))</f>
        <v>46.281360314178279</v>
      </c>
      <c r="AM69" s="214">
        <f>IF(AND(($D69+$C$1)&gt;AM$3,AM$3&gt;=$C$1),'General Inputs'!K$9*$G69,IF(AND(($C69+$C$1)&gt;AM$3,AM$3&gt;=$C$1),'General Inputs'!K$9*$F69,0))</f>
        <v>46.975580718890946</v>
      </c>
      <c r="AN69" s="214">
        <f>IF(AND(($D69+$C$1)&gt;AN$3,AN$3&gt;=$C$1),'General Inputs'!L$9*$G69,IF(AND(($C69+$C$1)&gt;AN$3,AN$3&gt;=$C$1),'General Inputs'!L$9*$F69,0))</f>
        <v>47.680214429674308</v>
      </c>
      <c r="AO69" s="214">
        <f>IF(AND(($D69+$C$1)&gt;AO$3,AO$3&gt;=$C$1),'General Inputs'!M$9*$G69,IF(AND(($C69+$C$1)&gt;AO$3,AO$3&gt;=$C$1),'General Inputs'!M$9*$F69,0))</f>
        <v>48.395417646119419</v>
      </c>
      <c r="AP69" s="214">
        <f>IF(AND(($D69+$C$1)&gt;AP$3,AP$3&gt;=$C$1),'General Inputs'!N$9*$G69,IF(AND(($C69+$C$1)&gt;AP$3,AP$3&gt;=$C$1),'General Inputs'!N$9*$F69,0))</f>
        <v>49.121348910811207</v>
      </c>
      <c r="AQ69" s="214">
        <f>IF(AND(($D69+$C$1)&gt;AQ$3,AQ$3&gt;=$C$1),'General Inputs'!O$9*$G69,IF(AND(($C69+$C$1)&gt;AQ$3,AQ$3&gt;=$C$1),'General Inputs'!O$9*$F69,0))</f>
        <v>49.858169144473365</v>
      </c>
      <c r="AR69" s="214">
        <f>IF(AND(($D69+$C$1)&gt;AR$3,AR$3&gt;=$C$1),'General Inputs'!P$9*$G69,IF(AND(($C69+$C$1)&gt;AR$3,AR$3&gt;=$C$1),'General Inputs'!P$9*$F69,0))</f>
        <v>50.606041681640463</v>
      </c>
      <c r="AS69" s="214">
        <f>IF(AND(($D69+$C$1)&gt;AS$3,AS$3&gt;=$C$1),'General Inputs'!Q$9*$G69,IF(AND(($C69+$C$1)&gt;AS$3,AS$3&gt;=$C$1),'General Inputs'!Q$9*$F69,0))</f>
        <v>51.365132306865064</v>
      </c>
      <c r="AT69" s="214">
        <f>IF(AND(($D69+$C$1)&gt;AT$3,AT$3&gt;=$C$1),'General Inputs'!R$9*$G69,IF(AND(($C69+$C$1)&gt;AT$3,AT$3&gt;=$C$1),'General Inputs'!R$9*$F69,0))</f>
        <v>52.135609291468036</v>
      </c>
      <c r="AU69" s="214">
        <f>IF(AND(($D69+$C$1)&gt;AU$3,AU$3&gt;=$C$1),'General Inputs'!S$9*$G69,IF(AND(($C69+$C$1)&gt;AU$3,AU$3&gt;=$C$1),'General Inputs'!S$9*$F69,0))</f>
        <v>52.917643430840059</v>
      </c>
      <c r="AV69" s="214">
        <f>IF(AND(($D69+$C$1)&gt;AV$3,AV$3&gt;=$C$1),'General Inputs'!T$9*$G69,IF(AND(($C69+$C$1)&gt;AV$3,AV$3&gt;=$C$1),'General Inputs'!T$9*$F69,0))</f>
        <v>53.711408082302654</v>
      </c>
      <c r="AW69" s="214">
        <f>IF(AND(($D69+$C$1)&gt;AW$3,AW$3&gt;=$C$1),'General Inputs'!U$9*$G69,IF(AND(($C69+$C$1)&gt;AW$3,AW$3&gt;=$C$1),'General Inputs'!U$9*$F69,0))</f>
        <v>54.517079203537193</v>
      </c>
      <c r="AX69" s="214">
        <f>IF(AND(($D69+$C$1)&gt;AX$3,AX$3&gt;=$C$1),'General Inputs'!V$9*$G69,IF(AND(($C69+$C$1)&gt;AX$3,AX$3&gt;=$C$1),'General Inputs'!V$9*$F69,0))</f>
        <v>0</v>
      </c>
      <c r="AY69" s="214">
        <f>IF(AND(($D69+$C$1)&gt;AY$3,AY$3&gt;=$C$1),'General Inputs'!W$9*$G69,IF(AND(($C69+$C$1)&gt;AY$3,AY$3&gt;=$C$1),'General Inputs'!W$9*$F69,0))</f>
        <v>0</v>
      </c>
      <c r="BA69" s="214">
        <f>IF(AND(($D69+$C$1)&gt;AF$3,AF$3&gt;=$C$1),'General Inputs'!D$10*$I69,IF(AND(($C69+$C$1)&gt;AF$3,AF$3&gt;=$C$1),'General Inputs'!D$10*$H69,0))</f>
        <v>2.4616375577672618</v>
      </c>
      <c r="BB69" s="214">
        <f>IF(AND(($D69+$C$1)&gt;AG$3,AG$3&gt;=$C$1),'General Inputs'!E$10*$I69,IF(AND(($C69+$C$1)&gt;AG$3,AG$3&gt;=$C$1),'General Inputs'!E$10*$H69,0))</f>
        <v>2.4985621211337703</v>
      </c>
      <c r="BC69" s="214">
        <f>IF(AND(($D69+$C$1)&gt;AH$3,AH$3&gt;=$C$1),'General Inputs'!F$10*$I69,IF(AND(($C69+$C$1)&gt;AH$3,AH$3&gt;=$C$1),'General Inputs'!F$10*$H69,0))</f>
        <v>2.5360405529507766</v>
      </c>
      <c r="BD69" s="214">
        <f>IF(AND(($D69+$C$1)&gt;AI$3,AI$3&gt;=$C$1),'General Inputs'!G$10*$I69,IF(AND(($C69+$C$1)&gt;AI$3,AI$3&gt;=$C$1),'General Inputs'!G$10*$H69,0))</f>
        <v>2.5740811612450383</v>
      </c>
      <c r="BE69" s="214">
        <f>IF(AND(($D69+$C$1)&gt;AJ$3,AJ$3&gt;=$C$1),'General Inputs'!H$10*$I69,IF(AND(($C69+$C$1)&gt;AJ$3,AJ$3&gt;=$C$1),'General Inputs'!H$10*$H69,0))</f>
        <v>2.6126923786637133</v>
      </c>
      <c r="BF69" s="214">
        <f>IF(AND(($D69+$C$1)&gt;AK$3,AK$3&gt;=$C$1),'General Inputs'!I$10*$I69,IF(AND(($C69+$C$1)&gt;AK$3,AK$3&gt;=$C$1),'General Inputs'!I$10*$H69,0))</f>
        <v>2.6518827643436684</v>
      </c>
      <c r="BG69" s="214">
        <f>IF(AND(($D69+$C$1)&gt;AL$3,AL$3&gt;=$C$1),'General Inputs'!J$10*$I69,IF(AND(($C69+$C$1)&gt;AL$3,AL$3&gt;=$C$1),'General Inputs'!J$10*$H69,0))</f>
        <v>2.6916610058088235</v>
      </c>
      <c r="BH69" s="214">
        <f>IF(AND(($D69+$C$1)&gt;AM$3,AM$3&gt;=$C$1),'General Inputs'!K$10*$I69,IF(AND(($C69+$C$1)&gt;AM$3,AM$3&gt;=$C$1),'General Inputs'!K$10*$H69,0))</f>
        <v>2.7320359208959553</v>
      </c>
      <c r="BI69" s="214">
        <f>IF(AND(($D69+$C$1)&gt;AN$3,AN$3&gt;=$C$1),'General Inputs'!L$10*$I69,IF(AND(($C69+$C$1)&gt;AN$3,AN$3&gt;=$C$1),'General Inputs'!L$10*$H69,0))</f>
        <v>2.7730164597093947</v>
      </c>
      <c r="BJ69" s="214">
        <f>IF(AND(($D69+$C$1)&gt;AO$3,AO$3&gt;=$C$1),'General Inputs'!M$10*$I69,IF(AND(($C69+$C$1)&gt;AO$3,AO$3&gt;=$C$1),'General Inputs'!M$10*$H69,0))</f>
        <v>2.8146117066050356</v>
      </c>
      <c r="BK69" s="214">
        <f>IF(AND(($D69+$C$1)&gt;AP$3,AP$3&gt;=$C$1),'General Inputs'!N$10*$I69,IF(AND(($C69+$C$1)&gt;AP$3,AP$3&gt;=$C$1),'General Inputs'!N$10*$H69,0))</f>
        <v>2.8568308822041106</v>
      </c>
      <c r="BL69" s="214">
        <f>IF(AND(($D69+$C$1)&gt;AQ$3,AQ$3&gt;=$C$1),'General Inputs'!O$10*$I69,IF(AND(($C69+$C$1)&gt;AQ$3,AQ$3&gt;=$C$1),'General Inputs'!O$10*$H69,0))</f>
        <v>2.8996833454371718</v>
      </c>
      <c r="BM69" s="214">
        <f>IF(AND(($D69+$C$1)&gt;AR$3,AR$3&gt;=$C$1),'General Inputs'!P$10*$I69,IF(AND(($C69+$C$1)&gt;AR$3,AR$3&gt;=$C$1),'General Inputs'!P$10*$H69,0))</f>
        <v>2.9431785956187295</v>
      </c>
      <c r="BN69" s="214">
        <f>IF(AND(($D69+$C$1)&gt;AS$3,AS$3&gt;=$C$1),'General Inputs'!Q$10*$I69,IF(AND(($C69+$C$1)&gt;AS$3,AS$3&gt;=$C$1),'General Inputs'!Q$10*$H69,0))</f>
        <v>2.98732627455301</v>
      </c>
      <c r="BO69" s="214">
        <f>IF(AND(($D69+$C$1)&gt;AT$3,AT$3&gt;=$C$1),'General Inputs'!R$10*$I69,IF(AND(($C69+$C$1)&gt;AT$3,AT$3&gt;=$C$1),'General Inputs'!R$10*$H69,0))</f>
        <v>3.0321361686713049</v>
      </c>
      <c r="BP69" s="214">
        <f>IF(AND(($D69+$C$1)&gt;AU$3,AU$3&gt;=$C$1),'General Inputs'!S$10*$I69,IF(AND(($C69+$C$1)&gt;AU$3,AU$3&gt;=$C$1),'General Inputs'!S$10*$H69,0))</f>
        <v>3.0776182112013744</v>
      </c>
      <c r="BQ69" s="214">
        <f>IF(AND(($D69+$C$1)&gt;AV$3,AV$3&gt;=$C$1),'General Inputs'!T$10*$I69,IF(AND(($C69+$C$1)&gt;AV$3,AV$3&gt;=$C$1),'General Inputs'!T$10*$H69,0))</f>
        <v>3.1237824843693942</v>
      </c>
      <c r="BR69" s="214">
        <f>IF(AND(($D69+$C$1)&gt;AW$3,AW$3&gt;=$C$1),'General Inputs'!U$10*$I69,IF(AND(($C69+$C$1)&gt;AW$3,AW$3&gt;=$C$1),'General Inputs'!U$10*$H69,0))</f>
        <v>3.1706392216349348</v>
      </c>
      <c r="BS69" s="214">
        <f>IF(AND(($D69+$C$1)&gt;AX$3,AX$3&gt;=$C$1),'General Inputs'!V$10*$I69,IF(AND(($C69+$C$1)&gt;AX$3,AX$3&gt;=$C$1),'General Inputs'!V$10*$H69,0))</f>
        <v>0</v>
      </c>
      <c r="BT69" s="214">
        <f>IF(AND(($D69+$C$1)&gt;AY$3,AY$3&gt;=$C$1),'General Inputs'!W$10*$I69,IF(AND(($C69+$C$1)&gt;AY$3,AY$3&gt;=$C$1),'General Inputs'!W$10*$H69,0))</f>
        <v>0</v>
      </c>
    </row>
    <row r="70" spans="1:72">
      <c r="A70" s="342" t="s">
        <v>112</v>
      </c>
      <c r="B70" s="427" t="str">
        <f>Sources!B70</f>
        <v>Ceramic Integrated Metal Halide (≥250 W)</v>
      </c>
      <c r="C70" s="193">
        <f>Sources!C70</f>
        <v>18</v>
      </c>
      <c r="D70" s="193">
        <f>Sources!D70</f>
        <v>0</v>
      </c>
      <c r="F70" s="429">
        <f>Sources!F70*EnergyLineLoss</f>
        <v>493.81100625000005</v>
      </c>
      <c r="G70" s="429">
        <f>Sources!G70*EnergyLineLoss</f>
        <v>0</v>
      </c>
      <c r="H70" s="477">
        <f>Sources!H70*PeakLineLoss</f>
        <v>7.6357710000000009E-2</v>
      </c>
      <c r="I70" s="477">
        <f>Sources!I70*PeakLineLoss</f>
        <v>0</v>
      </c>
      <c r="K70" s="419">
        <f>Sources!J70</f>
        <v>42</v>
      </c>
      <c r="L70" s="419">
        <f>Sources!K70</f>
        <v>0</v>
      </c>
      <c r="N70" s="438">
        <f t="shared" si="27"/>
        <v>5.2545605866161047</v>
      </c>
      <c r="P70" s="215">
        <f t="shared" si="28"/>
        <v>208.56186978828626</v>
      </c>
      <c r="Q70" s="215">
        <f t="shared" si="29"/>
        <v>12.129674849590142</v>
      </c>
      <c r="R70" s="215">
        <f t="shared" si="30"/>
        <v>42</v>
      </c>
      <c r="T70" s="214">
        <f t="shared" si="32"/>
        <v>42</v>
      </c>
      <c r="U70" s="214">
        <f t="shared" si="32"/>
        <v>0</v>
      </c>
      <c r="V70" s="214">
        <f t="shared" si="31"/>
        <v>0</v>
      </c>
      <c r="W70" s="214">
        <f t="shared" si="31"/>
        <v>0</v>
      </c>
      <c r="X70" s="214">
        <f t="shared" si="31"/>
        <v>0</v>
      </c>
      <c r="Y70" s="214">
        <f t="shared" si="31"/>
        <v>0</v>
      </c>
      <c r="Z70" s="214">
        <f t="shared" si="31"/>
        <v>0</v>
      </c>
      <c r="AA70" s="214">
        <f t="shared" si="31"/>
        <v>0</v>
      </c>
      <c r="AB70" s="214">
        <f t="shared" si="31"/>
        <v>0</v>
      </c>
      <c r="AC70" s="214">
        <f t="shared" si="31"/>
        <v>0</v>
      </c>
      <c r="AD70" s="214">
        <f t="shared" si="31"/>
        <v>0</v>
      </c>
      <c r="AF70" s="214">
        <f>IF(AND(($D70+$C$1)&gt;AF$3,AF$3&gt;=$C$1),'General Inputs'!D$9*$G70,IF(AND(($C70+$C$1)&gt;AF$3,AF$3&gt;=$C$1),'General Inputs'!D$9*$F70,0))</f>
        <v>19.659736734575141</v>
      </c>
      <c r="AG70" s="214">
        <f>IF(AND(($D70+$C$1)&gt;AG$3,AG$3&gt;=$C$1),'General Inputs'!E$9*$G70,IF(AND(($C70+$C$1)&gt;AG$3,AG$3&gt;=$C$1),'General Inputs'!E$9*$F70,0))</f>
        <v>19.954632785593766</v>
      </c>
      <c r="AH70" s="214">
        <f>IF(AND(($D70+$C$1)&gt;AH$3,AH$3&gt;=$C$1),'General Inputs'!F$9*$G70,IF(AND(($C70+$C$1)&gt;AH$3,AH$3&gt;=$C$1),'General Inputs'!F$9*$F70,0))</f>
        <v>20.253952277377671</v>
      </c>
      <c r="AI70" s="214">
        <f>IF(AND(($D70+$C$1)&gt;AI$3,AI$3&gt;=$C$1),'General Inputs'!G$9*$G70,IF(AND(($C70+$C$1)&gt;AI$3,AI$3&gt;=$C$1),'General Inputs'!G$9*$F70,0))</f>
        <v>20.557761561538332</v>
      </c>
      <c r="AJ70" s="214">
        <f>IF(AND(($D70+$C$1)&gt;AJ$3,AJ$3&gt;=$C$1),'General Inputs'!H$9*$G70,IF(AND(($C70+$C$1)&gt;AJ$3,AJ$3&gt;=$C$1),'General Inputs'!H$9*$F70,0))</f>
        <v>20.866127984961405</v>
      </c>
      <c r="AK70" s="214">
        <f>IF(AND(($D70+$C$1)&gt;AK$3,AK$3&gt;=$C$1),'General Inputs'!I$9*$G70,IF(AND(($C70+$C$1)&gt;AK$3,AK$3&gt;=$C$1),'General Inputs'!I$9*$F70,0))</f>
        <v>21.179119904735824</v>
      </c>
      <c r="AL70" s="214">
        <f>IF(AND(($D70+$C$1)&gt;AL$3,AL$3&gt;=$C$1),'General Inputs'!J$9*$G70,IF(AND(($C70+$C$1)&gt;AL$3,AL$3&gt;=$C$1),'General Inputs'!J$9*$F70,0))</f>
        <v>21.496806703306856</v>
      </c>
      <c r="AM70" s="214">
        <f>IF(AND(($D70+$C$1)&gt;AM$3,AM$3&gt;=$C$1),'General Inputs'!K$9*$G70,IF(AND(($C70+$C$1)&gt;AM$3,AM$3&gt;=$C$1),'General Inputs'!K$9*$F70,0))</f>
        <v>21.819258803856457</v>
      </c>
      <c r="AN70" s="214">
        <f>IF(AND(($D70+$C$1)&gt;AN$3,AN$3&gt;=$C$1),'General Inputs'!L$9*$G70,IF(AND(($C70+$C$1)&gt;AN$3,AN$3&gt;=$C$1),'General Inputs'!L$9*$F70,0))</f>
        <v>22.146547685914303</v>
      </c>
      <c r="AO70" s="214">
        <f>IF(AND(($D70+$C$1)&gt;AO$3,AO$3&gt;=$C$1),'General Inputs'!M$9*$G70,IF(AND(($C70+$C$1)&gt;AO$3,AO$3&gt;=$C$1),'General Inputs'!M$9*$F70,0))</f>
        <v>22.478745901203013</v>
      </c>
      <c r="AP70" s="214">
        <f>IF(AND(($D70+$C$1)&gt;AP$3,AP$3&gt;=$C$1),'General Inputs'!N$9*$G70,IF(AND(($C70+$C$1)&gt;AP$3,AP$3&gt;=$C$1),'General Inputs'!N$9*$F70,0))</f>
        <v>22.815927089721058</v>
      </c>
      <c r="AQ70" s="214">
        <f>IF(AND(($D70+$C$1)&gt;AQ$3,AQ$3&gt;=$C$1),'General Inputs'!O$9*$G70,IF(AND(($C70+$C$1)&gt;AQ$3,AQ$3&gt;=$C$1),'General Inputs'!O$9*$F70,0))</f>
        <v>23.15816599606687</v>
      </c>
      <c r="AR70" s="214">
        <f>IF(AND(($D70+$C$1)&gt;AR$3,AR$3&gt;=$C$1),'General Inputs'!P$9*$G70,IF(AND(($C70+$C$1)&gt;AR$3,AR$3&gt;=$C$1),'General Inputs'!P$9*$F70,0))</f>
        <v>23.505538486007872</v>
      </c>
      <c r="AS70" s="214">
        <f>IF(AND(($D70+$C$1)&gt;AS$3,AS$3&gt;=$C$1),'General Inputs'!Q$9*$G70,IF(AND(($C70+$C$1)&gt;AS$3,AS$3&gt;=$C$1),'General Inputs'!Q$9*$F70,0))</f>
        <v>23.858121563297988</v>
      </c>
      <c r="AT70" s="214">
        <f>IF(AND(($D70+$C$1)&gt;AT$3,AT$3&gt;=$C$1),'General Inputs'!R$9*$G70,IF(AND(($C70+$C$1)&gt;AT$3,AT$3&gt;=$C$1),'General Inputs'!R$9*$F70,0))</f>
        <v>24.215993386747456</v>
      </c>
      <c r="AU70" s="214">
        <f>IF(AND(($D70+$C$1)&gt;AU$3,AU$3&gt;=$C$1),'General Inputs'!S$9*$G70,IF(AND(($C70+$C$1)&gt;AU$3,AU$3&gt;=$C$1),'General Inputs'!S$9*$F70,0))</f>
        <v>24.579233287548664</v>
      </c>
      <c r="AV70" s="214">
        <f>IF(AND(($D70+$C$1)&gt;AV$3,AV$3&gt;=$C$1),'General Inputs'!T$9*$G70,IF(AND(($C70+$C$1)&gt;AV$3,AV$3&gt;=$C$1),'General Inputs'!T$9*$F70,0))</f>
        <v>24.947921786861894</v>
      </c>
      <c r="AW70" s="214">
        <f>IF(AND(($D70+$C$1)&gt;AW$3,AW$3&gt;=$C$1),'General Inputs'!U$9*$G70,IF(AND(($C70+$C$1)&gt;AW$3,AW$3&gt;=$C$1),'General Inputs'!U$9*$F70,0))</f>
        <v>25.322140613664821</v>
      </c>
      <c r="AX70" s="214">
        <f>IF(AND(($D70+$C$1)&gt;AX$3,AX$3&gt;=$C$1),'General Inputs'!V$9*$G70,IF(AND(($C70+$C$1)&gt;AX$3,AX$3&gt;=$C$1),'General Inputs'!V$9*$F70,0))</f>
        <v>0</v>
      </c>
      <c r="AY70" s="214">
        <f>IF(AND(($D70+$C$1)&gt;AY$3,AY$3&gt;=$C$1),'General Inputs'!W$9*$G70,IF(AND(($C70+$C$1)&gt;AY$3,AY$3&gt;=$C$1),'General Inputs'!W$9*$F70,0))</f>
        <v>0</v>
      </c>
      <c r="BA70" s="214">
        <f>IF(AND(($D70+$C$1)&gt;AF$3,AF$3&gt;=$C$1),'General Inputs'!D$10*$I70,IF(AND(($C70+$C$1)&gt;AF$3,AF$3&gt;=$C$1),'General Inputs'!D$10*$H70,0))</f>
        <v>1.1433835650831545</v>
      </c>
      <c r="BB70" s="214">
        <f>IF(AND(($D70+$C$1)&gt;AG$3,AG$3&gt;=$C$1),'General Inputs'!E$10*$I70,IF(AND(($C70+$C$1)&gt;AG$3,AG$3&gt;=$C$1),'General Inputs'!E$10*$H70,0))</f>
        <v>1.1605343185594017</v>
      </c>
      <c r="BC70" s="214">
        <f>IF(AND(($D70+$C$1)&gt;AH$3,AH$3&gt;=$C$1),'General Inputs'!F$10*$I70,IF(AND(($C70+$C$1)&gt;AH$3,AH$3&gt;=$C$1),'General Inputs'!F$10*$H70,0))</f>
        <v>1.1779423333377925</v>
      </c>
      <c r="BD70" s="214">
        <f>IF(AND(($D70+$C$1)&gt;AI$3,AI$3&gt;=$C$1),'General Inputs'!G$10*$I70,IF(AND(($C70+$C$1)&gt;AI$3,AI$3&gt;=$C$1),'General Inputs'!G$10*$H70,0))</f>
        <v>1.1956114683378594</v>
      </c>
      <c r="BE70" s="214">
        <f>IF(AND(($D70+$C$1)&gt;AJ$3,AJ$3&gt;=$C$1),'General Inputs'!H$10*$I70,IF(AND(($C70+$C$1)&gt;AJ$3,AJ$3&gt;=$C$1),'General Inputs'!H$10*$H70,0))</f>
        <v>1.2135456403629272</v>
      </c>
      <c r="BF70" s="214">
        <f>IF(AND(($D70+$C$1)&gt;AK$3,AK$3&gt;=$C$1),'General Inputs'!I$10*$I70,IF(AND(($C70+$C$1)&gt;AK$3,AK$3&gt;=$C$1),'General Inputs'!I$10*$H70,0))</f>
        <v>1.2317488249683708</v>
      </c>
      <c r="BG70" s="214">
        <f>IF(AND(($D70+$C$1)&gt;AL$3,AL$3&gt;=$C$1),'General Inputs'!J$10*$I70,IF(AND(($C70+$C$1)&gt;AL$3,AL$3&gt;=$C$1),'General Inputs'!J$10*$H70,0))</f>
        <v>1.2502250573428961</v>
      </c>
      <c r="BH70" s="214">
        <f>IF(AND(($D70+$C$1)&gt;AM$3,AM$3&gt;=$C$1),'General Inputs'!K$10*$I70,IF(AND(($C70+$C$1)&gt;AM$3,AM$3&gt;=$C$1),'General Inputs'!K$10*$H70,0))</f>
        <v>1.2689784332030396</v>
      </c>
      <c r="BI70" s="214">
        <f>IF(AND(($D70+$C$1)&gt;AN$3,AN$3&gt;=$C$1),'General Inputs'!L$10*$I70,IF(AND(($C70+$C$1)&gt;AN$3,AN$3&gt;=$C$1),'General Inputs'!L$10*$H70,0))</f>
        <v>1.2880131097010852</v>
      </c>
      <c r="BJ70" s="214">
        <f>IF(AND(($D70+$C$1)&gt;AO$3,AO$3&gt;=$C$1),'General Inputs'!M$10*$I70,IF(AND(($C70+$C$1)&gt;AO$3,AO$3&gt;=$C$1),'General Inputs'!M$10*$H70,0))</f>
        <v>1.3073333063466013</v>
      </c>
      <c r="BK70" s="214">
        <f>IF(AND(($D70+$C$1)&gt;AP$3,AP$3&gt;=$C$1),'General Inputs'!N$10*$I70,IF(AND(($C70+$C$1)&gt;AP$3,AP$3&gt;=$C$1),'General Inputs'!N$10*$H70,0))</f>
        <v>1.3269433059418001</v>
      </c>
      <c r="BL70" s="214">
        <f>IF(AND(($D70+$C$1)&gt;AQ$3,AQ$3&gt;=$C$1),'General Inputs'!O$10*$I70,IF(AND(($C70+$C$1)&gt;AQ$3,AQ$3&gt;=$C$1),'General Inputs'!O$10*$H70,0))</f>
        <v>1.3468474555309271</v>
      </c>
      <c r="BM70" s="214">
        <f>IF(AND(($D70+$C$1)&gt;AR$3,AR$3&gt;=$C$1),'General Inputs'!P$10*$I70,IF(AND(($C70+$C$1)&gt;AR$3,AR$3&gt;=$C$1),'General Inputs'!P$10*$H70,0))</f>
        <v>1.3670501673638908</v>
      </c>
      <c r="BN70" s="214">
        <f>IF(AND(($D70+$C$1)&gt;AS$3,AS$3&gt;=$C$1),'General Inputs'!Q$10*$I70,IF(AND(($C70+$C$1)&gt;AS$3,AS$3&gt;=$C$1),'General Inputs'!Q$10*$H70,0))</f>
        <v>1.387555919874349</v>
      </c>
      <c r="BO70" s="214">
        <f>IF(AND(($D70+$C$1)&gt;AT$3,AT$3&gt;=$C$1),'General Inputs'!R$10*$I70,IF(AND(($C70+$C$1)&gt;AT$3,AT$3&gt;=$C$1),'General Inputs'!R$10*$H70,0))</f>
        <v>1.4083692586724641</v>
      </c>
      <c r="BP70" s="214">
        <f>IF(AND(($D70+$C$1)&gt;AU$3,AU$3&gt;=$C$1),'General Inputs'!S$10*$I70,IF(AND(($C70+$C$1)&gt;AU$3,AU$3&gt;=$C$1),'General Inputs'!S$10*$H70,0))</f>
        <v>1.4294947975525509</v>
      </c>
      <c r="BQ70" s="214">
        <f>IF(AND(($D70+$C$1)&gt;AV$3,AV$3&gt;=$C$1),'General Inputs'!T$10*$I70,IF(AND(($C70+$C$1)&gt;AV$3,AV$3&gt;=$C$1),'General Inputs'!T$10*$H70,0))</f>
        <v>1.4509372195158392</v>
      </c>
      <c r="BR70" s="214">
        <f>IF(AND(($D70+$C$1)&gt;AW$3,AW$3&gt;=$C$1),'General Inputs'!U$10*$I70,IF(AND(($C70+$C$1)&gt;AW$3,AW$3&gt;=$C$1),'General Inputs'!U$10*$H70,0))</f>
        <v>1.4727012778085766</v>
      </c>
      <c r="BS70" s="214">
        <f>IF(AND(($D70+$C$1)&gt;AX$3,AX$3&gt;=$C$1),'General Inputs'!V$10*$I70,IF(AND(($C70+$C$1)&gt;AX$3,AX$3&gt;=$C$1),'General Inputs'!V$10*$H70,0))</f>
        <v>0</v>
      </c>
      <c r="BT70" s="214">
        <f>IF(AND(($D70+$C$1)&gt;AY$3,AY$3&gt;=$C$1),'General Inputs'!W$10*$I70,IF(AND(($C70+$C$1)&gt;AY$3,AY$3&gt;=$C$1),'General Inputs'!W$10*$H70,0))</f>
        <v>0</v>
      </c>
    </row>
    <row r="71" spans="1:72">
      <c r="A71" s="342" t="s">
        <v>112</v>
      </c>
      <c r="B71" s="427" t="str">
        <f>Sources!B71</f>
        <v>Pulse Start Metal Halide (≤175W)</v>
      </c>
      <c r="C71" s="193">
        <f>Sources!C71</f>
        <v>18</v>
      </c>
      <c r="D71" s="193">
        <f>Sources!D71</f>
        <v>0</v>
      </c>
      <c r="F71" s="429">
        <f>Sources!F71*EnergyLineLoss</f>
        <v>981.81247124999993</v>
      </c>
      <c r="G71" s="429">
        <f>Sources!G71*EnergyLineLoss</f>
        <v>0</v>
      </c>
      <c r="H71" s="477">
        <f>Sources!H71*PeakLineLoss</f>
        <v>0.15181709400000001</v>
      </c>
      <c r="I71" s="477">
        <f>Sources!I71*PeakLineLoss</f>
        <v>0</v>
      </c>
      <c r="K71" s="419">
        <f>Sources!J71</f>
        <v>161</v>
      </c>
      <c r="L71" s="419">
        <f>Sources!K71</f>
        <v>0</v>
      </c>
      <c r="N71" s="438">
        <f t="shared" si="27"/>
        <v>2.7253833426233918</v>
      </c>
      <c r="P71" s="215">
        <f t="shared" si="28"/>
        <v>414.67007052023979</v>
      </c>
      <c r="Q71" s="215">
        <f t="shared" si="29"/>
        <v>24.116647642126281</v>
      </c>
      <c r="R71" s="215">
        <f t="shared" si="30"/>
        <v>161</v>
      </c>
      <c r="T71" s="214">
        <f t="shared" si="32"/>
        <v>161</v>
      </c>
      <c r="U71" s="214">
        <f t="shared" si="32"/>
        <v>0</v>
      </c>
      <c r="V71" s="214">
        <f t="shared" si="31"/>
        <v>0</v>
      </c>
      <c r="W71" s="214">
        <f t="shared" si="31"/>
        <v>0</v>
      </c>
      <c r="X71" s="214">
        <f t="shared" si="31"/>
        <v>0</v>
      </c>
      <c r="Y71" s="214">
        <f t="shared" si="31"/>
        <v>0</v>
      </c>
      <c r="Z71" s="214">
        <f t="shared" si="31"/>
        <v>0</v>
      </c>
      <c r="AA71" s="214">
        <f t="shared" si="31"/>
        <v>0</v>
      </c>
      <c r="AB71" s="214">
        <f t="shared" si="31"/>
        <v>0</v>
      </c>
      <c r="AC71" s="214">
        <f t="shared" si="31"/>
        <v>0</v>
      </c>
      <c r="AD71" s="214">
        <f t="shared" si="31"/>
        <v>0</v>
      </c>
      <c r="AF71" s="214">
        <f>IF(AND(($D71+$C$1)&gt;AF$3,AF$3&gt;=$C$1),'General Inputs'!D$9*$G71,IF(AND(($C71+$C$1)&gt;AF$3,AF$3&gt;=$C$1),'General Inputs'!D$9*$F71,0))</f>
        <v>39.08818244874351</v>
      </c>
      <c r="AG71" s="214">
        <f>IF(AND(($D71+$C$1)&gt;AG$3,AG$3&gt;=$C$1),'General Inputs'!E$9*$G71,IF(AND(($C71+$C$1)&gt;AG$3,AG$3&gt;=$C$1),'General Inputs'!E$9*$F71,0))</f>
        <v>39.674505185474658</v>
      </c>
      <c r="AH71" s="214">
        <f>IF(AND(($D71+$C$1)&gt;AH$3,AH$3&gt;=$C$1),'General Inputs'!F$9*$G71,IF(AND(($C71+$C$1)&gt;AH$3,AH$3&gt;=$C$1),'General Inputs'!F$9*$F71,0))</f>
        <v>40.26962276325677</v>
      </c>
      <c r="AI71" s="214">
        <f>IF(AND(($D71+$C$1)&gt;AI$3,AI$3&gt;=$C$1),'General Inputs'!G$9*$G71,IF(AND(($C71+$C$1)&gt;AI$3,AI$3&gt;=$C$1),'General Inputs'!G$9*$F71,0))</f>
        <v>40.873667104705618</v>
      </c>
      <c r="AJ71" s="214">
        <f>IF(AND(($D71+$C$1)&gt;AJ$3,AJ$3&gt;=$C$1),'General Inputs'!H$9*$G71,IF(AND(($C71+$C$1)&gt;AJ$3,AJ$3&gt;=$C$1),'General Inputs'!H$9*$F71,0))</f>
        <v>41.486772111276196</v>
      </c>
      <c r="AK71" s="214">
        <f>IF(AND(($D71+$C$1)&gt;AK$3,AK$3&gt;=$C$1),'General Inputs'!I$9*$G71,IF(AND(($C71+$C$1)&gt;AK$3,AK$3&gt;=$C$1),'General Inputs'!I$9*$F71,0))</f>
        <v>42.109073692945337</v>
      </c>
      <c r="AL71" s="214">
        <f>IF(AND(($D71+$C$1)&gt;AL$3,AL$3&gt;=$C$1),'General Inputs'!J$9*$G71,IF(AND(($C71+$C$1)&gt;AL$3,AL$3&gt;=$C$1),'General Inputs'!J$9*$F71,0))</f>
        <v>42.740709798339509</v>
      </c>
      <c r="AM71" s="214">
        <f>IF(AND(($D71+$C$1)&gt;AM$3,AM$3&gt;=$C$1),'General Inputs'!K$9*$G71,IF(AND(($C71+$C$1)&gt;AM$3,AM$3&gt;=$C$1),'General Inputs'!K$9*$F71,0))</f>
        <v>43.381820445314595</v>
      </c>
      <c r="AN71" s="214">
        <f>IF(AND(($D71+$C$1)&gt;AN$3,AN$3&gt;=$C$1),'General Inputs'!L$9*$G71,IF(AND(($C71+$C$1)&gt;AN$3,AN$3&gt;=$C$1),'General Inputs'!L$9*$F71,0))</f>
        <v>44.032547751994308</v>
      </c>
      <c r="AO71" s="214">
        <f>IF(AND(($D71+$C$1)&gt;AO$3,AO$3&gt;=$C$1),'General Inputs'!M$9*$G71,IF(AND(($C71+$C$1)&gt;AO$3,AO$3&gt;=$C$1),'General Inputs'!M$9*$F71,0))</f>
        <v>44.693035968274216</v>
      </c>
      <c r="AP71" s="214">
        <f>IF(AND(($D71+$C$1)&gt;AP$3,AP$3&gt;=$C$1),'General Inputs'!N$9*$G71,IF(AND(($C71+$C$1)&gt;AP$3,AP$3&gt;=$C$1),'General Inputs'!N$9*$F71,0))</f>
        <v>45.363431507798332</v>
      </c>
      <c r="AQ71" s="214">
        <f>IF(AND(($D71+$C$1)&gt;AQ$3,AQ$3&gt;=$C$1),'General Inputs'!O$9*$G71,IF(AND(($C71+$C$1)&gt;AQ$3,AQ$3&gt;=$C$1),'General Inputs'!O$9*$F71,0))</f>
        <v>46.043882980415297</v>
      </c>
      <c r="AR71" s="214">
        <f>IF(AND(($D71+$C$1)&gt;AR$3,AR$3&gt;=$C$1),'General Inputs'!P$9*$G71,IF(AND(($C71+$C$1)&gt;AR$3,AR$3&gt;=$C$1),'General Inputs'!P$9*$F71,0))</f>
        <v>46.734541225121525</v>
      </c>
      <c r="AS71" s="214">
        <f>IF(AND(($D71+$C$1)&gt;AS$3,AS$3&gt;=$C$1),'General Inputs'!Q$9*$G71,IF(AND(($C71+$C$1)&gt;AS$3,AS$3&gt;=$C$1),'General Inputs'!Q$9*$F71,0))</f>
        <v>47.43555934349834</v>
      </c>
      <c r="AT71" s="214">
        <f>IF(AND(($D71+$C$1)&gt;AT$3,AT$3&gt;=$C$1),'General Inputs'!R$9*$G71,IF(AND(($C71+$C$1)&gt;AT$3,AT$3&gt;=$C$1),'General Inputs'!R$9*$F71,0))</f>
        <v>48.147092733650815</v>
      </c>
      <c r="AU71" s="214">
        <f>IF(AND(($D71+$C$1)&gt;AU$3,AU$3&gt;=$C$1),'General Inputs'!S$9*$G71,IF(AND(($C71+$C$1)&gt;AU$3,AU$3&gt;=$C$1),'General Inputs'!S$9*$F71,0))</f>
        <v>48.869299124655576</v>
      </c>
      <c r="AV71" s="214">
        <f>IF(AND(($D71+$C$1)&gt;AV$3,AV$3&gt;=$C$1),'General Inputs'!T$9*$G71,IF(AND(($C71+$C$1)&gt;AV$3,AV$3&gt;=$C$1),'General Inputs'!T$9*$F71,0))</f>
        <v>49.602338611525404</v>
      </c>
      <c r="AW71" s="214">
        <f>IF(AND(($D71+$C$1)&gt;AW$3,AW$3&gt;=$C$1),'General Inputs'!U$9*$G71,IF(AND(($C71+$C$1)&gt;AW$3,AW$3&gt;=$C$1),'General Inputs'!U$9*$F71,0))</f>
        <v>50.346373690698286</v>
      </c>
      <c r="AX71" s="214">
        <f>IF(AND(($D71+$C$1)&gt;AX$3,AX$3&gt;=$C$1),'General Inputs'!V$9*$G71,IF(AND(($C71+$C$1)&gt;AX$3,AX$3&gt;=$C$1),'General Inputs'!V$9*$F71,0))</f>
        <v>0</v>
      </c>
      <c r="AY71" s="214">
        <f>IF(AND(($D71+$C$1)&gt;AY$3,AY$3&gt;=$C$1),'General Inputs'!W$9*$G71,IF(AND(($C71+$C$1)&gt;AY$3,AY$3&gt;=$C$1),'General Inputs'!W$9*$F71,0))</f>
        <v>0</v>
      </c>
      <c r="BA71" s="214">
        <f>IF(AND(($D71+$C$1)&gt;AF$3,AF$3&gt;=$C$1),'General Inputs'!D$10*$I71,IF(AND(($C71+$C$1)&gt;AF$3,AF$3&gt;=$C$1),'General Inputs'!D$10*$H71,0))</f>
        <v>2.2733155588123894</v>
      </c>
      <c r="BB71" s="214">
        <f>IF(AND(($D71+$C$1)&gt;AG$3,AG$3&gt;=$C$1),'General Inputs'!E$10*$I71,IF(AND(($C71+$C$1)&gt;AG$3,AG$3&gt;=$C$1),'General Inputs'!E$10*$H71,0))</f>
        <v>2.307415292194575</v>
      </c>
      <c r="BC71" s="214">
        <f>IF(AND(($D71+$C$1)&gt;AH$3,AH$3&gt;=$C$1),'General Inputs'!F$10*$I71,IF(AND(($C71+$C$1)&gt;AH$3,AH$3&gt;=$C$1),'General Inputs'!F$10*$H71,0))</f>
        <v>2.3420265215774934</v>
      </c>
      <c r="BD71" s="214">
        <f>IF(AND(($D71+$C$1)&gt;AI$3,AI$3&gt;=$C$1),'General Inputs'!G$10*$I71,IF(AND(($C71+$C$1)&gt;AI$3,AI$3&gt;=$C$1),'General Inputs'!G$10*$H71,0))</f>
        <v>2.3771569194011555</v>
      </c>
      <c r="BE71" s="214">
        <f>IF(AND(($D71+$C$1)&gt;AJ$3,AJ$3&gt;=$C$1),'General Inputs'!H$10*$I71,IF(AND(($C71+$C$1)&gt;AJ$3,AJ$3&gt;=$C$1),'General Inputs'!H$10*$H71,0))</f>
        <v>2.4128142731921729</v>
      </c>
      <c r="BF71" s="214">
        <f>IF(AND(($D71+$C$1)&gt;AK$3,AK$3&gt;=$C$1),'General Inputs'!I$10*$I71,IF(AND(($C71+$C$1)&gt;AK$3,AK$3&gt;=$C$1),'General Inputs'!I$10*$H71,0))</f>
        <v>2.4490064872900548</v>
      </c>
      <c r="BG71" s="214">
        <f>IF(AND(($D71+$C$1)&gt;AL$3,AL$3&gt;=$C$1),'General Inputs'!J$10*$I71,IF(AND(($C71+$C$1)&gt;AL$3,AL$3&gt;=$C$1),'General Inputs'!J$10*$H71,0))</f>
        <v>2.4857415845994053</v>
      </c>
      <c r="BH71" s="214">
        <f>IF(AND(($D71+$C$1)&gt;AM$3,AM$3&gt;=$C$1),'General Inputs'!K$10*$I71,IF(AND(($C71+$C$1)&gt;AM$3,AM$3&gt;=$C$1),'General Inputs'!K$10*$H71,0))</f>
        <v>2.5230277083683963</v>
      </c>
      <c r="BI71" s="214">
        <f>IF(AND(($D71+$C$1)&gt;AN$3,AN$3&gt;=$C$1),'General Inputs'!L$10*$I71,IF(AND(($C71+$C$1)&gt;AN$3,AN$3&gt;=$C$1),'General Inputs'!L$10*$H71,0))</f>
        <v>2.5608731239939222</v>
      </c>
      <c r="BJ71" s="214">
        <f>IF(AND(($D71+$C$1)&gt;AO$3,AO$3&gt;=$C$1),'General Inputs'!M$10*$I71,IF(AND(($C71+$C$1)&gt;AO$3,AO$3&gt;=$C$1),'General Inputs'!M$10*$H71,0))</f>
        <v>2.599286220853831</v>
      </c>
      <c r="BK71" s="214">
        <f>IF(AND(($D71+$C$1)&gt;AP$3,AP$3&gt;=$C$1),'General Inputs'!N$10*$I71,IF(AND(($C71+$C$1)&gt;AP$3,AP$3&gt;=$C$1),'General Inputs'!N$10*$H71,0))</f>
        <v>2.6382755141666379</v>
      </c>
      <c r="BL71" s="214">
        <f>IF(AND(($D71+$C$1)&gt;AQ$3,AQ$3&gt;=$C$1),'General Inputs'!O$10*$I71,IF(AND(($C71+$C$1)&gt;AQ$3,AQ$3&gt;=$C$1),'General Inputs'!O$10*$H71,0))</f>
        <v>2.6778496468791371</v>
      </c>
      <c r="BM71" s="214">
        <f>IF(AND(($D71+$C$1)&gt;AR$3,AR$3&gt;=$C$1),'General Inputs'!P$10*$I71,IF(AND(($C71+$C$1)&gt;AR$3,AR$3&gt;=$C$1),'General Inputs'!P$10*$H71,0))</f>
        <v>2.718017391582324</v>
      </c>
      <c r="BN71" s="214">
        <f>IF(AND(($D71+$C$1)&gt;AS$3,AS$3&gt;=$C$1),'General Inputs'!Q$10*$I71,IF(AND(($C71+$C$1)&gt;AS$3,AS$3&gt;=$C$1),'General Inputs'!Q$10*$H71,0))</f>
        <v>2.7587876524560588</v>
      </c>
      <c r="BO71" s="214">
        <f>IF(AND(($D71+$C$1)&gt;AT$3,AT$3&gt;=$C$1),'General Inputs'!R$10*$I71,IF(AND(($C71+$C$1)&gt;AT$3,AT$3&gt;=$C$1),'General Inputs'!R$10*$H71,0))</f>
        <v>2.8001694672428989</v>
      </c>
      <c r="BP71" s="214">
        <f>IF(AND(($D71+$C$1)&gt;AU$3,AU$3&gt;=$C$1),'General Inputs'!S$10*$I71,IF(AND(($C71+$C$1)&gt;AU$3,AU$3&gt;=$C$1),'General Inputs'!S$10*$H71,0))</f>
        <v>2.8421720092515423</v>
      </c>
      <c r="BQ71" s="214">
        <f>IF(AND(($D71+$C$1)&gt;AV$3,AV$3&gt;=$C$1),'General Inputs'!T$10*$I71,IF(AND(($C71+$C$1)&gt;AV$3,AV$3&gt;=$C$1),'General Inputs'!T$10*$H71,0))</f>
        <v>2.8848045893903151</v>
      </c>
      <c r="BR71" s="214">
        <f>IF(AND(($D71+$C$1)&gt;AW$3,AW$3&gt;=$C$1),'General Inputs'!U$10*$I71,IF(AND(($C71+$C$1)&gt;AW$3,AW$3&gt;=$C$1),'General Inputs'!U$10*$H71,0))</f>
        <v>2.9280766582311699</v>
      </c>
      <c r="BS71" s="214">
        <f>IF(AND(($D71+$C$1)&gt;AX$3,AX$3&gt;=$C$1),'General Inputs'!V$10*$I71,IF(AND(($C71+$C$1)&gt;AX$3,AX$3&gt;=$C$1),'General Inputs'!V$10*$H71,0))</f>
        <v>0</v>
      </c>
      <c r="BT71" s="214">
        <f>IF(AND(($D71+$C$1)&gt;AY$3,AY$3&gt;=$C$1),'General Inputs'!W$10*$I71,IF(AND(($C71+$C$1)&gt;AY$3,AY$3&gt;=$C$1),'General Inputs'!W$10*$H71,0))</f>
        <v>0</v>
      </c>
    </row>
    <row r="72" spans="1:72">
      <c r="A72" s="342" t="s">
        <v>112</v>
      </c>
      <c r="B72" s="427" t="str">
        <f>Sources!B72</f>
        <v>Pulse Start Metal Halide (175 &lt; 320 W)</v>
      </c>
      <c r="C72" s="193">
        <f>Sources!C72</f>
        <v>18</v>
      </c>
      <c r="D72" s="193">
        <f>Sources!D72</f>
        <v>0</v>
      </c>
      <c r="F72" s="429">
        <f>Sources!F72*EnergyLineLoss</f>
        <v>685.5258675</v>
      </c>
      <c r="G72" s="429">
        <f>Sources!G72*EnergyLineLoss</f>
        <v>0</v>
      </c>
      <c r="H72" s="477">
        <f>Sources!H72*PeakLineLoss</f>
        <v>0.106002468</v>
      </c>
      <c r="I72" s="477">
        <f>Sources!I72*PeakLineLoss</f>
        <v>0</v>
      </c>
      <c r="K72" s="419">
        <f>Sources!J72</f>
        <v>185</v>
      </c>
      <c r="L72" s="419">
        <f>Sources!K72</f>
        <v>0</v>
      </c>
      <c r="N72" s="438">
        <f t="shared" si="27"/>
        <v>1.6560637371872444</v>
      </c>
      <c r="P72" s="215">
        <f t="shared" si="28"/>
        <v>289.53294864726803</v>
      </c>
      <c r="Q72" s="215">
        <f t="shared" si="29"/>
        <v>16.838842732372193</v>
      </c>
      <c r="R72" s="215">
        <f t="shared" si="30"/>
        <v>185</v>
      </c>
      <c r="T72" s="214">
        <f t="shared" si="32"/>
        <v>185</v>
      </c>
      <c r="U72" s="214">
        <f t="shared" si="32"/>
        <v>0</v>
      </c>
      <c r="V72" s="214">
        <f t="shared" si="31"/>
        <v>0</v>
      </c>
      <c r="W72" s="214">
        <f t="shared" si="31"/>
        <v>0</v>
      </c>
      <c r="X72" s="214">
        <f t="shared" si="31"/>
        <v>0</v>
      </c>
      <c r="Y72" s="214">
        <f t="shared" si="31"/>
        <v>0</v>
      </c>
      <c r="Z72" s="214">
        <f t="shared" si="31"/>
        <v>0</v>
      </c>
      <c r="AA72" s="214">
        <f t="shared" si="31"/>
        <v>0</v>
      </c>
      <c r="AB72" s="214">
        <f t="shared" si="31"/>
        <v>0</v>
      </c>
      <c r="AC72" s="214">
        <f t="shared" si="31"/>
        <v>0</v>
      </c>
      <c r="AD72" s="214">
        <f t="shared" si="31"/>
        <v>0</v>
      </c>
      <c r="AF72" s="214">
        <f>IF(AND(($D72+$C$1)&gt;AF$3,AF$3&gt;=$C$1),'General Inputs'!D$9*$G72,IF(AND(($C72+$C$1)&gt;AF$3,AF$3&gt;=$C$1),'General Inputs'!D$9*$F72,0))</f>
        <v>27.292340407998427</v>
      </c>
      <c r="AG72" s="214">
        <f>IF(AND(($D72+$C$1)&gt;AG$3,AG$3&gt;=$C$1),'General Inputs'!E$9*$G72,IF(AND(($C72+$C$1)&gt;AG$3,AG$3&gt;=$C$1),'General Inputs'!E$9*$F72,0))</f>
        <v>27.701725514118401</v>
      </c>
      <c r="AH72" s="214">
        <f>IF(AND(($D72+$C$1)&gt;AH$3,AH$3&gt;=$C$1),'General Inputs'!F$9*$G72,IF(AND(($C72+$C$1)&gt;AH$3,AH$3&gt;=$C$1),'General Inputs'!F$9*$F72,0))</f>
        <v>28.117251396830174</v>
      </c>
      <c r="AI72" s="214">
        <f>IF(AND(($D72+$C$1)&gt;AI$3,AI$3&gt;=$C$1),'General Inputs'!G$9*$G72,IF(AND(($C72+$C$1)&gt;AI$3,AI$3&gt;=$C$1),'General Inputs'!G$9*$F72,0))</f>
        <v>28.539010167782624</v>
      </c>
      <c r="AJ72" s="214">
        <f>IF(AND(($D72+$C$1)&gt;AJ$3,AJ$3&gt;=$C$1),'General Inputs'!H$9*$G72,IF(AND(($C72+$C$1)&gt;AJ$3,AJ$3&gt;=$C$1),'General Inputs'!H$9*$F72,0))</f>
        <v>28.967095320299361</v>
      </c>
      <c r="AK72" s="214">
        <f>IF(AND(($D72+$C$1)&gt;AK$3,AK$3&gt;=$C$1),'General Inputs'!I$9*$G72,IF(AND(($C72+$C$1)&gt;AK$3,AK$3&gt;=$C$1),'General Inputs'!I$9*$F72,0))</f>
        <v>29.401601750103847</v>
      </c>
      <c r="AL72" s="214">
        <f>IF(AND(($D72+$C$1)&gt;AL$3,AL$3&gt;=$C$1),'General Inputs'!J$9*$G72,IF(AND(($C72+$C$1)&gt;AL$3,AL$3&gt;=$C$1),'General Inputs'!J$9*$F72,0))</f>
        <v>29.842625776355398</v>
      </c>
      <c r="AM72" s="214">
        <f>IF(AND(($D72+$C$1)&gt;AM$3,AM$3&gt;=$C$1),'General Inputs'!K$9*$G72,IF(AND(($C72+$C$1)&gt;AM$3,AM$3&gt;=$C$1),'General Inputs'!K$9*$F72,0))</f>
        <v>30.290265163000726</v>
      </c>
      <c r="AN72" s="214">
        <f>IF(AND(($D72+$C$1)&gt;AN$3,AN$3&gt;=$C$1),'General Inputs'!L$9*$G72,IF(AND(($C72+$C$1)&gt;AN$3,AN$3&gt;=$C$1),'General Inputs'!L$9*$F72,0))</f>
        <v>30.744619140445735</v>
      </c>
      <c r="AO72" s="214">
        <f>IF(AND(($D72+$C$1)&gt;AO$3,AO$3&gt;=$C$1),'General Inputs'!M$9*$G72,IF(AND(($C72+$C$1)&gt;AO$3,AO$3&gt;=$C$1),'General Inputs'!M$9*$F72,0))</f>
        <v>31.205788427552413</v>
      </c>
      <c r="AP72" s="214">
        <f>IF(AND(($D72+$C$1)&gt;AP$3,AP$3&gt;=$C$1),'General Inputs'!N$9*$G72,IF(AND(($C72+$C$1)&gt;AP$3,AP$3&gt;=$C$1),'General Inputs'!N$9*$F72,0))</f>
        <v>31.673875253965701</v>
      </c>
      <c r="AQ72" s="214">
        <f>IF(AND(($D72+$C$1)&gt;AQ$3,AQ$3&gt;=$C$1),'General Inputs'!O$9*$G72,IF(AND(($C72+$C$1)&gt;AQ$3,AQ$3&gt;=$C$1),'General Inputs'!O$9*$F72,0))</f>
        <v>32.148983382775178</v>
      </c>
      <c r="AR72" s="214">
        <f>IF(AND(($D72+$C$1)&gt;AR$3,AR$3&gt;=$C$1),'General Inputs'!P$9*$G72,IF(AND(($C72+$C$1)&gt;AR$3,AR$3&gt;=$C$1),'General Inputs'!P$9*$F72,0))</f>
        <v>32.631218133516803</v>
      </c>
      <c r="AS72" s="214">
        <f>IF(AND(($D72+$C$1)&gt;AS$3,AS$3&gt;=$C$1),'General Inputs'!Q$9*$G72,IF(AND(($C72+$C$1)&gt;AS$3,AS$3&gt;=$C$1),'General Inputs'!Q$9*$F72,0))</f>
        <v>33.120686405519557</v>
      </c>
      <c r="AT72" s="214">
        <f>IF(AND(($D72+$C$1)&gt;AT$3,AT$3&gt;=$C$1),'General Inputs'!R$9*$G72,IF(AND(($C72+$C$1)&gt;AT$3,AT$3&gt;=$C$1),'General Inputs'!R$9*$F72,0))</f>
        <v>33.617496701602349</v>
      </c>
      <c r="AU72" s="214">
        <f>IF(AND(($D72+$C$1)&gt;AU$3,AU$3&gt;=$C$1),'General Inputs'!S$9*$G72,IF(AND(($C72+$C$1)&gt;AU$3,AU$3&gt;=$C$1),'General Inputs'!S$9*$F72,0))</f>
        <v>34.12175915212638</v>
      </c>
      <c r="AV72" s="214">
        <f>IF(AND(($D72+$C$1)&gt;AV$3,AV$3&gt;=$C$1),'General Inputs'!T$9*$G72,IF(AND(($C72+$C$1)&gt;AV$3,AV$3&gt;=$C$1),'General Inputs'!T$9*$F72,0))</f>
        <v>34.633585539408273</v>
      </c>
      <c r="AW72" s="214">
        <f>IF(AND(($D72+$C$1)&gt;AW$3,AW$3&gt;=$C$1),'General Inputs'!U$9*$G72,IF(AND(($C72+$C$1)&gt;AW$3,AW$3&gt;=$C$1),'General Inputs'!U$9*$F72,0))</f>
        <v>35.153089322499397</v>
      </c>
      <c r="AX72" s="214">
        <f>IF(AND(($D72+$C$1)&gt;AX$3,AX$3&gt;=$C$1),'General Inputs'!V$9*$G72,IF(AND(($C72+$C$1)&gt;AX$3,AX$3&gt;=$C$1),'General Inputs'!V$9*$F72,0))</f>
        <v>0</v>
      </c>
      <c r="AY72" s="214">
        <f>IF(AND(($D72+$C$1)&gt;AY$3,AY$3&gt;=$C$1),'General Inputs'!W$9*$G72,IF(AND(($C72+$C$1)&gt;AY$3,AY$3&gt;=$C$1),'General Inputs'!W$9*$F72,0))</f>
        <v>0</v>
      </c>
      <c r="BA72" s="214">
        <f>IF(AND(($D72+$C$1)&gt;AF$3,AF$3&gt;=$C$1),'General Inputs'!D$10*$I72,IF(AND(($C72+$C$1)&gt;AF$3,AF$3&gt;=$C$1),'General Inputs'!D$10*$H72,0))</f>
        <v>1.5872854197624966</v>
      </c>
      <c r="BB72" s="214">
        <f>IF(AND(($D72+$C$1)&gt;AG$3,AG$3&gt;=$C$1),'General Inputs'!E$10*$I72,IF(AND(($C72+$C$1)&gt;AG$3,AG$3&gt;=$C$1),'General Inputs'!E$10*$H72,0))</f>
        <v>1.6110947010589338</v>
      </c>
      <c r="BC72" s="214">
        <f>IF(AND(($D72+$C$1)&gt;AH$3,AH$3&gt;=$C$1),'General Inputs'!F$10*$I72,IF(AND(($C72+$C$1)&gt;AH$3,AH$3&gt;=$C$1),'General Inputs'!F$10*$H72,0))</f>
        <v>1.6352611215748178</v>
      </c>
      <c r="BD72" s="214">
        <f>IF(AND(($D72+$C$1)&gt;AI$3,AI$3&gt;=$C$1),'General Inputs'!G$10*$I72,IF(AND(($C72+$C$1)&gt;AI$3,AI$3&gt;=$C$1),'General Inputs'!G$10*$H72,0))</f>
        <v>1.6597900383984399</v>
      </c>
      <c r="BE72" s="214">
        <f>IF(AND(($D72+$C$1)&gt;AJ$3,AJ$3&gt;=$C$1),'General Inputs'!H$10*$I72,IF(AND(($C72+$C$1)&gt;AJ$3,AJ$3&gt;=$C$1),'General Inputs'!H$10*$H72,0))</f>
        <v>1.6846868889744164</v>
      </c>
      <c r="BF72" s="214">
        <f>IF(AND(($D72+$C$1)&gt;AK$3,AK$3&gt;=$C$1),'General Inputs'!I$10*$I72,IF(AND(($C72+$C$1)&gt;AK$3,AK$3&gt;=$C$1),'General Inputs'!I$10*$H72,0))</f>
        <v>1.7099571923090322</v>
      </c>
      <c r="BG72" s="214">
        <f>IF(AND(($D72+$C$1)&gt;AL$3,AL$3&gt;=$C$1),'General Inputs'!J$10*$I72,IF(AND(($C72+$C$1)&gt;AL$3,AL$3&gt;=$C$1),'General Inputs'!J$10*$H72,0))</f>
        <v>1.7356065501936675</v>
      </c>
      <c r="BH72" s="214">
        <f>IF(AND(($D72+$C$1)&gt;AM$3,AM$3&gt;=$C$1),'General Inputs'!K$10*$I72,IF(AND(($C72+$C$1)&gt;AM$3,AM$3&gt;=$C$1),'General Inputs'!K$10*$H72,0))</f>
        <v>1.7616406484465725</v>
      </c>
      <c r="BI72" s="214">
        <f>IF(AND(($D72+$C$1)&gt;AN$3,AN$3&gt;=$C$1),'General Inputs'!L$10*$I72,IF(AND(($C72+$C$1)&gt;AN$3,AN$3&gt;=$C$1),'General Inputs'!L$10*$H72,0))</f>
        <v>1.788065258173271</v>
      </c>
      <c r="BJ72" s="214">
        <f>IF(AND(($D72+$C$1)&gt;AO$3,AO$3&gt;=$C$1),'General Inputs'!M$10*$I72,IF(AND(($C72+$C$1)&gt;AO$3,AO$3&gt;=$C$1),'General Inputs'!M$10*$H72,0))</f>
        <v>1.81488623704587</v>
      </c>
      <c r="BK72" s="214">
        <f>IF(AND(($D72+$C$1)&gt;AP$3,AP$3&gt;=$C$1),'General Inputs'!N$10*$I72,IF(AND(($C72+$C$1)&gt;AP$3,AP$3&gt;=$C$1),'General Inputs'!N$10*$H72,0))</f>
        <v>1.8421095306015578</v>
      </c>
      <c r="BL72" s="214">
        <f>IF(AND(($D72+$C$1)&gt;AQ$3,AQ$3&gt;=$C$1),'General Inputs'!O$10*$I72,IF(AND(($C72+$C$1)&gt;AQ$3,AQ$3&gt;=$C$1),'General Inputs'!O$10*$H72,0))</f>
        <v>1.8697411735605809</v>
      </c>
      <c r="BM72" s="214">
        <f>IF(AND(($D72+$C$1)&gt;AR$3,AR$3&gt;=$C$1),'General Inputs'!P$10*$I72,IF(AND(($C72+$C$1)&gt;AR$3,AR$3&gt;=$C$1),'General Inputs'!P$10*$H72,0))</f>
        <v>1.8977872911639895</v>
      </c>
      <c r="BN72" s="214">
        <f>IF(AND(($D72+$C$1)&gt;AS$3,AS$3&gt;=$C$1),'General Inputs'!Q$10*$I72,IF(AND(($C72+$C$1)&gt;AS$3,AS$3&gt;=$C$1),'General Inputs'!Q$10*$H72,0))</f>
        <v>1.9262541005314491</v>
      </c>
      <c r="BO72" s="214">
        <f>IF(AND(($D72+$C$1)&gt;AT$3,AT$3&gt;=$C$1),'General Inputs'!R$10*$I72,IF(AND(($C72+$C$1)&gt;AT$3,AT$3&gt;=$C$1),'General Inputs'!R$10*$H72,0))</f>
        <v>1.9551479120394206</v>
      </c>
      <c r="BP72" s="214">
        <f>IF(AND(($D72+$C$1)&gt;AU$3,AU$3&gt;=$C$1),'General Inputs'!S$10*$I72,IF(AND(($C72+$C$1)&gt;AU$3,AU$3&gt;=$C$1),'General Inputs'!S$10*$H72,0))</f>
        <v>1.9844751307200119</v>
      </c>
      <c r="BQ72" s="214">
        <f>IF(AND(($D72+$C$1)&gt;AV$3,AV$3&gt;=$C$1),'General Inputs'!T$10*$I72,IF(AND(($C72+$C$1)&gt;AV$3,AV$3&gt;=$C$1),'General Inputs'!T$10*$H72,0))</f>
        <v>2.0142422576808117</v>
      </c>
      <c r="BR72" s="214">
        <f>IF(AND(($D72+$C$1)&gt;AW$3,AW$3&gt;=$C$1),'General Inputs'!U$10*$I72,IF(AND(($C72+$C$1)&gt;AW$3,AW$3&gt;=$C$1),'General Inputs'!U$10*$H72,0))</f>
        <v>2.0444558915460238</v>
      </c>
      <c r="BS72" s="214">
        <f>IF(AND(($D72+$C$1)&gt;AX$3,AX$3&gt;=$C$1),'General Inputs'!V$10*$I72,IF(AND(($C72+$C$1)&gt;AX$3,AX$3&gt;=$C$1),'General Inputs'!V$10*$H72,0))</f>
        <v>0</v>
      </c>
      <c r="BT72" s="214">
        <f>IF(AND(($D72+$C$1)&gt;AY$3,AY$3&gt;=$C$1),'General Inputs'!W$10*$I72,IF(AND(($C72+$C$1)&gt;AY$3,AY$3&gt;=$C$1),'General Inputs'!W$10*$H72,0))</f>
        <v>0</v>
      </c>
    </row>
    <row r="73" spans="1:72">
      <c r="A73" s="342" t="s">
        <v>112</v>
      </c>
      <c r="B73" s="427" t="str">
        <f>Sources!B73</f>
        <v>Pulse Start Metal Halide (320 &lt; 750 W)</v>
      </c>
      <c r="C73" s="193">
        <f>Sources!C73</f>
        <v>18</v>
      </c>
      <c r="D73" s="193">
        <f>Sources!D73</f>
        <v>0</v>
      </c>
      <c r="F73" s="429">
        <f>Sources!F73*EnergyLineLoss</f>
        <v>470.57284125000001</v>
      </c>
      <c r="G73" s="429">
        <f>Sources!G73*EnergyLineLoss</f>
        <v>0</v>
      </c>
      <c r="H73" s="477">
        <f>Sources!H73*PeakLineLoss</f>
        <v>7.2764406000000018E-2</v>
      </c>
      <c r="I73" s="477">
        <f>Sources!I73*PeakLineLoss</f>
        <v>0</v>
      </c>
      <c r="K73" s="419">
        <f>Sources!J73</f>
        <v>283</v>
      </c>
      <c r="L73" s="419">
        <f>Sources!K73</f>
        <v>0</v>
      </c>
      <c r="N73" s="438">
        <f t="shared" si="27"/>
        <v>0.7431309547149445</v>
      </c>
      <c r="P73" s="215">
        <f t="shared" si="28"/>
        <v>198.74719356295515</v>
      </c>
      <c r="Q73" s="215">
        <f t="shared" si="29"/>
        <v>11.558866621374134</v>
      </c>
      <c r="R73" s="215">
        <f t="shared" si="30"/>
        <v>283</v>
      </c>
      <c r="T73" s="214">
        <f t="shared" si="32"/>
        <v>283</v>
      </c>
      <c r="U73" s="214">
        <f t="shared" si="32"/>
        <v>0</v>
      </c>
      <c r="V73" s="214">
        <f t="shared" si="31"/>
        <v>0</v>
      </c>
      <c r="W73" s="214">
        <f t="shared" si="31"/>
        <v>0</v>
      </c>
      <c r="X73" s="214">
        <f t="shared" si="31"/>
        <v>0</v>
      </c>
      <c r="Y73" s="214">
        <f t="shared" si="31"/>
        <v>0</v>
      </c>
      <c r="Z73" s="214">
        <f t="shared" si="31"/>
        <v>0</v>
      </c>
      <c r="AA73" s="214">
        <f t="shared" si="31"/>
        <v>0</v>
      </c>
      <c r="AB73" s="214">
        <f t="shared" si="31"/>
        <v>0</v>
      </c>
      <c r="AC73" s="214">
        <f t="shared" si="31"/>
        <v>0</v>
      </c>
      <c r="AD73" s="214">
        <f t="shared" si="31"/>
        <v>0</v>
      </c>
      <c r="AF73" s="214">
        <f>IF(AND(($D73+$C$1)&gt;AF$3,AF$3&gt;=$C$1),'General Inputs'!D$9*$G73,IF(AND(($C73+$C$1)&gt;AF$3,AF$3&gt;=$C$1),'General Inputs'!D$9*$F73,0))</f>
        <v>18.734572652948074</v>
      </c>
      <c r="AG73" s="214">
        <f>IF(AND(($D73+$C$1)&gt;AG$3,AG$3&gt;=$C$1),'General Inputs'!E$9*$G73,IF(AND(($C73+$C$1)&gt;AG$3,AG$3&gt;=$C$1),'General Inputs'!E$9*$F73,0))</f>
        <v>19.015591242742293</v>
      </c>
      <c r="AH73" s="214">
        <f>IF(AND(($D73+$C$1)&gt;AH$3,AH$3&gt;=$C$1),'General Inputs'!F$9*$G73,IF(AND(($C73+$C$1)&gt;AH$3,AH$3&gt;=$C$1),'General Inputs'!F$9*$F73,0))</f>
        <v>19.300825111383425</v>
      </c>
      <c r="AI73" s="214">
        <f>IF(AND(($D73+$C$1)&gt;AI$3,AI$3&gt;=$C$1),'General Inputs'!G$9*$G73,IF(AND(($C73+$C$1)&gt;AI$3,AI$3&gt;=$C$1),'General Inputs'!G$9*$F73,0))</f>
        <v>19.590337488054175</v>
      </c>
      <c r="AJ73" s="214">
        <f>IF(AND(($D73+$C$1)&gt;AJ$3,AJ$3&gt;=$C$1),'General Inputs'!H$9*$G73,IF(AND(($C73+$C$1)&gt;AJ$3,AJ$3&gt;=$C$1),'General Inputs'!H$9*$F73,0))</f>
        <v>19.884192550374983</v>
      </c>
      <c r="AK73" s="214">
        <f>IF(AND(($D73+$C$1)&gt;AK$3,AK$3&gt;=$C$1),'General Inputs'!I$9*$G73,IF(AND(($C73+$C$1)&gt;AK$3,AK$3&gt;=$C$1),'General Inputs'!I$9*$F73,0))</f>
        <v>20.182455438630605</v>
      </c>
      <c r="AL73" s="214">
        <f>IF(AND(($D73+$C$1)&gt;AL$3,AL$3&gt;=$C$1),'General Inputs'!J$9*$G73,IF(AND(($C73+$C$1)&gt;AL$3,AL$3&gt;=$C$1),'General Inputs'!J$9*$F73,0))</f>
        <v>20.485192270210064</v>
      </c>
      <c r="AM73" s="214">
        <f>IF(AND(($D73+$C$1)&gt;AM$3,AM$3&gt;=$C$1),'General Inputs'!K$9*$G73,IF(AND(($C73+$C$1)&gt;AM$3,AM$3&gt;=$C$1),'General Inputs'!K$9*$F73,0))</f>
        <v>20.79247015426321</v>
      </c>
      <c r="AN73" s="214">
        <f>IF(AND(($D73+$C$1)&gt;AN$3,AN$3&gt;=$C$1),'General Inputs'!L$9*$G73,IF(AND(($C73+$C$1)&gt;AN$3,AN$3&gt;=$C$1),'General Inputs'!L$9*$F73,0))</f>
        <v>21.104357206577156</v>
      </c>
      <c r="AO73" s="214">
        <f>IF(AND(($D73+$C$1)&gt;AO$3,AO$3&gt;=$C$1),'General Inputs'!M$9*$G73,IF(AND(($C73+$C$1)&gt;AO$3,AO$3&gt;=$C$1),'General Inputs'!M$9*$F73,0))</f>
        <v>21.420922564675809</v>
      </c>
      <c r="AP73" s="214">
        <f>IF(AND(($D73+$C$1)&gt;AP$3,AP$3&gt;=$C$1),'General Inputs'!N$9*$G73,IF(AND(($C73+$C$1)&gt;AP$3,AP$3&gt;=$C$1),'General Inputs'!N$9*$F73,0))</f>
        <v>21.742236403145945</v>
      </c>
      <c r="AQ73" s="214">
        <f>IF(AND(($D73+$C$1)&gt;AQ$3,AQ$3&gt;=$C$1),'General Inputs'!O$9*$G73,IF(AND(($C73+$C$1)&gt;AQ$3,AQ$3&gt;=$C$1),'General Inputs'!O$9*$F73,0))</f>
        <v>22.068369949193134</v>
      </c>
      <c r="AR73" s="214">
        <f>IF(AND(($D73+$C$1)&gt;AR$3,AR$3&gt;=$C$1),'General Inputs'!P$9*$G73,IF(AND(($C73+$C$1)&gt;AR$3,AR$3&gt;=$C$1),'General Inputs'!P$9*$F73,0))</f>
        <v>22.399395498431026</v>
      </c>
      <c r="AS73" s="214">
        <f>IF(AND(($D73+$C$1)&gt;AS$3,AS$3&gt;=$C$1),'General Inputs'!Q$9*$G73,IF(AND(($C73+$C$1)&gt;AS$3,AS$3&gt;=$C$1),'General Inputs'!Q$9*$F73,0))</f>
        <v>22.735386430907493</v>
      </c>
      <c r="AT73" s="214">
        <f>IF(AND(($D73+$C$1)&gt;AT$3,AT$3&gt;=$C$1),'General Inputs'!R$9*$G73,IF(AND(($C73+$C$1)&gt;AT$3,AT$3&gt;=$C$1),'General Inputs'!R$9*$F73,0))</f>
        <v>23.076417227371103</v>
      </c>
      <c r="AU73" s="214">
        <f>IF(AND(($D73+$C$1)&gt;AU$3,AU$3&gt;=$C$1),'General Inputs'!S$9*$G73,IF(AND(($C73+$C$1)&gt;AU$3,AU$3&gt;=$C$1),'General Inputs'!S$9*$F73,0))</f>
        <v>23.422563485781669</v>
      </c>
      <c r="AV73" s="214">
        <f>IF(AND(($D73+$C$1)&gt;AV$3,AV$3&gt;=$C$1),'General Inputs'!T$9*$G73,IF(AND(($C73+$C$1)&gt;AV$3,AV$3&gt;=$C$1),'General Inputs'!T$9*$F73,0))</f>
        <v>23.773901938068391</v>
      </c>
      <c r="AW73" s="214">
        <f>IF(AND(($D73+$C$1)&gt;AW$3,AW$3&gt;=$C$1),'General Inputs'!U$9*$G73,IF(AND(($C73+$C$1)&gt;AW$3,AW$3&gt;=$C$1),'General Inputs'!U$9*$F73,0))</f>
        <v>24.130510467139416</v>
      </c>
      <c r="AX73" s="214">
        <f>IF(AND(($D73+$C$1)&gt;AX$3,AX$3&gt;=$C$1),'General Inputs'!V$9*$G73,IF(AND(($C73+$C$1)&gt;AX$3,AX$3&gt;=$C$1),'General Inputs'!V$9*$F73,0))</f>
        <v>0</v>
      </c>
      <c r="AY73" s="214">
        <f>IF(AND(($D73+$C$1)&gt;AY$3,AY$3&gt;=$C$1),'General Inputs'!W$9*$G73,IF(AND(($C73+$C$1)&gt;AY$3,AY$3&gt;=$C$1),'General Inputs'!W$9*$F73,0))</f>
        <v>0</v>
      </c>
      <c r="BA73" s="214">
        <f>IF(AND(($D73+$C$1)&gt;AF$3,AF$3&gt;=$C$1),'General Inputs'!D$10*$I73,IF(AND(($C73+$C$1)&gt;AF$3,AF$3&gt;=$C$1),'General Inputs'!D$10*$H73,0))</f>
        <v>1.0895772796674768</v>
      </c>
      <c r="BB73" s="214">
        <f>IF(AND(($D73+$C$1)&gt;AG$3,AG$3&gt;=$C$1),'General Inputs'!E$10*$I73,IF(AND(($C73+$C$1)&gt;AG$3,AG$3&gt;=$C$1),'General Inputs'!E$10*$H73,0))</f>
        <v>1.1059209388624887</v>
      </c>
      <c r="BC73" s="214">
        <f>IF(AND(($D73+$C$1)&gt;AH$3,AH$3&gt;=$C$1),'General Inputs'!F$10*$I73,IF(AND(($C73+$C$1)&gt;AH$3,AH$3&gt;=$C$1),'General Inputs'!F$10*$H73,0))</f>
        <v>1.122509752945426</v>
      </c>
      <c r="BD73" s="214">
        <f>IF(AND(($D73+$C$1)&gt;AI$3,AI$3&gt;=$C$1),'General Inputs'!G$10*$I73,IF(AND(($C73+$C$1)&gt;AI$3,AI$3&gt;=$C$1),'General Inputs'!G$10*$H73,0))</f>
        <v>1.1393473992396073</v>
      </c>
      <c r="BE73" s="214">
        <f>IF(AND(($D73+$C$1)&gt;AJ$3,AJ$3&gt;=$C$1),'General Inputs'!H$10*$I73,IF(AND(($C73+$C$1)&gt;AJ$3,AJ$3&gt;=$C$1),'General Inputs'!H$10*$H73,0))</f>
        <v>1.1564376102282012</v>
      </c>
      <c r="BF73" s="214">
        <f>IF(AND(($D73+$C$1)&gt;AK$3,AK$3&gt;=$C$1),'General Inputs'!I$10*$I73,IF(AND(($C73+$C$1)&gt;AK$3,AK$3&gt;=$C$1),'General Inputs'!I$10*$H73,0))</f>
        <v>1.1737841743816242</v>
      </c>
      <c r="BG73" s="214">
        <f>IF(AND(($D73+$C$1)&gt;AL$3,AL$3&gt;=$C$1),'General Inputs'!J$10*$I73,IF(AND(($C73+$C$1)&gt;AL$3,AL$3&gt;=$C$1),'General Inputs'!J$10*$H73,0))</f>
        <v>1.1913909369973483</v>
      </c>
      <c r="BH73" s="214">
        <f>IF(AND(($D73+$C$1)&gt;AM$3,AM$3&gt;=$C$1),'General Inputs'!K$10*$I73,IF(AND(($C73+$C$1)&gt;AM$3,AM$3&gt;=$C$1),'General Inputs'!K$10*$H73,0))</f>
        <v>1.2092618010523084</v>
      </c>
      <c r="BI73" s="214">
        <f>IF(AND(($D73+$C$1)&gt;AN$3,AN$3&gt;=$C$1),'General Inputs'!L$10*$I73,IF(AND(($C73+$C$1)&gt;AN$3,AN$3&gt;=$C$1),'General Inputs'!L$10*$H73,0))</f>
        <v>1.227400728068093</v>
      </c>
      <c r="BJ73" s="214">
        <f>IF(AND(($D73+$C$1)&gt;AO$3,AO$3&gt;=$C$1),'General Inputs'!M$10*$I73,IF(AND(($C73+$C$1)&gt;AO$3,AO$3&gt;=$C$1),'General Inputs'!M$10*$H73,0))</f>
        <v>1.2458117389891143</v>
      </c>
      <c r="BK73" s="214">
        <f>IF(AND(($D73+$C$1)&gt;AP$3,AP$3&gt;=$C$1),'General Inputs'!N$10*$I73,IF(AND(($C73+$C$1)&gt;AP$3,AP$3&gt;=$C$1),'General Inputs'!N$10*$H73,0))</f>
        <v>1.264498915073951</v>
      </c>
      <c r="BL73" s="214">
        <f>IF(AND(($D73+$C$1)&gt;AQ$3,AQ$3&gt;=$C$1),'General Inputs'!O$10*$I73,IF(AND(($C73+$C$1)&gt;AQ$3,AQ$3&gt;=$C$1),'General Inputs'!O$10*$H73,0))</f>
        <v>1.2834663988000601</v>
      </c>
      <c r="BM73" s="214">
        <f>IF(AND(($D73+$C$1)&gt;AR$3,AR$3&gt;=$C$1),'General Inputs'!P$10*$I73,IF(AND(($C73+$C$1)&gt;AR$3,AR$3&gt;=$C$1),'General Inputs'!P$10*$H73,0))</f>
        <v>1.3027183947820609</v>
      </c>
      <c r="BN73" s="214">
        <f>IF(AND(($D73+$C$1)&gt;AS$3,AS$3&gt;=$C$1),'General Inputs'!Q$10*$I73,IF(AND(($C73+$C$1)&gt;AS$3,AS$3&gt;=$C$1),'General Inputs'!Q$10*$H73,0))</f>
        <v>1.3222591707037916</v>
      </c>
      <c r="BO73" s="214">
        <f>IF(AND(($D73+$C$1)&gt;AT$3,AT$3&gt;=$C$1),'General Inputs'!R$10*$I73,IF(AND(($C73+$C$1)&gt;AT$3,AT$3&gt;=$C$1),'General Inputs'!R$10*$H73,0))</f>
        <v>1.3420930582643482</v>
      </c>
      <c r="BP73" s="214">
        <f>IF(AND(($D73+$C$1)&gt;AU$3,AU$3&gt;=$C$1),'General Inputs'!S$10*$I73,IF(AND(($C73+$C$1)&gt;AU$3,AU$3&gt;=$C$1),'General Inputs'!S$10*$H73,0))</f>
        <v>1.3622244541383135</v>
      </c>
      <c r="BQ73" s="214">
        <f>IF(AND(($D73+$C$1)&gt;AV$3,AV$3&gt;=$C$1),'General Inputs'!T$10*$I73,IF(AND(($C73+$C$1)&gt;AV$3,AV$3&gt;=$C$1),'General Inputs'!T$10*$H73,0))</f>
        <v>1.3826578209503881</v>
      </c>
      <c r="BR73" s="214">
        <f>IF(AND(($D73+$C$1)&gt;AW$3,AW$3&gt;=$C$1),'General Inputs'!U$10*$I73,IF(AND(($C73+$C$1)&gt;AW$3,AW$3&gt;=$C$1),'General Inputs'!U$10*$H73,0))</f>
        <v>1.4033976882646437</v>
      </c>
      <c r="BS73" s="214">
        <f>IF(AND(($D73+$C$1)&gt;AX$3,AX$3&gt;=$C$1),'General Inputs'!V$10*$I73,IF(AND(($C73+$C$1)&gt;AX$3,AX$3&gt;=$C$1),'General Inputs'!V$10*$H73,0))</f>
        <v>0</v>
      </c>
      <c r="BT73" s="214">
        <f>IF(AND(($D73+$C$1)&gt;AY$3,AY$3&gt;=$C$1),'General Inputs'!W$10*$I73,IF(AND(($C73+$C$1)&gt;AY$3,AY$3&gt;=$C$1),'General Inputs'!W$10*$H73,0))</f>
        <v>0</v>
      </c>
    </row>
    <row r="74" spans="1:72">
      <c r="A74" s="342" t="s">
        <v>112</v>
      </c>
      <c r="B74" s="427" t="str">
        <f>Sources!B74</f>
        <v>Pulse Start Metal Halide (≥750 W)</v>
      </c>
      <c r="C74" s="193">
        <f>Sources!C74</f>
        <v>18</v>
      </c>
      <c r="D74" s="193">
        <f>Sources!D74</f>
        <v>0</v>
      </c>
      <c r="F74" s="429">
        <f>Sources!F74*EnergyLineLoss</f>
        <v>2039.1489787499997</v>
      </c>
      <c r="G74" s="429">
        <f>Sources!G74*EnergyLineLoss</f>
        <v>0</v>
      </c>
      <c r="H74" s="477">
        <f>Sources!H74*PeakLineLoss</f>
        <v>0.31531242600000003</v>
      </c>
      <c r="I74" s="477">
        <f>Sources!I74*PeakLineLoss</f>
        <v>0</v>
      </c>
      <c r="K74" s="419">
        <f>Sources!J74</f>
        <v>381</v>
      </c>
      <c r="L74" s="419">
        <f>Sources!K74</f>
        <v>0</v>
      </c>
      <c r="N74" s="438">
        <f t="shared" si="27"/>
        <v>2.3919324430413651</v>
      </c>
      <c r="P74" s="215">
        <f t="shared" si="28"/>
        <v>861.2378387728055</v>
      </c>
      <c r="Q74" s="215">
        <f t="shared" si="29"/>
        <v>50.088422025954578</v>
      </c>
      <c r="R74" s="215">
        <f t="shared" si="30"/>
        <v>381</v>
      </c>
      <c r="T74" s="214">
        <f t="shared" si="32"/>
        <v>381</v>
      </c>
      <c r="U74" s="214">
        <f t="shared" si="32"/>
        <v>0</v>
      </c>
      <c r="V74" s="214">
        <f t="shared" si="31"/>
        <v>0</v>
      </c>
      <c r="W74" s="214">
        <f t="shared" si="31"/>
        <v>0</v>
      </c>
      <c r="X74" s="214">
        <f t="shared" si="31"/>
        <v>0</v>
      </c>
      <c r="Y74" s="214">
        <f t="shared" si="31"/>
        <v>0</v>
      </c>
      <c r="Z74" s="214">
        <f t="shared" si="31"/>
        <v>0</v>
      </c>
      <c r="AA74" s="214">
        <f t="shared" si="31"/>
        <v>0</v>
      </c>
      <c r="AB74" s="214">
        <f t="shared" si="31"/>
        <v>0</v>
      </c>
      <c r="AC74" s="214">
        <f t="shared" si="31"/>
        <v>0</v>
      </c>
      <c r="AD74" s="214">
        <f t="shared" si="31"/>
        <v>0</v>
      </c>
      <c r="AF74" s="214">
        <f>IF(AND(($D74+$C$1)&gt;AF$3,AF$3&gt;=$C$1),'General Inputs'!D$9*$G74,IF(AND(($C74+$C$1)&gt;AF$3,AF$3&gt;=$C$1),'General Inputs'!D$9*$F74,0))</f>
        <v>81.18314816277497</v>
      </c>
      <c r="AG74" s="214">
        <f>IF(AND(($D74+$C$1)&gt;AG$3,AG$3&gt;=$C$1),'General Inputs'!E$9*$G74,IF(AND(($C74+$C$1)&gt;AG$3,AG$3&gt;=$C$1),'General Inputs'!E$9*$F74,0))</f>
        <v>82.400895385216586</v>
      </c>
      <c r="AH74" s="214">
        <f>IF(AND(($D74+$C$1)&gt;AH$3,AH$3&gt;=$C$1),'General Inputs'!F$9*$G74,IF(AND(($C74+$C$1)&gt;AH$3,AH$3&gt;=$C$1),'General Inputs'!F$9*$F74,0))</f>
        <v>83.636908815994829</v>
      </c>
      <c r="AI74" s="214">
        <f>IF(AND(($D74+$C$1)&gt;AI$3,AI$3&gt;=$C$1),'General Inputs'!G$9*$G74,IF(AND(($C74+$C$1)&gt;AI$3,AI$3&gt;=$C$1),'General Inputs'!G$9*$F74,0))</f>
        <v>84.891462448234748</v>
      </c>
      <c r="AJ74" s="214">
        <f>IF(AND(($D74+$C$1)&gt;AJ$3,AJ$3&gt;=$C$1),'General Inputs'!H$9*$G74,IF(AND(($C74+$C$1)&gt;AJ$3,AJ$3&gt;=$C$1),'General Inputs'!H$9*$F74,0))</f>
        <v>86.164834384958255</v>
      </c>
      <c r="AK74" s="214">
        <f>IF(AND(($D74+$C$1)&gt;AK$3,AK$3&gt;=$C$1),'General Inputs'!I$9*$G74,IF(AND(($C74+$C$1)&gt;AK$3,AK$3&gt;=$C$1),'General Inputs'!I$9*$F74,0))</f>
        <v>87.457306900732618</v>
      </c>
      <c r="AL74" s="214">
        <f>IF(AND(($D74+$C$1)&gt;AL$3,AL$3&gt;=$C$1),'General Inputs'!J$9*$G74,IF(AND(($C74+$C$1)&gt;AL$3,AL$3&gt;=$C$1),'General Inputs'!J$9*$F74,0))</f>
        <v>88.769166504243586</v>
      </c>
      <c r="AM74" s="214">
        <f>IF(AND(($D74+$C$1)&gt;AM$3,AM$3&gt;=$C$1),'General Inputs'!K$9*$G74,IF(AND(($C74+$C$1)&gt;AM$3,AM$3&gt;=$C$1),'General Inputs'!K$9*$F74,0))</f>
        <v>90.10070400180723</v>
      </c>
      <c r="AN74" s="214">
        <f>IF(AND(($D74+$C$1)&gt;AN$3,AN$3&gt;=$C$1),'General Inputs'!L$9*$G74,IF(AND(($C74+$C$1)&gt;AN$3,AN$3&gt;=$C$1),'General Inputs'!L$9*$F74,0))</f>
        <v>91.452214561834339</v>
      </c>
      <c r="AO74" s="214">
        <f>IF(AND(($D74+$C$1)&gt;AO$3,AO$3&gt;=$C$1),'General Inputs'!M$9*$G74,IF(AND(($C74+$C$1)&gt;AO$3,AO$3&gt;=$C$1),'General Inputs'!M$9*$F74,0))</f>
        <v>92.823997780261834</v>
      </c>
      <c r="AP74" s="214">
        <f>IF(AND(($D74+$C$1)&gt;AP$3,AP$3&gt;=$C$1),'General Inputs'!N$9*$G74,IF(AND(($C74+$C$1)&gt;AP$3,AP$3&gt;=$C$1),'General Inputs'!N$9*$F74,0))</f>
        <v>94.216357746965755</v>
      </c>
      <c r="AQ74" s="214">
        <f>IF(AND(($D74+$C$1)&gt;AQ$3,AQ$3&gt;=$C$1),'General Inputs'!O$9*$G74,IF(AND(($C74+$C$1)&gt;AQ$3,AQ$3&gt;=$C$1),'General Inputs'!O$9*$F74,0))</f>
        <v>95.629603113170234</v>
      </c>
      <c r="AR74" s="214">
        <f>IF(AND(($D74+$C$1)&gt;AR$3,AR$3&gt;=$C$1),'General Inputs'!P$9*$G74,IF(AND(($C74+$C$1)&gt;AR$3,AR$3&gt;=$C$1),'General Inputs'!P$9*$F74,0))</f>
        <v>97.064047159867769</v>
      </c>
      <c r="AS74" s="214">
        <f>IF(AND(($D74+$C$1)&gt;AS$3,AS$3&gt;=$C$1),'General Inputs'!Q$9*$G74,IF(AND(($C74+$C$1)&gt;AS$3,AS$3&gt;=$C$1),'General Inputs'!Q$9*$F74,0))</f>
        <v>98.52000786726579</v>
      </c>
      <c r="AT74" s="214">
        <f>IF(AND(($D74+$C$1)&gt;AT$3,AT$3&gt;=$C$1),'General Inputs'!R$9*$G74,IF(AND(($C74+$C$1)&gt;AT$3,AT$3&gt;=$C$1),'General Inputs'!R$9*$F74,0))</f>
        <v>99.997807985274761</v>
      </c>
      <c r="AU74" s="214">
        <f>IF(AND(($D74+$C$1)&gt;AU$3,AU$3&gt;=$C$1),'General Inputs'!S$9*$G74,IF(AND(($C74+$C$1)&gt;AU$3,AU$3&gt;=$C$1),'General Inputs'!S$9*$F74,0))</f>
        <v>101.49777510505388</v>
      </c>
      <c r="AV74" s="214">
        <f>IF(AND(($D74+$C$1)&gt;AV$3,AV$3&gt;=$C$1),'General Inputs'!T$9*$G74,IF(AND(($C74+$C$1)&gt;AV$3,AV$3&gt;=$C$1),'General Inputs'!T$9*$F74,0))</f>
        <v>103.02024173162968</v>
      </c>
      <c r="AW74" s="214">
        <f>IF(AND(($D74+$C$1)&gt;AW$3,AW$3&gt;=$C$1),'General Inputs'!U$9*$G74,IF(AND(($C74+$C$1)&gt;AW$3,AW$3&gt;=$C$1),'General Inputs'!U$9*$F74,0))</f>
        <v>104.56554535760412</v>
      </c>
      <c r="AX74" s="214">
        <f>IF(AND(($D74+$C$1)&gt;AX$3,AX$3&gt;=$C$1),'General Inputs'!V$9*$G74,IF(AND(($C74+$C$1)&gt;AX$3,AX$3&gt;=$C$1),'General Inputs'!V$9*$F74,0))</f>
        <v>0</v>
      </c>
      <c r="AY74" s="214">
        <f>IF(AND(($D74+$C$1)&gt;AY$3,AY$3&gt;=$C$1),'General Inputs'!W$9*$G74,IF(AND(($C74+$C$1)&gt;AY$3,AY$3&gt;=$C$1),'General Inputs'!W$9*$F74,0))</f>
        <v>0</v>
      </c>
      <c r="BA74" s="214">
        <f>IF(AND(($D74+$C$1)&gt;AF$3,AF$3&gt;=$C$1),'General Inputs'!D$10*$I74,IF(AND(($C74+$C$1)&gt;AF$3,AF$3&gt;=$C$1),'General Inputs'!D$10*$H74,0))</f>
        <v>4.7215015452257321</v>
      </c>
      <c r="BB74" s="214">
        <f>IF(AND(($D74+$C$1)&gt;AG$3,AG$3&gt;=$C$1),'General Inputs'!E$10*$I74,IF(AND(($C74+$C$1)&gt;AG$3,AG$3&gt;=$C$1),'General Inputs'!E$10*$H74,0))</f>
        <v>4.7923240684041168</v>
      </c>
      <c r="BC74" s="214">
        <f>IF(AND(($D74+$C$1)&gt;AH$3,AH$3&gt;=$C$1),'General Inputs'!F$10*$I74,IF(AND(($C74+$C$1)&gt;AH$3,AH$3&gt;=$C$1),'General Inputs'!F$10*$H74,0))</f>
        <v>4.8642089294301787</v>
      </c>
      <c r="BD74" s="214">
        <f>IF(AND(($D74+$C$1)&gt;AI$3,AI$3&gt;=$C$1),'General Inputs'!G$10*$I74,IF(AND(($C74+$C$1)&gt;AI$3,AI$3&gt;=$C$1),'General Inputs'!G$10*$H74,0))</f>
        <v>4.9371720633716309</v>
      </c>
      <c r="BE74" s="214">
        <f>IF(AND(($D74+$C$1)&gt;AJ$3,AJ$3&gt;=$C$1),'General Inputs'!H$10*$I74,IF(AND(($C74+$C$1)&gt;AJ$3,AJ$3&gt;=$C$1),'General Inputs'!H$10*$H74,0))</f>
        <v>5.0112296443222046</v>
      </c>
      <c r="BF74" s="214">
        <f>IF(AND(($D74+$C$1)&gt;AK$3,AK$3&gt;=$C$1),'General Inputs'!I$10*$I74,IF(AND(($C74+$C$1)&gt;AK$3,AK$3&gt;=$C$1),'General Inputs'!I$10*$H74,0))</f>
        <v>5.0863980889870373</v>
      </c>
      <c r="BG74" s="214">
        <f>IF(AND(($D74+$C$1)&gt;AL$3,AL$3&gt;=$C$1),'General Inputs'!J$10*$I74,IF(AND(($C74+$C$1)&gt;AL$3,AL$3&gt;=$C$1),'General Inputs'!J$10*$H74,0))</f>
        <v>5.1626940603218419</v>
      </c>
      <c r="BH74" s="214">
        <f>IF(AND(($D74+$C$1)&gt;AM$3,AM$3&gt;=$C$1),'General Inputs'!K$10*$I74,IF(AND(($C74+$C$1)&gt;AM$3,AM$3&gt;=$C$1),'General Inputs'!K$10*$H74,0))</f>
        <v>5.2401344712266695</v>
      </c>
      <c r="BI74" s="214">
        <f>IF(AND(($D74+$C$1)&gt;AN$3,AN$3&gt;=$C$1),'General Inputs'!L$10*$I74,IF(AND(($C74+$C$1)&gt;AN$3,AN$3&gt;=$C$1),'General Inputs'!L$10*$H74,0))</f>
        <v>5.3187364882950687</v>
      </c>
      <c r="BJ74" s="214">
        <f>IF(AND(($D74+$C$1)&gt;AO$3,AO$3&gt;=$C$1),'General Inputs'!M$10*$I74,IF(AND(($C74+$C$1)&gt;AO$3,AO$3&gt;=$C$1),'General Inputs'!M$10*$H74,0))</f>
        <v>5.3985175356194945</v>
      </c>
      <c r="BK74" s="214">
        <f>IF(AND(($D74+$C$1)&gt;AP$3,AP$3&gt;=$C$1),'General Inputs'!N$10*$I74,IF(AND(($C74+$C$1)&gt;AP$3,AP$3&gt;=$C$1),'General Inputs'!N$10*$H74,0))</f>
        <v>5.4794952986537862</v>
      </c>
      <c r="BL74" s="214">
        <f>IF(AND(($D74+$C$1)&gt;AQ$3,AQ$3&gt;=$C$1),'General Inputs'!O$10*$I74,IF(AND(($C74+$C$1)&gt;AQ$3,AQ$3&gt;=$C$1),'General Inputs'!O$10*$H74,0))</f>
        <v>5.5616877281335926</v>
      </c>
      <c r="BM74" s="214">
        <f>IF(AND(($D74+$C$1)&gt;AR$3,AR$3&gt;=$C$1),'General Inputs'!P$10*$I74,IF(AND(($C74+$C$1)&gt;AR$3,AR$3&gt;=$C$1),'General Inputs'!P$10*$H74,0))</f>
        <v>5.6451130440555959</v>
      </c>
      <c r="BN74" s="214">
        <f>IF(AND(($D74+$C$1)&gt;AS$3,AS$3&gt;=$C$1),'General Inputs'!Q$10*$I74,IF(AND(($C74+$C$1)&gt;AS$3,AS$3&gt;=$C$1),'General Inputs'!Q$10*$H74,0))</f>
        <v>5.7297897397164297</v>
      </c>
      <c r="BO74" s="214">
        <f>IF(AND(($D74+$C$1)&gt;AT$3,AT$3&gt;=$C$1),'General Inputs'!R$10*$I74,IF(AND(($C74+$C$1)&gt;AT$3,AT$3&gt;=$C$1),'General Inputs'!R$10*$H74,0))</f>
        <v>5.815736585812175</v>
      </c>
      <c r="BP74" s="214">
        <f>IF(AND(($D74+$C$1)&gt;AU$3,AU$3&gt;=$C$1),'General Inputs'!S$10*$I74,IF(AND(($C74+$C$1)&gt;AU$3,AU$3&gt;=$C$1),'General Inputs'!S$10*$H74,0))</f>
        <v>5.9029726345993581</v>
      </c>
      <c r="BQ74" s="214">
        <f>IF(AND(($D74+$C$1)&gt;AV$3,AV$3&gt;=$C$1),'General Inputs'!T$10*$I74,IF(AND(($C74+$C$1)&gt;AV$3,AV$3&gt;=$C$1),'General Inputs'!T$10*$H74,0))</f>
        <v>5.991517224118347</v>
      </c>
      <c r="BR74" s="214">
        <f>IF(AND(($D74+$C$1)&gt;AW$3,AW$3&gt;=$C$1),'General Inputs'!U$10*$I74,IF(AND(($C74+$C$1)&gt;AW$3,AW$3&gt;=$C$1),'General Inputs'!U$10*$H74,0))</f>
        <v>6.0813899824801219</v>
      </c>
      <c r="BS74" s="214">
        <f>IF(AND(($D74+$C$1)&gt;AX$3,AX$3&gt;=$C$1),'General Inputs'!V$10*$I74,IF(AND(($C74+$C$1)&gt;AX$3,AX$3&gt;=$C$1),'General Inputs'!V$10*$H74,0))</f>
        <v>0</v>
      </c>
      <c r="BT74" s="214">
        <f>IF(AND(($D74+$C$1)&gt;AY$3,AY$3&gt;=$C$1),'General Inputs'!W$10*$I74,IF(AND(($C74+$C$1)&gt;AY$3,AY$3&gt;=$C$1),'General Inputs'!W$10*$H74,0))</f>
        <v>0</v>
      </c>
    </row>
    <row r="75" spans="1:72">
      <c r="A75" s="342" t="s">
        <v>112</v>
      </c>
      <c r="B75" s="427" t="str">
        <f>Sources!B75</f>
        <v>Ceiling Mount Occupancy</v>
      </c>
      <c r="C75" s="193">
        <f>Sources!C75</f>
        <v>8</v>
      </c>
      <c r="D75" s="193">
        <f>Sources!D75</f>
        <v>0</v>
      </c>
      <c r="F75" s="429">
        <f>Sources!F75*EnergyLineLoss</f>
        <v>350.21102999999999</v>
      </c>
      <c r="G75" s="429">
        <f>Sources!G75*EnergyLineLoss</f>
        <v>0</v>
      </c>
      <c r="H75" s="477">
        <f>Sources!H75*PeakLineLoss</f>
        <v>1.11841587E-2</v>
      </c>
      <c r="I75" s="477">
        <f>Sources!I75*PeakLineLoss</f>
        <v>0</v>
      </c>
      <c r="K75" s="419">
        <f>Sources!J75</f>
        <v>125</v>
      </c>
      <c r="L75" s="419">
        <f>Sources!K75</f>
        <v>0</v>
      </c>
      <c r="N75" s="438">
        <f t="shared" si="27"/>
        <v>0.71635166401148753</v>
      </c>
      <c r="P75" s="215">
        <f t="shared" si="28"/>
        <v>88.481170404966448</v>
      </c>
      <c r="Q75" s="215">
        <f t="shared" si="29"/>
        <v>1.0627875964694879</v>
      </c>
      <c r="R75" s="215">
        <f t="shared" si="30"/>
        <v>125</v>
      </c>
      <c r="T75" s="214">
        <f t="shared" si="32"/>
        <v>125</v>
      </c>
      <c r="U75" s="214">
        <f t="shared" si="32"/>
        <v>0</v>
      </c>
      <c r="V75" s="214">
        <f t="shared" si="31"/>
        <v>0</v>
      </c>
      <c r="W75" s="214">
        <f t="shared" si="31"/>
        <v>0</v>
      </c>
      <c r="X75" s="214">
        <f t="shared" si="31"/>
        <v>0</v>
      </c>
      <c r="Y75" s="214">
        <f t="shared" si="31"/>
        <v>0</v>
      </c>
      <c r="Z75" s="214">
        <f t="shared" si="31"/>
        <v>0</v>
      </c>
      <c r="AA75" s="214">
        <f t="shared" si="31"/>
        <v>0</v>
      </c>
      <c r="AB75" s="214">
        <f t="shared" si="31"/>
        <v>0</v>
      </c>
      <c r="AC75" s="214">
        <f t="shared" si="31"/>
        <v>0</v>
      </c>
      <c r="AD75" s="214">
        <f t="shared" si="31"/>
        <v>0</v>
      </c>
      <c r="AF75" s="214">
        <f>IF(AND(($D75+$C$1)&gt;AF$3,AF$3&gt;=$C$1),'General Inputs'!D$9*$G75,IF(AND(($C75+$C$1)&gt;AF$3,AF$3&gt;=$C$1),'General Inputs'!D$9*$F75,0))</f>
        <v>13.942695817230776</v>
      </c>
      <c r="AG75" s="214">
        <f>IF(AND(($D75+$C$1)&gt;AG$3,AG$3&gt;=$C$1),'General Inputs'!E$9*$G75,IF(AND(($C75+$C$1)&gt;AG$3,AG$3&gt;=$C$1),'General Inputs'!E$9*$F75,0))</f>
        <v>14.151836254489236</v>
      </c>
      <c r="AH75" s="214">
        <f>IF(AND(($D75+$C$1)&gt;AH$3,AH$3&gt;=$C$1),'General Inputs'!F$9*$G75,IF(AND(($C75+$C$1)&gt;AH$3,AH$3&gt;=$C$1),'General Inputs'!F$9*$F75,0))</f>
        <v>14.364113798306573</v>
      </c>
      <c r="AI75" s="214">
        <f>IF(AND(($D75+$C$1)&gt;AI$3,AI$3&gt;=$C$1),'General Inputs'!G$9*$G75,IF(AND(($C75+$C$1)&gt;AI$3,AI$3&gt;=$C$1),'General Inputs'!G$9*$F75,0))</f>
        <v>14.579575505281172</v>
      </c>
      <c r="AJ75" s="214">
        <f>IF(AND(($D75+$C$1)&gt;AJ$3,AJ$3&gt;=$C$1),'General Inputs'!H$9*$G75,IF(AND(($C75+$C$1)&gt;AJ$3,AJ$3&gt;=$C$1),'General Inputs'!H$9*$F75,0))</f>
        <v>14.798269137860386</v>
      </c>
      <c r="AK75" s="214">
        <f>IF(AND(($D75+$C$1)&gt;AK$3,AK$3&gt;=$C$1),'General Inputs'!I$9*$G75,IF(AND(($C75+$C$1)&gt;AK$3,AK$3&gt;=$C$1),'General Inputs'!I$9*$F75,0))</f>
        <v>15.020243174928289</v>
      </c>
      <c r="AL75" s="214">
        <f>IF(AND(($D75+$C$1)&gt;AL$3,AL$3&gt;=$C$1),'General Inputs'!J$9*$G75,IF(AND(($C75+$C$1)&gt;AL$3,AL$3&gt;=$C$1),'General Inputs'!J$9*$F75,0))</f>
        <v>15.245546822552212</v>
      </c>
      <c r="AM75" s="214">
        <f>IF(AND(($D75+$C$1)&gt;AM$3,AM$3&gt;=$C$1),'General Inputs'!K$9*$G75,IF(AND(($C75+$C$1)&gt;AM$3,AM$3&gt;=$C$1),'General Inputs'!K$9*$F75,0))</f>
        <v>15.474230024890492</v>
      </c>
      <c r="AN75" s="214">
        <f>IF(AND(($D75+$C$1)&gt;AN$3,AN$3&gt;=$C$1),'General Inputs'!L$9*$G75,IF(AND(($C75+$C$1)&gt;AN$3,AN$3&gt;=$C$1),'General Inputs'!L$9*$F75,0))</f>
        <v>0</v>
      </c>
      <c r="AO75" s="214">
        <f>IF(AND(($D75+$C$1)&gt;AO$3,AO$3&gt;=$C$1),'General Inputs'!M$9*$G75,IF(AND(($C75+$C$1)&gt;AO$3,AO$3&gt;=$C$1),'General Inputs'!M$9*$F75,0))</f>
        <v>0</v>
      </c>
      <c r="AP75" s="214">
        <f>IF(AND(($D75+$C$1)&gt;AP$3,AP$3&gt;=$C$1),'General Inputs'!N$9*$G75,IF(AND(($C75+$C$1)&gt;AP$3,AP$3&gt;=$C$1),'General Inputs'!N$9*$F75,0))</f>
        <v>0</v>
      </c>
      <c r="AQ75" s="214">
        <f>IF(AND(($D75+$C$1)&gt;AQ$3,AQ$3&gt;=$C$1),'General Inputs'!O$9*$G75,IF(AND(($C75+$C$1)&gt;AQ$3,AQ$3&gt;=$C$1),'General Inputs'!O$9*$F75,0))</f>
        <v>0</v>
      </c>
      <c r="AR75" s="214">
        <f>IF(AND(($D75+$C$1)&gt;AR$3,AR$3&gt;=$C$1),'General Inputs'!P$9*$G75,IF(AND(($C75+$C$1)&gt;AR$3,AR$3&gt;=$C$1),'General Inputs'!P$9*$F75,0))</f>
        <v>0</v>
      </c>
      <c r="AS75" s="214">
        <f>IF(AND(($D75+$C$1)&gt;AS$3,AS$3&gt;=$C$1),'General Inputs'!Q$9*$G75,IF(AND(($C75+$C$1)&gt;AS$3,AS$3&gt;=$C$1),'General Inputs'!Q$9*$F75,0))</f>
        <v>0</v>
      </c>
      <c r="AT75" s="214">
        <f>IF(AND(($D75+$C$1)&gt;AT$3,AT$3&gt;=$C$1),'General Inputs'!R$9*$G75,IF(AND(($C75+$C$1)&gt;AT$3,AT$3&gt;=$C$1),'General Inputs'!R$9*$F75,0))</f>
        <v>0</v>
      </c>
      <c r="AU75" s="214">
        <f>IF(AND(($D75+$C$1)&gt;AU$3,AU$3&gt;=$C$1),'General Inputs'!S$9*$G75,IF(AND(($C75+$C$1)&gt;AU$3,AU$3&gt;=$C$1),'General Inputs'!S$9*$F75,0))</f>
        <v>0</v>
      </c>
      <c r="AV75" s="214">
        <f>IF(AND(($D75+$C$1)&gt;AV$3,AV$3&gt;=$C$1),'General Inputs'!T$9*$G75,IF(AND(($C75+$C$1)&gt;AV$3,AV$3&gt;=$C$1),'General Inputs'!T$9*$F75,0))</f>
        <v>0</v>
      </c>
      <c r="AW75" s="214">
        <f>IF(AND(($D75+$C$1)&gt;AW$3,AW$3&gt;=$C$1),'General Inputs'!U$9*$G75,IF(AND(($C75+$C$1)&gt;AW$3,AW$3&gt;=$C$1),'General Inputs'!U$9*$F75,0))</f>
        <v>0</v>
      </c>
      <c r="AX75" s="214">
        <f>IF(AND(($D75+$C$1)&gt;AX$3,AX$3&gt;=$C$1),'General Inputs'!V$9*$G75,IF(AND(($C75+$C$1)&gt;AX$3,AX$3&gt;=$C$1),'General Inputs'!V$9*$F75,0))</f>
        <v>0</v>
      </c>
      <c r="AY75" s="214">
        <f>IF(AND(($D75+$C$1)&gt;AY$3,AY$3&gt;=$C$1),'General Inputs'!W$9*$G75,IF(AND(($C75+$C$1)&gt;AY$3,AY$3&gt;=$C$1),'General Inputs'!W$9*$F75,0))</f>
        <v>0</v>
      </c>
      <c r="BA75" s="214">
        <f>IF(AND(($D75+$C$1)&gt;AF$3,AF$3&gt;=$C$1),'General Inputs'!D$10*$I75,IF(AND(($C75+$C$1)&gt;AF$3,AF$3&gt;=$C$1),'General Inputs'!D$10*$H75,0))</f>
        <v>0.1674720633562973</v>
      </c>
      <c r="BB75" s="214">
        <f>IF(AND(($D75+$C$1)&gt;AG$3,AG$3&gt;=$C$1),'General Inputs'!E$10*$I75,IF(AND(($C75+$C$1)&gt;AG$3,AG$3&gt;=$C$1),'General Inputs'!E$10*$H75,0))</f>
        <v>0.16998414430664174</v>
      </c>
      <c r="BC75" s="214">
        <f>IF(AND(($D75+$C$1)&gt;AH$3,AH$3&gt;=$C$1),'General Inputs'!F$10*$I75,IF(AND(($C75+$C$1)&gt;AH$3,AH$3&gt;=$C$1),'General Inputs'!F$10*$H75,0))</f>
        <v>0.17253390647124137</v>
      </c>
      <c r="BD75" s="214">
        <f>IF(AND(($D75+$C$1)&gt;AI$3,AI$3&gt;=$C$1),'General Inputs'!G$10*$I75,IF(AND(($C75+$C$1)&gt;AI$3,AI$3&gt;=$C$1),'General Inputs'!G$10*$H75,0))</f>
        <v>0.17512191506830999</v>
      </c>
      <c r="BE75" s="214">
        <f>IF(AND(($D75+$C$1)&gt;AJ$3,AJ$3&gt;=$C$1),'General Inputs'!H$10*$I75,IF(AND(($C75+$C$1)&gt;AJ$3,AJ$3&gt;=$C$1),'General Inputs'!H$10*$H75,0))</f>
        <v>0.17774874379433461</v>
      </c>
      <c r="BF75" s="214">
        <f>IF(AND(($D75+$C$1)&gt;AK$3,AK$3&gt;=$C$1),'General Inputs'!I$10*$I75,IF(AND(($C75+$C$1)&gt;AK$3,AK$3&gt;=$C$1),'General Inputs'!I$10*$H75,0))</f>
        <v>0.18041497495124958</v>
      </c>
      <c r="BG75" s="214">
        <f>IF(AND(($D75+$C$1)&gt;AL$3,AL$3&gt;=$C$1),'General Inputs'!J$10*$I75,IF(AND(($C75+$C$1)&gt;AL$3,AL$3&gt;=$C$1),'General Inputs'!J$10*$H75,0))</f>
        <v>0.18312119957551831</v>
      </c>
      <c r="BH75" s="214">
        <f>IF(AND(($D75+$C$1)&gt;AM$3,AM$3&gt;=$C$1),'General Inputs'!K$10*$I75,IF(AND(($C75+$C$1)&gt;AM$3,AM$3&gt;=$C$1),'General Inputs'!K$10*$H75,0))</f>
        <v>0.18586801756915108</v>
      </c>
      <c r="BI75" s="214">
        <f>IF(AND(($D75+$C$1)&gt;AN$3,AN$3&gt;=$C$1),'General Inputs'!L$10*$I75,IF(AND(($C75+$C$1)&gt;AN$3,AN$3&gt;=$C$1),'General Inputs'!L$10*$H75,0))</f>
        <v>0</v>
      </c>
      <c r="BJ75" s="214">
        <f>IF(AND(($D75+$C$1)&gt;AO$3,AO$3&gt;=$C$1),'General Inputs'!M$10*$I75,IF(AND(($C75+$C$1)&gt;AO$3,AO$3&gt;=$C$1),'General Inputs'!M$10*$H75,0))</f>
        <v>0</v>
      </c>
      <c r="BK75" s="214">
        <f>IF(AND(($D75+$C$1)&gt;AP$3,AP$3&gt;=$C$1),'General Inputs'!N$10*$I75,IF(AND(($C75+$C$1)&gt;AP$3,AP$3&gt;=$C$1),'General Inputs'!N$10*$H75,0))</f>
        <v>0</v>
      </c>
      <c r="BL75" s="214">
        <f>IF(AND(($D75+$C$1)&gt;AQ$3,AQ$3&gt;=$C$1),'General Inputs'!O$10*$I75,IF(AND(($C75+$C$1)&gt;AQ$3,AQ$3&gt;=$C$1),'General Inputs'!O$10*$H75,0))</f>
        <v>0</v>
      </c>
      <c r="BM75" s="214">
        <f>IF(AND(($D75+$C$1)&gt;AR$3,AR$3&gt;=$C$1),'General Inputs'!P$10*$I75,IF(AND(($C75+$C$1)&gt;AR$3,AR$3&gt;=$C$1),'General Inputs'!P$10*$H75,0))</f>
        <v>0</v>
      </c>
      <c r="BN75" s="214">
        <f>IF(AND(($D75+$C$1)&gt;AS$3,AS$3&gt;=$C$1),'General Inputs'!Q$10*$I75,IF(AND(($C75+$C$1)&gt;AS$3,AS$3&gt;=$C$1),'General Inputs'!Q$10*$H75,0))</f>
        <v>0</v>
      </c>
      <c r="BO75" s="214">
        <f>IF(AND(($D75+$C$1)&gt;AT$3,AT$3&gt;=$C$1),'General Inputs'!R$10*$I75,IF(AND(($C75+$C$1)&gt;AT$3,AT$3&gt;=$C$1),'General Inputs'!R$10*$H75,0))</f>
        <v>0</v>
      </c>
      <c r="BP75" s="214">
        <f>IF(AND(($D75+$C$1)&gt;AU$3,AU$3&gt;=$C$1),'General Inputs'!S$10*$I75,IF(AND(($C75+$C$1)&gt;AU$3,AU$3&gt;=$C$1),'General Inputs'!S$10*$H75,0))</f>
        <v>0</v>
      </c>
      <c r="BQ75" s="214">
        <f>IF(AND(($D75+$C$1)&gt;AV$3,AV$3&gt;=$C$1),'General Inputs'!T$10*$I75,IF(AND(($C75+$C$1)&gt;AV$3,AV$3&gt;=$C$1),'General Inputs'!T$10*$H75,0))</f>
        <v>0</v>
      </c>
      <c r="BR75" s="214">
        <f>IF(AND(($D75+$C$1)&gt;AW$3,AW$3&gt;=$C$1),'General Inputs'!U$10*$I75,IF(AND(($C75+$C$1)&gt;AW$3,AW$3&gt;=$C$1),'General Inputs'!U$10*$H75,0))</f>
        <v>0</v>
      </c>
      <c r="BS75" s="214">
        <f>IF(AND(($D75+$C$1)&gt;AX$3,AX$3&gt;=$C$1),'General Inputs'!V$10*$I75,IF(AND(($C75+$C$1)&gt;AX$3,AX$3&gt;=$C$1),'General Inputs'!V$10*$H75,0))</f>
        <v>0</v>
      </c>
      <c r="BT75" s="214">
        <f>IF(AND(($D75+$C$1)&gt;AY$3,AY$3&gt;=$C$1),'General Inputs'!W$10*$I75,IF(AND(($C75+$C$1)&gt;AY$3,AY$3&gt;=$C$1),'General Inputs'!W$10*$H75,0))</f>
        <v>0</v>
      </c>
    </row>
    <row r="76" spans="1:72">
      <c r="A76" s="342" t="s">
        <v>112</v>
      </c>
      <c r="B76" s="427" t="str">
        <f>Sources!B76</f>
        <v>Wall Mount Occupancy</v>
      </c>
      <c r="C76" s="193">
        <f>Sources!C76</f>
        <v>8</v>
      </c>
      <c r="D76" s="193">
        <f>Sources!D76</f>
        <v>0</v>
      </c>
      <c r="F76" s="429">
        <f>Sources!F76*EnergyLineLoss</f>
        <v>350.21102999999999</v>
      </c>
      <c r="G76" s="429">
        <f>Sources!G76*EnergyLineLoss</f>
        <v>0</v>
      </c>
      <c r="H76" s="477">
        <f>Sources!H76*PeakLineLoss</f>
        <v>1.11841587E-2</v>
      </c>
      <c r="I76" s="477">
        <f>Sources!I76*PeakLineLoss</f>
        <v>0</v>
      </c>
      <c r="K76" s="419">
        <f>Sources!J76</f>
        <v>55</v>
      </c>
      <c r="L76" s="419">
        <f>Sources!K76</f>
        <v>0</v>
      </c>
      <c r="N76" s="438">
        <f t="shared" si="27"/>
        <v>1.6280719636624716</v>
      </c>
      <c r="P76" s="215">
        <f t="shared" si="28"/>
        <v>88.481170404966448</v>
      </c>
      <c r="Q76" s="215">
        <f t="shared" si="29"/>
        <v>1.0627875964694879</v>
      </c>
      <c r="R76" s="215">
        <f t="shared" si="30"/>
        <v>55</v>
      </c>
      <c r="T76" s="214">
        <f t="shared" si="32"/>
        <v>55</v>
      </c>
      <c r="U76" s="214">
        <f t="shared" si="32"/>
        <v>0</v>
      </c>
      <c r="V76" s="214">
        <f t="shared" si="31"/>
        <v>0</v>
      </c>
      <c r="W76" s="214">
        <f t="shared" si="31"/>
        <v>0</v>
      </c>
      <c r="X76" s="214">
        <f t="shared" si="31"/>
        <v>0</v>
      </c>
      <c r="Y76" s="214">
        <f t="shared" si="31"/>
        <v>0</v>
      </c>
      <c r="Z76" s="214">
        <f t="shared" si="31"/>
        <v>0</v>
      </c>
      <c r="AA76" s="214">
        <f t="shared" si="31"/>
        <v>0</v>
      </c>
      <c r="AB76" s="214">
        <f t="shared" si="31"/>
        <v>0</v>
      </c>
      <c r="AC76" s="214">
        <f t="shared" si="31"/>
        <v>0</v>
      </c>
      <c r="AD76" s="214">
        <f t="shared" si="31"/>
        <v>0</v>
      </c>
      <c r="AF76" s="214">
        <f>IF(AND(($D76+$C$1)&gt;AF$3,AF$3&gt;=$C$1),'General Inputs'!D$9*$G76,IF(AND(($C76+$C$1)&gt;AF$3,AF$3&gt;=$C$1),'General Inputs'!D$9*$F76,0))</f>
        <v>13.942695817230776</v>
      </c>
      <c r="AG76" s="214">
        <f>IF(AND(($D76+$C$1)&gt;AG$3,AG$3&gt;=$C$1),'General Inputs'!E$9*$G76,IF(AND(($C76+$C$1)&gt;AG$3,AG$3&gt;=$C$1),'General Inputs'!E$9*$F76,0))</f>
        <v>14.151836254489236</v>
      </c>
      <c r="AH76" s="214">
        <f>IF(AND(($D76+$C$1)&gt;AH$3,AH$3&gt;=$C$1),'General Inputs'!F$9*$G76,IF(AND(($C76+$C$1)&gt;AH$3,AH$3&gt;=$C$1),'General Inputs'!F$9*$F76,0))</f>
        <v>14.364113798306573</v>
      </c>
      <c r="AI76" s="214">
        <f>IF(AND(($D76+$C$1)&gt;AI$3,AI$3&gt;=$C$1),'General Inputs'!G$9*$G76,IF(AND(($C76+$C$1)&gt;AI$3,AI$3&gt;=$C$1),'General Inputs'!G$9*$F76,0))</f>
        <v>14.579575505281172</v>
      </c>
      <c r="AJ76" s="214">
        <f>IF(AND(($D76+$C$1)&gt;AJ$3,AJ$3&gt;=$C$1),'General Inputs'!H$9*$G76,IF(AND(($C76+$C$1)&gt;AJ$3,AJ$3&gt;=$C$1),'General Inputs'!H$9*$F76,0))</f>
        <v>14.798269137860386</v>
      </c>
      <c r="AK76" s="214">
        <f>IF(AND(($D76+$C$1)&gt;AK$3,AK$3&gt;=$C$1),'General Inputs'!I$9*$G76,IF(AND(($C76+$C$1)&gt;AK$3,AK$3&gt;=$C$1),'General Inputs'!I$9*$F76,0))</f>
        <v>15.020243174928289</v>
      </c>
      <c r="AL76" s="214">
        <f>IF(AND(($D76+$C$1)&gt;AL$3,AL$3&gt;=$C$1),'General Inputs'!J$9*$G76,IF(AND(($C76+$C$1)&gt;AL$3,AL$3&gt;=$C$1),'General Inputs'!J$9*$F76,0))</f>
        <v>15.245546822552212</v>
      </c>
      <c r="AM76" s="214">
        <f>IF(AND(($D76+$C$1)&gt;AM$3,AM$3&gt;=$C$1),'General Inputs'!K$9*$G76,IF(AND(($C76+$C$1)&gt;AM$3,AM$3&gt;=$C$1),'General Inputs'!K$9*$F76,0))</f>
        <v>15.474230024890492</v>
      </c>
      <c r="AN76" s="214">
        <f>IF(AND(($D76+$C$1)&gt;AN$3,AN$3&gt;=$C$1),'General Inputs'!L$9*$G76,IF(AND(($C76+$C$1)&gt;AN$3,AN$3&gt;=$C$1),'General Inputs'!L$9*$F76,0))</f>
        <v>0</v>
      </c>
      <c r="AO76" s="214">
        <f>IF(AND(($D76+$C$1)&gt;AO$3,AO$3&gt;=$C$1),'General Inputs'!M$9*$G76,IF(AND(($C76+$C$1)&gt;AO$3,AO$3&gt;=$C$1),'General Inputs'!M$9*$F76,0))</f>
        <v>0</v>
      </c>
      <c r="AP76" s="214">
        <f>IF(AND(($D76+$C$1)&gt;AP$3,AP$3&gt;=$C$1),'General Inputs'!N$9*$G76,IF(AND(($C76+$C$1)&gt;AP$3,AP$3&gt;=$C$1),'General Inputs'!N$9*$F76,0))</f>
        <v>0</v>
      </c>
      <c r="AQ76" s="214">
        <f>IF(AND(($D76+$C$1)&gt;AQ$3,AQ$3&gt;=$C$1),'General Inputs'!O$9*$G76,IF(AND(($C76+$C$1)&gt;AQ$3,AQ$3&gt;=$C$1),'General Inputs'!O$9*$F76,0))</f>
        <v>0</v>
      </c>
      <c r="AR76" s="214">
        <f>IF(AND(($D76+$C$1)&gt;AR$3,AR$3&gt;=$C$1),'General Inputs'!P$9*$G76,IF(AND(($C76+$C$1)&gt;AR$3,AR$3&gt;=$C$1),'General Inputs'!P$9*$F76,0))</f>
        <v>0</v>
      </c>
      <c r="AS76" s="214">
        <f>IF(AND(($D76+$C$1)&gt;AS$3,AS$3&gt;=$C$1),'General Inputs'!Q$9*$G76,IF(AND(($C76+$C$1)&gt;AS$3,AS$3&gt;=$C$1),'General Inputs'!Q$9*$F76,0))</f>
        <v>0</v>
      </c>
      <c r="AT76" s="214">
        <f>IF(AND(($D76+$C$1)&gt;AT$3,AT$3&gt;=$C$1),'General Inputs'!R$9*$G76,IF(AND(($C76+$C$1)&gt;AT$3,AT$3&gt;=$C$1),'General Inputs'!R$9*$F76,0))</f>
        <v>0</v>
      </c>
      <c r="AU76" s="214">
        <f>IF(AND(($D76+$C$1)&gt;AU$3,AU$3&gt;=$C$1),'General Inputs'!S$9*$G76,IF(AND(($C76+$C$1)&gt;AU$3,AU$3&gt;=$C$1),'General Inputs'!S$9*$F76,0))</f>
        <v>0</v>
      </c>
      <c r="AV76" s="214">
        <f>IF(AND(($D76+$C$1)&gt;AV$3,AV$3&gt;=$C$1),'General Inputs'!T$9*$G76,IF(AND(($C76+$C$1)&gt;AV$3,AV$3&gt;=$C$1),'General Inputs'!T$9*$F76,0))</f>
        <v>0</v>
      </c>
      <c r="AW76" s="214">
        <f>IF(AND(($D76+$C$1)&gt;AW$3,AW$3&gt;=$C$1),'General Inputs'!U$9*$G76,IF(AND(($C76+$C$1)&gt;AW$3,AW$3&gt;=$C$1),'General Inputs'!U$9*$F76,0))</f>
        <v>0</v>
      </c>
      <c r="AX76" s="214">
        <f>IF(AND(($D76+$C$1)&gt;AX$3,AX$3&gt;=$C$1),'General Inputs'!V$9*$G76,IF(AND(($C76+$C$1)&gt;AX$3,AX$3&gt;=$C$1),'General Inputs'!V$9*$F76,0))</f>
        <v>0</v>
      </c>
      <c r="AY76" s="214">
        <f>IF(AND(($D76+$C$1)&gt;AY$3,AY$3&gt;=$C$1),'General Inputs'!W$9*$G76,IF(AND(($C76+$C$1)&gt;AY$3,AY$3&gt;=$C$1),'General Inputs'!W$9*$F76,0))</f>
        <v>0</v>
      </c>
      <c r="BA76" s="214">
        <f>IF(AND(($D76+$C$1)&gt;AF$3,AF$3&gt;=$C$1),'General Inputs'!D$10*$I76,IF(AND(($C76+$C$1)&gt;AF$3,AF$3&gt;=$C$1),'General Inputs'!D$10*$H76,0))</f>
        <v>0.1674720633562973</v>
      </c>
      <c r="BB76" s="214">
        <f>IF(AND(($D76+$C$1)&gt;AG$3,AG$3&gt;=$C$1),'General Inputs'!E$10*$I76,IF(AND(($C76+$C$1)&gt;AG$3,AG$3&gt;=$C$1),'General Inputs'!E$10*$H76,0))</f>
        <v>0.16998414430664174</v>
      </c>
      <c r="BC76" s="214">
        <f>IF(AND(($D76+$C$1)&gt;AH$3,AH$3&gt;=$C$1),'General Inputs'!F$10*$I76,IF(AND(($C76+$C$1)&gt;AH$3,AH$3&gt;=$C$1),'General Inputs'!F$10*$H76,0))</f>
        <v>0.17253390647124137</v>
      </c>
      <c r="BD76" s="214">
        <f>IF(AND(($D76+$C$1)&gt;AI$3,AI$3&gt;=$C$1),'General Inputs'!G$10*$I76,IF(AND(($C76+$C$1)&gt;AI$3,AI$3&gt;=$C$1),'General Inputs'!G$10*$H76,0))</f>
        <v>0.17512191506830999</v>
      </c>
      <c r="BE76" s="214">
        <f>IF(AND(($D76+$C$1)&gt;AJ$3,AJ$3&gt;=$C$1),'General Inputs'!H$10*$I76,IF(AND(($C76+$C$1)&gt;AJ$3,AJ$3&gt;=$C$1),'General Inputs'!H$10*$H76,0))</f>
        <v>0.17774874379433461</v>
      </c>
      <c r="BF76" s="214">
        <f>IF(AND(($D76+$C$1)&gt;AK$3,AK$3&gt;=$C$1),'General Inputs'!I$10*$I76,IF(AND(($C76+$C$1)&gt;AK$3,AK$3&gt;=$C$1),'General Inputs'!I$10*$H76,0))</f>
        <v>0.18041497495124958</v>
      </c>
      <c r="BG76" s="214">
        <f>IF(AND(($D76+$C$1)&gt;AL$3,AL$3&gt;=$C$1),'General Inputs'!J$10*$I76,IF(AND(($C76+$C$1)&gt;AL$3,AL$3&gt;=$C$1),'General Inputs'!J$10*$H76,0))</f>
        <v>0.18312119957551831</v>
      </c>
      <c r="BH76" s="214">
        <f>IF(AND(($D76+$C$1)&gt;AM$3,AM$3&gt;=$C$1),'General Inputs'!K$10*$I76,IF(AND(($C76+$C$1)&gt;AM$3,AM$3&gt;=$C$1),'General Inputs'!K$10*$H76,0))</f>
        <v>0.18586801756915108</v>
      </c>
      <c r="BI76" s="214">
        <f>IF(AND(($D76+$C$1)&gt;AN$3,AN$3&gt;=$C$1),'General Inputs'!L$10*$I76,IF(AND(($C76+$C$1)&gt;AN$3,AN$3&gt;=$C$1),'General Inputs'!L$10*$H76,0))</f>
        <v>0</v>
      </c>
      <c r="BJ76" s="214">
        <f>IF(AND(($D76+$C$1)&gt;AO$3,AO$3&gt;=$C$1),'General Inputs'!M$10*$I76,IF(AND(($C76+$C$1)&gt;AO$3,AO$3&gt;=$C$1),'General Inputs'!M$10*$H76,0))</f>
        <v>0</v>
      </c>
      <c r="BK76" s="214">
        <f>IF(AND(($D76+$C$1)&gt;AP$3,AP$3&gt;=$C$1),'General Inputs'!N$10*$I76,IF(AND(($C76+$C$1)&gt;AP$3,AP$3&gt;=$C$1),'General Inputs'!N$10*$H76,0))</f>
        <v>0</v>
      </c>
      <c r="BL76" s="214">
        <f>IF(AND(($D76+$C$1)&gt;AQ$3,AQ$3&gt;=$C$1),'General Inputs'!O$10*$I76,IF(AND(($C76+$C$1)&gt;AQ$3,AQ$3&gt;=$C$1),'General Inputs'!O$10*$H76,0))</f>
        <v>0</v>
      </c>
      <c r="BM76" s="214">
        <f>IF(AND(($D76+$C$1)&gt;AR$3,AR$3&gt;=$C$1),'General Inputs'!P$10*$I76,IF(AND(($C76+$C$1)&gt;AR$3,AR$3&gt;=$C$1),'General Inputs'!P$10*$H76,0))</f>
        <v>0</v>
      </c>
      <c r="BN76" s="214">
        <f>IF(AND(($D76+$C$1)&gt;AS$3,AS$3&gt;=$C$1),'General Inputs'!Q$10*$I76,IF(AND(($C76+$C$1)&gt;AS$3,AS$3&gt;=$C$1),'General Inputs'!Q$10*$H76,0))</f>
        <v>0</v>
      </c>
      <c r="BO76" s="214">
        <f>IF(AND(($D76+$C$1)&gt;AT$3,AT$3&gt;=$C$1),'General Inputs'!R$10*$I76,IF(AND(($C76+$C$1)&gt;AT$3,AT$3&gt;=$C$1),'General Inputs'!R$10*$H76,0))</f>
        <v>0</v>
      </c>
      <c r="BP76" s="214">
        <f>IF(AND(($D76+$C$1)&gt;AU$3,AU$3&gt;=$C$1),'General Inputs'!S$10*$I76,IF(AND(($C76+$C$1)&gt;AU$3,AU$3&gt;=$C$1),'General Inputs'!S$10*$H76,0))</f>
        <v>0</v>
      </c>
      <c r="BQ76" s="214">
        <f>IF(AND(($D76+$C$1)&gt;AV$3,AV$3&gt;=$C$1),'General Inputs'!T$10*$I76,IF(AND(($C76+$C$1)&gt;AV$3,AV$3&gt;=$C$1),'General Inputs'!T$10*$H76,0))</f>
        <v>0</v>
      </c>
      <c r="BR76" s="214">
        <f>IF(AND(($D76+$C$1)&gt;AW$3,AW$3&gt;=$C$1),'General Inputs'!U$10*$I76,IF(AND(($C76+$C$1)&gt;AW$3,AW$3&gt;=$C$1),'General Inputs'!U$10*$H76,0))</f>
        <v>0</v>
      </c>
      <c r="BS76" s="214">
        <f>IF(AND(($D76+$C$1)&gt;AX$3,AX$3&gt;=$C$1),'General Inputs'!V$10*$I76,IF(AND(($C76+$C$1)&gt;AX$3,AX$3&gt;=$C$1),'General Inputs'!V$10*$H76,0))</f>
        <v>0</v>
      </c>
      <c r="BT76" s="214">
        <f>IF(AND(($D76+$C$1)&gt;AY$3,AY$3&gt;=$C$1),'General Inputs'!W$10*$I76,IF(AND(($C76+$C$1)&gt;AY$3,AY$3&gt;=$C$1),'General Inputs'!W$10*$H76,0))</f>
        <v>0</v>
      </c>
    </row>
    <row r="77" spans="1:72">
      <c r="A77" s="342" t="s">
        <v>112</v>
      </c>
      <c r="B77" s="427" t="str">
        <f>Sources!B77</f>
        <v>Fixture Mount Occupancy</v>
      </c>
      <c r="C77" s="193">
        <f>Sources!C77</f>
        <v>8</v>
      </c>
      <c r="D77" s="193">
        <f>Sources!D77</f>
        <v>0</v>
      </c>
      <c r="F77" s="429">
        <f>Sources!F77*EnergyLineLoss</f>
        <v>350.21102999999999</v>
      </c>
      <c r="G77" s="429">
        <f>Sources!G77*EnergyLineLoss</f>
        <v>0</v>
      </c>
      <c r="H77" s="477">
        <f>Sources!H77*PeakLineLoss</f>
        <v>1.11841587E-2</v>
      </c>
      <c r="I77" s="477">
        <f>Sources!I77*PeakLineLoss</f>
        <v>0</v>
      </c>
      <c r="K77" s="419">
        <f>Sources!J77</f>
        <v>55</v>
      </c>
      <c r="L77" s="419">
        <f>Sources!K77</f>
        <v>0</v>
      </c>
      <c r="N77" s="438">
        <f t="shared" si="27"/>
        <v>1.6280719636624716</v>
      </c>
      <c r="P77" s="215">
        <f t="shared" si="28"/>
        <v>88.481170404966448</v>
      </c>
      <c r="Q77" s="215">
        <f t="shared" si="29"/>
        <v>1.0627875964694879</v>
      </c>
      <c r="R77" s="215">
        <f t="shared" si="30"/>
        <v>55</v>
      </c>
      <c r="T77" s="214">
        <f t="shared" si="32"/>
        <v>55</v>
      </c>
      <c r="U77" s="214">
        <f t="shared" si="32"/>
        <v>0</v>
      </c>
      <c r="V77" s="214">
        <f t="shared" si="31"/>
        <v>0</v>
      </c>
      <c r="W77" s="214">
        <f t="shared" si="31"/>
        <v>0</v>
      </c>
      <c r="X77" s="214">
        <f t="shared" si="31"/>
        <v>0</v>
      </c>
      <c r="Y77" s="214">
        <f t="shared" si="31"/>
        <v>0</v>
      </c>
      <c r="Z77" s="214">
        <f t="shared" si="31"/>
        <v>0</v>
      </c>
      <c r="AA77" s="214">
        <f t="shared" si="31"/>
        <v>0</v>
      </c>
      <c r="AB77" s="214">
        <f t="shared" si="31"/>
        <v>0</v>
      </c>
      <c r="AC77" s="214">
        <f t="shared" si="31"/>
        <v>0</v>
      </c>
      <c r="AD77" s="214">
        <f t="shared" si="31"/>
        <v>0</v>
      </c>
      <c r="AF77" s="214">
        <f>IF(AND(($D77+$C$1)&gt;AF$3,AF$3&gt;=$C$1),'General Inputs'!D$9*$G77,IF(AND(($C77+$C$1)&gt;AF$3,AF$3&gt;=$C$1),'General Inputs'!D$9*$F77,0))</f>
        <v>13.942695817230776</v>
      </c>
      <c r="AG77" s="214">
        <f>IF(AND(($D77+$C$1)&gt;AG$3,AG$3&gt;=$C$1),'General Inputs'!E$9*$G77,IF(AND(($C77+$C$1)&gt;AG$3,AG$3&gt;=$C$1),'General Inputs'!E$9*$F77,0))</f>
        <v>14.151836254489236</v>
      </c>
      <c r="AH77" s="214">
        <f>IF(AND(($D77+$C$1)&gt;AH$3,AH$3&gt;=$C$1),'General Inputs'!F$9*$G77,IF(AND(($C77+$C$1)&gt;AH$3,AH$3&gt;=$C$1),'General Inputs'!F$9*$F77,0))</f>
        <v>14.364113798306573</v>
      </c>
      <c r="AI77" s="214">
        <f>IF(AND(($D77+$C$1)&gt;AI$3,AI$3&gt;=$C$1),'General Inputs'!G$9*$G77,IF(AND(($C77+$C$1)&gt;AI$3,AI$3&gt;=$C$1),'General Inputs'!G$9*$F77,0))</f>
        <v>14.579575505281172</v>
      </c>
      <c r="AJ77" s="214">
        <f>IF(AND(($D77+$C$1)&gt;AJ$3,AJ$3&gt;=$C$1),'General Inputs'!H$9*$G77,IF(AND(($C77+$C$1)&gt;AJ$3,AJ$3&gt;=$C$1),'General Inputs'!H$9*$F77,0))</f>
        <v>14.798269137860386</v>
      </c>
      <c r="AK77" s="214">
        <f>IF(AND(($D77+$C$1)&gt;AK$3,AK$3&gt;=$C$1),'General Inputs'!I$9*$G77,IF(AND(($C77+$C$1)&gt;AK$3,AK$3&gt;=$C$1),'General Inputs'!I$9*$F77,0))</f>
        <v>15.020243174928289</v>
      </c>
      <c r="AL77" s="214">
        <f>IF(AND(($D77+$C$1)&gt;AL$3,AL$3&gt;=$C$1),'General Inputs'!J$9*$G77,IF(AND(($C77+$C$1)&gt;AL$3,AL$3&gt;=$C$1),'General Inputs'!J$9*$F77,0))</f>
        <v>15.245546822552212</v>
      </c>
      <c r="AM77" s="214">
        <f>IF(AND(($D77+$C$1)&gt;AM$3,AM$3&gt;=$C$1),'General Inputs'!K$9*$G77,IF(AND(($C77+$C$1)&gt;AM$3,AM$3&gt;=$C$1),'General Inputs'!K$9*$F77,0))</f>
        <v>15.474230024890492</v>
      </c>
      <c r="AN77" s="214">
        <f>IF(AND(($D77+$C$1)&gt;AN$3,AN$3&gt;=$C$1),'General Inputs'!L$9*$G77,IF(AND(($C77+$C$1)&gt;AN$3,AN$3&gt;=$C$1),'General Inputs'!L$9*$F77,0))</f>
        <v>0</v>
      </c>
      <c r="AO77" s="214">
        <f>IF(AND(($D77+$C$1)&gt;AO$3,AO$3&gt;=$C$1),'General Inputs'!M$9*$G77,IF(AND(($C77+$C$1)&gt;AO$3,AO$3&gt;=$C$1),'General Inputs'!M$9*$F77,0))</f>
        <v>0</v>
      </c>
      <c r="AP77" s="214">
        <f>IF(AND(($D77+$C$1)&gt;AP$3,AP$3&gt;=$C$1),'General Inputs'!N$9*$G77,IF(AND(($C77+$C$1)&gt;AP$3,AP$3&gt;=$C$1),'General Inputs'!N$9*$F77,0))</f>
        <v>0</v>
      </c>
      <c r="AQ77" s="214">
        <f>IF(AND(($D77+$C$1)&gt;AQ$3,AQ$3&gt;=$C$1),'General Inputs'!O$9*$G77,IF(AND(($C77+$C$1)&gt;AQ$3,AQ$3&gt;=$C$1),'General Inputs'!O$9*$F77,0))</f>
        <v>0</v>
      </c>
      <c r="AR77" s="214">
        <f>IF(AND(($D77+$C$1)&gt;AR$3,AR$3&gt;=$C$1),'General Inputs'!P$9*$G77,IF(AND(($C77+$C$1)&gt;AR$3,AR$3&gt;=$C$1),'General Inputs'!P$9*$F77,0))</f>
        <v>0</v>
      </c>
      <c r="AS77" s="214">
        <f>IF(AND(($D77+$C$1)&gt;AS$3,AS$3&gt;=$C$1),'General Inputs'!Q$9*$G77,IF(AND(($C77+$C$1)&gt;AS$3,AS$3&gt;=$C$1),'General Inputs'!Q$9*$F77,0))</f>
        <v>0</v>
      </c>
      <c r="AT77" s="214">
        <f>IF(AND(($D77+$C$1)&gt;AT$3,AT$3&gt;=$C$1),'General Inputs'!R$9*$G77,IF(AND(($C77+$C$1)&gt;AT$3,AT$3&gt;=$C$1),'General Inputs'!R$9*$F77,0))</f>
        <v>0</v>
      </c>
      <c r="AU77" s="214">
        <f>IF(AND(($D77+$C$1)&gt;AU$3,AU$3&gt;=$C$1),'General Inputs'!S$9*$G77,IF(AND(($C77+$C$1)&gt;AU$3,AU$3&gt;=$C$1),'General Inputs'!S$9*$F77,0))</f>
        <v>0</v>
      </c>
      <c r="AV77" s="214">
        <f>IF(AND(($D77+$C$1)&gt;AV$3,AV$3&gt;=$C$1),'General Inputs'!T$9*$G77,IF(AND(($C77+$C$1)&gt;AV$3,AV$3&gt;=$C$1),'General Inputs'!T$9*$F77,0))</f>
        <v>0</v>
      </c>
      <c r="AW77" s="214">
        <f>IF(AND(($D77+$C$1)&gt;AW$3,AW$3&gt;=$C$1),'General Inputs'!U$9*$G77,IF(AND(($C77+$C$1)&gt;AW$3,AW$3&gt;=$C$1),'General Inputs'!U$9*$F77,0))</f>
        <v>0</v>
      </c>
      <c r="AX77" s="214">
        <f>IF(AND(($D77+$C$1)&gt;AX$3,AX$3&gt;=$C$1),'General Inputs'!V$9*$G77,IF(AND(($C77+$C$1)&gt;AX$3,AX$3&gt;=$C$1),'General Inputs'!V$9*$F77,0))</f>
        <v>0</v>
      </c>
      <c r="AY77" s="214">
        <f>IF(AND(($D77+$C$1)&gt;AY$3,AY$3&gt;=$C$1),'General Inputs'!W$9*$G77,IF(AND(($C77+$C$1)&gt;AY$3,AY$3&gt;=$C$1),'General Inputs'!W$9*$F77,0))</f>
        <v>0</v>
      </c>
      <c r="BA77" s="214">
        <f>IF(AND(($D77+$C$1)&gt;AF$3,AF$3&gt;=$C$1),'General Inputs'!D$10*$I77,IF(AND(($C77+$C$1)&gt;AF$3,AF$3&gt;=$C$1),'General Inputs'!D$10*$H77,0))</f>
        <v>0.1674720633562973</v>
      </c>
      <c r="BB77" s="214">
        <f>IF(AND(($D77+$C$1)&gt;AG$3,AG$3&gt;=$C$1),'General Inputs'!E$10*$I77,IF(AND(($C77+$C$1)&gt;AG$3,AG$3&gt;=$C$1),'General Inputs'!E$10*$H77,0))</f>
        <v>0.16998414430664174</v>
      </c>
      <c r="BC77" s="214">
        <f>IF(AND(($D77+$C$1)&gt;AH$3,AH$3&gt;=$C$1),'General Inputs'!F$10*$I77,IF(AND(($C77+$C$1)&gt;AH$3,AH$3&gt;=$C$1),'General Inputs'!F$10*$H77,0))</f>
        <v>0.17253390647124137</v>
      </c>
      <c r="BD77" s="214">
        <f>IF(AND(($D77+$C$1)&gt;AI$3,AI$3&gt;=$C$1),'General Inputs'!G$10*$I77,IF(AND(($C77+$C$1)&gt;AI$3,AI$3&gt;=$C$1),'General Inputs'!G$10*$H77,0))</f>
        <v>0.17512191506830999</v>
      </c>
      <c r="BE77" s="214">
        <f>IF(AND(($D77+$C$1)&gt;AJ$3,AJ$3&gt;=$C$1),'General Inputs'!H$10*$I77,IF(AND(($C77+$C$1)&gt;AJ$3,AJ$3&gt;=$C$1),'General Inputs'!H$10*$H77,0))</f>
        <v>0.17774874379433461</v>
      </c>
      <c r="BF77" s="214">
        <f>IF(AND(($D77+$C$1)&gt;AK$3,AK$3&gt;=$C$1),'General Inputs'!I$10*$I77,IF(AND(($C77+$C$1)&gt;AK$3,AK$3&gt;=$C$1),'General Inputs'!I$10*$H77,0))</f>
        <v>0.18041497495124958</v>
      </c>
      <c r="BG77" s="214">
        <f>IF(AND(($D77+$C$1)&gt;AL$3,AL$3&gt;=$C$1),'General Inputs'!J$10*$I77,IF(AND(($C77+$C$1)&gt;AL$3,AL$3&gt;=$C$1),'General Inputs'!J$10*$H77,0))</f>
        <v>0.18312119957551831</v>
      </c>
      <c r="BH77" s="214">
        <f>IF(AND(($D77+$C$1)&gt;AM$3,AM$3&gt;=$C$1),'General Inputs'!K$10*$I77,IF(AND(($C77+$C$1)&gt;AM$3,AM$3&gt;=$C$1),'General Inputs'!K$10*$H77,0))</f>
        <v>0.18586801756915108</v>
      </c>
      <c r="BI77" s="214">
        <f>IF(AND(($D77+$C$1)&gt;AN$3,AN$3&gt;=$C$1),'General Inputs'!L$10*$I77,IF(AND(($C77+$C$1)&gt;AN$3,AN$3&gt;=$C$1),'General Inputs'!L$10*$H77,0))</f>
        <v>0</v>
      </c>
      <c r="BJ77" s="214">
        <f>IF(AND(($D77+$C$1)&gt;AO$3,AO$3&gt;=$C$1),'General Inputs'!M$10*$I77,IF(AND(($C77+$C$1)&gt;AO$3,AO$3&gt;=$C$1),'General Inputs'!M$10*$H77,0))</f>
        <v>0</v>
      </c>
      <c r="BK77" s="214">
        <f>IF(AND(($D77+$C$1)&gt;AP$3,AP$3&gt;=$C$1),'General Inputs'!N$10*$I77,IF(AND(($C77+$C$1)&gt;AP$3,AP$3&gt;=$C$1),'General Inputs'!N$10*$H77,0))</f>
        <v>0</v>
      </c>
      <c r="BL77" s="214">
        <f>IF(AND(($D77+$C$1)&gt;AQ$3,AQ$3&gt;=$C$1),'General Inputs'!O$10*$I77,IF(AND(($C77+$C$1)&gt;AQ$3,AQ$3&gt;=$C$1),'General Inputs'!O$10*$H77,0))</f>
        <v>0</v>
      </c>
      <c r="BM77" s="214">
        <f>IF(AND(($D77+$C$1)&gt;AR$3,AR$3&gt;=$C$1),'General Inputs'!P$10*$I77,IF(AND(($C77+$C$1)&gt;AR$3,AR$3&gt;=$C$1),'General Inputs'!P$10*$H77,0))</f>
        <v>0</v>
      </c>
      <c r="BN77" s="214">
        <f>IF(AND(($D77+$C$1)&gt;AS$3,AS$3&gt;=$C$1),'General Inputs'!Q$10*$I77,IF(AND(($C77+$C$1)&gt;AS$3,AS$3&gt;=$C$1),'General Inputs'!Q$10*$H77,0))</f>
        <v>0</v>
      </c>
      <c r="BO77" s="214">
        <f>IF(AND(($D77+$C$1)&gt;AT$3,AT$3&gt;=$C$1),'General Inputs'!R$10*$I77,IF(AND(($C77+$C$1)&gt;AT$3,AT$3&gt;=$C$1),'General Inputs'!R$10*$H77,0))</f>
        <v>0</v>
      </c>
      <c r="BP77" s="214">
        <f>IF(AND(($D77+$C$1)&gt;AU$3,AU$3&gt;=$C$1),'General Inputs'!S$10*$I77,IF(AND(($C77+$C$1)&gt;AU$3,AU$3&gt;=$C$1),'General Inputs'!S$10*$H77,0))</f>
        <v>0</v>
      </c>
      <c r="BQ77" s="214">
        <f>IF(AND(($D77+$C$1)&gt;AV$3,AV$3&gt;=$C$1),'General Inputs'!T$10*$I77,IF(AND(($C77+$C$1)&gt;AV$3,AV$3&gt;=$C$1),'General Inputs'!T$10*$H77,0))</f>
        <v>0</v>
      </c>
      <c r="BR77" s="214">
        <f>IF(AND(($D77+$C$1)&gt;AW$3,AW$3&gt;=$C$1),'General Inputs'!U$10*$I77,IF(AND(($C77+$C$1)&gt;AW$3,AW$3&gt;=$C$1),'General Inputs'!U$10*$H77,0))</f>
        <v>0</v>
      </c>
      <c r="BS77" s="214">
        <f>IF(AND(($D77+$C$1)&gt;AX$3,AX$3&gt;=$C$1),'General Inputs'!V$10*$I77,IF(AND(($C77+$C$1)&gt;AX$3,AX$3&gt;=$C$1),'General Inputs'!V$10*$H77,0))</f>
        <v>0</v>
      </c>
      <c r="BT77" s="214">
        <f>IF(AND(($D77+$C$1)&gt;AY$3,AY$3&gt;=$C$1),'General Inputs'!W$10*$I77,IF(AND(($C77+$C$1)&gt;AY$3,AY$3&gt;=$C$1),'General Inputs'!W$10*$H77,0))</f>
        <v>0</v>
      </c>
    </row>
    <row r="78" spans="1:72">
      <c r="A78" s="342" t="s">
        <v>112</v>
      </c>
      <c r="B78" s="427" t="str">
        <f>Sources!B78</f>
        <v>Fixture Mount Photo Sensor</v>
      </c>
      <c r="C78" s="193">
        <f>Sources!C78</f>
        <v>8</v>
      </c>
      <c r="D78" s="193">
        <f>Sources!D78</f>
        <v>0</v>
      </c>
      <c r="F78" s="429">
        <f>Sources!F78*EnergyLineLoss</f>
        <v>409.28276999999997</v>
      </c>
      <c r="G78" s="429">
        <f>Sources!G78*EnergyLineLoss</f>
        <v>0</v>
      </c>
      <c r="H78" s="477">
        <f>Sources!H78*PeakLineLoss</f>
        <v>2.1784405499999999E-2</v>
      </c>
      <c r="I78" s="477">
        <f>Sources!I78*PeakLineLoss</f>
        <v>0</v>
      </c>
      <c r="K78" s="419">
        <f>Sources!J78</f>
        <v>65</v>
      </c>
      <c r="L78" s="419">
        <f>Sources!K78</f>
        <v>0</v>
      </c>
      <c r="N78" s="438">
        <f t="shared" si="27"/>
        <v>1.6227045148058659</v>
      </c>
      <c r="P78" s="215">
        <f t="shared" si="28"/>
        <v>103.40570517206922</v>
      </c>
      <c r="Q78" s="215">
        <f t="shared" si="29"/>
        <v>2.0700882903120545</v>
      </c>
      <c r="R78" s="215">
        <f t="shared" si="30"/>
        <v>65</v>
      </c>
      <c r="T78" s="214">
        <f t="shared" si="32"/>
        <v>65</v>
      </c>
      <c r="U78" s="214">
        <f t="shared" si="32"/>
        <v>0</v>
      </c>
      <c r="V78" s="214">
        <f t="shared" si="31"/>
        <v>0</v>
      </c>
      <c r="W78" s="214">
        <f t="shared" si="31"/>
        <v>0</v>
      </c>
      <c r="X78" s="214">
        <f t="shared" si="31"/>
        <v>0</v>
      </c>
      <c r="Y78" s="214">
        <f t="shared" si="31"/>
        <v>0</v>
      </c>
      <c r="Z78" s="214">
        <f t="shared" si="31"/>
        <v>0</v>
      </c>
      <c r="AA78" s="214">
        <f t="shared" si="31"/>
        <v>0</v>
      </c>
      <c r="AB78" s="214">
        <f t="shared" si="31"/>
        <v>0</v>
      </c>
      <c r="AC78" s="214">
        <f t="shared" si="31"/>
        <v>0</v>
      </c>
      <c r="AD78" s="214">
        <f t="shared" si="31"/>
        <v>0</v>
      </c>
      <c r="AF78" s="214">
        <f>IF(AND(($D78+$C$1)&gt;AF$3,AF$3&gt;=$C$1),'General Inputs'!D$9*$G78,IF(AND(($C78+$C$1)&gt;AF$3,AF$3&gt;=$C$1),'General Inputs'!D$9*$F78,0))</f>
        <v>16.294475834595001</v>
      </c>
      <c r="AG78" s="214">
        <f>IF(AND(($D78+$C$1)&gt;AG$3,AG$3&gt;=$C$1),'General Inputs'!E$9*$G78,IF(AND(($C78+$C$1)&gt;AG$3,AG$3&gt;=$C$1),'General Inputs'!E$9*$F78,0))</f>
        <v>16.538892972113928</v>
      </c>
      <c r="AH78" s="214">
        <f>IF(AND(($D78+$C$1)&gt;AH$3,AH$3&gt;=$C$1),'General Inputs'!F$9*$G78,IF(AND(($C78+$C$1)&gt;AH$3,AH$3&gt;=$C$1),'General Inputs'!F$9*$F78,0))</f>
        <v>16.786976366695633</v>
      </c>
      <c r="AI78" s="214">
        <f>IF(AND(($D78+$C$1)&gt;AI$3,AI$3&gt;=$C$1),'General Inputs'!G$9*$G78,IF(AND(($C78+$C$1)&gt;AI$3,AI$3&gt;=$C$1),'General Inputs'!G$9*$F78,0))</f>
        <v>17.038781012196065</v>
      </c>
      <c r="AJ78" s="214">
        <f>IF(AND(($D78+$C$1)&gt;AJ$3,AJ$3&gt;=$C$1),'General Inputs'!H$9*$G78,IF(AND(($C78+$C$1)&gt;AJ$3,AJ$3&gt;=$C$1),'General Inputs'!H$9*$F78,0))</f>
        <v>17.294362727379006</v>
      </c>
      <c r="AK78" s="214">
        <f>IF(AND(($D78+$C$1)&gt;AK$3,AK$3&gt;=$C$1),'General Inputs'!I$9*$G78,IF(AND(($C78+$C$1)&gt;AK$3,AK$3&gt;=$C$1),'General Inputs'!I$9*$F78,0))</f>
        <v>17.553778168289686</v>
      </c>
      <c r="AL78" s="214">
        <f>IF(AND(($D78+$C$1)&gt;AL$3,AL$3&gt;=$C$1),'General Inputs'!J$9*$G78,IF(AND(($C78+$C$1)&gt;AL$3,AL$3&gt;=$C$1),'General Inputs'!J$9*$F78,0))</f>
        <v>17.817084840814029</v>
      </c>
      <c r="AM78" s="214">
        <f>IF(AND(($D78+$C$1)&gt;AM$3,AM$3&gt;=$C$1),'General Inputs'!K$9*$G78,IF(AND(($C78+$C$1)&gt;AM$3,AM$3&gt;=$C$1),'General Inputs'!K$9*$F78,0))</f>
        <v>18.084341113426238</v>
      </c>
      <c r="AN78" s="214">
        <f>IF(AND(($D78+$C$1)&gt;AN$3,AN$3&gt;=$C$1),'General Inputs'!L$9*$G78,IF(AND(($C78+$C$1)&gt;AN$3,AN$3&gt;=$C$1),'General Inputs'!L$9*$F78,0))</f>
        <v>0</v>
      </c>
      <c r="AO78" s="214">
        <f>IF(AND(($D78+$C$1)&gt;AO$3,AO$3&gt;=$C$1),'General Inputs'!M$9*$G78,IF(AND(($C78+$C$1)&gt;AO$3,AO$3&gt;=$C$1),'General Inputs'!M$9*$F78,0))</f>
        <v>0</v>
      </c>
      <c r="AP78" s="214">
        <f>IF(AND(($D78+$C$1)&gt;AP$3,AP$3&gt;=$C$1),'General Inputs'!N$9*$G78,IF(AND(($C78+$C$1)&gt;AP$3,AP$3&gt;=$C$1),'General Inputs'!N$9*$F78,0))</f>
        <v>0</v>
      </c>
      <c r="AQ78" s="214">
        <f>IF(AND(($D78+$C$1)&gt;AQ$3,AQ$3&gt;=$C$1),'General Inputs'!O$9*$G78,IF(AND(($C78+$C$1)&gt;AQ$3,AQ$3&gt;=$C$1),'General Inputs'!O$9*$F78,0))</f>
        <v>0</v>
      </c>
      <c r="AR78" s="214">
        <f>IF(AND(($D78+$C$1)&gt;AR$3,AR$3&gt;=$C$1),'General Inputs'!P$9*$G78,IF(AND(($C78+$C$1)&gt;AR$3,AR$3&gt;=$C$1),'General Inputs'!P$9*$F78,0))</f>
        <v>0</v>
      </c>
      <c r="AS78" s="214">
        <f>IF(AND(($D78+$C$1)&gt;AS$3,AS$3&gt;=$C$1),'General Inputs'!Q$9*$G78,IF(AND(($C78+$C$1)&gt;AS$3,AS$3&gt;=$C$1),'General Inputs'!Q$9*$F78,0))</f>
        <v>0</v>
      </c>
      <c r="AT78" s="214">
        <f>IF(AND(($D78+$C$1)&gt;AT$3,AT$3&gt;=$C$1),'General Inputs'!R$9*$G78,IF(AND(($C78+$C$1)&gt;AT$3,AT$3&gt;=$C$1),'General Inputs'!R$9*$F78,0))</f>
        <v>0</v>
      </c>
      <c r="AU78" s="214">
        <f>IF(AND(($D78+$C$1)&gt;AU$3,AU$3&gt;=$C$1),'General Inputs'!S$9*$G78,IF(AND(($C78+$C$1)&gt;AU$3,AU$3&gt;=$C$1),'General Inputs'!S$9*$F78,0))</f>
        <v>0</v>
      </c>
      <c r="AV78" s="214">
        <f>IF(AND(($D78+$C$1)&gt;AV$3,AV$3&gt;=$C$1),'General Inputs'!T$9*$G78,IF(AND(($C78+$C$1)&gt;AV$3,AV$3&gt;=$C$1),'General Inputs'!T$9*$F78,0))</f>
        <v>0</v>
      </c>
      <c r="AW78" s="214">
        <f>IF(AND(($D78+$C$1)&gt;AW$3,AW$3&gt;=$C$1),'General Inputs'!U$9*$G78,IF(AND(($C78+$C$1)&gt;AW$3,AW$3&gt;=$C$1),'General Inputs'!U$9*$F78,0))</f>
        <v>0</v>
      </c>
      <c r="AX78" s="214">
        <f>IF(AND(($D78+$C$1)&gt;AX$3,AX$3&gt;=$C$1),'General Inputs'!V$9*$G78,IF(AND(($C78+$C$1)&gt;AX$3,AX$3&gt;=$C$1),'General Inputs'!V$9*$F78,0))</f>
        <v>0</v>
      </c>
      <c r="AY78" s="214">
        <f>IF(AND(($D78+$C$1)&gt;AY$3,AY$3&gt;=$C$1),'General Inputs'!W$9*$G78,IF(AND(($C78+$C$1)&gt;AY$3,AY$3&gt;=$C$1),'General Inputs'!W$9*$F78,0))</f>
        <v>0</v>
      </c>
      <c r="BA78" s="214">
        <f>IF(AND(($D78+$C$1)&gt;AF$3,AF$3&gt;=$C$1),'General Inputs'!D$10*$I78,IF(AND(($C78+$C$1)&gt;AF$3,AF$3&gt;=$C$1),'General Inputs'!D$10*$H78,0))</f>
        <v>0.32620060533254697</v>
      </c>
      <c r="BB78" s="214">
        <f>IF(AND(($D78+$C$1)&gt;AG$3,AG$3&gt;=$C$1),'General Inputs'!E$10*$I78,IF(AND(($C78+$C$1)&gt;AG$3,AG$3&gt;=$C$1),'General Inputs'!E$10*$H78,0))</f>
        <v>0.3310936144125351</v>
      </c>
      <c r="BC78" s="214">
        <f>IF(AND(($D78+$C$1)&gt;AH$3,AH$3&gt;=$C$1),'General Inputs'!F$10*$I78,IF(AND(($C78+$C$1)&gt;AH$3,AH$3&gt;=$C$1),'General Inputs'!F$10*$H78,0))</f>
        <v>0.33606001862872315</v>
      </c>
      <c r="BD78" s="214">
        <f>IF(AND(($D78+$C$1)&gt;AI$3,AI$3&gt;=$C$1),'General Inputs'!G$10*$I78,IF(AND(($C78+$C$1)&gt;AI$3,AI$3&gt;=$C$1),'General Inputs'!G$10*$H78,0))</f>
        <v>0.34110091890815397</v>
      </c>
      <c r="BE78" s="214">
        <f>IF(AND(($D78+$C$1)&gt;AJ$3,AJ$3&gt;=$C$1),'General Inputs'!H$10*$I78,IF(AND(($C78+$C$1)&gt;AJ$3,AJ$3&gt;=$C$1),'General Inputs'!H$10*$H78,0))</f>
        <v>0.34621743269177624</v>
      </c>
      <c r="BF78" s="214">
        <f>IF(AND(($D78+$C$1)&gt;AK$3,AK$3&gt;=$C$1),'General Inputs'!I$10*$I78,IF(AND(($C78+$C$1)&gt;AK$3,AK$3&gt;=$C$1),'General Inputs'!I$10*$H78,0))</f>
        <v>0.35141069418215282</v>
      </c>
      <c r="BG78" s="214">
        <f>IF(AND(($D78+$C$1)&gt;AL$3,AL$3&gt;=$C$1),'General Inputs'!J$10*$I78,IF(AND(($C78+$C$1)&gt;AL$3,AL$3&gt;=$C$1),'General Inputs'!J$10*$H78,0))</f>
        <v>0.35668185459488505</v>
      </c>
      <c r="BH78" s="214">
        <f>IF(AND(($D78+$C$1)&gt;AM$3,AM$3&gt;=$C$1),'General Inputs'!K$10*$I78,IF(AND(($C78+$C$1)&gt;AM$3,AM$3&gt;=$C$1),'General Inputs'!K$10*$H78,0))</f>
        <v>0.3620320824138083</v>
      </c>
      <c r="BI78" s="214">
        <f>IF(AND(($D78+$C$1)&gt;AN$3,AN$3&gt;=$C$1),'General Inputs'!L$10*$I78,IF(AND(($C78+$C$1)&gt;AN$3,AN$3&gt;=$C$1),'General Inputs'!L$10*$H78,0))</f>
        <v>0</v>
      </c>
      <c r="BJ78" s="214">
        <f>IF(AND(($D78+$C$1)&gt;AO$3,AO$3&gt;=$C$1),'General Inputs'!M$10*$I78,IF(AND(($C78+$C$1)&gt;AO$3,AO$3&gt;=$C$1),'General Inputs'!M$10*$H78,0))</f>
        <v>0</v>
      </c>
      <c r="BK78" s="214">
        <f>IF(AND(($D78+$C$1)&gt;AP$3,AP$3&gt;=$C$1),'General Inputs'!N$10*$I78,IF(AND(($C78+$C$1)&gt;AP$3,AP$3&gt;=$C$1),'General Inputs'!N$10*$H78,0))</f>
        <v>0</v>
      </c>
      <c r="BL78" s="214">
        <f>IF(AND(($D78+$C$1)&gt;AQ$3,AQ$3&gt;=$C$1),'General Inputs'!O$10*$I78,IF(AND(($C78+$C$1)&gt;AQ$3,AQ$3&gt;=$C$1),'General Inputs'!O$10*$H78,0))</f>
        <v>0</v>
      </c>
      <c r="BM78" s="214">
        <f>IF(AND(($D78+$C$1)&gt;AR$3,AR$3&gt;=$C$1),'General Inputs'!P$10*$I78,IF(AND(($C78+$C$1)&gt;AR$3,AR$3&gt;=$C$1),'General Inputs'!P$10*$H78,0))</f>
        <v>0</v>
      </c>
      <c r="BN78" s="214">
        <f>IF(AND(($D78+$C$1)&gt;AS$3,AS$3&gt;=$C$1),'General Inputs'!Q$10*$I78,IF(AND(($C78+$C$1)&gt;AS$3,AS$3&gt;=$C$1),'General Inputs'!Q$10*$H78,0))</f>
        <v>0</v>
      </c>
      <c r="BO78" s="214">
        <f>IF(AND(($D78+$C$1)&gt;AT$3,AT$3&gt;=$C$1),'General Inputs'!R$10*$I78,IF(AND(($C78+$C$1)&gt;AT$3,AT$3&gt;=$C$1),'General Inputs'!R$10*$H78,0))</f>
        <v>0</v>
      </c>
      <c r="BP78" s="214">
        <f>IF(AND(($D78+$C$1)&gt;AU$3,AU$3&gt;=$C$1),'General Inputs'!S$10*$I78,IF(AND(($C78+$C$1)&gt;AU$3,AU$3&gt;=$C$1),'General Inputs'!S$10*$H78,0))</f>
        <v>0</v>
      </c>
      <c r="BQ78" s="214">
        <f>IF(AND(($D78+$C$1)&gt;AV$3,AV$3&gt;=$C$1),'General Inputs'!T$10*$I78,IF(AND(($C78+$C$1)&gt;AV$3,AV$3&gt;=$C$1),'General Inputs'!T$10*$H78,0))</f>
        <v>0</v>
      </c>
      <c r="BR78" s="214">
        <f>IF(AND(($D78+$C$1)&gt;AW$3,AW$3&gt;=$C$1),'General Inputs'!U$10*$I78,IF(AND(($C78+$C$1)&gt;AW$3,AW$3&gt;=$C$1),'General Inputs'!U$10*$H78,0))</f>
        <v>0</v>
      </c>
      <c r="BS78" s="214">
        <f>IF(AND(($D78+$C$1)&gt;AX$3,AX$3&gt;=$C$1),'General Inputs'!V$10*$I78,IF(AND(($C78+$C$1)&gt;AX$3,AX$3&gt;=$C$1),'General Inputs'!V$10*$H78,0))</f>
        <v>0</v>
      </c>
      <c r="BT78" s="214">
        <f>IF(AND(($D78+$C$1)&gt;AY$3,AY$3&gt;=$C$1),'General Inputs'!W$10*$I78,IF(AND(($C78+$C$1)&gt;AY$3,AY$3&gt;=$C$1),'General Inputs'!W$10*$H78,0))</f>
        <v>0</v>
      </c>
    </row>
    <row r="79" spans="1:72">
      <c r="A79" s="342" t="s">
        <v>112</v>
      </c>
      <c r="B79" s="427" t="str">
        <f>Sources!B79</f>
        <v>Exit Sign</v>
      </c>
      <c r="C79" s="193">
        <f>Sources!C79</f>
        <v>15</v>
      </c>
      <c r="D79" s="193">
        <f>Sources!D79</f>
        <v>0</v>
      </c>
      <c r="F79" s="429">
        <f>Sources!F79*EnergyLineLoss</f>
        <v>189.414282915</v>
      </c>
      <c r="G79" s="429">
        <f>Sources!G79*EnergyLineLoss</f>
        <v>0</v>
      </c>
      <c r="H79" s="477">
        <f>Sources!H79*PeakLineLoss</f>
        <v>3.4136387999999997E-2</v>
      </c>
      <c r="I79" s="477">
        <f>Sources!I79*PeakLineLoss</f>
        <v>0</v>
      </c>
      <c r="K79" s="419">
        <f>Sources!J79</f>
        <v>25</v>
      </c>
      <c r="L79" s="419">
        <f>Sources!K79</f>
        <v>0</v>
      </c>
      <c r="N79" s="438">
        <f t="shared" si="27"/>
        <v>3.100190142991603</v>
      </c>
      <c r="P79" s="215">
        <f t="shared" si="28"/>
        <v>72.584676509805917</v>
      </c>
      <c r="Q79" s="215">
        <f t="shared" si="29"/>
        <v>4.9200770649841505</v>
      </c>
      <c r="R79" s="215">
        <f t="shared" si="30"/>
        <v>25</v>
      </c>
      <c r="T79" s="214">
        <f t="shared" si="32"/>
        <v>25</v>
      </c>
      <c r="U79" s="214">
        <f t="shared" si="32"/>
        <v>0</v>
      </c>
      <c r="V79" s="214">
        <f t="shared" si="31"/>
        <v>0</v>
      </c>
      <c r="W79" s="214">
        <f t="shared" si="31"/>
        <v>0</v>
      </c>
      <c r="X79" s="214">
        <f t="shared" si="31"/>
        <v>0</v>
      </c>
      <c r="Y79" s="214">
        <f t="shared" si="31"/>
        <v>0</v>
      </c>
      <c r="Z79" s="214">
        <f t="shared" si="31"/>
        <v>0</v>
      </c>
      <c r="AA79" s="214">
        <f t="shared" si="31"/>
        <v>0</v>
      </c>
      <c r="AB79" s="214">
        <f t="shared" si="31"/>
        <v>0</v>
      </c>
      <c r="AC79" s="214">
        <f t="shared" si="31"/>
        <v>0</v>
      </c>
      <c r="AD79" s="214">
        <f t="shared" si="31"/>
        <v>0</v>
      </c>
      <c r="AF79" s="214">
        <f>IF(AND(($D79+$C$1)&gt;AF$3,AF$3&gt;=$C$1),'General Inputs'!D$9*$G79,IF(AND(($C79+$C$1)&gt;AF$3,AF$3&gt;=$C$1),'General Inputs'!D$9*$F79,0))</f>
        <v>7.5410124293422101</v>
      </c>
      <c r="AG79" s="214">
        <f>IF(AND(($D79+$C$1)&gt;AG$3,AG$3&gt;=$C$1),'General Inputs'!E$9*$G79,IF(AND(($C79+$C$1)&gt;AG$3,AG$3&gt;=$C$1),'General Inputs'!E$9*$F79,0))</f>
        <v>7.6541276157823424</v>
      </c>
      <c r="AH79" s="214">
        <f>IF(AND(($D79+$C$1)&gt;AH$3,AH$3&gt;=$C$1),'General Inputs'!F$9*$G79,IF(AND(($C79+$C$1)&gt;AH$3,AH$3&gt;=$C$1),'General Inputs'!F$9*$F79,0))</f>
        <v>7.7689395300190762</v>
      </c>
      <c r="AI79" s="214">
        <f>IF(AND(($D79+$C$1)&gt;AI$3,AI$3&gt;=$C$1),'General Inputs'!G$9*$G79,IF(AND(($C79+$C$1)&gt;AI$3,AI$3&gt;=$C$1),'General Inputs'!G$9*$F79,0))</f>
        <v>7.8854736229693616</v>
      </c>
      <c r="AJ79" s="214">
        <f>IF(AND(($D79+$C$1)&gt;AJ$3,AJ$3&gt;=$C$1),'General Inputs'!H$9*$G79,IF(AND(($C79+$C$1)&gt;AJ$3,AJ$3&gt;=$C$1),'General Inputs'!H$9*$F79,0))</f>
        <v>8.0037557273139015</v>
      </c>
      <c r="AK79" s="214">
        <f>IF(AND(($D79+$C$1)&gt;AK$3,AK$3&gt;=$C$1),'General Inputs'!I$9*$G79,IF(AND(($C79+$C$1)&gt;AK$3,AK$3&gt;=$C$1),'General Inputs'!I$9*$F79,0))</f>
        <v>8.1238120632236086</v>
      </c>
      <c r="AL79" s="214">
        <f>IF(AND(($D79+$C$1)&gt;AL$3,AL$3&gt;=$C$1),'General Inputs'!J$9*$G79,IF(AND(($C79+$C$1)&gt;AL$3,AL$3&gt;=$C$1),'General Inputs'!J$9*$F79,0))</f>
        <v>8.2456692441719621</v>
      </c>
      <c r="AM79" s="214">
        <f>IF(AND(($D79+$C$1)&gt;AM$3,AM$3&gt;=$C$1),'General Inputs'!K$9*$G79,IF(AND(($C79+$C$1)&gt;AM$3,AM$3&gt;=$C$1),'General Inputs'!K$9*$F79,0))</f>
        <v>8.3693542828345393</v>
      </c>
      <c r="AN79" s="214">
        <f>IF(AND(($D79+$C$1)&gt;AN$3,AN$3&gt;=$C$1),'General Inputs'!L$9*$G79,IF(AND(($C79+$C$1)&gt;AN$3,AN$3&gt;=$C$1),'General Inputs'!L$9*$F79,0))</f>
        <v>8.4948945970770566</v>
      </c>
      <c r="AO79" s="214">
        <f>IF(AND(($D79+$C$1)&gt;AO$3,AO$3&gt;=$C$1),'General Inputs'!M$9*$G79,IF(AND(($C79+$C$1)&gt;AO$3,AO$3&gt;=$C$1),'General Inputs'!M$9*$F79,0))</f>
        <v>8.622318016033212</v>
      </c>
      <c r="AP79" s="214">
        <f>IF(AND(($D79+$C$1)&gt;AP$3,AP$3&gt;=$C$1),'General Inputs'!N$9*$G79,IF(AND(($C79+$C$1)&gt;AP$3,AP$3&gt;=$C$1),'General Inputs'!N$9*$F79,0))</f>
        <v>8.7516527862737092</v>
      </c>
      <c r="AQ79" s="214">
        <f>IF(AND(($D79+$C$1)&gt;AQ$3,AQ$3&gt;=$C$1),'General Inputs'!O$9*$G79,IF(AND(($C79+$C$1)&gt;AQ$3,AQ$3&gt;=$C$1),'General Inputs'!O$9*$F79,0))</f>
        <v>8.8829275780678127</v>
      </c>
      <c r="AR79" s="214">
        <f>IF(AND(($D79+$C$1)&gt;AR$3,AR$3&gt;=$C$1),'General Inputs'!P$9*$G79,IF(AND(($C79+$C$1)&gt;AR$3,AR$3&gt;=$C$1),'General Inputs'!P$9*$F79,0))</f>
        <v>9.0161714917388291</v>
      </c>
      <c r="AS79" s="214">
        <f>IF(AND(($D79+$C$1)&gt;AS$3,AS$3&gt;=$C$1),'General Inputs'!Q$9*$G79,IF(AND(($C79+$C$1)&gt;AS$3,AS$3&gt;=$C$1),'General Inputs'!Q$9*$F79,0))</f>
        <v>9.1514140641149115</v>
      </c>
      <c r="AT79" s="214">
        <f>IF(AND(($D79+$C$1)&gt;AT$3,AT$3&gt;=$C$1),'General Inputs'!R$9*$G79,IF(AND(($C79+$C$1)&gt;AT$3,AT$3&gt;=$C$1),'General Inputs'!R$9*$F79,0))</f>
        <v>9.2886852750766344</v>
      </c>
      <c r="AU79" s="214">
        <f>IF(AND(($D79+$C$1)&gt;AU$3,AU$3&gt;=$C$1),'General Inputs'!S$9*$G79,IF(AND(($C79+$C$1)&gt;AU$3,AU$3&gt;=$C$1),'General Inputs'!S$9*$F79,0))</f>
        <v>0</v>
      </c>
      <c r="AV79" s="214">
        <f>IF(AND(($D79+$C$1)&gt;AV$3,AV$3&gt;=$C$1),'General Inputs'!T$9*$G79,IF(AND(($C79+$C$1)&gt;AV$3,AV$3&gt;=$C$1),'General Inputs'!T$9*$F79,0))</f>
        <v>0</v>
      </c>
      <c r="AW79" s="214">
        <f>IF(AND(($D79+$C$1)&gt;AW$3,AW$3&gt;=$C$1),'General Inputs'!U$9*$G79,IF(AND(($C79+$C$1)&gt;AW$3,AW$3&gt;=$C$1),'General Inputs'!U$9*$F79,0))</f>
        <v>0</v>
      </c>
      <c r="AX79" s="214">
        <f>IF(AND(($D79+$C$1)&gt;AX$3,AX$3&gt;=$C$1),'General Inputs'!V$9*$G79,IF(AND(($C79+$C$1)&gt;AX$3,AX$3&gt;=$C$1),'General Inputs'!V$9*$F79,0))</f>
        <v>0</v>
      </c>
      <c r="AY79" s="214">
        <f>IF(AND(($D79+$C$1)&gt;AY$3,AY$3&gt;=$C$1),'General Inputs'!W$9*$G79,IF(AND(($C79+$C$1)&gt;AY$3,AY$3&gt;=$C$1),'General Inputs'!W$9*$F79,0))</f>
        <v>0</v>
      </c>
      <c r="BA79" s="214">
        <f>IF(AND(($D79+$C$1)&gt;AF$3,AF$3&gt;=$C$1),'General Inputs'!D$10*$I79,IF(AND(($C79+$C$1)&gt;AF$3,AF$3&gt;=$C$1),'General Inputs'!D$10*$H79,0))</f>
        <v>0.51115971144893957</v>
      </c>
      <c r="BB79" s="214">
        <f>IF(AND(($D79+$C$1)&gt;AG$3,AG$3&gt;=$C$1),'General Inputs'!E$10*$I79,IF(AND(($C79+$C$1)&gt;AG$3,AG$3&gt;=$C$1),'General Inputs'!E$10*$H79,0))</f>
        <v>0.51882710712067359</v>
      </c>
      <c r="BC79" s="214">
        <f>IF(AND(($D79+$C$1)&gt;AH$3,AH$3&gt;=$C$1),'General Inputs'!F$10*$I79,IF(AND(($C79+$C$1)&gt;AH$3,AH$3&gt;=$C$1),'General Inputs'!F$10*$H79,0))</f>
        <v>0.52660951372748366</v>
      </c>
      <c r="BD79" s="214">
        <f>IF(AND(($D79+$C$1)&gt;AI$3,AI$3&gt;=$C$1),'General Inputs'!G$10*$I79,IF(AND(($C79+$C$1)&gt;AI$3,AI$3&gt;=$C$1),'General Inputs'!G$10*$H79,0))</f>
        <v>0.53450865643339585</v>
      </c>
      <c r="BE79" s="214">
        <f>IF(AND(($D79+$C$1)&gt;AJ$3,AJ$3&gt;=$C$1),'General Inputs'!H$10*$I79,IF(AND(($C79+$C$1)&gt;AJ$3,AJ$3&gt;=$C$1),'General Inputs'!H$10*$H79,0))</f>
        <v>0.54252628627989674</v>
      </c>
      <c r="BF79" s="214">
        <f>IF(AND(($D79+$C$1)&gt;AK$3,AK$3&gt;=$C$1),'General Inputs'!I$10*$I79,IF(AND(($C79+$C$1)&gt;AK$3,AK$3&gt;=$C$1),'General Inputs'!I$10*$H79,0))</f>
        <v>0.55066418057409505</v>
      </c>
      <c r="BG79" s="214">
        <f>IF(AND(($D79+$C$1)&gt;AL$3,AL$3&gt;=$C$1),'General Inputs'!J$10*$I79,IF(AND(($C79+$C$1)&gt;AL$3,AL$3&gt;=$C$1),'General Inputs'!J$10*$H79,0))</f>
        <v>0.55892414328270645</v>
      </c>
      <c r="BH79" s="214">
        <f>IF(AND(($D79+$C$1)&gt;AM$3,AM$3&gt;=$C$1),'General Inputs'!K$10*$I79,IF(AND(($C79+$C$1)&gt;AM$3,AM$3&gt;=$C$1),'General Inputs'!K$10*$H79,0))</f>
        <v>0.56730800543194704</v>
      </c>
      <c r="BI79" s="214">
        <f>IF(AND(($D79+$C$1)&gt;AN$3,AN$3&gt;=$C$1),'General Inputs'!L$10*$I79,IF(AND(($C79+$C$1)&gt;AN$3,AN$3&gt;=$C$1),'General Inputs'!L$10*$H79,0))</f>
        <v>0.57581762551342619</v>
      </c>
      <c r="BJ79" s="214">
        <f>IF(AND(($D79+$C$1)&gt;AO$3,AO$3&gt;=$C$1),'General Inputs'!M$10*$I79,IF(AND(($C79+$C$1)&gt;AO$3,AO$3&gt;=$C$1),'General Inputs'!M$10*$H79,0))</f>
        <v>0.58445488989612759</v>
      </c>
      <c r="BK79" s="214">
        <f>IF(AND(($D79+$C$1)&gt;AP$3,AP$3&gt;=$C$1),'General Inputs'!N$10*$I79,IF(AND(($C79+$C$1)&gt;AP$3,AP$3&gt;=$C$1),'General Inputs'!N$10*$H79,0))</f>
        <v>0.5932217132445694</v>
      </c>
      <c r="BL79" s="214">
        <f>IF(AND(($D79+$C$1)&gt;AQ$3,AQ$3&gt;=$C$1),'General Inputs'!O$10*$I79,IF(AND(($C79+$C$1)&gt;AQ$3,AQ$3&gt;=$C$1),'General Inputs'!O$10*$H79,0))</f>
        <v>0.60212003894323785</v>
      </c>
      <c r="BM79" s="214">
        <f>IF(AND(($D79+$C$1)&gt;AR$3,AR$3&gt;=$C$1),'General Inputs'!P$10*$I79,IF(AND(($C79+$C$1)&gt;AR$3,AR$3&gt;=$C$1),'General Inputs'!P$10*$H79,0))</f>
        <v>0.61115183952738639</v>
      </c>
      <c r="BN79" s="214">
        <f>IF(AND(($D79+$C$1)&gt;AS$3,AS$3&gt;=$C$1),'General Inputs'!Q$10*$I79,IF(AND(($C79+$C$1)&gt;AS$3,AS$3&gt;=$C$1),'General Inputs'!Q$10*$H79,0))</f>
        <v>0.62031911712029708</v>
      </c>
      <c r="BO79" s="214">
        <f>IF(AND(($D79+$C$1)&gt;AT$3,AT$3&gt;=$C$1),'General Inputs'!R$10*$I79,IF(AND(($C79+$C$1)&gt;AT$3,AT$3&gt;=$C$1),'General Inputs'!R$10*$H79,0))</f>
        <v>0.62962390387710143</v>
      </c>
      <c r="BP79" s="214">
        <f>IF(AND(($D79+$C$1)&gt;AU$3,AU$3&gt;=$C$1),'General Inputs'!S$10*$I79,IF(AND(($C79+$C$1)&gt;AU$3,AU$3&gt;=$C$1),'General Inputs'!S$10*$H79,0))</f>
        <v>0</v>
      </c>
      <c r="BQ79" s="214">
        <f>IF(AND(($D79+$C$1)&gt;AV$3,AV$3&gt;=$C$1),'General Inputs'!T$10*$I79,IF(AND(($C79+$C$1)&gt;AV$3,AV$3&gt;=$C$1),'General Inputs'!T$10*$H79,0))</f>
        <v>0</v>
      </c>
      <c r="BR79" s="214">
        <f>IF(AND(($D79+$C$1)&gt;AW$3,AW$3&gt;=$C$1),'General Inputs'!U$10*$I79,IF(AND(($C79+$C$1)&gt;AW$3,AW$3&gt;=$C$1),'General Inputs'!U$10*$H79,0))</f>
        <v>0</v>
      </c>
      <c r="BS79" s="214">
        <f>IF(AND(($D79+$C$1)&gt;AX$3,AX$3&gt;=$C$1),'General Inputs'!V$10*$I79,IF(AND(($C79+$C$1)&gt;AX$3,AX$3&gt;=$C$1),'General Inputs'!V$10*$H79,0))</f>
        <v>0</v>
      </c>
      <c r="BT79" s="214">
        <f>IF(AND(($D79+$C$1)&gt;AY$3,AY$3&gt;=$C$1),'General Inputs'!W$10*$I79,IF(AND(($C79+$C$1)&gt;AY$3,AY$3&gt;=$C$1),'General Inputs'!W$10*$H79,0))</f>
        <v>0</v>
      </c>
    </row>
    <row r="80" spans="1:72">
      <c r="A80" s="342" t="s">
        <v>112</v>
      </c>
      <c r="B80" s="427" t="str">
        <f>Sources!B80</f>
        <v>LED (≤5W)</v>
      </c>
      <c r="C80" s="193">
        <f>Sources!C80</f>
        <v>10</v>
      </c>
      <c r="D80" s="193">
        <f>Sources!D80</f>
        <v>0</v>
      </c>
      <c r="F80" s="429">
        <f>Sources!F80*EnergyLineLoss</f>
        <v>307.90568624999997</v>
      </c>
      <c r="G80" s="429">
        <f>Sources!G80*EnergyLineLoss</f>
        <v>0</v>
      </c>
      <c r="H80" s="477">
        <f>Sources!H80*PeakLineLoss</f>
        <v>4.7611278E-2</v>
      </c>
      <c r="I80" s="477">
        <f>Sources!I80*PeakLineLoss</f>
        <v>0</v>
      </c>
      <c r="K80" s="419">
        <f>Sources!J80</f>
        <v>34</v>
      </c>
      <c r="L80" s="419">
        <f>Sources!K80</f>
        <v>0</v>
      </c>
      <c r="N80" s="438">
        <f t="shared" si="27"/>
        <v>2.8428428998159601</v>
      </c>
      <c r="P80" s="215">
        <f t="shared" si="28"/>
        <v>91.344203860990177</v>
      </c>
      <c r="Q80" s="215">
        <f t="shared" si="29"/>
        <v>5.3124547327524754</v>
      </c>
      <c r="R80" s="215">
        <f t="shared" si="30"/>
        <v>34</v>
      </c>
      <c r="T80" s="214">
        <f t="shared" si="32"/>
        <v>34</v>
      </c>
      <c r="U80" s="214">
        <f t="shared" si="32"/>
        <v>0</v>
      </c>
      <c r="V80" s="214">
        <f t="shared" si="31"/>
        <v>0</v>
      </c>
      <c r="W80" s="214">
        <f t="shared" si="31"/>
        <v>0</v>
      </c>
      <c r="X80" s="214">
        <f t="shared" si="31"/>
        <v>0</v>
      </c>
      <c r="Y80" s="214">
        <f t="shared" si="31"/>
        <v>0</v>
      </c>
      <c r="Z80" s="214">
        <f t="shared" si="31"/>
        <v>0</v>
      </c>
      <c r="AA80" s="214">
        <f t="shared" si="31"/>
        <v>0</v>
      </c>
      <c r="AB80" s="214">
        <f t="shared" si="31"/>
        <v>0</v>
      </c>
      <c r="AC80" s="214">
        <f t="shared" ref="V80:AD87" si="33">IF($C$1=AC$3,$K80,IF($D80+$C$1=AC$3,-$L80,0))</f>
        <v>0</v>
      </c>
      <c r="AD80" s="214">
        <f t="shared" si="33"/>
        <v>0</v>
      </c>
      <c r="AF80" s="214">
        <f>IF(AND(($D80+$C$1)&gt;AF$3,AF$3&gt;=$C$1),'General Inputs'!D$9*$G80,IF(AND(($C80+$C$1)&gt;AF$3,AF$3&gt;=$C$1),'General Inputs'!D$9*$F80,0))</f>
        <v>12.258424081558616</v>
      </c>
      <c r="AG80" s="214">
        <f>IF(AND(($D80+$C$1)&gt;AG$3,AG$3&gt;=$C$1),'General Inputs'!E$9*$G80,IF(AND(($C80+$C$1)&gt;AG$3,AG$3&gt;=$C$1),'General Inputs'!E$9*$F80,0))</f>
        <v>12.442300442781992</v>
      </c>
      <c r="AH80" s="214">
        <f>IF(AND(($D80+$C$1)&gt;AH$3,AH$3&gt;=$C$1),'General Inputs'!F$9*$G80,IF(AND(($C80+$C$1)&gt;AH$3,AH$3&gt;=$C$1),'General Inputs'!F$9*$F80,0))</f>
        <v>12.628934949423721</v>
      </c>
      <c r="AI80" s="214">
        <f>IF(AND(($D80+$C$1)&gt;AI$3,AI$3&gt;=$C$1),'General Inputs'!G$9*$G80,IF(AND(($C80+$C$1)&gt;AI$3,AI$3&gt;=$C$1),'General Inputs'!G$9*$F80,0))</f>
        <v>12.818368973665075</v>
      </c>
      <c r="AJ80" s="214">
        <f>IF(AND(($D80+$C$1)&gt;AJ$3,AJ$3&gt;=$C$1),'General Inputs'!H$9*$G80,IF(AND(($C80+$C$1)&gt;AJ$3,AJ$3&gt;=$C$1),'General Inputs'!H$9*$F80,0))</f>
        <v>13.010644508270051</v>
      </c>
      <c r="AK80" s="214">
        <f>IF(AND(($D80+$C$1)&gt;AK$3,AK$3&gt;=$C$1),'General Inputs'!I$9*$G80,IF(AND(($C80+$C$1)&gt;AK$3,AK$3&gt;=$C$1),'General Inputs'!I$9*$F80,0))</f>
        <v>13.2058041758941</v>
      </c>
      <c r="AL80" s="214">
        <f>IF(AND(($D80+$C$1)&gt;AL$3,AL$3&gt;=$C$1),'General Inputs'!J$9*$G80,IF(AND(($C80+$C$1)&gt;AL$3,AL$3&gt;=$C$1),'General Inputs'!J$9*$F80,0))</f>
        <v>13.403891238532509</v>
      </c>
      <c r="AM80" s="214">
        <f>IF(AND(($D80+$C$1)&gt;AM$3,AM$3&gt;=$C$1),'General Inputs'!K$9*$G80,IF(AND(($C80+$C$1)&gt;AM$3,AM$3&gt;=$C$1),'General Inputs'!K$9*$F80,0))</f>
        <v>13.604949607110495</v>
      </c>
      <c r="AN80" s="214">
        <f>IF(AND(($D80+$C$1)&gt;AN$3,AN$3&gt;=$C$1),'General Inputs'!L$9*$G80,IF(AND(($C80+$C$1)&gt;AN$3,AN$3&gt;=$C$1),'General Inputs'!L$9*$F80,0))</f>
        <v>13.80902385121715</v>
      </c>
      <c r="AO80" s="214">
        <f>IF(AND(($D80+$C$1)&gt;AO$3,AO$3&gt;=$C$1),'General Inputs'!M$9*$G80,IF(AND(($C80+$C$1)&gt;AO$3,AO$3&gt;=$C$1),'General Inputs'!M$9*$F80,0))</f>
        <v>14.016159208985405</v>
      </c>
      <c r="AP80" s="214">
        <f>IF(AND(($D80+$C$1)&gt;AP$3,AP$3&gt;=$C$1),'General Inputs'!N$9*$G80,IF(AND(($C80+$C$1)&gt;AP$3,AP$3&gt;=$C$1),'General Inputs'!N$9*$F80,0))</f>
        <v>0</v>
      </c>
      <c r="AQ80" s="214">
        <f>IF(AND(($D80+$C$1)&gt;AQ$3,AQ$3&gt;=$C$1),'General Inputs'!O$9*$G80,IF(AND(($C80+$C$1)&gt;AQ$3,AQ$3&gt;=$C$1),'General Inputs'!O$9*$F80,0))</f>
        <v>0</v>
      </c>
      <c r="AR80" s="214">
        <f>IF(AND(($D80+$C$1)&gt;AR$3,AR$3&gt;=$C$1),'General Inputs'!P$9*$G80,IF(AND(($C80+$C$1)&gt;AR$3,AR$3&gt;=$C$1),'General Inputs'!P$9*$F80,0))</f>
        <v>0</v>
      </c>
      <c r="AS80" s="214">
        <f>IF(AND(($D80+$C$1)&gt;AS$3,AS$3&gt;=$C$1),'General Inputs'!Q$9*$G80,IF(AND(($C80+$C$1)&gt;AS$3,AS$3&gt;=$C$1),'General Inputs'!Q$9*$F80,0))</f>
        <v>0</v>
      </c>
      <c r="AT80" s="214">
        <f>IF(AND(($D80+$C$1)&gt;AT$3,AT$3&gt;=$C$1),'General Inputs'!R$9*$G80,IF(AND(($C80+$C$1)&gt;AT$3,AT$3&gt;=$C$1),'General Inputs'!R$9*$F80,0))</f>
        <v>0</v>
      </c>
      <c r="AU80" s="214">
        <f>IF(AND(($D80+$C$1)&gt;AU$3,AU$3&gt;=$C$1),'General Inputs'!S$9*$G80,IF(AND(($C80+$C$1)&gt;AU$3,AU$3&gt;=$C$1),'General Inputs'!S$9*$F80,0))</f>
        <v>0</v>
      </c>
      <c r="AV80" s="214">
        <f>IF(AND(($D80+$C$1)&gt;AV$3,AV$3&gt;=$C$1),'General Inputs'!T$9*$G80,IF(AND(($C80+$C$1)&gt;AV$3,AV$3&gt;=$C$1),'General Inputs'!T$9*$F80,0))</f>
        <v>0</v>
      </c>
      <c r="AW80" s="214">
        <f>IF(AND(($D80+$C$1)&gt;AW$3,AW$3&gt;=$C$1),'General Inputs'!U$9*$G80,IF(AND(($C80+$C$1)&gt;AW$3,AW$3&gt;=$C$1),'General Inputs'!U$9*$F80,0))</f>
        <v>0</v>
      </c>
      <c r="AX80" s="214">
        <f>IF(AND(($D80+$C$1)&gt;AX$3,AX$3&gt;=$C$1),'General Inputs'!V$9*$G80,IF(AND(($C80+$C$1)&gt;AX$3,AX$3&gt;=$C$1),'General Inputs'!V$9*$F80,0))</f>
        <v>0</v>
      </c>
      <c r="AY80" s="214">
        <f>IF(AND(($D80+$C$1)&gt;AY$3,AY$3&gt;=$C$1),'General Inputs'!W$9*$G80,IF(AND(($C80+$C$1)&gt;AY$3,AY$3&gt;=$C$1),'General Inputs'!W$9*$F80,0))</f>
        <v>0</v>
      </c>
      <c r="BA80" s="214">
        <f>IF(AND(($D80+$C$1)&gt;AF$3,AF$3&gt;=$C$1),'General Inputs'!D$10*$I80,IF(AND(($C80+$C$1)&gt;AF$3,AF$3&gt;=$C$1),'General Inputs'!D$10*$H80,0))</f>
        <v>0.71293328175773152</v>
      </c>
      <c r="BB80" s="214">
        <f>IF(AND(($D80+$C$1)&gt;AG$3,AG$3&gt;=$C$1),'General Inputs'!E$10*$I80,IF(AND(($C80+$C$1)&gt;AG$3,AG$3&gt;=$C$1),'General Inputs'!E$10*$H80,0))</f>
        <v>0.72362728098409734</v>
      </c>
      <c r="BC80" s="214">
        <f>IF(AND(($D80+$C$1)&gt;AH$3,AH$3&gt;=$C$1),'General Inputs'!F$10*$I80,IF(AND(($C80+$C$1)&gt;AH$3,AH$3&gt;=$C$1),'General Inputs'!F$10*$H80,0))</f>
        <v>0.73448169019885878</v>
      </c>
      <c r="BD80" s="214">
        <f>IF(AND(($D80+$C$1)&gt;AI$3,AI$3&gt;=$C$1),'General Inputs'!G$10*$I80,IF(AND(($C80+$C$1)&gt;AI$3,AI$3&gt;=$C$1),'General Inputs'!G$10*$H80,0))</f>
        <v>0.74549891555184167</v>
      </c>
      <c r="BE80" s="214">
        <f>IF(AND(($D80+$C$1)&gt;AJ$3,AJ$3&gt;=$C$1),'General Inputs'!H$10*$I80,IF(AND(($C80+$C$1)&gt;AJ$3,AJ$3&gt;=$C$1),'General Inputs'!H$10*$H80,0))</f>
        <v>0.75668139928511924</v>
      </c>
      <c r="BF80" s="214">
        <f>IF(AND(($D80+$C$1)&gt;AK$3,AK$3&gt;=$C$1),'General Inputs'!I$10*$I80,IF(AND(($C80+$C$1)&gt;AK$3,AK$3&gt;=$C$1),'General Inputs'!I$10*$H80,0))</f>
        <v>0.76803162027439587</v>
      </c>
      <c r="BG80" s="214">
        <f>IF(AND(($D80+$C$1)&gt;AL$3,AL$3&gt;=$C$1),'General Inputs'!J$10*$I80,IF(AND(($C80+$C$1)&gt;AL$3,AL$3&gt;=$C$1),'General Inputs'!J$10*$H80,0))</f>
        <v>0.77955209457851171</v>
      </c>
      <c r="BH80" s="214">
        <f>IF(AND(($D80+$C$1)&gt;AM$3,AM$3&gt;=$C$1),'General Inputs'!K$10*$I80,IF(AND(($C80+$C$1)&gt;AM$3,AM$3&gt;=$C$1),'General Inputs'!K$10*$H80,0))</f>
        <v>0.79124537599718925</v>
      </c>
      <c r="BI80" s="214">
        <f>IF(AND(($D80+$C$1)&gt;AN$3,AN$3&gt;=$C$1),'General Inputs'!L$10*$I80,IF(AND(($C80+$C$1)&gt;AN$3,AN$3&gt;=$C$1),'General Inputs'!L$10*$H80,0))</f>
        <v>0.80311405663714708</v>
      </c>
      <c r="BJ80" s="214">
        <f>IF(AND(($D80+$C$1)&gt;AO$3,AO$3&gt;=$C$1),'General Inputs'!M$10*$I80,IF(AND(($C80+$C$1)&gt;AO$3,AO$3&gt;=$C$1),'General Inputs'!M$10*$H80,0))</f>
        <v>0.8151607674867043</v>
      </c>
      <c r="BK80" s="214">
        <f>IF(AND(($D80+$C$1)&gt;AP$3,AP$3&gt;=$C$1),'General Inputs'!N$10*$I80,IF(AND(($C80+$C$1)&gt;AP$3,AP$3&gt;=$C$1),'General Inputs'!N$10*$H80,0))</f>
        <v>0</v>
      </c>
      <c r="BL80" s="214">
        <f>IF(AND(($D80+$C$1)&gt;AQ$3,AQ$3&gt;=$C$1),'General Inputs'!O$10*$I80,IF(AND(($C80+$C$1)&gt;AQ$3,AQ$3&gt;=$C$1),'General Inputs'!O$10*$H80,0))</f>
        <v>0</v>
      </c>
      <c r="BM80" s="214">
        <f>IF(AND(($D80+$C$1)&gt;AR$3,AR$3&gt;=$C$1),'General Inputs'!P$10*$I80,IF(AND(($C80+$C$1)&gt;AR$3,AR$3&gt;=$C$1),'General Inputs'!P$10*$H80,0))</f>
        <v>0</v>
      </c>
      <c r="BN80" s="214">
        <f>IF(AND(($D80+$C$1)&gt;AS$3,AS$3&gt;=$C$1),'General Inputs'!Q$10*$I80,IF(AND(($C80+$C$1)&gt;AS$3,AS$3&gt;=$C$1),'General Inputs'!Q$10*$H80,0))</f>
        <v>0</v>
      </c>
      <c r="BO80" s="214">
        <f>IF(AND(($D80+$C$1)&gt;AT$3,AT$3&gt;=$C$1),'General Inputs'!R$10*$I80,IF(AND(($C80+$C$1)&gt;AT$3,AT$3&gt;=$C$1),'General Inputs'!R$10*$H80,0))</f>
        <v>0</v>
      </c>
      <c r="BP80" s="214">
        <f>IF(AND(($D80+$C$1)&gt;AU$3,AU$3&gt;=$C$1),'General Inputs'!S$10*$I80,IF(AND(($C80+$C$1)&gt;AU$3,AU$3&gt;=$C$1),'General Inputs'!S$10*$H80,0))</f>
        <v>0</v>
      </c>
      <c r="BQ80" s="214">
        <f>IF(AND(($D80+$C$1)&gt;AV$3,AV$3&gt;=$C$1),'General Inputs'!T$10*$I80,IF(AND(($C80+$C$1)&gt;AV$3,AV$3&gt;=$C$1),'General Inputs'!T$10*$H80,0))</f>
        <v>0</v>
      </c>
      <c r="BR80" s="214">
        <f>IF(AND(($D80+$C$1)&gt;AW$3,AW$3&gt;=$C$1),'General Inputs'!U$10*$I80,IF(AND(($C80+$C$1)&gt;AW$3,AW$3&gt;=$C$1),'General Inputs'!U$10*$H80,0))</f>
        <v>0</v>
      </c>
      <c r="BS80" s="214">
        <f>IF(AND(($D80+$C$1)&gt;AX$3,AX$3&gt;=$C$1),'General Inputs'!V$10*$I80,IF(AND(($C80+$C$1)&gt;AX$3,AX$3&gt;=$C$1),'General Inputs'!V$10*$H80,0))</f>
        <v>0</v>
      </c>
      <c r="BT80" s="214">
        <f>IF(AND(($D80+$C$1)&gt;AY$3,AY$3&gt;=$C$1),'General Inputs'!W$10*$I80,IF(AND(($C80+$C$1)&gt;AY$3,AY$3&gt;=$C$1),'General Inputs'!W$10*$H80,0))</f>
        <v>0</v>
      </c>
    </row>
    <row r="81" spans="1:72">
      <c r="A81" s="342" t="s">
        <v>112</v>
      </c>
      <c r="B81" s="427" t="str">
        <f>Sources!B81</f>
        <v>LED (5 ≤ 10W)</v>
      </c>
      <c r="C81" s="193">
        <f>Sources!C81</f>
        <v>10</v>
      </c>
      <c r="D81" s="193">
        <f>Sources!D81</f>
        <v>0</v>
      </c>
      <c r="F81" s="429">
        <f>Sources!F81*EnergyLineLoss</f>
        <v>255.61981499999999</v>
      </c>
      <c r="G81" s="429">
        <f>Sources!G81*EnergyLineLoss</f>
        <v>0</v>
      </c>
      <c r="H81" s="477">
        <f>Sources!H81*PeakLineLoss</f>
        <v>3.9526343999999998E-2</v>
      </c>
      <c r="I81" s="477">
        <f>Sources!I81*PeakLineLoss</f>
        <v>0</v>
      </c>
      <c r="K81" s="419">
        <f>Sources!J81</f>
        <v>40</v>
      </c>
      <c r="L81" s="419">
        <f>Sources!K81</f>
        <v>0</v>
      </c>
      <c r="N81" s="438">
        <f t="shared" si="27"/>
        <v>2.0060815934550362</v>
      </c>
      <c r="P81" s="215">
        <f t="shared" si="28"/>
        <v>75.832923960067319</v>
      </c>
      <c r="Q81" s="215">
        <f t="shared" si="29"/>
        <v>4.4103397781341309</v>
      </c>
      <c r="R81" s="215">
        <f t="shared" si="30"/>
        <v>40</v>
      </c>
      <c r="T81" s="214">
        <f t="shared" si="32"/>
        <v>40</v>
      </c>
      <c r="U81" s="214">
        <f t="shared" si="32"/>
        <v>0</v>
      </c>
      <c r="V81" s="214">
        <f t="shared" si="33"/>
        <v>0</v>
      </c>
      <c r="W81" s="214">
        <f t="shared" si="33"/>
        <v>0</v>
      </c>
      <c r="X81" s="214">
        <f t="shared" si="33"/>
        <v>0</v>
      </c>
      <c r="Y81" s="214">
        <f t="shared" si="33"/>
        <v>0</v>
      </c>
      <c r="Z81" s="214">
        <f t="shared" si="33"/>
        <v>0</v>
      </c>
      <c r="AA81" s="214">
        <f t="shared" si="33"/>
        <v>0</v>
      </c>
      <c r="AB81" s="214">
        <f t="shared" si="33"/>
        <v>0</v>
      </c>
      <c r="AC81" s="214">
        <f t="shared" si="33"/>
        <v>0</v>
      </c>
      <c r="AD81" s="214">
        <f t="shared" si="33"/>
        <v>0</v>
      </c>
      <c r="AF81" s="214">
        <f>IF(AND(($D81+$C$1)&gt;AF$3,AF$3&gt;=$C$1),'General Inputs'!D$9*$G81,IF(AND(($C81+$C$1)&gt;AF$3,AF$3&gt;=$C$1),'General Inputs'!D$9*$F81,0))</f>
        <v>10.176804897897718</v>
      </c>
      <c r="AG81" s="214">
        <f>IF(AND(($D81+$C$1)&gt;AG$3,AG$3&gt;=$C$1),'General Inputs'!E$9*$G81,IF(AND(($C81+$C$1)&gt;AG$3,AG$3&gt;=$C$1),'General Inputs'!E$9*$F81,0))</f>
        <v>10.329456971366183</v>
      </c>
      <c r="AH81" s="214">
        <f>IF(AND(($D81+$C$1)&gt;AH$3,AH$3&gt;=$C$1),'General Inputs'!F$9*$G81,IF(AND(($C81+$C$1)&gt;AH$3,AH$3&gt;=$C$1),'General Inputs'!F$9*$F81,0))</f>
        <v>10.484398825936674</v>
      </c>
      <c r="AI81" s="214">
        <f>IF(AND(($D81+$C$1)&gt;AI$3,AI$3&gt;=$C$1),'General Inputs'!G$9*$G81,IF(AND(($C81+$C$1)&gt;AI$3,AI$3&gt;=$C$1),'General Inputs'!G$9*$F81,0))</f>
        <v>10.641664808325723</v>
      </c>
      <c r="AJ81" s="214">
        <f>IF(AND(($D81+$C$1)&gt;AJ$3,AJ$3&gt;=$C$1),'General Inputs'!H$9*$G81,IF(AND(($C81+$C$1)&gt;AJ$3,AJ$3&gt;=$C$1),'General Inputs'!H$9*$F81,0))</f>
        <v>10.801289780450608</v>
      </c>
      <c r="AK81" s="214">
        <f>IF(AND(($D81+$C$1)&gt;AK$3,AK$3&gt;=$C$1),'General Inputs'!I$9*$G81,IF(AND(($C81+$C$1)&gt;AK$3,AK$3&gt;=$C$1),'General Inputs'!I$9*$F81,0))</f>
        <v>10.963309127157366</v>
      </c>
      <c r="AL81" s="214">
        <f>IF(AND(($D81+$C$1)&gt;AL$3,AL$3&gt;=$C$1),'General Inputs'!J$9*$G81,IF(AND(($C81+$C$1)&gt;AL$3,AL$3&gt;=$C$1),'General Inputs'!J$9*$F81,0))</f>
        <v>11.127758764064724</v>
      </c>
      <c r="AM81" s="214">
        <f>IF(AND(($D81+$C$1)&gt;AM$3,AM$3&gt;=$C$1),'General Inputs'!K$9*$G81,IF(AND(($C81+$C$1)&gt;AM$3,AM$3&gt;=$C$1),'General Inputs'!K$9*$F81,0))</f>
        <v>11.294675145525694</v>
      </c>
      <c r="AN81" s="214">
        <f>IF(AND(($D81+$C$1)&gt;AN$3,AN$3&gt;=$C$1),'General Inputs'!L$9*$G81,IF(AND(($C81+$C$1)&gt;AN$3,AN$3&gt;=$C$1),'General Inputs'!L$9*$F81,0))</f>
        <v>11.464095272708578</v>
      </c>
      <c r="AO81" s="214">
        <f>IF(AND(($D81+$C$1)&gt;AO$3,AO$3&gt;=$C$1),'General Inputs'!M$9*$G81,IF(AND(($C81+$C$1)&gt;AO$3,AO$3&gt;=$C$1),'General Inputs'!M$9*$F81,0))</f>
        <v>11.636056701799205</v>
      </c>
      <c r="AP81" s="214">
        <f>IF(AND(($D81+$C$1)&gt;AP$3,AP$3&gt;=$C$1),'General Inputs'!N$9*$G81,IF(AND(($C81+$C$1)&gt;AP$3,AP$3&gt;=$C$1),'General Inputs'!N$9*$F81,0))</f>
        <v>0</v>
      </c>
      <c r="AQ81" s="214">
        <f>IF(AND(($D81+$C$1)&gt;AQ$3,AQ$3&gt;=$C$1),'General Inputs'!O$9*$G81,IF(AND(($C81+$C$1)&gt;AQ$3,AQ$3&gt;=$C$1),'General Inputs'!O$9*$F81,0))</f>
        <v>0</v>
      </c>
      <c r="AR81" s="214">
        <f>IF(AND(($D81+$C$1)&gt;AR$3,AR$3&gt;=$C$1),'General Inputs'!P$9*$G81,IF(AND(($C81+$C$1)&gt;AR$3,AR$3&gt;=$C$1),'General Inputs'!P$9*$F81,0))</f>
        <v>0</v>
      </c>
      <c r="AS81" s="214">
        <f>IF(AND(($D81+$C$1)&gt;AS$3,AS$3&gt;=$C$1),'General Inputs'!Q$9*$G81,IF(AND(($C81+$C$1)&gt;AS$3,AS$3&gt;=$C$1),'General Inputs'!Q$9*$F81,0))</f>
        <v>0</v>
      </c>
      <c r="AT81" s="214">
        <f>IF(AND(($D81+$C$1)&gt;AT$3,AT$3&gt;=$C$1),'General Inputs'!R$9*$G81,IF(AND(($C81+$C$1)&gt;AT$3,AT$3&gt;=$C$1),'General Inputs'!R$9*$F81,0))</f>
        <v>0</v>
      </c>
      <c r="AU81" s="214">
        <f>IF(AND(($D81+$C$1)&gt;AU$3,AU$3&gt;=$C$1),'General Inputs'!S$9*$G81,IF(AND(($C81+$C$1)&gt;AU$3,AU$3&gt;=$C$1),'General Inputs'!S$9*$F81,0))</f>
        <v>0</v>
      </c>
      <c r="AV81" s="214">
        <f>IF(AND(($D81+$C$1)&gt;AV$3,AV$3&gt;=$C$1),'General Inputs'!T$9*$G81,IF(AND(($C81+$C$1)&gt;AV$3,AV$3&gt;=$C$1),'General Inputs'!T$9*$F81,0))</f>
        <v>0</v>
      </c>
      <c r="AW81" s="214">
        <f>IF(AND(($D81+$C$1)&gt;AW$3,AW$3&gt;=$C$1),'General Inputs'!U$9*$G81,IF(AND(($C81+$C$1)&gt;AW$3,AW$3&gt;=$C$1),'General Inputs'!U$9*$F81,0))</f>
        <v>0</v>
      </c>
      <c r="AX81" s="214">
        <f>IF(AND(($D81+$C$1)&gt;AX$3,AX$3&gt;=$C$1),'General Inputs'!V$9*$G81,IF(AND(($C81+$C$1)&gt;AX$3,AX$3&gt;=$C$1),'General Inputs'!V$9*$F81,0))</f>
        <v>0</v>
      </c>
      <c r="AY81" s="214">
        <f>IF(AND(($D81+$C$1)&gt;AY$3,AY$3&gt;=$C$1),'General Inputs'!W$9*$G81,IF(AND(($C81+$C$1)&gt;AY$3,AY$3&gt;=$C$1),'General Inputs'!W$9*$F81,0))</f>
        <v>0</v>
      </c>
      <c r="BA81" s="214">
        <f>IF(AND(($D81+$C$1)&gt;AF$3,AF$3&gt;=$C$1),'General Inputs'!D$10*$I81,IF(AND(($C81+$C$1)&gt;AF$3,AF$3&gt;=$C$1),'General Inputs'!D$10*$H81,0))</f>
        <v>0.59186913957245635</v>
      </c>
      <c r="BB81" s="214">
        <f>IF(AND(($D81+$C$1)&gt;AG$3,AG$3&gt;=$C$1),'General Inputs'!E$10*$I81,IF(AND(($C81+$C$1)&gt;AG$3,AG$3&gt;=$C$1),'General Inputs'!E$10*$H81,0))</f>
        <v>0.60074717666604305</v>
      </c>
      <c r="BC81" s="214">
        <f>IF(AND(($D81+$C$1)&gt;AH$3,AH$3&gt;=$C$1),'General Inputs'!F$10*$I81,IF(AND(($C81+$C$1)&gt;AH$3,AH$3&gt;=$C$1),'General Inputs'!F$10*$H81,0))</f>
        <v>0.60975838431603369</v>
      </c>
      <c r="BD81" s="214">
        <f>IF(AND(($D81+$C$1)&gt;AI$3,AI$3&gt;=$C$1),'General Inputs'!G$10*$I81,IF(AND(($C81+$C$1)&gt;AI$3,AI$3&gt;=$C$1),'General Inputs'!G$10*$H81,0))</f>
        <v>0.61890476008077411</v>
      </c>
      <c r="BE81" s="214">
        <f>IF(AND(($D81+$C$1)&gt;AJ$3,AJ$3&gt;=$C$1),'General Inputs'!H$10*$I81,IF(AND(($C81+$C$1)&gt;AJ$3,AJ$3&gt;=$C$1),'General Inputs'!H$10*$H81,0))</f>
        <v>0.62818833148198572</v>
      </c>
      <c r="BF81" s="214">
        <f>IF(AND(($D81+$C$1)&gt;AK$3,AK$3&gt;=$C$1),'General Inputs'!I$10*$I81,IF(AND(($C81+$C$1)&gt;AK$3,AK$3&gt;=$C$1),'General Inputs'!I$10*$H81,0))</f>
        <v>0.6376111564542154</v>
      </c>
      <c r="BG81" s="214">
        <f>IF(AND(($D81+$C$1)&gt;AL$3,AL$3&gt;=$C$1),'General Inputs'!J$10*$I81,IF(AND(($C81+$C$1)&gt;AL$3,AL$3&gt;=$C$1),'General Inputs'!J$10*$H81,0))</f>
        <v>0.64717532380102849</v>
      </c>
      <c r="BH81" s="214">
        <f>IF(AND(($D81+$C$1)&gt;AM$3,AM$3&gt;=$C$1),'General Inputs'!K$10*$I81,IF(AND(($C81+$C$1)&gt;AM$3,AM$3&gt;=$C$1),'General Inputs'!K$10*$H81,0))</f>
        <v>0.65688295365804394</v>
      </c>
      <c r="BI81" s="214">
        <f>IF(AND(($D81+$C$1)&gt;AN$3,AN$3&gt;=$C$1),'General Inputs'!L$10*$I81,IF(AND(($C81+$C$1)&gt;AN$3,AN$3&gt;=$C$1),'General Inputs'!L$10*$H81,0))</f>
        <v>0.6667361979629145</v>
      </c>
      <c r="BJ81" s="214">
        <f>IF(AND(($D81+$C$1)&gt;AO$3,AO$3&gt;=$C$1),'General Inputs'!M$10*$I81,IF(AND(($C81+$C$1)&gt;AO$3,AO$3&gt;=$C$1),'General Inputs'!M$10*$H81,0))</f>
        <v>0.67673724093235821</v>
      </c>
      <c r="BK81" s="214">
        <f>IF(AND(($D81+$C$1)&gt;AP$3,AP$3&gt;=$C$1),'General Inputs'!N$10*$I81,IF(AND(($C81+$C$1)&gt;AP$3,AP$3&gt;=$C$1),'General Inputs'!N$10*$H81,0))</f>
        <v>0</v>
      </c>
      <c r="BL81" s="214">
        <f>IF(AND(($D81+$C$1)&gt;AQ$3,AQ$3&gt;=$C$1),'General Inputs'!O$10*$I81,IF(AND(($C81+$C$1)&gt;AQ$3,AQ$3&gt;=$C$1),'General Inputs'!O$10*$H81,0))</f>
        <v>0</v>
      </c>
      <c r="BM81" s="214">
        <f>IF(AND(($D81+$C$1)&gt;AR$3,AR$3&gt;=$C$1),'General Inputs'!P$10*$I81,IF(AND(($C81+$C$1)&gt;AR$3,AR$3&gt;=$C$1),'General Inputs'!P$10*$H81,0))</f>
        <v>0</v>
      </c>
      <c r="BN81" s="214">
        <f>IF(AND(($D81+$C$1)&gt;AS$3,AS$3&gt;=$C$1),'General Inputs'!Q$10*$I81,IF(AND(($C81+$C$1)&gt;AS$3,AS$3&gt;=$C$1),'General Inputs'!Q$10*$H81,0))</f>
        <v>0</v>
      </c>
      <c r="BO81" s="214">
        <f>IF(AND(($D81+$C$1)&gt;AT$3,AT$3&gt;=$C$1),'General Inputs'!R$10*$I81,IF(AND(($C81+$C$1)&gt;AT$3,AT$3&gt;=$C$1),'General Inputs'!R$10*$H81,0))</f>
        <v>0</v>
      </c>
      <c r="BP81" s="214">
        <f>IF(AND(($D81+$C$1)&gt;AU$3,AU$3&gt;=$C$1),'General Inputs'!S$10*$I81,IF(AND(($C81+$C$1)&gt;AU$3,AU$3&gt;=$C$1),'General Inputs'!S$10*$H81,0))</f>
        <v>0</v>
      </c>
      <c r="BQ81" s="214">
        <f>IF(AND(($D81+$C$1)&gt;AV$3,AV$3&gt;=$C$1),'General Inputs'!T$10*$I81,IF(AND(($C81+$C$1)&gt;AV$3,AV$3&gt;=$C$1),'General Inputs'!T$10*$H81,0))</f>
        <v>0</v>
      </c>
      <c r="BR81" s="214">
        <f>IF(AND(($D81+$C$1)&gt;AW$3,AW$3&gt;=$C$1),'General Inputs'!U$10*$I81,IF(AND(($C81+$C$1)&gt;AW$3,AW$3&gt;=$C$1),'General Inputs'!U$10*$H81,0))</f>
        <v>0</v>
      </c>
      <c r="BS81" s="214">
        <f>IF(AND(($D81+$C$1)&gt;AX$3,AX$3&gt;=$C$1),'General Inputs'!V$10*$I81,IF(AND(($C81+$C$1)&gt;AX$3,AX$3&gt;=$C$1),'General Inputs'!V$10*$H81,0))</f>
        <v>0</v>
      </c>
      <c r="BT81" s="214">
        <f>IF(AND(($D81+$C$1)&gt;AY$3,AY$3&gt;=$C$1),'General Inputs'!W$10*$I81,IF(AND(($C81+$C$1)&gt;AY$3,AY$3&gt;=$C$1),'General Inputs'!W$10*$H81,0))</f>
        <v>0</v>
      </c>
    </row>
    <row r="82" spans="1:72">
      <c r="A82" s="342" t="s">
        <v>112</v>
      </c>
      <c r="B82" s="427" t="str">
        <f>Sources!B82</f>
        <v>LED (&gt;10W)</v>
      </c>
      <c r="C82" s="193">
        <f>Sources!C82</f>
        <v>10</v>
      </c>
      <c r="D82" s="193">
        <f>Sources!D82</f>
        <v>0</v>
      </c>
      <c r="F82" s="429">
        <f>Sources!F82*EnergyLineLoss</f>
        <v>580.95412499999998</v>
      </c>
      <c r="G82" s="429">
        <f>Sources!G82*EnergyLineLoss</f>
        <v>0</v>
      </c>
      <c r="H82" s="477">
        <f>Sources!H82*PeakLineLoss</f>
        <v>8.9832599999999999E-2</v>
      </c>
      <c r="I82" s="477">
        <f>Sources!I82*PeakLineLoss</f>
        <v>0</v>
      </c>
      <c r="K82" s="419">
        <f>Sources!J82</f>
        <v>65</v>
      </c>
      <c r="L82" s="419">
        <f>Sources!K82</f>
        <v>0</v>
      </c>
      <c r="N82" s="438">
        <f t="shared" si="27"/>
        <v>2.805708522314736</v>
      </c>
      <c r="P82" s="215">
        <f t="shared" si="28"/>
        <v>172.34755445469847</v>
      </c>
      <c r="Q82" s="215">
        <f t="shared" si="29"/>
        <v>10.023499495759388</v>
      </c>
      <c r="R82" s="215">
        <f t="shared" si="30"/>
        <v>65</v>
      </c>
      <c r="T82" s="214">
        <f t="shared" si="32"/>
        <v>65</v>
      </c>
      <c r="U82" s="214">
        <f t="shared" si="32"/>
        <v>0</v>
      </c>
      <c r="V82" s="214">
        <f t="shared" si="33"/>
        <v>0</v>
      </c>
      <c r="W82" s="214">
        <f t="shared" si="33"/>
        <v>0</v>
      </c>
      <c r="X82" s="214">
        <f t="shared" si="33"/>
        <v>0</v>
      </c>
      <c r="Y82" s="214">
        <f t="shared" si="33"/>
        <v>0</v>
      </c>
      <c r="Z82" s="214">
        <f t="shared" si="33"/>
        <v>0</v>
      </c>
      <c r="AA82" s="214">
        <f t="shared" si="33"/>
        <v>0</v>
      </c>
      <c r="AB82" s="214">
        <f t="shared" si="33"/>
        <v>0</v>
      </c>
      <c r="AC82" s="214">
        <f t="shared" si="33"/>
        <v>0</v>
      </c>
      <c r="AD82" s="214">
        <f t="shared" si="33"/>
        <v>0</v>
      </c>
      <c r="AF82" s="214">
        <f>IF(AND(($D82+$C$1)&gt;AF$3,AF$3&gt;=$C$1),'General Inputs'!D$9*$G82,IF(AND(($C82+$C$1)&gt;AF$3,AF$3&gt;=$C$1),'General Inputs'!D$9*$F82,0))</f>
        <v>23.129102040676631</v>
      </c>
      <c r="AG82" s="214">
        <f>IF(AND(($D82+$C$1)&gt;AG$3,AG$3&gt;=$C$1),'General Inputs'!E$9*$G82,IF(AND(($C82+$C$1)&gt;AG$3,AG$3&gt;=$C$1),'General Inputs'!E$9*$F82,0))</f>
        <v>23.476038571286779</v>
      </c>
      <c r="AH82" s="214">
        <f>IF(AND(($D82+$C$1)&gt;AH$3,AH$3&gt;=$C$1),'General Inputs'!F$9*$G82,IF(AND(($C82+$C$1)&gt;AH$3,AH$3&gt;=$C$1),'General Inputs'!F$9*$F82,0))</f>
        <v>23.82817914985608</v>
      </c>
      <c r="AI82" s="214">
        <f>IF(AND(($D82+$C$1)&gt;AI$3,AI$3&gt;=$C$1),'General Inputs'!G$9*$G82,IF(AND(($C82+$C$1)&gt;AI$3,AI$3&gt;=$C$1),'General Inputs'!G$9*$F82,0))</f>
        <v>24.185601837103917</v>
      </c>
      <c r="AJ82" s="214">
        <f>IF(AND(($D82+$C$1)&gt;AJ$3,AJ$3&gt;=$C$1),'General Inputs'!H$9*$G82,IF(AND(($C82+$C$1)&gt;AJ$3,AJ$3&gt;=$C$1),'General Inputs'!H$9*$F82,0))</f>
        <v>24.548385864660474</v>
      </c>
      <c r="AK82" s="214">
        <f>IF(AND(($D82+$C$1)&gt;AK$3,AK$3&gt;=$C$1),'General Inputs'!I$9*$G82,IF(AND(($C82+$C$1)&gt;AK$3,AK$3&gt;=$C$1),'General Inputs'!I$9*$F82,0))</f>
        <v>24.916611652630376</v>
      </c>
      <c r="AL82" s="214">
        <f>IF(AND(($D82+$C$1)&gt;AL$3,AL$3&gt;=$C$1),'General Inputs'!J$9*$G82,IF(AND(($C82+$C$1)&gt;AL$3,AL$3&gt;=$C$1),'General Inputs'!J$9*$F82,0))</f>
        <v>25.290360827419828</v>
      </c>
      <c r="AM82" s="214">
        <f>IF(AND(($D82+$C$1)&gt;AM$3,AM$3&gt;=$C$1),'General Inputs'!K$9*$G82,IF(AND(($C82+$C$1)&gt;AM$3,AM$3&gt;=$C$1),'General Inputs'!K$9*$F82,0))</f>
        <v>25.669716239831121</v>
      </c>
      <c r="AN82" s="214">
        <f>IF(AND(($D82+$C$1)&gt;AN$3,AN$3&gt;=$C$1),'General Inputs'!L$9*$G82,IF(AND(($C82+$C$1)&gt;AN$3,AN$3&gt;=$C$1),'General Inputs'!L$9*$F82,0))</f>
        <v>26.054761983428588</v>
      </c>
      <c r="AO82" s="214">
        <f>IF(AND(($D82+$C$1)&gt;AO$3,AO$3&gt;=$C$1),'General Inputs'!M$9*$G82,IF(AND(($C82+$C$1)&gt;AO$3,AO$3&gt;=$C$1),'General Inputs'!M$9*$F82,0))</f>
        <v>26.44558341318001</v>
      </c>
      <c r="AP82" s="214">
        <f>IF(AND(($D82+$C$1)&gt;AP$3,AP$3&gt;=$C$1),'General Inputs'!N$9*$G82,IF(AND(($C82+$C$1)&gt;AP$3,AP$3&gt;=$C$1),'General Inputs'!N$9*$F82,0))</f>
        <v>0</v>
      </c>
      <c r="AQ82" s="214">
        <f>IF(AND(($D82+$C$1)&gt;AQ$3,AQ$3&gt;=$C$1),'General Inputs'!O$9*$G82,IF(AND(($C82+$C$1)&gt;AQ$3,AQ$3&gt;=$C$1),'General Inputs'!O$9*$F82,0))</f>
        <v>0</v>
      </c>
      <c r="AR82" s="214">
        <f>IF(AND(($D82+$C$1)&gt;AR$3,AR$3&gt;=$C$1),'General Inputs'!P$9*$G82,IF(AND(($C82+$C$1)&gt;AR$3,AR$3&gt;=$C$1),'General Inputs'!P$9*$F82,0))</f>
        <v>0</v>
      </c>
      <c r="AS82" s="214">
        <f>IF(AND(($D82+$C$1)&gt;AS$3,AS$3&gt;=$C$1),'General Inputs'!Q$9*$G82,IF(AND(($C82+$C$1)&gt;AS$3,AS$3&gt;=$C$1),'General Inputs'!Q$9*$F82,0))</f>
        <v>0</v>
      </c>
      <c r="AT82" s="214">
        <f>IF(AND(($D82+$C$1)&gt;AT$3,AT$3&gt;=$C$1),'General Inputs'!R$9*$G82,IF(AND(($C82+$C$1)&gt;AT$3,AT$3&gt;=$C$1),'General Inputs'!R$9*$F82,0))</f>
        <v>0</v>
      </c>
      <c r="AU82" s="214">
        <f>IF(AND(($D82+$C$1)&gt;AU$3,AU$3&gt;=$C$1),'General Inputs'!S$9*$G82,IF(AND(($C82+$C$1)&gt;AU$3,AU$3&gt;=$C$1),'General Inputs'!S$9*$F82,0))</f>
        <v>0</v>
      </c>
      <c r="AV82" s="214">
        <f>IF(AND(($D82+$C$1)&gt;AV$3,AV$3&gt;=$C$1),'General Inputs'!T$9*$G82,IF(AND(($C82+$C$1)&gt;AV$3,AV$3&gt;=$C$1),'General Inputs'!T$9*$F82,0))</f>
        <v>0</v>
      </c>
      <c r="AW82" s="214">
        <f>IF(AND(($D82+$C$1)&gt;AW$3,AW$3&gt;=$C$1),'General Inputs'!U$9*$G82,IF(AND(($C82+$C$1)&gt;AW$3,AW$3&gt;=$C$1),'General Inputs'!U$9*$F82,0))</f>
        <v>0</v>
      </c>
      <c r="AX82" s="214">
        <f>IF(AND(($D82+$C$1)&gt;AX$3,AX$3&gt;=$C$1),'General Inputs'!V$9*$G82,IF(AND(($C82+$C$1)&gt;AX$3,AX$3&gt;=$C$1),'General Inputs'!V$9*$F82,0))</f>
        <v>0</v>
      </c>
      <c r="AY82" s="214">
        <f>IF(AND(($D82+$C$1)&gt;AY$3,AY$3&gt;=$C$1),'General Inputs'!W$9*$G82,IF(AND(($C82+$C$1)&gt;AY$3,AY$3&gt;=$C$1),'General Inputs'!W$9*$F82,0))</f>
        <v>0</v>
      </c>
      <c r="BA82" s="214">
        <f>IF(AND(($D82+$C$1)&gt;AF$3,AF$3&gt;=$C$1),'General Inputs'!D$10*$I82,IF(AND(($C82+$C$1)&gt;AF$3,AF$3&gt;=$C$1),'General Inputs'!D$10*$H82,0))</f>
        <v>1.3451571353919463</v>
      </c>
      <c r="BB82" s="214">
        <f>IF(AND(($D82+$C$1)&gt;AG$3,AG$3&gt;=$C$1),'General Inputs'!E$10*$I82,IF(AND(($C82+$C$1)&gt;AG$3,AG$3&gt;=$C$1),'General Inputs'!E$10*$H82,0))</f>
        <v>1.3653344924228252</v>
      </c>
      <c r="BC82" s="214">
        <f>IF(AND(($D82+$C$1)&gt;AH$3,AH$3&gt;=$C$1),'General Inputs'!F$10*$I82,IF(AND(($C82+$C$1)&gt;AH$3,AH$3&gt;=$C$1),'General Inputs'!F$10*$H82,0))</f>
        <v>1.3858145098091676</v>
      </c>
      <c r="BD82" s="214">
        <f>IF(AND(($D82+$C$1)&gt;AI$3,AI$3&gt;=$C$1),'General Inputs'!G$10*$I82,IF(AND(($C82+$C$1)&gt;AI$3,AI$3&gt;=$C$1),'General Inputs'!G$10*$H82,0))</f>
        <v>1.406601727456305</v>
      </c>
      <c r="BE82" s="214">
        <f>IF(AND(($D82+$C$1)&gt;AJ$3,AJ$3&gt;=$C$1),'General Inputs'!H$10*$I82,IF(AND(($C82+$C$1)&gt;AJ$3,AJ$3&gt;=$C$1),'General Inputs'!H$10*$H82,0))</f>
        <v>1.4277007533681494</v>
      </c>
      <c r="BF82" s="214">
        <f>IF(AND(($D82+$C$1)&gt;AK$3,AK$3&gt;=$C$1),'General Inputs'!I$10*$I82,IF(AND(($C82+$C$1)&gt;AK$3,AK$3&gt;=$C$1),'General Inputs'!I$10*$H82,0))</f>
        <v>1.4491162646686713</v>
      </c>
      <c r="BG82" s="214">
        <f>IF(AND(($D82+$C$1)&gt;AL$3,AL$3&gt;=$C$1),'General Inputs'!J$10*$I82,IF(AND(($C82+$C$1)&gt;AL$3,AL$3&gt;=$C$1),'General Inputs'!J$10*$H82,0))</f>
        <v>1.4708530086387013</v>
      </c>
      <c r="BH82" s="214">
        <f>IF(AND(($D82+$C$1)&gt;AM$3,AM$3&gt;=$C$1),'General Inputs'!K$10*$I82,IF(AND(($C82+$C$1)&gt;AM$3,AM$3&gt;=$C$1),'General Inputs'!K$10*$H82,0))</f>
        <v>1.4929158037682817</v>
      </c>
      <c r="BI82" s="214">
        <f>IF(AND(($D82+$C$1)&gt;AN$3,AN$3&gt;=$C$1),'General Inputs'!L$10*$I82,IF(AND(($C82+$C$1)&gt;AN$3,AN$3&gt;=$C$1),'General Inputs'!L$10*$H82,0))</f>
        <v>1.5153095408248058</v>
      </c>
      <c r="BJ82" s="214">
        <f>IF(AND(($D82+$C$1)&gt;AO$3,AO$3&gt;=$C$1),'General Inputs'!M$10*$I82,IF(AND(($C82+$C$1)&gt;AO$3,AO$3&gt;=$C$1),'General Inputs'!M$10*$H82,0))</f>
        <v>1.5380391839371779</v>
      </c>
      <c r="BK82" s="214">
        <f>IF(AND(($D82+$C$1)&gt;AP$3,AP$3&gt;=$C$1),'General Inputs'!N$10*$I82,IF(AND(($C82+$C$1)&gt;AP$3,AP$3&gt;=$C$1),'General Inputs'!N$10*$H82,0))</f>
        <v>0</v>
      </c>
      <c r="BL82" s="214">
        <f>IF(AND(($D82+$C$1)&gt;AQ$3,AQ$3&gt;=$C$1),'General Inputs'!O$10*$I82,IF(AND(($C82+$C$1)&gt;AQ$3,AQ$3&gt;=$C$1),'General Inputs'!O$10*$H82,0))</f>
        <v>0</v>
      </c>
      <c r="BM82" s="214">
        <f>IF(AND(($D82+$C$1)&gt;AR$3,AR$3&gt;=$C$1),'General Inputs'!P$10*$I82,IF(AND(($C82+$C$1)&gt;AR$3,AR$3&gt;=$C$1),'General Inputs'!P$10*$H82,0))</f>
        <v>0</v>
      </c>
      <c r="BN82" s="214">
        <f>IF(AND(($D82+$C$1)&gt;AS$3,AS$3&gt;=$C$1),'General Inputs'!Q$10*$I82,IF(AND(($C82+$C$1)&gt;AS$3,AS$3&gt;=$C$1),'General Inputs'!Q$10*$H82,0))</f>
        <v>0</v>
      </c>
      <c r="BO82" s="214">
        <f>IF(AND(($D82+$C$1)&gt;AT$3,AT$3&gt;=$C$1),'General Inputs'!R$10*$I82,IF(AND(($C82+$C$1)&gt;AT$3,AT$3&gt;=$C$1),'General Inputs'!R$10*$H82,0))</f>
        <v>0</v>
      </c>
      <c r="BP82" s="214">
        <f>IF(AND(($D82+$C$1)&gt;AU$3,AU$3&gt;=$C$1),'General Inputs'!S$10*$I82,IF(AND(($C82+$C$1)&gt;AU$3,AU$3&gt;=$C$1),'General Inputs'!S$10*$H82,0))</f>
        <v>0</v>
      </c>
      <c r="BQ82" s="214">
        <f>IF(AND(($D82+$C$1)&gt;AV$3,AV$3&gt;=$C$1),'General Inputs'!T$10*$I82,IF(AND(($C82+$C$1)&gt;AV$3,AV$3&gt;=$C$1),'General Inputs'!T$10*$H82,0))</f>
        <v>0</v>
      </c>
      <c r="BR82" s="214">
        <f>IF(AND(($D82+$C$1)&gt;AW$3,AW$3&gt;=$C$1),'General Inputs'!U$10*$I82,IF(AND(($C82+$C$1)&gt;AW$3,AW$3&gt;=$C$1),'General Inputs'!U$10*$H82,0))</f>
        <v>0</v>
      </c>
      <c r="BS82" s="214">
        <f>IF(AND(($D82+$C$1)&gt;AX$3,AX$3&gt;=$C$1),'General Inputs'!V$10*$I82,IF(AND(($C82+$C$1)&gt;AX$3,AX$3&gt;=$C$1),'General Inputs'!V$10*$H82,0))</f>
        <v>0</v>
      </c>
      <c r="BT82" s="214">
        <f>IF(AND(($D82+$C$1)&gt;AY$3,AY$3&gt;=$C$1),'General Inputs'!W$10*$I82,IF(AND(($C82+$C$1)&gt;AY$3,AY$3&gt;=$C$1),'General Inputs'!W$10*$H82,0))</f>
        <v>0</v>
      </c>
    </row>
    <row r="83" spans="1:72">
      <c r="A83" s="342" t="s">
        <v>112</v>
      </c>
      <c r="B83" s="427" t="str">
        <f>Sources!B83</f>
        <v>LED Linear Replacement Lamp (≤4ft)</v>
      </c>
      <c r="C83" s="193">
        <f>Sources!C83</f>
        <v>16</v>
      </c>
      <c r="D83" s="193">
        <f>Sources!D83</f>
        <v>0</v>
      </c>
      <c r="F83" s="429">
        <f>Sources!F83*EnergyLineLoss</f>
        <v>261.42935624999996</v>
      </c>
      <c r="G83" s="429">
        <f>Sources!G83*EnergyLineLoss</f>
        <v>0</v>
      </c>
      <c r="H83" s="477">
        <f>Sources!H83*PeakLineLoss</f>
        <v>4.0424670000000003E-2</v>
      </c>
      <c r="I83" s="477">
        <f>Sources!I83*PeakLineLoss</f>
        <v>0</v>
      </c>
      <c r="K83" s="419">
        <f>Sources!J83</f>
        <v>9.5</v>
      </c>
      <c r="L83" s="419">
        <f>Sources!K83</f>
        <v>0</v>
      </c>
      <c r="N83" s="438">
        <f t="shared" si="27"/>
        <v>11.565485280061301</v>
      </c>
      <c r="P83" s="215">
        <f t="shared" si="28"/>
        <v>103.83330621150944</v>
      </c>
      <c r="Q83" s="215">
        <f t="shared" si="29"/>
        <v>6.0388039490729319</v>
      </c>
      <c r="R83" s="215">
        <f t="shared" si="30"/>
        <v>9.5</v>
      </c>
      <c r="T83" s="214">
        <f t="shared" ref="T83:U87" si="34">IF($C$1=T$3,$K83,IF($D83+$C$1=T$3,-$L83,0))</f>
        <v>9.5</v>
      </c>
      <c r="U83" s="214">
        <f t="shared" si="34"/>
        <v>0</v>
      </c>
      <c r="V83" s="214">
        <f t="shared" si="33"/>
        <v>0</v>
      </c>
      <c r="W83" s="214">
        <f t="shared" si="33"/>
        <v>0</v>
      </c>
      <c r="X83" s="214">
        <f t="shared" si="33"/>
        <v>0</v>
      </c>
      <c r="Y83" s="214">
        <f t="shared" si="33"/>
        <v>0</v>
      </c>
      <c r="Z83" s="214">
        <f t="shared" si="33"/>
        <v>0</v>
      </c>
      <c r="AA83" s="214">
        <f t="shared" si="33"/>
        <v>0</v>
      </c>
      <c r="AB83" s="214">
        <f t="shared" si="33"/>
        <v>0</v>
      </c>
      <c r="AC83" s="214">
        <f t="shared" si="33"/>
        <v>0</v>
      </c>
      <c r="AD83" s="214">
        <f t="shared" si="33"/>
        <v>0</v>
      </c>
      <c r="AF83" s="214">
        <f>IF(AND(($D83+$C$1)&gt;AF$3,AF$3&gt;=$C$1),'General Inputs'!D$9*$G83,IF(AND(($C83+$C$1)&gt;AF$3,AF$3&gt;=$C$1),'General Inputs'!D$9*$F83,0))</f>
        <v>10.408095918304483</v>
      </c>
      <c r="AG83" s="214">
        <f>IF(AND(($D83+$C$1)&gt;AG$3,AG$3&gt;=$C$1),'General Inputs'!E$9*$G83,IF(AND(($C83+$C$1)&gt;AG$3,AG$3&gt;=$C$1),'General Inputs'!E$9*$F83,0))</f>
        <v>10.56421735707905</v>
      </c>
      <c r="AH83" s="214">
        <f>IF(AND(($D83+$C$1)&gt;AH$3,AH$3&gt;=$C$1),'General Inputs'!F$9*$G83,IF(AND(($C83+$C$1)&gt;AH$3,AH$3&gt;=$C$1),'General Inputs'!F$9*$F83,0))</f>
        <v>10.722680617435234</v>
      </c>
      <c r="AI83" s="214">
        <f>IF(AND(($D83+$C$1)&gt;AI$3,AI$3&gt;=$C$1),'General Inputs'!G$9*$G83,IF(AND(($C83+$C$1)&gt;AI$3,AI$3&gt;=$C$1),'General Inputs'!G$9*$F83,0))</f>
        <v>10.883520826696762</v>
      </c>
      <c r="AJ83" s="214">
        <f>IF(AND(($D83+$C$1)&gt;AJ$3,AJ$3&gt;=$C$1),'General Inputs'!H$9*$G83,IF(AND(($C83+$C$1)&gt;AJ$3,AJ$3&gt;=$C$1),'General Inputs'!H$9*$F83,0))</f>
        <v>11.046773639097211</v>
      </c>
      <c r="AK83" s="214">
        <f>IF(AND(($D83+$C$1)&gt;AK$3,AK$3&gt;=$C$1),'General Inputs'!I$9*$G83,IF(AND(($C83+$C$1)&gt;AK$3,AK$3&gt;=$C$1),'General Inputs'!I$9*$F83,0))</f>
        <v>11.212475243683668</v>
      </c>
      <c r="AL83" s="214">
        <f>IF(AND(($D83+$C$1)&gt;AL$3,AL$3&gt;=$C$1),'General Inputs'!J$9*$G83,IF(AND(($C83+$C$1)&gt;AL$3,AL$3&gt;=$C$1),'General Inputs'!J$9*$F83,0))</f>
        <v>11.380662372338922</v>
      </c>
      <c r="AM83" s="214">
        <f>IF(AND(($D83+$C$1)&gt;AM$3,AM$3&gt;=$C$1),'General Inputs'!K$9*$G83,IF(AND(($C83+$C$1)&gt;AM$3,AM$3&gt;=$C$1),'General Inputs'!K$9*$F83,0))</f>
        <v>11.551372307924003</v>
      </c>
      <c r="AN83" s="214">
        <f>IF(AND(($D83+$C$1)&gt;AN$3,AN$3&gt;=$C$1),'General Inputs'!L$9*$G83,IF(AND(($C83+$C$1)&gt;AN$3,AN$3&gt;=$C$1),'General Inputs'!L$9*$F83,0))</f>
        <v>11.724642892542862</v>
      </c>
      <c r="AO83" s="214">
        <f>IF(AND(($D83+$C$1)&gt;AO$3,AO$3&gt;=$C$1),'General Inputs'!M$9*$G83,IF(AND(($C83+$C$1)&gt;AO$3,AO$3&gt;=$C$1),'General Inputs'!M$9*$F83,0))</f>
        <v>11.900512535931004</v>
      </c>
      <c r="AP83" s="214">
        <f>IF(AND(($D83+$C$1)&gt;AP$3,AP$3&gt;=$C$1),'General Inputs'!N$9*$G83,IF(AND(($C83+$C$1)&gt;AP$3,AP$3&gt;=$C$1),'General Inputs'!N$9*$F83,0))</f>
        <v>12.079020223969968</v>
      </c>
      <c r="AQ83" s="214">
        <f>IF(AND(($D83+$C$1)&gt;AQ$3,AQ$3&gt;=$C$1),'General Inputs'!O$9*$G83,IF(AND(($C83+$C$1)&gt;AQ$3,AQ$3&gt;=$C$1),'General Inputs'!O$9*$F83,0))</f>
        <v>12.260205527329516</v>
      </c>
      <c r="AR83" s="214">
        <f>IF(AND(($D83+$C$1)&gt;AR$3,AR$3&gt;=$C$1),'General Inputs'!P$9*$G83,IF(AND(($C83+$C$1)&gt;AR$3,AR$3&gt;=$C$1),'General Inputs'!P$9*$F83,0))</f>
        <v>12.444108610239457</v>
      </c>
      <c r="AS83" s="214">
        <f>IF(AND(($D83+$C$1)&gt;AS$3,AS$3&gt;=$C$1),'General Inputs'!Q$9*$G83,IF(AND(($C83+$C$1)&gt;AS$3,AS$3&gt;=$C$1),'General Inputs'!Q$9*$F83,0))</f>
        <v>12.630770239393049</v>
      </c>
      <c r="AT83" s="214">
        <f>IF(AND(($D83+$C$1)&gt;AT$3,AT$3&gt;=$C$1),'General Inputs'!R$9*$G83,IF(AND(($C83+$C$1)&gt;AT$3,AT$3&gt;=$C$1),'General Inputs'!R$9*$F83,0))</f>
        <v>12.820231792983943</v>
      </c>
      <c r="AU83" s="214">
        <f>IF(AND(($D83+$C$1)&gt;AU$3,AU$3&gt;=$C$1),'General Inputs'!S$9*$G83,IF(AND(($C83+$C$1)&gt;AU$3,AU$3&gt;=$C$1),'General Inputs'!S$9*$F83,0))</f>
        <v>13.012535269878702</v>
      </c>
      <c r="AV83" s="214">
        <f>IF(AND(($D83+$C$1)&gt;AV$3,AV$3&gt;=$C$1),'General Inputs'!T$9*$G83,IF(AND(($C83+$C$1)&gt;AV$3,AV$3&gt;=$C$1),'General Inputs'!T$9*$F83,0))</f>
        <v>0</v>
      </c>
      <c r="AW83" s="214">
        <f>IF(AND(($D83+$C$1)&gt;AW$3,AW$3&gt;=$C$1),'General Inputs'!U$9*$G83,IF(AND(($C83+$C$1)&gt;AW$3,AW$3&gt;=$C$1),'General Inputs'!U$9*$F83,0))</f>
        <v>0</v>
      </c>
      <c r="AX83" s="214">
        <f>IF(AND(($D83+$C$1)&gt;AX$3,AX$3&gt;=$C$1),'General Inputs'!V$9*$G83,IF(AND(($C83+$C$1)&gt;AX$3,AX$3&gt;=$C$1),'General Inputs'!V$9*$F83,0))</f>
        <v>0</v>
      </c>
      <c r="AY83" s="214">
        <f>IF(AND(($D83+$C$1)&gt;AY$3,AY$3&gt;=$C$1),'General Inputs'!W$9*$G83,IF(AND(($C83+$C$1)&gt;AY$3,AY$3&gt;=$C$1),'General Inputs'!W$9*$F83,0))</f>
        <v>0</v>
      </c>
      <c r="BA83" s="214">
        <f>IF(AND(($D83+$C$1)&gt;AF$3,AF$3&gt;=$C$1),'General Inputs'!D$10*$I83,IF(AND(($C83+$C$1)&gt;AF$3,AF$3&gt;=$C$1),'General Inputs'!D$10*$H83,0))</f>
        <v>0.60532071092637585</v>
      </c>
      <c r="BB83" s="214">
        <f>IF(AND(($D83+$C$1)&gt;AG$3,AG$3&gt;=$C$1),'General Inputs'!E$10*$I83,IF(AND(($C83+$C$1)&gt;AG$3,AG$3&gt;=$C$1),'General Inputs'!E$10*$H83,0))</f>
        <v>0.61440052159027136</v>
      </c>
      <c r="BC83" s="214">
        <f>IF(AND(($D83+$C$1)&gt;AH$3,AH$3&gt;=$C$1),'General Inputs'!F$10*$I83,IF(AND(($C83+$C$1)&gt;AH$3,AH$3&gt;=$C$1),'General Inputs'!F$10*$H83,0))</f>
        <v>0.62361652941412549</v>
      </c>
      <c r="BD83" s="214">
        <f>IF(AND(($D83+$C$1)&gt;AI$3,AI$3&gt;=$C$1),'General Inputs'!G$10*$I83,IF(AND(($C83+$C$1)&gt;AI$3,AI$3&gt;=$C$1),'General Inputs'!G$10*$H83,0))</f>
        <v>0.63297077735533724</v>
      </c>
      <c r="BE83" s="214">
        <f>IF(AND(($D83+$C$1)&gt;AJ$3,AJ$3&gt;=$C$1),'General Inputs'!H$10*$I83,IF(AND(($C83+$C$1)&gt;AJ$3,AJ$3&gt;=$C$1),'General Inputs'!H$10*$H83,0))</f>
        <v>0.64246533901566727</v>
      </c>
      <c r="BF83" s="214">
        <f>IF(AND(($D83+$C$1)&gt;AK$3,AK$3&gt;=$C$1),'General Inputs'!I$10*$I83,IF(AND(($C83+$C$1)&gt;AK$3,AK$3&gt;=$C$1),'General Inputs'!I$10*$H83,0))</f>
        <v>0.65210231910090222</v>
      </c>
      <c r="BG83" s="214">
        <f>IF(AND(($D83+$C$1)&gt;AL$3,AL$3&gt;=$C$1),'General Inputs'!J$10*$I83,IF(AND(($C83+$C$1)&gt;AL$3,AL$3&gt;=$C$1),'General Inputs'!J$10*$H83,0))</f>
        <v>0.66188385388741566</v>
      </c>
      <c r="BH83" s="214">
        <f>IF(AND(($D83+$C$1)&gt;AM$3,AM$3&gt;=$C$1),'General Inputs'!K$10*$I83,IF(AND(($C83+$C$1)&gt;AM$3,AM$3&gt;=$C$1),'General Inputs'!K$10*$H83,0))</f>
        <v>0.67181211169572685</v>
      </c>
      <c r="BI83" s="214">
        <f>IF(AND(($D83+$C$1)&gt;AN$3,AN$3&gt;=$C$1),'General Inputs'!L$10*$I83,IF(AND(($C83+$C$1)&gt;AN$3,AN$3&gt;=$C$1),'General Inputs'!L$10*$H83,0))</f>
        <v>0.68188929337116266</v>
      </c>
      <c r="BJ83" s="214">
        <f>IF(AND(($D83+$C$1)&gt;AO$3,AO$3&gt;=$C$1),'General Inputs'!M$10*$I83,IF(AND(($C83+$C$1)&gt;AO$3,AO$3&gt;=$C$1),'General Inputs'!M$10*$H83,0))</f>
        <v>0.69211763277173011</v>
      </c>
      <c r="BK83" s="214">
        <f>IF(AND(($D83+$C$1)&gt;AP$3,AP$3&gt;=$C$1),'General Inputs'!N$10*$I83,IF(AND(($C83+$C$1)&gt;AP$3,AP$3&gt;=$C$1),'General Inputs'!N$10*$H83,0))</f>
        <v>0.7024993972633059</v>
      </c>
      <c r="BL83" s="214">
        <f>IF(AND(($D83+$C$1)&gt;AQ$3,AQ$3&gt;=$C$1),'General Inputs'!O$10*$I83,IF(AND(($C83+$C$1)&gt;AQ$3,AQ$3&gt;=$C$1),'General Inputs'!O$10*$H83,0))</f>
        <v>0.71303688822225542</v>
      </c>
      <c r="BM83" s="214">
        <f>IF(AND(($D83+$C$1)&gt;AR$3,AR$3&gt;=$C$1),'General Inputs'!P$10*$I83,IF(AND(($C83+$C$1)&gt;AR$3,AR$3&gt;=$C$1),'General Inputs'!P$10*$H83,0))</f>
        <v>0.72373244154558924</v>
      </c>
      <c r="BN83" s="214">
        <f>IF(AND(($D83+$C$1)&gt;AS$3,AS$3&gt;=$C$1),'General Inputs'!Q$10*$I83,IF(AND(($C83+$C$1)&gt;AS$3,AS$3&gt;=$C$1),'General Inputs'!Q$10*$H83,0))</f>
        <v>0.73458842816877301</v>
      </c>
      <c r="BO83" s="214">
        <f>IF(AND(($D83+$C$1)&gt;AT$3,AT$3&gt;=$C$1),'General Inputs'!R$10*$I83,IF(AND(($C83+$C$1)&gt;AT$3,AT$3&gt;=$C$1),'General Inputs'!R$10*$H83,0))</f>
        <v>0.7456072545913045</v>
      </c>
      <c r="BP83" s="214">
        <f>IF(AND(($D83+$C$1)&gt;AU$3,AU$3&gt;=$C$1),'General Inputs'!S$10*$I83,IF(AND(($C83+$C$1)&gt;AU$3,AU$3&gt;=$C$1),'General Inputs'!S$10*$H83,0))</f>
        <v>0.75679136341017406</v>
      </c>
      <c r="BQ83" s="214">
        <f>IF(AND(($D83+$C$1)&gt;AV$3,AV$3&gt;=$C$1),'General Inputs'!T$10*$I83,IF(AND(($C83+$C$1)&gt;AV$3,AV$3&gt;=$C$1),'General Inputs'!T$10*$H83,0))</f>
        <v>0</v>
      </c>
      <c r="BR83" s="214">
        <f>IF(AND(($D83+$C$1)&gt;AW$3,AW$3&gt;=$C$1),'General Inputs'!U$10*$I83,IF(AND(($C83+$C$1)&gt;AW$3,AW$3&gt;=$C$1),'General Inputs'!U$10*$H83,0))</f>
        <v>0</v>
      </c>
      <c r="BS83" s="214">
        <f>IF(AND(($D83+$C$1)&gt;AX$3,AX$3&gt;=$C$1),'General Inputs'!V$10*$I83,IF(AND(($C83+$C$1)&gt;AX$3,AX$3&gt;=$C$1),'General Inputs'!V$10*$H83,0))</f>
        <v>0</v>
      </c>
      <c r="BT83" s="214">
        <f>IF(AND(($D83+$C$1)&gt;AY$3,AY$3&gt;=$C$1),'General Inputs'!W$10*$I83,IF(AND(($C83+$C$1)&gt;AY$3,AY$3&gt;=$C$1),'General Inputs'!W$10*$H83,0))</f>
        <v>0</v>
      </c>
    </row>
    <row r="84" spans="1:72">
      <c r="A84" s="342" t="s">
        <v>112</v>
      </c>
      <c r="B84" s="427" t="str">
        <f>Sources!B84</f>
        <v>LED Linear Replacement Lamp (5-8ft)</v>
      </c>
      <c r="C84" s="193">
        <f>Sources!C84</f>
        <v>16</v>
      </c>
      <c r="D84" s="193">
        <f>Sources!D84</f>
        <v>0</v>
      </c>
      <c r="F84" s="429">
        <f>Sources!F84*EnergyLineLoss</f>
        <v>319.52476875000002</v>
      </c>
      <c r="G84" s="429">
        <f>Sources!G84*EnergyLineLoss</f>
        <v>0</v>
      </c>
      <c r="H84" s="477">
        <f>Sources!H84*PeakLineLoss</f>
        <v>4.9407930000000003E-2</v>
      </c>
      <c r="I84" s="477">
        <f>Sources!I84*PeakLineLoss</f>
        <v>0</v>
      </c>
      <c r="K84" s="419">
        <f>Sources!J84</f>
        <v>9.5</v>
      </c>
      <c r="L84" s="419">
        <f>Sources!K84</f>
        <v>0</v>
      </c>
      <c r="N84" s="438">
        <f t="shared" si="27"/>
        <v>14.135593120074924</v>
      </c>
      <c r="P84" s="215">
        <f t="shared" si="28"/>
        <v>126.90737425851154</v>
      </c>
      <c r="Q84" s="215">
        <f t="shared" si="29"/>
        <v>7.3807603822002497</v>
      </c>
      <c r="R84" s="215">
        <f t="shared" si="30"/>
        <v>9.5</v>
      </c>
      <c r="T84" s="214">
        <f t="shared" si="34"/>
        <v>9.5</v>
      </c>
      <c r="U84" s="214">
        <f t="shared" si="34"/>
        <v>0</v>
      </c>
      <c r="V84" s="214">
        <f t="shared" si="33"/>
        <v>0</v>
      </c>
      <c r="W84" s="214">
        <f t="shared" si="33"/>
        <v>0</v>
      </c>
      <c r="X84" s="214">
        <f t="shared" si="33"/>
        <v>0</v>
      </c>
      <c r="Y84" s="214">
        <f t="shared" si="33"/>
        <v>0</v>
      </c>
      <c r="Z84" s="214">
        <f t="shared" si="33"/>
        <v>0</v>
      </c>
      <c r="AA84" s="214">
        <f t="shared" si="33"/>
        <v>0</v>
      </c>
      <c r="AB84" s="214">
        <f t="shared" si="33"/>
        <v>0</v>
      </c>
      <c r="AC84" s="214">
        <f t="shared" si="33"/>
        <v>0</v>
      </c>
      <c r="AD84" s="214">
        <f t="shared" si="33"/>
        <v>0</v>
      </c>
      <c r="AF84" s="214">
        <f>IF(AND(($D84+$C$1)&gt;AF$3,AF$3&gt;=$C$1),'General Inputs'!D$9*$G84,IF(AND(($C84+$C$1)&gt;AF$3,AF$3&gt;=$C$1),'General Inputs'!D$9*$F84,0))</f>
        <v>12.721006122372149</v>
      </c>
      <c r="AG84" s="214">
        <f>IF(AND(($D84+$C$1)&gt;AG$3,AG$3&gt;=$C$1),'General Inputs'!E$9*$G84,IF(AND(($C84+$C$1)&gt;AG$3,AG$3&gt;=$C$1),'General Inputs'!E$9*$F84,0))</f>
        <v>12.91182121420773</v>
      </c>
      <c r="AH84" s="214">
        <f>IF(AND(($D84+$C$1)&gt;AH$3,AH$3&gt;=$C$1),'General Inputs'!F$9*$G84,IF(AND(($C84+$C$1)&gt;AH$3,AH$3&gt;=$C$1),'General Inputs'!F$9*$F84,0))</f>
        <v>13.105498532420844</v>
      </c>
      <c r="AI84" s="214">
        <f>IF(AND(($D84+$C$1)&gt;AI$3,AI$3&gt;=$C$1),'General Inputs'!G$9*$G84,IF(AND(($C84+$C$1)&gt;AI$3,AI$3&gt;=$C$1),'General Inputs'!G$9*$F84,0))</f>
        <v>13.302081010407155</v>
      </c>
      <c r="AJ84" s="214">
        <f>IF(AND(($D84+$C$1)&gt;AJ$3,AJ$3&gt;=$C$1),'General Inputs'!H$9*$G84,IF(AND(($C84+$C$1)&gt;AJ$3,AJ$3&gt;=$C$1),'General Inputs'!H$9*$F84,0))</f>
        <v>13.501612225563262</v>
      </c>
      <c r="AK84" s="214">
        <f>IF(AND(($D84+$C$1)&gt;AK$3,AK$3&gt;=$C$1),'General Inputs'!I$9*$G84,IF(AND(($C84+$C$1)&gt;AK$3,AK$3&gt;=$C$1),'General Inputs'!I$9*$F84,0))</f>
        <v>13.704136408946708</v>
      </c>
      <c r="AL84" s="214">
        <f>IF(AND(($D84+$C$1)&gt;AL$3,AL$3&gt;=$C$1),'General Inputs'!J$9*$G84,IF(AND(($C84+$C$1)&gt;AL$3,AL$3&gt;=$C$1),'General Inputs'!J$9*$F84,0))</f>
        <v>13.909698455080907</v>
      </c>
      <c r="AM84" s="214">
        <f>IF(AND(($D84+$C$1)&gt;AM$3,AM$3&gt;=$C$1),'General Inputs'!K$9*$G84,IF(AND(($C84+$C$1)&gt;AM$3,AM$3&gt;=$C$1),'General Inputs'!K$9*$F84,0))</f>
        <v>14.118343931907118</v>
      </c>
      <c r="AN84" s="214">
        <f>IF(AND(($D84+$C$1)&gt;AN$3,AN$3&gt;=$C$1),'General Inputs'!L$9*$G84,IF(AND(($C84+$C$1)&gt;AN$3,AN$3&gt;=$C$1),'General Inputs'!L$9*$F84,0))</f>
        <v>14.330119090885724</v>
      </c>
      <c r="AO84" s="214">
        <f>IF(AND(($D84+$C$1)&gt;AO$3,AO$3&gt;=$C$1),'General Inputs'!M$9*$G84,IF(AND(($C84+$C$1)&gt;AO$3,AO$3&gt;=$C$1),'General Inputs'!M$9*$F84,0))</f>
        <v>14.545070877249008</v>
      </c>
      <c r="AP84" s="214">
        <f>IF(AND(($D84+$C$1)&gt;AP$3,AP$3&gt;=$C$1),'General Inputs'!N$9*$G84,IF(AND(($C84+$C$1)&gt;AP$3,AP$3&gt;=$C$1),'General Inputs'!N$9*$F84,0))</f>
        <v>14.763246940407742</v>
      </c>
      <c r="AQ84" s="214">
        <f>IF(AND(($D84+$C$1)&gt;AQ$3,AQ$3&gt;=$C$1),'General Inputs'!O$9*$G84,IF(AND(($C84+$C$1)&gt;AQ$3,AQ$3&gt;=$C$1),'General Inputs'!O$9*$F84,0))</f>
        <v>14.984695644513856</v>
      </c>
      <c r="AR84" s="214">
        <f>IF(AND(($D84+$C$1)&gt;AR$3,AR$3&gt;=$C$1),'General Inputs'!P$9*$G84,IF(AND(($C84+$C$1)&gt;AR$3,AR$3&gt;=$C$1),'General Inputs'!P$9*$F84,0))</f>
        <v>15.209466079181563</v>
      </c>
      <c r="AS84" s="214">
        <f>IF(AND(($D84+$C$1)&gt;AS$3,AS$3&gt;=$C$1),'General Inputs'!Q$9*$G84,IF(AND(($C84+$C$1)&gt;AS$3,AS$3&gt;=$C$1),'General Inputs'!Q$9*$F84,0))</f>
        <v>15.437608070369285</v>
      </c>
      <c r="AT84" s="214">
        <f>IF(AND(($D84+$C$1)&gt;AT$3,AT$3&gt;=$C$1),'General Inputs'!R$9*$G84,IF(AND(($C84+$C$1)&gt;AT$3,AT$3&gt;=$C$1),'General Inputs'!R$9*$F84,0))</f>
        <v>15.669172191424824</v>
      </c>
      <c r="AU84" s="214">
        <f>IF(AND(($D84+$C$1)&gt;AU$3,AU$3&gt;=$C$1),'General Inputs'!S$9*$G84,IF(AND(($C84+$C$1)&gt;AU$3,AU$3&gt;=$C$1),'General Inputs'!S$9*$F84,0))</f>
        <v>15.904209774296195</v>
      </c>
      <c r="AV84" s="214">
        <f>IF(AND(($D84+$C$1)&gt;AV$3,AV$3&gt;=$C$1),'General Inputs'!T$9*$G84,IF(AND(($C84+$C$1)&gt;AV$3,AV$3&gt;=$C$1),'General Inputs'!T$9*$F84,0))</f>
        <v>0</v>
      </c>
      <c r="AW84" s="214">
        <f>IF(AND(($D84+$C$1)&gt;AW$3,AW$3&gt;=$C$1),'General Inputs'!U$9*$G84,IF(AND(($C84+$C$1)&gt;AW$3,AW$3&gt;=$C$1),'General Inputs'!U$9*$F84,0))</f>
        <v>0</v>
      </c>
      <c r="AX84" s="214">
        <f>IF(AND(($D84+$C$1)&gt;AX$3,AX$3&gt;=$C$1),'General Inputs'!V$9*$G84,IF(AND(($C84+$C$1)&gt;AX$3,AX$3&gt;=$C$1),'General Inputs'!V$9*$F84,0))</f>
        <v>0</v>
      </c>
      <c r="AY84" s="214">
        <f>IF(AND(($D84+$C$1)&gt;AY$3,AY$3&gt;=$C$1),'General Inputs'!W$9*$G84,IF(AND(($C84+$C$1)&gt;AY$3,AY$3&gt;=$C$1),'General Inputs'!W$9*$F84,0))</f>
        <v>0</v>
      </c>
      <c r="BA84" s="214">
        <f>IF(AND(($D84+$C$1)&gt;AF$3,AF$3&gt;=$C$1),'General Inputs'!D$10*$I84,IF(AND(($C84+$C$1)&gt;AF$3,AF$3&gt;=$C$1),'General Inputs'!D$10*$H84,0))</f>
        <v>0.73983642446557052</v>
      </c>
      <c r="BB84" s="214">
        <f>IF(AND(($D84+$C$1)&gt;AG$3,AG$3&gt;=$C$1),'General Inputs'!E$10*$I84,IF(AND(($C84+$C$1)&gt;AG$3,AG$3&gt;=$C$1),'General Inputs'!E$10*$H84,0))</f>
        <v>0.75093397083255398</v>
      </c>
      <c r="BC84" s="214">
        <f>IF(AND(($D84+$C$1)&gt;AH$3,AH$3&gt;=$C$1),'General Inputs'!F$10*$I84,IF(AND(($C84+$C$1)&gt;AH$3,AH$3&gt;=$C$1),'General Inputs'!F$10*$H84,0))</f>
        <v>0.76219798039504216</v>
      </c>
      <c r="BD84" s="214">
        <f>IF(AND(($D84+$C$1)&gt;AI$3,AI$3&gt;=$C$1),'General Inputs'!G$10*$I84,IF(AND(($C84+$C$1)&gt;AI$3,AI$3&gt;=$C$1),'General Inputs'!G$10*$H84,0))</f>
        <v>0.77363095010096772</v>
      </c>
      <c r="BE84" s="214">
        <f>IF(AND(($D84+$C$1)&gt;AJ$3,AJ$3&gt;=$C$1),'General Inputs'!H$10*$I84,IF(AND(($C84+$C$1)&gt;AJ$3,AJ$3&gt;=$C$1),'General Inputs'!H$10*$H84,0))</f>
        <v>0.78523541435248223</v>
      </c>
      <c r="BF84" s="214">
        <f>IF(AND(($D84+$C$1)&gt;AK$3,AK$3&gt;=$C$1),'General Inputs'!I$10*$I84,IF(AND(($C84+$C$1)&gt;AK$3,AK$3&gt;=$C$1),'General Inputs'!I$10*$H84,0))</f>
        <v>0.79701394556776928</v>
      </c>
      <c r="BG84" s="214">
        <f>IF(AND(($D84+$C$1)&gt;AL$3,AL$3&gt;=$C$1),'General Inputs'!J$10*$I84,IF(AND(($C84+$C$1)&gt;AL$3,AL$3&gt;=$C$1),'General Inputs'!J$10*$H84,0))</f>
        <v>0.80896915475128572</v>
      </c>
      <c r="BH84" s="214">
        <f>IF(AND(($D84+$C$1)&gt;AM$3,AM$3&gt;=$C$1),'General Inputs'!K$10*$I84,IF(AND(($C84+$C$1)&gt;AM$3,AM$3&gt;=$C$1),'General Inputs'!K$10*$H84,0))</f>
        <v>0.82110369207255496</v>
      </c>
      <c r="BI84" s="214">
        <f>IF(AND(($D84+$C$1)&gt;AN$3,AN$3&gt;=$C$1),'General Inputs'!L$10*$I84,IF(AND(($C84+$C$1)&gt;AN$3,AN$3&gt;=$C$1),'General Inputs'!L$10*$H84,0))</f>
        <v>0.83342024745364329</v>
      </c>
      <c r="BJ84" s="214">
        <f>IF(AND(($D84+$C$1)&gt;AO$3,AO$3&gt;=$C$1),'General Inputs'!M$10*$I84,IF(AND(($C84+$C$1)&gt;AO$3,AO$3&gt;=$C$1),'General Inputs'!M$10*$H84,0))</f>
        <v>0.84592155116544787</v>
      </c>
      <c r="BK84" s="214">
        <f>IF(AND(($D84+$C$1)&gt;AP$3,AP$3&gt;=$C$1),'General Inputs'!N$10*$I84,IF(AND(($C84+$C$1)&gt;AP$3,AP$3&gt;=$C$1),'General Inputs'!N$10*$H84,0))</f>
        <v>0.85861037443292942</v>
      </c>
      <c r="BL84" s="214">
        <f>IF(AND(($D84+$C$1)&gt;AQ$3,AQ$3&gt;=$C$1),'General Inputs'!O$10*$I84,IF(AND(($C84+$C$1)&gt;AQ$3,AQ$3&gt;=$C$1),'General Inputs'!O$10*$H84,0))</f>
        <v>0.87148953004942331</v>
      </c>
      <c r="BM84" s="214">
        <f>IF(AND(($D84+$C$1)&gt;AR$3,AR$3&gt;=$C$1),'General Inputs'!P$10*$I84,IF(AND(($C84+$C$1)&gt;AR$3,AR$3&gt;=$C$1),'General Inputs'!P$10*$H84,0))</f>
        <v>0.88456187300016464</v>
      </c>
      <c r="BN84" s="214">
        <f>IF(AND(($D84+$C$1)&gt;AS$3,AS$3&gt;=$C$1),'General Inputs'!Q$10*$I84,IF(AND(($C84+$C$1)&gt;AS$3,AS$3&gt;=$C$1),'General Inputs'!Q$10*$H84,0))</f>
        <v>0.89783030109516704</v>
      </c>
      <c r="BO84" s="214">
        <f>IF(AND(($D84+$C$1)&gt;AT$3,AT$3&gt;=$C$1),'General Inputs'!R$10*$I84,IF(AND(($C84+$C$1)&gt;AT$3,AT$3&gt;=$C$1),'General Inputs'!R$10*$H84,0))</f>
        <v>0.91129775561159432</v>
      </c>
      <c r="BP84" s="214">
        <f>IF(AND(($D84+$C$1)&gt;AU$3,AU$3&gt;=$C$1),'General Inputs'!S$10*$I84,IF(AND(($C84+$C$1)&gt;AU$3,AU$3&gt;=$C$1),'General Inputs'!S$10*$H84,0))</f>
        <v>0.9249672219457683</v>
      </c>
      <c r="BQ84" s="214">
        <f>IF(AND(($D84+$C$1)&gt;AV$3,AV$3&gt;=$C$1),'General Inputs'!T$10*$I84,IF(AND(($C84+$C$1)&gt;AV$3,AV$3&gt;=$C$1),'General Inputs'!T$10*$H84,0))</f>
        <v>0</v>
      </c>
      <c r="BR84" s="214">
        <f>IF(AND(($D84+$C$1)&gt;AW$3,AW$3&gt;=$C$1),'General Inputs'!U$10*$I84,IF(AND(($C84+$C$1)&gt;AW$3,AW$3&gt;=$C$1),'General Inputs'!U$10*$H84,0))</f>
        <v>0</v>
      </c>
      <c r="BS84" s="214">
        <f>IF(AND(($D84+$C$1)&gt;AX$3,AX$3&gt;=$C$1),'General Inputs'!V$10*$I84,IF(AND(($C84+$C$1)&gt;AX$3,AX$3&gt;=$C$1),'General Inputs'!V$10*$H84,0))</f>
        <v>0</v>
      </c>
      <c r="BT84" s="214">
        <f>IF(AND(($D84+$C$1)&gt;AY$3,AY$3&gt;=$C$1),'General Inputs'!W$10*$I84,IF(AND(($C84+$C$1)&gt;AY$3,AY$3&gt;=$C$1),'General Inputs'!W$10*$H84,0))</f>
        <v>0</v>
      </c>
    </row>
    <row r="85" spans="1:72">
      <c r="A85" s="342" t="s">
        <v>112</v>
      </c>
      <c r="B85" s="427" t="str">
        <f>Sources!B85</f>
        <v>≤25 W LED Fixtures (Exterior/Parking Garage)</v>
      </c>
      <c r="C85" s="193">
        <f>Sources!C85</f>
        <v>15</v>
      </c>
      <c r="D85" s="193">
        <f>Sources!D85</f>
        <v>0</v>
      </c>
      <c r="F85" s="429">
        <f>Sources!F85*EnergyLineLoss</f>
        <v>391.76436599999994</v>
      </c>
      <c r="G85" s="429">
        <f>Sources!G85*EnergyLineLoss</f>
        <v>0</v>
      </c>
      <c r="H85" s="477">
        <f>Sources!H85*PeakLineLoss</f>
        <v>0</v>
      </c>
      <c r="I85" s="477">
        <f>Sources!I85*PeakLineLoss</f>
        <v>0</v>
      </c>
      <c r="K85" s="419">
        <f>Sources!J85</f>
        <v>125</v>
      </c>
      <c r="L85" s="419">
        <f>Sources!K85</f>
        <v>0</v>
      </c>
      <c r="N85" s="438">
        <f t="shared" si="27"/>
        <v>1.2010114268706944</v>
      </c>
      <c r="P85" s="215">
        <f t="shared" si="28"/>
        <v>150.12642835883679</v>
      </c>
      <c r="Q85" s="215">
        <f t="shared" si="29"/>
        <v>0</v>
      </c>
      <c r="R85" s="215">
        <f t="shared" si="30"/>
        <v>125</v>
      </c>
      <c r="T85" s="214">
        <f t="shared" si="34"/>
        <v>125</v>
      </c>
      <c r="U85" s="214">
        <f t="shared" si="34"/>
        <v>0</v>
      </c>
      <c r="V85" s="214">
        <f t="shared" si="33"/>
        <v>0</v>
      </c>
      <c r="W85" s="214">
        <f t="shared" si="33"/>
        <v>0</v>
      </c>
      <c r="X85" s="214">
        <f t="shared" si="33"/>
        <v>0</v>
      </c>
      <c r="Y85" s="214">
        <f t="shared" si="33"/>
        <v>0</v>
      </c>
      <c r="Z85" s="214">
        <f t="shared" si="33"/>
        <v>0</v>
      </c>
      <c r="AA85" s="214">
        <f t="shared" si="33"/>
        <v>0</v>
      </c>
      <c r="AB85" s="214">
        <f t="shared" si="33"/>
        <v>0</v>
      </c>
      <c r="AC85" s="214">
        <f t="shared" si="33"/>
        <v>0</v>
      </c>
      <c r="AD85" s="214">
        <f t="shared" si="33"/>
        <v>0</v>
      </c>
      <c r="AF85" s="214">
        <f>IF(AND(($D85+$C$1)&gt;AF$3,AF$3&gt;=$C$1),'General Inputs'!D$9*$G85,IF(AND(($C85+$C$1)&gt;AF$3,AF$3&gt;=$C$1),'General Inputs'!D$9*$F85,0))</f>
        <v>15.597028417889254</v>
      </c>
      <c r="AG85" s="214">
        <f>IF(AND(($D85+$C$1)&gt;AG$3,AG$3&gt;=$C$1),'General Inputs'!E$9*$G85,IF(AND(($C85+$C$1)&gt;AG$3,AG$3&gt;=$C$1),'General Inputs'!E$9*$F85,0))</f>
        <v>15.830983844157592</v>
      </c>
      <c r="AH85" s="214">
        <f>IF(AND(($D85+$C$1)&gt;AH$3,AH$3&gt;=$C$1),'General Inputs'!F$9*$G85,IF(AND(($C85+$C$1)&gt;AH$3,AH$3&gt;=$C$1),'General Inputs'!F$9*$F85,0))</f>
        <v>16.068448601819952</v>
      </c>
      <c r="AI85" s="214">
        <f>IF(AND(($D85+$C$1)&gt;AI$3,AI$3&gt;=$C$1),'General Inputs'!G$9*$G85,IF(AND(($C85+$C$1)&gt;AI$3,AI$3&gt;=$C$1),'General Inputs'!G$9*$F85,0))</f>
        <v>16.309475330847253</v>
      </c>
      <c r="AJ85" s="214">
        <f>IF(AND(($D85+$C$1)&gt;AJ$3,AJ$3&gt;=$C$1),'General Inputs'!H$9*$G85,IF(AND(($C85+$C$1)&gt;AJ$3,AJ$3&gt;=$C$1),'General Inputs'!H$9*$F85,0))</f>
        <v>16.554117460809959</v>
      </c>
      <c r="AK85" s="214">
        <f>IF(AND(($D85+$C$1)&gt;AK$3,AK$3&gt;=$C$1),'General Inputs'!I$9*$G85,IF(AND(($C85+$C$1)&gt;AK$3,AK$3&gt;=$C$1),'General Inputs'!I$9*$F85,0))</f>
        <v>16.802429222722104</v>
      </c>
      <c r="AL85" s="214">
        <f>IF(AND(($D85+$C$1)&gt;AL$3,AL$3&gt;=$C$1),'General Inputs'!J$9*$G85,IF(AND(($C85+$C$1)&gt;AL$3,AL$3&gt;=$C$1),'General Inputs'!J$9*$F85,0))</f>
        <v>17.054465661062935</v>
      </c>
      <c r="AM85" s="214">
        <f>IF(AND(($D85+$C$1)&gt;AM$3,AM$3&gt;=$C$1),'General Inputs'!K$9*$G85,IF(AND(($C85+$C$1)&gt;AM$3,AM$3&gt;=$C$1),'General Inputs'!K$9*$F85,0))</f>
        <v>17.310282645978877</v>
      </c>
      <c r="AN85" s="214">
        <f>IF(AND(($D85+$C$1)&gt;AN$3,AN$3&gt;=$C$1),'General Inputs'!L$9*$G85,IF(AND(($C85+$C$1)&gt;AN$3,AN$3&gt;=$C$1),'General Inputs'!L$9*$F85,0))</f>
        <v>17.569936885668557</v>
      </c>
      <c r="AO85" s="214">
        <f>IF(AND(($D85+$C$1)&gt;AO$3,AO$3&gt;=$C$1),'General Inputs'!M$9*$G85,IF(AND(($C85+$C$1)&gt;AO$3,AO$3&gt;=$C$1),'General Inputs'!M$9*$F85,0))</f>
        <v>17.833485938953583</v>
      </c>
      <c r="AP85" s="214">
        <f>IF(AND(($D85+$C$1)&gt;AP$3,AP$3&gt;=$C$1),'General Inputs'!N$9*$G85,IF(AND(($C85+$C$1)&gt;AP$3,AP$3&gt;=$C$1),'General Inputs'!N$9*$F85,0))</f>
        <v>18.100988228037885</v>
      </c>
      <c r="AQ85" s="214">
        <f>IF(AND(($D85+$C$1)&gt;AQ$3,AQ$3&gt;=$C$1),'General Inputs'!O$9*$G85,IF(AND(($C85+$C$1)&gt;AQ$3,AQ$3&gt;=$C$1),'General Inputs'!O$9*$F85,0))</f>
        <v>18.372503051458452</v>
      </c>
      <c r="AR85" s="214">
        <f>IF(AND(($D85+$C$1)&gt;AR$3,AR$3&gt;=$C$1),'General Inputs'!P$9*$G85,IF(AND(($C85+$C$1)&gt;AR$3,AR$3&gt;=$C$1),'General Inputs'!P$9*$F85,0))</f>
        <v>18.648090597230325</v>
      </c>
      <c r="AS85" s="214">
        <f>IF(AND(($D85+$C$1)&gt;AS$3,AS$3&gt;=$C$1),'General Inputs'!Q$9*$G85,IF(AND(($C85+$C$1)&gt;AS$3,AS$3&gt;=$C$1),'General Inputs'!Q$9*$F85,0))</f>
        <v>18.92781195618878</v>
      </c>
      <c r="AT85" s="214">
        <f>IF(AND(($D85+$C$1)&gt;AT$3,AT$3&gt;=$C$1),'General Inputs'!R$9*$G85,IF(AND(($C85+$C$1)&gt;AT$3,AT$3&gt;=$C$1),'General Inputs'!R$9*$F85,0))</f>
        <v>19.211729135531609</v>
      </c>
      <c r="AU85" s="214">
        <f>IF(AND(($D85+$C$1)&gt;AU$3,AU$3&gt;=$C$1),'General Inputs'!S$9*$G85,IF(AND(($C85+$C$1)&gt;AU$3,AU$3&gt;=$C$1),'General Inputs'!S$9*$F85,0))</f>
        <v>0</v>
      </c>
      <c r="AV85" s="214">
        <f>IF(AND(($D85+$C$1)&gt;AV$3,AV$3&gt;=$C$1),'General Inputs'!T$9*$G85,IF(AND(($C85+$C$1)&gt;AV$3,AV$3&gt;=$C$1),'General Inputs'!T$9*$F85,0))</f>
        <v>0</v>
      </c>
      <c r="AW85" s="214">
        <f>IF(AND(($D85+$C$1)&gt;AW$3,AW$3&gt;=$C$1),'General Inputs'!U$9*$G85,IF(AND(($C85+$C$1)&gt;AW$3,AW$3&gt;=$C$1),'General Inputs'!U$9*$F85,0))</f>
        <v>0</v>
      </c>
      <c r="AX85" s="214">
        <f>IF(AND(($D85+$C$1)&gt;AX$3,AX$3&gt;=$C$1),'General Inputs'!V$9*$G85,IF(AND(($C85+$C$1)&gt;AX$3,AX$3&gt;=$C$1),'General Inputs'!V$9*$F85,0))</f>
        <v>0</v>
      </c>
      <c r="AY85" s="214">
        <f>IF(AND(($D85+$C$1)&gt;AY$3,AY$3&gt;=$C$1),'General Inputs'!W$9*$G85,IF(AND(($C85+$C$1)&gt;AY$3,AY$3&gt;=$C$1),'General Inputs'!W$9*$F85,0))</f>
        <v>0</v>
      </c>
      <c r="BA85" s="214">
        <f>IF(AND(($D85+$C$1)&gt;AF$3,AF$3&gt;=$C$1),'General Inputs'!D$10*$I85,IF(AND(($C85+$C$1)&gt;AF$3,AF$3&gt;=$C$1),'General Inputs'!D$10*$H85,0))</f>
        <v>0</v>
      </c>
      <c r="BB85" s="214">
        <f>IF(AND(($D85+$C$1)&gt;AG$3,AG$3&gt;=$C$1),'General Inputs'!E$10*$I85,IF(AND(($C85+$C$1)&gt;AG$3,AG$3&gt;=$C$1),'General Inputs'!E$10*$H85,0))</f>
        <v>0</v>
      </c>
      <c r="BC85" s="214">
        <f>IF(AND(($D85+$C$1)&gt;AH$3,AH$3&gt;=$C$1),'General Inputs'!F$10*$I85,IF(AND(($C85+$C$1)&gt;AH$3,AH$3&gt;=$C$1),'General Inputs'!F$10*$H85,0))</f>
        <v>0</v>
      </c>
      <c r="BD85" s="214">
        <f>IF(AND(($D85+$C$1)&gt;AI$3,AI$3&gt;=$C$1),'General Inputs'!G$10*$I85,IF(AND(($C85+$C$1)&gt;AI$3,AI$3&gt;=$C$1),'General Inputs'!G$10*$H85,0))</f>
        <v>0</v>
      </c>
      <c r="BE85" s="214">
        <f>IF(AND(($D85+$C$1)&gt;AJ$3,AJ$3&gt;=$C$1),'General Inputs'!H$10*$I85,IF(AND(($C85+$C$1)&gt;AJ$3,AJ$3&gt;=$C$1),'General Inputs'!H$10*$H85,0))</f>
        <v>0</v>
      </c>
      <c r="BF85" s="214">
        <f>IF(AND(($D85+$C$1)&gt;AK$3,AK$3&gt;=$C$1),'General Inputs'!I$10*$I85,IF(AND(($C85+$C$1)&gt;AK$3,AK$3&gt;=$C$1),'General Inputs'!I$10*$H85,0))</f>
        <v>0</v>
      </c>
      <c r="BG85" s="214">
        <f>IF(AND(($D85+$C$1)&gt;AL$3,AL$3&gt;=$C$1),'General Inputs'!J$10*$I85,IF(AND(($C85+$C$1)&gt;AL$3,AL$3&gt;=$C$1),'General Inputs'!J$10*$H85,0))</f>
        <v>0</v>
      </c>
      <c r="BH85" s="214">
        <f>IF(AND(($D85+$C$1)&gt;AM$3,AM$3&gt;=$C$1),'General Inputs'!K$10*$I85,IF(AND(($C85+$C$1)&gt;AM$3,AM$3&gt;=$C$1),'General Inputs'!K$10*$H85,0))</f>
        <v>0</v>
      </c>
      <c r="BI85" s="214">
        <f>IF(AND(($D85+$C$1)&gt;AN$3,AN$3&gt;=$C$1),'General Inputs'!L$10*$I85,IF(AND(($C85+$C$1)&gt;AN$3,AN$3&gt;=$C$1),'General Inputs'!L$10*$H85,0))</f>
        <v>0</v>
      </c>
      <c r="BJ85" s="214">
        <f>IF(AND(($D85+$C$1)&gt;AO$3,AO$3&gt;=$C$1),'General Inputs'!M$10*$I85,IF(AND(($C85+$C$1)&gt;AO$3,AO$3&gt;=$C$1),'General Inputs'!M$10*$H85,0))</f>
        <v>0</v>
      </c>
      <c r="BK85" s="214">
        <f>IF(AND(($D85+$C$1)&gt;AP$3,AP$3&gt;=$C$1),'General Inputs'!N$10*$I85,IF(AND(($C85+$C$1)&gt;AP$3,AP$3&gt;=$C$1),'General Inputs'!N$10*$H85,0))</f>
        <v>0</v>
      </c>
      <c r="BL85" s="214">
        <f>IF(AND(($D85+$C$1)&gt;AQ$3,AQ$3&gt;=$C$1),'General Inputs'!O$10*$I85,IF(AND(($C85+$C$1)&gt;AQ$3,AQ$3&gt;=$C$1),'General Inputs'!O$10*$H85,0))</f>
        <v>0</v>
      </c>
      <c r="BM85" s="214">
        <f>IF(AND(($D85+$C$1)&gt;AR$3,AR$3&gt;=$C$1),'General Inputs'!P$10*$I85,IF(AND(($C85+$C$1)&gt;AR$3,AR$3&gt;=$C$1),'General Inputs'!P$10*$H85,0))</f>
        <v>0</v>
      </c>
      <c r="BN85" s="214">
        <f>IF(AND(($D85+$C$1)&gt;AS$3,AS$3&gt;=$C$1),'General Inputs'!Q$10*$I85,IF(AND(($C85+$C$1)&gt;AS$3,AS$3&gt;=$C$1),'General Inputs'!Q$10*$H85,0))</f>
        <v>0</v>
      </c>
      <c r="BO85" s="214">
        <f>IF(AND(($D85+$C$1)&gt;AT$3,AT$3&gt;=$C$1),'General Inputs'!R$10*$I85,IF(AND(($C85+$C$1)&gt;AT$3,AT$3&gt;=$C$1),'General Inputs'!R$10*$H85,0))</f>
        <v>0</v>
      </c>
      <c r="BP85" s="214">
        <f>IF(AND(($D85+$C$1)&gt;AU$3,AU$3&gt;=$C$1),'General Inputs'!S$10*$I85,IF(AND(($C85+$C$1)&gt;AU$3,AU$3&gt;=$C$1),'General Inputs'!S$10*$H85,0))</f>
        <v>0</v>
      </c>
      <c r="BQ85" s="214">
        <f>IF(AND(($D85+$C$1)&gt;AV$3,AV$3&gt;=$C$1),'General Inputs'!T$10*$I85,IF(AND(($C85+$C$1)&gt;AV$3,AV$3&gt;=$C$1),'General Inputs'!T$10*$H85,0))</f>
        <v>0</v>
      </c>
      <c r="BR85" s="214">
        <f>IF(AND(($D85+$C$1)&gt;AW$3,AW$3&gt;=$C$1),'General Inputs'!U$10*$I85,IF(AND(($C85+$C$1)&gt;AW$3,AW$3&gt;=$C$1),'General Inputs'!U$10*$H85,0))</f>
        <v>0</v>
      </c>
      <c r="BS85" s="214">
        <f>IF(AND(($D85+$C$1)&gt;AX$3,AX$3&gt;=$C$1),'General Inputs'!V$10*$I85,IF(AND(($C85+$C$1)&gt;AX$3,AX$3&gt;=$C$1),'General Inputs'!V$10*$H85,0))</f>
        <v>0</v>
      </c>
      <c r="BT85" s="214">
        <f>IF(AND(($D85+$C$1)&gt;AY$3,AY$3&gt;=$C$1),'General Inputs'!W$10*$I85,IF(AND(($C85+$C$1)&gt;AY$3,AY$3&gt;=$C$1),'General Inputs'!W$10*$H85,0))</f>
        <v>0</v>
      </c>
    </row>
    <row r="86" spans="1:72">
      <c r="A86" s="342" t="s">
        <v>112</v>
      </c>
      <c r="B86" s="427" t="str">
        <f>Sources!B86</f>
        <v>25≤60 W LED Fixtures (Exterior/Parking Garage)</v>
      </c>
      <c r="C86" s="193">
        <f>Sources!C86</f>
        <v>15</v>
      </c>
      <c r="D86" s="193">
        <f>Sources!D86</f>
        <v>0</v>
      </c>
      <c r="F86" s="429">
        <f>Sources!F86*EnergyLineLoss</f>
        <v>483.31195200000002</v>
      </c>
      <c r="G86" s="429">
        <f>Sources!G86*EnergyLineLoss</f>
        <v>0</v>
      </c>
      <c r="H86" s="477">
        <f>Sources!H86*PeakLineLoss</f>
        <v>0</v>
      </c>
      <c r="I86" s="477">
        <f>Sources!I86*PeakLineLoss</f>
        <v>0</v>
      </c>
      <c r="K86" s="419">
        <f>Sources!J86</f>
        <v>250</v>
      </c>
      <c r="L86" s="419">
        <f>Sources!K86</f>
        <v>0</v>
      </c>
      <c r="N86" s="438">
        <f t="shared" si="27"/>
        <v>0.7408320249003717</v>
      </c>
      <c r="P86" s="215">
        <f t="shared" si="28"/>
        <v>185.20800622509293</v>
      </c>
      <c r="Q86" s="215">
        <f t="shared" si="29"/>
        <v>0</v>
      </c>
      <c r="R86" s="215">
        <f t="shared" si="30"/>
        <v>250</v>
      </c>
      <c r="T86" s="214">
        <f t="shared" si="34"/>
        <v>250</v>
      </c>
      <c r="U86" s="214">
        <f t="shared" si="34"/>
        <v>0</v>
      </c>
      <c r="V86" s="214">
        <f t="shared" si="33"/>
        <v>0</v>
      </c>
      <c r="W86" s="214">
        <f t="shared" si="33"/>
        <v>0</v>
      </c>
      <c r="X86" s="214">
        <f t="shared" si="33"/>
        <v>0</v>
      </c>
      <c r="Y86" s="214">
        <f t="shared" si="33"/>
        <v>0</v>
      </c>
      <c r="Z86" s="214">
        <f t="shared" si="33"/>
        <v>0</v>
      </c>
      <c r="AA86" s="214">
        <f t="shared" si="33"/>
        <v>0</v>
      </c>
      <c r="AB86" s="214">
        <f t="shared" si="33"/>
        <v>0</v>
      </c>
      <c r="AC86" s="214">
        <f t="shared" si="33"/>
        <v>0</v>
      </c>
      <c r="AD86" s="214">
        <f t="shared" si="33"/>
        <v>0</v>
      </c>
      <c r="AF86" s="214">
        <f>IF(AND(($D86+$C$1)&gt;AF$3,AF$3&gt;=$C$1),'General Inputs'!D$9*$G86,IF(AND(($C86+$C$1)&gt;AF$3,AF$3&gt;=$C$1),'General Inputs'!D$9*$F86,0))</f>
        <v>19.241745560007182</v>
      </c>
      <c r="AG86" s="214">
        <f>IF(AND(($D86+$C$1)&gt;AG$3,AG$3&gt;=$C$1),'General Inputs'!E$9*$G86,IF(AND(($C86+$C$1)&gt;AG$3,AG$3&gt;=$C$1),'General Inputs'!E$9*$F86,0))</f>
        <v>19.530371743407287</v>
      </c>
      <c r="AH86" s="214">
        <f>IF(AND(($D86+$C$1)&gt;AH$3,AH$3&gt;=$C$1),'General Inputs'!F$9*$G86,IF(AND(($C86+$C$1)&gt;AH$3,AH$3&gt;=$C$1),'General Inputs'!F$9*$F86,0))</f>
        <v>19.823327319558395</v>
      </c>
      <c r="AI86" s="214">
        <f>IF(AND(($D86+$C$1)&gt;AI$3,AI$3&gt;=$C$1),'General Inputs'!G$9*$G86,IF(AND(($C86+$C$1)&gt;AI$3,AI$3&gt;=$C$1),'General Inputs'!G$9*$F86,0))</f>
        <v>20.12067722935177</v>
      </c>
      <c r="AJ86" s="214">
        <f>IF(AND(($D86+$C$1)&gt;AJ$3,AJ$3&gt;=$C$1),'General Inputs'!H$9*$G86,IF(AND(($C86+$C$1)&gt;AJ$3,AJ$3&gt;=$C$1),'General Inputs'!H$9*$F86,0))</f>
        <v>20.422487387792042</v>
      </c>
      <c r="AK86" s="214">
        <f>IF(AND(($D86+$C$1)&gt;AK$3,AK$3&gt;=$C$1),'General Inputs'!I$9*$G86,IF(AND(($C86+$C$1)&gt;AK$3,AK$3&gt;=$C$1),'General Inputs'!I$9*$F86,0))</f>
        <v>20.728824698608921</v>
      </c>
      <c r="AL86" s="214">
        <f>IF(AND(($D86+$C$1)&gt;AL$3,AL$3&gt;=$C$1),'General Inputs'!J$9*$G86,IF(AND(($C86+$C$1)&gt;AL$3,AL$3&gt;=$C$1),'General Inputs'!J$9*$F86,0))</f>
        <v>21.039757069088051</v>
      </c>
      <c r="AM86" s="214">
        <f>IF(AND(($D86+$C$1)&gt;AM$3,AM$3&gt;=$C$1),'General Inputs'!K$9*$G86,IF(AND(($C86+$C$1)&gt;AM$3,AM$3&gt;=$C$1),'General Inputs'!K$9*$F86,0))</f>
        <v>21.35535342512437</v>
      </c>
      <c r="AN86" s="214">
        <f>IF(AND(($D86+$C$1)&gt;AN$3,AN$3&gt;=$C$1),'General Inputs'!L$9*$G86,IF(AND(($C86+$C$1)&gt;AN$3,AN$3&gt;=$C$1),'General Inputs'!L$9*$F86,0))</f>
        <v>21.675683726501234</v>
      </c>
      <c r="AO86" s="214">
        <f>IF(AND(($D86+$C$1)&gt;AO$3,AO$3&gt;=$C$1),'General Inputs'!M$9*$G86,IF(AND(($C86+$C$1)&gt;AO$3,AO$3&gt;=$C$1),'General Inputs'!M$9*$F86,0))</f>
        <v>22.000818982398748</v>
      </c>
      <c r="AP86" s="214">
        <f>IF(AND(($D86+$C$1)&gt;AP$3,AP$3&gt;=$C$1),'General Inputs'!N$9*$G86,IF(AND(($C86+$C$1)&gt;AP$3,AP$3&gt;=$C$1),'General Inputs'!N$9*$F86,0))</f>
        <v>22.330831267134727</v>
      </c>
      <c r="AQ86" s="214">
        <f>IF(AND(($D86+$C$1)&gt;AQ$3,AQ$3&gt;=$C$1),'General Inputs'!O$9*$G86,IF(AND(($C86+$C$1)&gt;AQ$3,AQ$3&gt;=$C$1),'General Inputs'!O$9*$F86,0))</f>
        <v>22.665793736141744</v>
      </c>
      <c r="AR86" s="214">
        <f>IF(AND(($D86+$C$1)&gt;AR$3,AR$3&gt;=$C$1),'General Inputs'!P$9*$G86,IF(AND(($C86+$C$1)&gt;AR$3,AR$3&gt;=$C$1),'General Inputs'!P$9*$F86,0))</f>
        <v>23.005780642183868</v>
      </c>
      <c r="AS86" s="214">
        <f>IF(AND(($D86+$C$1)&gt;AS$3,AS$3&gt;=$C$1),'General Inputs'!Q$9*$G86,IF(AND(($C86+$C$1)&gt;AS$3,AS$3&gt;=$C$1),'General Inputs'!Q$9*$F86,0))</f>
        <v>23.350867351816625</v>
      </c>
      <c r="AT86" s="214">
        <f>IF(AND(($D86+$C$1)&gt;AT$3,AT$3&gt;=$C$1),'General Inputs'!R$9*$G86,IF(AND(($C86+$C$1)&gt;AT$3,AT$3&gt;=$C$1),'General Inputs'!R$9*$F86,0))</f>
        <v>23.701130362093874</v>
      </c>
      <c r="AU86" s="214">
        <f>IF(AND(($D86+$C$1)&gt;AU$3,AU$3&gt;=$C$1),'General Inputs'!S$9*$G86,IF(AND(($C86+$C$1)&gt;AU$3,AU$3&gt;=$C$1),'General Inputs'!S$9*$F86,0))</f>
        <v>0</v>
      </c>
      <c r="AV86" s="214">
        <f>IF(AND(($D86+$C$1)&gt;AV$3,AV$3&gt;=$C$1),'General Inputs'!T$9*$G86,IF(AND(($C86+$C$1)&gt;AV$3,AV$3&gt;=$C$1),'General Inputs'!T$9*$F86,0))</f>
        <v>0</v>
      </c>
      <c r="AW86" s="214">
        <f>IF(AND(($D86+$C$1)&gt;AW$3,AW$3&gt;=$C$1),'General Inputs'!U$9*$G86,IF(AND(($C86+$C$1)&gt;AW$3,AW$3&gt;=$C$1),'General Inputs'!U$9*$F86,0))</f>
        <v>0</v>
      </c>
      <c r="AX86" s="214">
        <f>IF(AND(($D86+$C$1)&gt;AX$3,AX$3&gt;=$C$1),'General Inputs'!V$9*$G86,IF(AND(($C86+$C$1)&gt;AX$3,AX$3&gt;=$C$1),'General Inputs'!V$9*$F86,0))</f>
        <v>0</v>
      </c>
      <c r="AY86" s="214">
        <f>IF(AND(($D86+$C$1)&gt;AY$3,AY$3&gt;=$C$1),'General Inputs'!W$9*$G86,IF(AND(($C86+$C$1)&gt;AY$3,AY$3&gt;=$C$1),'General Inputs'!W$9*$F86,0))</f>
        <v>0</v>
      </c>
      <c r="BA86" s="214">
        <f>IF(AND(($D86+$C$1)&gt;AF$3,AF$3&gt;=$C$1),'General Inputs'!D$10*$I86,IF(AND(($C86+$C$1)&gt;AF$3,AF$3&gt;=$C$1),'General Inputs'!D$10*$H86,0))</f>
        <v>0</v>
      </c>
      <c r="BB86" s="214">
        <f>IF(AND(($D86+$C$1)&gt;AG$3,AG$3&gt;=$C$1),'General Inputs'!E$10*$I86,IF(AND(($C86+$C$1)&gt;AG$3,AG$3&gt;=$C$1),'General Inputs'!E$10*$H86,0))</f>
        <v>0</v>
      </c>
      <c r="BC86" s="214">
        <f>IF(AND(($D86+$C$1)&gt;AH$3,AH$3&gt;=$C$1),'General Inputs'!F$10*$I86,IF(AND(($C86+$C$1)&gt;AH$3,AH$3&gt;=$C$1),'General Inputs'!F$10*$H86,0))</f>
        <v>0</v>
      </c>
      <c r="BD86" s="214">
        <f>IF(AND(($D86+$C$1)&gt;AI$3,AI$3&gt;=$C$1),'General Inputs'!G$10*$I86,IF(AND(($C86+$C$1)&gt;AI$3,AI$3&gt;=$C$1),'General Inputs'!G$10*$H86,0))</f>
        <v>0</v>
      </c>
      <c r="BE86" s="214">
        <f>IF(AND(($D86+$C$1)&gt;AJ$3,AJ$3&gt;=$C$1),'General Inputs'!H$10*$I86,IF(AND(($C86+$C$1)&gt;AJ$3,AJ$3&gt;=$C$1),'General Inputs'!H$10*$H86,0))</f>
        <v>0</v>
      </c>
      <c r="BF86" s="214">
        <f>IF(AND(($D86+$C$1)&gt;AK$3,AK$3&gt;=$C$1),'General Inputs'!I$10*$I86,IF(AND(($C86+$C$1)&gt;AK$3,AK$3&gt;=$C$1),'General Inputs'!I$10*$H86,0))</f>
        <v>0</v>
      </c>
      <c r="BG86" s="214">
        <f>IF(AND(($D86+$C$1)&gt;AL$3,AL$3&gt;=$C$1),'General Inputs'!J$10*$I86,IF(AND(($C86+$C$1)&gt;AL$3,AL$3&gt;=$C$1),'General Inputs'!J$10*$H86,0))</f>
        <v>0</v>
      </c>
      <c r="BH86" s="214">
        <f>IF(AND(($D86+$C$1)&gt;AM$3,AM$3&gt;=$C$1),'General Inputs'!K$10*$I86,IF(AND(($C86+$C$1)&gt;AM$3,AM$3&gt;=$C$1),'General Inputs'!K$10*$H86,0))</f>
        <v>0</v>
      </c>
      <c r="BI86" s="214">
        <f>IF(AND(($D86+$C$1)&gt;AN$3,AN$3&gt;=$C$1),'General Inputs'!L$10*$I86,IF(AND(($C86+$C$1)&gt;AN$3,AN$3&gt;=$C$1),'General Inputs'!L$10*$H86,0))</f>
        <v>0</v>
      </c>
      <c r="BJ86" s="214">
        <f>IF(AND(($D86+$C$1)&gt;AO$3,AO$3&gt;=$C$1),'General Inputs'!M$10*$I86,IF(AND(($C86+$C$1)&gt;AO$3,AO$3&gt;=$C$1),'General Inputs'!M$10*$H86,0))</f>
        <v>0</v>
      </c>
      <c r="BK86" s="214">
        <f>IF(AND(($D86+$C$1)&gt;AP$3,AP$3&gt;=$C$1),'General Inputs'!N$10*$I86,IF(AND(($C86+$C$1)&gt;AP$3,AP$3&gt;=$C$1),'General Inputs'!N$10*$H86,0))</f>
        <v>0</v>
      </c>
      <c r="BL86" s="214">
        <f>IF(AND(($D86+$C$1)&gt;AQ$3,AQ$3&gt;=$C$1),'General Inputs'!O$10*$I86,IF(AND(($C86+$C$1)&gt;AQ$3,AQ$3&gt;=$C$1),'General Inputs'!O$10*$H86,0))</f>
        <v>0</v>
      </c>
      <c r="BM86" s="214">
        <f>IF(AND(($D86+$C$1)&gt;AR$3,AR$3&gt;=$C$1),'General Inputs'!P$10*$I86,IF(AND(($C86+$C$1)&gt;AR$3,AR$3&gt;=$C$1),'General Inputs'!P$10*$H86,0))</f>
        <v>0</v>
      </c>
      <c r="BN86" s="214">
        <f>IF(AND(($D86+$C$1)&gt;AS$3,AS$3&gt;=$C$1),'General Inputs'!Q$10*$I86,IF(AND(($C86+$C$1)&gt;AS$3,AS$3&gt;=$C$1),'General Inputs'!Q$10*$H86,0))</f>
        <v>0</v>
      </c>
      <c r="BO86" s="214">
        <f>IF(AND(($D86+$C$1)&gt;AT$3,AT$3&gt;=$C$1),'General Inputs'!R$10*$I86,IF(AND(($C86+$C$1)&gt;AT$3,AT$3&gt;=$C$1),'General Inputs'!R$10*$H86,0))</f>
        <v>0</v>
      </c>
      <c r="BP86" s="214">
        <f>IF(AND(($D86+$C$1)&gt;AU$3,AU$3&gt;=$C$1),'General Inputs'!S$10*$I86,IF(AND(($C86+$C$1)&gt;AU$3,AU$3&gt;=$C$1),'General Inputs'!S$10*$H86,0))</f>
        <v>0</v>
      </c>
      <c r="BQ86" s="214">
        <f>IF(AND(($D86+$C$1)&gt;AV$3,AV$3&gt;=$C$1),'General Inputs'!T$10*$I86,IF(AND(($C86+$C$1)&gt;AV$3,AV$3&gt;=$C$1),'General Inputs'!T$10*$H86,0))</f>
        <v>0</v>
      </c>
      <c r="BR86" s="214">
        <f>IF(AND(($D86+$C$1)&gt;AW$3,AW$3&gt;=$C$1),'General Inputs'!U$10*$I86,IF(AND(($C86+$C$1)&gt;AW$3,AW$3&gt;=$C$1),'General Inputs'!U$10*$H86,0))</f>
        <v>0</v>
      </c>
      <c r="BS86" s="214">
        <f>IF(AND(($D86+$C$1)&gt;AX$3,AX$3&gt;=$C$1),'General Inputs'!V$10*$I86,IF(AND(($C86+$C$1)&gt;AX$3,AX$3&gt;=$C$1),'General Inputs'!V$10*$H86,0))</f>
        <v>0</v>
      </c>
      <c r="BT86" s="214">
        <f>IF(AND(($D86+$C$1)&gt;AY$3,AY$3&gt;=$C$1),'General Inputs'!W$10*$I86,IF(AND(($C86+$C$1)&gt;AY$3,AY$3&gt;=$C$1),'General Inputs'!W$10*$H86,0))</f>
        <v>0</v>
      </c>
    </row>
    <row r="87" spans="1:72">
      <c r="A87" s="342" t="s">
        <v>112</v>
      </c>
      <c r="B87" s="427" t="str">
        <f>Sources!B87</f>
        <v>60≤155 W LED Fixtures (Exterior/Parking Garage)</v>
      </c>
      <c r="C87" s="193">
        <f>Sources!C87</f>
        <v>15</v>
      </c>
      <c r="D87" s="193">
        <f>Sources!D87</f>
        <v>0</v>
      </c>
      <c r="F87" s="429">
        <f>Sources!F87*EnergyLineLoss</f>
        <v>906.58054799999979</v>
      </c>
      <c r="G87" s="429">
        <f>Sources!G87*EnergyLineLoss</f>
        <v>0</v>
      </c>
      <c r="H87" s="477">
        <f>Sources!H87*PeakLineLoss</f>
        <v>0</v>
      </c>
      <c r="I87" s="477">
        <f>Sources!I87*PeakLineLoss</f>
        <v>0</v>
      </c>
      <c r="K87" s="419">
        <f>Sources!J87</f>
        <v>375</v>
      </c>
      <c r="L87" s="419">
        <f>Sources!K87</f>
        <v>0</v>
      </c>
      <c r="N87" s="438">
        <f t="shared" si="27"/>
        <v>0.92641877960445218</v>
      </c>
      <c r="P87" s="215">
        <f t="shared" si="28"/>
        <v>347.40704235166959</v>
      </c>
      <c r="Q87" s="215">
        <f t="shared" si="29"/>
        <v>0</v>
      </c>
      <c r="R87" s="215">
        <f t="shared" si="30"/>
        <v>375</v>
      </c>
      <c r="T87" s="214">
        <f t="shared" si="34"/>
        <v>375</v>
      </c>
      <c r="U87" s="214">
        <f t="shared" si="34"/>
        <v>0</v>
      </c>
      <c r="V87" s="214">
        <f t="shared" si="33"/>
        <v>0</v>
      </c>
      <c r="W87" s="214">
        <f t="shared" si="33"/>
        <v>0</v>
      </c>
      <c r="X87" s="214">
        <f t="shared" si="33"/>
        <v>0</v>
      </c>
      <c r="Y87" s="214">
        <f t="shared" si="33"/>
        <v>0</v>
      </c>
      <c r="Z87" s="214">
        <f t="shared" si="33"/>
        <v>0</v>
      </c>
      <c r="AA87" s="214">
        <f t="shared" si="33"/>
        <v>0</v>
      </c>
      <c r="AB87" s="214">
        <f t="shared" si="33"/>
        <v>0</v>
      </c>
      <c r="AC87" s="214">
        <f t="shared" si="33"/>
        <v>0</v>
      </c>
      <c r="AD87" s="214">
        <f t="shared" si="33"/>
        <v>0</v>
      </c>
      <c r="AF87" s="214">
        <f>IF(AND(($D87+$C$1)&gt;AF$3,AF$3&gt;=$C$1),'General Inputs'!D$9*$G87,IF(AND(($C87+$C$1)&gt;AF$3,AF$3&gt;=$C$1),'General Inputs'!D$9*$F87,0))</f>
        <v>36.093028864860088</v>
      </c>
      <c r="AG87" s="214">
        <f>IF(AND(($D87+$C$1)&gt;AG$3,AG$3&gt;=$C$1),'General Inputs'!E$9*$G87,IF(AND(($C87+$C$1)&gt;AG$3,AG$3&gt;=$C$1),'General Inputs'!E$9*$F87,0))</f>
        <v>36.634424297832986</v>
      </c>
      <c r="AH87" s="214">
        <f>IF(AND(($D87+$C$1)&gt;AH$3,AH$3&gt;=$C$1),'General Inputs'!F$9*$G87,IF(AND(($C87+$C$1)&gt;AH$3,AH$3&gt;=$C$1),'General Inputs'!F$9*$F87,0))</f>
        <v>37.183940662300479</v>
      </c>
      <c r="AI87" s="214">
        <f>IF(AND(($D87+$C$1)&gt;AI$3,AI$3&gt;=$C$1),'General Inputs'!G$9*$G87,IF(AND(($C87+$C$1)&gt;AI$3,AI$3&gt;=$C$1),'General Inputs'!G$9*$F87,0))</f>
        <v>37.741699772234981</v>
      </c>
      <c r="AJ87" s="214">
        <f>IF(AND(($D87+$C$1)&gt;AJ$3,AJ$3&gt;=$C$1),'General Inputs'!H$9*$G87,IF(AND(($C87+$C$1)&gt;AJ$3,AJ$3&gt;=$C$1),'General Inputs'!H$9*$F87,0))</f>
        <v>38.307825268818497</v>
      </c>
      <c r="AK87" s="214">
        <f>IF(AND(($D87+$C$1)&gt;AK$3,AK$3&gt;=$C$1),'General Inputs'!I$9*$G87,IF(AND(($C87+$C$1)&gt;AK$3,AK$3&gt;=$C$1),'General Inputs'!I$9*$F87,0))</f>
        <v>38.882442647850773</v>
      </c>
      <c r="AL87" s="214">
        <f>IF(AND(($D87+$C$1)&gt;AL$3,AL$3&gt;=$C$1),'General Inputs'!J$9*$G87,IF(AND(($C87+$C$1)&gt;AL$3,AL$3&gt;=$C$1),'General Inputs'!J$9*$F87,0))</f>
        <v>39.465679287568527</v>
      </c>
      <c r="AM87" s="214">
        <f>IF(AND(($D87+$C$1)&gt;AM$3,AM$3&gt;=$C$1),'General Inputs'!K$9*$G87,IF(AND(($C87+$C$1)&gt;AM$3,AM$3&gt;=$C$1),'General Inputs'!K$9*$F87,0))</f>
        <v>40.057664476882046</v>
      </c>
      <c r="AN87" s="214">
        <f>IF(AND(($D87+$C$1)&gt;AN$3,AN$3&gt;=$C$1),'General Inputs'!L$9*$G87,IF(AND(($C87+$C$1)&gt;AN$3,AN$3&gt;=$C$1),'General Inputs'!L$9*$F87,0))</f>
        <v>40.658529444035274</v>
      </c>
      <c r="AO87" s="214">
        <f>IF(AND(($D87+$C$1)&gt;AO$3,AO$3&gt;=$C$1),'General Inputs'!M$9*$G87,IF(AND(($C87+$C$1)&gt;AO$3,AO$3&gt;=$C$1),'General Inputs'!M$9*$F87,0))</f>
        <v>41.268407385695802</v>
      </c>
      <c r="AP87" s="214">
        <f>IF(AND(($D87+$C$1)&gt;AP$3,AP$3&gt;=$C$1),'General Inputs'!N$9*$G87,IF(AND(($C87+$C$1)&gt;AP$3,AP$3&gt;=$C$1),'General Inputs'!N$9*$F87,0))</f>
        <v>41.887433496481236</v>
      </c>
      <c r="AQ87" s="214">
        <f>IF(AND(($D87+$C$1)&gt;AQ$3,AQ$3&gt;=$C$1),'General Inputs'!O$9*$G87,IF(AND(($C87+$C$1)&gt;AQ$3,AQ$3&gt;=$C$1),'General Inputs'!O$9*$F87,0))</f>
        <v>42.515744998928447</v>
      </c>
      <c r="AR87" s="214">
        <f>IF(AND(($D87+$C$1)&gt;AR$3,AR$3&gt;=$C$1),'General Inputs'!P$9*$G87,IF(AND(($C87+$C$1)&gt;AR$3,AR$3&gt;=$C$1),'General Inputs'!P$9*$F87,0))</f>
        <v>43.153481173912368</v>
      </c>
      <c r="AS87" s="214">
        <f>IF(AND(($D87+$C$1)&gt;AS$3,AS$3&gt;=$C$1),'General Inputs'!Q$9*$G87,IF(AND(($C87+$C$1)&gt;AS$3,AS$3&gt;=$C$1),'General Inputs'!Q$9*$F87,0))</f>
        <v>43.800783391521051</v>
      </c>
      <c r="AT87" s="214">
        <f>IF(AND(($D87+$C$1)&gt;AT$3,AT$3&gt;=$C$1),'General Inputs'!R$9*$G87,IF(AND(($C87+$C$1)&gt;AT$3,AT$3&gt;=$C$1),'General Inputs'!R$9*$F87,0))</f>
        <v>44.457795142393863</v>
      </c>
      <c r="AU87" s="214">
        <f>IF(AND(($D87+$C$1)&gt;AU$3,AU$3&gt;=$C$1),'General Inputs'!S$9*$G87,IF(AND(($C87+$C$1)&gt;AU$3,AU$3&gt;=$C$1),'General Inputs'!S$9*$F87,0))</f>
        <v>0</v>
      </c>
      <c r="AV87" s="214">
        <f>IF(AND(($D87+$C$1)&gt;AV$3,AV$3&gt;=$C$1),'General Inputs'!T$9*$G87,IF(AND(($C87+$C$1)&gt;AV$3,AV$3&gt;=$C$1),'General Inputs'!T$9*$F87,0))</f>
        <v>0</v>
      </c>
      <c r="AW87" s="214">
        <f>IF(AND(($D87+$C$1)&gt;AW$3,AW$3&gt;=$C$1),'General Inputs'!U$9*$G87,IF(AND(($C87+$C$1)&gt;AW$3,AW$3&gt;=$C$1),'General Inputs'!U$9*$F87,0))</f>
        <v>0</v>
      </c>
      <c r="AX87" s="214">
        <f>IF(AND(($D87+$C$1)&gt;AX$3,AX$3&gt;=$C$1),'General Inputs'!V$9*$G87,IF(AND(($C87+$C$1)&gt;AX$3,AX$3&gt;=$C$1),'General Inputs'!V$9*$F87,0))</f>
        <v>0</v>
      </c>
      <c r="AY87" s="214">
        <f>IF(AND(($D87+$C$1)&gt;AY$3,AY$3&gt;=$C$1),'General Inputs'!W$9*$G87,IF(AND(($C87+$C$1)&gt;AY$3,AY$3&gt;=$C$1),'General Inputs'!W$9*$F87,0))</f>
        <v>0</v>
      </c>
      <c r="BA87" s="214">
        <f>IF(AND(($D87+$C$1)&gt;AF$3,AF$3&gt;=$C$1),'General Inputs'!D$10*$I87,IF(AND(($C87+$C$1)&gt;AF$3,AF$3&gt;=$C$1),'General Inputs'!D$10*$H87,0))</f>
        <v>0</v>
      </c>
      <c r="BB87" s="214">
        <f>IF(AND(($D87+$C$1)&gt;AG$3,AG$3&gt;=$C$1),'General Inputs'!E$10*$I87,IF(AND(($C87+$C$1)&gt;AG$3,AG$3&gt;=$C$1),'General Inputs'!E$10*$H87,0))</f>
        <v>0</v>
      </c>
      <c r="BC87" s="214">
        <f>IF(AND(($D87+$C$1)&gt;AH$3,AH$3&gt;=$C$1),'General Inputs'!F$10*$I87,IF(AND(($C87+$C$1)&gt;AH$3,AH$3&gt;=$C$1),'General Inputs'!F$10*$H87,0))</f>
        <v>0</v>
      </c>
      <c r="BD87" s="214">
        <f>IF(AND(($D87+$C$1)&gt;AI$3,AI$3&gt;=$C$1),'General Inputs'!G$10*$I87,IF(AND(($C87+$C$1)&gt;AI$3,AI$3&gt;=$C$1),'General Inputs'!G$10*$H87,0))</f>
        <v>0</v>
      </c>
      <c r="BE87" s="214">
        <f>IF(AND(($D87+$C$1)&gt;AJ$3,AJ$3&gt;=$C$1),'General Inputs'!H$10*$I87,IF(AND(($C87+$C$1)&gt;AJ$3,AJ$3&gt;=$C$1),'General Inputs'!H$10*$H87,0))</f>
        <v>0</v>
      </c>
      <c r="BF87" s="214">
        <f>IF(AND(($D87+$C$1)&gt;AK$3,AK$3&gt;=$C$1),'General Inputs'!I$10*$I87,IF(AND(($C87+$C$1)&gt;AK$3,AK$3&gt;=$C$1),'General Inputs'!I$10*$H87,0))</f>
        <v>0</v>
      </c>
      <c r="BG87" s="214">
        <f>IF(AND(($D87+$C$1)&gt;AL$3,AL$3&gt;=$C$1),'General Inputs'!J$10*$I87,IF(AND(($C87+$C$1)&gt;AL$3,AL$3&gt;=$C$1),'General Inputs'!J$10*$H87,0))</f>
        <v>0</v>
      </c>
      <c r="BH87" s="214">
        <f>IF(AND(($D87+$C$1)&gt;AM$3,AM$3&gt;=$C$1),'General Inputs'!K$10*$I87,IF(AND(($C87+$C$1)&gt;AM$3,AM$3&gt;=$C$1),'General Inputs'!K$10*$H87,0))</f>
        <v>0</v>
      </c>
      <c r="BI87" s="214">
        <f>IF(AND(($D87+$C$1)&gt;AN$3,AN$3&gt;=$C$1),'General Inputs'!L$10*$I87,IF(AND(($C87+$C$1)&gt;AN$3,AN$3&gt;=$C$1),'General Inputs'!L$10*$H87,0))</f>
        <v>0</v>
      </c>
      <c r="BJ87" s="214">
        <f>IF(AND(($D87+$C$1)&gt;AO$3,AO$3&gt;=$C$1),'General Inputs'!M$10*$I87,IF(AND(($C87+$C$1)&gt;AO$3,AO$3&gt;=$C$1),'General Inputs'!M$10*$H87,0))</f>
        <v>0</v>
      </c>
      <c r="BK87" s="214">
        <f>IF(AND(($D87+$C$1)&gt;AP$3,AP$3&gt;=$C$1),'General Inputs'!N$10*$I87,IF(AND(($C87+$C$1)&gt;AP$3,AP$3&gt;=$C$1),'General Inputs'!N$10*$H87,0))</f>
        <v>0</v>
      </c>
      <c r="BL87" s="214">
        <f>IF(AND(($D87+$C$1)&gt;AQ$3,AQ$3&gt;=$C$1),'General Inputs'!O$10*$I87,IF(AND(($C87+$C$1)&gt;AQ$3,AQ$3&gt;=$C$1),'General Inputs'!O$10*$H87,0))</f>
        <v>0</v>
      </c>
      <c r="BM87" s="214">
        <f>IF(AND(($D87+$C$1)&gt;AR$3,AR$3&gt;=$C$1),'General Inputs'!P$10*$I87,IF(AND(($C87+$C$1)&gt;AR$3,AR$3&gt;=$C$1),'General Inputs'!P$10*$H87,0))</f>
        <v>0</v>
      </c>
      <c r="BN87" s="214">
        <f>IF(AND(($D87+$C$1)&gt;AS$3,AS$3&gt;=$C$1),'General Inputs'!Q$10*$I87,IF(AND(($C87+$C$1)&gt;AS$3,AS$3&gt;=$C$1),'General Inputs'!Q$10*$H87,0))</f>
        <v>0</v>
      </c>
      <c r="BO87" s="214">
        <f>IF(AND(($D87+$C$1)&gt;AT$3,AT$3&gt;=$C$1),'General Inputs'!R$10*$I87,IF(AND(($C87+$C$1)&gt;AT$3,AT$3&gt;=$C$1),'General Inputs'!R$10*$H87,0))</f>
        <v>0</v>
      </c>
      <c r="BP87" s="214">
        <f>IF(AND(($D87+$C$1)&gt;AU$3,AU$3&gt;=$C$1),'General Inputs'!S$10*$I87,IF(AND(($C87+$C$1)&gt;AU$3,AU$3&gt;=$C$1),'General Inputs'!S$10*$H87,0))</f>
        <v>0</v>
      </c>
      <c r="BQ87" s="214">
        <f>IF(AND(($D87+$C$1)&gt;AV$3,AV$3&gt;=$C$1),'General Inputs'!T$10*$I87,IF(AND(($C87+$C$1)&gt;AV$3,AV$3&gt;=$C$1),'General Inputs'!T$10*$H87,0))</f>
        <v>0</v>
      </c>
      <c r="BR87" s="214">
        <f>IF(AND(($D87+$C$1)&gt;AW$3,AW$3&gt;=$C$1),'General Inputs'!U$10*$I87,IF(AND(($C87+$C$1)&gt;AW$3,AW$3&gt;=$C$1),'General Inputs'!U$10*$H87,0))</f>
        <v>0</v>
      </c>
      <c r="BS87" s="214">
        <f>IF(AND(($D87+$C$1)&gt;AX$3,AX$3&gt;=$C$1),'General Inputs'!V$10*$I87,IF(AND(($C87+$C$1)&gt;AX$3,AX$3&gt;=$C$1),'General Inputs'!V$10*$H87,0))</f>
        <v>0</v>
      </c>
      <c r="BT87" s="214">
        <f>IF(AND(($D87+$C$1)&gt;AY$3,AY$3&gt;=$C$1),'General Inputs'!W$10*$I87,IF(AND(($C87+$C$1)&gt;AY$3,AY$3&gt;=$C$1),'General Inputs'!W$10*$H87,0))</f>
        <v>0</v>
      </c>
    </row>
    <row r="88" spans="1:72">
      <c r="A88" s="342" t="s">
        <v>112</v>
      </c>
      <c r="B88" s="427" t="str">
        <f>Sources!B88</f>
        <v>CAC 65 - 135 kBtuh</v>
      </c>
      <c r="C88" s="193">
        <f>Sources!C88</f>
        <v>15</v>
      </c>
      <c r="D88" s="193">
        <f>Sources!D88</f>
        <v>0</v>
      </c>
      <c r="F88" s="429">
        <f>Sources!F88*EnergyLineLoss</f>
        <v>198.99711538461537</v>
      </c>
      <c r="G88" s="429">
        <f>Sources!G88*EnergyLineLoss</f>
        <v>0</v>
      </c>
      <c r="H88" s="477">
        <f>Sources!H88*PeakLineLoss</f>
        <v>0.30638173076923075</v>
      </c>
      <c r="I88" s="477">
        <f>Sources!I88*PeakLineLoss</f>
        <v>0</v>
      </c>
      <c r="K88" s="419">
        <f>Sources!J88</f>
        <v>700</v>
      </c>
      <c r="L88" s="419">
        <f>Sources!K88</f>
        <v>0</v>
      </c>
      <c r="N88" s="438">
        <f t="shared" ref="N88:N104" si="35">IF(R88&gt;0,(P88+Q88)/R88,"n/a")</f>
        <v>0.17202238396269581</v>
      </c>
      <c r="P88" s="215">
        <f t="shared" ref="P88:P104" si="36">AF88+NPV(DiscountRate,AG88:AY88)</f>
        <v>76.256874741904525</v>
      </c>
      <c r="Q88" s="215">
        <f t="shared" ref="Q88:Q104" si="37">BA88+NPV(DiscountRate,BB88:BT88)</f>
        <v>44.158794031982552</v>
      </c>
      <c r="R88" s="215">
        <f t="shared" ref="R88:R104" si="38">T88+NPV(DiscountRate,U88:AD88)</f>
        <v>700</v>
      </c>
      <c r="T88" s="214">
        <f t="shared" ref="T88:X104" si="39">IF($C$1=T$3,$K88,IF($D88+$C$1=T$3,-$L88,0))</f>
        <v>700</v>
      </c>
      <c r="U88" s="214">
        <f t="shared" si="39"/>
        <v>0</v>
      </c>
      <c r="V88" s="214">
        <f t="shared" si="39"/>
        <v>0</v>
      </c>
      <c r="W88" s="214">
        <f t="shared" si="39"/>
        <v>0</v>
      </c>
      <c r="X88" s="214">
        <f t="shared" si="39"/>
        <v>0</v>
      </c>
      <c r="Y88" s="214">
        <f t="shared" ref="Y88:AD104" si="40">IF($C$1=Y$3,$K88,IF($D88+$C$1=Y$3,-$L88,0))</f>
        <v>0</v>
      </c>
      <c r="Z88" s="214">
        <f t="shared" si="40"/>
        <v>0</v>
      </c>
      <c r="AA88" s="214">
        <f t="shared" si="40"/>
        <v>0</v>
      </c>
      <c r="AB88" s="214">
        <f t="shared" si="40"/>
        <v>0</v>
      </c>
      <c r="AC88" s="214">
        <f t="shared" si="40"/>
        <v>0</v>
      </c>
      <c r="AD88" s="214">
        <f t="shared" si="40"/>
        <v>0</v>
      </c>
      <c r="AF88" s="214">
        <f>IF(AND(($D88+$C$1)&gt;AF$3,AF$3&gt;=$C$1),'General Inputs'!D$9*$G88,IF(AND(($C88+$C$1)&gt;AF$3,AF$3&gt;=$C$1),'General Inputs'!D$9*$F88,0))</f>
        <v>7.9225267357058025</v>
      </c>
      <c r="AG88" s="214">
        <f>IF(AND(($D88+$C$1)&gt;AG$3,AG$3&gt;=$C$1),'General Inputs'!E$9*$G88,IF(AND(($C88+$C$1)&gt;AG$3,AG$3&gt;=$C$1),'General Inputs'!E$9*$F88,0))</f>
        <v>8.0413646367413882</v>
      </c>
      <c r="AH88" s="214">
        <f>IF(AND(($D88+$C$1)&gt;AH$3,AH$3&gt;=$C$1),'General Inputs'!F$9*$G88,IF(AND(($C88+$C$1)&gt;AH$3,AH$3&gt;=$C$1),'General Inputs'!F$9*$F88,0))</f>
        <v>8.1619851062925086</v>
      </c>
      <c r="AI88" s="214">
        <f>IF(AND(($D88+$C$1)&gt;AI$3,AI$3&gt;=$C$1),'General Inputs'!G$9*$G88,IF(AND(($C88+$C$1)&gt;AI$3,AI$3&gt;=$C$1),'General Inputs'!G$9*$F88,0))</f>
        <v>8.284414882886896</v>
      </c>
      <c r="AJ88" s="214">
        <f>IF(AND(($D88+$C$1)&gt;AJ$3,AJ$3&gt;=$C$1),'General Inputs'!H$9*$G88,IF(AND(($C88+$C$1)&gt;AJ$3,AJ$3&gt;=$C$1),'General Inputs'!H$9*$F88,0))</f>
        <v>8.4086811061301976</v>
      </c>
      <c r="AK88" s="214">
        <f>IF(AND(($D88+$C$1)&gt;AK$3,AK$3&gt;=$C$1),'General Inputs'!I$9*$G88,IF(AND(($C88+$C$1)&gt;AK$3,AK$3&gt;=$C$1),'General Inputs'!I$9*$F88,0))</f>
        <v>8.5348113227221489</v>
      </c>
      <c r="AL88" s="214">
        <f>IF(AND(($D88+$C$1)&gt;AL$3,AL$3&gt;=$C$1),'General Inputs'!J$9*$G88,IF(AND(($C88+$C$1)&gt;AL$3,AL$3&gt;=$C$1),'General Inputs'!J$9*$F88,0))</f>
        <v>8.6628334925629815</v>
      </c>
      <c r="AM88" s="214">
        <f>IF(AND(($D88+$C$1)&gt;AM$3,AM$3&gt;=$C$1),'General Inputs'!K$9*$G88,IF(AND(($C88+$C$1)&gt;AM$3,AM$3&gt;=$C$1),'General Inputs'!K$9*$F88,0))</f>
        <v>8.7927759949514233</v>
      </c>
      <c r="AN88" s="214">
        <f>IF(AND(($D88+$C$1)&gt;AN$3,AN$3&gt;=$C$1),'General Inputs'!L$9*$G88,IF(AND(($C88+$C$1)&gt;AN$3,AN$3&gt;=$C$1),'General Inputs'!L$9*$F88,0))</f>
        <v>8.9246676348756946</v>
      </c>
      <c r="AO88" s="214">
        <f>IF(AND(($D88+$C$1)&gt;AO$3,AO$3&gt;=$C$1),'General Inputs'!M$9*$G88,IF(AND(($C88+$C$1)&gt;AO$3,AO$3&gt;=$C$1),'General Inputs'!M$9*$F88,0))</f>
        <v>9.0585376493988292</v>
      </c>
      <c r="AP88" s="214">
        <f>IF(AND(($D88+$C$1)&gt;AP$3,AP$3&gt;=$C$1),'General Inputs'!N$9*$G88,IF(AND(($C88+$C$1)&gt;AP$3,AP$3&gt;=$C$1),'General Inputs'!N$9*$F88,0))</f>
        <v>9.1944157141398115</v>
      </c>
      <c r="AQ88" s="214">
        <f>IF(AND(($D88+$C$1)&gt;AQ$3,AQ$3&gt;=$C$1),'General Inputs'!O$9*$G88,IF(AND(($C88+$C$1)&gt;AQ$3,AQ$3&gt;=$C$1),'General Inputs'!O$9*$F88,0))</f>
        <v>9.3323319498519073</v>
      </c>
      <c r="AR88" s="214">
        <f>IF(AND(($D88+$C$1)&gt;AR$3,AR$3&gt;=$C$1),'General Inputs'!P$9*$G88,IF(AND(($C88+$C$1)&gt;AR$3,AR$3&gt;=$C$1),'General Inputs'!P$9*$F88,0))</f>
        <v>9.4723169290996836</v>
      </c>
      <c r="AS88" s="214">
        <f>IF(AND(($D88+$C$1)&gt;AS$3,AS$3&gt;=$C$1),'General Inputs'!Q$9*$G88,IF(AND(($C88+$C$1)&gt;AS$3,AS$3&gt;=$C$1),'General Inputs'!Q$9*$F88,0))</f>
        <v>9.6144016830361796</v>
      </c>
      <c r="AT88" s="214">
        <f>IF(AND(($D88+$C$1)&gt;AT$3,AT$3&gt;=$C$1),'General Inputs'!R$9*$G88,IF(AND(($C88+$C$1)&gt;AT$3,AT$3&gt;=$C$1),'General Inputs'!R$9*$F88,0))</f>
        <v>9.7586177082817205</v>
      </c>
      <c r="AU88" s="214">
        <f>IF(AND(($D88+$C$1)&gt;AU$3,AU$3&gt;=$C$1),'General Inputs'!S$9*$G88,IF(AND(($C88+$C$1)&gt;AU$3,AU$3&gt;=$C$1),'General Inputs'!S$9*$F88,0))</f>
        <v>0</v>
      </c>
      <c r="AV88" s="214">
        <f>IF(AND(($D88+$C$1)&gt;AV$3,AV$3&gt;=$C$1),'General Inputs'!T$9*$G88,IF(AND(($C88+$C$1)&gt;AV$3,AV$3&gt;=$C$1),'General Inputs'!T$9*$F88,0))</f>
        <v>0</v>
      </c>
      <c r="AW88" s="214">
        <f>IF(AND(($D88+$C$1)&gt;AW$3,AW$3&gt;=$C$1),'General Inputs'!U$9*$G88,IF(AND(($C88+$C$1)&gt;AW$3,AW$3&gt;=$C$1),'General Inputs'!U$9*$F88,0))</f>
        <v>0</v>
      </c>
      <c r="AX88" s="214">
        <f>IF(AND(($D88+$C$1)&gt;AX$3,AX$3&gt;=$C$1),'General Inputs'!V$9*$G88,IF(AND(($C88+$C$1)&gt;AX$3,AX$3&gt;=$C$1),'General Inputs'!V$9*$F88,0))</f>
        <v>0</v>
      </c>
      <c r="AY88" s="214">
        <f>IF(AND(($D88+$C$1)&gt;AY$3,AY$3&gt;=$C$1),'General Inputs'!W$9*$G88,IF(AND(($C88+$C$1)&gt;AY$3,AY$3&gt;=$C$1),'General Inputs'!W$9*$F88,0))</f>
        <v>0</v>
      </c>
      <c r="BA88" s="214">
        <f>IF(AND(($D88+$C$1)&gt;AF$3,AF$3&gt;=$C$1),'General Inputs'!D$10*$I88,IF(AND(($C88+$C$1)&gt;AF$3,AF$3&gt;=$C$1),'General Inputs'!D$10*$H88,0))</f>
        <v>4.5877729387545827</v>
      </c>
      <c r="BB88" s="214">
        <f>IF(AND(($D88+$C$1)&gt;AG$3,AG$3&gt;=$C$1),'General Inputs'!E$10*$I88,IF(AND(($C88+$C$1)&gt;AG$3,AG$3&gt;=$C$1),'General Inputs'!E$10*$H88,0))</f>
        <v>4.656589532835901</v>
      </c>
      <c r="BC88" s="214">
        <f>IF(AND(($D88+$C$1)&gt;AH$3,AH$3&gt;=$C$1),'General Inputs'!F$10*$I88,IF(AND(($C88+$C$1)&gt;AH$3,AH$3&gt;=$C$1),'General Inputs'!F$10*$H88,0))</f>
        <v>4.7264383758284394</v>
      </c>
      <c r="BD88" s="214">
        <f>IF(AND(($D88+$C$1)&gt;AI$3,AI$3&gt;=$C$1),'General Inputs'!G$10*$I88,IF(AND(($C88+$C$1)&gt;AI$3,AI$3&gt;=$C$1),'General Inputs'!G$10*$H88,0))</f>
        <v>4.7973349514658654</v>
      </c>
      <c r="BE88" s="214">
        <f>IF(AND(($D88+$C$1)&gt;AJ$3,AJ$3&gt;=$C$1),'General Inputs'!H$10*$I88,IF(AND(($C88+$C$1)&gt;AJ$3,AJ$3&gt;=$C$1),'General Inputs'!H$10*$H88,0))</f>
        <v>4.8692949757378532</v>
      </c>
      <c r="BF88" s="214">
        <f>IF(AND(($D88+$C$1)&gt;AK$3,AK$3&gt;=$C$1),'General Inputs'!I$10*$I88,IF(AND(($C88+$C$1)&gt;AK$3,AK$3&gt;=$C$1),'General Inputs'!I$10*$H88,0))</f>
        <v>4.9423344003739205</v>
      </c>
      <c r="BG88" s="214">
        <f>IF(AND(($D88+$C$1)&gt;AL$3,AL$3&gt;=$C$1),'General Inputs'!J$10*$I88,IF(AND(($C88+$C$1)&gt;AL$3,AL$3&gt;=$C$1),'General Inputs'!J$10*$H88,0))</f>
        <v>5.016469416379528</v>
      </c>
      <c r="BH88" s="214">
        <f>IF(AND(($D88+$C$1)&gt;AM$3,AM$3&gt;=$C$1),'General Inputs'!K$10*$I88,IF(AND(($C88+$C$1)&gt;AM$3,AM$3&gt;=$C$1),'General Inputs'!K$10*$H88,0))</f>
        <v>5.0917164576252212</v>
      </c>
      <c r="BI88" s="214">
        <f>IF(AND(($D88+$C$1)&gt;AN$3,AN$3&gt;=$C$1),'General Inputs'!L$10*$I88,IF(AND(($C88+$C$1)&gt;AN$3,AN$3&gt;=$C$1),'General Inputs'!L$10*$H88,0))</f>
        <v>5.1680922044895992</v>
      </c>
      <c r="BJ88" s="214">
        <f>IF(AND(($D88+$C$1)&gt;AO$3,AO$3&gt;=$C$1),'General Inputs'!M$10*$I88,IF(AND(($C88+$C$1)&gt;AO$3,AO$3&gt;=$C$1),'General Inputs'!M$10*$H88,0))</f>
        <v>5.2456135875569423</v>
      </c>
      <c r="BK88" s="214">
        <f>IF(AND(($D88+$C$1)&gt;AP$3,AP$3&gt;=$C$1),'General Inputs'!N$10*$I88,IF(AND(($C88+$C$1)&gt;AP$3,AP$3&gt;=$C$1),'General Inputs'!N$10*$H88,0))</f>
        <v>5.324297791370296</v>
      </c>
      <c r="BL88" s="214">
        <f>IF(AND(($D88+$C$1)&gt;AQ$3,AQ$3&gt;=$C$1),'General Inputs'!O$10*$I88,IF(AND(($C88+$C$1)&gt;AQ$3,AQ$3&gt;=$C$1),'General Inputs'!O$10*$H88,0))</f>
        <v>5.4041622582408495</v>
      </c>
      <c r="BM88" s="214">
        <f>IF(AND(($D88+$C$1)&gt;AR$3,AR$3&gt;=$C$1),'General Inputs'!P$10*$I88,IF(AND(($C88+$C$1)&gt;AR$3,AR$3&gt;=$C$1),'General Inputs'!P$10*$H88,0))</f>
        <v>5.4852246921144623</v>
      </c>
      <c r="BN88" s="214">
        <f>IF(AND(($D88+$C$1)&gt;AS$3,AS$3&gt;=$C$1),'General Inputs'!Q$10*$I88,IF(AND(($C88+$C$1)&gt;AS$3,AS$3&gt;=$C$1),'General Inputs'!Q$10*$H88,0))</f>
        <v>5.5675030624961783</v>
      </c>
      <c r="BO88" s="214">
        <f>IF(AND(($D88+$C$1)&gt;AT$3,AT$3&gt;=$C$1),'General Inputs'!R$10*$I88,IF(AND(($C88+$C$1)&gt;AT$3,AT$3&gt;=$C$1),'General Inputs'!R$10*$H88,0))</f>
        <v>5.6510156084336201</v>
      </c>
      <c r="BP88" s="214">
        <f>IF(AND(($D88+$C$1)&gt;AU$3,AU$3&gt;=$C$1),'General Inputs'!S$10*$I88,IF(AND(($C88+$C$1)&gt;AU$3,AU$3&gt;=$C$1),'General Inputs'!S$10*$H88,0))</f>
        <v>0</v>
      </c>
      <c r="BQ88" s="214">
        <f>IF(AND(($D88+$C$1)&gt;AV$3,AV$3&gt;=$C$1),'General Inputs'!T$10*$I88,IF(AND(($C88+$C$1)&gt;AV$3,AV$3&gt;=$C$1),'General Inputs'!T$10*$H88,0))</f>
        <v>0</v>
      </c>
      <c r="BR88" s="214">
        <f>IF(AND(($D88+$C$1)&gt;AW$3,AW$3&gt;=$C$1),'General Inputs'!U$10*$I88,IF(AND(($C88+$C$1)&gt;AW$3,AW$3&gt;=$C$1),'General Inputs'!U$10*$H88,0))</f>
        <v>0</v>
      </c>
      <c r="BS88" s="214">
        <f>IF(AND(($D88+$C$1)&gt;AX$3,AX$3&gt;=$C$1),'General Inputs'!V$10*$I88,IF(AND(($C88+$C$1)&gt;AX$3,AX$3&gt;=$C$1),'General Inputs'!V$10*$H88,0))</f>
        <v>0</v>
      </c>
      <c r="BT88" s="214">
        <f>IF(AND(($D88+$C$1)&gt;AY$3,AY$3&gt;=$C$1),'General Inputs'!W$10*$I88,IF(AND(($C88+$C$1)&gt;AY$3,AY$3&gt;=$C$1),'General Inputs'!W$10*$H88,0))</f>
        <v>0</v>
      </c>
    </row>
    <row r="89" spans="1:72">
      <c r="A89" s="342" t="s">
        <v>112</v>
      </c>
      <c r="B89" s="427" t="str">
        <f>Sources!B89</f>
        <v>CAC 135 - 240 kBtuh</v>
      </c>
      <c r="C89" s="193">
        <f>Sources!C89</f>
        <v>15</v>
      </c>
      <c r="D89" s="193">
        <f>Sources!D89</f>
        <v>0</v>
      </c>
      <c r="F89" s="429">
        <f>Sources!F89*EnergyLineLoss</f>
        <v>405.23048951048952</v>
      </c>
      <c r="G89" s="429">
        <f>Sources!G89*EnergyLineLoss</f>
        <v>0</v>
      </c>
      <c r="H89" s="477">
        <f>Sources!H89*PeakLineLoss</f>
        <v>0.6239046153846155</v>
      </c>
      <c r="I89" s="477">
        <f>Sources!I89*PeakLineLoss</f>
        <v>0</v>
      </c>
      <c r="K89" s="419">
        <f>Sources!J89</f>
        <v>1000</v>
      </c>
      <c r="L89" s="419">
        <f>Sources!K89</f>
        <v>0</v>
      </c>
      <c r="N89" s="438">
        <f t="shared" si="35"/>
        <v>0.24521008913955195</v>
      </c>
      <c r="P89" s="215">
        <f t="shared" si="36"/>
        <v>155.28672674715108</v>
      </c>
      <c r="Q89" s="215">
        <f t="shared" si="37"/>
        <v>89.923362392400847</v>
      </c>
      <c r="R89" s="215">
        <f t="shared" si="38"/>
        <v>1000</v>
      </c>
      <c r="T89" s="214">
        <f t="shared" si="39"/>
        <v>1000</v>
      </c>
      <c r="U89" s="214">
        <f t="shared" si="39"/>
        <v>0</v>
      </c>
      <c r="V89" s="214">
        <f t="shared" si="39"/>
        <v>0</v>
      </c>
      <c r="W89" s="214">
        <f t="shared" si="39"/>
        <v>0</v>
      </c>
      <c r="X89" s="214">
        <f t="shared" si="39"/>
        <v>0</v>
      </c>
      <c r="Y89" s="214">
        <f t="shared" si="40"/>
        <v>0</v>
      </c>
      <c r="Z89" s="214">
        <f t="shared" si="40"/>
        <v>0</v>
      </c>
      <c r="AA89" s="214">
        <f t="shared" si="40"/>
        <v>0</v>
      </c>
      <c r="AB89" s="214">
        <f t="shared" si="40"/>
        <v>0</v>
      </c>
      <c r="AC89" s="214">
        <f t="shared" si="40"/>
        <v>0</v>
      </c>
      <c r="AD89" s="214">
        <f t="shared" si="40"/>
        <v>0</v>
      </c>
      <c r="AF89" s="214">
        <f>IF(AND(($D89+$C$1)&gt;AF$3,AF$3&gt;=$C$1),'General Inputs'!D$9*$G89,IF(AND(($C89+$C$1)&gt;AF$3,AF$3&gt;=$C$1),'General Inputs'!D$9*$F89,0))</f>
        <v>16.133145352709999</v>
      </c>
      <c r="AG89" s="214">
        <f>IF(AND(($D89+$C$1)&gt;AG$3,AG$3&gt;=$C$1),'General Inputs'!E$9*$G89,IF(AND(($C89+$C$1)&gt;AG$3,AG$3&gt;=$C$1),'General Inputs'!E$9*$F89,0))</f>
        <v>16.375142533000648</v>
      </c>
      <c r="AH89" s="214">
        <f>IF(AND(($D89+$C$1)&gt;AH$3,AH$3&gt;=$C$1),'General Inputs'!F$9*$G89,IF(AND(($C89+$C$1)&gt;AH$3,AH$3&gt;=$C$1),'General Inputs'!F$9*$F89,0))</f>
        <v>16.620769670995656</v>
      </c>
      <c r="AI89" s="214">
        <f>IF(AND(($D89+$C$1)&gt;AI$3,AI$3&gt;=$C$1),'General Inputs'!G$9*$G89,IF(AND(($C89+$C$1)&gt;AI$3,AI$3&gt;=$C$1),'General Inputs'!G$9*$F89,0))</f>
        <v>16.870081216060591</v>
      </c>
      <c r="AJ89" s="214">
        <f>IF(AND(($D89+$C$1)&gt;AJ$3,AJ$3&gt;=$C$1),'General Inputs'!H$9*$G89,IF(AND(($C89+$C$1)&gt;AJ$3,AJ$3&gt;=$C$1),'General Inputs'!H$9*$F89,0))</f>
        <v>17.123132434301496</v>
      </c>
      <c r="AK89" s="214">
        <f>IF(AND(($D89+$C$1)&gt;AK$3,AK$3&gt;=$C$1),'General Inputs'!I$9*$G89,IF(AND(($C89+$C$1)&gt;AK$3,AK$3&gt;=$C$1),'General Inputs'!I$9*$F89,0))</f>
        <v>17.379979420816017</v>
      </c>
      <c r="AL89" s="214">
        <f>IF(AND(($D89+$C$1)&gt;AL$3,AL$3&gt;=$C$1),'General Inputs'!J$9*$G89,IF(AND(($C89+$C$1)&gt;AL$3,AL$3&gt;=$C$1),'General Inputs'!J$9*$F89,0))</f>
        <v>17.640679112128254</v>
      </c>
      <c r="AM89" s="214">
        <f>IF(AND(($D89+$C$1)&gt;AM$3,AM$3&gt;=$C$1),'General Inputs'!K$9*$G89,IF(AND(($C89+$C$1)&gt;AM$3,AM$3&gt;=$C$1),'General Inputs'!K$9*$F89,0))</f>
        <v>17.905289298810175</v>
      </c>
      <c r="AN89" s="214">
        <f>IF(AND(($D89+$C$1)&gt;AN$3,AN$3&gt;=$C$1),'General Inputs'!L$9*$G89,IF(AND(($C89+$C$1)&gt;AN$3,AN$3&gt;=$C$1),'General Inputs'!L$9*$F89,0))</f>
        <v>18.173868638292326</v>
      </c>
      <c r="AO89" s="214">
        <f>IF(AND(($D89+$C$1)&gt;AO$3,AO$3&gt;=$C$1),'General Inputs'!M$9*$G89,IF(AND(($C89+$C$1)&gt;AO$3,AO$3&gt;=$C$1),'General Inputs'!M$9*$F89,0))</f>
        <v>18.446476667866708</v>
      </c>
      <c r="AP89" s="214">
        <f>IF(AND(($D89+$C$1)&gt;AP$3,AP$3&gt;=$C$1),'General Inputs'!N$9*$G89,IF(AND(($C89+$C$1)&gt;AP$3,AP$3&gt;=$C$1),'General Inputs'!N$9*$F89,0))</f>
        <v>18.723173817884707</v>
      </c>
      <c r="AQ89" s="214">
        <f>IF(AND(($D89+$C$1)&gt;AQ$3,AQ$3&gt;=$C$1),'General Inputs'!O$9*$G89,IF(AND(($C89+$C$1)&gt;AQ$3,AQ$3&gt;=$C$1),'General Inputs'!O$9*$F89,0))</f>
        <v>19.004021425152974</v>
      </c>
      <c r="AR89" s="214">
        <f>IF(AND(($D89+$C$1)&gt;AR$3,AR$3&gt;=$C$1),'General Inputs'!P$9*$G89,IF(AND(($C89+$C$1)&gt;AR$3,AR$3&gt;=$C$1),'General Inputs'!P$9*$F89,0))</f>
        <v>19.289081746530268</v>
      </c>
      <c r="AS89" s="214">
        <f>IF(AND(($D89+$C$1)&gt;AS$3,AS$3&gt;=$C$1),'General Inputs'!Q$9*$G89,IF(AND(($C89+$C$1)&gt;AS$3,AS$3&gt;=$C$1),'General Inputs'!Q$9*$F89,0))</f>
        <v>19.578417972728221</v>
      </c>
      <c r="AT89" s="214">
        <f>IF(AND(($D89+$C$1)&gt;AT$3,AT$3&gt;=$C$1),'General Inputs'!R$9*$G89,IF(AND(($C89+$C$1)&gt;AT$3,AT$3&gt;=$C$1),'General Inputs'!R$9*$F89,0))</f>
        <v>19.872094242319143</v>
      </c>
      <c r="AU89" s="214">
        <f>IF(AND(($D89+$C$1)&gt;AU$3,AU$3&gt;=$C$1),'General Inputs'!S$9*$G89,IF(AND(($C89+$C$1)&gt;AU$3,AU$3&gt;=$C$1),'General Inputs'!S$9*$F89,0))</f>
        <v>0</v>
      </c>
      <c r="AV89" s="214">
        <f>IF(AND(($D89+$C$1)&gt;AV$3,AV$3&gt;=$C$1),'General Inputs'!T$9*$G89,IF(AND(($C89+$C$1)&gt;AV$3,AV$3&gt;=$C$1),'General Inputs'!T$9*$F89,0))</f>
        <v>0</v>
      </c>
      <c r="AW89" s="214">
        <f>IF(AND(($D89+$C$1)&gt;AW$3,AW$3&gt;=$C$1),'General Inputs'!U$9*$G89,IF(AND(($C89+$C$1)&gt;AW$3,AW$3&gt;=$C$1),'General Inputs'!U$9*$F89,0))</f>
        <v>0</v>
      </c>
      <c r="AX89" s="214">
        <f>IF(AND(($D89+$C$1)&gt;AX$3,AX$3&gt;=$C$1),'General Inputs'!V$9*$G89,IF(AND(($C89+$C$1)&gt;AX$3,AX$3&gt;=$C$1),'General Inputs'!V$9*$F89,0))</f>
        <v>0</v>
      </c>
      <c r="AY89" s="214">
        <f>IF(AND(($D89+$C$1)&gt;AY$3,AY$3&gt;=$C$1),'General Inputs'!W$9*$G89,IF(AND(($C89+$C$1)&gt;AY$3,AY$3&gt;=$C$1),'General Inputs'!W$9*$F89,0))</f>
        <v>0</v>
      </c>
      <c r="BA89" s="214">
        <f>IF(AND(($D89+$C$1)&gt;AF$3,AF$3&gt;=$C$1),'General Inputs'!D$10*$I89,IF(AND(($C89+$C$1)&gt;AF$3,AF$3&gt;=$C$1),'General Inputs'!D$10*$H89,0))</f>
        <v>9.342373984372971</v>
      </c>
      <c r="BB89" s="214">
        <f>IF(AND(($D89+$C$1)&gt;AG$3,AG$3&gt;=$C$1),'General Inputs'!E$10*$I89,IF(AND(($C89+$C$1)&gt;AG$3,AG$3&gt;=$C$1),'General Inputs'!E$10*$H89,0))</f>
        <v>9.4825095941385644</v>
      </c>
      <c r="BC89" s="214">
        <f>IF(AND(($D89+$C$1)&gt;AH$3,AH$3&gt;=$C$1),'General Inputs'!F$10*$I89,IF(AND(($C89+$C$1)&gt;AH$3,AH$3&gt;=$C$1),'General Inputs'!F$10*$H89,0))</f>
        <v>9.6247472380506434</v>
      </c>
      <c r="BD89" s="214">
        <f>IF(AND(($D89+$C$1)&gt;AI$3,AI$3&gt;=$C$1),'General Inputs'!G$10*$I89,IF(AND(($C89+$C$1)&gt;AI$3,AI$3&gt;=$C$1),'General Inputs'!G$10*$H89,0))</f>
        <v>9.7691184466214018</v>
      </c>
      <c r="BE89" s="214">
        <f>IF(AND(($D89+$C$1)&gt;AJ$3,AJ$3&gt;=$C$1),'General Inputs'!H$10*$I89,IF(AND(($C89+$C$1)&gt;AJ$3,AJ$3&gt;=$C$1),'General Inputs'!H$10*$H89,0))</f>
        <v>9.9156552233207211</v>
      </c>
      <c r="BF89" s="214">
        <f>IF(AND(($D89+$C$1)&gt;AK$3,AK$3&gt;=$C$1),'General Inputs'!I$10*$I89,IF(AND(($C89+$C$1)&gt;AK$3,AK$3&gt;=$C$1),'General Inputs'!I$10*$H89,0))</f>
        <v>10.06439005167053</v>
      </c>
      <c r="BG89" s="214">
        <f>IF(AND(($D89+$C$1)&gt;AL$3,AL$3&gt;=$C$1),'General Inputs'!J$10*$I89,IF(AND(($C89+$C$1)&gt;AL$3,AL$3&gt;=$C$1),'General Inputs'!J$10*$H89,0))</f>
        <v>10.215355902445587</v>
      </c>
      <c r="BH89" s="214">
        <f>IF(AND(($D89+$C$1)&gt;AM$3,AM$3&gt;=$C$1),'General Inputs'!K$10*$I89,IF(AND(($C89+$C$1)&gt;AM$3,AM$3&gt;=$C$1),'General Inputs'!K$10*$H89,0))</f>
        <v>10.368586240982271</v>
      </c>
      <c r="BI89" s="214">
        <f>IF(AND(($D89+$C$1)&gt;AN$3,AN$3&gt;=$C$1),'General Inputs'!L$10*$I89,IF(AND(($C89+$C$1)&gt;AN$3,AN$3&gt;=$C$1),'General Inputs'!L$10*$H89,0))</f>
        <v>10.524115034597004</v>
      </c>
      <c r="BJ89" s="214">
        <f>IF(AND(($D89+$C$1)&gt;AO$3,AO$3&gt;=$C$1),'General Inputs'!M$10*$I89,IF(AND(($C89+$C$1)&gt;AO$3,AO$3&gt;=$C$1),'General Inputs'!M$10*$H89,0))</f>
        <v>10.681976760115958</v>
      </c>
      <c r="BK89" s="214">
        <f>IF(AND(($D89+$C$1)&gt;AP$3,AP$3&gt;=$C$1),'General Inputs'!N$10*$I89,IF(AND(($C89+$C$1)&gt;AP$3,AP$3&gt;=$C$1),'General Inputs'!N$10*$H89,0))</f>
        <v>10.842206411517695</v>
      </c>
      <c r="BL89" s="214">
        <f>IF(AND(($D89+$C$1)&gt;AQ$3,AQ$3&gt;=$C$1),'General Inputs'!O$10*$I89,IF(AND(($C89+$C$1)&gt;AQ$3,AQ$3&gt;=$C$1),'General Inputs'!O$10*$H89,0))</f>
        <v>11.004839507690461</v>
      </c>
      <c r="BM89" s="214">
        <f>IF(AND(($D89+$C$1)&gt;AR$3,AR$3&gt;=$C$1),'General Inputs'!P$10*$I89,IF(AND(($C89+$C$1)&gt;AR$3,AR$3&gt;=$C$1),'General Inputs'!P$10*$H89,0))</f>
        <v>11.169912100305817</v>
      </c>
      <c r="BN89" s="214">
        <f>IF(AND(($D89+$C$1)&gt;AS$3,AS$3&gt;=$C$1),'General Inputs'!Q$10*$I89,IF(AND(($C89+$C$1)&gt;AS$3,AS$3&gt;=$C$1),'General Inputs'!Q$10*$H89,0))</f>
        <v>11.337460781810403</v>
      </c>
      <c r="BO89" s="214">
        <f>IF(AND(($D89+$C$1)&gt;AT$3,AT$3&gt;=$C$1),'General Inputs'!R$10*$I89,IF(AND(($C89+$C$1)&gt;AT$3,AT$3&gt;=$C$1),'General Inputs'!R$10*$H89,0))</f>
        <v>11.507522693537558</v>
      </c>
      <c r="BP89" s="214">
        <f>IF(AND(($D89+$C$1)&gt;AU$3,AU$3&gt;=$C$1),'General Inputs'!S$10*$I89,IF(AND(($C89+$C$1)&gt;AU$3,AU$3&gt;=$C$1),'General Inputs'!S$10*$H89,0))</f>
        <v>0</v>
      </c>
      <c r="BQ89" s="214">
        <f>IF(AND(($D89+$C$1)&gt;AV$3,AV$3&gt;=$C$1),'General Inputs'!T$10*$I89,IF(AND(($C89+$C$1)&gt;AV$3,AV$3&gt;=$C$1),'General Inputs'!T$10*$H89,0))</f>
        <v>0</v>
      </c>
      <c r="BR89" s="214">
        <f>IF(AND(($D89+$C$1)&gt;AW$3,AW$3&gt;=$C$1),'General Inputs'!U$10*$I89,IF(AND(($C89+$C$1)&gt;AW$3,AW$3&gt;=$C$1),'General Inputs'!U$10*$H89,0))</f>
        <v>0</v>
      </c>
      <c r="BS89" s="214">
        <f>IF(AND(($D89+$C$1)&gt;AX$3,AX$3&gt;=$C$1),'General Inputs'!V$10*$I89,IF(AND(($C89+$C$1)&gt;AX$3,AX$3&gt;=$C$1),'General Inputs'!V$10*$H89,0))</f>
        <v>0</v>
      </c>
      <c r="BT89" s="214">
        <f>IF(AND(($D89+$C$1)&gt;AY$3,AY$3&gt;=$C$1),'General Inputs'!W$10*$I89,IF(AND(($C89+$C$1)&gt;AY$3,AY$3&gt;=$C$1),'General Inputs'!W$10*$H89,0))</f>
        <v>0</v>
      </c>
    </row>
    <row r="90" spans="1:72">
      <c r="A90" s="342" t="s">
        <v>112</v>
      </c>
      <c r="B90" s="427" t="str">
        <f>Sources!B90</f>
        <v>CAC 240 - 760 kBtuh</v>
      </c>
      <c r="C90" s="193">
        <f>Sources!C90</f>
        <v>15</v>
      </c>
      <c r="D90" s="193">
        <f>Sources!D90</f>
        <v>0</v>
      </c>
      <c r="F90" s="429">
        <f>Sources!F90*EnergyLineLoss</f>
        <v>709.56685714285868</v>
      </c>
      <c r="G90" s="429">
        <f>Sources!G90*EnergyLineLoss</f>
        <v>0</v>
      </c>
      <c r="H90" s="477">
        <f>Sources!H90*PeakLineLoss</f>
        <v>1.0924697142857167</v>
      </c>
      <c r="I90" s="477">
        <f>Sources!I90*PeakLineLoss</f>
        <v>0</v>
      </c>
      <c r="K90" s="419">
        <f>Sources!J90</f>
        <v>2000</v>
      </c>
      <c r="L90" s="419">
        <f>Sources!K90</f>
        <v>0</v>
      </c>
      <c r="N90" s="438">
        <f t="shared" si="35"/>
        <v>0.21468393518544493</v>
      </c>
      <c r="P90" s="215">
        <f t="shared" si="36"/>
        <v>271.91022765113456</v>
      </c>
      <c r="Q90" s="215">
        <f t="shared" si="37"/>
        <v>157.45764271975531</v>
      </c>
      <c r="R90" s="215">
        <f t="shared" si="38"/>
        <v>2000</v>
      </c>
      <c r="T90" s="214">
        <f t="shared" si="39"/>
        <v>2000</v>
      </c>
      <c r="U90" s="214">
        <f t="shared" si="39"/>
        <v>0</v>
      </c>
      <c r="V90" s="214">
        <f t="shared" si="39"/>
        <v>0</v>
      </c>
      <c r="W90" s="214">
        <f t="shared" si="39"/>
        <v>0</v>
      </c>
      <c r="X90" s="214">
        <f t="shared" si="39"/>
        <v>0</v>
      </c>
      <c r="Y90" s="214">
        <f t="shared" si="40"/>
        <v>0</v>
      </c>
      <c r="Z90" s="214">
        <f t="shared" si="40"/>
        <v>0</v>
      </c>
      <c r="AA90" s="214">
        <f t="shared" si="40"/>
        <v>0</v>
      </c>
      <c r="AB90" s="214">
        <f t="shared" si="40"/>
        <v>0</v>
      </c>
      <c r="AC90" s="214">
        <f t="shared" si="40"/>
        <v>0</v>
      </c>
      <c r="AD90" s="214">
        <f t="shared" si="40"/>
        <v>0</v>
      </c>
      <c r="AF90" s="214">
        <f>IF(AND(($D90+$C$1)&gt;AF$3,AF$3&gt;=$C$1),'General Inputs'!D$9*$G90,IF(AND(($C90+$C$1)&gt;AF$3,AF$3&gt;=$C$1),'General Inputs'!D$9*$F90,0))</f>
        <v>28.249466760459612</v>
      </c>
      <c r="AG90" s="214">
        <f>IF(AND(($D90+$C$1)&gt;AG$3,AG$3&gt;=$C$1),'General Inputs'!E$9*$G90,IF(AND(($C90+$C$1)&gt;AG$3,AG$3&gt;=$C$1),'General Inputs'!E$9*$F90,0))</f>
        <v>28.673208761866501</v>
      </c>
      <c r="AH90" s="214">
        <f>IF(AND(($D90+$C$1)&gt;AH$3,AH$3&gt;=$C$1),'General Inputs'!F$9*$G90,IF(AND(($C90+$C$1)&gt;AH$3,AH$3&gt;=$C$1),'General Inputs'!F$9*$F90,0))</f>
        <v>29.103306893294498</v>
      </c>
      <c r="AI90" s="214">
        <f>IF(AND(($D90+$C$1)&gt;AI$3,AI$3&gt;=$C$1),'General Inputs'!G$9*$G90,IF(AND(($C90+$C$1)&gt;AI$3,AI$3&gt;=$C$1),'General Inputs'!G$9*$F90,0))</f>
        <v>29.539856496693911</v>
      </c>
      <c r="AJ90" s="214">
        <f>IF(AND(($D90+$C$1)&gt;AJ$3,AJ$3&gt;=$C$1),'General Inputs'!H$9*$G90,IF(AND(($C90+$C$1)&gt;AJ$3,AJ$3&gt;=$C$1),'General Inputs'!H$9*$F90,0))</f>
        <v>29.982954344144318</v>
      </c>
      <c r="AK90" s="214">
        <f>IF(AND(($D90+$C$1)&gt;AK$3,AK$3&gt;=$C$1),'General Inputs'!I$9*$G90,IF(AND(($C90+$C$1)&gt;AK$3,AK$3&gt;=$C$1),'General Inputs'!I$9*$F90,0))</f>
        <v>30.432698659306478</v>
      </c>
      <c r="AL90" s="214">
        <f>IF(AND(($D90+$C$1)&gt;AL$3,AL$3&gt;=$C$1),'General Inputs'!J$9*$G90,IF(AND(($C90+$C$1)&gt;AL$3,AL$3&gt;=$C$1),'General Inputs'!J$9*$F90,0))</f>
        <v>30.88918913919607</v>
      </c>
      <c r="AM90" s="214">
        <f>IF(AND(($D90+$C$1)&gt;AM$3,AM$3&gt;=$C$1),'General Inputs'!K$9*$G90,IF(AND(($C90+$C$1)&gt;AM$3,AM$3&gt;=$C$1),'General Inputs'!K$9*$F90,0))</f>
        <v>31.352526976284004</v>
      </c>
      <c r="AN90" s="214">
        <f>IF(AND(($D90+$C$1)&gt;AN$3,AN$3&gt;=$C$1),'General Inputs'!L$9*$G90,IF(AND(($C90+$C$1)&gt;AN$3,AN$3&gt;=$C$1),'General Inputs'!L$9*$F90,0))</f>
        <v>31.822814880928263</v>
      </c>
      <c r="AO90" s="214">
        <f>IF(AND(($D90+$C$1)&gt;AO$3,AO$3&gt;=$C$1),'General Inputs'!M$9*$G90,IF(AND(($C90+$C$1)&gt;AO$3,AO$3&gt;=$C$1),'General Inputs'!M$9*$F90,0))</f>
        <v>32.30015710414218</v>
      </c>
      <c r="AP90" s="214">
        <f>IF(AND(($D90+$C$1)&gt;AP$3,AP$3&gt;=$C$1),'General Inputs'!N$9*$G90,IF(AND(($C90+$C$1)&gt;AP$3,AP$3&gt;=$C$1),'General Inputs'!N$9*$F90,0))</f>
        <v>32.784659460704312</v>
      </c>
      <c r="AQ90" s="214">
        <f>IF(AND(($D90+$C$1)&gt;AQ$3,AQ$3&gt;=$C$1),'General Inputs'!O$9*$G90,IF(AND(($C90+$C$1)&gt;AQ$3,AQ$3&gt;=$C$1),'General Inputs'!O$9*$F90,0))</f>
        <v>33.276429352614876</v>
      </c>
      <c r="AR90" s="214">
        <f>IF(AND(($D90+$C$1)&gt;AR$3,AR$3&gt;=$C$1),'General Inputs'!P$9*$G90,IF(AND(($C90+$C$1)&gt;AR$3,AR$3&gt;=$C$1),'General Inputs'!P$9*$F90,0))</f>
        <v>33.775575792904093</v>
      </c>
      <c r="AS90" s="214">
        <f>IF(AND(($D90+$C$1)&gt;AS$3,AS$3&gt;=$C$1),'General Inputs'!Q$9*$G90,IF(AND(($C90+$C$1)&gt;AS$3,AS$3&gt;=$C$1),'General Inputs'!Q$9*$F90,0))</f>
        <v>34.282209429797653</v>
      </c>
      <c r="AT90" s="214">
        <f>IF(AND(($D90+$C$1)&gt;AT$3,AT$3&gt;=$C$1),'General Inputs'!R$9*$G90,IF(AND(($C90+$C$1)&gt;AT$3,AT$3&gt;=$C$1),'General Inputs'!R$9*$F90,0))</f>
        <v>34.796442571244611</v>
      </c>
      <c r="AU90" s="214">
        <f>IF(AND(($D90+$C$1)&gt;AU$3,AU$3&gt;=$C$1),'General Inputs'!S$9*$G90,IF(AND(($C90+$C$1)&gt;AU$3,AU$3&gt;=$C$1),'General Inputs'!S$9*$F90,0))</f>
        <v>0</v>
      </c>
      <c r="AV90" s="214">
        <f>IF(AND(($D90+$C$1)&gt;AV$3,AV$3&gt;=$C$1),'General Inputs'!T$9*$G90,IF(AND(($C90+$C$1)&gt;AV$3,AV$3&gt;=$C$1),'General Inputs'!T$9*$F90,0))</f>
        <v>0</v>
      </c>
      <c r="AW90" s="214">
        <f>IF(AND(($D90+$C$1)&gt;AW$3,AW$3&gt;=$C$1),'General Inputs'!U$9*$G90,IF(AND(($C90+$C$1)&gt;AW$3,AW$3&gt;=$C$1),'General Inputs'!U$9*$F90,0))</f>
        <v>0</v>
      </c>
      <c r="AX90" s="214">
        <f>IF(AND(($D90+$C$1)&gt;AX$3,AX$3&gt;=$C$1),'General Inputs'!V$9*$G90,IF(AND(($C90+$C$1)&gt;AX$3,AX$3&gt;=$C$1),'General Inputs'!V$9*$F90,0))</f>
        <v>0</v>
      </c>
      <c r="AY90" s="214">
        <f>IF(AND(($D90+$C$1)&gt;AY$3,AY$3&gt;=$C$1),'General Inputs'!W$9*$G90,IF(AND(($C90+$C$1)&gt;AY$3,AY$3&gt;=$C$1),'General Inputs'!W$9*$F90,0))</f>
        <v>0</v>
      </c>
      <c r="BA90" s="214">
        <f>IF(AND(($D90+$C$1)&gt;AF$3,AF$3&gt;=$C$1),'General Inputs'!D$10*$I90,IF(AND(($C90+$C$1)&gt;AF$3,AF$3&gt;=$C$1),'General Inputs'!D$10*$H90,0))</f>
        <v>16.358687507330664</v>
      </c>
      <c r="BB90" s="214">
        <f>IF(AND(($D90+$C$1)&gt;AG$3,AG$3&gt;=$C$1),'General Inputs'!E$10*$I90,IF(AND(($C90+$C$1)&gt;AG$3,AG$3&gt;=$C$1),'General Inputs'!E$10*$H90,0))</f>
        <v>16.604067819940621</v>
      </c>
      <c r="BC90" s="214">
        <f>IF(AND(($D90+$C$1)&gt;AH$3,AH$3&gt;=$C$1),'General Inputs'!F$10*$I90,IF(AND(($C90+$C$1)&gt;AH$3,AH$3&gt;=$C$1),'General Inputs'!F$10*$H90,0))</f>
        <v>16.85312883723973</v>
      </c>
      <c r="BD90" s="214">
        <f>IF(AND(($D90+$C$1)&gt;AI$3,AI$3&gt;=$C$1),'General Inputs'!G$10*$I90,IF(AND(($C90+$C$1)&gt;AI$3,AI$3&gt;=$C$1),'General Inputs'!G$10*$H90,0))</f>
        <v>17.105925769798326</v>
      </c>
      <c r="BE90" s="214">
        <f>IF(AND(($D90+$C$1)&gt;AJ$3,AJ$3&gt;=$C$1),'General Inputs'!H$10*$I90,IF(AND(($C90+$C$1)&gt;AJ$3,AJ$3&gt;=$C$1),'General Inputs'!H$10*$H90,0))</f>
        <v>17.362514656345297</v>
      </c>
      <c r="BF90" s="214">
        <f>IF(AND(($D90+$C$1)&gt;AK$3,AK$3&gt;=$C$1),'General Inputs'!I$10*$I90,IF(AND(($C90+$C$1)&gt;AK$3,AK$3&gt;=$C$1),'General Inputs'!I$10*$H90,0))</f>
        <v>17.622952376190476</v>
      </c>
      <c r="BG90" s="214">
        <f>IF(AND(($D90+$C$1)&gt;AL$3,AL$3&gt;=$C$1),'General Inputs'!J$10*$I90,IF(AND(($C90+$C$1)&gt;AL$3,AL$3&gt;=$C$1),'General Inputs'!J$10*$H90,0))</f>
        <v>17.887296661833329</v>
      </c>
      <c r="BH90" s="214">
        <f>IF(AND(($D90+$C$1)&gt;AM$3,AM$3&gt;=$C$1),'General Inputs'!K$10*$I90,IF(AND(($C90+$C$1)&gt;AM$3,AM$3&gt;=$C$1),'General Inputs'!K$10*$H90,0))</f>
        <v>18.155606111760829</v>
      </c>
      <c r="BI90" s="214">
        <f>IF(AND(($D90+$C$1)&gt;AN$3,AN$3&gt;=$C$1),'General Inputs'!L$10*$I90,IF(AND(($C90+$C$1)&gt;AN$3,AN$3&gt;=$C$1),'General Inputs'!L$10*$H90,0))</f>
        <v>18.427940203437238</v>
      </c>
      <c r="BJ90" s="214">
        <f>IF(AND(($D90+$C$1)&gt;AO$3,AO$3&gt;=$C$1),'General Inputs'!M$10*$I90,IF(AND(($C90+$C$1)&gt;AO$3,AO$3&gt;=$C$1),'General Inputs'!M$10*$H90,0))</f>
        <v>18.704359306488797</v>
      </c>
      <c r="BK90" s="214">
        <f>IF(AND(($D90+$C$1)&gt;AP$3,AP$3&gt;=$C$1),'General Inputs'!N$10*$I90,IF(AND(($C90+$C$1)&gt;AP$3,AP$3&gt;=$C$1),'General Inputs'!N$10*$H90,0))</f>
        <v>18.984924696086129</v>
      </c>
      <c r="BL90" s="214">
        <f>IF(AND(($D90+$C$1)&gt;AQ$3,AQ$3&gt;=$C$1),'General Inputs'!O$10*$I90,IF(AND(($C90+$C$1)&gt;AQ$3,AQ$3&gt;=$C$1),'General Inputs'!O$10*$H90,0))</f>
        <v>19.269698566527417</v>
      </c>
      <c r="BM90" s="214">
        <f>IF(AND(($D90+$C$1)&gt;AR$3,AR$3&gt;=$C$1),'General Inputs'!P$10*$I90,IF(AND(($C90+$C$1)&gt;AR$3,AR$3&gt;=$C$1),'General Inputs'!P$10*$H90,0))</f>
        <v>19.558744045025328</v>
      </c>
      <c r="BN90" s="214">
        <f>IF(AND(($D90+$C$1)&gt;AS$3,AS$3&gt;=$C$1),'General Inputs'!Q$10*$I90,IF(AND(($C90+$C$1)&gt;AS$3,AS$3&gt;=$C$1),'General Inputs'!Q$10*$H90,0))</f>
        <v>19.852125205700705</v>
      </c>
      <c r="BO90" s="214">
        <f>IF(AND(($D90+$C$1)&gt;AT$3,AT$3&gt;=$C$1),'General Inputs'!R$10*$I90,IF(AND(($C90+$C$1)&gt;AT$3,AT$3&gt;=$C$1),'General Inputs'!R$10*$H90,0))</f>
        <v>20.149907083786214</v>
      </c>
      <c r="BP90" s="214">
        <f>IF(AND(($D90+$C$1)&gt;AU$3,AU$3&gt;=$C$1),'General Inputs'!S$10*$I90,IF(AND(($C90+$C$1)&gt;AU$3,AU$3&gt;=$C$1),'General Inputs'!S$10*$H90,0))</f>
        <v>0</v>
      </c>
      <c r="BQ90" s="214">
        <f>IF(AND(($D90+$C$1)&gt;AV$3,AV$3&gt;=$C$1),'General Inputs'!T$10*$I90,IF(AND(($C90+$C$1)&gt;AV$3,AV$3&gt;=$C$1),'General Inputs'!T$10*$H90,0))</f>
        <v>0</v>
      </c>
      <c r="BR90" s="214">
        <f>IF(AND(($D90+$C$1)&gt;AW$3,AW$3&gt;=$C$1),'General Inputs'!U$10*$I90,IF(AND(($C90+$C$1)&gt;AW$3,AW$3&gt;=$C$1),'General Inputs'!U$10*$H90,0))</f>
        <v>0</v>
      </c>
      <c r="BS90" s="214">
        <f>IF(AND(($D90+$C$1)&gt;AX$3,AX$3&gt;=$C$1),'General Inputs'!V$10*$I90,IF(AND(($C90+$C$1)&gt;AX$3,AX$3&gt;=$C$1),'General Inputs'!V$10*$H90,0))</f>
        <v>0</v>
      </c>
      <c r="BT90" s="214">
        <f>IF(AND(($D90+$C$1)&gt;AY$3,AY$3&gt;=$C$1),'General Inputs'!W$10*$I90,IF(AND(($C90+$C$1)&gt;AY$3,AY$3&gt;=$C$1),'General Inputs'!W$10*$H90,0))</f>
        <v>0</v>
      </c>
    </row>
    <row r="91" spans="1:72">
      <c r="A91" s="342" t="s">
        <v>112</v>
      </c>
      <c r="B91" s="427" t="str">
        <f>Sources!B91</f>
        <v>CAC &gt;760 kBtuh</v>
      </c>
      <c r="C91" s="193">
        <f>Sources!C91</f>
        <v>15</v>
      </c>
      <c r="D91" s="193">
        <f>Sources!D91</f>
        <v>0</v>
      </c>
      <c r="F91" s="429">
        <f>Sources!F91*EnergyLineLoss</f>
        <v>982.73864417370055</v>
      </c>
      <c r="G91" s="429">
        <f>Sources!G91*EnergyLineLoss</f>
        <v>0</v>
      </c>
      <c r="H91" s="477">
        <f>Sources!H91*PeakLineLoss</f>
        <v>1.5130529209622066</v>
      </c>
      <c r="I91" s="477">
        <f>Sources!I91*PeakLineLoss</f>
        <v>0</v>
      </c>
      <c r="K91" s="419">
        <f>Sources!J91</f>
        <v>6333.333333333333</v>
      </c>
      <c r="L91" s="419">
        <f>Sources!K91</f>
        <v>0</v>
      </c>
      <c r="N91" s="438">
        <f t="shared" si="35"/>
        <v>9.3894879493790592E-2</v>
      </c>
      <c r="P91" s="215">
        <f t="shared" si="36"/>
        <v>376.59127645111937</v>
      </c>
      <c r="Q91" s="215">
        <f t="shared" si="37"/>
        <v>218.07629367622101</v>
      </c>
      <c r="R91" s="215">
        <f t="shared" si="38"/>
        <v>6333.333333333333</v>
      </c>
      <c r="T91" s="214">
        <f t="shared" si="39"/>
        <v>6333.333333333333</v>
      </c>
      <c r="U91" s="214">
        <f t="shared" si="39"/>
        <v>0</v>
      </c>
      <c r="V91" s="214">
        <f t="shared" si="39"/>
        <v>0</v>
      </c>
      <c r="W91" s="214">
        <f t="shared" si="39"/>
        <v>0</v>
      </c>
      <c r="X91" s="214">
        <f t="shared" si="39"/>
        <v>0</v>
      </c>
      <c r="Y91" s="214">
        <f t="shared" si="40"/>
        <v>0</v>
      </c>
      <c r="Z91" s="214">
        <f t="shared" si="40"/>
        <v>0</v>
      </c>
      <c r="AA91" s="214">
        <f t="shared" si="40"/>
        <v>0</v>
      </c>
      <c r="AB91" s="214">
        <f t="shared" si="40"/>
        <v>0</v>
      </c>
      <c r="AC91" s="214">
        <f t="shared" si="40"/>
        <v>0</v>
      </c>
      <c r="AD91" s="214">
        <f t="shared" si="40"/>
        <v>0</v>
      </c>
      <c r="AF91" s="214">
        <f>IF(AND(($D91+$C$1)&gt;AF$3,AF$3&gt;=$C$1),'General Inputs'!D$9*$G91,IF(AND(($C91+$C$1)&gt;AF$3,AF$3&gt;=$C$1),'General Inputs'!D$9*$F91,0))</f>
        <v>39.125055494544817</v>
      </c>
      <c r="AG91" s="214">
        <f>IF(AND(($D91+$C$1)&gt;AG$3,AG$3&gt;=$C$1),'General Inputs'!E$9*$G91,IF(AND(($C91+$C$1)&gt;AG$3,AG$3&gt;=$C$1),'General Inputs'!E$9*$F91,0))</f>
        <v>39.711931326962983</v>
      </c>
      <c r="AH91" s="214">
        <f>IF(AND(($D91+$C$1)&gt;AH$3,AH$3&gt;=$C$1),'General Inputs'!F$9*$G91,IF(AND(($C91+$C$1)&gt;AH$3,AH$3&gt;=$C$1),'General Inputs'!F$9*$F91,0))</f>
        <v>40.307610296867423</v>
      </c>
      <c r="AI91" s="214">
        <f>IF(AND(($D91+$C$1)&gt;AI$3,AI$3&gt;=$C$1),'General Inputs'!G$9*$G91,IF(AND(($C91+$C$1)&gt;AI$3,AI$3&gt;=$C$1),'General Inputs'!G$9*$F91,0))</f>
        <v>40.912224451320434</v>
      </c>
      <c r="AJ91" s="214">
        <f>IF(AND(($D91+$C$1)&gt;AJ$3,AJ$3&gt;=$C$1),'General Inputs'!H$9*$G91,IF(AND(($C91+$C$1)&gt;AJ$3,AJ$3&gt;=$C$1),'General Inputs'!H$9*$F91,0))</f>
        <v>41.525907818090232</v>
      </c>
      <c r="AK91" s="214">
        <f>IF(AND(($D91+$C$1)&gt;AK$3,AK$3&gt;=$C$1),'General Inputs'!I$9*$G91,IF(AND(($C91+$C$1)&gt;AK$3,AK$3&gt;=$C$1),'General Inputs'!I$9*$F91,0))</f>
        <v>42.148796435361582</v>
      </c>
      <c r="AL91" s="214">
        <f>IF(AND(($D91+$C$1)&gt;AL$3,AL$3&gt;=$C$1),'General Inputs'!J$9*$G91,IF(AND(($C91+$C$1)&gt;AL$3,AL$3&gt;=$C$1),'General Inputs'!J$9*$F91,0))</f>
        <v>42.781028381892</v>
      </c>
      <c r="AM91" s="214">
        <f>IF(AND(($D91+$C$1)&gt;AM$3,AM$3&gt;=$C$1),'General Inputs'!K$9*$G91,IF(AND(($C91+$C$1)&gt;AM$3,AM$3&gt;=$C$1),'General Inputs'!K$9*$F91,0))</f>
        <v>43.422743807620371</v>
      </c>
      <c r="AN91" s="214">
        <f>IF(AND(($D91+$C$1)&gt;AN$3,AN$3&gt;=$C$1),'General Inputs'!L$9*$G91,IF(AND(($C91+$C$1)&gt;AN$3,AN$3&gt;=$C$1),'General Inputs'!L$9*$F91,0))</f>
        <v>44.074084964734674</v>
      </c>
      <c r="AO91" s="214">
        <f>IF(AND(($D91+$C$1)&gt;AO$3,AO$3&gt;=$C$1),'General Inputs'!M$9*$G91,IF(AND(($C91+$C$1)&gt;AO$3,AO$3&gt;=$C$1),'General Inputs'!M$9*$F91,0))</f>
        <v>44.735196239205685</v>
      </c>
      <c r="AP91" s="214">
        <f>IF(AND(($D91+$C$1)&gt;AP$3,AP$3&gt;=$C$1),'General Inputs'!N$9*$G91,IF(AND(($C91+$C$1)&gt;AP$3,AP$3&gt;=$C$1),'General Inputs'!N$9*$F91,0))</f>
        <v>45.406224182793771</v>
      </c>
      <c r="AQ91" s="214">
        <f>IF(AND(($D91+$C$1)&gt;AQ$3,AQ$3&gt;=$C$1),'General Inputs'!O$9*$G91,IF(AND(($C91+$C$1)&gt;AQ$3,AQ$3&gt;=$C$1),'General Inputs'!O$9*$F91,0))</f>
        <v>46.087317545535669</v>
      </c>
      <c r="AR91" s="214">
        <f>IF(AND(($D91+$C$1)&gt;AR$3,AR$3&gt;=$C$1),'General Inputs'!P$9*$G91,IF(AND(($C91+$C$1)&gt;AR$3,AR$3&gt;=$C$1),'General Inputs'!P$9*$F91,0))</f>
        <v>46.778627308718697</v>
      </c>
      <c r="AS91" s="214">
        <f>IF(AND(($D91+$C$1)&gt;AS$3,AS$3&gt;=$C$1),'General Inputs'!Q$9*$G91,IF(AND(($C91+$C$1)&gt;AS$3,AS$3&gt;=$C$1),'General Inputs'!Q$9*$F91,0))</f>
        <v>47.480306718349475</v>
      </c>
      <c r="AT91" s="214">
        <f>IF(AND(($D91+$C$1)&gt;AT$3,AT$3&gt;=$C$1),'General Inputs'!R$9*$G91,IF(AND(($C91+$C$1)&gt;AT$3,AT$3&gt;=$C$1),'General Inputs'!R$9*$F91,0))</f>
        <v>48.192511319124719</v>
      </c>
      <c r="AU91" s="214">
        <f>IF(AND(($D91+$C$1)&gt;AU$3,AU$3&gt;=$C$1),'General Inputs'!S$9*$G91,IF(AND(($C91+$C$1)&gt;AU$3,AU$3&gt;=$C$1),'General Inputs'!S$9*$F91,0))</f>
        <v>0</v>
      </c>
      <c r="AV91" s="214">
        <f>IF(AND(($D91+$C$1)&gt;AV$3,AV$3&gt;=$C$1),'General Inputs'!T$9*$G91,IF(AND(($C91+$C$1)&gt;AV$3,AV$3&gt;=$C$1),'General Inputs'!T$9*$F91,0))</f>
        <v>0</v>
      </c>
      <c r="AW91" s="214">
        <f>IF(AND(($D91+$C$1)&gt;AW$3,AW$3&gt;=$C$1),'General Inputs'!U$9*$G91,IF(AND(($C91+$C$1)&gt;AW$3,AW$3&gt;=$C$1),'General Inputs'!U$9*$F91,0))</f>
        <v>0</v>
      </c>
      <c r="AX91" s="214">
        <f>IF(AND(($D91+$C$1)&gt;AX$3,AX$3&gt;=$C$1),'General Inputs'!V$9*$G91,IF(AND(($C91+$C$1)&gt;AX$3,AX$3&gt;=$C$1),'General Inputs'!V$9*$F91,0))</f>
        <v>0</v>
      </c>
      <c r="AY91" s="214">
        <f>IF(AND(($D91+$C$1)&gt;AY$3,AY$3&gt;=$C$1),'General Inputs'!W$9*$G91,IF(AND(($C91+$C$1)&gt;AY$3,AY$3&gt;=$C$1),'General Inputs'!W$9*$F91,0))</f>
        <v>0</v>
      </c>
      <c r="BA91" s="214">
        <f>IF(AND(($D91+$C$1)&gt;AF$3,AF$3&gt;=$C$1),'General Inputs'!D$10*$I91,IF(AND(($C91+$C$1)&gt;AF$3,AF$3&gt;=$C$1),'General Inputs'!D$10*$H91,0))</f>
        <v>22.656518155524147</v>
      </c>
      <c r="BB91" s="214">
        <f>IF(AND(($D91+$C$1)&gt;AG$3,AG$3&gt;=$C$1),'General Inputs'!E$10*$I91,IF(AND(($C91+$C$1)&gt;AG$3,AG$3&gt;=$C$1),'General Inputs'!E$10*$H91,0))</f>
        <v>22.996365927857006</v>
      </c>
      <c r="BC91" s="214">
        <f>IF(AND(($D91+$C$1)&gt;AH$3,AH$3&gt;=$C$1),'General Inputs'!F$10*$I91,IF(AND(($C91+$C$1)&gt;AH$3,AH$3&gt;=$C$1),'General Inputs'!F$10*$H91,0))</f>
        <v>23.341311416774861</v>
      </c>
      <c r="BD91" s="214">
        <f>IF(AND(($D91+$C$1)&gt;AI$3,AI$3&gt;=$C$1),'General Inputs'!G$10*$I91,IF(AND(($C91+$C$1)&gt;AI$3,AI$3&gt;=$C$1),'General Inputs'!G$10*$H91,0))</f>
        <v>23.691431088026484</v>
      </c>
      <c r="BE91" s="214">
        <f>IF(AND(($D91+$C$1)&gt;AJ$3,AJ$3&gt;=$C$1),'General Inputs'!H$10*$I91,IF(AND(($C91+$C$1)&gt;AJ$3,AJ$3&gt;=$C$1),'General Inputs'!H$10*$H91,0))</f>
        <v>24.046802554346879</v>
      </c>
      <c r="BF91" s="214">
        <f>IF(AND(($D91+$C$1)&gt;AK$3,AK$3&gt;=$C$1),'General Inputs'!I$10*$I91,IF(AND(($C91+$C$1)&gt;AK$3,AK$3&gt;=$C$1),'General Inputs'!I$10*$H91,0))</f>
        <v>24.407504592662075</v>
      </c>
      <c r="BG91" s="214">
        <f>IF(AND(($D91+$C$1)&gt;AL$3,AL$3&gt;=$C$1),'General Inputs'!J$10*$I91,IF(AND(($C91+$C$1)&gt;AL$3,AL$3&gt;=$C$1),'General Inputs'!J$10*$H91,0))</f>
        <v>24.773617161552004</v>
      </c>
      <c r="BH91" s="214">
        <f>IF(AND(($D91+$C$1)&gt;AM$3,AM$3&gt;=$C$1),'General Inputs'!K$10*$I91,IF(AND(($C91+$C$1)&gt;AM$3,AM$3&gt;=$C$1),'General Inputs'!K$10*$H91,0))</f>
        <v>25.145221418975282</v>
      </c>
      <c r="BI91" s="214">
        <f>IF(AND(($D91+$C$1)&gt;AN$3,AN$3&gt;=$C$1),'General Inputs'!L$10*$I91,IF(AND(($C91+$C$1)&gt;AN$3,AN$3&gt;=$C$1),'General Inputs'!L$10*$H91,0))</f>
        <v>25.52239974025991</v>
      </c>
      <c r="BJ91" s="214">
        <f>IF(AND(($D91+$C$1)&gt;AO$3,AO$3&gt;=$C$1),'General Inputs'!M$10*$I91,IF(AND(($C91+$C$1)&gt;AO$3,AO$3&gt;=$C$1),'General Inputs'!M$10*$H91,0))</f>
        <v>25.90523573636381</v>
      </c>
      <c r="BK91" s="214">
        <f>IF(AND(($D91+$C$1)&gt;AP$3,AP$3&gt;=$C$1),'General Inputs'!N$10*$I91,IF(AND(($C91+$C$1)&gt;AP$3,AP$3&gt;=$C$1),'General Inputs'!N$10*$H91,0))</f>
        <v>26.293814272409261</v>
      </c>
      <c r="BL91" s="214">
        <f>IF(AND(($D91+$C$1)&gt;AQ$3,AQ$3&gt;=$C$1),'General Inputs'!O$10*$I91,IF(AND(($C91+$C$1)&gt;AQ$3,AQ$3&gt;=$C$1),'General Inputs'!O$10*$H91,0))</f>
        <v>26.688221486495397</v>
      </c>
      <c r="BM91" s="214">
        <f>IF(AND(($D91+$C$1)&gt;AR$3,AR$3&gt;=$C$1),'General Inputs'!P$10*$I91,IF(AND(($C91+$C$1)&gt;AR$3,AR$3&gt;=$C$1),'General Inputs'!P$10*$H91,0))</f>
        <v>27.088544808792829</v>
      </c>
      <c r="BN91" s="214">
        <f>IF(AND(($D91+$C$1)&gt;AS$3,AS$3&gt;=$C$1),'General Inputs'!Q$10*$I91,IF(AND(($C91+$C$1)&gt;AS$3,AS$3&gt;=$C$1),'General Inputs'!Q$10*$H91,0))</f>
        <v>27.494872980924718</v>
      </c>
      <c r="BO91" s="214">
        <f>IF(AND(($D91+$C$1)&gt;AT$3,AT$3&gt;=$C$1),'General Inputs'!R$10*$I91,IF(AND(($C91+$C$1)&gt;AT$3,AT$3&gt;=$C$1),'General Inputs'!R$10*$H91,0))</f>
        <v>27.907296075638584</v>
      </c>
      <c r="BP91" s="214">
        <f>IF(AND(($D91+$C$1)&gt;AU$3,AU$3&gt;=$C$1),'General Inputs'!S$10*$I91,IF(AND(($C91+$C$1)&gt;AU$3,AU$3&gt;=$C$1),'General Inputs'!S$10*$H91,0))</f>
        <v>0</v>
      </c>
      <c r="BQ91" s="214">
        <f>IF(AND(($D91+$C$1)&gt;AV$3,AV$3&gt;=$C$1),'General Inputs'!T$10*$I91,IF(AND(($C91+$C$1)&gt;AV$3,AV$3&gt;=$C$1),'General Inputs'!T$10*$H91,0))</f>
        <v>0</v>
      </c>
      <c r="BR91" s="214">
        <f>IF(AND(($D91+$C$1)&gt;AW$3,AW$3&gt;=$C$1),'General Inputs'!U$10*$I91,IF(AND(($C91+$C$1)&gt;AW$3,AW$3&gt;=$C$1),'General Inputs'!U$10*$H91,0))</f>
        <v>0</v>
      </c>
      <c r="BS91" s="214">
        <f>IF(AND(($D91+$C$1)&gt;AX$3,AX$3&gt;=$C$1),'General Inputs'!V$10*$I91,IF(AND(($C91+$C$1)&gt;AX$3,AX$3&gt;=$C$1),'General Inputs'!V$10*$H91,0))</f>
        <v>0</v>
      </c>
      <c r="BT91" s="214">
        <f>IF(AND(($D91+$C$1)&gt;AY$3,AY$3&gt;=$C$1),'General Inputs'!W$10*$I91,IF(AND(($C91+$C$1)&gt;AY$3,AY$3&gt;=$C$1),'General Inputs'!W$10*$H91,0))</f>
        <v>0</v>
      </c>
    </row>
    <row r="92" spans="1:72">
      <c r="A92" s="342" t="s">
        <v>112</v>
      </c>
      <c r="B92" s="427" t="str">
        <f>Sources!B92</f>
        <v>Split Package Heat Pump</v>
      </c>
      <c r="C92" s="193">
        <f>Sources!C92</f>
        <v>15</v>
      </c>
      <c r="D92" s="193">
        <f>Sources!D92</f>
        <v>0</v>
      </c>
      <c r="F92" s="429">
        <f>Sources!F92*EnergyLineLoss</f>
        <v>2073.6377357936167</v>
      </c>
      <c r="G92" s="429">
        <f>Sources!G92*EnergyLineLoss</f>
        <v>0</v>
      </c>
      <c r="H92" s="477">
        <f>Sources!H92*PeakLineLoss</f>
        <v>0.31513549450549494</v>
      </c>
      <c r="I92" s="477">
        <f>Sources!I92*PeakLineLoss</f>
        <v>0</v>
      </c>
      <c r="K92" s="419">
        <f>Sources!J92</f>
        <v>370</v>
      </c>
      <c r="L92" s="419">
        <f>Sources!K92</f>
        <v>0</v>
      </c>
      <c r="N92" s="438">
        <f t="shared" si="35"/>
        <v>2.2704074369096414</v>
      </c>
      <c r="P92" s="215">
        <f t="shared" si="36"/>
        <v>794.63027779509957</v>
      </c>
      <c r="Q92" s="215">
        <f t="shared" si="37"/>
        <v>45.42047386146784</v>
      </c>
      <c r="R92" s="215">
        <f t="shared" si="38"/>
        <v>370</v>
      </c>
      <c r="T92" s="214">
        <f t="shared" si="39"/>
        <v>370</v>
      </c>
      <c r="U92" s="214">
        <f t="shared" si="39"/>
        <v>0</v>
      </c>
      <c r="V92" s="214">
        <f t="shared" si="39"/>
        <v>0</v>
      </c>
      <c r="W92" s="214">
        <f t="shared" si="39"/>
        <v>0</v>
      </c>
      <c r="X92" s="214">
        <f t="shared" si="39"/>
        <v>0</v>
      </c>
      <c r="Y92" s="214">
        <f t="shared" si="40"/>
        <v>0</v>
      </c>
      <c r="Z92" s="214">
        <f t="shared" si="40"/>
        <v>0</v>
      </c>
      <c r="AA92" s="214">
        <f t="shared" si="40"/>
        <v>0</v>
      </c>
      <c r="AB92" s="214">
        <f t="shared" si="40"/>
        <v>0</v>
      </c>
      <c r="AC92" s="214">
        <f t="shared" si="40"/>
        <v>0</v>
      </c>
      <c r="AD92" s="214">
        <f t="shared" si="40"/>
        <v>0</v>
      </c>
      <c r="AF92" s="214">
        <f>IF(AND(($D92+$C$1)&gt;AF$3,AF$3&gt;=$C$1),'General Inputs'!D$9*$G92,IF(AND(($C92+$C$1)&gt;AF$3,AF$3&gt;=$C$1),'General Inputs'!D$9*$F92,0))</f>
        <v>82.556223843953617</v>
      </c>
      <c r="AG92" s="214">
        <f>IF(AND(($D92+$C$1)&gt;AG$3,AG$3&gt;=$C$1),'General Inputs'!E$9*$G92,IF(AND(($C92+$C$1)&gt;AG$3,AG$3&gt;=$C$1),'General Inputs'!E$9*$F92,0))</f>
        <v>83.794567201612921</v>
      </c>
      <c r="AH92" s="214">
        <f>IF(AND(($D92+$C$1)&gt;AH$3,AH$3&gt;=$C$1),'General Inputs'!F$9*$G92,IF(AND(($C92+$C$1)&gt;AH$3,AH$3&gt;=$C$1),'General Inputs'!F$9*$F92,0))</f>
        <v>85.051485709637106</v>
      </c>
      <c r="AI92" s="214">
        <f>IF(AND(($D92+$C$1)&gt;AI$3,AI$3&gt;=$C$1),'General Inputs'!G$9*$G92,IF(AND(($C92+$C$1)&gt;AI$3,AI$3&gt;=$C$1),'General Inputs'!G$9*$F92,0))</f>
        <v>86.327257995281656</v>
      </c>
      <c r="AJ92" s="214">
        <f>IF(AND(($D92+$C$1)&gt;AJ$3,AJ$3&gt;=$C$1),'General Inputs'!H$9*$G92,IF(AND(($C92+$C$1)&gt;AJ$3,AJ$3&gt;=$C$1),'General Inputs'!H$9*$F92,0))</f>
        <v>87.622166865210858</v>
      </c>
      <c r="AK92" s="214">
        <f>IF(AND(($D92+$C$1)&gt;AK$3,AK$3&gt;=$C$1),'General Inputs'!I$9*$G92,IF(AND(($C92+$C$1)&gt;AK$3,AK$3&gt;=$C$1),'General Inputs'!I$9*$F92,0))</f>
        <v>88.936499368189018</v>
      </c>
      <c r="AL92" s="214">
        <f>IF(AND(($D92+$C$1)&gt;AL$3,AL$3&gt;=$C$1),'General Inputs'!J$9*$G92,IF(AND(($C92+$C$1)&gt;AL$3,AL$3&gt;=$C$1),'General Inputs'!J$9*$F92,0))</f>
        <v>90.270546858711839</v>
      </c>
      <c r="AM92" s="214">
        <f>IF(AND(($D92+$C$1)&gt;AM$3,AM$3&gt;=$C$1),'General Inputs'!K$9*$G92,IF(AND(($C92+$C$1)&gt;AM$3,AM$3&gt;=$C$1),'General Inputs'!K$9*$F92,0))</f>
        <v>91.624605061592504</v>
      </c>
      <c r="AN92" s="214">
        <f>IF(AND(($D92+$C$1)&gt;AN$3,AN$3&gt;=$C$1),'General Inputs'!L$9*$G92,IF(AND(($C92+$C$1)&gt;AN$3,AN$3&gt;=$C$1),'General Inputs'!L$9*$F92,0))</f>
        <v>92.998974137516385</v>
      </c>
      <c r="AO92" s="214">
        <f>IF(AND(($D92+$C$1)&gt;AO$3,AO$3&gt;=$C$1),'General Inputs'!M$9*$G92,IF(AND(($C92+$C$1)&gt;AO$3,AO$3&gt;=$C$1),'General Inputs'!M$9*$F92,0))</f>
        <v>94.393958749579113</v>
      </c>
      <c r="AP92" s="214">
        <f>IF(AND(($D92+$C$1)&gt;AP$3,AP$3&gt;=$C$1),'General Inputs'!N$9*$G92,IF(AND(($C92+$C$1)&gt;AP$3,AP$3&gt;=$C$1),'General Inputs'!N$9*$F92,0))</f>
        <v>95.809868130822792</v>
      </c>
      <c r="AQ92" s="214">
        <f>IF(AND(($D92+$C$1)&gt;AQ$3,AQ$3&gt;=$C$1),'General Inputs'!O$9*$G92,IF(AND(($C92+$C$1)&gt;AQ$3,AQ$3&gt;=$C$1),'General Inputs'!O$9*$F92,0))</f>
        <v>97.247016152785122</v>
      </c>
      <c r="AR92" s="214">
        <f>IF(AND(($D92+$C$1)&gt;AR$3,AR$3&gt;=$C$1),'General Inputs'!P$9*$G92,IF(AND(($C92+$C$1)&gt;AR$3,AR$3&gt;=$C$1),'General Inputs'!P$9*$F92,0))</f>
        <v>98.705721395076893</v>
      </c>
      <c r="AS92" s="214">
        <f>IF(AND(($D92+$C$1)&gt;AS$3,AS$3&gt;=$C$1),'General Inputs'!Q$9*$G92,IF(AND(($C92+$C$1)&gt;AS$3,AS$3&gt;=$C$1),'General Inputs'!Q$9*$F92,0))</f>
        <v>100.18630721600303</v>
      </c>
      <c r="AT92" s="214">
        <f>IF(AND(($D92+$C$1)&gt;AT$3,AT$3&gt;=$C$1),'General Inputs'!R$9*$G92,IF(AND(($C92+$C$1)&gt;AT$3,AT$3&gt;=$C$1),'General Inputs'!R$9*$F92,0))</f>
        <v>101.68910182424308</v>
      </c>
      <c r="AU92" s="214">
        <f>IF(AND(($D92+$C$1)&gt;AU$3,AU$3&gt;=$C$1),'General Inputs'!S$9*$G92,IF(AND(($C92+$C$1)&gt;AU$3,AU$3&gt;=$C$1),'General Inputs'!S$9*$F92,0))</f>
        <v>0</v>
      </c>
      <c r="AV92" s="214">
        <f>IF(AND(($D92+$C$1)&gt;AV$3,AV$3&gt;=$C$1),'General Inputs'!T$9*$G92,IF(AND(($C92+$C$1)&gt;AV$3,AV$3&gt;=$C$1),'General Inputs'!T$9*$F92,0))</f>
        <v>0</v>
      </c>
      <c r="AW92" s="214">
        <f>IF(AND(($D92+$C$1)&gt;AW$3,AW$3&gt;=$C$1),'General Inputs'!U$9*$G92,IF(AND(($C92+$C$1)&gt;AW$3,AW$3&gt;=$C$1),'General Inputs'!U$9*$F92,0))</f>
        <v>0</v>
      </c>
      <c r="AX92" s="214">
        <f>IF(AND(($D92+$C$1)&gt;AX$3,AX$3&gt;=$C$1),'General Inputs'!V$9*$G92,IF(AND(($C92+$C$1)&gt;AX$3,AX$3&gt;=$C$1),'General Inputs'!V$9*$F92,0))</f>
        <v>0</v>
      </c>
      <c r="AY92" s="214">
        <f>IF(AND(($D92+$C$1)&gt;AY$3,AY$3&gt;=$C$1),'General Inputs'!W$9*$G92,IF(AND(($C92+$C$1)&gt;AY$3,AY$3&gt;=$C$1),'General Inputs'!W$9*$F92,0))</f>
        <v>0</v>
      </c>
      <c r="BA92" s="214">
        <f>IF(AND(($D92+$C$1)&gt;AF$3,AF$3&gt;=$C$1),'General Inputs'!D$10*$I92,IF(AND(($C92+$C$1)&gt;AF$3,AF$3&gt;=$C$1),'General Inputs'!D$10*$H92,0))</f>
        <v>4.7188521655761493</v>
      </c>
      <c r="BB92" s="214">
        <f>IF(AND(($D92+$C$1)&gt;AG$3,AG$3&gt;=$C$1),'General Inputs'!E$10*$I92,IF(AND(($C92+$C$1)&gt;AG$3,AG$3&gt;=$C$1),'General Inputs'!E$10*$H92,0))</f>
        <v>4.7896349480597911</v>
      </c>
      <c r="BC92" s="214">
        <f>IF(AND(($D92+$C$1)&gt;AH$3,AH$3&gt;=$C$1),'General Inputs'!F$10*$I92,IF(AND(($C92+$C$1)&gt;AH$3,AH$3&gt;=$C$1),'General Inputs'!F$10*$H92,0))</f>
        <v>4.8614794722806876</v>
      </c>
      <c r="BD92" s="214">
        <f>IF(AND(($D92+$C$1)&gt;AI$3,AI$3&gt;=$C$1),'General Inputs'!G$10*$I92,IF(AND(($C92+$C$1)&gt;AI$3,AI$3&gt;=$C$1),'General Inputs'!G$10*$H92,0))</f>
        <v>4.9344016643648976</v>
      </c>
      <c r="BE92" s="214">
        <f>IF(AND(($D92+$C$1)&gt;AJ$3,AJ$3&gt;=$C$1),'General Inputs'!H$10*$I92,IF(AND(($C92+$C$1)&gt;AJ$3,AJ$3&gt;=$C$1),'General Inputs'!H$10*$H92,0))</f>
        <v>5.0084176893303702</v>
      </c>
      <c r="BF92" s="214">
        <f>IF(AND(($D92+$C$1)&gt;AK$3,AK$3&gt;=$C$1),'General Inputs'!I$10*$I92,IF(AND(($C92+$C$1)&gt;AK$3,AK$3&gt;=$C$1),'General Inputs'!I$10*$H92,0))</f>
        <v>5.0835439546703247</v>
      </c>
      <c r="BG92" s="214">
        <f>IF(AND(($D92+$C$1)&gt;AL$3,AL$3&gt;=$C$1),'General Inputs'!J$10*$I92,IF(AND(($C92+$C$1)&gt;AL$3,AL$3&gt;=$C$1),'General Inputs'!J$10*$H92,0))</f>
        <v>5.1597971139903791</v>
      </c>
      <c r="BH92" s="214">
        <f>IF(AND(($D92+$C$1)&gt;AM$3,AM$3&gt;=$C$1),'General Inputs'!K$10*$I92,IF(AND(($C92+$C$1)&gt;AM$3,AM$3&gt;=$C$1),'General Inputs'!K$10*$H92,0))</f>
        <v>5.2371940707002347</v>
      </c>
      <c r="BI92" s="214">
        <f>IF(AND(($D92+$C$1)&gt;AN$3,AN$3&gt;=$C$1),'General Inputs'!L$10*$I92,IF(AND(($C92+$C$1)&gt;AN$3,AN$3&gt;=$C$1),'General Inputs'!L$10*$H92,0))</f>
        <v>5.3157519817607382</v>
      </c>
      <c r="BJ92" s="214">
        <f>IF(AND(($D92+$C$1)&gt;AO$3,AO$3&gt;=$C$1),'General Inputs'!M$10*$I92,IF(AND(($C92+$C$1)&gt;AO$3,AO$3&gt;=$C$1),'General Inputs'!M$10*$H92,0))</f>
        <v>5.3954882614871487</v>
      </c>
      <c r="BK92" s="214">
        <f>IF(AND(($D92+$C$1)&gt;AP$3,AP$3&gt;=$C$1),'General Inputs'!N$10*$I92,IF(AND(($C92+$C$1)&gt;AP$3,AP$3&gt;=$C$1),'General Inputs'!N$10*$H92,0))</f>
        <v>5.4764205854094552</v>
      </c>
      <c r="BL92" s="214">
        <f>IF(AND(($D92+$C$1)&gt;AQ$3,AQ$3&gt;=$C$1),'General Inputs'!O$10*$I92,IF(AND(($C92+$C$1)&gt;AQ$3,AQ$3&gt;=$C$1),'General Inputs'!O$10*$H92,0))</f>
        <v>5.5585668941905961</v>
      </c>
      <c r="BM92" s="214">
        <f>IF(AND(($D92+$C$1)&gt;AR$3,AR$3&gt;=$C$1),'General Inputs'!P$10*$I92,IF(AND(($C92+$C$1)&gt;AR$3,AR$3&gt;=$C$1),'General Inputs'!P$10*$H92,0))</f>
        <v>5.6419453976034548</v>
      </c>
      <c r="BN92" s="214">
        <f>IF(AND(($D92+$C$1)&gt;AS$3,AS$3&gt;=$C$1),'General Inputs'!Q$10*$I92,IF(AND(($C92+$C$1)&gt;AS$3,AS$3&gt;=$C$1),'General Inputs'!Q$10*$H92,0))</f>
        <v>5.7265745785675062</v>
      </c>
      <c r="BO92" s="214">
        <f>IF(AND(($D92+$C$1)&gt;AT$3,AT$3&gt;=$C$1),'General Inputs'!R$10*$I92,IF(AND(($C92+$C$1)&gt;AT$3,AT$3&gt;=$C$1),'General Inputs'!R$10*$H92,0))</f>
        <v>5.8124731972460175</v>
      </c>
      <c r="BP92" s="214">
        <f>IF(AND(($D92+$C$1)&gt;AU$3,AU$3&gt;=$C$1),'General Inputs'!S$10*$I92,IF(AND(($C92+$C$1)&gt;AU$3,AU$3&gt;=$C$1),'General Inputs'!S$10*$H92,0))</f>
        <v>0</v>
      </c>
      <c r="BQ92" s="214">
        <f>IF(AND(($D92+$C$1)&gt;AV$3,AV$3&gt;=$C$1),'General Inputs'!T$10*$I92,IF(AND(($C92+$C$1)&gt;AV$3,AV$3&gt;=$C$1),'General Inputs'!T$10*$H92,0))</f>
        <v>0</v>
      </c>
      <c r="BR92" s="214">
        <f>IF(AND(($D92+$C$1)&gt;AW$3,AW$3&gt;=$C$1),'General Inputs'!U$10*$I92,IF(AND(($C92+$C$1)&gt;AW$3,AW$3&gt;=$C$1),'General Inputs'!U$10*$H92,0))</f>
        <v>0</v>
      </c>
      <c r="BS92" s="214">
        <f>IF(AND(($D92+$C$1)&gt;AX$3,AX$3&gt;=$C$1),'General Inputs'!V$10*$I92,IF(AND(($C92+$C$1)&gt;AX$3,AX$3&gt;=$C$1),'General Inputs'!V$10*$H92,0))</f>
        <v>0</v>
      </c>
      <c r="BT92" s="214">
        <f>IF(AND(($D92+$C$1)&gt;AY$3,AY$3&gt;=$C$1),'General Inputs'!W$10*$I92,IF(AND(($C92+$C$1)&gt;AY$3,AY$3&gt;=$C$1),'General Inputs'!W$10*$H92,0))</f>
        <v>0</v>
      </c>
    </row>
    <row r="93" spans="1:72">
      <c r="A93" s="342" t="s">
        <v>112</v>
      </c>
      <c r="B93" s="427" t="str">
        <f>Sources!B93</f>
        <v>Single System Heat Pump</v>
      </c>
      <c r="C93" s="193">
        <f>Sources!C93</f>
        <v>15</v>
      </c>
      <c r="D93" s="193">
        <f>Sources!D93</f>
        <v>0</v>
      </c>
      <c r="F93" s="429">
        <f>Sources!F93*EnergyLineLoss</f>
        <v>949.34450049949885</v>
      </c>
      <c r="G93" s="429">
        <f>Sources!G93*EnergyLineLoss</f>
        <v>0</v>
      </c>
      <c r="H93" s="477">
        <f>Sources!H93*PeakLineLoss</f>
        <v>0.31513549450549494</v>
      </c>
      <c r="I93" s="477">
        <f>Sources!I93*PeakLineLoss</f>
        <v>0</v>
      </c>
      <c r="K93" s="419">
        <f>Sources!J93</f>
        <v>370</v>
      </c>
      <c r="L93" s="419">
        <f>Sources!K93</f>
        <v>0</v>
      </c>
      <c r="N93" s="438">
        <f t="shared" si="35"/>
        <v>1.1059862605865023</v>
      </c>
      <c r="P93" s="215">
        <f t="shared" si="36"/>
        <v>363.79444255553801</v>
      </c>
      <c r="Q93" s="215">
        <f t="shared" si="37"/>
        <v>45.42047386146784</v>
      </c>
      <c r="R93" s="215">
        <f t="shared" si="38"/>
        <v>370</v>
      </c>
      <c r="T93" s="214">
        <f t="shared" si="39"/>
        <v>370</v>
      </c>
      <c r="U93" s="214">
        <f t="shared" si="39"/>
        <v>0</v>
      </c>
      <c r="V93" s="214">
        <f t="shared" si="39"/>
        <v>0</v>
      </c>
      <c r="W93" s="214">
        <f t="shared" si="39"/>
        <v>0</v>
      </c>
      <c r="X93" s="214">
        <f t="shared" si="39"/>
        <v>0</v>
      </c>
      <c r="Y93" s="214">
        <f t="shared" si="40"/>
        <v>0</v>
      </c>
      <c r="Z93" s="214">
        <f t="shared" si="40"/>
        <v>0</v>
      </c>
      <c r="AA93" s="214">
        <f t="shared" si="40"/>
        <v>0</v>
      </c>
      <c r="AB93" s="214">
        <f t="shared" si="40"/>
        <v>0</v>
      </c>
      <c r="AC93" s="214">
        <f t="shared" si="40"/>
        <v>0</v>
      </c>
      <c r="AD93" s="214">
        <f t="shared" si="40"/>
        <v>0</v>
      </c>
      <c r="AF93" s="214">
        <f>IF(AND(($D93+$C$1)&gt;AF$3,AF$3&gt;=$C$1),'General Inputs'!D$9*$G93,IF(AND(($C93+$C$1)&gt;AF$3,AF$3&gt;=$C$1),'General Inputs'!D$9*$F93,0))</f>
        <v>37.795558855543192</v>
      </c>
      <c r="AG93" s="214">
        <f>IF(AND(($D93+$C$1)&gt;AG$3,AG$3&gt;=$C$1),'General Inputs'!E$9*$G93,IF(AND(($C93+$C$1)&gt;AG$3,AG$3&gt;=$C$1),'General Inputs'!E$9*$F93,0))</f>
        <v>38.36249223837634</v>
      </c>
      <c r="AH93" s="214">
        <f>IF(AND(($D93+$C$1)&gt;AH$3,AH$3&gt;=$C$1),'General Inputs'!F$9*$G93,IF(AND(($C93+$C$1)&gt;AH$3,AH$3&gt;=$C$1),'General Inputs'!F$9*$F93,0))</f>
        <v>38.93792962195198</v>
      </c>
      <c r="AI93" s="214">
        <f>IF(AND(($D93+$C$1)&gt;AI$3,AI$3&gt;=$C$1),'General Inputs'!G$9*$G93,IF(AND(($C93+$C$1)&gt;AI$3,AI$3&gt;=$C$1),'General Inputs'!G$9*$F93,0))</f>
        <v>39.521998566281255</v>
      </c>
      <c r="AJ93" s="214">
        <f>IF(AND(($D93+$C$1)&gt;AJ$3,AJ$3&gt;=$C$1),'General Inputs'!H$9*$G93,IF(AND(($C93+$C$1)&gt;AJ$3,AJ$3&gt;=$C$1),'General Inputs'!H$9*$F93,0))</f>
        <v>40.11482854477547</v>
      </c>
      <c r="AK93" s="214">
        <f>IF(AND(($D93+$C$1)&gt;AK$3,AK$3&gt;=$C$1),'General Inputs'!I$9*$G93,IF(AND(($C93+$C$1)&gt;AK$3,AK$3&gt;=$C$1),'General Inputs'!I$9*$F93,0))</f>
        <v>40.716550972947097</v>
      </c>
      <c r="AL93" s="214">
        <f>IF(AND(($D93+$C$1)&gt;AL$3,AL$3&gt;=$C$1),'General Inputs'!J$9*$G93,IF(AND(($C93+$C$1)&gt;AL$3,AL$3&gt;=$C$1),'General Inputs'!J$9*$F93,0))</f>
        <v>41.327299237541297</v>
      </c>
      <c r="AM93" s="214">
        <f>IF(AND(($D93+$C$1)&gt;AM$3,AM$3&gt;=$C$1),'General Inputs'!K$9*$G93,IF(AND(($C93+$C$1)&gt;AM$3,AM$3&gt;=$C$1),'General Inputs'!K$9*$F93,0))</f>
        <v>41.947208726104407</v>
      </c>
      <c r="AN93" s="214">
        <f>IF(AND(($D93+$C$1)&gt;AN$3,AN$3&gt;=$C$1),'General Inputs'!L$9*$G93,IF(AND(($C93+$C$1)&gt;AN$3,AN$3&gt;=$C$1),'General Inputs'!L$9*$F93,0))</f>
        <v>42.576416856995969</v>
      </c>
      <c r="AO93" s="214">
        <f>IF(AND(($D93+$C$1)&gt;AO$3,AO$3&gt;=$C$1),'General Inputs'!M$9*$G93,IF(AND(($C93+$C$1)&gt;AO$3,AO$3&gt;=$C$1),'General Inputs'!M$9*$F93,0))</f>
        <v>43.215063109850902</v>
      </c>
      <c r="AP93" s="214">
        <f>IF(AND(($D93+$C$1)&gt;AP$3,AP$3&gt;=$C$1),'General Inputs'!N$9*$G93,IF(AND(($C93+$C$1)&gt;AP$3,AP$3&gt;=$C$1),'General Inputs'!N$9*$F93,0))</f>
        <v>43.863289056498665</v>
      </c>
      <c r="AQ93" s="214">
        <f>IF(AND(($D93+$C$1)&gt;AQ$3,AQ$3&gt;=$C$1),'General Inputs'!O$9*$G93,IF(AND(($C93+$C$1)&gt;AQ$3,AQ$3&gt;=$C$1),'General Inputs'!O$9*$F93,0))</f>
        <v>44.521238392346142</v>
      </c>
      <c r="AR93" s="214">
        <f>IF(AND(($D93+$C$1)&gt;AR$3,AR$3&gt;=$C$1),'General Inputs'!P$9*$G93,IF(AND(($C93+$C$1)&gt;AR$3,AR$3&gt;=$C$1),'General Inputs'!P$9*$F93,0))</f>
        <v>45.189056968231327</v>
      </c>
      <c r="AS93" s="214">
        <f>IF(AND(($D93+$C$1)&gt;AS$3,AS$3&gt;=$C$1),'General Inputs'!Q$9*$G93,IF(AND(($C93+$C$1)&gt;AS$3,AS$3&gt;=$C$1),'General Inputs'!Q$9*$F93,0))</f>
        <v>45.866892822754792</v>
      </c>
      <c r="AT93" s="214">
        <f>IF(AND(($D93+$C$1)&gt;AT$3,AT$3&gt;=$C$1),'General Inputs'!R$9*$G93,IF(AND(($C93+$C$1)&gt;AT$3,AT$3&gt;=$C$1),'General Inputs'!R$9*$F93,0))</f>
        <v>46.554896215096115</v>
      </c>
      <c r="AU93" s="214">
        <f>IF(AND(($D93+$C$1)&gt;AU$3,AU$3&gt;=$C$1),'General Inputs'!S$9*$G93,IF(AND(($C93+$C$1)&gt;AU$3,AU$3&gt;=$C$1),'General Inputs'!S$9*$F93,0))</f>
        <v>0</v>
      </c>
      <c r="AV93" s="214">
        <f>IF(AND(($D93+$C$1)&gt;AV$3,AV$3&gt;=$C$1),'General Inputs'!T$9*$G93,IF(AND(($C93+$C$1)&gt;AV$3,AV$3&gt;=$C$1),'General Inputs'!T$9*$F93,0))</f>
        <v>0</v>
      </c>
      <c r="AW93" s="214">
        <f>IF(AND(($D93+$C$1)&gt;AW$3,AW$3&gt;=$C$1),'General Inputs'!U$9*$G93,IF(AND(($C93+$C$1)&gt;AW$3,AW$3&gt;=$C$1),'General Inputs'!U$9*$F93,0))</f>
        <v>0</v>
      </c>
      <c r="AX93" s="214">
        <f>IF(AND(($D93+$C$1)&gt;AX$3,AX$3&gt;=$C$1),'General Inputs'!V$9*$G93,IF(AND(($C93+$C$1)&gt;AX$3,AX$3&gt;=$C$1),'General Inputs'!V$9*$F93,0))</f>
        <v>0</v>
      </c>
      <c r="AY93" s="214">
        <f>IF(AND(($D93+$C$1)&gt;AY$3,AY$3&gt;=$C$1),'General Inputs'!W$9*$G93,IF(AND(($C93+$C$1)&gt;AY$3,AY$3&gt;=$C$1),'General Inputs'!W$9*$F93,0))</f>
        <v>0</v>
      </c>
      <c r="BA93" s="214">
        <f>IF(AND(($D93+$C$1)&gt;AF$3,AF$3&gt;=$C$1),'General Inputs'!D$10*$I93,IF(AND(($C93+$C$1)&gt;AF$3,AF$3&gt;=$C$1),'General Inputs'!D$10*$H93,0))</f>
        <v>4.7188521655761493</v>
      </c>
      <c r="BB93" s="214">
        <f>IF(AND(($D93+$C$1)&gt;AG$3,AG$3&gt;=$C$1),'General Inputs'!E$10*$I93,IF(AND(($C93+$C$1)&gt;AG$3,AG$3&gt;=$C$1),'General Inputs'!E$10*$H93,0))</f>
        <v>4.7896349480597911</v>
      </c>
      <c r="BC93" s="214">
        <f>IF(AND(($D93+$C$1)&gt;AH$3,AH$3&gt;=$C$1),'General Inputs'!F$10*$I93,IF(AND(($C93+$C$1)&gt;AH$3,AH$3&gt;=$C$1),'General Inputs'!F$10*$H93,0))</f>
        <v>4.8614794722806876</v>
      </c>
      <c r="BD93" s="214">
        <f>IF(AND(($D93+$C$1)&gt;AI$3,AI$3&gt;=$C$1),'General Inputs'!G$10*$I93,IF(AND(($C93+$C$1)&gt;AI$3,AI$3&gt;=$C$1),'General Inputs'!G$10*$H93,0))</f>
        <v>4.9344016643648976</v>
      </c>
      <c r="BE93" s="214">
        <f>IF(AND(($D93+$C$1)&gt;AJ$3,AJ$3&gt;=$C$1),'General Inputs'!H$10*$I93,IF(AND(($C93+$C$1)&gt;AJ$3,AJ$3&gt;=$C$1),'General Inputs'!H$10*$H93,0))</f>
        <v>5.0084176893303702</v>
      </c>
      <c r="BF93" s="214">
        <f>IF(AND(($D93+$C$1)&gt;AK$3,AK$3&gt;=$C$1),'General Inputs'!I$10*$I93,IF(AND(($C93+$C$1)&gt;AK$3,AK$3&gt;=$C$1),'General Inputs'!I$10*$H93,0))</f>
        <v>5.0835439546703247</v>
      </c>
      <c r="BG93" s="214">
        <f>IF(AND(($D93+$C$1)&gt;AL$3,AL$3&gt;=$C$1),'General Inputs'!J$10*$I93,IF(AND(($C93+$C$1)&gt;AL$3,AL$3&gt;=$C$1),'General Inputs'!J$10*$H93,0))</f>
        <v>5.1597971139903791</v>
      </c>
      <c r="BH93" s="214">
        <f>IF(AND(($D93+$C$1)&gt;AM$3,AM$3&gt;=$C$1),'General Inputs'!K$10*$I93,IF(AND(($C93+$C$1)&gt;AM$3,AM$3&gt;=$C$1),'General Inputs'!K$10*$H93,0))</f>
        <v>5.2371940707002347</v>
      </c>
      <c r="BI93" s="214">
        <f>IF(AND(($D93+$C$1)&gt;AN$3,AN$3&gt;=$C$1),'General Inputs'!L$10*$I93,IF(AND(($C93+$C$1)&gt;AN$3,AN$3&gt;=$C$1),'General Inputs'!L$10*$H93,0))</f>
        <v>5.3157519817607382</v>
      </c>
      <c r="BJ93" s="214">
        <f>IF(AND(($D93+$C$1)&gt;AO$3,AO$3&gt;=$C$1),'General Inputs'!M$10*$I93,IF(AND(($C93+$C$1)&gt;AO$3,AO$3&gt;=$C$1),'General Inputs'!M$10*$H93,0))</f>
        <v>5.3954882614871487</v>
      </c>
      <c r="BK93" s="214">
        <f>IF(AND(($D93+$C$1)&gt;AP$3,AP$3&gt;=$C$1),'General Inputs'!N$10*$I93,IF(AND(($C93+$C$1)&gt;AP$3,AP$3&gt;=$C$1),'General Inputs'!N$10*$H93,0))</f>
        <v>5.4764205854094552</v>
      </c>
      <c r="BL93" s="214">
        <f>IF(AND(($D93+$C$1)&gt;AQ$3,AQ$3&gt;=$C$1),'General Inputs'!O$10*$I93,IF(AND(($C93+$C$1)&gt;AQ$3,AQ$3&gt;=$C$1),'General Inputs'!O$10*$H93,0))</f>
        <v>5.5585668941905961</v>
      </c>
      <c r="BM93" s="214">
        <f>IF(AND(($D93+$C$1)&gt;AR$3,AR$3&gt;=$C$1),'General Inputs'!P$10*$I93,IF(AND(($C93+$C$1)&gt;AR$3,AR$3&gt;=$C$1),'General Inputs'!P$10*$H93,0))</f>
        <v>5.6419453976034548</v>
      </c>
      <c r="BN93" s="214">
        <f>IF(AND(($D93+$C$1)&gt;AS$3,AS$3&gt;=$C$1),'General Inputs'!Q$10*$I93,IF(AND(($C93+$C$1)&gt;AS$3,AS$3&gt;=$C$1),'General Inputs'!Q$10*$H93,0))</f>
        <v>5.7265745785675062</v>
      </c>
      <c r="BO93" s="214">
        <f>IF(AND(($D93+$C$1)&gt;AT$3,AT$3&gt;=$C$1),'General Inputs'!R$10*$I93,IF(AND(($C93+$C$1)&gt;AT$3,AT$3&gt;=$C$1),'General Inputs'!R$10*$H93,0))</f>
        <v>5.8124731972460175</v>
      </c>
      <c r="BP93" s="214">
        <f>IF(AND(($D93+$C$1)&gt;AU$3,AU$3&gt;=$C$1),'General Inputs'!S$10*$I93,IF(AND(($C93+$C$1)&gt;AU$3,AU$3&gt;=$C$1),'General Inputs'!S$10*$H93,0))</f>
        <v>0</v>
      </c>
      <c r="BQ93" s="214">
        <f>IF(AND(($D93+$C$1)&gt;AV$3,AV$3&gt;=$C$1),'General Inputs'!T$10*$I93,IF(AND(($C93+$C$1)&gt;AV$3,AV$3&gt;=$C$1),'General Inputs'!T$10*$H93,0))</f>
        <v>0</v>
      </c>
      <c r="BR93" s="214">
        <f>IF(AND(($D93+$C$1)&gt;AW$3,AW$3&gt;=$C$1),'General Inputs'!U$10*$I93,IF(AND(($C93+$C$1)&gt;AW$3,AW$3&gt;=$C$1),'General Inputs'!U$10*$H93,0))</f>
        <v>0</v>
      </c>
      <c r="BS93" s="214">
        <f>IF(AND(($D93+$C$1)&gt;AX$3,AX$3&gt;=$C$1),'General Inputs'!V$10*$I93,IF(AND(($C93+$C$1)&gt;AX$3,AX$3&gt;=$C$1),'General Inputs'!V$10*$H93,0))</f>
        <v>0</v>
      </c>
      <c r="BT93" s="214">
        <f>IF(AND(($D93+$C$1)&gt;AY$3,AY$3&gt;=$C$1),'General Inputs'!W$10*$I93,IF(AND(($C93+$C$1)&gt;AY$3,AY$3&gt;=$C$1),'General Inputs'!W$10*$H93,0))</f>
        <v>0</v>
      </c>
    </row>
    <row r="94" spans="1:72">
      <c r="A94" s="342" t="s">
        <v>112</v>
      </c>
      <c r="B94" s="427" t="str">
        <f>Sources!B94</f>
        <v>Heat Pump 65 &lt; 135 kBtuh</v>
      </c>
      <c r="C94" s="193">
        <f>Sources!C94</f>
        <v>15</v>
      </c>
      <c r="D94" s="193">
        <f>Sources!D94</f>
        <v>0</v>
      </c>
      <c r="F94" s="429">
        <f>Sources!F94*EnergyLineLoss</f>
        <v>1950.6050348316223</v>
      </c>
      <c r="G94" s="429">
        <f>Sources!G94*EnergyLineLoss</f>
        <v>0</v>
      </c>
      <c r="H94" s="477">
        <f>Sources!H94*PeakLineLoss</f>
        <v>6.5762918918918348E-2</v>
      </c>
      <c r="I94" s="477">
        <f>Sources!I94*PeakLineLoss</f>
        <v>0</v>
      </c>
      <c r="K94" s="419">
        <f>Sources!J94</f>
        <v>700</v>
      </c>
      <c r="L94" s="419">
        <f>Sources!K94</f>
        <v>0</v>
      </c>
      <c r="N94" s="438">
        <f t="shared" si="35"/>
        <v>1.0813740366077353</v>
      </c>
      <c r="P94" s="215">
        <f t="shared" si="36"/>
        <v>747.48341715702657</v>
      </c>
      <c r="Q94" s="215">
        <f t="shared" si="37"/>
        <v>9.4784084683881158</v>
      </c>
      <c r="R94" s="215">
        <f t="shared" si="38"/>
        <v>700</v>
      </c>
      <c r="T94" s="214">
        <f t="shared" si="39"/>
        <v>700</v>
      </c>
      <c r="U94" s="214">
        <f t="shared" si="39"/>
        <v>0</v>
      </c>
      <c r="V94" s="214">
        <f t="shared" si="39"/>
        <v>0</v>
      </c>
      <c r="W94" s="214">
        <f t="shared" si="39"/>
        <v>0</v>
      </c>
      <c r="X94" s="214">
        <f t="shared" si="39"/>
        <v>0</v>
      </c>
      <c r="Y94" s="214">
        <f t="shared" si="40"/>
        <v>0</v>
      </c>
      <c r="Z94" s="214">
        <f t="shared" si="40"/>
        <v>0</v>
      </c>
      <c r="AA94" s="214">
        <f t="shared" si="40"/>
        <v>0</v>
      </c>
      <c r="AB94" s="214">
        <f t="shared" si="40"/>
        <v>0</v>
      </c>
      <c r="AC94" s="214">
        <f t="shared" si="40"/>
        <v>0</v>
      </c>
      <c r="AD94" s="214">
        <f t="shared" si="40"/>
        <v>0</v>
      </c>
      <c r="AF94" s="214">
        <f>IF(AND(($D94+$C$1)&gt;AF$3,AF$3&gt;=$C$1),'General Inputs'!D$9*$G94,IF(AND(($C94+$C$1)&gt;AF$3,AF$3&gt;=$C$1),'General Inputs'!D$9*$F94,0))</f>
        <v>77.658012827911662</v>
      </c>
      <c r="AG94" s="214">
        <f>IF(AND(($D94+$C$1)&gt;AG$3,AG$3&gt;=$C$1),'General Inputs'!E$9*$G94,IF(AND(($C94+$C$1)&gt;AG$3,AG$3&gt;=$C$1),'General Inputs'!E$9*$F94,0))</f>
        <v>78.822883020330323</v>
      </c>
      <c r="AH94" s="214">
        <f>IF(AND(($D94+$C$1)&gt;AH$3,AH$3&gt;=$C$1),'General Inputs'!F$9*$G94,IF(AND(($C94+$C$1)&gt;AH$3,AH$3&gt;=$C$1),'General Inputs'!F$9*$F94,0))</f>
        <v>80.005226265635272</v>
      </c>
      <c r="AI94" s="214">
        <f>IF(AND(($D94+$C$1)&gt;AI$3,AI$3&gt;=$C$1),'General Inputs'!G$9*$G94,IF(AND(($C94+$C$1)&gt;AI$3,AI$3&gt;=$C$1),'General Inputs'!G$9*$F94,0))</f>
        <v>81.205304659619785</v>
      </c>
      <c r="AJ94" s="214">
        <f>IF(AND(($D94+$C$1)&gt;AJ$3,AJ$3&gt;=$C$1),'General Inputs'!H$9*$G94,IF(AND(($C94+$C$1)&gt;AJ$3,AJ$3&gt;=$C$1),'General Inputs'!H$9*$F94,0))</f>
        <v>82.42338422951407</v>
      </c>
      <c r="AK94" s="214">
        <f>IF(AND(($D94+$C$1)&gt;AK$3,AK$3&gt;=$C$1),'General Inputs'!I$9*$G94,IF(AND(($C94+$C$1)&gt;AK$3,AK$3&gt;=$C$1),'General Inputs'!I$9*$F94,0))</f>
        <v>83.659734992956771</v>
      </c>
      <c r="AL94" s="214">
        <f>IF(AND(($D94+$C$1)&gt;AL$3,AL$3&gt;=$C$1),'General Inputs'!J$9*$G94,IF(AND(($C94+$C$1)&gt;AL$3,AL$3&gt;=$C$1),'General Inputs'!J$9*$F94,0))</f>
        <v>84.914631017851121</v>
      </c>
      <c r="AM94" s="214">
        <f>IF(AND(($D94+$C$1)&gt;AM$3,AM$3&gt;=$C$1),'General Inputs'!K$9*$G94,IF(AND(($C94+$C$1)&gt;AM$3,AM$3&gt;=$C$1),'General Inputs'!K$9*$F94,0))</f>
        <v>86.188350483118867</v>
      </c>
      <c r="AN94" s="214">
        <f>IF(AND(($D94+$C$1)&gt;AN$3,AN$3&gt;=$C$1),'General Inputs'!L$9*$G94,IF(AND(($C94+$C$1)&gt;AN$3,AN$3&gt;=$C$1),'General Inputs'!L$9*$F94,0))</f>
        <v>87.481175740365643</v>
      </c>
      <c r="AO94" s="214">
        <f>IF(AND(($D94+$C$1)&gt;AO$3,AO$3&gt;=$C$1),'General Inputs'!M$9*$G94,IF(AND(($C94+$C$1)&gt;AO$3,AO$3&gt;=$C$1),'General Inputs'!M$9*$F94,0))</f>
        <v>88.793393376471116</v>
      </c>
      <c r="AP94" s="214">
        <f>IF(AND(($D94+$C$1)&gt;AP$3,AP$3&gt;=$C$1),'General Inputs'!N$9*$G94,IF(AND(($C94+$C$1)&gt;AP$3,AP$3&gt;=$C$1),'General Inputs'!N$9*$F94,0))</f>
        <v>90.125294277118172</v>
      </c>
      <c r="AQ94" s="214">
        <f>IF(AND(($D94+$C$1)&gt;AQ$3,AQ$3&gt;=$C$1),'General Inputs'!O$9*$G94,IF(AND(($C94+$C$1)&gt;AQ$3,AQ$3&gt;=$C$1),'General Inputs'!O$9*$F94,0))</f>
        <v>91.477173691274942</v>
      </c>
      <c r="AR94" s="214">
        <f>IF(AND(($D94+$C$1)&gt;AR$3,AR$3&gt;=$C$1),'General Inputs'!P$9*$G94,IF(AND(($C94+$C$1)&gt;AR$3,AR$3&gt;=$C$1),'General Inputs'!P$9*$F94,0))</f>
        <v>92.849331296644053</v>
      </c>
      <c r="AS94" s="214">
        <f>IF(AND(($D94+$C$1)&gt;AS$3,AS$3&gt;=$C$1),'General Inputs'!Q$9*$G94,IF(AND(($C94+$C$1)&gt;AS$3,AS$3&gt;=$C$1),'General Inputs'!Q$9*$F94,0))</f>
        <v>94.242071266093703</v>
      </c>
      <c r="AT94" s="214">
        <f>IF(AND(($D94+$C$1)&gt;AT$3,AT$3&gt;=$C$1),'General Inputs'!R$9*$G94,IF(AND(($C94+$C$1)&gt;AT$3,AT$3&gt;=$C$1),'General Inputs'!R$9*$F94,0))</f>
        <v>95.65570233508511</v>
      </c>
      <c r="AU94" s="214">
        <f>IF(AND(($D94+$C$1)&gt;AU$3,AU$3&gt;=$C$1),'General Inputs'!S$9*$G94,IF(AND(($C94+$C$1)&gt;AU$3,AU$3&gt;=$C$1),'General Inputs'!S$9*$F94,0))</f>
        <v>0</v>
      </c>
      <c r="AV94" s="214">
        <f>IF(AND(($D94+$C$1)&gt;AV$3,AV$3&gt;=$C$1),'General Inputs'!T$9*$G94,IF(AND(($C94+$C$1)&gt;AV$3,AV$3&gt;=$C$1),'General Inputs'!T$9*$F94,0))</f>
        <v>0</v>
      </c>
      <c r="AW94" s="214">
        <f>IF(AND(($D94+$C$1)&gt;AW$3,AW$3&gt;=$C$1),'General Inputs'!U$9*$G94,IF(AND(($C94+$C$1)&gt;AW$3,AW$3&gt;=$C$1),'General Inputs'!U$9*$F94,0))</f>
        <v>0</v>
      </c>
      <c r="AX94" s="214">
        <f>IF(AND(($D94+$C$1)&gt;AX$3,AX$3&gt;=$C$1),'General Inputs'!V$9*$G94,IF(AND(($C94+$C$1)&gt;AX$3,AX$3&gt;=$C$1),'General Inputs'!V$9*$F94,0))</f>
        <v>0</v>
      </c>
      <c r="AY94" s="214">
        <f>IF(AND(($D94+$C$1)&gt;AY$3,AY$3&gt;=$C$1),'General Inputs'!W$9*$G94,IF(AND(($C94+$C$1)&gt;AY$3,AY$3&gt;=$C$1),'General Inputs'!W$9*$F94,0))</f>
        <v>0</v>
      </c>
      <c r="BA94" s="214">
        <f>IF(AND(($D94+$C$1)&gt;AF$3,AF$3&gt;=$C$1),'General Inputs'!D$10*$I94,IF(AND(($C94+$C$1)&gt;AF$3,AF$3&gt;=$C$1),'General Inputs'!D$10*$H94,0))</f>
        <v>0.98473671727173684</v>
      </c>
      <c r="BB94" s="214">
        <f>IF(AND(($D94+$C$1)&gt;AG$3,AG$3&gt;=$C$1),'General Inputs'!E$10*$I94,IF(AND(($C94+$C$1)&gt;AG$3,AG$3&gt;=$C$1),'General Inputs'!E$10*$H94,0))</f>
        <v>0.99950776803081276</v>
      </c>
      <c r="BC94" s="214">
        <f>IF(AND(($D94+$C$1)&gt;AH$3,AH$3&gt;=$C$1),'General Inputs'!F$10*$I94,IF(AND(($C94+$C$1)&gt;AH$3,AH$3&gt;=$C$1),'General Inputs'!F$10*$H94,0))</f>
        <v>1.014500384551275</v>
      </c>
      <c r="BD94" s="214">
        <f>IF(AND(($D94+$C$1)&gt;AI$3,AI$3&gt;=$C$1),'General Inputs'!G$10*$I94,IF(AND(($C94+$C$1)&gt;AI$3,AI$3&gt;=$C$1),'General Inputs'!G$10*$H94,0))</f>
        <v>1.0297178903195441</v>
      </c>
      <c r="BE94" s="214">
        <f>IF(AND(($D94+$C$1)&gt;AJ$3,AJ$3&gt;=$C$1),'General Inputs'!H$10*$I94,IF(AND(($C94+$C$1)&gt;AJ$3,AJ$3&gt;=$C$1),'General Inputs'!H$10*$H94,0))</f>
        <v>1.0451636586743371</v>
      </c>
      <c r="BF94" s="214">
        <f>IF(AND(($D94+$C$1)&gt;AK$3,AK$3&gt;=$C$1),'General Inputs'!I$10*$I94,IF(AND(($C94+$C$1)&gt;AK$3,AK$3&gt;=$C$1),'General Inputs'!I$10*$H94,0))</f>
        <v>1.060841113554452</v>
      </c>
      <c r="BG94" s="214">
        <f>IF(AND(($D94+$C$1)&gt;AL$3,AL$3&gt;=$C$1),'General Inputs'!J$10*$I94,IF(AND(($C94+$C$1)&gt;AL$3,AL$3&gt;=$C$1),'General Inputs'!J$10*$H94,0))</f>
        <v>1.0767537302577685</v>
      </c>
      <c r="BH94" s="214">
        <f>IF(AND(($D94+$C$1)&gt;AM$3,AM$3&gt;=$C$1),'General Inputs'!K$10*$I94,IF(AND(($C94+$C$1)&gt;AM$3,AM$3&gt;=$C$1),'General Inputs'!K$10*$H94,0))</f>
        <v>1.092905036211635</v>
      </c>
      <c r="BI94" s="214">
        <f>IF(AND(($D94+$C$1)&gt;AN$3,AN$3&gt;=$C$1),'General Inputs'!L$10*$I94,IF(AND(($C94+$C$1)&gt;AN$3,AN$3&gt;=$C$1),'General Inputs'!L$10*$H94,0))</f>
        <v>1.1092986117548094</v>
      </c>
      <c r="BJ94" s="214">
        <f>IF(AND(($D94+$C$1)&gt;AO$3,AO$3&gt;=$C$1),'General Inputs'!M$10*$I94,IF(AND(($C94+$C$1)&gt;AO$3,AO$3&gt;=$C$1),'General Inputs'!M$10*$H94,0))</f>
        <v>1.1259380909311316</v>
      </c>
      <c r="BK94" s="214">
        <f>IF(AND(($D94+$C$1)&gt;AP$3,AP$3&gt;=$C$1),'General Inputs'!N$10*$I94,IF(AND(($C94+$C$1)&gt;AP$3,AP$3&gt;=$C$1),'General Inputs'!N$10*$H94,0))</f>
        <v>1.1428271622950983</v>
      </c>
      <c r="BL94" s="214">
        <f>IF(AND(($D94+$C$1)&gt;AQ$3,AQ$3&gt;=$C$1),'General Inputs'!O$10*$I94,IF(AND(($C94+$C$1)&gt;AQ$3,AQ$3&gt;=$C$1),'General Inputs'!O$10*$H94,0))</f>
        <v>1.1599695697295247</v>
      </c>
      <c r="BM94" s="214">
        <f>IF(AND(($D94+$C$1)&gt;AR$3,AR$3&gt;=$C$1),'General Inputs'!P$10*$I94,IF(AND(($C94+$C$1)&gt;AR$3,AR$3&gt;=$C$1),'General Inputs'!P$10*$H94,0))</f>
        <v>1.1773691132754676</v>
      </c>
      <c r="BN94" s="214">
        <f>IF(AND(($D94+$C$1)&gt;AS$3,AS$3&gt;=$C$1),'General Inputs'!Q$10*$I94,IF(AND(($C94+$C$1)&gt;AS$3,AS$3&gt;=$C$1),'General Inputs'!Q$10*$H94,0))</f>
        <v>1.1950296499745994</v>
      </c>
      <c r="BO94" s="214">
        <f>IF(AND(($D94+$C$1)&gt;AT$3,AT$3&gt;=$C$1),'General Inputs'!R$10*$I94,IF(AND(($C94+$C$1)&gt;AT$3,AT$3&gt;=$C$1),'General Inputs'!R$10*$H94,0))</f>
        <v>1.2129550947242183</v>
      </c>
      <c r="BP94" s="214">
        <f>IF(AND(($D94+$C$1)&gt;AU$3,AU$3&gt;=$C$1),'General Inputs'!S$10*$I94,IF(AND(($C94+$C$1)&gt;AU$3,AU$3&gt;=$C$1),'General Inputs'!S$10*$H94,0))</f>
        <v>0</v>
      </c>
      <c r="BQ94" s="214">
        <f>IF(AND(($D94+$C$1)&gt;AV$3,AV$3&gt;=$C$1),'General Inputs'!T$10*$I94,IF(AND(($C94+$C$1)&gt;AV$3,AV$3&gt;=$C$1),'General Inputs'!T$10*$H94,0))</f>
        <v>0</v>
      </c>
      <c r="BR94" s="214">
        <f>IF(AND(($D94+$C$1)&gt;AW$3,AW$3&gt;=$C$1),'General Inputs'!U$10*$I94,IF(AND(($C94+$C$1)&gt;AW$3,AW$3&gt;=$C$1),'General Inputs'!U$10*$H94,0))</f>
        <v>0</v>
      </c>
      <c r="BS94" s="214">
        <f>IF(AND(($D94+$C$1)&gt;AX$3,AX$3&gt;=$C$1),'General Inputs'!V$10*$I94,IF(AND(($C94+$C$1)&gt;AX$3,AX$3&gt;=$C$1),'General Inputs'!V$10*$H94,0))</f>
        <v>0</v>
      </c>
      <c r="BT94" s="214">
        <f>IF(AND(($D94+$C$1)&gt;AY$3,AY$3&gt;=$C$1),'General Inputs'!W$10*$I94,IF(AND(($C94+$C$1)&gt;AY$3,AY$3&gt;=$C$1),'General Inputs'!W$10*$H94,0))</f>
        <v>0</v>
      </c>
    </row>
    <row r="95" spans="1:72">
      <c r="A95" s="342" t="s">
        <v>112</v>
      </c>
      <c r="B95" s="427" t="str">
        <f>Sources!B95</f>
        <v>Heat Pump 135 &lt; 240 kBtuh</v>
      </c>
      <c r="C95" s="193">
        <f>Sources!C95</f>
        <v>15</v>
      </c>
      <c r="D95" s="193">
        <f>Sources!D95</f>
        <v>0</v>
      </c>
      <c r="F95" s="429">
        <f>Sources!F95*EnergyLineLoss</f>
        <v>193.45123766661013</v>
      </c>
      <c r="G95" s="429">
        <f>Sources!G95*EnergyLineLoss</f>
        <v>0</v>
      </c>
      <c r="H95" s="477">
        <f>Sources!H95*PeakLineLoss</f>
        <v>0.2978431365760793</v>
      </c>
      <c r="I95" s="477">
        <f>Sources!I95*PeakLineLoss</f>
        <v>0</v>
      </c>
      <c r="K95" s="419">
        <f>Sources!J95</f>
        <v>1000</v>
      </c>
      <c r="L95" s="419">
        <f>Sources!K95</f>
        <v>0</v>
      </c>
      <c r="N95" s="438">
        <f t="shared" si="35"/>
        <v>0.11705978809661659</v>
      </c>
      <c r="P95" s="215">
        <f t="shared" si="36"/>
        <v>74.131661511258187</v>
      </c>
      <c r="Q95" s="215">
        <f t="shared" si="37"/>
        <v>42.928126585358399</v>
      </c>
      <c r="R95" s="215">
        <f t="shared" si="38"/>
        <v>1000</v>
      </c>
      <c r="T95" s="214">
        <f t="shared" si="39"/>
        <v>1000</v>
      </c>
      <c r="U95" s="214">
        <f t="shared" si="39"/>
        <v>0</v>
      </c>
      <c r="V95" s="214">
        <f t="shared" si="39"/>
        <v>0</v>
      </c>
      <c r="W95" s="214">
        <f t="shared" si="39"/>
        <v>0</v>
      </c>
      <c r="X95" s="214">
        <f t="shared" si="39"/>
        <v>0</v>
      </c>
      <c r="Y95" s="214">
        <f t="shared" si="40"/>
        <v>0</v>
      </c>
      <c r="Z95" s="214">
        <f t="shared" si="40"/>
        <v>0</v>
      </c>
      <c r="AA95" s="214">
        <f t="shared" si="40"/>
        <v>0</v>
      </c>
      <c r="AB95" s="214">
        <f t="shared" si="40"/>
        <v>0</v>
      </c>
      <c r="AC95" s="214">
        <f t="shared" si="40"/>
        <v>0</v>
      </c>
      <c r="AD95" s="214">
        <f t="shared" si="40"/>
        <v>0</v>
      </c>
      <c r="AF95" s="214">
        <f>IF(AND(($D95+$C$1)&gt;AF$3,AF$3&gt;=$C$1),'General Inputs'!D$9*$G95,IF(AND(($C95+$C$1)&gt;AF$3,AF$3&gt;=$C$1),'General Inputs'!D$9*$F95,0))</f>
        <v>7.7017327588236206</v>
      </c>
      <c r="AG95" s="214">
        <f>IF(AND(($D95+$C$1)&gt;AG$3,AG$3&gt;=$C$1),'General Inputs'!E$9*$G95,IF(AND(($C95+$C$1)&gt;AG$3,AG$3&gt;=$C$1),'General Inputs'!E$9*$F95,0))</f>
        <v>7.8172587502059745</v>
      </c>
      <c r="AH95" s="214">
        <f>IF(AND(($D95+$C$1)&gt;AH$3,AH$3&gt;=$C$1),'General Inputs'!F$9*$G95,IF(AND(($C95+$C$1)&gt;AH$3,AH$3&gt;=$C$1),'General Inputs'!F$9*$F95,0))</f>
        <v>7.9345176314590633</v>
      </c>
      <c r="AI95" s="214">
        <f>IF(AND(($D95+$C$1)&gt;AI$3,AI$3&gt;=$C$1),'General Inputs'!G$9*$G95,IF(AND(($C95+$C$1)&gt;AI$3,AI$3&gt;=$C$1),'General Inputs'!G$9*$F95,0))</f>
        <v>8.0535353959309486</v>
      </c>
      <c r="AJ95" s="214">
        <f>IF(AND(($D95+$C$1)&gt;AJ$3,AJ$3&gt;=$C$1),'General Inputs'!H$9*$G95,IF(AND(($C95+$C$1)&gt;AJ$3,AJ$3&gt;=$C$1),'General Inputs'!H$9*$F95,0))</f>
        <v>8.1743384268699106</v>
      </c>
      <c r="AK95" s="214">
        <f>IF(AND(($D95+$C$1)&gt;AK$3,AK$3&gt;=$C$1),'General Inputs'!I$9*$G95,IF(AND(($C95+$C$1)&gt;AK$3,AK$3&gt;=$C$1),'General Inputs'!I$9*$F95,0))</f>
        <v>8.2969535032729596</v>
      </c>
      <c r="AL95" s="214">
        <f>IF(AND(($D95+$C$1)&gt;AL$3,AL$3&gt;=$C$1),'General Inputs'!J$9*$G95,IF(AND(($C95+$C$1)&gt;AL$3,AL$3&gt;=$C$1),'General Inputs'!J$9*$F95,0))</f>
        <v>8.4214078058220529</v>
      </c>
      <c r="AM95" s="214">
        <f>IF(AND(($D95+$C$1)&gt;AM$3,AM$3&gt;=$C$1),'General Inputs'!K$9*$G95,IF(AND(($C95+$C$1)&gt;AM$3,AM$3&gt;=$C$1),'General Inputs'!K$9*$F95,0))</f>
        <v>8.547728922909382</v>
      </c>
      <c r="AN95" s="214">
        <f>IF(AND(($D95+$C$1)&gt;AN$3,AN$3&gt;=$C$1),'General Inputs'!L$9*$G95,IF(AND(($C95+$C$1)&gt;AN$3,AN$3&gt;=$C$1),'General Inputs'!L$9*$F95,0))</f>
        <v>8.6759448567530217</v>
      </c>
      <c r="AO95" s="214">
        <f>IF(AND(($D95+$C$1)&gt;AO$3,AO$3&gt;=$C$1),'General Inputs'!M$9*$G95,IF(AND(($C95+$C$1)&gt;AO$3,AO$3&gt;=$C$1),'General Inputs'!M$9*$F95,0))</f>
        <v>8.8060840296043157</v>
      </c>
      <c r="AP95" s="214">
        <f>IF(AND(($D95+$C$1)&gt;AP$3,AP$3&gt;=$C$1),'General Inputs'!N$9*$G95,IF(AND(($C95+$C$1)&gt;AP$3,AP$3&gt;=$C$1),'General Inputs'!N$9*$F95,0))</f>
        <v>8.9381752900483793</v>
      </c>
      <c r="AQ95" s="214">
        <f>IF(AND(($D95+$C$1)&gt;AQ$3,AQ$3&gt;=$C$1),'General Inputs'!O$9*$G95,IF(AND(($C95+$C$1)&gt;AQ$3,AQ$3&gt;=$C$1),'General Inputs'!O$9*$F95,0))</f>
        <v>9.0722479193991035</v>
      </c>
      <c r="AR95" s="214">
        <f>IF(AND(($D95+$C$1)&gt;AR$3,AR$3&gt;=$C$1),'General Inputs'!P$9*$G95,IF(AND(($C95+$C$1)&gt;AR$3,AR$3&gt;=$C$1),'General Inputs'!P$9*$F95,0))</f>
        <v>9.2083316381900904</v>
      </c>
      <c r="AS95" s="214">
        <f>IF(AND(($D95+$C$1)&gt;AS$3,AS$3&gt;=$C$1),'General Inputs'!Q$9*$G95,IF(AND(($C95+$C$1)&gt;AS$3,AS$3&gt;=$C$1),'General Inputs'!Q$9*$F95,0))</f>
        <v>9.3464566127629407</v>
      </c>
      <c r="AT95" s="214">
        <f>IF(AND(($D95+$C$1)&gt;AT$3,AT$3&gt;=$C$1),'General Inputs'!R$9*$G95,IF(AND(($C95+$C$1)&gt;AT$3,AT$3&gt;=$C$1),'General Inputs'!R$9*$F95,0))</f>
        <v>9.4866534619543845</v>
      </c>
      <c r="AU95" s="214">
        <f>IF(AND(($D95+$C$1)&gt;AU$3,AU$3&gt;=$C$1),'General Inputs'!S$9*$G95,IF(AND(($C95+$C$1)&gt;AU$3,AU$3&gt;=$C$1),'General Inputs'!S$9*$F95,0))</f>
        <v>0</v>
      </c>
      <c r="AV95" s="214">
        <f>IF(AND(($D95+$C$1)&gt;AV$3,AV$3&gt;=$C$1),'General Inputs'!T$9*$G95,IF(AND(($C95+$C$1)&gt;AV$3,AV$3&gt;=$C$1),'General Inputs'!T$9*$F95,0))</f>
        <v>0</v>
      </c>
      <c r="AW95" s="214">
        <f>IF(AND(($D95+$C$1)&gt;AW$3,AW$3&gt;=$C$1),'General Inputs'!U$9*$G95,IF(AND(($C95+$C$1)&gt;AW$3,AW$3&gt;=$C$1),'General Inputs'!U$9*$F95,0))</f>
        <v>0</v>
      </c>
      <c r="AX95" s="214">
        <f>IF(AND(($D95+$C$1)&gt;AX$3,AX$3&gt;=$C$1),'General Inputs'!V$9*$G95,IF(AND(($C95+$C$1)&gt;AX$3,AX$3&gt;=$C$1),'General Inputs'!V$9*$F95,0))</f>
        <v>0</v>
      </c>
      <c r="AY95" s="214">
        <f>IF(AND(($D95+$C$1)&gt;AY$3,AY$3&gt;=$C$1),'General Inputs'!W$9*$G95,IF(AND(($C95+$C$1)&gt;AY$3,AY$3&gt;=$C$1),'General Inputs'!W$9*$F95,0))</f>
        <v>0</v>
      </c>
      <c r="BA95" s="214">
        <f>IF(AND(($D95+$C$1)&gt;AF$3,AF$3&gt;=$C$1),'General Inputs'!D$10*$I95,IF(AND(($C95+$C$1)&gt;AF$3,AF$3&gt;=$C$1),'General Inputs'!D$10*$H95,0))</f>
        <v>4.4599156697327142</v>
      </c>
      <c r="BB95" s="214">
        <f>IF(AND(($D95+$C$1)&gt;AG$3,AG$3&gt;=$C$1),'General Inputs'!E$10*$I95,IF(AND(($C95+$C$1)&gt;AG$3,AG$3&gt;=$C$1),'General Inputs'!E$10*$H95,0))</f>
        <v>4.5268144047787047</v>
      </c>
      <c r="BC95" s="214">
        <f>IF(AND(($D95+$C$1)&gt;AH$3,AH$3&gt;=$C$1),'General Inputs'!F$10*$I95,IF(AND(($C95+$C$1)&gt;AH$3,AH$3&gt;=$C$1),'General Inputs'!F$10*$H95,0))</f>
        <v>4.5947166208503845</v>
      </c>
      <c r="BD95" s="214">
        <f>IF(AND(($D95+$C$1)&gt;AI$3,AI$3&gt;=$C$1),'General Inputs'!G$10*$I95,IF(AND(($C95+$C$1)&gt;AI$3,AI$3&gt;=$C$1),'General Inputs'!G$10*$H95,0))</f>
        <v>4.6636373701631406</v>
      </c>
      <c r="BE95" s="214">
        <f>IF(AND(($D95+$C$1)&gt;AJ$3,AJ$3&gt;=$C$1),'General Inputs'!H$10*$I95,IF(AND(($C95+$C$1)&gt;AJ$3,AJ$3&gt;=$C$1),'General Inputs'!H$10*$H95,0))</f>
        <v>4.7335919307155869</v>
      </c>
      <c r="BF95" s="214">
        <f>IF(AND(($D95+$C$1)&gt;AK$3,AK$3&gt;=$C$1),'General Inputs'!I$10*$I95,IF(AND(($C95+$C$1)&gt;AK$3,AK$3&gt;=$C$1),'General Inputs'!I$10*$H95,0))</f>
        <v>4.8045958096763197</v>
      </c>
      <c r="BG95" s="214">
        <f>IF(AND(($D95+$C$1)&gt;AL$3,AL$3&gt;=$C$1),'General Inputs'!J$10*$I95,IF(AND(($C95+$C$1)&gt;AL$3,AL$3&gt;=$C$1),'General Inputs'!J$10*$H95,0))</f>
        <v>4.8766647468214641</v>
      </c>
      <c r="BH95" s="214">
        <f>IF(AND(($D95+$C$1)&gt;AM$3,AM$3&gt;=$C$1),'General Inputs'!K$10*$I95,IF(AND(($C95+$C$1)&gt;AM$3,AM$3&gt;=$C$1),'General Inputs'!K$10*$H95,0))</f>
        <v>4.9498147180237861</v>
      </c>
      <c r="BI95" s="214">
        <f>IF(AND(($D95+$C$1)&gt;AN$3,AN$3&gt;=$C$1),'General Inputs'!L$10*$I95,IF(AND(($C95+$C$1)&gt;AN$3,AN$3&gt;=$C$1),'General Inputs'!L$10*$H95,0))</f>
        <v>5.0240619387941425</v>
      </c>
      <c r="BJ95" s="214">
        <f>IF(AND(($D95+$C$1)&gt;AO$3,AO$3&gt;=$C$1),'General Inputs'!M$10*$I95,IF(AND(($C95+$C$1)&gt;AO$3,AO$3&gt;=$C$1),'General Inputs'!M$10*$H95,0))</f>
        <v>5.0994228678760543</v>
      </c>
      <c r="BK95" s="214">
        <f>IF(AND(($D95+$C$1)&gt;AP$3,AP$3&gt;=$C$1),'General Inputs'!N$10*$I95,IF(AND(($C95+$C$1)&gt;AP$3,AP$3&gt;=$C$1),'General Inputs'!N$10*$H95,0))</f>
        <v>5.1759142108941942</v>
      </c>
      <c r="BL95" s="214">
        <f>IF(AND(($D95+$C$1)&gt;AQ$3,AQ$3&gt;=$C$1),'General Inputs'!O$10*$I95,IF(AND(($C95+$C$1)&gt;AQ$3,AQ$3&gt;=$C$1),'General Inputs'!O$10*$H95,0))</f>
        <v>5.2535529240576064</v>
      </c>
      <c r="BM95" s="214">
        <f>IF(AND(($D95+$C$1)&gt;AR$3,AR$3&gt;=$C$1),'General Inputs'!P$10*$I95,IF(AND(($C95+$C$1)&gt;AR$3,AR$3&gt;=$C$1),'General Inputs'!P$10*$H95,0))</f>
        <v>5.3323562179184707</v>
      </c>
      <c r="BN95" s="214">
        <f>IF(AND(($D95+$C$1)&gt;AS$3,AS$3&gt;=$C$1),'General Inputs'!Q$10*$I95,IF(AND(($C95+$C$1)&gt;AS$3,AS$3&gt;=$C$1),'General Inputs'!Q$10*$H95,0))</f>
        <v>5.4123415611872465</v>
      </c>
      <c r="BO95" s="214">
        <f>IF(AND(($D95+$C$1)&gt;AT$3,AT$3&gt;=$C$1),'General Inputs'!R$10*$I95,IF(AND(($C95+$C$1)&gt;AT$3,AT$3&gt;=$C$1),'General Inputs'!R$10*$H95,0))</f>
        <v>5.4935266846050546</v>
      </c>
      <c r="BP95" s="214">
        <f>IF(AND(($D95+$C$1)&gt;AU$3,AU$3&gt;=$C$1),'General Inputs'!S$10*$I95,IF(AND(($C95+$C$1)&gt;AU$3,AU$3&gt;=$C$1),'General Inputs'!S$10*$H95,0))</f>
        <v>0</v>
      </c>
      <c r="BQ95" s="214">
        <f>IF(AND(($D95+$C$1)&gt;AV$3,AV$3&gt;=$C$1),'General Inputs'!T$10*$I95,IF(AND(($C95+$C$1)&gt;AV$3,AV$3&gt;=$C$1),'General Inputs'!T$10*$H95,0))</f>
        <v>0</v>
      </c>
      <c r="BR95" s="214">
        <f>IF(AND(($D95+$C$1)&gt;AW$3,AW$3&gt;=$C$1),'General Inputs'!U$10*$I95,IF(AND(($C95+$C$1)&gt;AW$3,AW$3&gt;=$C$1),'General Inputs'!U$10*$H95,0))</f>
        <v>0</v>
      </c>
      <c r="BS95" s="214">
        <f>IF(AND(($D95+$C$1)&gt;AX$3,AX$3&gt;=$C$1),'General Inputs'!V$10*$I95,IF(AND(($C95+$C$1)&gt;AX$3,AX$3&gt;=$C$1),'General Inputs'!V$10*$H95,0))</f>
        <v>0</v>
      </c>
      <c r="BT95" s="214">
        <f>IF(AND(($D95+$C$1)&gt;AY$3,AY$3&gt;=$C$1),'General Inputs'!W$10*$I95,IF(AND(($C95+$C$1)&gt;AY$3,AY$3&gt;=$C$1),'General Inputs'!W$10*$H95,0))</f>
        <v>0</v>
      </c>
    </row>
    <row r="96" spans="1:72">
      <c r="A96" s="342" t="s">
        <v>112</v>
      </c>
      <c r="B96" s="427" t="str">
        <f>Sources!B96</f>
        <v>Heat Pump &gt;240 kBtuh</v>
      </c>
      <c r="C96" s="193">
        <f>Sources!C96</f>
        <v>15</v>
      </c>
      <c r="D96" s="193">
        <f>Sources!D96</f>
        <v>0</v>
      </c>
      <c r="F96" s="429">
        <f>Sources!F96*EnergyLineLoss</f>
        <v>931.79180823345325</v>
      </c>
      <c r="G96" s="429">
        <f>Sources!G96*EnergyLineLoss</f>
        <v>0</v>
      </c>
      <c r="H96" s="477">
        <f>Sources!H96*PeakLineLoss</f>
        <v>1.4346136946326187</v>
      </c>
      <c r="I96" s="477">
        <f>Sources!I96*PeakLineLoss</f>
        <v>0</v>
      </c>
      <c r="K96" s="419">
        <f>Sources!J96</f>
        <v>2000</v>
      </c>
      <c r="L96" s="419">
        <f>Sources!K96</f>
        <v>0</v>
      </c>
      <c r="N96" s="438">
        <f t="shared" si="35"/>
        <v>0.28191949800277177</v>
      </c>
      <c r="P96" s="215">
        <f t="shared" si="36"/>
        <v>357.06814678522994</v>
      </c>
      <c r="Q96" s="215">
        <f t="shared" si="37"/>
        <v>206.77084922031355</v>
      </c>
      <c r="R96" s="215">
        <f t="shared" si="38"/>
        <v>2000</v>
      </c>
      <c r="T96" s="214">
        <f t="shared" si="39"/>
        <v>2000</v>
      </c>
      <c r="U96" s="214">
        <f t="shared" si="39"/>
        <v>0</v>
      </c>
      <c r="V96" s="214">
        <f t="shared" si="39"/>
        <v>0</v>
      </c>
      <c r="W96" s="214">
        <f t="shared" si="39"/>
        <v>0</v>
      </c>
      <c r="X96" s="214">
        <f t="shared" si="39"/>
        <v>0</v>
      </c>
      <c r="Y96" s="214">
        <f t="shared" si="40"/>
        <v>0</v>
      </c>
      <c r="Z96" s="214">
        <f t="shared" si="40"/>
        <v>0</v>
      </c>
      <c r="AA96" s="214">
        <f t="shared" si="40"/>
        <v>0</v>
      </c>
      <c r="AB96" s="214">
        <f t="shared" si="40"/>
        <v>0</v>
      </c>
      <c r="AC96" s="214">
        <f t="shared" si="40"/>
        <v>0</v>
      </c>
      <c r="AD96" s="214">
        <f t="shared" si="40"/>
        <v>0</v>
      </c>
      <c r="AF96" s="214">
        <f>IF(AND(($D96+$C$1)&gt;AF$3,AF$3&gt;=$C$1),'General Inputs'!D$9*$G96,IF(AND(($C96+$C$1)&gt;AF$3,AF$3&gt;=$C$1),'General Inputs'!D$9*$F96,0))</f>
        <v>37.096746345157861</v>
      </c>
      <c r="AG96" s="214">
        <f>IF(AND(($D96+$C$1)&gt;AG$3,AG$3&gt;=$C$1),'General Inputs'!E$9*$G96,IF(AND(($C96+$C$1)&gt;AG$3,AG$3&gt;=$C$1),'General Inputs'!E$9*$F96,0))</f>
        <v>37.653197540335228</v>
      </c>
      <c r="AH96" s="214">
        <f>IF(AND(($D96+$C$1)&gt;AH$3,AH$3&gt;=$C$1),'General Inputs'!F$9*$G96,IF(AND(($C96+$C$1)&gt;AH$3,AH$3&gt;=$C$1),'General Inputs'!F$9*$F96,0))</f>
        <v>38.21799550344025</v>
      </c>
      <c r="AI96" s="214">
        <f>IF(AND(($D96+$C$1)&gt;AI$3,AI$3&gt;=$C$1),'General Inputs'!G$9*$G96,IF(AND(($C96+$C$1)&gt;AI$3,AI$3&gt;=$C$1),'General Inputs'!G$9*$F96,0))</f>
        <v>38.791265435991853</v>
      </c>
      <c r="AJ96" s="214">
        <f>IF(AND(($D96+$C$1)&gt;AJ$3,AJ$3&gt;=$C$1),'General Inputs'!H$9*$G96,IF(AND(($C96+$C$1)&gt;AJ$3,AJ$3&gt;=$C$1),'General Inputs'!H$9*$F96,0))</f>
        <v>39.373134417531723</v>
      </c>
      <c r="AK96" s="214">
        <f>IF(AND(($D96+$C$1)&gt;AK$3,AK$3&gt;=$C$1),'General Inputs'!I$9*$G96,IF(AND(($C96+$C$1)&gt;AK$3,AK$3&gt;=$C$1),'General Inputs'!I$9*$F96,0))</f>
        <v>39.963731433794692</v>
      </c>
      <c r="AL96" s="214">
        <f>IF(AND(($D96+$C$1)&gt;AL$3,AL$3&gt;=$C$1),'General Inputs'!J$9*$G96,IF(AND(($C96+$C$1)&gt;AL$3,AL$3&gt;=$C$1),'General Inputs'!J$9*$F96,0))</f>
        <v>40.563187405301605</v>
      </c>
      <c r="AM96" s="214">
        <f>IF(AND(($D96+$C$1)&gt;AM$3,AM$3&gt;=$C$1),'General Inputs'!K$9*$G96,IF(AND(($C96+$C$1)&gt;AM$3,AM$3&gt;=$C$1),'General Inputs'!K$9*$F96,0))</f>
        <v>41.171635216381127</v>
      </c>
      <c r="AN96" s="214">
        <f>IF(AND(($D96+$C$1)&gt;AN$3,AN$3&gt;=$C$1),'General Inputs'!L$9*$G96,IF(AND(($C96+$C$1)&gt;AN$3,AN$3&gt;=$C$1),'General Inputs'!L$9*$F96,0))</f>
        <v>41.789209744626838</v>
      </c>
      <c r="AO96" s="214">
        <f>IF(AND(($D96+$C$1)&gt;AO$3,AO$3&gt;=$C$1),'General Inputs'!M$9*$G96,IF(AND(($C96+$C$1)&gt;AO$3,AO$3&gt;=$C$1),'General Inputs'!M$9*$F96,0))</f>
        <v>42.416047890796236</v>
      </c>
      <c r="AP96" s="214">
        <f>IF(AND(($D96+$C$1)&gt;AP$3,AP$3&gt;=$C$1),'General Inputs'!N$9*$G96,IF(AND(($C96+$C$1)&gt;AP$3,AP$3&gt;=$C$1),'General Inputs'!N$9*$F96,0))</f>
        <v>43.052288609158175</v>
      </c>
      <c r="AQ96" s="214">
        <f>IF(AND(($D96+$C$1)&gt;AQ$3,AQ$3&gt;=$C$1),'General Inputs'!O$9*$G96,IF(AND(($C96+$C$1)&gt;AQ$3,AQ$3&gt;=$C$1),'General Inputs'!O$9*$F96,0))</f>
        <v>43.698072938295546</v>
      </c>
      <c r="AR96" s="214">
        <f>IF(AND(($D96+$C$1)&gt;AR$3,AR$3&gt;=$C$1),'General Inputs'!P$9*$G96,IF(AND(($C96+$C$1)&gt;AR$3,AR$3&gt;=$C$1),'General Inputs'!P$9*$F96,0))</f>
        <v>44.353544032369975</v>
      </c>
      <c r="AS96" s="214">
        <f>IF(AND(($D96+$C$1)&gt;AS$3,AS$3&gt;=$C$1),'General Inputs'!Q$9*$G96,IF(AND(($C96+$C$1)&gt;AS$3,AS$3&gt;=$C$1),'General Inputs'!Q$9*$F96,0))</f>
        <v>45.018847192855517</v>
      </c>
      <c r="AT96" s="214">
        <f>IF(AND(($D96+$C$1)&gt;AT$3,AT$3&gt;=$C$1),'General Inputs'!R$9*$G96,IF(AND(($C96+$C$1)&gt;AT$3,AT$3&gt;=$C$1),'General Inputs'!R$9*$F96,0))</f>
        <v>45.694129900748351</v>
      </c>
      <c r="AU96" s="214">
        <f>IF(AND(($D96+$C$1)&gt;AU$3,AU$3&gt;=$C$1),'General Inputs'!S$9*$G96,IF(AND(($C96+$C$1)&gt;AU$3,AU$3&gt;=$C$1),'General Inputs'!S$9*$F96,0))</f>
        <v>0</v>
      </c>
      <c r="AV96" s="214">
        <f>IF(AND(($D96+$C$1)&gt;AV$3,AV$3&gt;=$C$1),'General Inputs'!T$9*$G96,IF(AND(($C96+$C$1)&gt;AV$3,AV$3&gt;=$C$1),'General Inputs'!T$9*$F96,0))</f>
        <v>0</v>
      </c>
      <c r="AW96" s="214">
        <f>IF(AND(($D96+$C$1)&gt;AW$3,AW$3&gt;=$C$1),'General Inputs'!U$9*$G96,IF(AND(($C96+$C$1)&gt;AW$3,AW$3&gt;=$C$1),'General Inputs'!U$9*$F96,0))</f>
        <v>0</v>
      </c>
      <c r="AX96" s="214">
        <f>IF(AND(($D96+$C$1)&gt;AX$3,AX$3&gt;=$C$1),'General Inputs'!V$9*$G96,IF(AND(($C96+$C$1)&gt;AX$3,AX$3&gt;=$C$1),'General Inputs'!V$9*$F96,0))</f>
        <v>0</v>
      </c>
      <c r="AY96" s="214">
        <f>IF(AND(($D96+$C$1)&gt;AY$3,AY$3&gt;=$C$1),'General Inputs'!W$9*$G96,IF(AND(($C96+$C$1)&gt;AY$3,AY$3&gt;=$C$1),'General Inputs'!W$9*$F96,0))</f>
        <v>0</v>
      </c>
      <c r="BA96" s="214">
        <f>IF(AND(($D96+$C$1)&gt;AF$3,AF$3&gt;=$C$1),'General Inputs'!D$10*$I96,IF(AND(($C96+$C$1)&gt;AF$3,AF$3&gt;=$C$1),'General Inputs'!D$10*$H96,0))</f>
        <v>21.481965877265822</v>
      </c>
      <c r="BB96" s="214">
        <f>IF(AND(($D96+$C$1)&gt;AG$3,AG$3&gt;=$C$1),'General Inputs'!E$10*$I96,IF(AND(($C96+$C$1)&gt;AG$3,AG$3&gt;=$C$1),'General Inputs'!E$10*$H96,0))</f>
        <v>21.804195365424807</v>
      </c>
      <c r="BC96" s="214">
        <f>IF(AND(($D96+$C$1)&gt;AH$3,AH$3&gt;=$C$1),'General Inputs'!F$10*$I96,IF(AND(($C96+$C$1)&gt;AH$3,AH$3&gt;=$C$1),'General Inputs'!F$10*$H96,0))</f>
        <v>22.131258295906179</v>
      </c>
      <c r="BD96" s="214">
        <f>IF(AND(($D96+$C$1)&gt;AI$3,AI$3&gt;=$C$1),'General Inputs'!G$10*$I96,IF(AND(($C96+$C$1)&gt;AI$3,AI$3&gt;=$C$1),'General Inputs'!G$10*$H96,0))</f>
        <v>22.463227170344769</v>
      </c>
      <c r="BE96" s="214">
        <f>IF(AND(($D96+$C$1)&gt;AJ$3,AJ$3&gt;=$C$1),'General Inputs'!H$10*$I96,IF(AND(($C96+$C$1)&gt;AJ$3,AJ$3&gt;=$C$1),'General Inputs'!H$10*$H96,0))</f>
        <v>22.800175577899939</v>
      </c>
      <c r="BF96" s="214">
        <f>IF(AND(($D96+$C$1)&gt;AK$3,AK$3&gt;=$C$1),'General Inputs'!I$10*$I96,IF(AND(($C96+$C$1)&gt;AK$3,AK$3&gt;=$C$1),'General Inputs'!I$10*$H96,0))</f>
        <v>23.142178211568432</v>
      </c>
      <c r="BG96" s="214">
        <f>IF(AND(($D96+$C$1)&gt;AL$3,AL$3&gt;=$C$1),'General Inputs'!J$10*$I96,IF(AND(($C96+$C$1)&gt;AL$3,AL$3&gt;=$C$1),'General Inputs'!J$10*$H96,0))</f>
        <v>23.489310884741958</v>
      </c>
      <c r="BH96" s="214">
        <f>IF(AND(($D96+$C$1)&gt;AM$3,AM$3&gt;=$C$1),'General Inputs'!K$10*$I96,IF(AND(($C96+$C$1)&gt;AM$3,AM$3&gt;=$C$1),'General Inputs'!K$10*$H96,0))</f>
        <v>23.841650548013085</v>
      </c>
      <c r="BI96" s="214">
        <f>IF(AND(($D96+$C$1)&gt;AN$3,AN$3&gt;=$C$1),'General Inputs'!L$10*$I96,IF(AND(($C96+$C$1)&gt;AN$3,AN$3&gt;=$C$1),'General Inputs'!L$10*$H96,0))</f>
        <v>24.199275306233279</v>
      </c>
      <c r="BJ96" s="214">
        <f>IF(AND(($D96+$C$1)&gt;AO$3,AO$3&gt;=$C$1),'General Inputs'!M$10*$I96,IF(AND(($C96+$C$1)&gt;AO$3,AO$3&gt;=$C$1),'General Inputs'!M$10*$H96,0))</f>
        <v>24.562264435826776</v>
      </c>
      <c r="BK96" s="214">
        <f>IF(AND(($D96+$C$1)&gt;AP$3,AP$3&gt;=$C$1),'General Inputs'!N$10*$I96,IF(AND(($C96+$C$1)&gt;AP$3,AP$3&gt;=$C$1),'General Inputs'!N$10*$H96,0))</f>
        <v>24.930698402364175</v>
      </c>
      <c r="BL96" s="214">
        <f>IF(AND(($D96+$C$1)&gt;AQ$3,AQ$3&gt;=$C$1),'General Inputs'!O$10*$I96,IF(AND(($C96+$C$1)&gt;AQ$3,AQ$3&gt;=$C$1),'General Inputs'!O$10*$H96,0))</f>
        <v>25.304658878399636</v>
      </c>
      <c r="BM96" s="214">
        <f>IF(AND(($D96+$C$1)&gt;AR$3,AR$3&gt;=$C$1),'General Inputs'!P$10*$I96,IF(AND(($C96+$C$1)&gt;AR$3,AR$3&gt;=$C$1),'General Inputs'!P$10*$H96,0))</f>
        <v>25.684228761575628</v>
      </c>
      <c r="BN96" s="214">
        <f>IF(AND(($D96+$C$1)&gt;AS$3,AS$3&gt;=$C$1),'General Inputs'!Q$10*$I96,IF(AND(($C96+$C$1)&gt;AS$3,AS$3&gt;=$C$1),'General Inputs'!Q$10*$H96,0))</f>
        <v>26.06949219299926</v>
      </c>
      <c r="BO96" s="214">
        <f>IF(AND(($D96+$C$1)&gt;AT$3,AT$3&gt;=$C$1),'General Inputs'!R$10*$I96,IF(AND(($C96+$C$1)&gt;AT$3,AT$3&gt;=$C$1),'General Inputs'!R$10*$H96,0))</f>
        <v>26.460534575894243</v>
      </c>
      <c r="BP96" s="214">
        <f>IF(AND(($D96+$C$1)&gt;AU$3,AU$3&gt;=$C$1),'General Inputs'!S$10*$I96,IF(AND(($C96+$C$1)&gt;AU$3,AU$3&gt;=$C$1),'General Inputs'!S$10*$H96,0))</f>
        <v>0</v>
      </c>
      <c r="BQ96" s="214">
        <f>IF(AND(($D96+$C$1)&gt;AV$3,AV$3&gt;=$C$1),'General Inputs'!T$10*$I96,IF(AND(($C96+$C$1)&gt;AV$3,AV$3&gt;=$C$1),'General Inputs'!T$10*$H96,0))</f>
        <v>0</v>
      </c>
      <c r="BR96" s="214">
        <f>IF(AND(($D96+$C$1)&gt;AW$3,AW$3&gt;=$C$1),'General Inputs'!U$10*$I96,IF(AND(($C96+$C$1)&gt;AW$3,AW$3&gt;=$C$1),'General Inputs'!U$10*$H96,0))</f>
        <v>0</v>
      </c>
      <c r="BS96" s="214">
        <f>IF(AND(($D96+$C$1)&gt;AX$3,AX$3&gt;=$C$1),'General Inputs'!V$10*$I96,IF(AND(($C96+$C$1)&gt;AX$3,AX$3&gt;=$C$1),'General Inputs'!V$10*$H96,0))</f>
        <v>0</v>
      </c>
      <c r="BT96" s="214">
        <f>IF(AND(($D96+$C$1)&gt;AY$3,AY$3&gt;=$C$1),'General Inputs'!W$10*$I96,IF(AND(($C96+$C$1)&gt;AY$3,AY$3&gt;=$C$1),'General Inputs'!W$10*$H96,0))</f>
        <v>0</v>
      </c>
    </row>
    <row r="97" spans="1:72">
      <c r="A97" s="342" t="s">
        <v>112</v>
      </c>
      <c r="B97" s="427" t="str">
        <f>Sources!B97</f>
        <v>Geothermal Heat Pump</v>
      </c>
      <c r="C97" s="193">
        <f>Sources!C97</f>
        <v>15</v>
      </c>
      <c r="D97" s="193">
        <f>Sources!D97</f>
        <v>0</v>
      </c>
      <c r="F97" s="429">
        <f>Sources!F97*EnergyLineLoss</f>
        <v>23256.790058789316</v>
      </c>
      <c r="G97" s="429">
        <f>Sources!G97*EnergyLineLoss</f>
        <v>0</v>
      </c>
      <c r="H97" s="477">
        <f>Sources!H97*PeakLineLoss</f>
        <v>2.1947909920326034</v>
      </c>
      <c r="I97" s="477">
        <f>Sources!I97*PeakLineLoss</f>
        <v>0</v>
      </c>
      <c r="K97" s="419">
        <f>Sources!J97</f>
        <v>4100</v>
      </c>
      <c r="L97" s="419">
        <f>Sources!K97</f>
        <v>0</v>
      </c>
      <c r="N97" s="438">
        <f t="shared" si="35"/>
        <v>2.2508475763472711</v>
      </c>
      <c r="P97" s="215">
        <f t="shared" si="36"/>
        <v>8912.1398718977507</v>
      </c>
      <c r="Q97" s="215">
        <f t="shared" si="37"/>
        <v>316.3351911260624</v>
      </c>
      <c r="R97" s="215">
        <f t="shared" si="38"/>
        <v>4100</v>
      </c>
      <c r="T97" s="214">
        <f t="shared" si="39"/>
        <v>4100</v>
      </c>
      <c r="U97" s="214">
        <f t="shared" si="39"/>
        <v>0</v>
      </c>
      <c r="V97" s="214">
        <f t="shared" si="39"/>
        <v>0</v>
      </c>
      <c r="W97" s="214">
        <f t="shared" si="39"/>
        <v>0</v>
      </c>
      <c r="X97" s="214">
        <f t="shared" si="39"/>
        <v>0</v>
      </c>
      <c r="Y97" s="214">
        <f t="shared" si="40"/>
        <v>0</v>
      </c>
      <c r="Z97" s="214">
        <f t="shared" si="40"/>
        <v>0</v>
      </c>
      <c r="AA97" s="214">
        <f t="shared" si="40"/>
        <v>0</v>
      </c>
      <c r="AB97" s="214">
        <f t="shared" si="40"/>
        <v>0</v>
      </c>
      <c r="AC97" s="214">
        <f t="shared" si="40"/>
        <v>0</v>
      </c>
      <c r="AD97" s="214">
        <f t="shared" si="40"/>
        <v>0</v>
      </c>
      <c r="AF97" s="214">
        <f>IF(AND(($D97+$C$1)&gt;AF$3,AF$3&gt;=$C$1),'General Inputs'!D$9*$G97,IF(AND(($C97+$C$1)&gt;AF$3,AF$3&gt;=$C$1),'General Inputs'!D$9*$F97,0))</f>
        <v>925.90558748219928</v>
      </c>
      <c r="AG97" s="214">
        <f>IF(AND(($D97+$C$1)&gt;AG$3,AG$3&gt;=$C$1),'General Inputs'!E$9*$G97,IF(AND(($C97+$C$1)&gt;AG$3,AG$3&gt;=$C$1),'General Inputs'!E$9*$F97,0))</f>
        <v>939.79417129443209</v>
      </c>
      <c r="AH97" s="214">
        <f>IF(AND(($D97+$C$1)&gt;AH$3,AH$3&gt;=$C$1),'General Inputs'!F$9*$G97,IF(AND(($C97+$C$1)&gt;AH$3,AH$3&gt;=$C$1),'General Inputs'!F$9*$F97,0))</f>
        <v>953.89108386384851</v>
      </c>
      <c r="AI97" s="214">
        <f>IF(AND(($D97+$C$1)&gt;AI$3,AI$3&gt;=$C$1),'General Inputs'!G$9*$G97,IF(AND(($C97+$C$1)&gt;AI$3,AI$3&gt;=$C$1),'General Inputs'!G$9*$F97,0))</f>
        <v>968.19945012180619</v>
      </c>
      <c r="AJ97" s="214">
        <f>IF(AND(($D97+$C$1)&gt;AJ$3,AJ$3&gt;=$C$1),'General Inputs'!H$9*$G97,IF(AND(($C97+$C$1)&gt;AJ$3,AJ$3&gt;=$C$1),'General Inputs'!H$9*$F97,0))</f>
        <v>982.7224418736331</v>
      </c>
      <c r="AK97" s="214">
        <f>IF(AND(($D97+$C$1)&gt;AK$3,AK$3&gt;=$C$1),'General Inputs'!I$9*$G97,IF(AND(($C97+$C$1)&gt;AK$3,AK$3&gt;=$C$1),'General Inputs'!I$9*$F97,0))</f>
        <v>997.46327850173748</v>
      </c>
      <c r="AL97" s="214">
        <f>IF(AND(($D97+$C$1)&gt;AL$3,AL$3&gt;=$C$1),'General Inputs'!J$9*$G97,IF(AND(($C97+$C$1)&gt;AL$3,AL$3&gt;=$C$1),'General Inputs'!J$9*$F97,0))</f>
        <v>1012.4252276792633</v>
      </c>
      <c r="AM97" s="214">
        <f>IF(AND(($D97+$C$1)&gt;AM$3,AM$3&gt;=$C$1),'General Inputs'!K$9*$G97,IF(AND(($C97+$C$1)&gt;AM$3,AM$3&gt;=$C$1),'General Inputs'!K$9*$F97,0))</f>
        <v>1027.6116060944521</v>
      </c>
      <c r="AN97" s="214">
        <f>IF(AND(($D97+$C$1)&gt;AN$3,AN$3&gt;=$C$1),'General Inputs'!L$9*$G97,IF(AND(($C97+$C$1)&gt;AN$3,AN$3&gt;=$C$1),'General Inputs'!L$9*$F97,0))</f>
        <v>1043.0257801858688</v>
      </c>
      <c r="AO97" s="214">
        <f>IF(AND(($D97+$C$1)&gt;AO$3,AO$3&gt;=$C$1),'General Inputs'!M$9*$G97,IF(AND(($C97+$C$1)&gt;AO$3,AO$3&gt;=$C$1),'General Inputs'!M$9*$F97,0))</f>
        <v>1058.6711668886567</v>
      </c>
      <c r="AP97" s="214">
        <f>IF(AND(($D97+$C$1)&gt;AP$3,AP$3&gt;=$C$1),'General Inputs'!N$9*$G97,IF(AND(($C97+$C$1)&gt;AP$3,AP$3&gt;=$C$1),'General Inputs'!N$9*$F97,0))</f>
        <v>1074.5512343919866</v>
      </c>
      <c r="AQ97" s="214">
        <f>IF(AND(($D97+$C$1)&gt;AQ$3,AQ$3&gt;=$C$1),'General Inputs'!O$9*$G97,IF(AND(($C97+$C$1)&gt;AQ$3,AQ$3&gt;=$C$1),'General Inputs'!O$9*$F97,0))</f>
        <v>1090.6695029078662</v>
      </c>
      <c r="AR97" s="214">
        <f>IF(AND(($D97+$C$1)&gt;AR$3,AR$3&gt;=$C$1),'General Inputs'!P$9*$G97,IF(AND(($C97+$C$1)&gt;AR$3,AR$3&gt;=$C$1),'General Inputs'!P$9*$F97,0))</f>
        <v>1107.0295454514842</v>
      </c>
      <c r="AS97" s="214">
        <f>IF(AND(($D97+$C$1)&gt;AS$3,AS$3&gt;=$C$1),'General Inputs'!Q$9*$G97,IF(AND(($C97+$C$1)&gt;AS$3,AS$3&gt;=$C$1),'General Inputs'!Q$9*$F97,0))</f>
        <v>1123.6349886332562</v>
      </c>
      <c r="AT97" s="214">
        <f>IF(AND(($D97+$C$1)&gt;AT$3,AT$3&gt;=$C$1),'General Inputs'!R$9*$G97,IF(AND(($C97+$C$1)&gt;AT$3,AT$3&gt;=$C$1),'General Inputs'!R$9*$F97,0))</f>
        <v>1140.489513462755</v>
      </c>
      <c r="AU97" s="214">
        <f>IF(AND(($D97+$C$1)&gt;AU$3,AU$3&gt;=$C$1),'General Inputs'!S$9*$G97,IF(AND(($C97+$C$1)&gt;AU$3,AU$3&gt;=$C$1),'General Inputs'!S$9*$F97,0))</f>
        <v>0</v>
      </c>
      <c r="AV97" s="214">
        <f>IF(AND(($D97+$C$1)&gt;AV$3,AV$3&gt;=$C$1),'General Inputs'!T$9*$G97,IF(AND(($C97+$C$1)&gt;AV$3,AV$3&gt;=$C$1),'General Inputs'!T$9*$F97,0))</f>
        <v>0</v>
      </c>
      <c r="AW97" s="214">
        <f>IF(AND(($D97+$C$1)&gt;AW$3,AW$3&gt;=$C$1),'General Inputs'!U$9*$G97,IF(AND(($C97+$C$1)&gt;AW$3,AW$3&gt;=$C$1),'General Inputs'!U$9*$F97,0))</f>
        <v>0</v>
      </c>
      <c r="AX97" s="214">
        <f>IF(AND(($D97+$C$1)&gt;AX$3,AX$3&gt;=$C$1),'General Inputs'!V$9*$G97,IF(AND(($C97+$C$1)&gt;AX$3,AX$3&gt;=$C$1),'General Inputs'!V$9*$F97,0))</f>
        <v>0</v>
      </c>
      <c r="AY97" s="214">
        <f>IF(AND(($D97+$C$1)&gt;AY$3,AY$3&gt;=$C$1),'General Inputs'!W$9*$G97,IF(AND(($C97+$C$1)&gt;AY$3,AY$3&gt;=$C$1),'General Inputs'!W$9*$F97,0))</f>
        <v>0</v>
      </c>
      <c r="BA97" s="214">
        <f>IF(AND(($D97+$C$1)&gt;AF$3,AF$3&gt;=$C$1),'General Inputs'!D$10*$I97,IF(AND(($C97+$C$1)&gt;AF$3,AF$3&gt;=$C$1),'General Inputs'!D$10*$H97,0))</f>
        <v>32.864892740793707</v>
      </c>
      <c r="BB97" s="214">
        <f>IF(AND(($D97+$C$1)&gt;AG$3,AG$3&gt;=$C$1),'General Inputs'!E$10*$I97,IF(AND(($C97+$C$1)&gt;AG$3,AG$3&gt;=$C$1),'General Inputs'!E$10*$H97,0))</f>
        <v>33.35786613190561</v>
      </c>
      <c r="BC97" s="214">
        <f>IF(AND(($D97+$C$1)&gt;AH$3,AH$3&gt;=$C$1),'General Inputs'!F$10*$I97,IF(AND(($C97+$C$1)&gt;AH$3,AH$3&gt;=$C$1),'General Inputs'!F$10*$H97,0))</f>
        <v>33.858234123884188</v>
      </c>
      <c r="BD97" s="214">
        <f>IF(AND(($D97+$C$1)&gt;AI$3,AI$3&gt;=$C$1),'General Inputs'!G$10*$I97,IF(AND(($C97+$C$1)&gt;AI$3,AI$3&gt;=$C$1),'General Inputs'!G$10*$H97,0))</f>
        <v>34.366107635742452</v>
      </c>
      <c r="BE97" s="214">
        <f>IF(AND(($D97+$C$1)&gt;AJ$3,AJ$3&gt;=$C$1),'General Inputs'!H$10*$I97,IF(AND(($C97+$C$1)&gt;AJ$3,AJ$3&gt;=$C$1),'General Inputs'!H$10*$H97,0))</f>
        <v>34.881599250278583</v>
      </c>
      <c r="BF97" s="214">
        <f>IF(AND(($D97+$C$1)&gt;AK$3,AK$3&gt;=$C$1),'General Inputs'!I$10*$I97,IF(AND(($C97+$C$1)&gt;AK$3,AK$3&gt;=$C$1),'General Inputs'!I$10*$H97,0))</f>
        <v>35.404823239032758</v>
      </c>
      <c r="BG97" s="214">
        <f>IF(AND(($D97+$C$1)&gt;AL$3,AL$3&gt;=$C$1),'General Inputs'!J$10*$I97,IF(AND(($C97+$C$1)&gt;AL$3,AL$3&gt;=$C$1),'General Inputs'!J$10*$H97,0))</f>
        <v>35.935895587618241</v>
      </c>
      <c r="BH97" s="214">
        <f>IF(AND(($D97+$C$1)&gt;AM$3,AM$3&gt;=$C$1),'General Inputs'!K$10*$I97,IF(AND(($C97+$C$1)&gt;AM$3,AM$3&gt;=$C$1),'General Inputs'!K$10*$H97,0))</f>
        <v>36.474934021432517</v>
      </c>
      <c r="BI97" s="214">
        <f>IF(AND(($D97+$C$1)&gt;AN$3,AN$3&gt;=$C$1),'General Inputs'!L$10*$I97,IF(AND(($C97+$C$1)&gt;AN$3,AN$3&gt;=$C$1),'General Inputs'!L$10*$H97,0))</f>
        <v>37.022058031754</v>
      </c>
      <c r="BJ97" s="214">
        <f>IF(AND(($D97+$C$1)&gt;AO$3,AO$3&gt;=$C$1),'General Inputs'!M$10*$I97,IF(AND(($C97+$C$1)&gt;AO$3,AO$3&gt;=$C$1),'General Inputs'!M$10*$H97,0))</f>
        <v>37.577388902230311</v>
      </c>
      <c r="BK97" s="214">
        <f>IF(AND(($D97+$C$1)&gt;AP$3,AP$3&gt;=$C$1),'General Inputs'!N$10*$I97,IF(AND(($C97+$C$1)&gt;AP$3,AP$3&gt;=$C$1),'General Inputs'!N$10*$H97,0))</f>
        <v>38.141049735763758</v>
      </c>
      <c r="BL97" s="214">
        <f>IF(AND(($D97+$C$1)&gt;AQ$3,AQ$3&gt;=$C$1),'General Inputs'!O$10*$I97,IF(AND(($C97+$C$1)&gt;AQ$3,AQ$3&gt;=$C$1),'General Inputs'!O$10*$H97,0))</f>
        <v>38.71316548180021</v>
      </c>
      <c r="BM97" s="214">
        <f>IF(AND(($D97+$C$1)&gt;AR$3,AR$3&gt;=$C$1),'General Inputs'!P$10*$I97,IF(AND(($C97+$C$1)&gt;AR$3,AR$3&gt;=$C$1),'General Inputs'!P$10*$H97,0))</f>
        <v>39.293862964027213</v>
      </c>
      <c r="BN97" s="214">
        <f>IF(AND(($D97+$C$1)&gt;AS$3,AS$3&gt;=$C$1),'General Inputs'!Q$10*$I97,IF(AND(($C97+$C$1)&gt;AS$3,AS$3&gt;=$C$1),'General Inputs'!Q$10*$H97,0))</f>
        <v>39.883270908487617</v>
      </c>
      <c r="BO97" s="214">
        <f>IF(AND(($D97+$C$1)&gt;AT$3,AT$3&gt;=$C$1),'General Inputs'!R$10*$I97,IF(AND(($C97+$C$1)&gt;AT$3,AT$3&gt;=$C$1),'General Inputs'!R$10*$H97,0))</f>
        <v>40.481519972114924</v>
      </c>
      <c r="BP97" s="214">
        <f>IF(AND(($D97+$C$1)&gt;AU$3,AU$3&gt;=$C$1),'General Inputs'!S$10*$I97,IF(AND(($C97+$C$1)&gt;AU$3,AU$3&gt;=$C$1),'General Inputs'!S$10*$H97,0))</f>
        <v>0</v>
      </c>
      <c r="BQ97" s="214">
        <f>IF(AND(($D97+$C$1)&gt;AV$3,AV$3&gt;=$C$1),'General Inputs'!T$10*$I97,IF(AND(($C97+$C$1)&gt;AV$3,AV$3&gt;=$C$1),'General Inputs'!T$10*$H97,0))</f>
        <v>0</v>
      </c>
      <c r="BR97" s="214">
        <f>IF(AND(($D97+$C$1)&gt;AW$3,AW$3&gt;=$C$1),'General Inputs'!U$10*$I97,IF(AND(($C97+$C$1)&gt;AW$3,AW$3&gt;=$C$1),'General Inputs'!U$10*$H97,0))</f>
        <v>0</v>
      </c>
      <c r="BS97" s="214">
        <f>IF(AND(($D97+$C$1)&gt;AX$3,AX$3&gt;=$C$1),'General Inputs'!V$10*$I97,IF(AND(($C97+$C$1)&gt;AX$3,AX$3&gt;=$C$1),'General Inputs'!V$10*$H97,0))</f>
        <v>0</v>
      </c>
      <c r="BT97" s="214">
        <f>IF(AND(($D97+$C$1)&gt;AY$3,AY$3&gt;=$C$1),'General Inputs'!W$10*$I97,IF(AND(($C97+$C$1)&gt;AY$3,AY$3&gt;=$C$1),'General Inputs'!W$10*$H97,0))</f>
        <v>0</v>
      </c>
    </row>
    <row r="98" spans="1:72">
      <c r="A98" s="342" t="s">
        <v>112</v>
      </c>
      <c r="B98" s="427" t="str">
        <f>Sources!B98</f>
        <v>Electric Storage Water Heater (&gt;50 gallons)</v>
      </c>
      <c r="C98" s="193">
        <f>Sources!C98</f>
        <v>5</v>
      </c>
      <c r="D98" s="193">
        <f>Sources!D98</f>
        <v>0</v>
      </c>
      <c r="F98" s="429">
        <f>Sources!F98*EnergyLineLoss</f>
        <v>1864.5499499999999</v>
      </c>
      <c r="G98" s="429">
        <f>Sources!G98*EnergyLineLoss</f>
        <v>0</v>
      </c>
      <c r="H98" s="477">
        <f>Sources!H98*PeakLineLoss</f>
        <v>0.2094</v>
      </c>
      <c r="I98" s="477">
        <f>Sources!I98*PeakLineLoss</f>
        <v>0</v>
      </c>
      <c r="K98" s="419">
        <f>Sources!J98</f>
        <v>1050</v>
      </c>
      <c r="L98" s="419">
        <f>Sources!K98</f>
        <v>0</v>
      </c>
      <c r="N98" s="438">
        <f t="shared" si="35"/>
        <v>0.32196550036704868</v>
      </c>
      <c r="P98" s="215">
        <f t="shared" si="36"/>
        <v>324.36266901259415</v>
      </c>
      <c r="Q98" s="215">
        <f t="shared" si="37"/>
        <v>13.701106372806986</v>
      </c>
      <c r="R98" s="215">
        <f t="shared" si="38"/>
        <v>1050</v>
      </c>
      <c r="T98" s="214">
        <f t="shared" si="39"/>
        <v>1050</v>
      </c>
      <c r="U98" s="214">
        <f t="shared" si="39"/>
        <v>0</v>
      </c>
      <c r="V98" s="214">
        <f t="shared" si="39"/>
        <v>0</v>
      </c>
      <c r="W98" s="214">
        <f t="shared" si="39"/>
        <v>0</v>
      </c>
      <c r="X98" s="214">
        <f t="shared" si="39"/>
        <v>0</v>
      </c>
      <c r="Y98" s="214">
        <f t="shared" si="40"/>
        <v>0</v>
      </c>
      <c r="Z98" s="214">
        <f t="shared" si="40"/>
        <v>0</v>
      </c>
      <c r="AA98" s="214">
        <f t="shared" si="40"/>
        <v>0</v>
      </c>
      <c r="AB98" s="214">
        <f t="shared" si="40"/>
        <v>0</v>
      </c>
      <c r="AC98" s="214">
        <f t="shared" si="40"/>
        <v>0</v>
      </c>
      <c r="AD98" s="214">
        <f t="shared" si="40"/>
        <v>0</v>
      </c>
      <c r="AF98" s="214">
        <f>IF(AND(($D98+$C$1)&gt;AF$3,AF$3&gt;=$C$1),'General Inputs'!D$9*$G98,IF(AND(($C98+$C$1)&gt;AF$3,AF$3&gt;=$C$1),'General Inputs'!D$9*$F98,0))</f>
        <v>74.231964621111018</v>
      </c>
      <c r="AG98" s="214">
        <f>IF(AND(($D98+$C$1)&gt;AG$3,AG$3&gt;=$C$1),'General Inputs'!E$9*$G98,IF(AND(($C98+$C$1)&gt;AG$3,AG$3&gt;=$C$1),'General Inputs'!E$9*$F98,0))</f>
        <v>75.345444090427677</v>
      </c>
      <c r="AH98" s="214">
        <f>IF(AND(($D98+$C$1)&gt;AH$3,AH$3&gt;=$C$1),'General Inputs'!F$9*$G98,IF(AND(($C98+$C$1)&gt;AH$3,AH$3&gt;=$C$1),'General Inputs'!F$9*$F98,0))</f>
        <v>76.475625751784094</v>
      </c>
      <c r="AI98" s="214">
        <f>IF(AND(($D98+$C$1)&gt;AI$3,AI$3&gt;=$C$1),'General Inputs'!G$9*$G98,IF(AND(($C98+$C$1)&gt;AI$3,AI$3&gt;=$C$1),'General Inputs'!G$9*$F98,0))</f>
        <v>77.622760138060841</v>
      </c>
      <c r="AJ98" s="214">
        <f>IF(AND(($D98+$C$1)&gt;AJ$3,AJ$3&gt;=$C$1),'General Inputs'!H$9*$G98,IF(AND(($C98+$C$1)&gt;AJ$3,AJ$3&gt;=$C$1),'General Inputs'!H$9*$F98,0))</f>
        <v>78.787101540131744</v>
      </c>
      <c r="AK98" s="214">
        <f>IF(AND(($D98+$C$1)&gt;AK$3,AK$3&gt;=$C$1),'General Inputs'!I$9*$G98,IF(AND(($C98+$C$1)&gt;AK$3,AK$3&gt;=$C$1),'General Inputs'!I$9*$F98,0))</f>
        <v>0</v>
      </c>
      <c r="AL98" s="214">
        <f>IF(AND(($D98+$C$1)&gt;AL$3,AL$3&gt;=$C$1),'General Inputs'!J$9*$G98,IF(AND(($C98+$C$1)&gt;AL$3,AL$3&gt;=$C$1),'General Inputs'!J$9*$F98,0))</f>
        <v>0</v>
      </c>
      <c r="AM98" s="214">
        <f>IF(AND(($D98+$C$1)&gt;AM$3,AM$3&gt;=$C$1),'General Inputs'!K$9*$G98,IF(AND(($C98+$C$1)&gt;AM$3,AM$3&gt;=$C$1),'General Inputs'!K$9*$F98,0))</f>
        <v>0</v>
      </c>
      <c r="AN98" s="214">
        <f>IF(AND(($D98+$C$1)&gt;AN$3,AN$3&gt;=$C$1),'General Inputs'!L$9*$G98,IF(AND(($C98+$C$1)&gt;AN$3,AN$3&gt;=$C$1),'General Inputs'!L$9*$F98,0))</f>
        <v>0</v>
      </c>
      <c r="AO98" s="214">
        <f>IF(AND(($D98+$C$1)&gt;AO$3,AO$3&gt;=$C$1),'General Inputs'!M$9*$G98,IF(AND(($C98+$C$1)&gt;AO$3,AO$3&gt;=$C$1),'General Inputs'!M$9*$F98,0))</f>
        <v>0</v>
      </c>
      <c r="AP98" s="214">
        <f>IF(AND(($D98+$C$1)&gt;AP$3,AP$3&gt;=$C$1),'General Inputs'!N$9*$G98,IF(AND(($C98+$C$1)&gt;AP$3,AP$3&gt;=$C$1),'General Inputs'!N$9*$F98,0))</f>
        <v>0</v>
      </c>
      <c r="AQ98" s="214">
        <f>IF(AND(($D98+$C$1)&gt;AQ$3,AQ$3&gt;=$C$1),'General Inputs'!O$9*$G98,IF(AND(($C98+$C$1)&gt;AQ$3,AQ$3&gt;=$C$1),'General Inputs'!O$9*$F98,0))</f>
        <v>0</v>
      </c>
      <c r="AR98" s="214">
        <f>IF(AND(($D98+$C$1)&gt;AR$3,AR$3&gt;=$C$1),'General Inputs'!P$9*$G98,IF(AND(($C98+$C$1)&gt;AR$3,AR$3&gt;=$C$1),'General Inputs'!P$9*$F98,0))</f>
        <v>0</v>
      </c>
      <c r="AS98" s="214">
        <f>IF(AND(($D98+$C$1)&gt;AS$3,AS$3&gt;=$C$1),'General Inputs'!Q$9*$G98,IF(AND(($C98+$C$1)&gt;AS$3,AS$3&gt;=$C$1),'General Inputs'!Q$9*$F98,0))</f>
        <v>0</v>
      </c>
      <c r="AT98" s="214">
        <f>IF(AND(($D98+$C$1)&gt;AT$3,AT$3&gt;=$C$1),'General Inputs'!R$9*$G98,IF(AND(($C98+$C$1)&gt;AT$3,AT$3&gt;=$C$1),'General Inputs'!R$9*$F98,0))</f>
        <v>0</v>
      </c>
      <c r="AU98" s="214">
        <f>IF(AND(($D98+$C$1)&gt;AU$3,AU$3&gt;=$C$1),'General Inputs'!S$9*$G98,IF(AND(($C98+$C$1)&gt;AU$3,AU$3&gt;=$C$1),'General Inputs'!S$9*$F98,0))</f>
        <v>0</v>
      </c>
      <c r="AV98" s="214">
        <f>IF(AND(($D98+$C$1)&gt;AV$3,AV$3&gt;=$C$1),'General Inputs'!T$9*$G98,IF(AND(($C98+$C$1)&gt;AV$3,AV$3&gt;=$C$1),'General Inputs'!T$9*$F98,0))</f>
        <v>0</v>
      </c>
      <c r="AW98" s="214">
        <f>IF(AND(($D98+$C$1)&gt;AW$3,AW$3&gt;=$C$1),'General Inputs'!U$9*$G98,IF(AND(($C98+$C$1)&gt;AW$3,AW$3&gt;=$C$1),'General Inputs'!U$9*$F98,0))</f>
        <v>0</v>
      </c>
      <c r="AX98" s="214">
        <f>IF(AND(($D98+$C$1)&gt;AX$3,AX$3&gt;=$C$1),'General Inputs'!V$9*$G98,IF(AND(($C98+$C$1)&gt;AX$3,AX$3&gt;=$C$1),'General Inputs'!V$9*$F98,0))</f>
        <v>0</v>
      </c>
      <c r="AY98" s="214">
        <f>IF(AND(($D98+$C$1)&gt;AY$3,AY$3&gt;=$C$1),'General Inputs'!W$9*$G98,IF(AND(($C98+$C$1)&gt;AY$3,AY$3&gt;=$C$1),'General Inputs'!W$9*$F98,0))</f>
        <v>0</v>
      </c>
      <c r="BA98" s="214">
        <f>IF(AND(($D98+$C$1)&gt;AF$3,AF$3&gt;=$C$1),'General Inputs'!D$10*$I98,IF(AND(($C98+$C$1)&gt;AF$3,AF$3&gt;=$C$1),'General Inputs'!D$10*$H98,0))</f>
        <v>3.1355644181630447</v>
      </c>
      <c r="BB98" s="214">
        <f>IF(AND(($D98+$C$1)&gt;AG$3,AG$3&gt;=$C$1),'General Inputs'!E$10*$I98,IF(AND(($C98+$C$1)&gt;AG$3,AG$3&gt;=$C$1),'General Inputs'!E$10*$H98,0))</f>
        <v>3.1825978844354901</v>
      </c>
      <c r="BC98" s="214">
        <f>IF(AND(($D98+$C$1)&gt;AH$3,AH$3&gt;=$C$1),'General Inputs'!F$10*$I98,IF(AND(($C98+$C$1)&gt;AH$3,AH$3&gt;=$C$1),'General Inputs'!F$10*$H98,0))</f>
        <v>3.2303368527020222</v>
      </c>
      <c r="BD98" s="214">
        <f>IF(AND(($D98+$C$1)&gt;AI$3,AI$3&gt;=$C$1),'General Inputs'!G$10*$I98,IF(AND(($C98+$C$1)&gt;AI$3,AI$3&gt;=$C$1),'General Inputs'!G$10*$H98,0))</f>
        <v>3.2787919054925525</v>
      </c>
      <c r="BE98" s="214">
        <f>IF(AND(($D98+$C$1)&gt;AJ$3,AJ$3&gt;=$C$1),'General Inputs'!H$10*$I98,IF(AND(($C98+$C$1)&gt;AJ$3,AJ$3&gt;=$C$1),'General Inputs'!H$10*$H98,0))</f>
        <v>3.3279737840749406</v>
      </c>
      <c r="BF98" s="214">
        <f>IF(AND(($D98+$C$1)&gt;AK$3,AK$3&gt;=$C$1),'General Inputs'!I$10*$I98,IF(AND(($C98+$C$1)&gt;AK$3,AK$3&gt;=$C$1),'General Inputs'!I$10*$H98,0))</f>
        <v>0</v>
      </c>
      <c r="BG98" s="214">
        <f>IF(AND(($D98+$C$1)&gt;AL$3,AL$3&gt;=$C$1),'General Inputs'!J$10*$I98,IF(AND(($C98+$C$1)&gt;AL$3,AL$3&gt;=$C$1),'General Inputs'!J$10*$H98,0))</f>
        <v>0</v>
      </c>
      <c r="BH98" s="214">
        <f>IF(AND(($D98+$C$1)&gt;AM$3,AM$3&gt;=$C$1),'General Inputs'!K$10*$I98,IF(AND(($C98+$C$1)&gt;AM$3,AM$3&gt;=$C$1),'General Inputs'!K$10*$H98,0))</f>
        <v>0</v>
      </c>
      <c r="BI98" s="214">
        <f>IF(AND(($D98+$C$1)&gt;AN$3,AN$3&gt;=$C$1),'General Inputs'!L$10*$I98,IF(AND(($C98+$C$1)&gt;AN$3,AN$3&gt;=$C$1),'General Inputs'!L$10*$H98,0))</f>
        <v>0</v>
      </c>
      <c r="BJ98" s="214">
        <f>IF(AND(($D98+$C$1)&gt;AO$3,AO$3&gt;=$C$1),'General Inputs'!M$10*$I98,IF(AND(($C98+$C$1)&gt;AO$3,AO$3&gt;=$C$1),'General Inputs'!M$10*$H98,0))</f>
        <v>0</v>
      </c>
      <c r="BK98" s="214">
        <f>IF(AND(($D98+$C$1)&gt;AP$3,AP$3&gt;=$C$1),'General Inputs'!N$10*$I98,IF(AND(($C98+$C$1)&gt;AP$3,AP$3&gt;=$C$1),'General Inputs'!N$10*$H98,0))</f>
        <v>0</v>
      </c>
      <c r="BL98" s="214">
        <f>IF(AND(($D98+$C$1)&gt;AQ$3,AQ$3&gt;=$C$1),'General Inputs'!O$10*$I98,IF(AND(($C98+$C$1)&gt;AQ$3,AQ$3&gt;=$C$1),'General Inputs'!O$10*$H98,0))</f>
        <v>0</v>
      </c>
      <c r="BM98" s="214">
        <f>IF(AND(($D98+$C$1)&gt;AR$3,AR$3&gt;=$C$1),'General Inputs'!P$10*$I98,IF(AND(($C98+$C$1)&gt;AR$3,AR$3&gt;=$C$1),'General Inputs'!P$10*$H98,0))</f>
        <v>0</v>
      </c>
      <c r="BN98" s="214">
        <f>IF(AND(($D98+$C$1)&gt;AS$3,AS$3&gt;=$C$1),'General Inputs'!Q$10*$I98,IF(AND(($C98+$C$1)&gt;AS$3,AS$3&gt;=$C$1),'General Inputs'!Q$10*$H98,0))</f>
        <v>0</v>
      </c>
      <c r="BO98" s="214">
        <f>IF(AND(($D98+$C$1)&gt;AT$3,AT$3&gt;=$C$1),'General Inputs'!R$10*$I98,IF(AND(($C98+$C$1)&gt;AT$3,AT$3&gt;=$C$1),'General Inputs'!R$10*$H98,0))</f>
        <v>0</v>
      </c>
      <c r="BP98" s="214">
        <f>IF(AND(($D98+$C$1)&gt;AU$3,AU$3&gt;=$C$1),'General Inputs'!S$10*$I98,IF(AND(($C98+$C$1)&gt;AU$3,AU$3&gt;=$C$1),'General Inputs'!S$10*$H98,0))</f>
        <v>0</v>
      </c>
      <c r="BQ98" s="214">
        <f>IF(AND(($D98+$C$1)&gt;AV$3,AV$3&gt;=$C$1),'General Inputs'!T$10*$I98,IF(AND(($C98+$C$1)&gt;AV$3,AV$3&gt;=$C$1),'General Inputs'!T$10*$H98,0))</f>
        <v>0</v>
      </c>
      <c r="BR98" s="214">
        <f>IF(AND(($D98+$C$1)&gt;AW$3,AW$3&gt;=$C$1),'General Inputs'!U$10*$I98,IF(AND(($C98+$C$1)&gt;AW$3,AW$3&gt;=$C$1),'General Inputs'!U$10*$H98,0))</f>
        <v>0</v>
      </c>
      <c r="BS98" s="214">
        <f>IF(AND(($D98+$C$1)&gt;AX$3,AX$3&gt;=$C$1),'General Inputs'!V$10*$I98,IF(AND(($C98+$C$1)&gt;AX$3,AX$3&gt;=$C$1),'General Inputs'!V$10*$H98,0))</f>
        <v>0</v>
      </c>
      <c r="BT98" s="214">
        <f>IF(AND(($D98+$C$1)&gt;AY$3,AY$3&gt;=$C$1),'General Inputs'!W$10*$I98,IF(AND(($C98+$C$1)&gt;AY$3,AY$3&gt;=$C$1),'General Inputs'!W$10*$H98,0))</f>
        <v>0</v>
      </c>
    </row>
    <row r="99" spans="1:72">
      <c r="A99" s="342" t="s">
        <v>112</v>
      </c>
      <c r="B99" s="427" t="str">
        <f>Sources!B99</f>
        <v>Heat Pump Water Heater</v>
      </c>
      <c r="C99" s="193">
        <f>Sources!C99</f>
        <v>15</v>
      </c>
      <c r="D99" s="193">
        <f>Sources!D99</f>
        <v>0</v>
      </c>
      <c r="F99" s="429">
        <f>Sources!F99*EnergyLineLoss</f>
        <v>1815.1933588429342</v>
      </c>
      <c r="G99" s="429">
        <f>Sources!G99*EnergyLineLoss</f>
        <v>0</v>
      </c>
      <c r="H99" s="477">
        <f>Sources!H99*PeakLineLoss</f>
        <v>8.5994158334446152E-2</v>
      </c>
      <c r="I99" s="477">
        <f>Sources!I99*PeakLineLoss</f>
        <v>0</v>
      </c>
      <c r="K99" s="419">
        <f>Sources!J99</f>
        <v>700</v>
      </c>
      <c r="L99" s="419">
        <f>Sources!K99</f>
        <v>0</v>
      </c>
      <c r="N99" s="438">
        <f t="shared" si="35"/>
        <v>1.0114102808052039</v>
      </c>
      <c r="P99" s="215">
        <f t="shared" si="36"/>
        <v>695.59285987682256</v>
      </c>
      <c r="Q99" s="215">
        <f t="shared" si="37"/>
        <v>12.394336686820061</v>
      </c>
      <c r="R99" s="215">
        <f t="shared" si="38"/>
        <v>700</v>
      </c>
      <c r="T99" s="214">
        <f t="shared" si="39"/>
        <v>700</v>
      </c>
      <c r="U99" s="214">
        <f t="shared" si="39"/>
        <v>0</v>
      </c>
      <c r="V99" s="214">
        <f t="shared" si="39"/>
        <v>0</v>
      </c>
      <c r="W99" s="214">
        <f t="shared" si="39"/>
        <v>0</v>
      </c>
      <c r="X99" s="214">
        <f t="shared" si="39"/>
        <v>0</v>
      </c>
      <c r="Y99" s="214">
        <f t="shared" si="40"/>
        <v>0</v>
      </c>
      <c r="Z99" s="214">
        <f t="shared" si="40"/>
        <v>0</v>
      </c>
      <c r="AA99" s="214">
        <f t="shared" si="40"/>
        <v>0</v>
      </c>
      <c r="AB99" s="214">
        <f t="shared" si="40"/>
        <v>0</v>
      </c>
      <c r="AC99" s="214">
        <f t="shared" si="40"/>
        <v>0</v>
      </c>
      <c r="AD99" s="214">
        <f t="shared" si="40"/>
        <v>0</v>
      </c>
      <c r="AF99" s="214">
        <f>IF(AND(($D99+$C$1)&gt;AF$3,AF$3&gt;=$C$1),'General Inputs'!D$9*$G99,IF(AND(($C99+$C$1)&gt;AF$3,AF$3&gt;=$C$1),'General Inputs'!D$9*$F99,0))</f>
        <v>72.266966725189846</v>
      </c>
      <c r="AG99" s="214">
        <f>IF(AND(($D99+$C$1)&gt;AG$3,AG$3&gt;=$C$1),'General Inputs'!E$9*$G99,IF(AND(($C99+$C$1)&gt;AG$3,AG$3&gt;=$C$1),'General Inputs'!E$9*$F99,0))</f>
        <v>73.350971226067685</v>
      </c>
      <c r="AH99" s="214">
        <f>IF(AND(($D99+$C$1)&gt;AH$3,AH$3&gt;=$C$1),'General Inputs'!F$9*$G99,IF(AND(($C99+$C$1)&gt;AH$3,AH$3&gt;=$C$1),'General Inputs'!F$9*$F99,0))</f>
        <v>74.451235794458697</v>
      </c>
      <c r="AI99" s="214">
        <f>IF(AND(($D99+$C$1)&gt;AI$3,AI$3&gt;=$C$1),'General Inputs'!G$9*$G99,IF(AND(($C99+$C$1)&gt;AI$3,AI$3&gt;=$C$1),'General Inputs'!G$9*$F99,0))</f>
        <v>75.568004331375562</v>
      </c>
      <c r="AJ99" s="214">
        <f>IF(AND(($D99+$C$1)&gt;AJ$3,AJ$3&gt;=$C$1),'General Inputs'!H$9*$G99,IF(AND(($C99+$C$1)&gt;AJ$3,AJ$3&gt;=$C$1),'General Inputs'!H$9*$F99,0))</f>
        <v>76.701524396346187</v>
      </c>
      <c r="AK99" s="214">
        <f>IF(AND(($D99+$C$1)&gt;AK$3,AK$3&gt;=$C$1),'General Inputs'!I$9*$G99,IF(AND(($C99+$C$1)&gt;AK$3,AK$3&gt;=$C$1),'General Inputs'!I$9*$F99,0))</f>
        <v>77.852047262291379</v>
      </c>
      <c r="AL99" s="214">
        <f>IF(AND(($D99+$C$1)&gt;AL$3,AL$3&gt;=$C$1),'General Inputs'!J$9*$G99,IF(AND(($C99+$C$1)&gt;AL$3,AL$3&gt;=$C$1),'General Inputs'!J$9*$F99,0))</f>
        <v>79.019827971225737</v>
      </c>
      <c r="AM99" s="214">
        <f>IF(AND(($D99+$C$1)&gt;AM$3,AM$3&gt;=$C$1),'General Inputs'!K$9*$G99,IF(AND(($C99+$C$1)&gt;AM$3,AM$3&gt;=$C$1),'General Inputs'!K$9*$F99,0))</f>
        <v>80.205125390794109</v>
      </c>
      <c r="AN99" s="214">
        <f>IF(AND(($D99+$C$1)&gt;AN$3,AN$3&gt;=$C$1),'General Inputs'!L$9*$G99,IF(AND(($C99+$C$1)&gt;AN$3,AN$3&gt;=$C$1),'General Inputs'!L$9*$F99,0))</f>
        <v>81.408202271656009</v>
      </c>
      <c r="AO99" s="214">
        <f>IF(AND(($D99+$C$1)&gt;AO$3,AO$3&gt;=$C$1),'General Inputs'!M$9*$G99,IF(AND(($C99+$C$1)&gt;AO$3,AO$3&gt;=$C$1),'General Inputs'!M$9*$F99,0))</f>
        <v>82.629325305730831</v>
      </c>
      <c r="AP99" s="214">
        <f>IF(AND(($D99+$C$1)&gt;AP$3,AP$3&gt;=$C$1),'General Inputs'!N$9*$G99,IF(AND(($C99+$C$1)&gt;AP$3,AP$3&gt;=$C$1),'General Inputs'!N$9*$F99,0))</f>
        <v>83.868765185316789</v>
      </c>
      <c r="AQ99" s="214">
        <f>IF(AND(($D99+$C$1)&gt;AQ$3,AQ$3&gt;=$C$1),'General Inputs'!O$9*$G99,IF(AND(($C99+$C$1)&gt;AQ$3,AQ$3&gt;=$C$1),'General Inputs'!O$9*$F99,0))</f>
        <v>85.126796663096542</v>
      </c>
      <c r="AR99" s="214">
        <f>IF(AND(($D99+$C$1)&gt;AR$3,AR$3&gt;=$C$1),'General Inputs'!P$9*$G99,IF(AND(($C99+$C$1)&gt;AR$3,AR$3&gt;=$C$1),'General Inputs'!P$9*$F99,0))</f>
        <v>86.403698613042977</v>
      </c>
      <c r="AS99" s="214">
        <f>IF(AND(($D99+$C$1)&gt;AS$3,AS$3&gt;=$C$1),'General Inputs'!Q$9*$G99,IF(AND(($C99+$C$1)&gt;AS$3,AS$3&gt;=$C$1),'General Inputs'!Q$9*$F99,0))</f>
        <v>87.699754092238621</v>
      </c>
      <c r="AT99" s="214">
        <f>IF(AND(($D99+$C$1)&gt;AT$3,AT$3&gt;=$C$1),'General Inputs'!R$9*$G99,IF(AND(($C99+$C$1)&gt;AT$3,AT$3&gt;=$C$1),'General Inputs'!R$9*$F99,0))</f>
        <v>89.01525040362219</v>
      </c>
      <c r="AU99" s="214">
        <f>IF(AND(($D99+$C$1)&gt;AU$3,AU$3&gt;=$C$1),'General Inputs'!S$9*$G99,IF(AND(($C99+$C$1)&gt;AU$3,AU$3&gt;=$C$1),'General Inputs'!S$9*$F99,0))</f>
        <v>0</v>
      </c>
      <c r="AV99" s="214">
        <f>IF(AND(($D99+$C$1)&gt;AV$3,AV$3&gt;=$C$1),'General Inputs'!T$9*$G99,IF(AND(($C99+$C$1)&gt;AV$3,AV$3&gt;=$C$1),'General Inputs'!T$9*$F99,0))</f>
        <v>0</v>
      </c>
      <c r="AW99" s="214">
        <f>IF(AND(($D99+$C$1)&gt;AW$3,AW$3&gt;=$C$1),'General Inputs'!U$9*$G99,IF(AND(($C99+$C$1)&gt;AW$3,AW$3&gt;=$C$1),'General Inputs'!U$9*$F99,0))</f>
        <v>0</v>
      </c>
      <c r="AX99" s="214">
        <f>IF(AND(($D99+$C$1)&gt;AX$3,AX$3&gt;=$C$1),'General Inputs'!V$9*$G99,IF(AND(($C99+$C$1)&gt;AX$3,AX$3&gt;=$C$1),'General Inputs'!V$9*$F99,0))</f>
        <v>0</v>
      </c>
      <c r="AY99" s="214">
        <f>IF(AND(($D99+$C$1)&gt;AY$3,AY$3&gt;=$C$1),'General Inputs'!W$9*$G99,IF(AND(($C99+$C$1)&gt;AY$3,AY$3&gt;=$C$1),'General Inputs'!W$9*$F99,0))</f>
        <v>0</v>
      </c>
      <c r="BA99" s="214">
        <f>IF(AND(($D99+$C$1)&gt;AF$3,AF$3&gt;=$C$1),'General Inputs'!D$10*$I99,IF(AND(($C99+$C$1)&gt;AF$3,AF$3&gt;=$C$1),'General Inputs'!D$10*$H99,0))</f>
        <v>1.2876801482491327</v>
      </c>
      <c r="BB99" s="214">
        <f>IF(AND(($D99+$C$1)&gt;AG$3,AG$3&gt;=$C$1),'General Inputs'!E$10*$I99,IF(AND(($C99+$C$1)&gt;AG$3,AG$3&gt;=$C$1),'General Inputs'!E$10*$H99,0))</f>
        <v>1.3069953504728695</v>
      </c>
      <c r="BC99" s="214">
        <f>IF(AND(($D99+$C$1)&gt;AH$3,AH$3&gt;=$C$1),'General Inputs'!F$10*$I99,IF(AND(($C99+$C$1)&gt;AH$3,AH$3&gt;=$C$1),'General Inputs'!F$10*$H99,0))</f>
        <v>1.3266002807299626</v>
      </c>
      <c r="BD99" s="214">
        <f>IF(AND(($D99+$C$1)&gt;AI$3,AI$3&gt;=$C$1),'General Inputs'!G$10*$I99,IF(AND(($C99+$C$1)&gt;AI$3,AI$3&gt;=$C$1),'General Inputs'!G$10*$H99,0))</f>
        <v>1.3464992849409119</v>
      </c>
      <c r="BE99" s="214">
        <f>IF(AND(($D99+$C$1)&gt;AJ$3,AJ$3&gt;=$C$1),'General Inputs'!H$10*$I99,IF(AND(($C99+$C$1)&gt;AJ$3,AJ$3&gt;=$C$1),'General Inputs'!H$10*$H99,0))</f>
        <v>1.3666967742150256</v>
      </c>
      <c r="BF99" s="214">
        <f>IF(AND(($D99+$C$1)&gt;AK$3,AK$3&gt;=$C$1),'General Inputs'!I$10*$I99,IF(AND(($C99+$C$1)&gt;AK$3,AK$3&gt;=$C$1),'General Inputs'!I$10*$H99,0))</f>
        <v>1.3871972258282506</v>
      </c>
      <c r="BG99" s="214">
        <f>IF(AND(($D99+$C$1)&gt;AL$3,AL$3&gt;=$C$1),'General Inputs'!J$10*$I99,IF(AND(($C99+$C$1)&gt;AL$3,AL$3&gt;=$C$1),'General Inputs'!J$10*$H99,0))</f>
        <v>1.4080051842156742</v>
      </c>
      <c r="BH99" s="214">
        <f>IF(AND(($D99+$C$1)&gt;AM$3,AM$3&gt;=$C$1),'General Inputs'!K$10*$I99,IF(AND(($C99+$C$1)&gt;AM$3,AM$3&gt;=$C$1),'General Inputs'!K$10*$H99,0))</f>
        <v>1.4291252619789092</v>
      </c>
      <c r="BI99" s="214">
        <f>IF(AND(($D99+$C$1)&gt;AN$3,AN$3&gt;=$C$1),'General Inputs'!L$10*$I99,IF(AND(($C99+$C$1)&gt;AN$3,AN$3&gt;=$C$1),'General Inputs'!L$10*$H99,0))</f>
        <v>1.4505621409085927</v>
      </c>
      <c r="BJ99" s="214">
        <f>IF(AND(($D99+$C$1)&gt;AO$3,AO$3&gt;=$C$1),'General Inputs'!M$10*$I99,IF(AND(($C99+$C$1)&gt;AO$3,AO$3&gt;=$C$1),'General Inputs'!M$10*$H99,0))</f>
        <v>1.4723205730222215</v>
      </c>
      <c r="BK99" s="214">
        <f>IF(AND(($D99+$C$1)&gt;AP$3,AP$3&gt;=$C$1),'General Inputs'!N$10*$I99,IF(AND(($C99+$C$1)&gt;AP$3,AP$3&gt;=$C$1),'General Inputs'!N$10*$H99,0))</f>
        <v>1.4944053816175547</v>
      </c>
      <c r="BL99" s="214">
        <f>IF(AND(($D99+$C$1)&gt;AQ$3,AQ$3&gt;=$C$1),'General Inputs'!O$10*$I99,IF(AND(($C99+$C$1)&gt;AQ$3,AQ$3&gt;=$C$1),'General Inputs'!O$10*$H99,0))</f>
        <v>1.5168214623418179</v>
      </c>
      <c r="BM99" s="214">
        <f>IF(AND(($D99+$C$1)&gt;AR$3,AR$3&gt;=$C$1),'General Inputs'!P$10*$I99,IF(AND(($C99+$C$1)&gt;AR$3,AR$3&gt;=$C$1),'General Inputs'!P$10*$H99,0))</f>
        <v>1.539573784276945</v>
      </c>
      <c r="BN99" s="214">
        <f>IF(AND(($D99+$C$1)&gt;AS$3,AS$3&gt;=$C$1),'General Inputs'!Q$10*$I99,IF(AND(($C99+$C$1)&gt;AS$3,AS$3&gt;=$C$1),'General Inputs'!Q$10*$H99,0))</f>
        <v>1.5626673910410991</v>
      </c>
      <c r="BO99" s="214">
        <f>IF(AND(($D99+$C$1)&gt;AT$3,AT$3&gt;=$C$1),'General Inputs'!R$10*$I99,IF(AND(($C99+$C$1)&gt;AT$3,AT$3&gt;=$C$1),'General Inputs'!R$10*$H99,0))</f>
        <v>1.5861074019067152</v>
      </c>
      <c r="BP99" s="214">
        <f>IF(AND(($D99+$C$1)&gt;AU$3,AU$3&gt;=$C$1),'General Inputs'!S$10*$I99,IF(AND(($C99+$C$1)&gt;AU$3,AU$3&gt;=$C$1),'General Inputs'!S$10*$H99,0))</f>
        <v>0</v>
      </c>
      <c r="BQ99" s="214">
        <f>IF(AND(($D99+$C$1)&gt;AV$3,AV$3&gt;=$C$1),'General Inputs'!T$10*$I99,IF(AND(($C99+$C$1)&gt;AV$3,AV$3&gt;=$C$1),'General Inputs'!T$10*$H99,0))</f>
        <v>0</v>
      </c>
      <c r="BR99" s="214">
        <f>IF(AND(($D99+$C$1)&gt;AW$3,AW$3&gt;=$C$1),'General Inputs'!U$10*$I99,IF(AND(($C99+$C$1)&gt;AW$3,AW$3&gt;=$C$1),'General Inputs'!U$10*$H99,0))</f>
        <v>0</v>
      </c>
      <c r="BS99" s="214">
        <f>IF(AND(($D99+$C$1)&gt;AX$3,AX$3&gt;=$C$1),'General Inputs'!V$10*$I99,IF(AND(($C99+$C$1)&gt;AX$3,AX$3&gt;=$C$1),'General Inputs'!V$10*$H99,0))</f>
        <v>0</v>
      </c>
      <c r="BT99" s="214">
        <f>IF(AND(($D99+$C$1)&gt;AY$3,AY$3&gt;=$C$1),'General Inputs'!W$10*$I99,IF(AND(($C99+$C$1)&gt;AY$3,AY$3&gt;=$C$1),'General Inputs'!W$10*$H99,0))</f>
        <v>0</v>
      </c>
    </row>
    <row r="100" spans="1:72">
      <c r="A100" s="342" t="s">
        <v>112</v>
      </c>
      <c r="B100" s="427" t="str">
        <f>Sources!B100</f>
        <v>VFD Fan</v>
      </c>
      <c r="C100" s="193">
        <f>Sources!C100</f>
        <v>15</v>
      </c>
      <c r="D100" s="193">
        <f>Sources!D100</f>
        <v>0</v>
      </c>
      <c r="F100" s="429">
        <f>Sources!F100*EnergyLineLoss</f>
        <v>18326.59441340782</v>
      </c>
      <c r="G100" s="429">
        <f>Sources!G100*EnergyLineLoss</f>
        <v>0</v>
      </c>
      <c r="H100" s="477">
        <f>Sources!H100*PeakLineLoss</f>
        <v>3.8896887599999999</v>
      </c>
      <c r="I100" s="477">
        <f>Sources!I100*PeakLineLoss</f>
        <v>0</v>
      </c>
      <c r="K100" s="419">
        <f>Sources!J100</f>
        <v>2518</v>
      </c>
      <c r="L100" s="419">
        <f>Sources!K100</f>
        <v>0</v>
      </c>
      <c r="N100" s="438">
        <f t="shared" si="35"/>
        <v>3.01170788023884</v>
      </c>
      <c r="P100" s="215">
        <f t="shared" si="36"/>
        <v>7022.8596627032894</v>
      </c>
      <c r="Q100" s="215">
        <f t="shared" si="37"/>
        <v>560.62077973810926</v>
      </c>
      <c r="R100" s="215">
        <f t="shared" si="38"/>
        <v>2518</v>
      </c>
      <c r="T100" s="214">
        <f t="shared" si="39"/>
        <v>2518</v>
      </c>
      <c r="U100" s="214">
        <f t="shared" si="39"/>
        <v>0</v>
      </c>
      <c r="V100" s="214">
        <f t="shared" si="39"/>
        <v>0</v>
      </c>
      <c r="W100" s="214">
        <f t="shared" si="39"/>
        <v>0</v>
      </c>
      <c r="X100" s="214">
        <f t="shared" si="39"/>
        <v>0</v>
      </c>
      <c r="Y100" s="214">
        <f t="shared" si="40"/>
        <v>0</v>
      </c>
      <c r="Z100" s="214">
        <f t="shared" si="40"/>
        <v>0</v>
      </c>
      <c r="AA100" s="214">
        <f t="shared" si="40"/>
        <v>0</v>
      </c>
      <c r="AB100" s="214">
        <f t="shared" si="40"/>
        <v>0</v>
      </c>
      <c r="AC100" s="214">
        <f t="shared" si="40"/>
        <v>0</v>
      </c>
      <c r="AD100" s="214">
        <f t="shared" si="40"/>
        <v>0</v>
      </c>
      <c r="AF100" s="214">
        <f>IF(AND(($D100+$C$1)&gt;AF$3,AF$3&gt;=$C$1),'General Inputs'!D$9*$G100,IF(AND(($C100+$C$1)&gt;AF$3,AF$3&gt;=$C$1),'General Inputs'!D$9*$F100,0))</f>
        <v>729.62331104164855</v>
      </c>
      <c r="AG100" s="214">
        <f>IF(AND(($D100+$C$1)&gt;AG$3,AG$3&gt;=$C$1),'General Inputs'!E$9*$G100,IF(AND(($C100+$C$1)&gt;AG$3,AG$3&gt;=$C$1),'General Inputs'!E$9*$F100,0))</f>
        <v>740.56766070727326</v>
      </c>
      <c r="AH100" s="214">
        <f>IF(AND(($D100+$C$1)&gt;AH$3,AH$3&gt;=$C$1),'General Inputs'!F$9*$G100,IF(AND(($C100+$C$1)&gt;AH$3,AH$3&gt;=$C$1),'General Inputs'!F$9*$F100,0))</f>
        <v>751.67617561788222</v>
      </c>
      <c r="AI100" s="214">
        <f>IF(AND(($D100+$C$1)&gt;AI$3,AI$3&gt;=$C$1),'General Inputs'!G$9*$G100,IF(AND(($C100+$C$1)&gt;AI$3,AI$3&gt;=$C$1),'General Inputs'!G$9*$F100,0))</f>
        <v>762.95131825215049</v>
      </c>
      <c r="AJ100" s="214">
        <f>IF(AND(($D100+$C$1)&gt;AJ$3,AJ$3&gt;=$C$1),'General Inputs'!H$9*$G100,IF(AND(($C100+$C$1)&gt;AJ$3,AJ$3&gt;=$C$1),'General Inputs'!H$9*$F100,0))</f>
        <v>774.39558802593262</v>
      </c>
      <c r="AK100" s="214">
        <f>IF(AND(($D100+$C$1)&gt;AK$3,AK$3&gt;=$C$1),'General Inputs'!I$9*$G100,IF(AND(($C100+$C$1)&gt;AK$3,AK$3&gt;=$C$1),'General Inputs'!I$9*$F100,0))</f>
        <v>786.01152184632144</v>
      </c>
      <c r="AL100" s="214">
        <f>IF(AND(($D100+$C$1)&gt;AL$3,AL$3&gt;=$C$1),'General Inputs'!J$9*$G100,IF(AND(($C100+$C$1)&gt;AL$3,AL$3&gt;=$C$1),'General Inputs'!J$9*$F100,0))</f>
        <v>797.80169467401618</v>
      </c>
      <c r="AM100" s="214">
        <f>IF(AND(($D100+$C$1)&gt;AM$3,AM$3&gt;=$C$1),'General Inputs'!K$9*$G100,IF(AND(($C100+$C$1)&gt;AM$3,AM$3&gt;=$C$1),'General Inputs'!K$9*$F100,0))</f>
        <v>809.76872009412625</v>
      </c>
      <c r="AN100" s="214">
        <f>IF(AND(($D100+$C$1)&gt;AN$3,AN$3&gt;=$C$1),'General Inputs'!L$9*$G100,IF(AND(($C100+$C$1)&gt;AN$3,AN$3&gt;=$C$1),'General Inputs'!L$9*$F100,0))</f>
        <v>821.91525089553807</v>
      </c>
      <c r="AO100" s="214">
        <f>IF(AND(($D100+$C$1)&gt;AO$3,AO$3&gt;=$C$1),'General Inputs'!M$9*$G100,IF(AND(($C100+$C$1)&gt;AO$3,AO$3&gt;=$C$1),'General Inputs'!M$9*$F100,0))</f>
        <v>834.24397965897106</v>
      </c>
      <c r="AP100" s="214">
        <f>IF(AND(($D100+$C$1)&gt;AP$3,AP$3&gt;=$C$1),'General Inputs'!N$9*$G100,IF(AND(($C100+$C$1)&gt;AP$3,AP$3&gt;=$C$1),'General Inputs'!N$9*$F100,0))</f>
        <v>846.75763935385555</v>
      </c>
      <c r="AQ100" s="214">
        <f>IF(AND(($D100+$C$1)&gt;AQ$3,AQ$3&gt;=$C$1),'General Inputs'!O$9*$G100,IF(AND(($C100+$C$1)&gt;AQ$3,AQ$3&gt;=$C$1),'General Inputs'!O$9*$F100,0))</f>
        <v>859.45900394416333</v>
      </c>
      <c r="AR100" s="214">
        <f>IF(AND(($D100+$C$1)&gt;AR$3,AR$3&gt;=$C$1),'General Inputs'!P$9*$G100,IF(AND(($C100+$C$1)&gt;AR$3,AR$3&gt;=$C$1),'General Inputs'!P$9*$F100,0))</f>
        <v>872.35088900332562</v>
      </c>
      <c r="AS100" s="214">
        <f>IF(AND(($D100+$C$1)&gt;AS$3,AS$3&gt;=$C$1),'General Inputs'!Q$9*$G100,IF(AND(($C100+$C$1)&gt;AS$3,AS$3&gt;=$C$1),'General Inputs'!Q$9*$F100,0))</f>
        <v>885.43615233837545</v>
      </c>
      <c r="AT100" s="214">
        <f>IF(AND(($D100+$C$1)&gt;AT$3,AT$3&gt;=$C$1),'General Inputs'!R$9*$G100,IF(AND(($C100+$C$1)&gt;AT$3,AT$3&gt;=$C$1),'General Inputs'!R$9*$F100,0))</f>
        <v>898.71769462345105</v>
      </c>
      <c r="AU100" s="214">
        <f>IF(AND(($D100+$C$1)&gt;AU$3,AU$3&gt;=$C$1),'General Inputs'!S$9*$G100,IF(AND(($C100+$C$1)&gt;AU$3,AU$3&gt;=$C$1),'General Inputs'!S$9*$F100,0))</f>
        <v>0</v>
      </c>
      <c r="AV100" s="214">
        <f>IF(AND(($D100+$C$1)&gt;AV$3,AV$3&gt;=$C$1),'General Inputs'!T$9*$G100,IF(AND(($C100+$C$1)&gt;AV$3,AV$3&gt;=$C$1),'General Inputs'!T$9*$F100,0))</f>
        <v>0</v>
      </c>
      <c r="AW100" s="214">
        <f>IF(AND(($D100+$C$1)&gt;AW$3,AW$3&gt;=$C$1),'General Inputs'!U$9*$G100,IF(AND(($C100+$C$1)&gt;AW$3,AW$3&gt;=$C$1),'General Inputs'!U$9*$F100,0))</f>
        <v>0</v>
      </c>
      <c r="AX100" s="214">
        <f>IF(AND(($D100+$C$1)&gt;AX$3,AX$3&gt;=$C$1),'General Inputs'!V$9*$G100,IF(AND(($C100+$C$1)&gt;AX$3,AX$3&gt;=$C$1),'General Inputs'!V$9*$F100,0))</f>
        <v>0</v>
      </c>
      <c r="AY100" s="214">
        <f>IF(AND(($D100+$C$1)&gt;AY$3,AY$3&gt;=$C$1),'General Inputs'!W$9*$G100,IF(AND(($C100+$C$1)&gt;AY$3,AY$3&gt;=$C$1),'General Inputs'!W$9*$F100,0))</f>
        <v>0</v>
      </c>
      <c r="BA100" s="214">
        <f>IF(AND(($D100+$C$1)&gt;AF$3,AF$3&gt;=$C$1),'General Inputs'!D$10*$I100,IF(AND(($C100+$C$1)&gt;AF$3,AF$3&gt;=$C$1),'General Inputs'!D$10*$H100,0))</f>
        <v>58.244363293145824</v>
      </c>
      <c r="BB100" s="214">
        <f>IF(AND(($D100+$C$1)&gt;AG$3,AG$3&gt;=$C$1),'General Inputs'!E$10*$I100,IF(AND(($C100+$C$1)&gt;AG$3,AG$3&gt;=$C$1),'General Inputs'!E$10*$H100,0))</f>
        <v>59.118028742543004</v>
      </c>
      <c r="BC100" s="214">
        <f>IF(AND(($D100+$C$1)&gt;AH$3,AH$3&gt;=$C$1),'General Inputs'!F$10*$I100,IF(AND(($C100+$C$1)&gt;AH$3,AH$3&gt;=$C$1),'General Inputs'!F$10*$H100,0))</f>
        <v>60.004799173681143</v>
      </c>
      <c r="BD100" s="214">
        <f>IF(AND(($D100+$C$1)&gt;AI$3,AI$3&gt;=$C$1),'General Inputs'!G$10*$I100,IF(AND(($C100+$C$1)&gt;AI$3,AI$3&gt;=$C$1),'General Inputs'!G$10*$H100,0))</f>
        <v>60.904871161286358</v>
      </c>
      <c r="BE100" s="214">
        <f>IF(AND(($D100+$C$1)&gt;AJ$3,AJ$3&gt;=$C$1),'General Inputs'!H$10*$I100,IF(AND(($C100+$C$1)&gt;AJ$3,AJ$3&gt;=$C$1),'General Inputs'!H$10*$H100,0))</f>
        <v>61.818444228705644</v>
      </c>
      <c r="BF100" s="214">
        <f>IF(AND(($D100+$C$1)&gt;AK$3,AK$3&gt;=$C$1),'General Inputs'!I$10*$I100,IF(AND(($C100+$C$1)&gt;AK$3,AK$3&gt;=$C$1),'General Inputs'!I$10*$H100,0))</f>
        <v>62.74572089213622</v>
      </c>
      <c r="BG100" s="214">
        <f>IF(AND(($D100+$C$1)&gt;AL$3,AL$3&gt;=$C$1),'General Inputs'!J$10*$I100,IF(AND(($C100+$C$1)&gt;AL$3,AL$3&gt;=$C$1),'General Inputs'!J$10*$H100,0))</f>
        <v>63.686906705518254</v>
      </c>
      <c r="BH100" s="214">
        <f>IF(AND(($D100+$C$1)&gt;AM$3,AM$3&gt;=$C$1),'General Inputs'!K$10*$I100,IF(AND(($C100+$C$1)&gt;AM$3,AM$3&gt;=$C$1),'General Inputs'!K$10*$H100,0))</f>
        <v>64.64221030610102</v>
      </c>
      <c r="BI100" s="214">
        <f>IF(AND(($D100+$C$1)&gt;AN$3,AN$3&gt;=$C$1),'General Inputs'!L$10*$I100,IF(AND(($C100+$C$1)&gt;AN$3,AN$3&gt;=$C$1),'General Inputs'!L$10*$H100,0))</f>
        <v>65.61184346069254</v>
      </c>
      <c r="BJ100" s="214">
        <f>IF(AND(($D100+$C$1)&gt;AO$3,AO$3&gt;=$C$1),'General Inputs'!M$10*$I100,IF(AND(($C100+$C$1)&gt;AO$3,AO$3&gt;=$C$1),'General Inputs'!M$10*$H100,0))</f>
        <v>66.596021112602926</v>
      </c>
      <c r="BK100" s="214">
        <f>IF(AND(($D100+$C$1)&gt;AP$3,AP$3&gt;=$C$1),'General Inputs'!N$10*$I100,IF(AND(($C100+$C$1)&gt;AP$3,AP$3&gt;=$C$1),'General Inputs'!N$10*$H100,0))</f>
        <v>67.594961429291956</v>
      </c>
      <c r="BL100" s="214">
        <f>IF(AND(($D100+$C$1)&gt;AQ$3,AQ$3&gt;=$C$1),'General Inputs'!O$10*$I100,IF(AND(($C100+$C$1)&gt;AQ$3,AQ$3&gt;=$C$1),'General Inputs'!O$10*$H100,0))</f>
        <v>68.608885850731326</v>
      </c>
      <c r="BM100" s="214">
        <f>IF(AND(($D100+$C$1)&gt;AR$3,AR$3&gt;=$C$1),'General Inputs'!P$10*$I100,IF(AND(($C100+$C$1)&gt;AR$3,AR$3&gt;=$C$1),'General Inputs'!P$10*$H100,0))</f>
        <v>69.638019138492297</v>
      </c>
      <c r="BN100" s="214">
        <f>IF(AND(($D100+$C$1)&gt;AS$3,AS$3&gt;=$C$1),'General Inputs'!Q$10*$I100,IF(AND(($C100+$C$1)&gt;AS$3,AS$3&gt;=$C$1),'General Inputs'!Q$10*$H100,0))</f>
        <v>70.682589425569674</v>
      </c>
      <c r="BO100" s="214">
        <f>IF(AND(($D100+$C$1)&gt;AT$3,AT$3&gt;=$C$1),'General Inputs'!R$10*$I100,IF(AND(($C100+$C$1)&gt;AT$3,AT$3&gt;=$C$1),'General Inputs'!R$10*$H100,0))</f>
        <v>71.742828266953197</v>
      </c>
      <c r="BP100" s="214">
        <f>IF(AND(($D100+$C$1)&gt;AU$3,AU$3&gt;=$C$1),'General Inputs'!S$10*$I100,IF(AND(($C100+$C$1)&gt;AU$3,AU$3&gt;=$C$1),'General Inputs'!S$10*$H100,0))</f>
        <v>0</v>
      </c>
      <c r="BQ100" s="214">
        <f>IF(AND(($D100+$C$1)&gt;AV$3,AV$3&gt;=$C$1),'General Inputs'!T$10*$I100,IF(AND(($C100+$C$1)&gt;AV$3,AV$3&gt;=$C$1),'General Inputs'!T$10*$H100,0))</f>
        <v>0</v>
      </c>
      <c r="BR100" s="214">
        <f>IF(AND(($D100+$C$1)&gt;AW$3,AW$3&gt;=$C$1),'General Inputs'!U$10*$I100,IF(AND(($C100+$C$1)&gt;AW$3,AW$3&gt;=$C$1),'General Inputs'!U$10*$H100,0))</f>
        <v>0</v>
      </c>
      <c r="BS100" s="214">
        <f>IF(AND(($D100+$C$1)&gt;AX$3,AX$3&gt;=$C$1),'General Inputs'!V$10*$I100,IF(AND(($C100+$C$1)&gt;AX$3,AX$3&gt;=$C$1),'General Inputs'!V$10*$H100,0))</f>
        <v>0</v>
      </c>
      <c r="BT100" s="214">
        <f>IF(AND(($D100+$C$1)&gt;AY$3,AY$3&gt;=$C$1),'General Inputs'!W$10*$I100,IF(AND(($C100+$C$1)&gt;AY$3,AY$3&gt;=$C$1),'General Inputs'!W$10*$H100,0))</f>
        <v>0</v>
      </c>
    </row>
    <row r="101" spans="1:72">
      <c r="A101" s="342" t="s">
        <v>112</v>
      </c>
      <c r="B101" s="427" t="str">
        <f>Sources!B101</f>
        <v>VFD Pump</v>
      </c>
      <c r="C101" s="193">
        <f>Sources!C101</f>
        <v>15</v>
      </c>
      <c r="D101" s="193">
        <f>Sources!D101</f>
        <v>0</v>
      </c>
      <c r="F101" s="429">
        <f>Sources!F101*EnergyLineLoss</f>
        <v>30201.063999999991</v>
      </c>
      <c r="G101" s="429">
        <f>Sources!G101*EnergyLineLoss</f>
        <v>0</v>
      </c>
      <c r="H101" s="477">
        <f>Sources!H101*PeakLineLoss</f>
        <v>2.35490193</v>
      </c>
      <c r="I101" s="477">
        <f>Sources!I101*PeakLineLoss</f>
        <v>0</v>
      </c>
      <c r="K101" s="419">
        <f>Sources!J101</f>
        <v>2518</v>
      </c>
      <c r="L101" s="419">
        <f>Sources!K101</f>
        <v>0</v>
      </c>
      <c r="N101" s="438">
        <f t="shared" si="35"/>
        <v>4.7309923774336289</v>
      </c>
      <c r="P101" s="215">
        <f t="shared" si="36"/>
        <v>11573.226828283419</v>
      </c>
      <c r="Q101" s="215">
        <f t="shared" si="37"/>
        <v>339.41197809445777</v>
      </c>
      <c r="R101" s="215">
        <f t="shared" si="38"/>
        <v>2518</v>
      </c>
      <c r="T101" s="214">
        <f t="shared" si="39"/>
        <v>2518</v>
      </c>
      <c r="U101" s="214">
        <f t="shared" si="39"/>
        <v>0</v>
      </c>
      <c r="V101" s="214">
        <f t="shared" si="39"/>
        <v>0</v>
      </c>
      <c r="W101" s="214">
        <f t="shared" si="39"/>
        <v>0</v>
      </c>
      <c r="X101" s="214">
        <f t="shared" si="39"/>
        <v>0</v>
      </c>
      <c r="Y101" s="214">
        <f t="shared" si="40"/>
        <v>0</v>
      </c>
      <c r="Z101" s="214">
        <f t="shared" si="40"/>
        <v>0</v>
      </c>
      <c r="AA101" s="214">
        <f t="shared" si="40"/>
        <v>0</v>
      </c>
      <c r="AB101" s="214">
        <f t="shared" si="40"/>
        <v>0</v>
      </c>
      <c r="AC101" s="214">
        <f t="shared" si="40"/>
        <v>0</v>
      </c>
      <c r="AD101" s="214">
        <f t="shared" si="40"/>
        <v>0</v>
      </c>
      <c r="AF101" s="214">
        <f>IF(AND(($D101+$C$1)&gt;AF$3,AF$3&gt;=$C$1),'General Inputs'!D$9*$G101,IF(AND(($C101+$C$1)&gt;AF$3,AF$3&gt;=$C$1),'General Inputs'!D$9*$F101,0))</f>
        <v>1202.3728913070468</v>
      </c>
      <c r="AG101" s="214">
        <f>IF(AND(($D101+$C$1)&gt;AG$3,AG$3&gt;=$C$1),'General Inputs'!E$9*$G101,IF(AND(($C101+$C$1)&gt;AG$3,AG$3&gt;=$C$1),'General Inputs'!E$9*$F101,0))</f>
        <v>1220.4084846766523</v>
      </c>
      <c r="AH101" s="214">
        <f>IF(AND(($D101+$C$1)&gt;AH$3,AH$3&gt;=$C$1),'General Inputs'!F$9*$G101,IF(AND(($C101+$C$1)&gt;AH$3,AH$3&gt;=$C$1),'General Inputs'!F$9*$F101,0))</f>
        <v>1238.7146119468018</v>
      </c>
      <c r="AI101" s="214">
        <f>IF(AND(($D101+$C$1)&gt;AI$3,AI$3&gt;=$C$1),'General Inputs'!G$9*$G101,IF(AND(($C101+$C$1)&gt;AI$3,AI$3&gt;=$C$1),'General Inputs'!G$9*$F101,0))</f>
        <v>1257.2953311260039</v>
      </c>
      <c r="AJ101" s="214">
        <f>IF(AND(($D101+$C$1)&gt;AJ$3,AJ$3&gt;=$C$1),'General Inputs'!H$9*$G101,IF(AND(($C101+$C$1)&gt;AJ$3,AJ$3&gt;=$C$1),'General Inputs'!H$9*$F101,0))</f>
        <v>1276.1547610928938</v>
      </c>
      <c r="AK101" s="214">
        <f>IF(AND(($D101+$C$1)&gt;AK$3,AK$3&gt;=$C$1),'General Inputs'!I$9*$G101,IF(AND(($C101+$C$1)&gt;AK$3,AK$3&gt;=$C$1),'General Inputs'!I$9*$F101,0))</f>
        <v>1295.2970825092868</v>
      </c>
      <c r="AL101" s="214">
        <f>IF(AND(($D101+$C$1)&gt;AL$3,AL$3&gt;=$C$1),'General Inputs'!J$9*$G101,IF(AND(($C101+$C$1)&gt;AL$3,AL$3&gt;=$C$1),'General Inputs'!J$9*$F101,0))</f>
        <v>1314.7265387469261</v>
      </c>
      <c r="AM101" s="214">
        <f>IF(AND(($D101+$C$1)&gt;AM$3,AM$3&gt;=$C$1),'General Inputs'!K$9*$G101,IF(AND(($C101+$C$1)&gt;AM$3,AM$3&gt;=$C$1),'General Inputs'!K$9*$F101,0))</f>
        <v>1334.4474368281296</v>
      </c>
      <c r="AN101" s="214">
        <f>IF(AND(($D101+$C$1)&gt;AN$3,AN$3&gt;=$C$1),'General Inputs'!L$9*$G101,IF(AND(($C101+$C$1)&gt;AN$3,AN$3&gt;=$C$1),'General Inputs'!L$9*$F101,0))</f>
        <v>1354.4641483805515</v>
      </c>
      <c r="AO101" s="214">
        <f>IF(AND(($D101+$C$1)&gt;AO$3,AO$3&gt;=$C$1),'General Inputs'!M$9*$G101,IF(AND(($C101+$C$1)&gt;AO$3,AO$3&gt;=$C$1),'General Inputs'!M$9*$F101,0))</f>
        <v>1374.7811106062595</v>
      </c>
      <c r="AP101" s="214">
        <f>IF(AND(($D101+$C$1)&gt;AP$3,AP$3&gt;=$C$1),'General Inputs'!N$9*$G101,IF(AND(($C101+$C$1)&gt;AP$3,AP$3&gt;=$C$1),'General Inputs'!N$9*$F101,0))</f>
        <v>1395.4028272653534</v>
      </c>
      <c r="AQ101" s="214">
        <f>IF(AND(($D101+$C$1)&gt;AQ$3,AQ$3&gt;=$C$1),'General Inputs'!O$9*$G101,IF(AND(($C101+$C$1)&gt;AQ$3,AQ$3&gt;=$C$1),'General Inputs'!O$9*$F101,0))</f>
        <v>1416.3338696743335</v>
      </c>
      <c r="AR101" s="214">
        <f>IF(AND(($D101+$C$1)&gt;AR$3,AR$3&gt;=$C$1),'General Inputs'!P$9*$G101,IF(AND(($C101+$C$1)&gt;AR$3,AR$3&gt;=$C$1),'General Inputs'!P$9*$F101,0))</f>
        <v>1437.5788777194484</v>
      </c>
      <c r="AS101" s="214">
        <f>IF(AND(($D101+$C$1)&gt;AS$3,AS$3&gt;=$C$1),'General Inputs'!Q$9*$G101,IF(AND(($C101+$C$1)&gt;AS$3,AS$3&gt;=$C$1),'General Inputs'!Q$9*$F101,0))</f>
        <v>1459.1425608852401</v>
      </c>
      <c r="AT101" s="214">
        <f>IF(AND(($D101+$C$1)&gt;AT$3,AT$3&gt;=$C$1),'General Inputs'!R$9*$G101,IF(AND(($C101+$C$1)&gt;AT$3,AT$3&gt;=$C$1),'General Inputs'!R$9*$F101,0))</f>
        <v>1481.0296992985186</v>
      </c>
      <c r="AU101" s="214">
        <f>IF(AND(($D101+$C$1)&gt;AU$3,AU$3&gt;=$C$1),'General Inputs'!S$9*$G101,IF(AND(($C101+$C$1)&gt;AU$3,AU$3&gt;=$C$1),'General Inputs'!S$9*$F101,0))</f>
        <v>0</v>
      </c>
      <c r="AV101" s="214">
        <f>IF(AND(($D101+$C$1)&gt;AV$3,AV$3&gt;=$C$1),'General Inputs'!T$9*$G101,IF(AND(($C101+$C$1)&gt;AV$3,AV$3&gt;=$C$1),'General Inputs'!T$9*$F101,0))</f>
        <v>0</v>
      </c>
      <c r="AW101" s="214">
        <f>IF(AND(($D101+$C$1)&gt;AW$3,AW$3&gt;=$C$1),'General Inputs'!U$9*$G101,IF(AND(($C101+$C$1)&gt;AW$3,AW$3&gt;=$C$1),'General Inputs'!U$9*$F101,0))</f>
        <v>0</v>
      </c>
      <c r="AX101" s="214">
        <f>IF(AND(($D101+$C$1)&gt;AX$3,AX$3&gt;=$C$1),'General Inputs'!V$9*$G101,IF(AND(($C101+$C$1)&gt;AX$3,AX$3&gt;=$C$1),'General Inputs'!V$9*$F101,0))</f>
        <v>0</v>
      </c>
      <c r="AY101" s="214">
        <f>IF(AND(($D101+$C$1)&gt;AY$3,AY$3&gt;=$C$1),'General Inputs'!W$9*$G101,IF(AND(($C101+$C$1)&gt;AY$3,AY$3&gt;=$C$1),'General Inputs'!W$9*$F101,0))</f>
        <v>0</v>
      </c>
      <c r="BA101" s="214">
        <f>IF(AND(($D101+$C$1)&gt;AF$3,AF$3&gt;=$C$1),'General Inputs'!D$10*$I101,IF(AND(($C101+$C$1)&gt;AF$3,AF$3&gt;=$C$1),'General Inputs'!D$10*$H101,0))</f>
        <v>35.262400668440698</v>
      </c>
      <c r="BB101" s="214">
        <f>IF(AND(($D101+$C$1)&gt;AG$3,AG$3&gt;=$C$1),'General Inputs'!E$10*$I101,IF(AND(($C101+$C$1)&gt;AG$3,AG$3&gt;=$C$1),'General Inputs'!E$10*$H101,0))</f>
        <v>35.791336678467303</v>
      </c>
      <c r="BC101" s="214">
        <f>IF(AND(($D101+$C$1)&gt;AH$3,AH$3&gt;=$C$1),'General Inputs'!F$10*$I101,IF(AND(($C101+$C$1)&gt;AH$3,AH$3&gt;=$C$1),'General Inputs'!F$10*$H101,0))</f>
        <v>36.328206728644311</v>
      </c>
      <c r="BD101" s="214">
        <f>IF(AND(($D101+$C$1)&gt;AI$3,AI$3&gt;=$C$1),'General Inputs'!G$10*$I101,IF(AND(($C101+$C$1)&gt;AI$3,AI$3&gt;=$C$1),'General Inputs'!G$10*$H101,0))</f>
        <v>36.873129829573969</v>
      </c>
      <c r="BE101" s="214">
        <f>IF(AND(($D101+$C$1)&gt;AJ$3,AJ$3&gt;=$C$1),'General Inputs'!H$10*$I101,IF(AND(($C101+$C$1)&gt;AJ$3,AJ$3&gt;=$C$1),'General Inputs'!H$10*$H101,0))</f>
        <v>37.426226777017575</v>
      </c>
      <c r="BF101" s="214">
        <f>IF(AND(($D101+$C$1)&gt;AK$3,AK$3&gt;=$C$1),'General Inputs'!I$10*$I101,IF(AND(($C101+$C$1)&gt;AK$3,AK$3&gt;=$C$1),'General Inputs'!I$10*$H101,0))</f>
        <v>37.987620178672834</v>
      </c>
      <c r="BG101" s="214">
        <f>IF(AND(($D101+$C$1)&gt;AL$3,AL$3&gt;=$C$1),'General Inputs'!J$10*$I101,IF(AND(($C101+$C$1)&gt;AL$3,AL$3&gt;=$C$1),'General Inputs'!J$10*$H101,0))</f>
        <v>38.557434481352921</v>
      </c>
      <c r="BH101" s="214">
        <f>IF(AND(($D101+$C$1)&gt;AM$3,AM$3&gt;=$C$1),'General Inputs'!K$10*$I101,IF(AND(($C101+$C$1)&gt;AM$3,AM$3&gt;=$C$1),'General Inputs'!K$10*$H101,0))</f>
        <v>39.135795998573215</v>
      </c>
      <c r="BI101" s="214">
        <f>IF(AND(($D101+$C$1)&gt;AN$3,AN$3&gt;=$C$1),'General Inputs'!L$10*$I101,IF(AND(($C101+$C$1)&gt;AN$3,AN$3&gt;=$C$1),'General Inputs'!L$10*$H101,0))</f>
        <v>39.722832938551804</v>
      </c>
      <c r="BJ101" s="214">
        <f>IF(AND(($D101+$C$1)&gt;AO$3,AO$3&gt;=$C$1),'General Inputs'!M$10*$I101,IF(AND(($C101+$C$1)&gt;AO$3,AO$3&gt;=$C$1),'General Inputs'!M$10*$H101,0))</f>
        <v>40.318675432630087</v>
      </c>
      <c r="BK101" s="214">
        <f>IF(AND(($D101+$C$1)&gt;AP$3,AP$3&gt;=$C$1),'General Inputs'!N$10*$I101,IF(AND(($C101+$C$1)&gt;AP$3,AP$3&gt;=$C$1),'General Inputs'!N$10*$H101,0))</f>
        <v>40.923455564119529</v>
      </c>
      <c r="BL101" s="214">
        <f>IF(AND(($D101+$C$1)&gt;AQ$3,AQ$3&gt;=$C$1),'General Inputs'!O$10*$I101,IF(AND(($C101+$C$1)&gt;AQ$3,AQ$3&gt;=$C$1),'General Inputs'!O$10*$H101,0))</f>
        <v>41.537307397581316</v>
      </c>
      <c r="BM101" s="214">
        <f>IF(AND(($D101+$C$1)&gt;AR$3,AR$3&gt;=$C$1),'General Inputs'!P$10*$I101,IF(AND(($C101+$C$1)&gt;AR$3,AR$3&gt;=$C$1),'General Inputs'!P$10*$H101,0))</f>
        <v>42.160367008545037</v>
      </c>
      <c r="BN101" s="214">
        <f>IF(AND(($D101+$C$1)&gt;AS$3,AS$3&gt;=$C$1),'General Inputs'!Q$10*$I101,IF(AND(($C101+$C$1)&gt;AS$3,AS$3&gt;=$C$1),'General Inputs'!Q$10*$H101,0))</f>
        <v>42.792772513673206</v>
      </c>
      <c r="BO101" s="214">
        <f>IF(AND(($D101+$C$1)&gt;AT$3,AT$3&gt;=$C$1),'General Inputs'!R$10*$I101,IF(AND(($C101+$C$1)&gt;AT$3,AT$3&gt;=$C$1),'General Inputs'!R$10*$H101,0))</f>
        <v>43.434664101378296</v>
      </c>
      <c r="BP101" s="214">
        <f>IF(AND(($D101+$C$1)&gt;AU$3,AU$3&gt;=$C$1),'General Inputs'!S$10*$I101,IF(AND(($C101+$C$1)&gt;AU$3,AU$3&gt;=$C$1),'General Inputs'!S$10*$H101,0))</f>
        <v>0</v>
      </c>
      <c r="BQ101" s="214">
        <f>IF(AND(($D101+$C$1)&gt;AV$3,AV$3&gt;=$C$1),'General Inputs'!T$10*$I101,IF(AND(($C101+$C$1)&gt;AV$3,AV$3&gt;=$C$1),'General Inputs'!T$10*$H101,0))</f>
        <v>0</v>
      </c>
      <c r="BR101" s="214">
        <f>IF(AND(($D101+$C$1)&gt;AW$3,AW$3&gt;=$C$1),'General Inputs'!U$10*$I101,IF(AND(($C101+$C$1)&gt;AW$3,AW$3&gt;=$C$1),'General Inputs'!U$10*$H101,0))</f>
        <v>0</v>
      </c>
      <c r="BS101" s="214">
        <f>IF(AND(($D101+$C$1)&gt;AX$3,AX$3&gt;=$C$1),'General Inputs'!V$10*$I101,IF(AND(($C101+$C$1)&gt;AX$3,AX$3&gt;=$C$1),'General Inputs'!V$10*$H101,0))</f>
        <v>0</v>
      </c>
      <c r="BT101" s="214">
        <f>IF(AND(($D101+$C$1)&gt;AY$3,AY$3&gt;=$C$1),'General Inputs'!W$10*$I101,IF(AND(($C101+$C$1)&gt;AY$3,AY$3&gt;=$C$1),'General Inputs'!W$10*$H101,0))</f>
        <v>0</v>
      </c>
    </row>
    <row r="102" spans="1:72">
      <c r="A102" s="342" t="s">
        <v>112</v>
      </c>
      <c r="B102" s="427" t="str">
        <f>Sources!B102</f>
        <v>ODC Motor</v>
      </c>
      <c r="C102" s="193">
        <f>Sources!C102</f>
        <v>15</v>
      </c>
      <c r="D102" s="193">
        <f>Sources!D102</f>
        <v>0</v>
      </c>
      <c r="F102" s="429">
        <f>Sources!F102*EnergyLineLoss</f>
        <v>370.34687387451163</v>
      </c>
      <c r="G102" s="429">
        <f>Sources!G102*EnergyLineLoss</f>
        <v>0</v>
      </c>
      <c r="H102" s="477">
        <f>Sources!H102*PeakLineLoss</f>
        <v>8.4169744062389001E-2</v>
      </c>
      <c r="I102" s="477">
        <f>Sources!I102*PeakLineLoss</f>
        <v>0</v>
      </c>
      <c r="K102" s="419">
        <f>Sources!J102</f>
        <v>115</v>
      </c>
      <c r="L102" s="419">
        <f>Sources!K102</f>
        <v>0</v>
      </c>
      <c r="N102" s="438">
        <f t="shared" si="35"/>
        <v>1.339569584775739</v>
      </c>
      <c r="P102" s="215">
        <f t="shared" si="36"/>
        <v>141.91911836269728</v>
      </c>
      <c r="Q102" s="215">
        <f t="shared" si="37"/>
        <v>12.131383886512713</v>
      </c>
      <c r="R102" s="215">
        <f t="shared" si="38"/>
        <v>115</v>
      </c>
      <c r="T102" s="214">
        <f t="shared" si="39"/>
        <v>115</v>
      </c>
      <c r="U102" s="214">
        <f t="shared" si="39"/>
        <v>0</v>
      </c>
      <c r="V102" s="214">
        <f t="shared" si="39"/>
        <v>0</v>
      </c>
      <c r="W102" s="214">
        <f t="shared" si="39"/>
        <v>0</v>
      </c>
      <c r="X102" s="214">
        <f t="shared" si="39"/>
        <v>0</v>
      </c>
      <c r="Y102" s="214">
        <f t="shared" si="40"/>
        <v>0</v>
      </c>
      <c r="Z102" s="214">
        <f t="shared" si="40"/>
        <v>0</v>
      </c>
      <c r="AA102" s="214">
        <f t="shared" si="40"/>
        <v>0</v>
      </c>
      <c r="AB102" s="214">
        <f t="shared" si="40"/>
        <v>0</v>
      </c>
      <c r="AC102" s="214">
        <f t="shared" si="40"/>
        <v>0</v>
      </c>
      <c r="AD102" s="214">
        <f t="shared" si="40"/>
        <v>0</v>
      </c>
      <c r="AF102" s="214">
        <f>IF(AND(($D102+$C$1)&gt;AF$3,AF$3&gt;=$C$1),'General Inputs'!D$9*$G102,IF(AND(($C102+$C$1)&gt;AF$3,AF$3&gt;=$C$1),'General Inputs'!D$9*$F102,0))</f>
        <v>14.744349454940489</v>
      </c>
      <c r="AG102" s="214">
        <f>IF(AND(($D102+$C$1)&gt;AG$3,AG$3&gt;=$C$1),'General Inputs'!E$9*$G102,IF(AND(($C102+$C$1)&gt;AG$3,AG$3&gt;=$C$1),'General Inputs'!E$9*$F102,0))</f>
        <v>14.965514696764595</v>
      </c>
      <c r="AH102" s="214">
        <f>IF(AND(($D102+$C$1)&gt;AH$3,AH$3&gt;=$C$1),'General Inputs'!F$9*$G102,IF(AND(($C102+$C$1)&gt;AH$3,AH$3&gt;=$C$1),'General Inputs'!F$9*$F102,0))</f>
        <v>15.189997417216063</v>
      </c>
      <c r="AI102" s="214">
        <f>IF(AND(($D102+$C$1)&gt;AI$3,AI$3&gt;=$C$1),'General Inputs'!G$9*$G102,IF(AND(($C102+$C$1)&gt;AI$3,AI$3&gt;=$C$1),'General Inputs'!G$9*$F102,0))</f>
        <v>15.417847378474303</v>
      </c>
      <c r="AJ102" s="214">
        <f>IF(AND(($D102+$C$1)&gt;AJ$3,AJ$3&gt;=$C$1),'General Inputs'!H$9*$G102,IF(AND(($C102+$C$1)&gt;AJ$3,AJ$3&gt;=$C$1),'General Inputs'!H$9*$F102,0))</f>
        <v>15.649115089151413</v>
      </c>
      <c r="AK102" s="214">
        <f>IF(AND(($D102+$C$1)&gt;AK$3,AK$3&gt;=$C$1),'General Inputs'!I$9*$G102,IF(AND(($C102+$C$1)&gt;AK$3,AK$3&gt;=$C$1),'General Inputs'!I$9*$F102,0))</f>
        <v>15.883851815488683</v>
      </c>
      <c r="AL102" s="214">
        <f>IF(AND(($D102+$C$1)&gt;AL$3,AL$3&gt;=$C$1),'General Inputs'!J$9*$G102,IF(AND(($C102+$C$1)&gt;AL$3,AL$3&gt;=$C$1),'General Inputs'!J$9*$F102,0))</f>
        <v>16.12210959272101</v>
      </c>
      <c r="AM102" s="214">
        <f>IF(AND(($D102+$C$1)&gt;AM$3,AM$3&gt;=$C$1),'General Inputs'!K$9*$G102,IF(AND(($C102+$C$1)&gt;AM$3,AM$3&gt;=$C$1),'General Inputs'!K$9*$F102,0))</f>
        <v>16.363941236611822</v>
      </c>
      <c r="AN102" s="214">
        <f>IF(AND(($D102+$C$1)&gt;AN$3,AN$3&gt;=$C$1),'General Inputs'!L$9*$G102,IF(AND(($C102+$C$1)&gt;AN$3,AN$3&gt;=$C$1),'General Inputs'!L$9*$F102,0))</f>
        <v>16.609400355161</v>
      </c>
      <c r="AO102" s="214">
        <f>IF(AND(($D102+$C$1)&gt;AO$3,AO$3&gt;=$C$1),'General Inputs'!M$9*$G102,IF(AND(($C102+$C$1)&gt;AO$3,AO$3&gt;=$C$1),'General Inputs'!M$9*$F102,0))</f>
        <v>16.858541360488413</v>
      </c>
      <c r="AP102" s="214">
        <f>IF(AND(($D102+$C$1)&gt;AP$3,AP$3&gt;=$C$1),'General Inputs'!N$9*$G102,IF(AND(($C102+$C$1)&gt;AP$3,AP$3&gt;=$C$1),'General Inputs'!N$9*$F102,0))</f>
        <v>17.111419480895737</v>
      </c>
      <c r="AQ102" s="214">
        <f>IF(AND(($D102+$C$1)&gt;AQ$3,AQ$3&gt;=$C$1),'General Inputs'!O$9*$G102,IF(AND(($C102+$C$1)&gt;AQ$3,AQ$3&gt;=$C$1),'General Inputs'!O$9*$F102,0))</f>
        <v>17.36809077310917</v>
      </c>
      <c r="AR102" s="214">
        <f>IF(AND(($D102+$C$1)&gt;AR$3,AR$3&gt;=$C$1),'General Inputs'!P$9*$G102,IF(AND(($C102+$C$1)&gt;AR$3,AR$3&gt;=$C$1),'General Inputs'!P$9*$F102,0))</f>
        <v>17.628612134705808</v>
      </c>
      <c r="AS102" s="214">
        <f>IF(AND(($D102+$C$1)&gt;AS$3,AS$3&gt;=$C$1),'General Inputs'!Q$9*$G102,IF(AND(($C102+$C$1)&gt;AS$3,AS$3&gt;=$C$1),'General Inputs'!Q$9*$F102,0))</f>
        <v>17.893041316726393</v>
      </c>
      <c r="AT102" s="214">
        <f>IF(AND(($D102+$C$1)&gt;AT$3,AT$3&gt;=$C$1),'General Inputs'!R$9*$G102,IF(AND(($C102+$C$1)&gt;AT$3,AT$3&gt;=$C$1),'General Inputs'!R$9*$F102,0))</f>
        <v>18.161436936477287</v>
      </c>
      <c r="AU102" s="214">
        <f>IF(AND(($D102+$C$1)&gt;AU$3,AU$3&gt;=$C$1),'General Inputs'!S$9*$G102,IF(AND(($C102+$C$1)&gt;AU$3,AU$3&gt;=$C$1),'General Inputs'!S$9*$F102,0))</f>
        <v>0</v>
      </c>
      <c r="AV102" s="214">
        <f>IF(AND(($D102+$C$1)&gt;AV$3,AV$3&gt;=$C$1),'General Inputs'!T$9*$G102,IF(AND(($C102+$C$1)&gt;AV$3,AV$3&gt;=$C$1),'General Inputs'!T$9*$F102,0))</f>
        <v>0</v>
      </c>
      <c r="AW102" s="214">
        <f>IF(AND(($D102+$C$1)&gt;AW$3,AW$3&gt;=$C$1),'General Inputs'!U$9*$G102,IF(AND(($C102+$C$1)&gt;AW$3,AW$3&gt;=$C$1),'General Inputs'!U$9*$F102,0))</f>
        <v>0</v>
      </c>
      <c r="AX102" s="214">
        <f>IF(AND(($D102+$C$1)&gt;AX$3,AX$3&gt;=$C$1),'General Inputs'!V$9*$G102,IF(AND(($C102+$C$1)&gt;AX$3,AX$3&gt;=$C$1),'General Inputs'!V$9*$F102,0))</f>
        <v>0</v>
      </c>
      <c r="AY102" s="214">
        <f>IF(AND(($D102+$C$1)&gt;AY$3,AY$3&gt;=$C$1),'General Inputs'!W$9*$G102,IF(AND(($C102+$C$1)&gt;AY$3,AY$3&gt;=$C$1),'General Inputs'!W$9*$F102,0))</f>
        <v>0</v>
      </c>
      <c r="BA102" s="214">
        <f>IF(AND(($D102+$C$1)&gt;AF$3,AF$3&gt;=$C$1),'General Inputs'!D$10*$I102,IF(AND(($C102+$C$1)&gt;AF$3,AF$3&gt;=$C$1),'General Inputs'!D$10*$H102,0))</f>
        <v>1.2603612921103973</v>
      </c>
      <c r="BB102" s="214">
        <f>IF(AND(($D102+$C$1)&gt;AG$3,AG$3&gt;=$C$1),'General Inputs'!E$10*$I102,IF(AND(($C102+$C$1)&gt;AG$3,AG$3&gt;=$C$1),'General Inputs'!E$10*$H102,0))</f>
        <v>1.2792667114920531</v>
      </c>
      <c r="BC102" s="214">
        <f>IF(AND(($D102+$C$1)&gt;AH$3,AH$3&gt;=$C$1),'General Inputs'!F$10*$I102,IF(AND(($C102+$C$1)&gt;AH$3,AH$3&gt;=$C$1),'General Inputs'!F$10*$H102,0))</f>
        <v>1.2984557121644338</v>
      </c>
      <c r="BD102" s="214">
        <f>IF(AND(($D102+$C$1)&gt;AI$3,AI$3&gt;=$C$1),'General Inputs'!G$10*$I102,IF(AND(($C102+$C$1)&gt;AI$3,AI$3&gt;=$C$1),'General Inputs'!G$10*$H102,0))</f>
        <v>1.3179325478469002</v>
      </c>
      <c r="BE102" s="214">
        <f>IF(AND(($D102+$C$1)&gt;AJ$3,AJ$3&gt;=$C$1),'General Inputs'!H$10*$I102,IF(AND(($C102+$C$1)&gt;AJ$3,AJ$3&gt;=$C$1),'General Inputs'!H$10*$H102,0))</f>
        <v>1.3377015360646034</v>
      </c>
      <c r="BF102" s="214">
        <f>IF(AND(($D102+$C$1)&gt;AK$3,AK$3&gt;=$C$1),'General Inputs'!I$10*$I102,IF(AND(($C102+$C$1)&gt;AK$3,AK$3&gt;=$C$1),'General Inputs'!I$10*$H102,0))</f>
        <v>1.3577670591055722</v>
      </c>
      <c r="BG102" s="214">
        <f>IF(AND(($D102+$C$1)&gt;AL$3,AL$3&gt;=$C$1),'General Inputs'!J$10*$I102,IF(AND(($C102+$C$1)&gt;AL$3,AL$3&gt;=$C$1),'General Inputs'!J$10*$H102,0))</f>
        <v>1.3781335649921558</v>
      </c>
      <c r="BH102" s="214">
        <f>IF(AND(($D102+$C$1)&gt;AM$3,AM$3&gt;=$C$1),'General Inputs'!K$10*$I102,IF(AND(($C102+$C$1)&gt;AM$3,AM$3&gt;=$C$1),'General Inputs'!K$10*$H102,0))</f>
        <v>1.398805568467038</v>
      </c>
      <c r="BI102" s="214">
        <f>IF(AND(($D102+$C$1)&gt;AN$3,AN$3&gt;=$C$1),'General Inputs'!L$10*$I102,IF(AND(($C102+$C$1)&gt;AN$3,AN$3&gt;=$C$1),'General Inputs'!L$10*$H102,0))</f>
        <v>1.4197876519940433</v>
      </c>
      <c r="BJ102" s="214">
        <f>IF(AND(($D102+$C$1)&gt;AO$3,AO$3&gt;=$C$1),'General Inputs'!M$10*$I102,IF(AND(($C102+$C$1)&gt;AO$3,AO$3&gt;=$C$1),'General Inputs'!M$10*$H102,0))</f>
        <v>1.441084466773954</v>
      </c>
      <c r="BK102" s="214">
        <f>IF(AND(($D102+$C$1)&gt;AP$3,AP$3&gt;=$C$1),'General Inputs'!N$10*$I102,IF(AND(($C102+$C$1)&gt;AP$3,AP$3&gt;=$C$1),'General Inputs'!N$10*$H102,0))</f>
        <v>1.4627007337755631</v>
      </c>
      <c r="BL102" s="214">
        <f>IF(AND(($D102+$C$1)&gt;AQ$3,AQ$3&gt;=$C$1),'General Inputs'!O$10*$I102,IF(AND(($C102+$C$1)&gt;AQ$3,AQ$3&gt;=$C$1),'General Inputs'!O$10*$H102,0))</f>
        <v>1.4846412447821964</v>
      </c>
      <c r="BM102" s="214">
        <f>IF(AND(($D102+$C$1)&gt;AR$3,AR$3&gt;=$C$1),'General Inputs'!P$10*$I102,IF(AND(($C102+$C$1)&gt;AR$3,AR$3&gt;=$C$1),'General Inputs'!P$10*$H102,0))</f>
        <v>1.5069108634539292</v>
      </c>
      <c r="BN102" s="214">
        <f>IF(AND(($D102+$C$1)&gt;AS$3,AS$3&gt;=$C$1),'General Inputs'!Q$10*$I102,IF(AND(($C102+$C$1)&gt;AS$3,AS$3&gt;=$C$1),'General Inputs'!Q$10*$H102,0))</f>
        <v>1.5295145264057382</v>
      </c>
      <c r="BO102" s="214">
        <f>IF(AND(($D102+$C$1)&gt;AT$3,AT$3&gt;=$C$1),'General Inputs'!R$10*$I102,IF(AND(($C102+$C$1)&gt;AT$3,AT$3&gt;=$C$1),'General Inputs'!R$10*$H102,0))</f>
        <v>1.5524572443018239</v>
      </c>
      <c r="BP102" s="214">
        <f>IF(AND(($D102+$C$1)&gt;AU$3,AU$3&gt;=$C$1),'General Inputs'!S$10*$I102,IF(AND(($C102+$C$1)&gt;AU$3,AU$3&gt;=$C$1),'General Inputs'!S$10*$H102,0))</f>
        <v>0</v>
      </c>
      <c r="BQ102" s="214">
        <f>IF(AND(($D102+$C$1)&gt;AV$3,AV$3&gt;=$C$1),'General Inputs'!T$10*$I102,IF(AND(($C102+$C$1)&gt;AV$3,AV$3&gt;=$C$1),'General Inputs'!T$10*$H102,0))</f>
        <v>0</v>
      </c>
      <c r="BR102" s="214">
        <f>IF(AND(($D102+$C$1)&gt;AW$3,AW$3&gt;=$C$1),'General Inputs'!U$10*$I102,IF(AND(($C102+$C$1)&gt;AW$3,AW$3&gt;=$C$1),'General Inputs'!U$10*$H102,0))</f>
        <v>0</v>
      </c>
      <c r="BS102" s="214">
        <f>IF(AND(($D102+$C$1)&gt;AX$3,AX$3&gt;=$C$1),'General Inputs'!V$10*$I102,IF(AND(($C102+$C$1)&gt;AX$3,AX$3&gt;=$C$1),'General Inputs'!V$10*$H102,0))</f>
        <v>0</v>
      </c>
      <c r="BT102" s="214">
        <f>IF(AND(($D102+$C$1)&gt;AY$3,AY$3&gt;=$C$1),'General Inputs'!W$10*$I102,IF(AND(($C102+$C$1)&gt;AY$3,AY$3&gt;=$C$1),'General Inputs'!W$10*$H102,0))</f>
        <v>0</v>
      </c>
    </row>
    <row r="103" spans="1:72">
      <c r="A103" s="342" t="s">
        <v>112</v>
      </c>
      <c r="B103" s="427" t="str">
        <f>Sources!B103</f>
        <v>TEFC Motor</v>
      </c>
      <c r="C103" s="193">
        <f>Sources!C103</f>
        <v>15</v>
      </c>
      <c r="D103" s="193">
        <f>Sources!D103</f>
        <v>0</v>
      </c>
      <c r="F103" s="429">
        <f>Sources!F103*EnergyLineLoss</f>
        <v>260.92620659340469</v>
      </c>
      <c r="G103" s="429">
        <f>Sources!G103*EnergyLineLoss</f>
        <v>0</v>
      </c>
      <c r="H103" s="477">
        <f>Sources!H103*PeakLineLoss</f>
        <v>5.9301410589410158E-2</v>
      </c>
      <c r="I103" s="477">
        <f>Sources!I103*PeakLineLoss</f>
        <v>0</v>
      </c>
      <c r="K103" s="419">
        <f>Sources!J103</f>
        <v>115</v>
      </c>
      <c r="L103" s="419">
        <f>Sources!K103</f>
        <v>0</v>
      </c>
      <c r="N103" s="438">
        <f t="shared" si="35"/>
        <v>0.94378766200108433</v>
      </c>
      <c r="P103" s="215">
        <f t="shared" si="36"/>
        <v>99.988469755536229</v>
      </c>
      <c r="Q103" s="215">
        <f t="shared" si="37"/>
        <v>8.5471113745884644</v>
      </c>
      <c r="R103" s="215">
        <f t="shared" si="38"/>
        <v>115</v>
      </c>
      <c r="T103" s="214">
        <f t="shared" si="39"/>
        <v>115</v>
      </c>
      <c r="U103" s="214">
        <f t="shared" si="39"/>
        <v>0</v>
      </c>
      <c r="V103" s="214">
        <f t="shared" si="39"/>
        <v>0</v>
      </c>
      <c r="W103" s="214">
        <f t="shared" si="39"/>
        <v>0</v>
      </c>
      <c r="X103" s="214">
        <f t="shared" si="39"/>
        <v>0</v>
      </c>
      <c r="Y103" s="214">
        <f t="shared" si="40"/>
        <v>0</v>
      </c>
      <c r="Z103" s="214">
        <f t="shared" si="40"/>
        <v>0</v>
      </c>
      <c r="AA103" s="214">
        <f t="shared" si="40"/>
        <v>0</v>
      </c>
      <c r="AB103" s="214">
        <f t="shared" si="40"/>
        <v>0</v>
      </c>
      <c r="AC103" s="214">
        <f t="shared" si="40"/>
        <v>0</v>
      </c>
      <c r="AD103" s="214">
        <f t="shared" si="40"/>
        <v>0</v>
      </c>
      <c r="AF103" s="214">
        <f>IF(AND(($D103+$C$1)&gt;AF$3,AF$3&gt;=$C$1),'General Inputs'!D$9*$G103,IF(AND(($C103+$C$1)&gt;AF$3,AF$3&gt;=$C$1),'General Inputs'!D$9*$F103,0))</f>
        <v>10.388064388708022</v>
      </c>
      <c r="AG103" s="214">
        <f>IF(AND(($D103+$C$1)&gt;AG$3,AG$3&gt;=$C$1),'General Inputs'!E$9*$G103,IF(AND(($C103+$C$1)&gt;AG$3,AG$3&gt;=$C$1),'General Inputs'!E$9*$F103,0))</f>
        <v>10.543885354538642</v>
      </c>
      <c r="AH103" s="214">
        <f>IF(AND(($D103+$C$1)&gt;AH$3,AH$3&gt;=$C$1),'General Inputs'!F$9*$G103,IF(AND(($C103+$C$1)&gt;AH$3,AH$3&gt;=$C$1),'General Inputs'!F$9*$F103,0))</f>
        <v>10.70204363485672</v>
      </c>
      <c r="AI103" s="214">
        <f>IF(AND(($D103+$C$1)&gt;AI$3,AI$3&gt;=$C$1),'General Inputs'!G$9*$G103,IF(AND(($C103+$C$1)&gt;AI$3,AI$3&gt;=$C$1),'General Inputs'!G$9*$F103,0))</f>
        <v>10.86257428937957</v>
      </c>
      <c r="AJ103" s="214">
        <f>IF(AND(($D103+$C$1)&gt;AJ$3,AJ$3&gt;=$C$1),'General Inputs'!H$9*$G103,IF(AND(($C103+$C$1)&gt;AJ$3,AJ$3&gt;=$C$1),'General Inputs'!H$9*$F103,0))</f>
        <v>11.025512903720262</v>
      </c>
      <c r="AK103" s="214">
        <f>IF(AND(($D103+$C$1)&gt;AK$3,AK$3&gt;=$C$1),'General Inputs'!I$9*$G103,IF(AND(($C103+$C$1)&gt;AK$3,AK$3&gt;=$C$1),'General Inputs'!I$9*$F103,0))</f>
        <v>11.190895597276064</v>
      </c>
      <c r="AL103" s="214">
        <f>IF(AND(($D103+$C$1)&gt;AL$3,AL$3&gt;=$C$1),'General Inputs'!J$9*$G103,IF(AND(($C103+$C$1)&gt;AL$3,AL$3&gt;=$C$1),'General Inputs'!J$9*$F103,0))</f>
        <v>11.358759031235204</v>
      </c>
      <c r="AM103" s="214">
        <f>IF(AND(($D103+$C$1)&gt;AM$3,AM$3&gt;=$C$1),'General Inputs'!K$9*$G103,IF(AND(($C103+$C$1)&gt;AM$3,AM$3&gt;=$C$1),'General Inputs'!K$9*$F103,0))</f>
        <v>11.529140416703729</v>
      </c>
      <c r="AN103" s="214">
        <f>IF(AND(($D103+$C$1)&gt;AN$3,AN$3&gt;=$C$1),'General Inputs'!L$9*$G103,IF(AND(($C103+$C$1)&gt;AN$3,AN$3&gt;=$C$1),'General Inputs'!L$9*$F103,0))</f>
        <v>11.702077522954285</v>
      </c>
      <c r="AO103" s="214">
        <f>IF(AND(($D103+$C$1)&gt;AO$3,AO$3&gt;=$C$1),'General Inputs'!M$9*$G103,IF(AND(($C103+$C$1)&gt;AO$3,AO$3&gt;=$C$1),'General Inputs'!M$9*$F103,0))</f>
        <v>11.877608685798597</v>
      </c>
      <c r="AP103" s="214">
        <f>IF(AND(($D103+$C$1)&gt;AP$3,AP$3&gt;=$C$1),'General Inputs'!N$9*$G103,IF(AND(($C103+$C$1)&gt;AP$3,AP$3&gt;=$C$1),'General Inputs'!N$9*$F103,0))</f>
        <v>12.055772816085575</v>
      </c>
      <c r="AQ103" s="214">
        <f>IF(AND(($D103+$C$1)&gt;AQ$3,AQ$3&gt;=$C$1),'General Inputs'!O$9*$G103,IF(AND(($C103+$C$1)&gt;AQ$3,AQ$3&gt;=$C$1),'General Inputs'!O$9*$F103,0))</f>
        <v>12.236609408326858</v>
      </c>
      <c r="AR103" s="214">
        <f>IF(AND(($D103+$C$1)&gt;AR$3,AR$3&gt;=$C$1),'General Inputs'!P$9*$G103,IF(AND(($C103+$C$1)&gt;AR$3,AR$3&gt;=$C$1),'General Inputs'!P$9*$F103,0))</f>
        <v>12.420158549451759</v>
      </c>
      <c r="AS103" s="214">
        <f>IF(AND(($D103+$C$1)&gt;AS$3,AS$3&gt;=$C$1),'General Inputs'!Q$9*$G103,IF(AND(($C103+$C$1)&gt;AS$3,AS$3&gt;=$C$1),'General Inputs'!Q$9*$F103,0))</f>
        <v>12.606460927693535</v>
      </c>
      <c r="AT103" s="214">
        <f>IF(AND(($D103+$C$1)&gt;AT$3,AT$3&gt;=$C$1),'General Inputs'!R$9*$G103,IF(AND(($C103+$C$1)&gt;AT$3,AT$3&gt;=$C$1),'General Inputs'!R$9*$F103,0))</f>
        <v>12.795557841608938</v>
      </c>
      <c r="AU103" s="214">
        <f>IF(AND(($D103+$C$1)&gt;AU$3,AU$3&gt;=$C$1),'General Inputs'!S$9*$G103,IF(AND(($C103+$C$1)&gt;AU$3,AU$3&gt;=$C$1),'General Inputs'!S$9*$F103,0))</f>
        <v>0</v>
      </c>
      <c r="AV103" s="214">
        <f>IF(AND(($D103+$C$1)&gt;AV$3,AV$3&gt;=$C$1),'General Inputs'!T$9*$G103,IF(AND(($C103+$C$1)&gt;AV$3,AV$3&gt;=$C$1),'General Inputs'!T$9*$F103,0))</f>
        <v>0</v>
      </c>
      <c r="AW103" s="214">
        <f>IF(AND(($D103+$C$1)&gt;AW$3,AW$3&gt;=$C$1),'General Inputs'!U$9*$G103,IF(AND(($C103+$C$1)&gt;AW$3,AW$3&gt;=$C$1),'General Inputs'!U$9*$F103,0))</f>
        <v>0</v>
      </c>
      <c r="AX103" s="214">
        <f>IF(AND(($D103+$C$1)&gt;AX$3,AX$3&gt;=$C$1),'General Inputs'!V$9*$G103,IF(AND(($C103+$C$1)&gt;AX$3,AX$3&gt;=$C$1),'General Inputs'!V$9*$F103,0))</f>
        <v>0</v>
      </c>
      <c r="AY103" s="214">
        <f>IF(AND(($D103+$C$1)&gt;AY$3,AY$3&gt;=$C$1),'General Inputs'!W$9*$G103,IF(AND(($C103+$C$1)&gt;AY$3,AY$3&gt;=$C$1),'General Inputs'!W$9*$F103,0))</f>
        <v>0</v>
      </c>
      <c r="BA103" s="214">
        <f>IF(AND(($D103+$C$1)&gt;AF$3,AF$3&gt;=$C$1),'General Inputs'!D$10*$I103,IF(AND(($C103+$C$1)&gt;AF$3,AF$3&gt;=$C$1),'General Inputs'!D$10*$H103,0))</f>
        <v>0.88798181944141208</v>
      </c>
      <c r="BB103" s="214">
        <f>IF(AND(($D103+$C$1)&gt;AG$3,AG$3&gt;=$C$1),'General Inputs'!E$10*$I103,IF(AND(($C103+$C$1)&gt;AG$3,AG$3&gt;=$C$1),'General Inputs'!E$10*$H103,0))</f>
        <v>0.9013015467330332</v>
      </c>
      <c r="BC103" s="214">
        <f>IF(AND(($D103+$C$1)&gt;AH$3,AH$3&gt;=$C$1),'General Inputs'!F$10*$I103,IF(AND(($C103+$C$1)&gt;AH$3,AH$3&gt;=$C$1),'General Inputs'!F$10*$H103,0))</f>
        <v>0.91482106993402856</v>
      </c>
      <c r="BD103" s="214">
        <f>IF(AND(($D103+$C$1)&gt;AI$3,AI$3&gt;=$C$1),'General Inputs'!G$10*$I103,IF(AND(($C103+$C$1)&gt;AI$3,AI$3&gt;=$C$1),'General Inputs'!G$10*$H103,0))</f>
        <v>0.92854338598303898</v>
      </c>
      <c r="BE103" s="214">
        <f>IF(AND(($D103+$C$1)&gt;AJ$3,AJ$3&gt;=$C$1),'General Inputs'!H$10*$I103,IF(AND(($C103+$C$1)&gt;AJ$3,AJ$3&gt;=$C$1),'General Inputs'!H$10*$H103,0))</f>
        <v>0.9424715367727845</v>
      </c>
      <c r="BF103" s="214">
        <f>IF(AND(($D103+$C$1)&gt;AK$3,AK$3&gt;=$C$1),'General Inputs'!I$10*$I103,IF(AND(($C103+$C$1)&gt;AK$3,AK$3&gt;=$C$1),'General Inputs'!I$10*$H103,0))</f>
        <v>0.95660860982437601</v>
      </c>
      <c r="BG103" s="214">
        <f>IF(AND(($D103+$C$1)&gt;AL$3,AL$3&gt;=$C$1),'General Inputs'!J$10*$I103,IF(AND(($C103+$C$1)&gt;AL$3,AL$3&gt;=$C$1),'General Inputs'!J$10*$H103,0))</f>
        <v>0.97095773897174154</v>
      </c>
      <c r="BH103" s="214">
        <f>IF(AND(($D103+$C$1)&gt;AM$3,AM$3&gt;=$C$1),'General Inputs'!K$10*$I103,IF(AND(($C103+$C$1)&gt;AM$3,AM$3&gt;=$C$1),'General Inputs'!K$10*$H103,0))</f>
        <v>0.98552210505631765</v>
      </c>
      <c r="BI103" s="214">
        <f>IF(AND(($D103+$C$1)&gt;AN$3,AN$3&gt;=$C$1),'General Inputs'!L$10*$I103,IF(AND(($C103+$C$1)&gt;AN$3,AN$3&gt;=$C$1),'General Inputs'!L$10*$H103,0))</f>
        <v>1.0003049366321624</v>
      </c>
      <c r="BJ103" s="214">
        <f>IF(AND(($D103+$C$1)&gt;AO$3,AO$3&gt;=$C$1),'General Inputs'!M$10*$I103,IF(AND(($C103+$C$1)&gt;AO$3,AO$3&gt;=$C$1),'General Inputs'!M$10*$H103,0))</f>
        <v>1.0153095106816448</v>
      </c>
      <c r="BK103" s="214">
        <f>IF(AND(($D103+$C$1)&gt;AP$3,AP$3&gt;=$C$1),'General Inputs'!N$10*$I103,IF(AND(($C103+$C$1)&gt;AP$3,AP$3&gt;=$C$1),'General Inputs'!N$10*$H103,0))</f>
        <v>1.0305391533418693</v>
      </c>
      <c r="BL103" s="214">
        <f>IF(AND(($D103+$C$1)&gt;AQ$3,AQ$3&gt;=$C$1),'General Inputs'!O$10*$I103,IF(AND(($C103+$C$1)&gt;AQ$3,AQ$3&gt;=$C$1),'General Inputs'!O$10*$H103,0))</f>
        <v>1.0459972406419973</v>
      </c>
      <c r="BM103" s="214">
        <f>IF(AND(($D103+$C$1)&gt;AR$3,AR$3&gt;=$C$1),'General Inputs'!P$10*$I103,IF(AND(($C103+$C$1)&gt;AR$3,AR$3&gt;=$C$1),'General Inputs'!P$10*$H103,0))</f>
        <v>1.061687199251627</v>
      </c>
      <c r="BN103" s="214">
        <f>IF(AND(($D103+$C$1)&gt;AS$3,AS$3&gt;=$C$1),'General Inputs'!Q$10*$I103,IF(AND(($C103+$C$1)&gt;AS$3,AS$3&gt;=$C$1),'General Inputs'!Q$10*$H103,0))</f>
        <v>1.0776125072404015</v>
      </c>
      <c r="BO103" s="214">
        <f>IF(AND(($D103+$C$1)&gt;AT$3,AT$3&gt;=$C$1),'General Inputs'!R$10*$I103,IF(AND(($C103+$C$1)&gt;AT$3,AT$3&gt;=$C$1),'General Inputs'!R$10*$H103,0))</f>
        <v>1.0937766948490073</v>
      </c>
      <c r="BP103" s="214">
        <f>IF(AND(($D103+$C$1)&gt;AU$3,AU$3&gt;=$C$1),'General Inputs'!S$10*$I103,IF(AND(($C103+$C$1)&gt;AU$3,AU$3&gt;=$C$1),'General Inputs'!S$10*$H103,0))</f>
        <v>0</v>
      </c>
      <c r="BQ103" s="214">
        <f>IF(AND(($D103+$C$1)&gt;AV$3,AV$3&gt;=$C$1),'General Inputs'!T$10*$I103,IF(AND(($C103+$C$1)&gt;AV$3,AV$3&gt;=$C$1),'General Inputs'!T$10*$H103,0))</f>
        <v>0</v>
      </c>
      <c r="BR103" s="214">
        <f>IF(AND(($D103+$C$1)&gt;AW$3,AW$3&gt;=$C$1),'General Inputs'!U$10*$I103,IF(AND(($C103+$C$1)&gt;AW$3,AW$3&gt;=$C$1),'General Inputs'!U$10*$H103,0))</f>
        <v>0</v>
      </c>
      <c r="BS103" s="214">
        <f>IF(AND(($D103+$C$1)&gt;AX$3,AX$3&gt;=$C$1),'General Inputs'!V$10*$I103,IF(AND(($C103+$C$1)&gt;AX$3,AX$3&gt;=$C$1),'General Inputs'!V$10*$H103,0))</f>
        <v>0</v>
      </c>
      <c r="BT103" s="214">
        <f>IF(AND(($D103+$C$1)&gt;AY$3,AY$3&gt;=$C$1),'General Inputs'!W$10*$I103,IF(AND(($C103+$C$1)&gt;AY$3,AY$3&gt;=$C$1),'General Inputs'!W$10*$H103,0))</f>
        <v>0</v>
      </c>
    </row>
    <row r="104" spans="1:72">
      <c r="A104" s="342" t="s">
        <v>112</v>
      </c>
      <c r="B104" s="427" t="str">
        <f>Sources!B104</f>
        <v>Chiller</v>
      </c>
      <c r="C104" s="193">
        <f>Sources!C104</f>
        <v>20</v>
      </c>
      <c r="D104" s="193">
        <f>Sources!D104</f>
        <v>0</v>
      </c>
      <c r="F104" s="429">
        <f>Sources!F104*EnergyLineLoss</f>
        <v>2805.6139928885227</v>
      </c>
      <c r="G104" s="429">
        <f>Sources!G104*EnergyLineLoss</f>
        <v>0</v>
      </c>
      <c r="H104" s="477">
        <f>Sources!H104*PeakLineLoss</f>
        <v>1.9279603848567284</v>
      </c>
      <c r="I104" s="477">
        <f>Sources!I104*PeakLineLoss</f>
        <v>0</v>
      </c>
      <c r="K104" s="419">
        <f>Sources!J104</f>
        <v>6350</v>
      </c>
      <c r="L104" s="419">
        <f>Sources!K104</f>
        <v>0</v>
      </c>
      <c r="N104" s="438">
        <f t="shared" si="35"/>
        <v>0.24701170646711851</v>
      </c>
      <c r="P104" s="215">
        <f t="shared" si="36"/>
        <v>1246.3845525254194</v>
      </c>
      <c r="Q104" s="215">
        <f t="shared" si="37"/>
        <v>322.13978354078313</v>
      </c>
      <c r="R104" s="215">
        <f t="shared" si="38"/>
        <v>6350</v>
      </c>
      <c r="T104" s="214">
        <f t="shared" si="39"/>
        <v>6350</v>
      </c>
      <c r="U104" s="214">
        <f t="shared" si="39"/>
        <v>0</v>
      </c>
      <c r="V104" s="214">
        <f t="shared" si="39"/>
        <v>0</v>
      </c>
      <c r="W104" s="214">
        <f t="shared" si="39"/>
        <v>0</v>
      </c>
      <c r="X104" s="214">
        <f t="shared" si="39"/>
        <v>0</v>
      </c>
      <c r="Y104" s="214">
        <f t="shared" si="40"/>
        <v>0</v>
      </c>
      <c r="Z104" s="214">
        <f t="shared" si="40"/>
        <v>0</v>
      </c>
      <c r="AA104" s="214">
        <f t="shared" si="40"/>
        <v>0</v>
      </c>
      <c r="AB104" s="214">
        <f t="shared" si="40"/>
        <v>0</v>
      </c>
      <c r="AC104" s="214">
        <f t="shared" si="40"/>
        <v>0</v>
      </c>
      <c r="AD104" s="214">
        <f t="shared" si="40"/>
        <v>0</v>
      </c>
      <c r="AF104" s="214">
        <f>IF(AND(($D104+$C$1)&gt;AF$3,AF$3&gt;=$C$1),'General Inputs'!D$9*$G104,IF(AND(($C104+$C$1)&gt;AF$3,AF$3&gt;=$C$1),'General Inputs'!D$9*$F104,0))</f>
        <v>111.69785966881439</v>
      </c>
      <c r="AG104" s="214">
        <f>IF(AND(($D104+$C$1)&gt;AG$3,AG$3&gt;=$C$1),'General Inputs'!E$9*$G104,IF(AND(($C104+$C$1)&gt;AG$3,AG$3&gt;=$C$1),'General Inputs'!E$9*$F104,0))</f>
        <v>113.37332756384659</v>
      </c>
      <c r="AH104" s="214">
        <f>IF(AND(($D104+$C$1)&gt;AH$3,AH$3&gt;=$C$1),'General Inputs'!F$9*$G104,IF(AND(($C104+$C$1)&gt;AH$3,AH$3&gt;=$C$1),'General Inputs'!F$9*$F104,0))</f>
        <v>115.07392747730427</v>
      </c>
      <c r="AI104" s="214">
        <f>IF(AND(($D104+$C$1)&gt;AI$3,AI$3&gt;=$C$1),'General Inputs'!G$9*$G104,IF(AND(($C104+$C$1)&gt;AI$3,AI$3&gt;=$C$1),'General Inputs'!G$9*$F104,0))</f>
        <v>116.80003638946383</v>
      </c>
      <c r="AJ104" s="214">
        <f>IF(AND(($D104+$C$1)&gt;AJ$3,AJ$3&gt;=$C$1),'General Inputs'!H$9*$G104,IF(AND(($C104+$C$1)&gt;AJ$3,AJ$3&gt;=$C$1),'General Inputs'!H$9*$F104,0))</f>
        <v>118.55203693530576</v>
      </c>
      <c r="AK104" s="214">
        <f>IF(AND(($D104+$C$1)&gt;AK$3,AK$3&gt;=$C$1),'General Inputs'!I$9*$G104,IF(AND(($C104+$C$1)&gt;AK$3,AK$3&gt;=$C$1),'General Inputs'!I$9*$F104,0))</f>
        <v>120.33031748933533</v>
      </c>
      <c r="AL104" s="214">
        <f>IF(AND(($D104+$C$1)&gt;AL$3,AL$3&gt;=$C$1),'General Inputs'!J$9*$G104,IF(AND(($C104+$C$1)&gt;AL$3,AL$3&gt;=$C$1),'General Inputs'!J$9*$F104,0))</f>
        <v>122.13527225167535</v>
      </c>
      <c r="AM104" s="214">
        <f>IF(AND(($D104+$C$1)&gt;AM$3,AM$3&gt;=$C$1),'General Inputs'!K$9*$G104,IF(AND(($C104+$C$1)&gt;AM$3,AM$3&gt;=$C$1),'General Inputs'!K$9*$F104,0))</f>
        <v>123.96730133545046</v>
      </c>
      <c r="AN104" s="214">
        <f>IF(AND(($D104+$C$1)&gt;AN$3,AN$3&gt;=$C$1),'General Inputs'!L$9*$G104,IF(AND(($C104+$C$1)&gt;AN$3,AN$3&gt;=$C$1),'General Inputs'!L$9*$F104,0))</f>
        <v>125.82681085548221</v>
      </c>
      <c r="AO104" s="214">
        <f>IF(AND(($D104+$C$1)&gt;AO$3,AO$3&gt;=$C$1),'General Inputs'!M$9*$G104,IF(AND(($C104+$C$1)&gt;AO$3,AO$3&gt;=$C$1),'General Inputs'!M$9*$F104,0))</f>
        <v>127.71421301831441</v>
      </c>
      <c r="AP104" s="214">
        <f>IF(AND(($D104+$C$1)&gt;AP$3,AP$3&gt;=$C$1),'General Inputs'!N$9*$G104,IF(AND(($C104+$C$1)&gt;AP$3,AP$3&gt;=$C$1),'General Inputs'!N$9*$F104,0))</f>
        <v>129.62992621358913</v>
      </c>
      <c r="AQ104" s="214">
        <f>IF(AND(($D104+$C$1)&gt;AQ$3,AQ$3&gt;=$C$1),'General Inputs'!O$9*$G104,IF(AND(($C104+$C$1)&gt;AQ$3,AQ$3&gt;=$C$1),'General Inputs'!O$9*$F104,0))</f>
        <v>131.57437510679296</v>
      </c>
      <c r="AR104" s="214">
        <f>IF(AND(($D104+$C$1)&gt;AR$3,AR$3&gt;=$C$1),'General Inputs'!P$9*$G104,IF(AND(($C104+$C$1)&gt;AR$3,AR$3&gt;=$C$1),'General Inputs'!P$9*$F104,0))</f>
        <v>133.54799073339484</v>
      </c>
      <c r="AS104" s="214">
        <f>IF(AND(($D104+$C$1)&gt;AS$3,AS$3&gt;=$C$1),'General Inputs'!Q$9*$G104,IF(AND(($C104+$C$1)&gt;AS$3,AS$3&gt;=$C$1),'General Inputs'!Q$9*$F104,0))</f>
        <v>135.55121059439574</v>
      </c>
      <c r="AT104" s="214">
        <f>IF(AND(($D104+$C$1)&gt;AT$3,AT$3&gt;=$C$1),'General Inputs'!R$9*$G104,IF(AND(($C104+$C$1)&gt;AT$3,AT$3&gt;=$C$1),'General Inputs'!R$9*$F104,0))</f>
        <v>137.58447875331169</v>
      </c>
      <c r="AU104" s="214">
        <f>IF(AND(($D104+$C$1)&gt;AU$3,AU$3&gt;=$C$1),'General Inputs'!S$9*$G104,IF(AND(($C104+$C$1)&gt;AU$3,AU$3&gt;=$C$1),'General Inputs'!S$9*$F104,0))</f>
        <v>139.64824593461134</v>
      </c>
      <c r="AV104" s="214">
        <f>IF(AND(($D104+$C$1)&gt;AV$3,AV$3&gt;=$C$1),'General Inputs'!T$9*$G104,IF(AND(($C104+$C$1)&gt;AV$3,AV$3&gt;=$C$1),'General Inputs'!T$9*$F104,0))</f>
        <v>141.7429696236305</v>
      </c>
      <c r="AW104" s="214">
        <f>IF(AND(($D104+$C$1)&gt;AW$3,AW$3&gt;=$C$1),'General Inputs'!U$9*$G104,IF(AND(($C104+$C$1)&gt;AW$3,AW$3&gt;=$C$1),'General Inputs'!U$9*$F104,0))</f>
        <v>143.86911416798495</v>
      </c>
      <c r="AX104" s="214">
        <f>IF(AND(($D104+$C$1)&gt;AX$3,AX$3&gt;=$C$1),'General Inputs'!V$9*$G104,IF(AND(($C104+$C$1)&gt;AX$3,AX$3&gt;=$C$1),'General Inputs'!V$9*$F104,0))</f>
        <v>146.02715088050471</v>
      </c>
      <c r="AY104" s="214">
        <f>IF(AND(($D104+$C$1)&gt;AY$3,AY$3&gt;=$C$1),'General Inputs'!W$9*$G104,IF(AND(($C104+$C$1)&gt;AY$3,AY$3&gt;=$C$1),'General Inputs'!W$9*$F104,0))</f>
        <v>148.21755814371227</v>
      </c>
      <c r="BA104" s="214">
        <f>IF(AND(($D104+$C$1)&gt;AF$3,AF$3&gt;=$C$1),'General Inputs'!D$10*$I104,IF(AND(($C104+$C$1)&gt;AF$3,AF$3&gt;=$C$1),'General Inputs'!D$10*$H104,0))</f>
        <v>28.869359992285997</v>
      </c>
      <c r="BB104" s="214">
        <f>IF(AND(($D104+$C$1)&gt;AG$3,AG$3&gt;=$C$1),'General Inputs'!E$10*$I104,IF(AND(($C104+$C$1)&gt;AG$3,AG$3&gt;=$C$1),'General Inputs'!E$10*$H104,0))</f>
        <v>29.302400392170281</v>
      </c>
      <c r="BC104" s="214">
        <f>IF(AND(($D104+$C$1)&gt;AH$3,AH$3&gt;=$C$1),'General Inputs'!F$10*$I104,IF(AND(($C104+$C$1)&gt;AH$3,AH$3&gt;=$C$1),'General Inputs'!F$10*$H104,0))</f>
        <v>29.741936398052836</v>
      </c>
      <c r="BD104" s="214">
        <f>IF(AND(($D104+$C$1)&gt;AI$3,AI$3&gt;=$C$1),'General Inputs'!G$10*$I104,IF(AND(($C104+$C$1)&gt;AI$3,AI$3&gt;=$C$1),'General Inputs'!G$10*$H104,0))</f>
        <v>30.188065444023625</v>
      </c>
      <c r="BE104" s="214">
        <f>IF(AND(($D104+$C$1)&gt;AJ$3,AJ$3&gt;=$C$1),'General Inputs'!H$10*$I104,IF(AND(($C104+$C$1)&gt;AJ$3,AJ$3&gt;=$C$1),'General Inputs'!H$10*$H104,0))</f>
        <v>30.640886425683977</v>
      </c>
      <c r="BF104" s="214">
        <f>IF(AND(($D104+$C$1)&gt;AK$3,AK$3&gt;=$C$1),'General Inputs'!I$10*$I104,IF(AND(($C104+$C$1)&gt;AK$3,AK$3&gt;=$C$1),'General Inputs'!I$10*$H104,0))</f>
        <v>31.10049972206923</v>
      </c>
      <c r="BG104" s="214">
        <f>IF(AND(($D104+$C$1)&gt;AL$3,AL$3&gt;=$C$1),'General Inputs'!J$10*$I104,IF(AND(($C104+$C$1)&gt;AL$3,AL$3&gt;=$C$1),'General Inputs'!J$10*$H104,0))</f>
        <v>31.567007217900265</v>
      </c>
      <c r="BH104" s="214">
        <f>IF(AND(($D104+$C$1)&gt;AM$3,AM$3&gt;=$C$1),'General Inputs'!K$10*$I104,IF(AND(($C104+$C$1)&gt;AM$3,AM$3&gt;=$C$1),'General Inputs'!K$10*$H104,0))</f>
        <v>32.040512326168766</v>
      </c>
      <c r="BI104" s="214">
        <f>IF(AND(($D104+$C$1)&gt;AN$3,AN$3&gt;=$C$1),'General Inputs'!L$10*$I104,IF(AND(($C104+$C$1)&gt;AN$3,AN$3&gt;=$C$1),'General Inputs'!L$10*$H104,0))</f>
        <v>32.521120011061299</v>
      </c>
      <c r="BJ104" s="214">
        <f>IF(AND(($D104+$C$1)&gt;AO$3,AO$3&gt;=$C$1),'General Inputs'!M$10*$I104,IF(AND(($C104+$C$1)&gt;AO$3,AO$3&gt;=$C$1),'General Inputs'!M$10*$H104,0))</f>
        <v>33.008936811227215</v>
      </c>
      <c r="BK104" s="214">
        <f>IF(AND(($D104+$C$1)&gt;AP$3,AP$3&gt;=$C$1),'General Inputs'!N$10*$I104,IF(AND(($C104+$C$1)&gt;AP$3,AP$3&gt;=$C$1),'General Inputs'!N$10*$H104,0))</f>
        <v>33.504070863395619</v>
      </c>
      <c r="BL104" s="214">
        <f>IF(AND(($D104+$C$1)&gt;AQ$3,AQ$3&gt;=$C$1),'General Inputs'!O$10*$I104,IF(AND(($C104+$C$1)&gt;AQ$3,AQ$3&gt;=$C$1),'General Inputs'!O$10*$H104,0))</f>
        <v>34.00663192634655</v>
      </c>
      <c r="BM104" s="214">
        <f>IF(AND(($D104+$C$1)&gt;AR$3,AR$3&gt;=$C$1),'General Inputs'!P$10*$I104,IF(AND(($C104+$C$1)&gt;AR$3,AR$3&gt;=$C$1),'General Inputs'!P$10*$H104,0))</f>
        <v>34.516731405241742</v>
      </c>
      <c r="BN104" s="214">
        <f>IF(AND(($D104+$C$1)&gt;AS$3,AS$3&gt;=$C$1),'General Inputs'!Q$10*$I104,IF(AND(($C104+$C$1)&gt;AS$3,AS$3&gt;=$C$1),'General Inputs'!Q$10*$H104,0))</f>
        <v>35.034482376320369</v>
      </c>
      <c r="BO104" s="214">
        <f>IF(AND(($D104+$C$1)&gt;AT$3,AT$3&gt;=$C$1),'General Inputs'!R$10*$I104,IF(AND(($C104+$C$1)&gt;AT$3,AT$3&gt;=$C$1),'General Inputs'!R$10*$H104,0))</f>
        <v>35.559999611965168</v>
      </c>
      <c r="BP104" s="214">
        <f>IF(AND(($D104+$C$1)&gt;AU$3,AU$3&gt;=$C$1),'General Inputs'!S$10*$I104,IF(AND(($C104+$C$1)&gt;AU$3,AU$3&gt;=$C$1),'General Inputs'!S$10*$H104,0))</f>
        <v>36.093399606144644</v>
      </c>
      <c r="BQ104" s="214">
        <f>IF(AND(($D104+$C$1)&gt;AV$3,AV$3&gt;=$C$1),'General Inputs'!T$10*$I104,IF(AND(($C104+$C$1)&gt;AV$3,AV$3&gt;=$C$1),'General Inputs'!T$10*$H104,0))</f>
        <v>36.634800600236808</v>
      </c>
      <c r="BR104" s="214">
        <f>IF(AND(($D104+$C$1)&gt;AW$3,AW$3&gt;=$C$1),'General Inputs'!U$10*$I104,IF(AND(($C104+$C$1)&gt;AW$3,AW$3&gt;=$C$1),'General Inputs'!U$10*$H104,0))</f>
        <v>37.184322609240361</v>
      </c>
      <c r="BS104" s="214">
        <f>IF(AND(($D104+$C$1)&gt;AX$3,AX$3&gt;=$C$1),'General Inputs'!V$10*$I104,IF(AND(($C104+$C$1)&gt;AX$3,AX$3&gt;=$C$1),'General Inputs'!V$10*$H104,0))</f>
        <v>37.74208744837896</v>
      </c>
      <c r="BT104" s="214">
        <f>IF(AND(($D104+$C$1)&gt;AY$3,AY$3&gt;=$C$1),'General Inputs'!W$10*$I104,IF(AND(($C104+$C$1)&gt;AY$3,AY$3&gt;=$C$1),'General Inputs'!W$10*$H104,0))</f>
        <v>38.308218760104637</v>
      </c>
    </row>
  </sheetData>
  <mergeCells count="5">
    <mergeCell ref="F2:I2"/>
    <mergeCell ref="T2:AD2"/>
    <mergeCell ref="AF2:AY2"/>
    <mergeCell ref="BA2:BT2"/>
    <mergeCell ref="P2:R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U104"/>
  <sheetViews>
    <sheetView showGridLines="0" workbookViewId="0">
      <pane xSplit="2" ySplit="3" topLeftCell="C34" activePane="bottomRight" state="frozen"/>
      <selection activeCell="C3" sqref="C3"/>
      <selection pane="topRight" activeCell="C3" sqref="C3"/>
      <selection pane="bottomLeft" activeCell="C3" sqref="C3"/>
      <selection pane="bottomRight" activeCell="B44" sqref="B44"/>
    </sheetView>
  </sheetViews>
  <sheetFormatPr defaultColWidth="9.109375" defaultRowHeight="10.199999999999999"/>
  <cols>
    <col min="1" max="1" width="9.6640625" style="211" customWidth="1"/>
    <col min="2" max="2" width="36.88671875" style="1" bestFit="1" customWidth="1"/>
    <col min="3" max="3" width="8.44140625" style="195" bestFit="1" customWidth="1"/>
    <col min="4" max="4" width="9.6640625" style="195" bestFit="1" customWidth="1"/>
    <col min="5" max="5" width="1.88671875" style="2" customWidth="1"/>
    <col min="6" max="7" width="6.88671875" style="195" bestFit="1" customWidth="1"/>
    <col min="8" max="8" width="5.109375" style="345" bestFit="1" customWidth="1"/>
    <col min="9" max="9" width="5.109375" style="195" bestFit="1" customWidth="1"/>
    <col min="10" max="10" width="1.88671875" style="2" customWidth="1"/>
    <col min="11" max="11" width="12.33203125" style="210" bestFit="1" customWidth="1"/>
    <col min="12" max="12" width="12.33203125" style="210" customWidth="1"/>
    <col min="13" max="13" width="1.88671875" style="2" customWidth="1"/>
    <col min="14" max="14" width="12.5546875" style="195" bestFit="1" customWidth="1"/>
    <col min="15" max="15" width="3.6640625" style="2" customWidth="1"/>
    <col min="16" max="16" width="11.5546875" style="210" hidden="1" customWidth="1"/>
    <col min="17" max="17" width="12.5546875" style="209" hidden="1" customWidth="1"/>
    <col min="18" max="18" width="11.6640625" style="209" hidden="1" customWidth="1"/>
    <col min="19" max="19" width="3.6640625" style="2" hidden="1" customWidth="1"/>
    <col min="20" max="20" width="5.6640625" style="2" hidden="1" customWidth="1"/>
    <col min="21" max="27" width="4.44140625" style="2" hidden="1" customWidth="1"/>
    <col min="28" max="28" width="6.33203125" style="2" hidden="1" customWidth="1"/>
    <col min="29" max="30" width="4.44140625" style="2" hidden="1" customWidth="1"/>
    <col min="31" max="31" width="3.6640625" style="2" hidden="1" customWidth="1"/>
    <col min="32" max="32" width="5.6640625" style="195" hidden="1" customWidth="1"/>
    <col min="33" max="46" width="5.6640625" style="194" hidden="1" customWidth="1"/>
    <col min="47" max="51" width="4.44140625" style="194" hidden="1" customWidth="1"/>
    <col min="52" max="52" width="3.6640625" style="2" hidden="1" customWidth="1"/>
    <col min="53" max="53" width="4.44140625" style="195" hidden="1" customWidth="1"/>
    <col min="54" max="72" width="4.44140625" style="194" hidden="1" customWidth="1"/>
    <col min="73" max="73" width="3.6640625" style="2" customWidth="1"/>
    <col min="74" max="16384" width="9.109375" style="195"/>
  </cols>
  <sheetData>
    <row r="1" spans="1:73">
      <c r="B1" s="225" t="s">
        <v>225</v>
      </c>
      <c r="C1" s="224">
        <v>2015</v>
      </c>
      <c r="F1" s="209"/>
      <c r="G1" s="209"/>
      <c r="I1" s="209"/>
      <c r="N1" s="209"/>
      <c r="Q1" s="195"/>
      <c r="R1" s="195"/>
      <c r="AF1" s="209"/>
      <c r="AG1" s="223"/>
      <c r="BA1" s="209"/>
      <c r="BB1" s="223"/>
    </row>
    <row r="2" spans="1:73" ht="11.25" customHeight="1">
      <c r="C2" s="196"/>
      <c r="D2" s="196"/>
      <c r="F2" s="778" t="s">
        <v>432</v>
      </c>
      <c r="G2" s="779"/>
      <c r="H2" s="779"/>
      <c r="I2" s="780"/>
      <c r="N2" s="209"/>
      <c r="P2" s="786" t="s">
        <v>445</v>
      </c>
      <c r="Q2" s="786"/>
      <c r="R2" s="786"/>
      <c r="T2" s="784" t="s">
        <v>7</v>
      </c>
      <c r="U2" s="785"/>
      <c r="V2" s="785"/>
      <c r="W2" s="785"/>
      <c r="X2" s="785"/>
      <c r="Y2" s="785"/>
      <c r="Z2" s="785"/>
      <c r="AA2" s="785"/>
      <c r="AB2" s="785"/>
      <c r="AC2" s="785"/>
      <c r="AD2" s="800"/>
      <c r="AF2" s="775" t="s">
        <v>448</v>
      </c>
      <c r="AG2" s="776"/>
      <c r="AH2" s="776"/>
      <c r="AI2" s="776"/>
      <c r="AJ2" s="776"/>
      <c r="AK2" s="776"/>
      <c r="AL2" s="776"/>
      <c r="AM2" s="776"/>
      <c r="AN2" s="776"/>
      <c r="AO2" s="776"/>
      <c r="AP2" s="776"/>
      <c r="AQ2" s="776"/>
      <c r="AR2" s="776"/>
      <c r="AS2" s="776"/>
      <c r="AT2" s="776"/>
      <c r="AU2" s="776"/>
      <c r="AV2" s="776"/>
      <c r="AW2" s="776"/>
      <c r="AX2" s="776"/>
      <c r="AY2" s="801"/>
      <c r="BA2" s="775" t="s">
        <v>449</v>
      </c>
      <c r="BB2" s="776"/>
      <c r="BC2" s="776"/>
      <c r="BD2" s="776"/>
      <c r="BE2" s="776"/>
      <c r="BF2" s="776"/>
      <c r="BG2" s="776"/>
      <c r="BH2" s="776"/>
      <c r="BI2" s="776"/>
      <c r="BJ2" s="776"/>
      <c r="BK2" s="776"/>
      <c r="BL2" s="776"/>
      <c r="BM2" s="776"/>
      <c r="BN2" s="776"/>
      <c r="BO2" s="776"/>
      <c r="BP2" s="776"/>
      <c r="BQ2" s="776"/>
      <c r="BR2" s="776"/>
      <c r="BS2" s="776"/>
      <c r="BT2" s="801"/>
    </row>
    <row r="3" spans="1:73" s="218" customFormat="1" ht="22.5" customHeight="1">
      <c r="A3" s="344" t="s">
        <v>90</v>
      </c>
      <c r="B3" s="222" t="s">
        <v>212</v>
      </c>
      <c r="C3" s="220" t="s">
        <v>2</v>
      </c>
      <c r="D3" s="220" t="s">
        <v>427</v>
      </c>
      <c r="E3" s="219"/>
      <c r="F3" s="220" t="s">
        <v>240</v>
      </c>
      <c r="G3" s="220" t="s">
        <v>429</v>
      </c>
      <c r="H3" s="346" t="s">
        <v>282</v>
      </c>
      <c r="I3" s="220" t="s">
        <v>431</v>
      </c>
      <c r="J3" s="219"/>
      <c r="K3" s="347" t="s">
        <v>415</v>
      </c>
      <c r="L3" s="347" t="s">
        <v>426</v>
      </c>
      <c r="M3" s="219"/>
      <c r="N3" s="528" t="s">
        <v>210</v>
      </c>
      <c r="O3" s="219"/>
      <c r="P3" s="499" t="s">
        <v>447</v>
      </c>
      <c r="Q3" s="499" t="s">
        <v>446</v>
      </c>
      <c r="R3" s="484" t="s">
        <v>7</v>
      </c>
      <c r="S3" s="219"/>
      <c r="T3" s="483">
        <v>2014</v>
      </c>
      <c r="U3" s="483">
        <v>2015</v>
      </c>
      <c r="V3" s="483">
        <v>2016</v>
      </c>
      <c r="W3" s="483">
        <v>2017</v>
      </c>
      <c r="X3" s="483">
        <v>2018</v>
      </c>
      <c r="Y3" s="483">
        <v>2019</v>
      </c>
      <c r="Z3" s="483">
        <v>2020</v>
      </c>
      <c r="AA3" s="483">
        <v>2021</v>
      </c>
      <c r="AB3" s="483">
        <v>2022</v>
      </c>
      <c r="AC3" s="483">
        <v>2023</v>
      </c>
      <c r="AD3" s="483">
        <v>2024</v>
      </c>
      <c r="AE3" s="219"/>
      <c r="AF3" s="483">
        <v>2014</v>
      </c>
      <c r="AG3" s="483">
        <v>2015</v>
      </c>
      <c r="AH3" s="483">
        <v>2016</v>
      </c>
      <c r="AI3" s="483">
        <v>2017</v>
      </c>
      <c r="AJ3" s="483">
        <v>2018</v>
      </c>
      <c r="AK3" s="483">
        <v>2019</v>
      </c>
      <c r="AL3" s="483">
        <v>2020</v>
      </c>
      <c r="AM3" s="483">
        <v>2021</v>
      </c>
      <c r="AN3" s="483">
        <v>2022</v>
      </c>
      <c r="AO3" s="483">
        <v>2023</v>
      </c>
      <c r="AP3" s="483">
        <v>2024</v>
      </c>
      <c r="AQ3" s="483">
        <v>2025</v>
      </c>
      <c r="AR3" s="483">
        <v>2026</v>
      </c>
      <c r="AS3" s="483">
        <v>2027</v>
      </c>
      <c r="AT3" s="483">
        <v>2028</v>
      </c>
      <c r="AU3" s="483">
        <v>2029</v>
      </c>
      <c r="AV3" s="483">
        <v>2030</v>
      </c>
      <c r="AW3" s="483">
        <v>2031</v>
      </c>
      <c r="AX3" s="483">
        <v>2032</v>
      </c>
      <c r="AY3" s="483">
        <v>2033</v>
      </c>
      <c r="AZ3" s="219"/>
      <c r="BA3" s="483">
        <v>2014</v>
      </c>
      <c r="BB3" s="483">
        <v>2015</v>
      </c>
      <c r="BC3" s="483">
        <v>2016</v>
      </c>
      <c r="BD3" s="483">
        <v>2017</v>
      </c>
      <c r="BE3" s="483">
        <v>2018</v>
      </c>
      <c r="BF3" s="483">
        <v>2019</v>
      </c>
      <c r="BG3" s="483">
        <v>2020</v>
      </c>
      <c r="BH3" s="483">
        <v>2021</v>
      </c>
      <c r="BI3" s="483">
        <v>2022</v>
      </c>
      <c r="BJ3" s="483">
        <v>2023</v>
      </c>
      <c r="BK3" s="483">
        <v>2024</v>
      </c>
      <c r="BL3" s="483">
        <v>2025</v>
      </c>
      <c r="BM3" s="483">
        <v>2026</v>
      </c>
      <c r="BN3" s="483">
        <v>2027</v>
      </c>
      <c r="BO3" s="483">
        <v>2028</v>
      </c>
      <c r="BP3" s="483">
        <v>2029</v>
      </c>
      <c r="BQ3" s="483">
        <v>2030</v>
      </c>
      <c r="BR3" s="483">
        <v>2031</v>
      </c>
      <c r="BS3" s="483">
        <v>2032</v>
      </c>
      <c r="BT3" s="483">
        <v>2033</v>
      </c>
      <c r="BU3" s="219"/>
    </row>
    <row r="4" spans="1:73">
      <c r="A4" s="341" t="s">
        <v>12</v>
      </c>
      <c r="B4" s="427" t="str">
        <f>Sources!B4</f>
        <v>CFL</v>
      </c>
      <c r="C4" s="193">
        <f>Sources!C4</f>
        <v>5</v>
      </c>
      <c r="D4" s="193">
        <f>Sources!D4</f>
        <v>0</v>
      </c>
      <c r="F4" s="429">
        <f>Sources!F4*EnergyLineLoss</f>
        <v>32.094829089000001</v>
      </c>
      <c r="G4" s="429">
        <f>Sources!G4*EnergyLineLoss</f>
        <v>0</v>
      </c>
      <c r="H4" s="477">
        <f>Sources!H4*PeakLineLoss</f>
        <v>2.9158264214999997E-3</v>
      </c>
      <c r="I4" s="477">
        <f>Sources!I4*PeakLineLoss</f>
        <v>0</v>
      </c>
      <c r="K4" s="419">
        <f>Sources!J4</f>
        <v>1.5</v>
      </c>
      <c r="L4" s="419">
        <f>Sources!K4</f>
        <v>0</v>
      </c>
      <c r="N4" s="438">
        <f>IF(R4&gt;0,(P4+Q4)/R4,"n/a")</f>
        <v>3.9071380143682126</v>
      </c>
      <c r="P4" s="215">
        <f t="shared" ref="P4:P47" si="0">AF4+NPV(DiscountRate,AG4:AY4)</f>
        <v>5.2067822961561774</v>
      </c>
      <c r="Q4" s="215">
        <f t="shared" ref="Q4:Q47" si="1">BA4+NPV(DiscountRate,BB4:BT4)</f>
        <v>0.17791728263132595</v>
      </c>
      <c r="R4" s="215">
        <f t="shared" ref="R4:R47" si="2">T4+NPV(DiscountRate,U4:AD4)</f>
        <v>1.3781697905181918</v>
      </c>
      <c r="T4" s="214">
        <f t="shared" ref="T4:AD19" si="3">IF($C$1=T$3,$K4,IF($D4+$C$1=T$3,-$L4,0))</f>
        <v>0</v>
      </c>
      <c r="U4" s="214">
        <f t="shared" si="3"/>
        <v>1.5</v>
      </c>
      <c r="V4" s="214">
        <f t="shared" si="3"/>
        <v>0</v>
      </c>
      <c r="W4" s="214">
        <f t="shared" si="3"/>
        <v>0</v>
      </c>
      <c r="X4" s="214">
        <f t="shared" si="3"/>
        <v>0</v>
      </c>
      <c r="Y4" s="214">
        <f t="shared" si="3"/>
        <v>0</v>
      </c>
      <c r="Z4" s="214">
        <f t="shared" si="3"/>
        <v>0</v>
      </c>
      <c r="AA4" s="214">
        <f t="shared" si="3"/>
        <v>0</v>
      </c>
      <c r="AB4" s="214">
        <f t="shared" si="3"/>
        <v>0</v>
      </c>
      <c r="AC4" s="214">
        <f t="shared" si="3"/>
        <v>0</v>
      </c>
      <c r="AD4" s="214">
        <f t="shared" si="3"/>
        <v>0</v>
      </c>
      <c r="AF4" s="214">
        <f>IF(AND(($D4+$C$1)&gt;AF$3,AF$3&gt;=$C$1),'General Inputs'!D$9*$G4,IF(AND(($C4+$C$1)&gt;AF$3,AF$3&gt;=$C$1),'General Inputs'!D$9*$F4,0))</f>
        <v>0</v>
      </c>
      <c r="AG4" s="214">
        <f>IF(AND(($D4+$C$1)&gt;AG$3,AG$3&gt;=$C$1),'General Inputs'!E$9*$G4,IF(AND(($C4+$C$1)&gt;AG$3,AG$3&gt;=$C$1),'General Inputs'!E$9*$F4,0))</f>
        <v>1.296934496561533</v>
      </c>
      <c r="AH4" s="214">
        <f>IF(AND(($D4+$C$1)&gt;AH$3,AH$3&gt;=$C$1),'General Inputs'!F$9*$G4,IF(AND(($C4+$C$1)&gt;AH$3,AH$3&gt;=$C$1),'General Inputs'!F$9*$F4,0))</f>
        <v>1.316388514009956</v>
      </c>
      <c r="AI4" s="214">
        <f>IF(AND(($D4+$C$1)&gt;AI$3,AI$3&gt;=$C$1),'General Inputs'!G$9*$G4,IF(AND(($C4+$C$1)&gt;AI$3,AI$3&gt;=$C$1),'General Inputs'!G$9*$F4,0))</f>
        <v>1.3361343417201053</v>
      </c>
      <c r="AJ4" s="214">
        <f>IF(AND(($D4+$C$1)&gt;AJ$3,AJ$3&gt;=$C$1),'General Inputs'!H$9*$G4,IF(AND(($C4+$C$1)&gt;AJ$3,AJ$3&gt;=$C$1),'General Inputs'!H$9*$F4,0))</f>
        <v>1.3561763568459066</v>
      </c>
      <c r="AK4" s="214">
        <f>IF(AND(($D4+$C$1)&gt;AK$3,AK$3&gt;=$C$1),'General Inputs'!I$9*$G4,IF(AND(($C4+$C$1)&gt;AK$3,AK$3&gt;=$C$1),'General Inputs'!I$9*$F4,0))</f>
        <v>1.3765190021985949</v>
      </c>
      <c r="AL4" s="214">
        <f>IF(AND(($D4+$C$1)&gt;AL$3,AL$3&gt;=$C$1),'General Inputs'!J$9*$G4,IF(AND(($C4+$C$1)&gt;AL$3,AL$3&gt;=$C$1),'General Inputs'!J$9*$F4,0))</f>
        <v>0</v>
      </c>
      <c r="AM4" s="214">
        <f>IF(AND(($D4+$C$1)&gt;AM$3,AM$3&gt;=$C$1),'General Inputs'!K$9*$G4,IF(AND(($C4+$C$1)&gt;AM$3,AM$3&gt;=$C$1),'General Inputs'!K$9*$F4,0))</f>
        <v>0</v>
      </c>
      <c r="AN4" s="214">
        <f>IF(AND(($D4+$C$1)&gt;AN$3,AN$3&gt;=$C$1),'General Inputs'!L$9*$G4,IF(AND(($C4+$C$1)&gt;AN$3,AN$3&gt;=$C$1),'General Inputs'!L$9*$F4,0))</f>
        <v>0</v>
      </c>
      <c r="AO4" s="214">
        <f>IF(AND(($D4+$C$1)&gt;AO$3,AO$3&gt;=$C$1),'General Inputs'!M$9*$G4,IF(AND(($C4+$C$1)&gt;AO$3,AO$3&gt;=$C$1),'General Inputs'!M$9*$F4,0))</f>
        <v>0</v>
      </c>
      <c r="AP4" s="214">
        <f>IF(AND(($D4+$C$1)&gt;AP$3,AP$3&gt;=$C$1),'General Inputs'!N$9*$G4,IF(AND(($C4+$C$1)&gt;AP$3,AP$3&gt;=$C$1),'General Inputs'!N$9*$F4,0))</f>
        <v>0</v>
      </c>
      <c r="AQ4" s="214">
        <f>IF(AND(($D4+$C$1)&gt;AQ$3,AQ$3&gt;=$C$1),'General Inputs'!O$9*$G4,IF(AND(($C4+$C$1)&gt;AQ$3,AQ$3&gt;=$C$1),'General Inputs'!O$9*$F4,0))</f>
        <v>0</v>
      </c>
      <c r="AR4" s="214">
        <f>IF(AND(($D4+$C$1)&gt;AR$3,AR$3&gt;=$C$1),'General Inputs'!P$9*$G4,IF(AND(($C4+$C$1)&gt;AR$3,AR$3&gt;=$C$1),'General Inputs'!P$9*$F4,0))</f>
        <v>0</v>
      </c>
      <c r="AS4" s="214">
        <f>IF(AND(($D4+$C$1)&gt;AS$3,AS$3&gt;=$C$1),'General Inputs'!Q$9*$G4,IF(AND(($C4+$C$1)&gt;AS$3,AS$3&gt;=$C$1),'General Inputs'!Q$9*$F4,0))</f>
        <v>0</v>
      </c>
      <c r="AT4" s="214">
        <f>IF(AND(($D4+$C$1)&gt;AT$3,AT$3&gt;=$C$1),'General Inputs'!R$9*$G4,IF(AND(($C4+$C$1)&gt;AT$3,AT$3&gt;=$C$1),'General Inputs'!R$9*$F4,0))</f>
        <v>0</v>
      </c>
      <c r="AU4" s="214">
        <f>IF(AND(($D4+$C$1)&gt;AU$3,AU$3&gt;=$C$1),'General Inputs'!S$9*$G4,IF(AND(($C4+$C$1)&gt;AU$3,AU$3&gt;=$C$1),'General Inputs'!S$9*$F4,0))</f>
        <v>0</v>
      </c>
      <c r="AV4" s="214">
        <f>IF(AND(($D4+$C$1)&gt;AV$3,AV$3&gt;=$C$1),'General Inputs'!T$9*$G4,IF(AND(($C4+$C$1)&gt;AV$3,AV$3&gt;=$C$1),'General Inputs'!T$9*$F4,0))</f>
        <v>0</v>
      </c>
      <c r="AW4" s="214">
        <f>IF(AND(($D4+$C$1)&gt;AW$3,AW$3&gt;=$C$1),'General Inputs'!U$9*$G4,IF(AND(($C4+$C$1)&gt;AW$3,AW$3&gt;=$C$1),'General Inputs'!U$9*$F4,0))</f>
        <v>0</v>
      </c>
      <c r="AX4" s="214">
        <f>IF(AND(($D4+$C$1)&gt;AX$3,AX$3&gt;=$C$1),'General Inputs'!V$9*$G4,IF(AND(($C4+$C$1)&gt;AX$3,AX$3&gt;=$C$1),'General Inputs'!V$9*$F4,0))</f>
        <v>0</v>
      </c>
      <c r="AY4" s="214">
        <f>IF(AND(($D4+$C$1)&gt;AY$3,AY$3&gt;=$C$1),'General Inputs'!W$9*$G4,IF(AND(($C4+$C$1)&gt;AY$3,AY$3&gt;=$C$1),'General Inputs'!W$9*$F4,0))</f>
        <v>0</v>
      </c>
      <c r="BA4" s="214">
        <f>IF(AND(($D4+$C$1)&gt;AF$3,AF$3&gt;=$C$1),'General Inputs'!D$10*$I4,IF(AND(($C4+$C$1)&gt;AF$3,AF$3&gt;=$C$1),'General Inputs'!D$10*$H4,0))</f>
        <v>0</v>
      </c>
      <c r="BB4" s="214">
        <f>IF(AND(($D4+$C$1)&gt;AG$3,AG$3&gt;=$C$1),'General Inputs'!E$10*$I4,IF(AND(($C4+$C$1)&gt;AG$3,AG$3&gt;=$C$1),'General Inputs'!E$10*$H4,0))</f>
        <v>4.4316633239957041E-2</v>
      </c>
      <c r="BC4" s="214">
        <f>IF(AND(($D4+$C$1)&gt;AH$3,AH$3&gt;=$C$1),'General Inputs'!F$10*$I4,IF(AND(($C4+$C$1)&gt;AH$3,AH$3&gt;=$C$1),'General Inputs'!F$10*$H4,0))</f>
        <v>4.4981382738556397E-2</v>
      </c>
      <c r="BD4" s="214">
        <f>IF(AND(($D4+$C$1)&gt;AI$3,AI$3&gt;=$C$1),'General Inputs'!G$10*$I4,IF(AND(($C4+$C$1)&gt;AI$3,AI$3&gt;=$C$1),'General Inputs'!G$10*$H4,0))</f>
        <v>4.5656103479634738E-2</v>
      </c>
      <c r="BE4" s="214">
        <f>IF(AND(($D4+$C$1)&gt;AJ$3,AJ$3&gt;=$C$1),'General Inputs'!H$10*$I4,IF(AND(($C4+$C$1)&gt;AJ$3,AJ$3&gt;=$C$1),'General Inputs'!H$10*$H4,0))</f>
        <v>4.6340945031829256E-2</v>
      </c>
      <c r="BF4" s="214">
        <f>IF(AND(($D4+$C$1)&gt;AK$3,AK$3&gt;=$C$1),'General Inputs'!I$10*$I4,IF(AND(($C4+$C$1)&gt;AK$3,AK$3&gt;=$C$1),'General Inputs'!I$10*$H4,0))</f>
        <v>4.7036059207306684E-2</v>
      </c>
      <c r="BG4" s="214">
        <f>IF(AND(($D4+$C$1)&gt;AL$3,AL$3&gt;=$C$1),'General Inputs'!J$10*$I4,IF(AND(($C4+$C$1)&gt;AL$3,AL$3&gt;=$C$1),'General Inputs'!J$10*$H4,0))</f>
        <v>0</v>
      </c>
      <c r="BH4" s="214">
        <f>IF(AND(($D4+$C$1)&gt;AM$3,AM$3&gt;=$C$1),'General Inputs'!K$10*$I4,IF(AND(($C4+$C$1)&gt;AM$3,AM$3&gt;=$C$1),'General Inputs'!K$10*$H4,0))</f>
        <v>0</v>
      </c>
      <c r="BI4" s="214">
        <f>IF(AND(($D4+$C$1)&gt;AN$3,AN$3&gt;=$C$1),'General Inputs'!L$10*$I4,IF(AND(($C4+$C$1)&gt;AN$3,AN$3&gt;=$C$1),'General Inputs'!L$10*$H4,0))</f>
        <v>0</v>
      </c>
      <c r="BJ4" s="214">
        <f>IF(AND(($D4+$C$1)&gt;AO$3,AO$3&gt;=$C$1),'General Inputs'!M$10*$I4,IF(AND(($C4+$C$1)&gt;AO$3,AO$3&gt;=$C$1),'General Inputs'!M$10*$H4,0))</f>
        <v>0</v>
      </c>
      <c r="BK4" s="214">
        <f>IF(AND(($D4+$C$1)&gt;AP$3,AP$3&gt;=$C$1),'General Inputs'!N$10*$I4,IF(AND(($C4+$C$1)&gt;AP$3,AP$3&gt;=$C$1),'General Inputs'!N$10*$H4,0))</f>
        <v>0</v>
      </c>
      <c r="BL4" s="214">
        <f>IF(AND(($D4+$C$1)&gt;AQ$3,AQ$3&gt;=$C$1),'General Inputs'!O$10*$I4,IF(AND(($C4+$C$1)&gt;AQ$3,AQ$3&gt;=$C$1),'General Inputs'!O$10*$H4,0))</f>
        <v>0</v>
      </c>
      <c r="BM4" s="214">
        <f>IF(AND(($D4+$C$1)&gt;AR$3,AR$3&gt;=$C$1),'General Inputs'!P$10*$I4,IF(AND(($C4+$C$1)&gt;AR$3,AR$3&gt;=$C$1),'General Inputs'!P$10*$H4,0))</f>
        <v>0</v>
      </c>
      <c r="BN4" s="214">
        <f>IF(AND(($D4+$C$1)&gt;AS$3,AS$3&gt;=$C$1),'General Inputs'!Q$10*$I4,IF(AND(($C4+$C$1)&gt;AS$3,AS$3&gt;=$C$1),'General Inputs'!Q$10*$H4,0))</f>
        <v>0</v>
      </c>
      <c r="BO4" s="214">
        <f>IF(AND(($D4+$C$1)&gt;AT$3,AT$3&gt;=$C$1),'General Inputs'!R$10*$I4,IF(AND(($C4+$C$1)&gt;AT$3,AT$3&gt;=$C$1),'General Inputs'!R$10*$H4,0))</f>
        <v>0</v>
      </c>
      <c r="BP4" s="214">
        <f>IF(AND(($D4+$C$1)&gt;AU$3,AU$3&gt;=$C$1),'General Inputs'!S$10*$I4,IF(AND(($C4+$C$1)&gt;AU$3,AU$3&gt;=$C$1),'General Inputs'!S$10*$H4,0))</f>
        <v>0</v>
      </c>
      <c r="BQ4" s="214">
        <f>IF(AND(($D4+$C$1)&gt;AV$3,AV$3&gt;=$C$1),'General Inputs'!T$10*$I4,IF(AND(($C4+$C$1)&gt;AV$3,AV$3&gt;=$C$1),'General Inputs'!T$10*$H4,0))</f>
        <v>0</v>
      </c>
      <c r="BR4" s="214">
        <f>IF(AND(($D4+$C$1)&gt;AW$3,AW$3&gt;=$C$1),'General Inputs'!U$10*$I4,IF(AND(($C4+$C$1)&gt;AW$3,AW$3&gt;=$C$1),'General Inputs'!U$10*$H4,0))</f>
        <v>0</v>
      </c>
      <c r="BS4" s="214">
        <f>IF(AND(($D4+$C$1)&gt;AX$3,AX$3&gt;=$C$1),'General Inputs'!V$10*$I4,IF(AND(($C4+$C$1)&gt;AX$3,AX$3&gt;=$C$1),'General Inputs'!V$10*$H4,0))</f>
        <v>0</v>
      </c>
      <c r="BT4" s="214">
        <f>IF(AND(($D4+$C$1)&gt;AY$3,AY$3&gt;=$C$1),'General Inputs'!W$10*$I4,IF(AND(($C4+$C$1)&gt;AY$3,AY$3&gt;=$C$1),'General Inputs'!W$10*$H4,0))</f>
        <v>0</v>
      </c>
    </row>
    <row r="5" spans="1:73">
      <c r="A5" s="342" t="s">
        <v>12</v>
      </c>
      <c r="B5" s="427" t="str">
        <f>Sources!B5</f>
        <v>LED</v>
      </c>
      <c r="C5" s="193">
        <f>Sources!C5</f>
        <v>10</v>
      </c>
      <c r="D5" s="193">
        <f>Sources!D5</f>
        <v>0</v>
      </c>
      <c r="F5" s="429">
        <f>Sources!F5*EnergyLineLoss</f>
        <v>41.561649179999996</v>
      </c>
      <c r="G5" s="429">
        <f>Sources!G5*EnergyLineLoss</f>
        <v>0</v>
      </c>
      <c r="H5" s="477">
        <f>Sources!H5*PeakLineLoss</f>
        <v>3.7758903299999996E-3</v>
      </c>
      <c r="I5" s="477">
        <f>Sources!I5*PeakLineLoss</f>
        <v>0</v>
      </c>
      <c r="K5" s="419">
        <f>Sources!J5</f>
        <v>20</v>
      </c>
      <c r="L5" s="419">
        <f>Sources!K5</f>
        <v>0</v>
      </c>
      <c r="N5" s="438">
        <f t="shared" ref="N5:N47" si="4">IF(R5&gt;0,(P5+Q5)/R5,"n/a")</f>
        <v>0.64711901769142666</v>
      </c>
      <c r="P5" s="215">
        <f t="shared" si="0"/>
        <v>11.498298182901642</v>
      </c>
      <c r="Q5" s="215">
        <f t="shared" si="1"/>
        <v>0.39290023112677708</v>
      </c>
      <c r="R5" s="215">
        <f t="shared" si="2"/>
        <v>18.375597206909223</v>
      </c>
      <c r="T5" s="214">
        <f t="shared" si="3"/>
        <v>0</v>
      </c>
      <c r="U5" s="214">
        <f t="shared" si="3"/>
        <v>20</v>
      </c>
      <c r="V5" s="214">
        <f t="shared" si="3"/>
        <v>0</v>
      </c>
      <c r="W5" s="214">
        <f t="shared" si="3"/>
        <v>0</v>
      </c>
      <c r="X5" s="214">
        <f t="shared" si="3"/>
        <v>0</v>
      </c>
      <c r="Y5" s="214">
        <f t="shared" si="3"/>
        <v>0</v>
      </c>
      <c r="Z5" s="214">
        <f t="shared" si="3"/>
        <v>0</v>
      </c>
      <c r="AA5" s="214">
        <f t="shared" si="3"/>
        <v>0</v>
      </c>
      <c r="AB5" s="214">
        <f t="shared" si="3"/>
        <v>0</v>
      </c>
      <c r="AC5" s="214">
        <f t="shared" si="3"/>
        <v>0</v>
      </c>
      <c r="AD5" s="214">
        <f t="shared" si="3"/>
        <v>0</v>
      </c>
      <c r="AF5" s="214">
        <f>IF(AND(($D5+$C$1)&gt;AF$3,AF$3&gt;=$C$1),'General Inputs'!D$9*$G5,IF(AND(($C5+$C$1)&gt;AF$3,AF$3&gt;=$C$1),'General Inputs'!D$9*$F5,0))</f>
        <v>0</v>
      </c>
      <c r="AG5" s="214">
        <f>IF(AND(($D5+$C$1)&gt;AG$3,AG$3&gt;=$C$1),'General Inputs'!E$9*$G5,IF(AND(($C5+$C$1)&gt;AG$3,AG$3&gt;=$C$1),'General Inputs'!E$9*$F5,0))</f>
        <v>1.679483520727165</v>
      </c>
      <c r="AH5" s="214">
        <f>IF(AND(($D5+$C$1)&gt;AH$3,AH$3&gt;=$C$1),'General Inputs'!F$9*$G5,IF(AND(($C5+$C$1)&gt;AH$3,AH$3&gt;=$C$1),'General Inputs'!F$9*$F5,0))</f>
        <v>1.7046757735380722</v>
      </c>
      <c r="AI5" s="214">
        <f>IF(AND(($D5+$C$1)&gt;AI$3,AI$3&gt;=$C$1),'General Inputs'!G$9*$G5,IF(AND(($C5+$C$1)&gt;AI$3,AI$3&gt;=$C$1),'General Inputs'!G$9*$F5,0))</f>
        <v>1.7302459101411432</v>
      </c>
      <c r="AJ5" s="214">
        <f>IF(AND(($D5+$C$1)&gt;AJ$3,AJ$3&gt;=$C$1),'General Inputs'!H$9*$G5,IF(AND(($C5+$C$1)&gt;AJ$3,AJ$3&gt;=$C$1),'General Inputs'!H$9*$F5,0))</f>
        <v>1.7561995987932602</v>
      </c>
      <c r="AK5" s="214">
        <f>IF(AND(($D5+$C$1)&gt;AK$3,AK$3&gt;=$C$1),'General Inputs'!I$9*$G5,IF(AND(($C5+$C$1)&gt;AK$3,AK$3&gt;=$C$1),'General Inputs'!I$9*$F5,0))</f>
        <v>1.7825425927751588</v>
      </c>
      <c r="AL5" s="214">
        <f>IF(AND(($D5+$C$1)&gt;AL$3,AL$3&gt;=$C$1),'General Inputs'!J$9*$G5,IF(AND(($C5+$C$1)&gt;AL$3,AL$3&gt;=$C$1),'General Inputs'!J$9*$F5,0))</f>
        <v>1.8092807316667858</v>
      </c>
      <c r="AM5" s="214">
        <f>IF(AND(($D5+$C$1)&gt;AM$3,AM$3&gt;=$C$1),'General Inputs'!K$9*$G5,IF(AND(($C5+$C$1)&gt;AM$3,AM$3&gt;=$C$1),'General Inputs'!K$9*$F5,0))</f>
        <v>1.8364199426417873</v>
      </c>
      <c r="AN5" s="214">
        <f>IF(AND(($D5+$C$1)&gt;AN$3,AN$3&gt;=$C$1),'General Inputs'!L$9*$G5,IF(AND(($C5+$C$1)&gt;AN$3,AN$3&gt;=$C$1),'General Inputs'!L$9*$F5,0))</f>
        <v>1.863966241781414</v>
      </c>
      <c r="AO5" s="214">
        <f>IF(AND(($D5+$C$1)&gt;AO$3,AO$3&gt;=$C$1),'General Inputs'!M$9*$G5,IF(AND(($C5+$C$1)&gt;AO$3,AO$3&gt;=$C$1),'General Inputs'!M$9*$F5,0))</f>
        <v>1.8919257354081349</v>
      </c>
      <c r="AP5" s="214">
        <f>IF(AND(($D5+$C$1)&gt;AP$3,AP$3&gt;=$C$1),'General Inputs'!N$9*$G5,IF(AND(($C5+$C$1)&gt;AP$3,AP$3&gt;=$C$1),'General Inputs'!N$9*$F5,0))</f>
        <v>1.920304621439257</v>
      </c>
      <c r="AQ5" s="214">
        <f>IF(AND(($D5+$C$1)&gt;AQ$3,AQ$3&gt;=$C$1),'General Inputs'!O$9*$G5,IF(AND(($C5+$C$1)&gt;AQ$3,AQ$3&gt;=$C$1),'General Inputs'!O$9*$F5,0))</f>
        <v>0</v>
      </c>
      <c r="AR5" s="214">
        <f>IF(AND(($D5+$C$1)&gt;AR$3,AR$3&gt;=$C$1),'General Inputs'!P$9*$G5,IF(AND(($C5+$C$1)&gt;AR$3,AR$3&gt;=$C$1),'General Inputs'!P$9*$F5,0))</f>
        <v>0</v>
      </c>
      <c r="AS5" s="214">
        <f>IF(AND(($D5+$C$1)&gt;AS$3,AS$3&gt;=$C$1),'General Inputs'!Q$9*$G5,IF(AND(($C5+$C$1)&gt;AS$3,AS$3&gt;=$C$1),'General Inputs'!Q$9*$F5,0))</f>
        <v>0</v>
      </c>
      <c r="AT5" s="214">
        <f>IF(AND(($D5+$C$1)&gt;AT$3,AT$3&gt;=$C$1),'General Inputs'!R$9*$G5,IF(AND(($C5+$C$1)&gt;AT$3,AT$3&gt;=$C$1),'General Inputs'!R$9*$F5,0))</f>
        <v>0</v>
      </c>
      <c r="AU5" s="214">
        <f>IF(AND(($D5+$C$1)&gt;AU$3,AU$3&gt;=$C$1),'General Inputs'!S$9*$G5,IF(AND(($C5+$C$1)&gt;AU$3,AU$3&gt;=$C$1),'General Inputs'!S$9*$F5,0))</f>
        <v>0</v>
      </c>
      <c r="AV5" s="214">
        <f>IF(AND(($D5+$C$1)&gt;AV$3,AV$3&gt;=$C$1),'General Inputs'!T$9*$G5,IF(AND(($C5+$C$1)&gt;AV$3,AV$3&gt;=$C$1),'General Inputs'!T$9*$F5,0))</f>
        <v>0</v>
      </c>
      <c r="AW5" s="214">
        <f>IF(AND(($D5+$C$1)&gt;AW$3,AW$3&gt;=$C$1),'General Inputs'!U$9*$G5,IF(AND(($C5+$C$1)&gt;AW$3,AW$3&gt;=$C$1),'General Inputs'!U$9*$F5,0))</f>
        <v>0</v>
      </c>
      <c r="AX5" s="214">
        <f>IF(AND(($D5+$C$1)&gt;AX$3,AX$3&gt;=$C$1),'General Inputs'!V$9*$G5,IF(AND(($C5+$C$1)&gt;AX$3,AX$3&gt;=$C$1),'General Inputs'!V$9*$F5,0))</f>
        <v>0</v>
      </c>
      <c r="AY5" s="214">
        <f>IF(AND(($D5+$C$1)&gt;AY$3,AY$3&gt;=$C$1),'General Inputs'!W$9*$G5,IF(AND(($C5+$C$1)&gt;AY$3,AY$3&gt;=$C$1),'General Inputs'!W$9*$F5,0))</f>
        <v>0</v>
      </c>
      <c r="BA5" s="214">
        <f>IF(AND(($D5+$C$1)&gt;AF$3,AF$3&gt;=$C$1),'General Inputs'!D$10*$I5,IF(AND(($C5+$C$1)&gt;AF$3,AF$3&gt;=$C$1),'General Inputs'!D$10*$H5,0))</f>
        <v>0</v>
      </c>
      <c r="BB5" s="214">
        <f>IF(AND(($D5+$C$1)&gt;AG$3,AG$3&gt;=$C$1),'General Inputs'!E$10*$I5,IF(AND(($C5+$C$1)&gt;AG$3,AG$3&gt;=$C$1),'General Inputs'!E$10*$H5,0))</f>
        <v>5.7388445922246532E-2</v>
      </c>
      <c r="BC5" s="214">
        <f>IF(AND(($D5+$C$1)&gt;AH$3,AH$3&gt;=$C$1),'General Inputs'!F$10*$I5,IF(AND(($C5+$C$1)&gt;AH$3,AH$3&gt;=$C$1),'General Inputs'!F$10*$H5,0))</f>
        <v>5.8249272611080226E-2</v>
      </c>
      <c r="BD5" s="214">
        <f>IF(AND(($D5+$C$1)&gt;AI$3,AI$3&gt;=$C$1),'General Inputs'!G$10*$I5,IF(AND(($C5+$C$1)&gt;AI$3,AI$3&gt;=$C$1),'General Inputs'!G$10*$H5,0))</f>
        <v>5.9123011700246426E-2</v>
      </c>
      <c r="BE5" s="214">
        <f>IF(AND(($D5+$C$1)&gt;AJ$3,AJ$3&gt;=$C$1),'General Inputs'!H$10*$I5,IF(AND(($C5+$C$1)&gt;AJ$3,AJ$3&gt;=$C$1),'General Inputs'!H$10*$H5,0))</f>
        <v>6.0009856875750112E-2</v>
      </c>
      <c r="BF5" s="214">
        <f>IF(AND(($D5+$C$1)&gt;AK$3,AK$3&gt;=$C$1),'General Inputs'!I$10*$I5,IF(AND(($C5+$C$1)&gt;AK$3,AK$3&gt;=$C$1),'General Inputs'!I$10*$H5,0))</f>
        <v>6.0910004728886358E-2</v>
      </c>
      <c r="BG5" s="214">
        <f>IF(AND(($D5+$C$1)&gt;AL$3,AL$3&gt;=$C$1),'General Inputs'!J$10*$I5,IF(AND(($C5+$C$1)&gt;AL$3,AL$3&gt;=$C$1),'General Inputs'!J$10*$H5,0))</f>
        <v>6.182365479981964E-2</v>
      </c>
      <c r="BH5" s="214">
        <f>IF(AND(($D5+$C$1)&gt;AM$3,AM$3&gt;=$C$1),'General Inputs'!K$10*$I5,IF(AND(($C5+$C$1)&gt;AM$3,AM$3&gt;=$C$1),'General Inputs'!K$10*$H5,0))</f>
        <v>6.2751009621816928E-2</v>
      </c>
      <c r="BI5" s="214">
        <f>IF(AND(($D5+$C$1)&gt;AN$3,AN$3&gt;=$C$1),'General Inputs'!L$10*$I5,IF(AND(($C5+$C$1)&gt;AN$3,AN$3&gt;=$C$1),'General Inputs'!L$10*$H5,0))</f>
        <v>6.3692274766144183E-2</v>
      </c>
      <c r="BJ5" s="214">
        <f>IF(AND(($D5+$C$1)&gt;AO$3,AO$3&gt;=$C$1),'General Inputs'!M$10*$I5,IF(AND(($C5+$C$1)&gt;AO$3,AO$3&gt;=$C$1),'General Inputs'!M$10*$H5,0))</f>
        <v>6.464765888763635E-2</v>
      </c>
      <c r="BK5" s="214">
        <f>IF(AND(($D5+$C$1)&gt;AP$3,AP$3&gt;=$C$1),'General Inputs'!N$10*$I5,IF(AND(($C5+$C$1)&gt;AP$3,AP$3&gt;=$C$1),'General Inputs'!N$10*$H5,0))</f>
        <v>6.5617373770950879E-2</v>
      </c>
      <c r="BL5" s="214">
        <f>IF(AND(($D5+$C$1)&gt;AQ$3,AQ$3&gt;=$C$1),'General Inputs'!O$10*$I5,IF(AND(($C5+$C$1)&gt;AQ$3,AQ$3&gt;=$C$1),'General Inputs'!O$10*$H5,0))</f>
        <v>0</v>
      </c>
      <c r="BM5" s="214">
        <f>IF(AND(($D5+$C$1)&gt;AR$3,AR$3&gt;=$C$1),'General Inputs'!P$10*$I5,IF(AND(($C5+$C$1)&gt;AR$3,AR$3&gt;=$C$1),'General Inputs'!P$10*$H5,0))</f>
        <v>0</v>
      </c>
      <c r="BN5" s="214">
        <f>IF(AND(($D5+$C$1)&gt;AS$3,AS$3&gt;=$C$1),'General Inputs'!Q$10*$I5,IF(AND(($C5+$C$1)&gt;AS$3,AS$3&gt;=$C$1),'General Inputs'!Q$10*$H5,0))</f>
        <v>0</v>
      </c>
      <c r="BO5" s="214">
        <f>IF(AND(($D5+$C$1)&gt;AT$3,AT$3&gt;=$C$1),'General Inputs'!R$10*$I5,IF(AND(($C5+$C$1)&gt;AT$3,AT$3&gt;=$C$1),'General Inputs'!R$10*$H5,0))</f>
        <v>0</v>
      </c>
      <c r="BP5" s="214">
        <f>IF(AND(($D5+$C$1)&gt;AU$3,AU$3&gt;=$C$1),'General Inputs'!S$10*$I5,IF(AND(($C5+$C$1)&gt;AU$3,AU$3&gt;=$C$1),'General Inputs'!S$10*$H5,0))</f>
        <v>0</v>
      </c>
      <c r="BQ5" s="214">
        <f>IF(AND(($D5+$C$1)&gt;AV$3,AV$3&gt;=$C$1),'General Inputs'!T$10*$I5,IF(AND(($C5+$C$1)&gt;AV$3,AV$3&gt;=$C$1),'General Inputs'!T$10*$H5,0))</f>
        <v>0</v>
      </c>
      <c r="BR5" s="214">
        <f>IF(AND(($D5+$C$1)&gt;AW$3,AW$3&gt;=$C$1),'General Inputs'!U$10*$I5,IF(AND(($C5+$C$1)&gt;AW$3,AW$3&gt;=$C$1),'General Inputs'!U$10*$H5,0))</f>
        <v>0</v>
      </c>
      <c r="BS5" s="214">
        <f>IF(AND(($D5+$C$1)&gt;AX$3,AX$3&gt;=$C$1),'General Inputs'!V$10*$I5,IF(AND(($C5+$C$1)&gt;AX$3,AX$3&gt;=$C$1),'General Inputs'!V$10*$H5,0))</f>
        <v>0</v>
      </c>
      <c r="BT5" s="214">
        <f>IF(AND(($D5+$C$1)&gt;AY$3,AY$3&gt;=$C$1),'General Inputs'!W$10*$I5,IF(AND(($C5+$C$1)&gt;AY$3,AY$3&gt;=$C$1),'General Inputs'!W$10*$H5,0))</f>
        <v>0</v>
      </c>
    </row>
    <row r="6" spans="1:73">
      <c r="A6" s="342" t="s">
        <v>12</v>
      </c>
      <c r="B6" s="427" t="str">
        <f>Sources!B6</f>
        <v>ENERGY STAR Fixture</v>
      </c>
      <c r="C6" s="193">
        <f>Sources!C6</f>
        <v>8</v>
      </c>
      <c r="D6" s="193">
        <f>Sources!D6</f>
        <v>0</v>
      </c>
      <c r="F6" s="429">
        <f>Sources!F6*EnergyLineLoss</f>
        <v>90.28411874999999</v>
      </c>
      <c r="G6" s="429">
        <f>Sources!G6*EnergyLineLoss</f>
        <v>0</v>
      </c>
      <c r="H6" s="477">
        <f>Sources!H6*PeakLineLoss</f>
        <v>1.9788299999999999E-4</v>
      </c>
      <c r="I6" s="477">
        <f>Sources!I6*PeakLineLoss</f>
        <v>0</v>
      </c>
      <c r="K6" s="419">
        <f>Sources!J6</f>
        <v>17</v>
      </c>
      <c r="L6" s="419">
        <f>Sources!K6</f>
        <v>0</v>
      </c>
      <c r="N6" s="438">
        <f t="shared" si="4"/>
        <v>1.3630362063314958</v>
      </c>
      <c r="P6" s="215">
        <f t="shared" si="0"/>
        <v>21.272077716029649</v>
      </c>
      <c r="Q6" s="215">
        <f t="shared" si="1"/>
        <v>1.7535944054354928E-2</v>
      </c>
      <c r="R6" s="215">
        <f t="shared" si="2"/>
        <v>15.619257625872841</v>
      </c>
      <c r="T6" s="214">
        <f t="shared" si="3"/>
        <v>0</v>
      </c>
      <c r="U6" s="214">
        <f t="shared" si="3"/>
        <v>17</v>
      </c>
      <c r="V6" s="214">
        <f t="shared" si="3"/>
        <v>0</v>
      </c>
      <c r="W6" s="214">
        <f t="shared" si="3"/>
        <v>0</v>
      </c>
      <c r="X6" s="214">
        <f t="shared" si="3"/>
        <v>0</v>
      </c>
      <c r="Y6" s="214">
        <f t="shared" si="3"/>
        <v>0</v>
      </c>
      <c r="Z6" s="214">
        <f t="shared" si="3"/>
        <v>0</v>
      </c>
      <c r="AA6" s="214">
        <f t="shared" si="3"/>
        <v>0</v>
      </c>
      <c r="AB6" s="214">
        <f t="shared" si="3"/>
        <v>0</v>
      </c>
      <c r="AC6" s="214">
        <f t="shared" si="3"/>
        <v>0</v>
      </c>
      <c r="AD6" s="214">
        <f t="shared" si="3"/>
        <v>0</v>
      </c>
      <c r="AF6" s="214">
        <f>IF(AND(($D6+$C$1)&gt;AF$3,AF$3&gt;=$C$1),'General Inputs'!D$9*$G6,IF(AND(($C6+$C$1)&gt;AF$3,AF$3&gt;=$C$1),'General Inputs'!D$9*$F6,0))</f>
        <v>0</v>
      </c>
      <c r="AG6" s="214">
        <f>IF(AND(($D6+$C$1)&gt;AG$3,AG$3&gt;=$C$1),'General Inputs'!E$9*$G6,IF(AND(($C6+$C$1)&gt;AG$3,AG$3&gt;=$C$1),'General Inputs'!E$9*$F6,0))</f>
        <v>3.6483318784415824</v>
      </c>
      <c r="AH6" s="214">
        <f>IF(AND(($D6+$C$1)&gt;AH$3,AH$3&gt;=$C$1),'General Inputs'!F$9*$G6,IF(AND(($C6+$C$1)&gt;AH$3,AH$3&gt;=$C$1),'General Inputs'!F$9*$F6,0))</f>
        <v>3.7030568566182054</v>
      </c>
      <c r="AI6" s="214">
        <f>IF(AND(($D6+$C$1)&gt;AI$3,AI$3&gt;=$C$1),'General Inputs'!G$9*$G6,IF(AND(($C6+$C$1)&gt;AI$3,AI$3&gt;=$C$1),'General Inputs'!G$9*$F6,0))</f>
        <v>3.7586027094674783</v>
      </c>
      <c r="AJ6" s="214">
        <f>IF(AND(($D6+$C$1)&gt;AJ$3,AJ$3&gt;=$C$1),'General Inputs'!H$9*$G6,IF(AND(($C6+$C$1)&gt;AJ$3,AJ$3&gt;=$C$1),'General Inputs'!H$9*$F6,0))</f>
        <v>3.81498175010949</v>
      </c>
      <c r="AK6" s="214">
        <f>IF(AND(($D6+$C$1)&gt;AK$3,AK$3&gt;=$C$1),'General Inputs'!I$9*$G6,IF(AND(($C6+$C$1)&gt;AK$3,AK$3&gt;=$C$1),'General Inputs'!I$9*$F6,0))</f>
        <v>3.8722064763611317</v>
      </c>
      <c r="AL6" s="214">
        <f>IF(AND(($D6+$C$1)&gt;AL$3,AL$3&gt;=$C$1),'General Inputs'!J$9*$G6,IF(AND(($C6+$C$1)&gt;AL$3,AL$3&gt;=$C$1),'General Inputs'!J$9*$F6,0))</f>
        <v>3.9302895735065482</v>
      </c>
      <c r="AM6" s="214">
        <f>IF(AND(($D6+$C$1)&gt;AM$3,AM$3&gt;=$C$1),'General Inputs'!K$9*$G6,IF(AND(($C6+$C$1)&gt;AM$3,AM$3&gt;=$C$1),'General Inputs'!K$9*$F6,0))</f>
        <v>3.9892439171091456</v>
      </c>
      <c r="AN6" s="214">
        <f>IF(AND(($D6+$C$1)&gt;AN$3,AN$3&gt;=$C$1),'General Inputs'!L$9*$G6,IF(AND(($C6+$C$1)&gt;AN$3,AN$3&gt;=$C$1),'General Inputs'!L$9*$F6,0))</f>
        <v>4.0490825758657829</v>
      </c>
      <c r="AO6" s="214">
        <f>IF(AND(($D6+$C$1)&gt;AO$3,AO$3&gt;=$C$1),'General Inputs'!M$9*$G6,IF(AND(($C6+$C$1)&gt;AO$3,AO$3&gt;=$C$1),'General Inputs'!M$9*$F6,0))</f>
        <v>0</v>
      </c>
      <c r="AP6" s="214">
        <f>IF(AND(($D6+$C$1)&gt;AP$3,AP$3&gt;=$C$1),'General Inputs'!N$9*$G6,IF(AND(($C6+$C$1)&gt;AP$3,AP$3&gt;=$C$1),'General Inputs'!N$9*$F6,0))</f>
        <v>0</v>
      </c>
      <c r="AQ6" s="214">
        <f>IF(AND(($D6+$C$1)&gt;AQ$3,AQ$3&gt;=$C$1),'General Inputs'!O$9*$G6,IF(AND(($C6+$C$1)&gt;AQ$3,AQ$3&gt;=$C$1),'General Inputs'!O$9*$F6,0))</f>
        <v>0</v>
      </c>
      <c r="AR6" s="214">
        <f>IF(AND(($D6+$C$1)&gt;AR$3,AR$3&gt;=$C$1),'General Inputs'!P$9*$G6,IF(AND(($C6+$C$1)&gt;AR$3,AR$3&gt;=$C$1),'General Inputs'!P$9*$F6,0))</f>
        <v>0</v>
      </c>
      <c r="AS6" s="214">
        <f>IF(AND(($D6+$C$1)&gt;AS$3,AS$3&gt;=$C$1),'General Inputs'!Q$9*$G6,IF(AND(($C6+$C$1)&gt;AS$3,AS$3&gt;=$C$1),'General Inputs'!Q$9*$F6,0))</f>
        <v>0</v>
      </c>
      <c r="AT6" s="214">
        <f>IF(AND(($D6+$C$1)&gt;AT$3,AT$3&gt;=$C$1),'General Inputs'!R$9*$G6,IF(AND(($C6+$C$1)&gt;AT$3,AT$3&gt;=$C$1),'General Inputs'!R$9*$F6,0))</f>
        <v>0</v>
      </c>
      <c r="AU6" s="214">
        <f>IF(AND(($D6+$C$1)&gt;AU$3,AU$3&gt;=$C$1),'General Inputs'!S$9*$G6,IF(AND(($C6+$C$1)&gt;AU$3,AU$3&gt;=$C$1),'General Inputs'!S$9*$F6,0))</f>
        <v>0</v>
      </c>
      <c r="AV6" s="214">
        <f>IF(AND(($D6+$C$1)&gt;AV$3,AV$3&gt;=$C$1),'General Inputs'!T$9*$G6,IF(AND(($C6+$C$1)&gt;AV$3,AV$3&gt;=$C$1),'General Inputs'!T$9*$F6,0))</f>
        <v>0</v>
      </c>
      <c r="AW6" s="214">
        <f>IF(AND(($D6+$C$1)&gt;AW$3,AW$3&gt;=$C$1),'General Inputs'!U$9*$G6,IF(AND(($C6+$C$1)&gt;AW$3,AW$3&gt;=$C$1),'General Inputs'!U$9*$F6,0))</f>
        <v>0</v>
      </c>
      <c r="AX6" s="214">
        <f>IF(AND(($D6+$C$1)&gt;AX$3,AX$3&gt;=$C$1),'General Inputs'!V$9*$G6,IF(AND(($C6+$C$1)&gt;AX$3,AX$3&gt;=$C$1),'General Inputs'!V$9*$F6,0))</f>
        <v>0</v>
      </c>
      <c r="AY6" s="214">
        <f>IF(AND(($D6+$C$1)&gt;AY$3,AY$3&gt;=$C$1),'General Inputs'!W$9*$G6,IF(AND(($C6+$C$1)&gt;AY$3,AY$3&gt;=$C$1),'General Inputs'!W$9*$F6,0))</f>
        <v>0</v>
      </c>
      <c r="BA6" s="214">
        <f>IF(AND(($D6+$C$1)&gt;AF$3,AF$3&gt;=$C$1),'General Inputs'!D$10*$I6,IF(AND(($C6+$C$1)&gt;AF$3,AF$3&gt;=$C$1),'General Inputs'!D$10*$H6,0))</f>
        <v>0</v>
      </c>
      <c r="BB6" s="214">
        <f>IF(AND(($D6+$C$1)&gt;AG$3,AG$3&gt;=$C$1),'General Inputs'!E$10*$I6,IF(AND(($C6+$C$1)&gt;AG$3,AG$3&gt;=$C$1),'General Inputs'!E$10*$H6,0))</f>
        <v>3.0075550007915381E-3</v>
      </c>
      <c r="BC6" s="214">
        <f>IF(AND(($D6+$C$1)&gt;AH$3,AH$3&gt;=$C$1),'General Inputs'!F$10*$I6,IF(AND(($C6+$C$1)&gt;AH$3,AH$3&gt;=$C$1),'General Inputs'!F$10*$H6,0))</f>
        <v>3.0526683258034109E-3</v>
      </c>
      <c r="BD6" s="214">
        <f>IF(AND(($D6+$C$1)&gt;AI$3,AI$3&gt;=$C$1),'General Inputs'!G$10*$I6,IF(AND(($C6+$C$1)&gt;AI$3,AI$3&gt;=$C$1),'General Inputs'!G$10*$H6,0))</f>
        <v>3.098458350690462E-3</v>
      </c>
      <c r="BE6" s="214">
        <f>IF(AND(($D6+$C$1)&gt;AJ$3,AJ$3&gt;=$C$1),'General Inputs'!H$10*$I6,IF(AND(($C6+$C$1)&gt;AJ$3,AJ$3&gt;=$C$1),'General Inputs'!H$10*$H6,0))</f>
        <v>3.1449352259508186E-3</v>
      </c>
      <c r="BF6" s="214">
        <f>IF(AND(($D6+$C$1)&gt;AK$3,AK$3&gt;=$C$1),'General Inputs'!I$10*$I6,IF(AND(($C6+$C$1)&gt;AK$3,AK$3&gt;=$C$1),'General Inputs'!I$10*$H6,0))</f>
        <v>3.1921092543400801E-3</v>
      </c>
      <c r="BG6" s="214">
        <f>IF(AND(($D6+$C$1)&gt;AL$3,AL$3&gt;=$C$1),'General Inputs'!J$10*$I6,IF(AND(($C6+$C$1)&gt;AL$3,AL$3&gt;=$C$1),'General Inputs'!J$10*$H6,0))</f>
        <v>3.2399908931551808E-3</v>
      </c>
      <c r="BH6" s="214">
        <f>IF(AND(($D6+$C$1)&gt;AM$3,AM$3&gt;=$C$1),'General Inputs'!K$10*$I6,IF(AND(($C6+$C$1)&gt;AM$3,AM$3&gt;=$C$1),'General Inputs'!K$10*$H6,0))</f>
        <v>3.2885907565525087E-3</v>
      </c>
      <c r="BI6" s="214">
        <f>IF(AND(($D6+$C$1)&gt;AN$3,AN$3&gt;=$C$1),'General Inputs'!L$10*$I6,IF(AND(($C6+$C$1)&gt;AN$3,AN$3&gt;=$C$1),'General Inputs'!L$10*$H6,0))</f>
        <v>3.337919617900796E-3</v>
      </c>
      <c r="BJ6" s="214">
        <f>IF(AND(($D6+$C$1)&gt;AO$3,AO$3&gt;=$C$1),'General Inputs'!M$10*$I6,IF(AND(($C6+$C$1)&gt;AO$3,AO$3&gt;=$C$1),'General Inputs'!M$10*$H6,0))</f>
        <v>0</v>
      </c>
      <c r="BK6" s="214">
        <f>IF(AND(($D6+$C$1)&gt;AP$3,AP$3&gt;=$C$1),'General Inputs'!N$10*$I6,IF(AND(($C6+$C$1)&gt;AP$3,AP$3&gt;=$C$1),'General Inputs'!N$10*$H6,0))</f>
        <v>0</v>
      </c>
      <c r="BL6" s="214">
        <f>IF(AND(($D6+$C$1)&gt;AQ$3,AQ$3&gt;=$C$1),'General Inputs'!O$10*$I6,IF(AND(($C6+$C$1)&gt;AQ$3,AQ$3&gt;=$C$1),'General Inputs'!O$10*$H6,0))</f>
        <v>0</v>
      </c>
      <c r="BM6" s="214">
        <f>IF(AND(($D6+$C$1)&gt;AR$3,AR$3&gt;=$C$1),'General Inputs'!P$10*$I6,IF(AND(($C6+$C$1)&gt;AR$3,AR$3&gt;=$C$1),'General Inputs'!P$10*$H6,0))</f>
        <v>0</v>
      </c>
      <c r="BN6" s="214">
        <f>IF(AND(($D6+$C$1)&gt;AS$3,AS$3&gt;=$C$1),'General Inputs'!Q$10*$I6,IF(AND(($C6+$C$1)&gt;AS$3,AS$3&gt;=$C$1),'General Inputs'!Q$10*$H6,0))</f>
        <v>0</v>
      </c>
      <c r="BO6" s="214">
        <f>IF(AND(($D6+$C$1)&gt;AT$3,AT$3&gt;=$C$1),'General Inputs'!R$10*$I6,IF(AND(($C6+$C$1)&gt;AT$3,AT$3&gt;=$C$1),'General Inputs'!R$10*$H6,0))</f>
        <v>0</v>
      </c>
      <c r="BP6" s="214">
        <f>IF(AND(($D6+$C$1)&gt;AU$3,AU$3&gt;=$C$1),'General Inputs'!S$10*$I6,IF(AND(($C6+$C$1)&gt;AU$3,AU$3&gt;=$C$1),'General Inputs'!S$10*$H6,0))</f>
        <v>0</v>
      </c>
      <c r="BQ6" s="214">
        <f>IF(AND(($D6+$C$1)&gt;AV$3,AV$3&gt;=$C$1),'General Inputs'!T$10*$I6,IF(AND(($C6+$C$1)&gt;AV$3,AV$3&gt;=$C$1),'General Inputs'!T$10*$H6,0))</f>
        <v>0</v>
      </c>
      <c r="BR6" s="214">
        <f>IF(AND(($D6+$C$1)&gt;AW$3,AW$3&gt;=$C$1),'General Inputs'!U$10*$I6,IF(AND(($C6+$C$1)&gt;AW$3,AW$3&gt;=$C$1),'General Inputs'!U$10*$H6,0))</f>
        <v>0</v>
      </c>
      <c r="BS6" s="214">
        <f>IF(AND(($D6+$C$1)&gt;AX$3,AX$3&gt;=$C$1),'General Inputs'!V$10*$I6,IF(AND(($C6+$C$1)&gt;AX$3,AX$3&gt;=$C$1),'General Inputs'!V$10*$H6,0))</f>
        <v>0</v>
      </c>
      <c r="BT6" s="214">
        <f>IF(AND(($D6+$C$1)&gt;AY$3,AY$3&gt;=$C$1),'General Inputs'!W$10*$I6,IF(AND(($C6+$C$1)&gt;AY$3,AY$3&gt;=$C$1),'General Inputs'!W$10*$H6,0))</f>
        <v>0</v>
      </c>
    </row>
    <row r="7" spans="1:73">
      <c r="A7" s="341" t="s">
        <v>12</v>
      </c>
      <c r="B7" s="427" t="str">
        <f>Sources!B7</f>
        <v>ENERGY STAR Dehumidifier</v>
      </c>
      <c r="C7" s="193">
        <f>Sources!C7</f>
        <v>12</v>
      </c>
      <c r="D7" s="193">
        <f>Sources!D7</f>
        <v>0</v>
      </c>
      <c r="F7" s="429">
        <f>Sources!F7*EnergyLineLoss</f>
        <v>168.64623243243258</v>
      </c>
      <c r="G7" s="429">
        <f>Sources!G7*EnergyLineLoss</f>
        <v>0</v>
      </c>
      <c r="H7" s="477">
        <f>Sources!H7*PeakLineLoss</f>
        <v>3.8517966666666695E-2</v>
      </c>
      <c r="I7" s="477">
        <f>Sources!I7*PeakLineLoss</f>
        <v>0</v>
      </c>
      <c r="K7" s="419">
        <f>Sources!J7</f>
        <v>45</v>
      </c>
      <c r="L7" s="419">
        <f>Sources!K7</f>
        <v>0</v>
      </c>
      <c r="N7" s="438">
        <f t="shared" si="4"/>
        <v>1.3835241383177936</v>
      </c>
      <c r="P7" s="215">
        <f t="shared" si="0"/>
        <v>52.676832079716831</v>
      </c>
      <c r="Q7" s="215">
        <f t="shared" si="1"/>
        <v>4.5251030767520346</v>
      </c>
      <c r="R7" s="215">
        <f t="shared" si="2"/>
        <v>41.345093715545751</v>
      </c>
      <c r="T7" s="214">
        <f t="shared" si="3"/>
        <v>0</v>
      </c>
      <c r="U7" s="214">
        <f t="shared" si="3"/>
        <v>45</v>
      </c>
      <c r="V7" s="214">
        <f t="shared" si="3"/>
        <v>0</v>
      </c>
      <c r="W7" s="214">
        <f t="shared" si="3"/>
        <v>0</v>
      </c>
      <c r="X7" s="214">
        <f t="shared" si="3"/>
        <v>0</v>
      </c>
      <c r="Y7" s="214">
        <f t="shared" si="3"/>
        <v>0</v>
      </c>
      <c r="Z7" s="214">
        <f t="shared" si="3"/>
        <v>0</v>
      </c>
      <c r="AA7" s="214">
        <f t="shared" si="3"/>
        <v>0</v>
      </c>
      <c r="AB7" s="214">
        <f t="shared" si="3"/>
        <v>0</v>
      </c>
      <c r="AC7" s="214">
        <f t="shared" si="3"/>
        <v>0</v>
      </c>
      <c r="AD7" s="214">
        <f t="shared" si="3"/>
        <v>0</v>
      </c>
      <c r="AF7" s="214">
        <f>IF(AND(($D7+$C$1)&gt;AF$3,AF$3&gt;=$C$1),'General Inputs'!D$9*$G7,IF(AND(($C7+$C$1)&gt;AF$3,AF$3&gt;=$C$1),'General Inputs'!D$9*$F7,0))</f>
        <v>0</v>
      </c>
      <c r="AG7" s="214">
        <f>IF(AND(($D7+$C$1)&gt;AG$3,AG$3&gt;=$C$1),'General Inputs'!E$9*$G7,IF(AND(($C7+$C$1)&gt;AG$3,AG$3&gt;=$C$1),'General Inputs'!E$9*$F7,0))</f>
        <v>6.8149020501162338</v>
      </c>
      <c r="AH7" s="214">
        <f>IF(AND(($D7+$C$1)&gt;AH$3,AH$3&gt;=$C$1),'General Inputs'!F$9*$G7,IF(AND(($C7+$C$1)&gt;AH$3,AH$3&gt;=$C$1),'General Inputs'!F$9*$F7,0))</f>
        <v>6.9171255808679772</v>
      </c>
      <c r="AI7" s="214">
        <f>IF(AND(($D7+$C$1)&gt;AI$3,AI$3&gt;=$C$1),'General Inputs'!G$9*$G7,IF(AND(($C7+$C$1)&gt;AI$3,AI$3&gt;=$C$1),'General Inputs'!G$9*$F7,0))</f>
        <v>7.0208824645809962</v>
      </c>
      <c r="AJ7" s="214">
        <f>IF(AND(($D7+$C$1)&gt;AJ$3,AJ$3&gt;=$C$1),'General Inputs'!H$9*$G7,IF(AND(($C7+$C$1)&gt;AJ$3,AJ$3&gt;=$C$1),'General Inputs'!H$9*$F7,0))</f>
        <v>7.1261957015497099</v>
      </c>
      <c r="AK7" s="214">
        <f>IF(AND(($D7+$C$1)&gt;AK$3,AK$3&gt;=$C$1),'General Inputs'!I$9*$G7,IF(AND(($C7+$C$1)&gt;AK$3,AK$3&gt;=$C$1),'General Inputs'!I$9*$F7,0))</f>
        <v>7.2330886370729548</v>
      </c>
      <c r="AL7" s="214">
        <f>IF(AND(($D7+$C$1)&gt;AL$3,AL$3&gt;=$C$1),'General Inputs'!J$9*$G7,IF(AND(($C7+$C$1)&gt;AL$3,AL$3&gt;=$C$1),'General Inputs'!J$9*$F7,0))</f>
        <v>7.341584966629048</v>
      </c>
      <c r="AM7" s="214">
        <f>IF(AND(($D7+$C$1)&gt;AM$3,AM$3&gt;=$C$1),'General Inputs'!K$9*$G7,IF(AND(($C7+$C$1)&gt;AM$3,AM$3&gt;=$C$1),'General Inputs'!K$9*$F7,0))</f>
        <v>7.4517087411284821</v>
      </c>
      <c r="AN7" s="214">
        <f>IF(AND(($D7+$C$1)&gt;AN$3,AN$3&gt;=$C$1),'General Inputs'!L$9*$G7,IF(AND(($C7+$C$1)&gt;AN$3,AN$3&gt;=$C$1),'General Inputs'!L$9*$F7,0))</f>
        <v>7.5634843722454086</v>
      </c>
      <c r="AO7" s="214">
        <f>IF(AND(($D7+$C$1)&gt;AO$3,AO$3&gt;=$C$1),'General Inputs'!M$9*$G7,IF(AND(($C7+$C$1)&gt;AO$3,AO$3&gt;=$C$1),'General Inputs'!M$9*$F7,0))</f>
        <v>7.6769366378290886</v>
      </c>
      <c r="AP7" s="214">
        <f>IF(AND(($D7+$C$1)&gt;AP$3,AP$3&gt;=$C$1),'General Inputs'!N$9*$G7,IF(AND(($C7+$C$1)&gt;AP$3,AP$3&gt;=$C$1),'General Inputs'!N$9*$F7,0))</f>
        <v>7.7920906873965246</v>
      </c>
      <c r="AQ7" s="214">
        <f>IF(AND(($D7+$C$1)&gt;AQ$3,AQ$3&gt;=$C$1),'General Inputs'!O$9*$G7,IF(AND(($C7+$C$1)&gt;AQ$3,AQ$3&gt;=$C$1),'General Inputs'!O$9*$F7,0))</f>
        <v>7.9089720477074712</v>
      </c>
      <c r="AR7" s="214">
        <f>IF(AND(($D7+$C$1)&gt;AR$3,AR$3&gt;=$C$1),'General Inputs'!P$9*$G7,IF(AND(($C7+$C$1)&gt;AR$3,AR$3&gt;=$C$1),'General Inputs'!P$9*$F7,0))</f>
        <v>8.0276066284230829</v>
      </c>
      <c r="AS7" s="214">
        <f>IF(AND(($D7+$C$1)&gt;AS$3,AS$3&gt;=$C$1),'General Inputs'!Q$9*$G7,IF(AND(($C7+$C$1)&gt;AS$3,AS$3&gt;=$C$1),'General Inputs'!Q$9*$F7,0))</f>
        <v>0</v>
      </c>
      <c r="AT7" s="214">
        <f>IF(AND(($D7+$C$1)&gt;AT$3,AT$3&gt;=$C$1),'General Inputs'!R$9*$G7,IF(AND(($C7+$C$1)&gt;AT$3,AT$3&gt;=$C$1),'General Inputs'!R$9*$F7,0))</f>
        <v>0</v>
      </c>
      <c r="AU7" s="214">
        <f>IF(AND(($D7+$C$1)&gt;AU$3,AU$3&gt;=$C$1),'General Inputs'!S$9*$G7,IF(AND(($C7+$C$1)&gt;AU$3,AU$3&gt;=$C$1),'General Inputs'!S$9*$F7,0))</f>
        <v>0</v>
      </c>
      <c r="AV7" s="214">
        <f>IF(AND(($D7+$C$1)&gt;AV$3,AV$3&gt;=$C$1),'General Inputs'!T$9*$G7,IF(AND(($C7+$C$1)&gt;AV$3,AV$3&gt;=$C$1),'General Inputs'!T$9*$F7,0))</f>
        <v>0</v>
      </c>
      <c r="AW7" s="214">
        <f>IF(AND(($D7+$C$1)&gt;AW$3,AW$3&gt;=$C$1),'General Inputs'!U$9*$G7,IF(AND(($C7+$C$1)&gt;AW$3,AW$3&gt;=$C$1),'General Inputs'!U$9*$F7,0))</f>
        <v>0</v>
      </c>
      <c r="AX7" s="214">
        <f>IF(AND(($D7+$C$1)&gt;AX$3,AX$3&gt;=$C$1),'General Inputs'!V$9*$G7,IF(AND(($C7+$C$1)&gt;AX$3,AX$3&gt;=$C$1),'General Inputs'!V$9*$F7,0))</f>
        <v>0</v>
      </c>
      <c r="AY7" s="214">
        <f>IF(AND(($D7+$C$1)&gt;AY$3,AY$3&gt;=$C$1),'General Inputs'!W$9*$G7,IF(AND(($C7+$C$1)&gt;AY$3,AY$3&gt;=$C$1),'General Inputs'!W$9*$F7,0))</f>
        <v>0</v>
      </c>
      <c r="BA7" s="214">
        <f>IF(AND(($D7+$C$1)&gt;AF$3,AF$3&gt;=$C$1),'General Inputs'!D$10*$I7,IF(AND(($C7+$C$1)&gt;AF$3,AF$3&gt;=$C$1),'General Inputs'!D$10*$H7,0))</f>
        <v>0</v>
      </c>
      <c r="BB7" s="214">
        <f>IF(AND(($D7+$C$1)&gt;AG$3,AG$3&gt;=$C$1),'General Inputs'!E$10*$I7,IF(AND(($C7+$C$1)&gt;AG$3,AG$3&gt;=$C$1),'General Inputs'!E$10*$H7,0))</f>
        <v>0.58542119974255091</v>
      </c>
      <c r="BC7" s="214">
        <f>IF(AND(($D7+$C$1)&gt;AH$3,AH$3&gt;=$C$1),'General Inputs'!F$10*$I7,IF(AND(($C7+$C$1)&gt;AH$3,AH$3&gt;=$C$1),'General Inputs'!F$10*$H7,0))</f>
        <v>0.59420251773868904</v>
      </c>
      <c r="BD7" s="214">
        <f>IF(AND(($D7+$C$1)&gt;AI$3,AI$3&gt;=$C$1),'General Inputs'!G$10*$I7,IF(AND(($C7+$C$1)&gt;AI$3,AI$3&gt;=$C$1),'General Inputs'!G$10*$H7,0))</f>
        <v>0.60311555550476936</v>
      </c>
      <c r="BE7" s="214">
        <f>IF(AND(($D7+$C$1)&gt;AJ$3,AJ$3&gt;=$C$1),'General Inputs'!H$10*$I7,IF(AND(($C7+$C$1)&gt;AJ$3,AJ$3&gt;=$C$1),'General Inputs'!H$10*$H7,0))</f>
        <v>0.61216228883734092</v>
      </c>
      <c r="BF7" s="214">
        <f>IF(AND(($D7+$C$1)&gt;AK$3,AK$3&gt;=$C$1),'General Inputs'!I$10*$I7,IF(AND(($C7+$C$1)&gt;AK$3,AK$3&gt;=$C$1),'General Inputs'!I$10*$H7,0))</f>
        <v>0.62134472316990086</v>
      </c>
      <c r="BG7" s="214">
        <f>IF(AND(($D7+$C$1)&gt;AL$3,AL$3&gt;=$C$1),'General Inputs'!J$10*$I7,IF(AND(($C7+$C$1)&gt;AL$3,AL$3&gt;=$C$1),'General Inputs'!J$10*$H7,0))</f>
        <v>0.6306648940174493</v>
      </c>
      <c r="BH7" s="214">
        <f>IF(AND(($D7+$C$1)&gt;AM$3,AM$3&gt;=$C$1),'General Inputs'!K$10*$I7,IF(AND(($C7+$C$1)&gt;AM$3,AM$3&gt;=$C$1),'General Inputs'!K$10*$H7,0))</f>
        <v>0.64012486742771102</v>
      </c>
      <c r="BI7" s="214">
        <f>IF(AND(($D7+$C$1)&gt;AN$3,AN$3&gt;=$C$1),'General Inputs'!L$10*$I7,IF(AND(($C7+$C$1)&gt;AN$3,AN$3&gt;=$C$1),'General Inputs'!L$10*$H7,0))</f>
        <v>0.64972674043912659</v>
      </c>
      <c r="BJ7" s="214">
        <f>IF(AND(($D7+$C$1)&gt;AO$3,AO$3&gt;=$C$1),'General Inputs'!M$10*$I7,IF(AND(($C7+$C$1)&gt;AO$3,AO$3&gt;=$C$1),'General Inputs'!M$10*$H7,0))</f>
        <v>0.6594726415457135</v>
      </c>
      <c r="BK7" s="214">
        <f>IF(AND(($D7+$C$1)&gt;AP$3,AP$3&gt;=$C$1),'General Inputs'!N$10*$I7,IF(AND(($C7+$C$1)&gt;AP$3,AP$3&gt;=$C$1),'General Inputs'!N$10*$H7,0))</f>
        <v>0.66936473116889905</v>
      </c>
      <c r="BL7" s="214">
        <f>IF(AND(($D7+$C$1)&gt;AQ$3,AQ$3&gt;=$C$1),'General Inputs'!O$10*$I7,IF(AND(($C7+$C$1)&gt;AQ$3,AQ$3&gt;=$C$1),'General Inputs'!O$10*$H7,0))</f>
        <v>0.67940520213643252</v>
      </c>
      <c r="BM7" s="214">
        <f>IF(AND(($D7+$C$1)&gt;AR$3,AR$3&gt;=$C$1),'General Inputs'!P$10*$I7,IF(AND(($C7+$C$1)&gt;AR$3,AR$3&gt;=$C$1),'General Inputs'!P$10*$H7,0))</f>
        <v>0.68959628016847896</v>
      </c>
      <c r="BN7" s="214">
        <f>IF(AND(($D7+$C$1)&gt;AS$3,AS$3&gt;=$C$1),'General Inputs'!Q$10*$I7,IF(AND(($C7+$C$1)&gt;AS$3,AS$3&gt;=$C$1),'General Inputs'!Q$10*$H7,0))</f>
        <v>0</v>
      </c>
      <c r="BO7" s="214">
        <f>IF(AND(($D7+$C$1)&gt;AT$3,AT$3&gt;=$C$1),'General Inputs'!R$10*$I7,IF(AND(($C7+$C$1)&gt;AT$3,AT$3&gt;=$C$1),'General Inputs'!R$10*$H7,0))</f>
        <v>0</v>
      </c>
      <c r="BP7" s="214">
        <f>IF(AND(($D7+$C$1)&gt;AU$3,AU$3&gt;=$C$1),'General Inputs'!S$10*$I7,IF(AND(($C7+$C$1)&gt;AU$3,AU$3&gt;=$C$1),'General Inputs'!S$10*$H7,0))</f>
        <v>0</v>
      </c>
      <c r="BQ7" s="214">
        <f>IF(AND(($D7+$C$1)&gt;AV$3,AV$3&gt;=$C$1),'General Inputs'!T$10*$I7,IF(AND(($C7+$C$1)&gt;AV$3,AV$3&gt;=$C$1),'General Inputs'!T$10*$H7,0))</f>
        <v>0</v>
      </c>
      <c r="BR7" s="214">
        <f>IF(AND(($D7+$C$1)&gt;AW$3,AW$3&gt;=$C$1),'General Inputs'!U$10*$I7,IF(AND(($C7+$C$1)&gt;AW$3,AW$3&gt;=$C$1),'General Inputs'!U$10*$H7,0))</f>
        <v>0</v>
      </c>
      <c r="BS7" s="214">
        <f>IF(AND(($D7+$C$1)&gt;AX$3,AX$3&gt;=$C$1),'General Inputs'!V$10*$I7,IF(AND(($C7+$C$1)&gt;AX$3,AX$3&gt;=$C$1),'General Inputs'!V$10*$H7,0))</f>
        <v>0</v>
      </c>
      <c r="BT7" s="214">
        <f>IF(AND(($D7+$C$1)&gt;AY$3,AY$3&gt;=$C$1),'General Inputs'!W$10*$I7,IF(AND(($C7+$C$1)&gt;AY$3,AY$3&gt;=$C$1),'General Inputs'!W$10*$H7,0))</f>
        <v>0</v>
      </c>
    </row>
    <row r="8" spans="1:73">
      <c r="A8" s="342" t="s">
        <v>12</v>
      </c>
      <c r="B8" s="427" t="str">
        <f>Sources!B8</f>
        <v>ENERGY STAR Clothes Washer</v>
      </c>
      <c r="C8" s="193">
        <f>Sources!C8</f>
        <v>14</v>
      </c>
      <c r="D8" s="193">
        <f>Sources!D8</f>
        <v>0</v>
      </c>
      <c r="F8" s="429">
        <f>Sources!F8*EnergyLineLoss</f>
        <v>285.67811583631482</v>
      </c>
      <c r="G8" s="429">
        <f>Sources!G8*EnergyLineLoss</f>
        <v>0</v>
      </c>
      <c r="H8" s="477">
        <f>Sources!H8*PeakLineLoss</f>
        <v>3.6799214921288008E-2</v>
      </c>
      <c r="I8" s="477">
        <f>Sources!I8*PeakLineLoss</f>
        <v>0</v>
      </c>
      <c r="K8" s="419">
        <f>Sources!J8</f>
        <v>450</v>
      </c>
      <c r="L8" s="419">
        <f>Sources!K8</f>
        <v>0</v>
      </c>
      <c r="N8" s="438">
        <f t="shared" si="4"/>
        <v>0.24876685993906097</v>
      </c>
      <c r="P8" s="215">
        <f t="shared" si="0"/>
        <v>98.100054101704472</v>
      </c>
      <c r="Q8" s="215">
        <f t="shared" si="1"/>
        <v>4.7528372733207309</v>
      </c>
      <c r="R8" s="215">
        <f t="shared" si="2"/>
        <v>413.45093715545755</v>
      </c>
      <c r="T8" s="214">
        <f t="shared" si="3"/>
        <v>0</v>
      </c>
      <c r="U8" s="214">
        <f t="shared" si="3"/>
        <v>450</v>
      </c>
      <c r="V8" s="214">
        <f t="shared" si="3"/>
        <v>0</v>
      </c>
      <c r="W8" s="214">
        <f t="shared" si="3"/>
        <v>0</v>
      </c>
      <c r="X8" s="214">
        <f t="shared" si="3"/>
        <v>0</v>
      </c>
      <c r="Y8" s="214">
        <f t="shared" si="3"/>
        <v>0</v>
      </c>
      <c r="Z8" s="214">
        <f t="shared" si="3"/>
        <v>0</v>
      </c>
      <c r="AA8" s="214">
        <f t="shared" si="3"/>
        <v>0</v>
      </c>
      <c r="AB8" s="214">
        <f t="shared" si="3"/>
        <v>0</v>
      </c>
      <c r="AC8" s="214">
        <f t="shared" si="3"/>
        <v>0</v>
      </c>
      <c r="AD8" s="214">
        <f t="shared" si="3"/>
        <v>0</v>
      </c>
      <c r="AF8" s="214">
        <f>IF(AND(($D8+$C$1)&gt;AF$3,AF$3&gt;=$C$1),'General Inputs'!D$9*$G8,IF(AND(($C8+$C$1)&gt;AF$3,AF$3&gt;=$C$1),'General Inputs'!D$9*$F8,0))</f>
        <v>0</v>
      </c>
      <c r="AG8" s="214">
        <f>IF(AND(($D8+$C$1)&gt;AG$3,AG$3&gt;=$C$1),'General Inputs'!E$9*$G8,IF(AND(($C8+$C$1)&gt;AG$3,AG$3&gt;=$C$1),'General Inputs'!E$9*$F8,0))</f>
        <v>11.544096474649972</v>
      </c>
      <c r="AH8" s="214">
        <f>IF(AND(($D8+$C$1)&gt;AH$3,AH$3&gt;=$C$1),'General Inputs'!F$9*$G8,IF(AND(($C8+$C$1)&gt;AH$3,AH$3&gt;=$C$1),'General Inputs'!F$9*$F8,0))</f>
        <v>11.71725792176972</v>
      </c>
      <c r="AI8" s="214">
        <f>IF(AND(($D8+$C$1)&gt;AI$3,AI$3&gt;=$C$1),'General Inputs'!G$9*$G8,IF(AND(($C8+$C$1)&gt;AI$3,AI$3&gt;=$C$1),'General Inputs'!G$9*$F8,0))</f>
        <v>11.893016790596265</v>
      </c>
      <c r="AJ8" s="214">
        <f>IF(AND(($D8+$C$1)&gt;AJ$3,AJ$3&gt;=$C$1),'General Inputs'!H$9*$G8,IF(AND(($C8+$C$1)&gt;AJ$3,AJ$3&gt;=$C$1),'General Inputs'!H$9*$F8,0))</f>
        <v>12.071412042455208</v>
      </c>
      <c r="AK8" s="214">
        <f>IF(AND(($D8+$C$1)&gt;AK$3,AK$3&gt;=$C$1),'General Inputs'!I$9*$G8,IF(AND(($C8+$C$1)&gt;AK$3,AK$3&gt;=$C$1),'General Inputs'!I$9*$F8,0))</f>
        <v>12.252483223092034</v>
      </c>
      <c r="AL8" s="214">
        <f>IF(AND(($D8+$C$1)&gt;AL$3,AL$3&gt;=$C$1),'General Inputs'!J$9*$G8,IF(AND(($C8+$C$1)&gt;AL$3,AL$3&gt;=$C$1),'General Inputs'!J$9*$F8,0))</f>
        <v>12.436270471438412</v>
      </c>
      <c r="AM8" s="214">
        <f>IF(AND(($D8+$C$1)&gt;AM$3,AM$3&gt;=$C$1),'General Inputs'!K$9*$G8,IF(AND(($C8+$C$1)&gt;AM$3,AM$3&gt;=$C$1),'General Inputs'!K$9*$F8,0))</f>
        <v>12.622814528509988</v>
      </c>
      <c r="AN8" s="214">
        <f>IF(AND(($D8+$C$1)&gt;AN$3,AN$3&gt;=$C$1),'General Inputs'!L$9*$G8,IF(AND(($C8+$C$1)&gt;AN$3,AN$3&gt;=$C$1),'General Inputs'!L$9*$F8,0))</f>
        <v>12.812156746437637</v>
      </c>
      <c r="AO8" s="214">
        <f>IF(AND(($D8+$C$1)&gt;AO$3,AO$3&gt;=$C$1),'General Inputs'!M$9*$G8,IF(AND(($C8+$C$1)&gt;AO$3,AO$3&gt;=$C$1),'General Inputs'!M$9*$F8,0))</f>
        <v>13.004339097634199</v>
      </c>
      <c r="AP8" s="214">
        <f>IF(AND(($D8+$C$1)&gt;AP$3,AP$3&gt;=$C$1),'General Inputs'!N$9*$G8,IF(AND(($C8+$C$1)&gt;AP$3,AP$3&gt;=$C$1),'General Inputs'!N$9*$F8,0))</f>
        <v>13.199404184098711</v>
      </c>
      <c r="AQ8" s="214">
        <f>IF(AND(($D8+$C$1)&gt;AQ$3,AQ$3&gt;=$C$1),'General Inputs'!O$9*$G8,IF(AND(($C8+$C$1)&gt;AQ$3,AQ$3&gt;=$C$1),'General Inputs'!O$9*$F8,0))</f>
        <v>13.39739524686019</v>
      </c>
      <c r="AR8" s="214">
        <f>IF(AND(($D8+$C$1)&gt;AR$3,AR$3&gt;=$C$1),'General Inputs'!P$9*$G8,IF(AND(($C8+$C$1)&gt;AR$3,AR$3&gt;=$C$1),'General Inputs'!P$9*$F8,0))</f>
        <v>13.598356175563092</v>
      </c>
      <c r="AS8" s="214">
        <f>IF(AND(($D8+$C$1)&gt;AS$3,AS$3&gt;=$C$1),'General Inputs'!Q$9*$G8,IF(AND(($C8+$C$1)&gt;AS$3,AS$3&gt;=$C$1),'General Inputs'!Q$9*$F8,0))</f>
        <v>13.802331518196537</v>
      </c>
      <c r="AT8" s="214">
        <f>IF(AND(($D8+$C$1)&gt;AT$3,AT$3&gt;=$C$1),'General Inputs'!R$9*$G8,IF(AND(($C8+$C$1)&gt;AT$3,AT$3&gt;=$C$1),'General Inputs'!R$9*$F8,0))</f>
        <v>14.009366490969484</v>
      </c>
      <c r="AU8" s="214">
        <f>IF(AND(($D8+$C$1)&gt;AU$3,AU$3&gt;=$C$1),'General Inputs'!S$9*$G8,IF(AND(($C8+$C$1)&gt;AU$3,AU$3&gt;=$C$1),'General Inputs'!S$9*$F8,0))</f>
        <v>0</v>
      </c>
      <c r="AV8" s="214">
        <f>IF(AND(($D8+$C$1)&gt;AV$3,AV$3&gt;=$C$1),'General Inputs'!T$9*$G8,IF(AND(($C8+$C$1)&gt;AV$3,AV$3&gt;=$C$1),'General Inputs'!T$9*$F8,0))</f>
        <v>0</v>
      </c>
      <c r="AW8" s="214">
        <f>IF(AND(($D8+$C$1)&gt;AW$3,AW$3&gt;=$C$1),'General Inputs'!U$9*$G8,IF(AND(($C8+$C$1)&gt;AW$3,AW$3&gt;=$C$1),'General Inputs'!U$9*$F8,0))</f>
        <v>0</v>
      </c>
      <c r="AX8" s="214">
        <f>IF(AND(($D8+$C$1)&gt;AX$3,AX$3&gt;=$C$1),'General Inputs'!V$9*$G8,IF(AND(($C8+$C$1)&gt;AX$3,AX$3&gt;=$C$1),'General Inputs'!V$9*$F8,0))</f>
        <v>0</v>
      </c>
      <c r="AY8" s="214">
        <f>IF(AND(($D8+$C$1)&gt;AY$3,AY$3&gt;=$C$1),'General Inputs'!W$9*$G8,IF(AND(($C8+$C$1)&gt;AY$3,AY$3&gt;=$C$1),'General Inputs'!W$9*$F8,0))</f>
        <v>0</v>
      </c>
      <c r="BA8" s="214">
        <f>IF(AND(($D8+$C$1)&gt;AF$3,AF$3&gt;=$C$1),'General Inputs'!D$10*$I8,IF(AND(($C8+$C$1)&gt;AF$3,AF$3&gt;=$C$1),'General Inputs'!D$10*$H8,0))</f>
        <v>0</v>
      </c>
      <c r="BB8" s="214">
        <f>IF(AND(($D8+$C$1)&gt;AG$3,AG$3&gt;=$C$1),'General Inputs'!E$10*$I8,IF(AND(($C8+$C$1)&gt;AG$3,AG$3&gt;=$C$1),'General Inputs'!E$10*$H8,0))</f>
        <v>0.55929848881269406</v>
      </c>
      <c r="BC8" s="214">
        <f>IF(AND(($D8+$C$1)&gt;AH$3,AH$3&gt;=$C$1),'General Inputs'!F$10*$I8,IF(AND(($C8+$C$1)&gt;AH$3,AH$3&gt;=$C$1),'General Inputs'!F$10*$H8,0))</f>
        <v>0.56768796614488448</v>
      </c>
      <c r="BD8" s="214">
        <f>IF(AND(($D8+$C$1)&gt;AI$3,AI$3&gt;=$C$1),'General Inputs'!G$10*$I8,IF(AND(($C8+$C$1)&gt;AI$3,AI$3&gt;=$C$1),'General Inputs'!G$10*$H8,0))</f>
        <v>0.57620328563705769</v>
      </c>
      <c r="BE8" s="214">
        <f>IF(AND(($D8+$C$1)&gt;AJ$3,AJ$3&gt;=$C$1),'General Inputs'!H$10*$I8,IF(AND(($C8+$C$1)&gt;AJ$3,AJ$3&gt;=$C$1),'General Inputs'!H$10*$H8,0))</f>
        <v>0.58484633492161342</v>
      </c>
      <c r="BF8" s="214">
        <f>IF(AND(($D8+$C$1)&gt;AK$3,AK$3&gt;=$C$1),'General Inputs'!I$10*$I8,IF(AND(($C8+$C$1)&gt;AK$3,AK$3&gt;=$C$1),'General Inputs'!I$10*$H8,0))</f>
        <v>0.59361902994543758</v>
      </c>
      <c r="BG8" s="214">
        <f>IF(AND(($D8+$C$1)&gt;AL$3,AL$3&gt;=$C$1),'General Inputs'!J$10*$I8,IF(AND(($C8+$C$1)&gt;AL$3,AL$3&gt;=$C$1),'General Inputs'!J$10*$H8,0))</f>
        <v>0.60252331539461901</v>
      </c>
      <c r="BH8" s="214">
        <f>IF(AND(($D8+$C$1)&gt;AM$3,AM$3&gt;=$C$1),'General Inputs'!K$10*$I8,IF(AND(($C8+$C$1)&gt;AM$3,AM$3&gt;=$C$1),'General Inputs'!K$10*$H8,0))</f>
        <v>0.61156116512553826</v>
      </c>
      <c r="BI8" s="214">
        <f>IF(AND(($D8+$C$1)&gt;AN$3,AN$3&gt;=$C$1),'General Inputs'!L$10*$I8,IF(AND(($C8+$C$1)&gt;AN$3,AN$3&gt;=$C$1),'General Inputs'!L$10*$H8,0))</f>
        <v>0.62073458260242131</v>
      </c>
      <c r="BJ8" s="214">
        <f>IF(AND(($D8+$C$1)&gt;AO$3,AO$3&gt;=$C$1),'General Inputs'!M$10*$I8,IF(AND(($C8+$C$1)&gt;AO$3,AO$3&gt;=$C$1),'General Inputs'!M$10*$H8,0))</f>
        <v>0.6300456013414576</v>
      </c>
      <c r="BK8" s="214">
        <f>IF(AND(($D8+$C$1)&gt;AP$3,AP$3&gt;=$C$1),'General Inputs'!N$10*$I8,IF(AND(($C8+$C$1)&gt;AP$3,AP$3&gt;=$C$1),'General Inputs'!N$10*$H8,0))</f>
        <v>0.63949628536157943</v>
      </c>
      <c r="BL8" s="214">
        <f>IF(AND(($D8+$C$1)&gt;AQ$3,AQ$3&gt;=$C$1),'General Inputs'!O$10*$I8,IF(AND(($C8+$C$1)&gt;AQ$3,AQ$3&gt;=$C$1),'General Inputs'!O$10*$H8,0))</f>
        <v>0.64908872964200304</v>
      </c>
      <c r="BM8" s="214">
        <f>IF(AND(($D8+$C$1)&gt;AR$3,AR$3&gt;=$C$1),'General Inputs'!P$10*$I8,IF(AND(($C8+$C$1)&gt;AR$3,AR$3&gt;=$C$1),'General Inputs'!P$10*$H8,0))</f>
        <v>0.65882506058663304</v>
      </c>
      <c r="BN8" s="214">
        <f>IF(AND(($D8+$C$1)&gt;AS$3,AS$3&gt;=$C$1),'General Inputs'!Q$10*$I8,IF(AND(($C8+$C$1)&gt;AS$3,AS$3&gt;=$C$1),'General Inputs'!Q$10*$H8,0))</f>
        <v>0.66870743649543252</v>
      </c>
      <c r="BO8" s="214">
        <f>IF(AND(($D8+$C$1)&gt;AT$3,AT$3&gt;=$C$1),'General Inputs'!R$10*$I8,IF(AND(($C8+$C$1)&gt;AT$3,AT$3&gt;=$C$1),'General Inputs'!R$10*$H8,0))</f>
        <v>0.67873804804286386</v>
      </c>
      <c r="BP8" s="214">
        <f>IF(AND(($D8+$C$1)&gt;AU$3,AU$3&gt;=$C$1),'General Inputs'!S$10*$I8,IF(AND(($C8+$C$1)&gt;AU$3,AU$3&gt;=$C$1),'General Inputs'!S$10*$H8,0))</f>
        <v>0</v>
      </c>
      <c r="BQ8" s="214">
        <f>IF(AND(($D8+$C$1)&gt;AV$3,AV$3&gt;=$C$1),'General Inputs'!T$10*$I8,IF(AND(($C8+$C$1)&gt;AV$3,AV$3&gt;=$C$1),'General Inputs'!T$10*$H8,0))</f>
        <v>0</v>
      </c>
      <c r="BR8" s="214">
        <f>IF(AND(($D8+$C$1)&gt;AW$3,AW$3&gt;=$C$1),'General Inputs'!U$10*$I8,IF(AND(($C8+$C$1)&gt;AW$3,AW$3&gt;=$C$1),'General Inputs'!U$10*$H8,0))</f>
        <v>0</v>
      </c>
      <c r="BS8" s="214">
        <f>IF(AND(($D8+$C$1)&gt;AX$3,AX$3&gt;=$C$1),'General Inputs'!V$10*$I8,IF(AND(($C8+$C$1)&gt;AX$3,AX$3&gt;=$C$1),'General Inputs'!V$10*$H8,0))</f>
        <v>0</v>
      </c>
      <c r="BT8" s="214">
        <f>IF(AND(($D8+$C$1)&gt;AY$3,AY$3&gt;=$C$1),'General Inputs'!W$10*$I8,IF(AND(($C8+$C$1)&gt;AY$3,AY$3&gt;=$C$1),'General Inputs'!W$10*$H8,0))</f>
        <v>0</v>
      </c>
    </row>
    <row r="9" spans="1:73">
      <c r="A9" s="342" t="s">
        <v>12</v>
      </c>
      <c r="B9" s="427" t="str">
        <f>Sources!B9</f>
        <v>ENERGY STAR Refrigerator</v>
      </c>
      <c r="C9" s="193">
        <f>Sources!C9</f>
        <v>14</v>
      </c>
      <c r="D9" s="193">
        <f>Sources!D9</f>
        <v>0</v>
      </c>
      <c r="F9" s="429">
        <f>Sources!F9*EnergyLineLoss</f>
        <v>108.22001400000002</v>
      </c>
      <c r="G9" s="429">
        <f>Sources!G9*EnergyLineLoss</f>
        <v>0</v>
      </c>
      <c r="H9" s="477">
        <f>Sources!H9*PeakLineLoss</f>
        <v>1.2353882876712331E-2</v>
      </c>
      <c r="I9" s="477">
        <f>Sources!I9*PeakLineLoss</f>
        <v>0</v>
      </c>
      <c r="K9" s="419">
        <f>Sources!J9</f>
        <v>40</v>
      </c>
      <c r="L9" s="419">
        <f>Sources!K9</f>
        <v>0</v>
      </c>
      <c r="N9" s="438">
        <f t="shared" si="4"/>
        <v>1.0545954986020263</v>
      </c>
      <c r="P9" s="215">
        <f t="shared" si="0"/>
        <v>37.162066814981706</v>
      </c>
      <c r="Q9" s="215">
        <f t="shared" si="1"/>
        <v>1.5955773820791608</v>
      </c>
      <c r="R9" s="215">
        <f t="shared" si="2"/>
        <v>36.751194413818446</v>
      </c>
      <c r="T9" s="214">
        <f t="shared" si="3"/>
        <v>0</v>
      </c>
      <c r="U9" s="214">
        <f t="shared" si="3"/>
        <v>40</v>
      </c>
      <c r="V9" s="214">
        <f t="shared" si="3"/>
        <v>0</v>
      </c>
      <c r="W9" s="214">
        <f t="shared" si="3"/>
        <v>0</v>
      </c>
      <c r="X9" s="214">
        <f t="shared" si="3"/>
        <v>0</v>
      </c>
      <c r="Y9" s="214">
        <f t="shared" si="3"/>
        <v>0</v>
      </c>
      <c r="Z9" s="214">
        <f t="shared" si="3"/>
        <v>0</v>
      </c>
      <c r="AA9" s="214">
        <f t="shared" si="3"/>
        <v>0</v>
      </c>
      <c r="AB9" s="214">
        <f t="shared" si="3"/>
        <v>0</v>
      </c>
      <c r="AC9" s="214">
        <f t="shared" si="3"/>
        <v>0</v>
      </c>
      <c r="AD9" s="214">
        <f t="shared" si="3"/>
        <v>0</v>
      </c>
      <c r="AF9" s="214">
        <f>IF(AND(($D9+$C$1)&gt;AF$3,AF$3&gt;=$C$1),'General Inputs'!D$9*$G9,IF(AND(($C9+$C$1)&gt;AF$3,AF$3&gt;=$C$1),'General Inputs'!D$9*$F9,0))</f>
        <v>0</v>
      </c>
      <c r="AG9" s="214">
        <f>IF(AND(($D9+$C$1)&gt;AG$3,AG$3&gt;=$C$1),'General Inputs'!E$9*$G9,IF(AND(($C9+$C$1)&gt;AG$3,AG$3&gt;=$C$1),'General Inputs'!E$9*$F9,0))</f>
        <v>4.3731115995590804</v>
      </c>
      <c r="AH9" s="214">
        <f>IF(AND(($D9+$C$1)&gt;AH$3,AH$3&gt;=$C$1),'General Inputs'!F$9*$G9,IF(AND(($C9+$C$1)&gt;AH$3,AH$3&gt;=$C$1),'General Inputs'!F$9*$F9,0))</f>
        <v>4.4387082735524661</v>
      </c>
      <c r="AI9" s="214">
        <f>IF(AND(($D9+$C$1)&gt;AI$3,AI$3&gt;=$C$1),'General Inputs'!G$9*$G9,IF(AND(($C9+$C$1)&gt;AI$3,AI$3&gt;=$C$1),'General Inputs'!G$9*$F9,0))</f>
        <v>4.5052888976557526</v>
      </c>
      <c r="AJ9" s="214">
        <f>IF(AND(($D9+$C$1)&gt;AJ$3,AJ$3&gt;=$C$1),'General Inputs'!H$9*$G9,IF(AND(($C9+$C$1)&gt;AJ$3,AJ$3&gt;=$C$1),'General Inputs'!H$9*$F9,0))</f>
        <v>4.5728682311205882</v>
      </c>
      <c r="AK9" s="214">
        <f>IF(AND(($D9+$C$1)&gt;AK$3,AK$3&gt;=$C$1),'General Inputs'!I$9*$G9,IF(AND(($C9+$C$1)&gt;AK$3,AK$3&gt;=$C$1),'General Inputs'!I$9*$F9,0))</f>
        <v>4.6414612545873961</v>
      </c>
      <c r="AL9" s="214">
        <f>IF(AND(($D9+$C$1)&gt;AL$3,AL$3&gt;=$C$1),'General Inputs'!J$9*$G9,IF(AND(($C9+$C$1)&gt;AL$3,AL$3&gt;=$C$1),'General Inputs'!J$9*$F9,0))</f>
        <v>4.7110831734062071</v>
      </c>
      <c r="AM9" s="214">
        <f>IF(AND(($D9+$C$1)&gt;AM$3,AM$3&gt;=$C$1),'General Inputs'!K$9*$G9,IF(AND(($C9+$C$1)&gt;AM$3,AM$3&gt;=$C$1),'General Inputs'!K$9*$F9,0))</f>
        <v>4.7817494210072988</v>
      </c>
      <c r="AN9" s="214">
        <f>IF(AND(($D9+$C$1)&gt;AN$3,AN$3&gt;=$C$1),'General Inputs'!L$9*$G9,IF(AND(($C9+$C$1)&gt;AN$3,AN$3&gt;=$C$1),'General Inputs'!L$9*$F9,0))</f>
        <v>4.853475662322408</v>
      </c>
      <c r="AO9" s="214">
        <f>IF(AND(($D9+$C$1)&gt;AO$3,AO$3&gt;=$C$1),'General Inputs'!M$9*$G9,IF(AND(($C9+$C$1)&gt;AO$3,AO$3&gt;=$C$1),'General Inputs'!M$9*$F9,0))</f>
        <v>4.9262777972572431</v>
      </c>
      <c r="AP9" s="214">
        <f>IF(AND(($D9+$C$1)&gt;AP$3,AP$3&gt;=$C$1),'General Inputs'!N$9*$G9,IF(AND(($C9+$C$1)&gt;AP$3,AP$3&gt;=$C$1),'General Inputs'!N$9*$F9,0))</f>
        <v>5.0001719642161015</v>
      </c>
      <c r="AQ9" s="214">
        <f>IF(AND(($D9+$C$1)&gt;AQ$3,AQ$3&gt;=$C$1),'General Inputs'!O$9*$G9,IF(AND(($C9+$C$1)&gt;AQ$3,AQ$3&gt;=$C$1),'General Inputs'!O$9*$F9,0))</f>
        <v>5.075174543679343</v>
      </c>
      <c r="AR9" s="214">
        <f>IF(AND(($D9+$C$1)&gt;AR$3,AR$3&gt;=$C$1),'General Inputs'!P$9*$G9,IF(AND(($C9+$C$1)&gt;AR$3,AR$3&gt;=$C$1),'General Inputs'!P$9*$F9,0))</f>
        <v>5.1513021618345327</v>
      </c>
      <c r="AS9" s="214">
        <f>IF(AND(($D9+$C$1)&gt;AS$3,AS$3&gt;=$C$1),'General Inputs'!Q$9*$G9,IF(AND(($C9+$C$1)&gt;AS$3,AS$3&gt;=$C$1),'General Inputs'!Q$9*$F9,0))</f>
        <v>5.2285716942620502</v>
      </c>
      <c r="AT9" s="214">
        <f>IF(AND(($D9+$C$1)&gt;AT$3,AT$3&gt;=$C$1),'General Inputs'!R$9*$G9,IF(AND(($C9+$C$1)&gt;AT$3,AT$3&gt;=$C$1),'General Inputs'!R$9*$F9,0))</f>
        <v>5.3070002696759806</v>
      </c>
      <c r="AU9" s="214">
        <f>IF(AND(($D9+$C$1)&gt;AU$3,AU$3&gt;=$C$1),'General Inputs'!S$9*$G9,IF(AND(($C9+$C$1)&gt;AU$3,AU$3&gt;=$C$1),'General Inputs'!S$9*$F9,0))</f>
        <v>0</v>
      </c>
      <c r="AV9" s="214">
        <f>IF(AND(($D9+$C$1)&gt;AV$3,AV$3&gt;=$C$1),'General Inputs'!T$9*$G9,IF(AND(($C9+$C$1)&gt;AV$3,AV$3&gt;=$C$1),'General Inputs'!T$9*$F9,0))</f>
        <v>0</v>
      </c>
      <c r="AW9" s="214">
        <f>IF(AND(($D9+$C$1)&gt;AW$3,AW$3&gt;=$C$1),'General Inputs'!U$9*$G9,IF(AND(($C9+$C$1)&gt;AW$3,AW$3&gt;=$C$1),'General Inputs'!U$9*$F9,0))</f>
        <v>0</v>
      </c>
      <c r="AX9" s="214">
        <f>IF(AND(($D9+$C$1)&gt;AX$3,AX$3&gt;=$C$1),'General Inputs'!V$9*$G9,IF(AND(($C9+$C$1)&gt;AX$3,AX$3&gt;=$C$1),'General Inputs'!V$9*$F9,0))</f>
        <v>0</v>
      </c>
      <c r="AY9" s="214">
        <f>IF(AND(($D9+$C$1)&gt;AY$3,AY$3&gt;=$C$1),'General Inputs'!W$9*$G9,IF(AND(($C9+$C$1)&gt;AY$3,AY$3&gt;=$C$1),'General Inputs'!W$9*$F9,0))</f>
        <v>0</v>
      </c>
      <c r="BA9" s="214">
        <f>IF(AND(($D9+$C$1)&gt;AF$3,AF$3&gt;=$C$1),'General Inputs'!D$10*$I9,IF(AND(($C9+$C$1)&gt;AF$3,AF$3&gt;=$C$1),'General Inputs'!D$10*$H9,0))</f>
        <v>0</v>
      </c>
      <c r="BB9" s="214">
        <f>IF(AND(($D9+$C$1)&gt;AG$3,AG$3&gt;=$C$1),'General Inputs'!E$10*$I9,IF(AND(($C9+$C$1)&gt;AG$3,AG$3&gt;=$C$1),'General Inputs'!E$10*$H9,0))</f>
        <v>0.18776237587387054</v>
      </c>
      <c r="BC9" s="214">
        <f>IF(AND(($D9+$C$1)&gt;AH$3,AH$3&gt;=$C$1),'General Inputs'!F$10*$I9,IF(AND(($C9+$C$1)&gt;AH$3,AH$3&gt;=$C$1),'General Inputs'!F$10*$H9,0))</f>
        <v>0.19057881151197859</v>
      </c>
      <c r="BD9" s="214">
        <f>IF(AND(($D9+$C$1)&gt;AI$3,AI$3&gt;=$C$1),'General Inputs'!G$10*$I9,IF(AND(($C9+$C$1)&gt;AI$3,AI$3&gt;=$C$1),'General Inputs'!G$10*$H9,0))</f>
        <v>0.19343749368465826</v>
      </c>
      <c r="BE9" s="214">
        <f>IF(AND(($D9+$C$1)&gt;AJ$3,AJ$3&gt;=$C$1),'General Inputs'!H$10*$I9,IF(AND(($C9+$C$1)&gt;AJ$3,AJ$3&gt;=$C$1),'General Inputs'!H$10*$H9,0))</f>
        <v>0.1963390560899281</v>
      </c>
      <c r="BF9" s="214">
        <f>IF(AND(($D9+$C$1)&gt;AK$3,AK$3&gt;=$C$1),'General Inputs'!I$10*$I9,IF(AND(($C9+$C$1)&gt;AK$3,AK$3&gt;=$C$1),'General Inputs'!I$10*$H9,0))</f>
        <v>0.199284141931277</v>
      </c>
      <c r="BG9" s="214">
        <f>IF(AND(($D9+$C$1)&gt;AL$3,AL$3&gt;=$C$1),'General Inputs'!J$10*$I9,IF(AND(($C9+$C$1)&gt;AL$3,AL$3&gt;=$C$1),'General Inputs'!J$10*$H9,0))</f>
        <v>0.20227340406024613</v>
      </c>
      <c r="BH9" s="214">
        <f>IF(AND(($D9+$C$1)&gt;AM$3,AM$3&gt;=$C$1),'General Inputs'!K$10*$I9,IF(AND(($C9+$C$1)&gt;AM$3,AM$3&gt;=$C$1),'General Inputs'!K$10*$H9,0))</f>
        <v>0.20530750512114981</v>
      </c>
      <c r="BI9" s="214">
        <f>IF(AND(($D9+$C$1)&gt;AN$3,AN$3&gt;=$C$1),'General Inputs'!L$10*$I9,IF(AND(($C9+$C$1)&gt;AN$3,AN$3&gt;=$C$1),'General Inputs'!L$10*$H9,0))</f>
        <v>0.20838711769796703</v>
      </c>
      <c r="BJ9" s="214">
        <f>IF(AND(($D9+$C$1)&gt;AO$3,AO$3&gt;=$C$1),'General Inputs'!M$10*$I9,IF(AND(($C9+$C$1)&gt;AO$3,AO$3&gt;=$C$1),'General Inputs'!M$10*$H9,0))</f>
        <v>0.21151292446343653</v>
      </c>
      <c r="BK9" s="214">
        <f>IF(AND(($D9+$C$1)&gt;AP$3,AP$3&gt;=$C$1),'General Inputs'!N$10*$I9,IF(AND(($C9+$C$1)&gt;AP$3,AP$3&gt;=$C$1),'General Inputs'!N$10*$H9,0))</f>
        <v>0.21468561833038804</v>
      </c>
      <c r="BL9" s="214">
        <f>IF(AND(($D9+$C$1)&gt;AQ$3,AQ$3&gt;=$C$1),'General Inputs'!O$10*$I9,IF(AND(($C9+$C$1)&gt;AQ$3,AQ$3&gt;=$C$1),'General Inputs'!O$10*$H9,0))</f>
        <v>0.21790590260534384</v>
      </c>
      <c r="BM9" s="214">
        <f>IF(AND(($D9+$C$1)&gt;AR$3,AR$3&gt;=$C$1),'General Inputs'!P$10*$I9,IF(AND(($C9+$C$1)&gt;AR$3,AR$3&gt;=$C$1),'General Inputs'!P$10*$H9,0))</f>
        <v>0.221174491144424</v>
      </c>
      <c r="BN9" s="214">
        <f>IF(AND(($D9+$C$1)&gt;AS$3,AS$3&gt;=$C$1),'General Inputs'!Q$10*$I9,IF(AND(($C9+$C$1)&gt;AS$3,AS$3&gt;=$C$1),'General Inputs'!Q$10*$H9,0))</f>
        <v>0.22449210851159035</v>
      </c>
      <c r="BO9" s="214">
        <f>IF(AND(($D9+$C$1)&gt;AT$3,AT$3&gt;=$C$1),'General Inputs'!R$10*$I9,IF(AND(($C9+$C$1)&gt;AT$3,AT$3&gt;=$C$1),'General Inputs'!R$10*$H9,0))</f>
        <v>0.22785949013926415</v>
      </c>
      <c r="BP9" s="214">
        <f>IF(AND(($D9+$C$1)&gt;AU$3,AU$3&gt;=$C$1),'General Inputs'!S$10*$I9,IF(AND(($C9+$C$1)&gt;AU$3,AU$3&gt;=$C$1),'General Inputs'!S$10*$H9,0))</f>
        <v>0</v>
      </c>
      <c r="BQ9" s="214">
        <f>IF(AND(($D9+$C$1)&gt;AV$3,AV$3&gt;=$C$1),'General Inputs'!T$10*$I9,IF(AND(($C9+$C$1)&gt;AV$3,AV$3&gt;=$C$1),'General Inputs'!T$10*$H9,0))</f>
        <v>0</v>
      </c>
      <c r="BR9" s="214">
        <f>IF(AND(($D9+$C$1)&gt;AW$3,AW$3&gt;=$C$1),'General Inputs'!U$10*$I9,IF(AND(($C9+$C$1)&gt;AW$3,AW$3&gt;=$C$1),'General Inputs'!U$10*$H9,0))</f>
        <v>0</v>
      </c>
      <c r="BS9" s="214">
        <f>IF(AND(($D9+$C$1)&gt;AX$3,AX$3&gt;=$C$1),'General Inputs'!V$10*$I9,IF(AND(($C9+$C$1)&gt;AX$3,AX$3&gt;=$C$1),'General Inputs'!V$10*$H9,0))</f>
        <v>0</v>
      </c>
      <c r="BT9" s="214">
        <f>IF(AND(($D9+$C$1)&gt;AY$3,AY$3&gt;=$C$1),'General Inputs'!W$10*$I9,IF(AND(($C9+$C$1)&gt;AY$3,AY$3&gt;=$C$1),'General Inputs'!W$10*$H9,0))</f>
        <v>0</v>
      </c>
    </row>
    <row r="10" spans="1:73">
      <c r="A10" s="342" t="s">
        <v>12</v>
      </c>
      <c r="B10" s="427" t="str">
        <f>Sources!B10</f>
        <v>ENERGY STAR Freezer</v>
      </c>
      <c r="C10" s="193">
        <f>Sources!C10</f>
        <v>11</v>
      </c>
      <c r="D10" s="193">
        <f>Sources!D10</f>
        <v>0</v>
      </c>
      <c r="F10" s="429">
        <f>Sources!F10*EnergyLineLoss</f>
        <v>31.668818400000021</v>
      </c>
      <c r="G10" s="429">
        <f>Sources!G10*EnergyLineLoss</f>
        <v>0</v>
      </c>
      <c r="H10" s="477">
        <f>Sources!H10*PeakLineLoss</f>
        <v>3.6151619178082213E-3</v>
      </c>
      <c r="I10" s="477">
        <f>Sources!I10*PeakLineLoss</f>
        <v>0</v>
      </c>
      <c r="K10" s="419">
        <f>Sources!J10</f>
        <v>40</v>
      </c>
      <c r="L10" s="419">
        <f>Sources!K10</f>
        <v>0</v>
      </c>
      <c r="N10" s="438">
        <f t="shared" si="4"/>
        <v>0.26523217532798365</v>
      </c>
      <c r="P10" s="215">
        <f t="shared" si="0"/>
        <v>9.3463093992790292</v>
      </c>
      <c r="Q10" s="215">
        <f t="shared" si="1"/>
        <v>0.40128984099967957</v>
      </c>
      <c r="R10" s="215">
        <f t="shared" si="2"/>
        <v>36.751194413818446</v>
      </c>
      <c r="T10" s="214">
        <f t="shared" si="3"/>
        <v>0</v>
      </c>
      <c r="U10" s="214">
        <f t="shared" si="3"/>
        <v>40</v>
      </c>
      <c r="V10" s="214">
        <f t="shared" si="3"/>
        <v>0</v>
      </c>
      <c r="W10" s="214">
        <f t="shared" si="3"/>
        <v>0</v>
      </c>
      <c r="X10" s="214">
        <f t="shared" si="3"/>
        <v>0</v>
      </c>
      <c r="Y10" s="214">
        <f t="shared" si="3"/>
        <v>0</v>
      </c>
      <c r="Z10" s="214">
        <f t="shared" si="3"/>
        <v>0</v>
      </c>
      <c r="AA10" s="214">
        <f t="shared" si="3"/>
        <v>0</v>
      </c>
      <c r="AB10" s="214">
        <f t="shared" si="3"/>
        <v>0</v>
      </c>
      <c r="AC10" s="214">
        <f t="shared" si="3"/>
        <v>0</v>
      </c>
      <c r="AD10" s="214">
        <f t="shared" si="3"/>
        <v>0</v>
      </c>
      <c r="AF10" s="214">
        <f>IF(AND(($D10+$C$1)&gt;AF$3,AF$3&gt;=$C$1),'General Inputs'!D$9*$G10,IF(AND(($C10+$C$1)&gt;AF$3,AF$3&gt;=$C$1),'General Inputs'!D$9*$F10,0))</f>
        <v>0</v>
      </c>
      <c r="AG10" s="214">
        <f>IF(AND(($D10+$C$1)&gt;AG$3,AG$3&gt;=$C$1),'General Inputs'!E$9*$G10,IF(AND(($C10+$C$1)&gt;AG$3,AG$3&gt;=$C$1),'General Inputs'!E$9*$F10,0))</f>
        <v>1.2797196375281388</v>
      </c>
      <c r="AH10" s="214">
        <f>IF(AND(($D10+$C$1)&gt;AH$3,AH$3&gt;=$C$1),'General Inputs'!F$9*$G10,IF(AND(($C10+$C$1)&gt;AH$3,AH$3&gt;=$C$1),'General Inputs'!F$9*$F10,0))</f>
        <v>1.2989154320910608</v>
      </c>
      <c r="AI10" s="214">
        <f>IF(AND(($D10+$C$1)&gt;AI$3,AI$3&gt;=$C$1),'General Inputs'!G$9*$G10,IF(AND(($C10+$C$1)&gt;AI$3,AI$3&gt;=$C$1),'General Inputs'!G$9*$F10,0))</f>
        <v>1.3183991635724264</v>
      </c>
      <c r="AJ10" s="214">
        <f>IF(AND(($D10+$C$1)&gt;AJ$3,AJ$3&gt;=$C$1),'General Inputs'!H$9*$G10,IF(AND(($C10+$C$1)&gt;AJ$3,AJ$3&gt;=$C$1),'General Inputs'!H$9*$F10,0))</f>
        <v>1.3381751510260127</v>
      </c>
      <c r="AK10" s="214">
        <f>IF(AND(($D10+$C$1)&gt;AK$3,AK$3&gt;=$C$1),'General Inputs'!I$9*$G10,IF(AND(($C10+$C$1)&gt;AK$3,AK$3&gt;=$C$1),'General Inputs'!I$9*$F10,0))</f>
        <v>1.3582477782914026</v>
      </c>
      <c r="AL10" s="214">
        <f>IF(AND(($D10+$C$1)&gt;AL$3,AL$3&gt;=$C$1),'General Inputs'!J$9*$G10,IF(AND(($C10+$C$1)&gt;AL$3,AL$3&gt;=$C$1),'General Inputs'!J$9*$F10,0))</f>
        <v>1.3786214949657736</v>
      </c>
      <c r="AM10" s="214">
        <f>IF(AND(($D10+$C$1)&gt;AM$3,AM$3&gt;=$C$1),'General Inputs'!K$9*$G10,IF(AND(($C10+$C$1)&gt;AM$3,AM$3&gt;=$C$1),'General Inputs'!K$9*$F10,0))</f>
        <v>1.3993008173902599</v>
      </c>
      <c r="AN10" s="214">
        <f>IF(AND(($D10+$C$1)&gt;AN$3,AN$3&gt;=$C$1),'General Inputs'!L$9*$G10,IF(AND(($C10+$C$1)&gt;AN$3,AN$3&gt;=$C$1),'General Inputs'!L$9*$F10,0))</f>
        <v>1.4202903296511136</v>
      </c>
      <c r="AO10" s="214">
        <f>IF(AND(($D10+$C$1)&gt;AO$3,AO$3&gt;=$C$1),'General Inputs'!M$9*$G10,IF(AND(($C10+$C$1)&gt;AO$3,AO$3&gt;=$C$1),'General Inputs'!M$9*$F10,0))</f>
        <v>1.44159468459588</v>
      </c>
      <c r="AP10" s="214">
        <f>IF(AND(($D10+$C$1)&gt;AP$3,AP$3&gt;=$C$1),'General Inputs'!N$9*$G10,IF(AND(($C10+$C$1)&gt;AP$3,AP$3&gt;=$C$1),'General Inputs'!N$9*$F10,0))</f>
        <v>1.4632186048648184</v>
      </c>
      <c r="AQ10" s="214">
        <f>IF(AND(($D10+$C$1)&gt;AQ$3,AQ$3&gt;=$C$1),'General Inputs'!O$9*$G10,IF(AND(($C10+$C$1)&gt;AQ$3,AQ$3&gt;=$C$1),'General Inputs'!O$9*$F10,0))</f>
        <v>1.4851668839377903</v>
      </c>
      <c r="AR10" s="214">
        <f>IF(AND(($D10+$C$1)&gt;AR$3,AR$3&gt;=$C$1),'General Inputs'!P$9*$G10,IF(AND(($C10+$C$1)&gt;AR$3,AR$3&gt;=$C$1),'General Inputs'!P$9*$F10,0))</f>
        <v>0</v>
      </c>
      <c r="AS10" s="214">
        <f>IF(AND(($D10+$C$1)&gt;AS$3,AS$3&gt;=$C$1),'General Inputs'!Q$9*$G10,IF(AND(($C10+$C$1)&gt;AS$3,AS$3&gt;=$C$1),'General Inputs'!Q$9*$F10,0))</f>
        <v>0</v>
      </c>
      <c r="AT10" s="214">
        <f>IF(AND(($D10+$C$1)&gt;AT$3,AT$3&gt;=$C$1),'General Inputs'!R$9*$G10,IF(AND(($C10+$C$1)&gt;AT$3,AT$3&gt;=$C$1),'General Inputs'!R$9*$F10,0))</f>
        <v>0</v>
      </c>
      <c r="AU10" s="214">
        <f>IF(AND(($D10+$C$1)&gt;AU$3,AU$3&gt;=$C$1),'General Inputs'!S$9*$G10,IF(AND(($C10+$C$1)&gt;AU$3,AU$3&gt;=$C$1),'General Inputs'!S$9*$F10,0))</f>
        <v>0</v>
      </c>
      <c r="AV10" s="214">
        <f>IF(AND(($D10+$C$1)&gt;AV$3,AV$3&gt;=$C$1),'General Inputs'!T$9*$G10,IF(AND(($C10+$C$1)&gt;AV$3,AV$3&gt;=$C$1),'General Inputs'!T$9*$F10,0))</f>
        <v>0</v>
      </c>
      <c r="AW10" s="214">
        <f>IF(AND(($D10+$C$1)&gt;AW$3,AW$3&gt;=$C$1),'General Inputs'!U$9*$G10,IF(AND(($C10+$C$1)&gt;AW$3,AW$3&gt;=$C$1),'General Inputs'!U$9*$F10,0))</f>
        <v>0</v>
      </c>
      <c r="AX10" s="214">
        <f>IF(AND(($D10+$C$1)&gt;AX$3,AX$3&gt;=$C$1),'General Inputs'!V$9*$G10,IF(AND(($C10+$C$1)&gt;AX$3,AX$3&gt;=$C$1),'General Inputs'!V$9*$F10,0))</f>
        <v>0</v>
      </c>
      <c r="AY10" s="214">
        <f>IF(AND(($D10+$C$1)&gt;AY$3,AY$3&gt;=$C$1),'General Inputs'!W$9*$G10,IF(AND(($C10+$C$1)&gt;AY$3,AY$3&gt;=$C$1),'General Inputs'!W$9*$F10,0))</f>
        <v>0</v>
      </c>
      <c r="BA10" s="214">
        <f>IF(AND(($D10+$C$1)&gt;AF$3,AF$3&gt;=$C$1),'General Inputs'!D$10*$I10,IF(AND(($C10+$C$1)&gt;AF$3,AF$3&gt;=$C$1),'General Inputs'!D$10*$H10,0))</f>
        <v>0</v>
      </c>
      <c r="BB10" s="214">
        <f>IF(AND(($D10+$C$1)&gt;AG$3,AG$3&gt;=$C$1),'General Inputs'!E$10*$I10,IF(AND(($C10+$C$1)&gt;AG$3,AG$3&gt;=$C$1),'General Inputs'!E$10*$H10,0))</f>
        <v>5.4945590599370556E-2</v>
      </c>
      <c r="BC10" s="214">
        <f>IF(AND(($D10+$C$1)&gt;AH$3,AH$3&gt;=$C$1),'General Inputs'!F$10*$I10,IF(AND(($C10+$C$1)&gt;AH$3,AH$3&gt;=$C$1),'General Inputs'!F$10*$H10,0))</f>
        <v>5.5769774458361114E-2</v>
      </c>
      <c r="BD10" s="214">
        <f>IF(AND(($D10+$C$1)&gt;AI$3,AI$3&gt;=$C$1),'General Inputs'!G$10*$I10,IF(AND(($C10+$C$1)&gt;AI$3,AI$3&gt;=$C$1),'General Inputs'!G$10*$H10,0))</f>
        <v>5.6606321075236526E-2</v>
      </c>
      <c r="BE10" s="214">
        <f>IF(AND(($D10+$C$1)&gt;AJ$3,AJ$3&gt;=$C$1),'General Inputs'!H$10*$I10,IF(AND(($C10+$C$1)&gt;AJ$3,AJ$3&gt;=$C$1),'General Inputs'!H$10*$H10,0))</f>
        <v>5.7455415891365068E-2</v>
      </c>
      <c r="BF10" s="214">
        <f>IF(AND(($D10+$C$1)&gt;AK$3,AK$3&gt;=$C$1),'General Inputs'!I$10*$I10,IF(AND(($C10+$C$1)&gt;AK$3,AK$3&gt;=$C$1),'General Inputs'!I$10*$H10,0))</f>
        <v>5.831724712973553E-2</v>
      </c>
      <c r="BG10" s="214">
        <f>IF(AND(($D10+$C$1)&gt;AL$3,AL$3&gt;=$C$1),'General Inputs'!J$10*$I10,IF(AND(($C10+$C$1)&gt;AL$3,AL$3&gt;=$C$1),'General Inputs'!J$10*$H10,0))</f>
        <v>5.9192005836681556E-2</v>
      </c>
      <c r="BH10" s="214">
        <f>IF(AND(($D10+$C$1)&gt;AM$3,AM$3&gt;=$C$1),'General Inputs'!K$10*$I10,IF(AND(($C10+$C$1)&gt;AM$3,AM$3&gt;=$C$1),'General Inputs'!K$10*$H10,0))</f>
        <v>6.0079885924231774E-2</v>
      </c>
      <c r="BI10" s="214">
        <f>IF(AND(($D10+$C$1)&gt;AN$3,AN$3&gt;=$C$1),'General Inputs'!L$10*$I10,IF(AND(($C10+$C$1)&gt;AN$3,AN$3&gt;=$C$1),'General Inputs'!L$10*$H10,0))</f>
        <v>6.0981084213095248E-2</v>
      </c>
      <c r="BJ10" s="214">
        <f>IF(AND(($D10+$C$1)&gt;AO$3,AO$3&gt;=$C$1),'General Inputs'!M$10*$I10,IF(AND(($C10+$C$1)&gt;AO$3,AO$3&gt;=$C$1),'General Inputs'!M$10*$H10,0))</f>
        <v>6.1895800476291674E-2</v>
      </c>
      <c r="BK10" s="214">
        <f>IF(AND(($D10+$C$1)&gt;AP$3,AP$3&gt;=$C$1),'General Inputs'!N$10*$I10,IF(AND(($C10+$C$1)&gt;AP$3,AP$3&gt;=$C$1),'General Inputs'!N$10*$H10,0))</f>
        <v>6.2824237483436046E-2</v>
      </c>
      <c r="BL10" s="214">
        <f>IF(AND(($D10+$C$1)&gt;AQ$3,AQ$3&gt;=$C$1),'General Inputs'!O$10*$I10,IF(AND(($C10+$C$1)&gt;AQ$3,AQ$3&gt;=$C$1),'General Inputs'!O$10*$H10,0))</f>
        <v>6.3766601045687571E-2</v>
      </c>
      <c r="BM10" s="214">
        <f>IF(AND(($D10+$C$1)&gt;AR$3,AR$3&gt;=$C$1),'General Inputs'!P$10*$I10,IF(AND(($C10+$C$1)&gt;AR$3,AR$3&gt;=$C$1),'General Inputs'!P$10*$H10,0))</f>
        <v>0</v>
      </c>
      <c r="BN10" s="214">
        <f>IF(AND(($D10+$C$1)&gt;AS$3,AS$3&gt;=$C$1),'General Inputs'!Q$10*$I10,IF(AND(($C10+$C$1)&gt;AS$3,AS$3&gt;=$C$1),'General Inputs'!Q$10*$H10,0))</f>
        <v>0</v>
      </c>
      <c r="BO10" s="214">
        <f>IF(AND(($D10+$C$1)&gt;AT$3,AT$3&gt;=$C$1),'General Inputs'!R$10*$I10,IF(AND(($C10+$C$1)&gt;AT$3,AT$3&gt;=$C$1),'General Inputs'!R$10*$H10,0))</f>
        <v>0</v>
      </c>
      <c r="BP10" s="214">
        <f>IF(AND(($D10+$C$1)&gt;AU$3,AU$3&gt;=$C$1),'General Inputs'!S$10*$I10,IF(AND(($C10+$C$1)&gt;AU$3,AU$3&gt;=$C$1),'General Inputs'!S$10*$H10,0))</f>
        <v>0</v>
      </c>
      <c r="BQ10" s="214">
        <f>IF(AND(($D10+$C$1)&gt;AV$3,AV$3&gt;=$C$1),'General Inputs'!T$10*$I10,IF(AND(($C10+$C$1)&gt;AV$3,AV$3&gt;=$C$1),'General Inputs'!T$10*$H10,0))</f>
        <v>0</v>
      </c>
      <c r="BR10" s="214">
        <f>IF(AND(($D10+$C$1)&gt;AW$3,AW$3&gt;=$C$1),'General Inputs'!U$10*$I10,IF(AND(($C10+$C$1)&gt;AW$3,AW$3&gt;=$C$1),'General Inputs'!U$10*$H10,0))</f>
        <v>0</v>
      </c>
      <c r="BS10" s="214">
        <f>IF(AND(($D10+$C$1)&gt;AX$3,AX$3&gt;=$C$1),'General Inputs'!V$10*$I10,IF(AND(($C10+$C$1)&gt;AX$3,AX$3&gt;=$C$1),'General Inputs'!V$10*$H10,0))</f>
        <v>0</v>
      </c>
      <c r="BT10" s="214">
        <f>IF(AND(($D10+$C$1)&gt;AY$3,AY$3&gt;=$C$1),'General Inputs'!W$10*$I10,IF(AND(($C10+$C$1)&gt;AY$3,AY$3&gt;=$C$1),'General Inputs'!W$10*$H10,0))</f>
        <v>0</v>
      </c>
    </row>
    <row r="11" spans="1:73">
      <c r="A11" s="342" t="s">
        <v>12</v>
      </c>
      <c r="B11" s="427" t="str">
        <f>Sources!B11</f>
        <v>ES Dishwasher (Electric DHW)</v>
      </c>
      <c r="C11" s="193">
        <f>Sources!C11</f>
        <v>10</v>
      </c>
      <c r="D11" s="193">
        <f>Sources!D11</f>
        <v>0</v>
      </c>
      <c r="F11" s="429">
        <f>Sources!F11*EnergyLineLoss</f>
        <v>12.564</v>
      </c>
      <c r="G11" s="429">
        <f>Sources!G11*EnergyLineLoss</f>
        <v>0</v>
      </c>
      <c r="H11" s="477">
        <f>Sources!H11*PeakLineLoss</f>
        <v>6.040384615384615E-3</v>
      </c>
      <c r="I11" s="477">
        <f>Sources!I11*PeakLineLoss</f>
        <v>0</v>
      </c>
      <c r="K11" s="419">
        <f>Sources!J11</f>
        <v>50</v>
      </c>
      <c r="L11" s="419">
        <f>Sources!K11</f>
        <v>0</v>
      </c>
      <c r="N11" s="438">
        <f t="shared" si="4"/>
        <v>8.9345531736769776E-2</v>
      </c>
      <c r="P11" s="215">
        <f t="shared" si="0"/>
        <v>3.4759115968741314</v>
      </c>
      <c r="Q11" s="215">
        <f t="shared" si="1"/>
        <v>0.62853216170588411</v>
      </c>
      <c r="R11" s="215">
        <f t="shared" si="2"/>
        <v>45.938993017273063</v>
      </c>
      <c r="T11" s="214">
        <f t="shared" si="3"/>
        <v>0</v>
      </c>
      <c r="U11" s="214">
        <f t="shared" si="3"/>
        <v>50</v>
      </c>
      <c r="V11" s="214">
        <f t="shared" si="3"/>
        <v>0</v>
      </c>
      <c r="W11" s="214">
        <f t="shared" si="3"/>
        <v>0</v>
      </c>
      <c r="X11" s="214">
        <f t="shared" si="3"/>
        <v>0</v>
      </c>
      <c r="Y11" s="214">
        <f t="shared" si="3"/>
        <v>0</v>
      </c>
      <c r="Z11" s="214">
        <f t="shared" si="3"/>
        <v>0</v>
      </c>
      <c r="AA11" s="214">
        <f t="shared" si="3"/>
        <v>0</v>
      </c>
      <c r="AB11" s="214">
        <f t="shared" si="3"/>
        <v>0</v>
      </c>
      <c r="AC11" s="214">
        <f t="shared" si="3"/>
        <v>0</v>
      </c>
      <c r="AD11" s="214">
        <f t="shared" si="3"/>
        <v>0</v>
      </c>
      <c r="AF11" s="214">
        <f>IF(AND(($D11+$C$1)&gt;AF$3,AF$3&gt;=$C$1),'General Inputs'!D$9*$G11,IF(AND(($C11+$C$1)&gt;AF$3,AF$3&gt;=$C$1),'General Inputs'!D$9*$F11,0))</f>
        <v>0</v>
      </c>
      <c r="AG11" s="214">
        <f>IF(AND(($D11+$C$1)&gt;AG$3,AG$3&gt;=$C$1),'General Inputs'!E$9*$G11,IF(AND(($C11+$C$1)&gt;AG$3,AG$3&gt;=$C$1),'General Inputs'!E$9*$F11,0))</f>
        <v>0.50770437099426247</v>
      </c>
      <c r="AH11" s="214">
        <f>IF(AND(($D11+$C$1)&gt;AH$3,AH$3&gt;=$C$1),'General Inputs'!F$9*$G11,IF(AND(($C11+$C$1)&gt;AH$3,AH$3&gt;=$C$1),'General Inputs'!F$9*$F11,0))</f>
        <v>0.51531993655917629</v>
      </c>
      <c r="AI11" s="214">
        <f>IF(AND(($D11+$C$1)&gt;AI$3,AI$3&gt;=$C$1),'General Inputs'!G$9*$G11,IF(AND(($C11+$C$1)&gt;AI$3,AI$3&gt;=$C$1),'General Inputs'!G$9*$F11,0))</f>
        <v>0.52304973560756396</v>
      </c>
      <c r="AJ11" s="214">
        <f>IF(AND(($D11+$C$1)&gt;AJ$3,AJ$3&gt;=$C$1),'General Inputs'!H$9*$G11,IF(AND(($C11+$C$1)&gt;AJ$3,AJ$3&gt;=$C$1),'General Inputs'!H$9*$F11,0))</f>
        <v>0.53089548164167732</v>
      </c>
      <c r="AK11" s="214">
        <f>IF(AND(($D11+$C$1)&gt;AK$3,AK$3&gt;=$C$1),'General Inputs'!I$9*$G11,IF(AND(($C11+$C$1)&gt;AK$3,AK$3&gt;=$C$1),'General Inputs'!I$9*$F11,0))</f>
        <v>0.53885891386630236</v>
      </c>
      <c r="AL11" s="214">
        <f>IF(AND(($D11+$C$1)&gt;AL$3,AL$3&gt;=$C$1),'General Inputs'!J$9*$G11,IF(AND(($C11+$C$1)&gt;AL$3,AL$3&gt;=$C$1),'General Inputs'!J$9*$F11,0))</f>
        <v>0.54694179757429684</v>
      </c>
      <c r="AM11" s="214">
        <f>IF(AND(($D11+$C$1)&gt;AM$3,AM$3&gt;=$C$1),'General Inputs'!K$9*$G11,IF(AND(($C11+$C$1)&gt;AM$3,AM$3&gt;=$C$1),'General Inputs'!K$9*$F11,0))</f>
        <v>0.55514592453791123</v>
      </c>
      <c r="AN11" s="214">
        <f>IF(AND(($D11+$C$1)&gt;AN$3,AN$3&gt;=$C$1),'General Inputs'!L$9*$G11,IF(AND(($C11+$C$1)&gt;AN$3,AN$3&gt;=$C$1),'General Inputs'!L$9*$F11,0))</f>
        <v>0.56347311340597983</v>
      </c>
      <c r="AO11" s="214">
        <f>IF(AND(($D11+$C$1)&gt;AO$3,AO$3&gt;=$C$1),'General Inputs'!M$9*$G11,IF(AND(($C11+$C$1)&gt;AO$3,AO$3&gt;=$C$1),'General Inputs'!M$9*$F11,0))</f>
        <v>0.57192521010706943</v>
      </c>
      <c r="AP11" s="214">
        <f>IF(AND(($D11+$C$1)&gt;AP$3,AP$3&gt;=$C$1),'General Inputs'!N$9*$G11,IF(AND(($C11+$C$1)&gt;AP$3,AP$3&gt;=$C$1),'General Inputs'!N$9*$F11,0))</f>
        <v>0.5805040882586755</v>
      </c>
      <c r="AQ11" s="214">
        <f>IF(AND(($D11+$C$1)&gt;AQ$3,AQ$3&gt;=$C$1),'General Inputs'!O$9*$G11,IF(AND(($C11+$C$1)&gt;AQ$3,AQ$3&gt;=$C$1),'General Inputs'!O$9*$F11,0))</f>
        <v>0</v>
      </c>
      <c r="AR11" s="214">
        <f>IF(AND(($D11+$C$1)&gt;AR$3,AR$3&gt;=$C$1),'General Inputs'!P$9*$G11,IF(AND(($C11+$C$1)&gt;AR$3,AR$3&gt;=$C$1),'General Inputs'!P$9*$F11,0))</f>
        <v>0</v>
      </c>
      <c r="AS11" s="214">
        <f>IF(AND(($D11+$C$1)&gt;AS$3,AS$3&gt;=$C$1),'General Inputs'!Q$9*$G11,IF(AND(($C11+$C$1)&gt;AS$3,AS$3&gt;=$C$1),'General Inputs'!Q$9*$F11,0))</f>
        <v>0</v>
      </c>
      <c r="AT11" s="214">
        <f>IF(AND(($D11+$C$1)&gt;AT$3,AT$3&gt;=$C$1),'General Inputs'!R$9*$G11,IF(AND(($C11+$C$1)&gt;AT$3,AT$3&gt;=$C$1),'General Inputs'!R$9*$F11,0))</f>
        <v>0</v>
      </c>
      <c r="AU11" s="214">
        <f>IF(AND(($D11+$C$1)&gt;AU$3,AU$3&gt;=$C$1),'General Inputs'!S$9*$G11,IF(AND(($C11+$C$1)&gt;AU$3,AU$3&gt;=$C$1),'General Inputs'!S$9*$F11,0))</f>
        <v>0</v>
      </c>
      <c r="AV11" s="214">
        <f>IF(AND(($D11+$C$1)&gt;AV$3,AV$3&gt;=$C$1),'General Inputs'!T$9*$G11,IF(AND(($C11+$C$1)&gt;AV$3,AV$3&gt;=$C$1),'General Inputs'!T$9*$F11,0))</f>
        <v>0</v>
      </c>
      <c r="AW11" s="214">
        <f>IF(AND(($D11+$C$1)&gt;AW$3,AW$3&gt;=$C$1),'General Inputs'!U$9*$G11,IF(AND(($C11+$C$1)&gt;AW$3,AW$3&gt;=$C$1),'General Inputs'!U$9*$F11,0))</f>
        <v>0</v>
      </c>
      <c r="AX11" s="214">
        <f>IF(AND(($D11+$C$1)&gt;AX$3,AX$3&gt;=$C$1),'General Inputs'!V$9*$G11,IF(AND(($C11+$C$1)&gt;AX$3,AX$3&gt;=$C$1),'General Inputs'!V$9*$F11,0))</f>
        <v>0</v>
      </c>
      <c r="AY11" s="214">
        <f>IF(AND(($D11+$C$1)&gt;AY$3,AY$3&gt;=$C$1),'General Inputs'!W$9*$G11,IF(AND(($C11+$C$1)&gt;AY$3,AY$3&gt;=$C$1),'General Inputs'!W$9*$F11,0))</f>
        <v>0</v>
      </c>
      <c r="BA11" s="214">
        <f>IF(AND(($D11+$C$1)&gt;AF$3,AF$3&gt;=$C$1),'General Inputs'!D$10*$I11,IF(AND(($C11+$C$1)&gt;AF$3,AF$3&gt;=$C$1),'General Inputs'!D$10*$H11,0))</f>
        <v>0</v>
      </c>
      <c r="BB11" s="214">
        <f>IF(AND(($D11+$C$1)&gt;AG$3,AG$3&gt;=$C$1),'General Inputs'!E$10*$I11,IF(AND(($C11+$C$1)&gt;AG$3,AG$3&gt;=$C$1),'General Inputs'!E$10*$H11,0))</f>
        <v>9.1805708204869899E-2</v>
      </c>
      <c r="BC11" s="214">
        <f>IF(AND(($D11+$C$1)&gt;AH$3,AH$3&gt;=$C$1),'General Inputs'!F$10*$I11,IF(AND(($C11+$C$1)&gt;AH$3,AH$3&gt;=$C$1),'General Inputs'!F$10*$H11,0))</f>
        <v>9.318279382794295E-2</v>
      </c>
      <c r="BD11" s="214">
        <f>IF(AND(($D11+$C$1)&gt;AI$3,AI$3&gt;=$C$1),'General Inputs'!G$10*$I11,IF(AND(($C11+$C$1)&gt;AI$3,AI$3&gt;=$C$1),'General Inputs'!G$10*$H11,0))</f>
        <v>9.4580535735362084E-2</v>
      </c>
      <c r="BE11" s="214">
        <f>IF(AND(($D11+$C$1)&gt;AJ$3,AJ$3&gt;=$C$1),'General Inputs'!H$10*$I11,IF(AND(($C11+$C$1)&gt;AJ$3,AJ$3&gt;=$C$1),'General Inputs'!H$10*$H11,0))</f>
        <v>9.5999243771392503E-2</v>
      </c>
      <c r="BF11" s="214">
        <f>IF(AND(($D11+$C$1)&gt;AK$3,AK$3&gt;=$C$1),'General Inputs'!I$10*$I11,IF(AND(($C11+$C$1)&gt;AK$3,AK$3&gt;=$C$1),'General Inputs'!I$10*$H11,0))</f>
        <v>9.7439232427963374E-2</v>
      </c>
      <c r="BG11" s="214">
        <f>IF(AND(($D11+$C$1)&gt;AL$3,AL$3&gt;=$C$1),'General Inputs'!J$10*$I11,IF(AND(($C11+$C$1)&gt;AL$3,AL$3&gt;=$C$1),'General Inputs'!J$10*$H11,0))</f>
        <v>9.8900820914382806E-2</v>
      </c>
      <c r="BH11" s="214">
        <f>IF(AND(($D11+$C$1)&gt;AM$3,AM$3&gt;=$C$1),'General Inputs'!K$10*$I11,IF(AND(($C11+$C$1)&gt;AM$3,AM$3&gt;=$C$1),'General Inputs'!K$10*$H11,0))</f>
        <v>0.10038433322809855</v>
      </c>
      <c r="BI11" s="214">
        <f>IF(AND(($D11+$C$1)&gt;AN$3,AN$3&gt;=$C$1),'General Inputs'!L$10*$I11,IF(AND(($C11+$C$1)&gt;AN$3,AN$3&gt;=$C$1),'General Inputs'!L$10*$H11,0))</f>
        <v>0.10189009822652002</v>
      </c>
      <c r="BJ11" s="214">
        <f>IF(AND(($D11+$C$1)&gt;AO$3,AO$3&gt;=$C$1),'General Inputs'!M$10*$I11,IF(AND(($C11+$C$1)&gt;AO$3,AO$3&gt;=$C$1),'General Inputs'!M$10*$H11,0))</f>
        <v>0.10341844969991781</v>
      </c>
      <c r="BK11" s="214">
        <f>IF(AND(($D11+$C$1)&gt;AP$3,AP$3&gt;=$C$1),'General Inputs'!N$10*$I11,IF(AND(($C11+$C$1)&gt;AP$3,AP$3&gt;=$C$1),'General Inputs'!N$10*$H11,0))</f>
        <v>0.10496972644541656</v>
      </c>
      <c r="BL11" s="214">
        <f>IF(AND(($D11+$C$1)&gt;AQ$3,AQ$3&gt;=$C$1),'General Inputs'!O$10*$I11,IF(AND(($C11+$C$1)&gt;AQ$3,AQ$3&gt;=$C$1),'General Inputs'!O$10*$H11,0))</f>
        <v>0</v>
      </c>
      <c r="BM11" s="214">
        <f>IF(AND(($D11+$C$1)&gt;AR$3,AR$3&gt;=$C$1),'General Inputs'!P$10*$I11,IF(AND(($C11+$C$1)&gt;AR$3,AR$3&gt;=$C$1),'General Inputs'!P$10*$H11,0))</f>
        <v>0</v>
      </c>
      <c r="BN11" s="214">
        <f>IF(AND(($D11+$C$1)&gt;AS$3,AS$3&gt;=$C$1),'General Inputs'!Q$10*$I11,IF(AND(($C11+$C$1)&gt;AS$3,AS$3&gt;=$C$1),'General Inputs'!Q$10*$H11,0))</f>
        <v>0</v>
      </c>
      <c r="BO11" s="214">
        <f>IF(AND(($D11+$C$1)&gt;AT$3,AT$3&gt;=$C$1),'General Inputs'!R$10*$I11,IF(AND(($C11+$C$1)&gt;AT$3,AT$3&gt;=$C$1),'General Inputs'!R$10*$H11,0))</f>
        <v>0</v>
      </c>
      <c r="BP11" s="214">
        <f>IF(AND(($D11+$C$1)&gt;AU$3,AU$3&gt;=$C$1),'General Inputs'!S$10*$I11,IF(AND(($C11+$C$1)&gt;AU$3,AU$3&gt;=$C$1),'General Inputs'!S$10*$H11,0))</f>
        <v>0</v>
      </c>
      <c r="BQ11" s="214">
        <f>IF(AND(($D11+$C$1)&gt;AV$3,AV$3&gt;=$C$1),'General Inputs'!T$10*$I11,IF(AND(($C11+$C$1)&gt;AV$3,AV$3&gt;=$C$1),'General Inputs'!T$10*$H11,0))</f>
        <v>0</v>
      </c>
      <c r="BR11" s="214">
        <f>IF(AND(($D11+$C$1)&gt;AW$3,AW$3&gt;=$C$1),'General Inputs'!U$10*$I11,IF(AND(($C11+$C$1)&gt;AW$3,AW$3&gt;=$C$1),'General Inputs'!U$10*$H11,0))</f>
        <v>0</v>
      </c>
      <c r="BS11" s="214">
        <f>IF(AND(($D11+$C$1)&gt;AX$3,AX$3&gt;=$C$1),'General Inputs'!V$10*$I11,IF(AND(($C11+$C$1)&gt;AX$3,AX$3&gt;=$C$1),'General Inputs'!V$10*$H11,0))</f>
        <v>0</v>
      </c>
      <c r="BT11" s="214">
        <f>IF(AND(($D11+$C$1)&gt;AY$3,AY$3&gt;=$C$1),'General Inputs'!W$10*$I11,IF(AND(($C11+$C$1)&gt;AY$3,AY$3&gt;=$C$1),'General Inputs'!W$10*$H11,0))</f>
        <v>0</v>
      </c>
    </row>
    <row r="12" spans="1:73">
      <c r="A12" s="341" t="s">
        <v>12</v>
      </c>
      <c r="B12" s="427" t="str">
        <f>Sources!B12</f>
        <v>ES Dishwasher (Gas DHW)</v>
      </c>
      <c r="C12" s="193">
        <f>Sources!C12</f>
        <v>10</v>
      </c>
      <c r="D12" s="193">
        <f>Sources!D12</f>
        <v>0</v>
      </c>
      <c r="F12" s="429">
        <f>Sources!F12*EnergyLineLoss</f>
        <v>5.5281600000000006</v>
      </c>
      <c r="G12" s="429">
        <f>Sources!G12*EnergyLineLoss</f>
        <v>0</v>
      </c>
      <c r="H12" s="477">
        <f>Sources!H12*PeakLineLoss</f>
        <v>2.6577692307692313E-3</v>
      </c>
      <c r="I12" s="477">
        <f>Sources!I12*PeakLineLoss</f>
        <v>0</v>
      </c>
      <c r="K12" s="419">
        <f>Sources!J12</f>
        <v>50</v>
      </c>
      <c r="L12" s="419">
        <f>Sources!K12</f>
        <v>0</v>
      </c>
      <c r="N12" s="438">
        <f t="shared" si="4"/>
        <v>3.9312033964178698E-2</v>
      </c>
      <c r="P12" s="215">
        <f t="shared" si="0"/>
        <v>1.5294011026246177</v>
      </c>
      <c r="Q12" s="215">
        <f t="shared" si="1"/>
        <v>0.27655415115058912</v>
      </c>
      <c r="R12" s="215">
        <f t="shared" si="2"/>
        <v>45.938993017273063</v>
      </c>
      <c r="T12" s="214">
        <f t="shared" si="3"/>
        <v>0</v>
      </c>
      <c r="U12" s="214">
        <f t="shared" si="3"/>
        <v>50</v>
      </c>
      <c r="V12" s="214">
        <f t="shared" si="3"/>
        <v>0</v>
      </c>
      <c r="W12" s="214">
        <f t="shared" si="3"/>
        <v>0</v>
      </c>
      <c r="X12" s="214">
        <f t="shared" si="3"/>
        <v>0</v>
      </c>
      <c r="Y12" s="214">
        <f t="shared" si="3"/>
        <v>0</v>
      </c>
      <c r="Z12" s="214">
        <f t="shared" si="3"/>
        <v>0</v>
      </c>
      <c r="AA12" s="214">
        <f t="shared" si="3"/>
        <v>0</v>
      </c>
      <c r="AB12" s="214">
        <f t="shared" si="3"/>
        <v>0</v>
      </c>
      <c r="AC12" s="214">
        <f t="shared" si="3"/>
        <v>0</v>
      </c>
      <c r="AD12" s="214">
        <f t="shared" si="3"/>
        <v>0</v>
      </c>
      <c r="AF12" s="214">
        <f>IF(AND(($D12+$C$1)&gt;AF$3,AF$3&gt;=$C$1),'General Inputs'!D$9*$G12,IF(AND(($C12+$C$1)&gt;AF$3,AF$3&gt;=$C$1),'General Inputs'!D$9*$F12,0))</f>
        <v>0</v>
      </c>
      <c r="AG12" s="214">
        <f>IF(AND(($D12+$C$1)&gt;AG$3,AG$3&gt;=$C$1),'General Inputs'!E$9*$G12,IF(AND(($C12+$C$1)&gt;AG$3,AG$3&gt;=$C$1),'General Inputs'!E$9*$F12,0))</f>
        <v>0.2233899232374755</v>
      </c>
      <c r="AH12" s="214">
        <f>IF(AND(($D12+$C$1)&gt;AH$3,AH$3&gt;=$C$1),'General Inputs'!F$9*$G12,IF(AND(($C12+$C$1)&gt;AH$3,AH$3&gt;=$C$1),'General Inputs'!F$9*$F12,0))</f>
        <v>0.2267407720860376</v>
      </c>
      <c r="AI12" s="214">
        <f>IF(AND(($D12+$C$1)&gt;AI$3,AI$3&gt;=$C$1),'General Inputs'!G$9*$G12,IF(AND(($C12+$C$1)&gt;AI$3,AI$3&gt;=$C$1),'General Inputs'!G$9*$F12,0))</f>
        <v>0.23014188366732816</v>
      </c>
      <c r="AJ12" s="214">
        <f>IF(AND(($D12+$C$1)&gt;AJ$3,AJ$3&gt;=$C$1),'General Inputs'!H$9*$G12,IF(AND(($C12+$C$1)&gt;AJ$3,AJ$3&gt;=$C$1),'General Inputs'!H$9*$F12,0))</f>
        <v>0.23359401192233803</v>
      </c>
      <c r="AK12" s="214">
        <f>IF(AND(($D12+$C$1)&gt;AK$3,AK$3&gt;=$C$1),'General Inputs'!I$9*$G12,IF(AND(($C12+$C$1)&gt;AK$3,AK$3&gt;=$C$1),'General Inputs'!I$9*$F12,0))</f>
        <v>0.23709792210117309</v>
      </c>
      <c r="AL12" s="214">
        <f>IF(AND(($D12+$C$1)&gt;AL$3,AL$3&gt;=$C$1),'General Inputs'!J$9*$G12,IF(AND(($C12+$C$1)&gt;AL$3,AL$3&gt;=$C$1),'General Inputs'!J$9*$F12,0))</f>
        <v>0.24065439093269064</v>
      </c>
      <c r="AM12" s="214">
        <f>IF(AND(($D12+$C$1)&gt;AM$3,AM$3&gt;=$C$1),'General Inputs'!K$9*$G12,IF(AND(($C12+$C$1)&gt;AM$3,AM$3&gt;=$C$1),'General Inputs'!K$9*$F12,0))</f>
        <v>0.24426420679668095</v>
      </c>
      <c r="AN12" s="214">
        <f>IF(AND(($D12+$C$1)&gt;AN$3,AN$3&gt;=$C$1),'General Inputs'!L$9*$G12,IF(AND(($C12+$C$1)&gt;AN$3,AN$3&gt;=$C$1),'General Inputs'!L$9*$F12,0))</f>
        <v>0.24792816989863115</v>
      </c>
      <c r="AO12" s="214">
        <f>IF(AND(($D12+$C$1)&gt;AO$3,AO$3&gt;=$C$1),'General Inputs'!M$9*$G12,IF(AND(($C12+$C$1)&gt;AO$3,AO$3&gt;=$C$1),'General Inputs'!M$9*$F12,0))</f>
        <v>0.25164709244711059</v>
      </c>
      <c r="AP12" s="214">
        <f>IF(AND(($D12+$C$1)&gt;AP$3,AP$3&gt;=$C$1),'General Inputs'!N$9*$G12,IF(AND(($C12+$C$1)&gt;AP$3,AP$3&gt;=$C$1),'General Inputs'!N$9*$F12,0))</f>
        <v>0.25542179883381722</v>
      </c>
      <c r="AQ12" s="214">
        <f>IF(AND(($D12+$C$1)&gt;AQ$3,AQ$3&gt;=$C$1),'General Inputs'!O$9*$G12,IF(AND(($C12+$C$1)&gt;AQ$3,AQ$3&gt;=$C$1),'General Inputs'!O$9*$F12,0))</f>
        <v>0</v>
      </c>
      <c r="AR12" s="214">
        <f>IF(AND(($D12+$C$1)&gt;AR$3,AR$3&gt;=$C$1),'General Inputs'!P$9*$G12,IF(AND(($C12+$C$1)&gt;AR$3,AR$3&gt;=$C$1),'General Inputs'!P$9*$F12,0))</f>
        <v>0</v>
      </c>
      <c r="AS12" s="214">
        <f>IF(AND(($D12+$C$1)&gt;AS$3,AS$3&gt;=$C$1),'General Inputs'!Q$9*$G12,IF(AND(($C12+$C$1)&gt;AS$3,AS$3&gt;=$C$1),'General Inputs'!Q$9*$F12,0))</f>
        <v>0</v>
      </c>
      <c r="AT12" s="214">
        <f>IF(AND(($D12+$C$1)&gt;AT$3,AT$3&gt;=$C$1),'General Inputs'!R$9*$G12,IF(AND(($C12+$C$1)&gt;AT$3,AT$3&gt;=$C$1),'General Inputs'!R$9*$F12,0))</f>
        <v>0</v>
      </c>
      <c r="AU12" s="214">
        <f>IF(AND(($D12+$C$1)&gt;AU$3,AU$3&gt;=$C$1),'General Inputs'!S$9*$G12,IF(AND(($C12+$C$1)&gt;AU$3,AU$3&gt;=$C$1),'General Inputs'!S$9*$F12,0))</f>
        <v>0</v>
      </c>
      <c r="AV12" s="214">
        <f>IF(AND(($D12+$C$1)&gt;AV$3,AV$3&gt;=$C$1),'General Inputs'!T$9*$G12,IF(AND(($C12+$C$1)&gt;AV$3,AV$3&gt;=$C$1),'General Inputs'!T$9*$F12,0))</f>
        <v>0</v>
      </c>
      <c r="AW12" s="214">
        <f>IF(AND(($D12+$C$1)&gt;AW$3,AW$3&gt;=$C$1),'General Inputs'!U$9*$G12,IF(AND(($C12+$C$1)&gt;AW$3,AW$3&gt;=$C$1),'General Inputs'!U$9*$F12,0))</f>
        <v>0</v>
      </c>
      <c r="AX12" s="214">
        <f>IF(AND(($D12+$C$1)&gt;AX$3,AX$3&gt;=$C$1),'General Inputs'!V$9*$G12,IF(AND(($C12+$C$1)&gt;AX$3,AX$3&gt;=$C$1),'General Inputs'!V$9*$F12,0))</f>
        <v>0</v>
      </c>
      <c r="AY12" s="214">
        <f>IF(AND(($D12+$C$1)&gt;AY$3,AY$3&gt;=$C$1),'General Inputs'!W$9*$G12,IF(AND(($C12+$C$1)&gt;AY$3,AY$3&gt;=$C$1),'General Inputs'!W$9*$F12,0))</f>
        <v>0</v>
      </c>
      <c r="BA12" s="214">
        <f>IF(AND(($D12+$C$1)&gt;AF$3,AF$3&gt;=$C$1),'General Inputs'!D$10*$I12,IF(AND(($C12+$C$1)&gt;AF$3,AF$3&gt;=$C$1),'General Inputs'!D$10*$H12,0))</f>
        <v>0</v>
      </c>
      <c r="BB12" s="214">
        <f>IF(AND(($D12+$C$1)&gt;AG$3,AG$3&gt;=$C$1),'General Inputs'!E$10*$I12,IF(AND(($C12+$C$1)&gt;AG$3,AG$3&gt;=$C$1),'General Inputs'!E$10*$H12,0))</f>
        <v>4.0394511610142771E-2</v>
      </c>
      <c r="BC12" s="214">
        <f>IF(AND(($D12+$C$1)&gt;AH$3,AH$3&gt;=$C$1),'General Inputs'!F$10*$I12,IF(AND(($C12+$C$1)&gt;AH$3,AH$3&gt;=$C$1),'General Inputs'!F$10*$H12,0))</f>
        <v>4.1000429284294905E-2</v>
      </c>
      <c r="BD12" s="214">
        <f>IF(AND(($D12+$C$1)&gt;AI$3,AI$3&gt;=$C$1),'General Inputs'!G$10*$I12,IF(AND(($C12+$C$1)&gt;AI$3,AI$3&gt;=$C$1),'General Inputs'!G$10*$H12,0))</f>
        <v>4.161543572355933E-2</v>
      </c>
      <c r="BE12" s="214">
        <f>IF(AND(($D12+$C$1)&gt;AJ$3,AJ$3&gt;=$C$1),'General Inputs'!H$10*$I12,IF(AND(($C12+$C$1)&gt;AJ$3,AJ$3&gt;=$C$1),'General Inputs'!H$10*$H12,0))</f>
        <v>4.2239667259412715E-2</v>
      </c>
      <c r="BF12" s="214">
        <f>IF(AND(($D12+$C$1)&gt;AK$3,AK$3&gt;=$C$1),'General Inputs'!I$10*$I12,IF(AND(($C12+$C$1)&gt;AK$3,AK$3&gt;=$C$1),'General Inputs'!I$10*$H12,0))</f>
        <v>4.2873262268303895E-2</v>
      </c>
      <c r="BG12" s="214">
        <f>IF(AND(($D12+$C$1)&gt;AL$3,AL$3&gt;=$C$1),'General Inputs'!J$10*$I12,IF(AND(($C12+$C$1)&gt;AL$3,AL$3&gt;=$C$1),'General Inputs'!J$10*$H12,0))</f>
        <v>4.3516361202328449E-2</v>
      </c>
      <c r="BH12" s="214">
        <f>IF(AND(($D12+$C$1)&gt;AM$3,AM$3&gt;=$C$1),'General Inputs'!K$10*$I12,IF(AND(($C12+$C$1)&gt;AM$3,AM$3&gt;=$C$1),'General Inputs'!K$10*$H12,0))</f>
        <v>4.4169106620363371E-2</v>
      </c>
      <c r="BI12" s="214">
        <f>IF(AND(($D12+$C$1)&gt;AN$3,AN$3&gt;=$C$1),'General Inputs'!L$10*$I12,IF(AND(($C12+$C$1)&gt;AN$3,AN$3&gt;=$C$1),'General Inputs'!L$10*$H12,0))</f>
        <v>4.4831643219668822E-2</v>
      </c>
      <c r="BJ12" s="214">
        <f>IF(AND(($D12+$C$1)&gt;AO$3,AO$3&gt;=$C$1),'General Inputs'!M$10*$I12,IF(AND(($C12+$C$1)&gt;AO$3,AO$3&gt;=$C$1),'General Inputs'!M$10*$H12,0))</f>
        <v>4.550411786796385E-2</v>
      </c>
      <c r="BK12" s="214">
        <f>IF(AND(($D12+$C$1)&gt;AP$3,AP$3&gt;=$C$1),'General Inputs'!N$10*$I12,IF(AND(($C12+$C$1)&gt;AP$3,AP$3&gt;=$C$1),'General Inputs'!N$10*$H12,0))</f>
        <v>4.6186679635983302E-2</v>
      </c>
      <c r="BL12" s="214">
        <f>IF(AND(($D12+$C$1)&gt;AQ$3,AQ$3&gt;=$C$1),'General Inputs'!O$10*$I12,IF(AND(($C12+$C$1)&gt;AQ$3,AQ$3&gt;=$C$1),'General Inputs'!O$10*$H12,0))</f>
        <v>0</v>
      </c>
      <c r="BM12" s="214">
        <f>IF(AND(($D12+$C$1)&gt;AR$3,AR$3&gt;=$C$1),'General Inputs'!P$10*$I12,IF(AND(($C12+$C$1)&gt;AR$3,AR$3&gt;=$C$1),'General Inputs'!P$10*$H12,0))</f>
        <v>0</v>
      </c>
      <c r="BN12" s="214">
        <f>IF(AND(($D12+$C$1)&gt;AS$3,AS$3&gt;=$C$1),'General Inputs'!Q$10*$I12,IF(AND(($C12+$C$1)&gt;AS$3,AS$3&gt;=$C$1),'General Inputs'!Q$10*$H12,0))</f>
        <v>0</v>
      </c>
      <c r="BO12" s="214">
        <f>IF(AND(($D12+$C$1)&gt;AT$3,AT$3&gt;=$C$1),'General Inputs'!R$10*$I12,IF(AND(($C12+$C$1)&gt;AT$3,AT$3&gt;=$C$1),'General Inputs'!R$10*$H12,0))</f>
        <v>0</v>
      </c>
      <c r="BP12" s="214">
        <f>IF(AND(($D12+$C$1)&gt;AU$3,AU$3&gt;=$C$1),'General Inputs'!S$10*$I12,IF(AND(($C12+$C$1)&gt;AU$3,AU$3&gt;=$C$1),'General Inputs'!S$10*$H12,0))</f>
        <v>0</v>
      </c>
      <c r="BQ12" s="214">
        <f>IF(AND(($D12+$C$1)&gt;AV$3,AV$3&gt;=$C$1),'General Inputs'!T$10*$I12,IF(AND(($C12+$C$1)&gt;AV$3,AV$3&gt;=$C$1),'General Inputs'!T$10*$H12,0))</f>
        <v>0</v>
      </c>
      <c r="BR12" s="214">
        <f>IF(AND(($D12+$C$1)&gt;AW$3,AW$3&gt;=$C$1),'General Inputs'!U$10*$I12,IF(AND(($C12+$C$1)&gt;AW$3,AW$3&gt;=$C$1),'General Inputs'!U$10*$H12,0))</f>
        <v>0</v>
      </c>
      <c r="BS12" s="214">
        <f>IF(AND(($D12+$C$1)&gt;AX$3,AX$3&gt;=$C$1),'General Inputs'!V$10*$I12,IF(AND(($C12+$C$1)&gt;AX$3,AX$3&gt;=$C$1),'General Inputs'!V$10*$H12,0))</f>
        <v>0</v>
      </c>
      <c r="BT12" s="214">
        <f>IF(AND(($D12+$C$1)&gt;AY$3,AY$3&gt;=$C$1),'General Inputs'!W$10*$I12,IF(AND(($C12+$C$1)&gt;AY$3,AY$3&gt;=$C$1),'General Inputs'!W$10*$H12,0))</f>
        <v>0</v>
      </c>
    </row>
    <row r="13" spans="1:73">
      <c r="A13" s="341" t="s">
        <v>12</v>
      </c>
      <c r="B13" s="427" t="str">
        <f>Sources!B13</f>
        <v>ENERGY STAR Room Air Conditioner</v>
      </c>
      <c r="C13" s="193">
        <f>Sources!C13</f>
        <v>9</v>
      </c>
      <c r="D13" s="193">
        <f>Sources!D13</f>
        <v>0</v>
      </c>
      <c r="F13" s="429">
        <f>Sources!F13*EnergyLineLoss</f>
        <v>40.054104083786541</v>
      </c>
      <c r="G13" s="429">
        <f>Sources!G13*EnergyLineLoss</f>
        <v>0</v>
      </c>
      <c r="H13" s="477">
        <f>Sources!H13*PeakLineLoss</f>
        <v>3.0601607534302112E-2</v>
      </c>
      <c r="I13" s="477">
        <f>Sources!I13*PeakLineLoss</f>
        <v>0</v>
      </c>
      <c r="K13" s="419">
        <f>Sources!J13</f>
        <v>200</v>
      </c>
      <c r="L13" s="419">
        <f>Sources!K13</f>
        <v>0</v>
      </c>
      <c r="N13" s="438">
        <f t="shared" si="4"/>
        <v>7.2075008867203638E-2</v>
      </c>
      <c r="P13" s="215">
        <f t="shared" si="0"/>
        <v>10.287923206006633</v>
      </c>
      <c r="Q13" s="215">
        <f t="shared" si="1"/>
        <v>2.9562901102748165</v>
      </c>
      <c r="R13" s="215">
        <f t="shared" si="2"/>
        <v>183.75597206909225</v>
      </c>
      <c r="T13" s="214">
        <f t="shared" si="3"/>
        <v>0</v>
      </c>
      <c r="U13" s="214">
        <f t="shared" si="3"/>
        <v>200</v>
      </c>
      <c r="V13" s="214">
        <f t="shared" si="3"/>
        <v>0</v>
      </c>
      <c r="W13" s="214">
        <f t="shared" si="3"/>
        <v>0</v>
      </c>
      <c r="X13" s="214">
        <f t="shared" si="3"/>
        <v>0</v>
      </c>
      <c r="Y13" s="214">
        <f t="shared" si="3"/>
        <v>0</v>
      </c>
      <c r="Z13" s="214">
        <f t="shared" si="3"/>
        <v>0</v>
      </c>
      <c r="AA13" s="214">
        <f t="shared" si="3"/>
        <v>0</v>
      </c>
      <c r="AB13" s="214">
        <f t="shared" si="3"/>
        <v>0</v>
      </c>
      <c r="AC13" s="214">
        <f t="shared" si="3"/>
        <v>0</v>
      </c>
      <c r="AD13" s="214">
        <f t="shared" si="3"/>
        <v>0</v>
      </c>
      <c r="AF13" s="214">
        <f>IF(AND(($D13+$C$1)&gt;AF$3,AF$3&gt;=$C$1),'General Inputs'!D$9*$G13,IF(AND(($C13+$C$1)&gt;AF$3,AF$3&gt;=$C$1),'General Inputs'!D$9*$F13,0))</f>
        <v>0</v>
      </c>
      <c r="AG13" s="214">
        <f>IF(AND(($D13+$C$1)&gt;AG$3,AG$3&gt;=$C$1),'General Inputs'!E$9*$G13,IF(AND(($C13+$C$1)&gt;AG$3,AG$3&gt;=$C$1),'General Inputs'!E$9*$F13,0))</f>
        <v>1.618564447596113</v>
      </c>
      <c r="AH13" s="214">
        <f>IF(AND(($D13+$C$1)&gt;AH$3,AH$3&gt;=$C$1),'General Inputs'!F$9*$G13,IF(AND(($C13+$C$1)&gt;AH$3,AH$3&gt;=$C$1),'General Inputs'!F$9*$F13,0))</f>
        <v>1.6428429143100545</v>
      </c>
      <c r="AI13" s="214">
        <f>IF(AND(($D13+$C$1)&gt;AI$3,AI$3&gt;=$C$1),'General Inputs'!G$9*$G13,IF(AND(($C13+$C$1)&gt;AI$3,AI$3&gt;=$C$1),'General Inputs'!G$9*$F13,0))</f>
        <v>1.6674855580247052</v>
      </c>
      <c r="AJ13" s="214">
        <f>IF(AND(($D13+$C$1)&gt;AJ$3,AJ$3&gt;=$C$1),'General Inputs'!H$9*$G13,IF(AND(($C13+$C$1)&gt;AJ$3,AJ$3&gt;=$C$1),'General Inputs'!H$9*$F13,0))</f>
        <v>1.6924978413950755</v>
      </c>
      <c r="AK13" s="214">
        <f>IF(AND(($D13+$C$1)&gt;AK$3,AK$3&gt;=$C$1),'General Inputs'!I$9*$G13,IF(AND(($C13+$C$1)&gt;AK$3,AK$3&gt;=$C$1),'General Inputs'!I$9*$F13,0))</f>
        <v>1.7178853090160013</v>
      </c>
      <c r="AL13" s="214">
        <f>IF(AND(($D13+$C$1)&gt;AL$3,AL$3&gt;=$C$1),'General Inputs'!J$9*$G13,IF(AND(($C13+$C$1)&gt;AL$3,AL$3&gt;=$C$1),'General Inputs'!J$9*$F13,0))</f>
        <v>1.7436535886512412</v>
      </c>
      <c r="AM13" s="214">
        <f>IF(AND(($D13+$C$1)&gt;AM$3,AM$3&gt;=$C$1),'General Inputs'!K$9*$G13,IF(AND(($C13+$C$1)&gt;AM$3,AM$3&gt;=$C$1),'General Inputs'!K$9*$F13,0))</f>
        <v>1.7698083924810095</v>
      </c>
      <c r="AN13" s="214">
        <f>IF(AND(($D13+$C$1)&gt;AN$3,AN$3&gt;=$C$1),'General Inputs'!L$9*$G13,IF(AND(($C13+$C$1)&gt;AN$3,AN$3&gt;=$C$1),'General Inputs'!L$9*$F13,0))</f>
        <v>1.7963555183682245</v>
      </c>
      <c r="AO13" s="214">
        <f>IF(AND(($D13+$C$1)&gt;AO$3,AO$3&gt;=$C$1),'General Inputs'!M$9*$G13,IF(AND(($C13+$C$1)&gt;AO$3,AO$3&gt;=$C$1),'General Inputs'!M$9*$F13,0))</f>
        <v>1.8233008511437476</v>
      </c>
      <c r="AP13" s="214">
        <f>IF(AND(($D13+$C$1)&gt;AP$3,AP$3&gt;=$C$1),'General Inputs'!N$9*$G13,IF(AND(($C13+$C$1)&gt;AP$3,AP$3&gt;=$C$1),'General Inputs'!N$9*$F13,0))</f>
        <v>0</v>
      </c>
      <c r="AQ13" s="214">
        <f>IF(AND(($D13+$C$1)&gt;AQ$3,AQ$3&gt;=$C$1),'General Inputs'!O$9*$G13,IF(AND(($C13+$C$1)&gt;AQ$3,AQ$3&gt;=$C$1),'General Inputs'!O$9*$F13,0))</f>
        <v>0</v>
      </c>
      <c r="AR13" s="214">
        <f>IF(AND(($D13+$C$1)&gt;AR$3,AR$3&gt;=$C$1),'General Inputs'!P$9*$G13,IF(AND(($C13+$C$1)&gt;AR$3,AR$3&gt;=$C$1),'General Inputs'!P$9*$F13,0))</f>
        <v>0</v>
      </c>
      <c r="AS13" s="214">
        <f>IF(AND(($D13+$C$1)&gt;AS$3,AS$3&gt;=$C$1),'General Inputs'!Q$9*$G13,IF(AND(($C13+$C$1)&gt;AS$3,AS$3&gt;=$C$1),'General Inputs'!Q$9*$F13,0))</f>
        <v>0</v>
      </c>
      <c r="AT13" s="214">
        <f>IF(AND(($D13+$C$1)&gt;AT$3,AT$3&gt;=$C$1),'General Inputs'!R$9*$G13,IF(AND(($C13+$C$1)&gt;AT$3,AT$3&gt;=$C$1),'General Inputs'!R$9*$F13,0))</f>
        <v>0</v>
      </c>
      <c r="AU13" s="214">
        <f>IF(AND(($D13+$C$1)&gt;AU$3,AU$3&gt;=$C$1),'General Inputs'!S$9*$G13,IF(AND(($C13+$C$1)&gt;AU$3,AU$3&gt;=$C$1),'General Inputs'!S$9*$F13,0))</f>
        <v>0</v>
      </c>
      <c r="AV13" s="214">
        <f>IF(AND(($D13+$C$1)&gt;AV$3,AV$3&gt;=$C$1),'General Inputs'!T$9*$G13,IF(AND(($C13+$C$1)&gt;AV$3,AV$3&gt;=$C$1),'General Inputs'!T$9*$F13,0))</f>
        <v>0</v>
      </c>
      <c r="AW13" s="214">
        <f>IF(AND(($D13+$C$1)&gt;AW$3,AW$3&gt;=$C$1),'General Inputs'!U$9*$G13,IF(AND(($C13+$C$1)&gt;AW$3,AW$3&gt;=$C$1),'General Inputs'!U$9*$F13,0))</f>
        <v>0</v>
      </c>
      <c r="AX13" s="214">
        <f>IF(AND(($D13+$C$1)&gt;AX$3,AX$3&gt;=$C$1),'General Inputs'!V$9*$G13,IF(AND(($C13+$C$1)&gt;AX$3,AX$3&gt;=$C$1),'General Inputs'!V$9*$F13,0))</f>
        <v>0</v>
      </c>
      <c r="AY13" s="214">
        <f>IF(AND(($D13+$C$1)&gt;AY$3,AY$3&gt;=$C$1),'General Inputs'!W$9*$G13,IF(AND(($C13+$C$1)&gt;AY$3,AY$3&gt;=$C$1),'General Inputs'!W$9*$F13,0))</f>
        <v>0</v>
      </c>
      <c r="BA13" s="214">
        <f>IF(AND(($D13+$C$1)&gt;AF$3,AF$3&gt;=$C$1),'General Inputs'!D$10*$I13,IF(AND(($C13+$C$1)&gt;AF$3,AF$3&gt;=$C$1),'General Inputs'!D$10*$H13,0))</f>
        <v>0</v>
      </c>
      <c r="BB13" s="214">
        <f>IF(AND(($D13+$C$1)&gt;AG$3,AG$3&gt;=$C$1),'General Inputs'!E$10*$I13,IF(AND(($C13+$C$1)&gt;AG$3,AG$3&gt;=$C$1),'General Inputs'!E$10*$H13,0))</f>
        <v>0.46510320629892576</v>
      </c>
      <c r="BC13" s="214">
        <f>IF(AND(($D13+$C$1)&gt;AH$3,AH$3&gt;=$C$1),'General Inputs'!F$10*$I13,IF(AND(($C13+$C$1)&gt;AH$3,AH$3&gt;=$C$1),'General Inputs'!F$10*$H13,0))</f>
        <v>0.47207975439340966</v>
      </c>
      <c r="BD13" s="214">
        <f>IF(AND(($D13+$C$1)&gt;AI$3,AI$3&gt;=$C$1),'General Inputs'!G$10*$I13,IF(AND(($C13+$C$1)&gt;AI$3,AI$3&gt;=$C$1),'General Inputs'!G$10*$H13,0))</f>
        <v>0.47916095070931075</v>
      </c>
      <c r="BE13" s="214">
        <f>IF(AND(($D13+$C$1)&gt;AJ$3,AJ$3&gt;=$C$1),'General Inputs'!H$10*$I13,IF(AND(($C13+$C$1)&gt;AJ$3,AJ$3&gt;=$C$1),'General Inputs'!H$10*$H13,0))</f>
        <v>0.48634836496995038</v>
      </c>
      <c r="BF13" s="214">
        <f>IF(AND(($D13+$C$1)&gt;AK$3,AK$3&gt;=$C$1),'General Inputs'!I$10*$I13,IF(AND(($C13+$C$1)&gt;AK$3,AK$3&gt;=$C$1),'General Inputs'!I$10*$H13,0))</f>
        <v>0.49364359044449951</v>
      </c>
      <c r="BG13" s="214">
        <f>IF(AND(($D13+$C$1)&gt;AL$3,AL$3&gt;=$C$1),'General Inputs'!J$10*$I13,IF(AND(($C13+$C$1)&gt;AL$3,AL$3&gt;=$C$1),'General Inputs'!J$10*$H13,0))</f>
        <v>0.50104824430116701</v>
      </c>
      <c r="BH13" s="214">
        <f>IF(AND(($D13+$C$1)&gt;AM$3,AM$3&gt;=$C$1),'General Inputs'!K$10*$I13,IF(AND(($C13+$C$1)&gt;AM$3,AM$3&gt;=$C$1),'General Inputs'!K$10*$H13,0))</f>
        <v>0.50856396796568448</v>
      </c>
      <c r="BI13" s="214">
        <f>IF(AND(($D13+$C$1)&gt;AN$3,AN$3&gt;=$C$1),'General Inputs'!L$10*$I13,IF(AND(($C13+$C$1)&gt;AN$3,AN$3&gt;=$C$1),'General Inputs'!L$10*$H13,0))</f>
        <v>0.51619242748516969</v>
      </c>
      <c r="BJ13" s="214">
        <f>IF(AND(($D13+$C$1)&gt;AO$3,AO$3&gt;=$C$1),'General Inputs'!M$10*$I13,IF(AND(($C13+$C$1)&gt;AO$3,AO$3&gt;=$C$1),'General Inputs'!M$10*$H13,0))</f>
        <v>0.52393531389744719</v>
      </c>
      <c r="BK13" s="214">
        <f>IF(AND(($D13+$C$1)&gt;AP$3,AP$3&gt;=$C$1),'General Inputs'!N$10*$I13,IF(AND(($C13+$C$1)&gt;AP$3,AP$3&gt;=$C$1),'General Inputs'!N$10*$H13,0))</f>
        <v>0</v>
      </c>
      <c r="BL13" s="214">
        <f>IF(AND(($D13+$C$1)&gt;AQ$3,AQ$3&gt;=$C$1),'General Inputs'!O$10*$I13,IF(AND(($C13+$C$1)&gt;AQ$3,AQ$3&gt;=$C$1),'General Inputs'!O$10*$H13,0))</f>
        <v>0</v>
      </c>
      <c r="BM13" s="214">
        <f>IF(AND(($D13+$C$1)&gt;AR$3,AR$3&gt;=$C$1),'General Inputs'!P$10*$I13,IF(AND(($C13+$C$1)&gt;AR$3,AR$3&gt;=$C$1),'General Inputs'!P$10*$H13,0))</f>
        <v>0</v>
      </c>
      <c r="BN13" s="214">
        <f>IF(AND(($D13+$C$1)&gt;AS$3,AS$3&gt;=$C$1),'General Inputs'!Q$10*$I13,IF(AND(($C13+$C$1)&gt;AS$3,AS$3&gt;=$C$1),'General Inputs'!Q$10*$H13,0))</f>
        <v>0</v>
      </c>
      <c r="BO13" s="214">
        <f>IF(AND(($D13+$C$1)&gt;AT$3,AT$3&gt;=$C$1),'General Inputs'!R$10*$I13,IF(AND(($C13+$C$1)&gt;AT$3,AT$3&gt;=$C$1),'General Inputs'!R$10*$H13,0))</f>
        <v>0</v>
      </c>
      <c r="BP13" s="214">
        <f>IF(AND(($D13+$C$1)&gt;AU$3,AU$3&gt;=$C$1),'General Inputs'!S$10*$I13,IF(AND(($C13+$C$1)&gt;AU$3,AU$3&gt;=$C$1),'General Inputs'!S$10*$H13,0))</f>
        <v>0</v>
      </c>
      <c r="BQ13" s="214">
        <f>IF(AND(($D13+$C$1)&gt;AV$3,AV$3&gt;=$C$1),'General Inputs'!T$10*$I13,IF(AND(($C13+$C$1)&gt;AV$3,AV$3&gt;=$C$1),'General Inputs'!T$10*$H13,0))</f>
        <v>0</v>
      </c>
      <c r="BR13" s="214">
        <f>IF(AND(($D13+$C$1)&gt;AW$3,AW$3&gt;=$C$1),'General Inputs'!U$10*$I13,IF(AND(($C13+$C$1)&gt;AW$3,AW$3&gt;=$C$1),'General Inputs'!U$10*$H13,0))</f>
        <v>0</v>
      </c>
      <c r="BS13" s="214">
        <f>IF(AND(($D13+$C$1)&gt;AX$3,AX$3&gt;=$C$1),'General Inputs'!V$10*$I13,IF(AND(($C13+$C$1)&gt;AX$3,AX$3&gt;=$C$1),'General Inputs'!V$10*$H13,0))</f>
        <v>0</v>
      </c>
      <c r="BT13" s="214">
        <f>IF(AND(($D13+$C$1)&gt;AY$3,AY$3&gt;=$C$1),'General Inputs'!W$10*$I13,IF(AND(($C13+$C$1)&gt;AY$3,AY$3&gt;=$C$1),'General Inputs'!W$10*$H13,0))</f>
        <v>0</v>
      </c>
    </row>
    <row r="14" spans="1:73">
      <c r="A14" s="341" t="s">
        <v>12</v>
      </c>
      <c r="B14" s="427" t="str">
        <f>Sources!B14</f>
        <v>Advanced Power Strip</v>
      </c>
      <c r="C14" s="193">
        <f>Sources!C14</f>
        <v>10</v>
      </c>
      <c r="D14" s="193">
        <f>Sources!D14</f>
        <v>0</v>
      </c>
      <c r="F14" s="429">
        <f>Sources!F14*EnergyLineLoss</f>
        <v>78.629699999999985</v>
      </c>
      <c r="G14" s="429">
        <f>Sources!G14*EnergyLineLoss</f>
        <v>0</v>
      </c>
      <c r="H14" s="477">
        <f>Sources!H14*PeakLineLoss</f>
        <v>1.1029555337354465E-2</v>
      </c>
      <c r="I14" s="477">
        <f>Sources!I14*PeakLineLoss</f>
        <v>0</v>
      </c>
      <c r="K14" s="419">
        <f>Sources!J14</f>
        <v>20</v>
      </c>
      <c r="L14" s="419">
        <f>Sources!K14</f>
        <v>0</v>
      </c>
      <c r="N14" s="438">
        <f t="shared" si="4"/>
        <v>1.2462775182024965</v>
      </c>
      <c r="P14" s="215">
        <f t="shared" si="0"/>
        <v>21.753413410437275</v>
      </c>
      <c r="Q14" s="215">
        <f t="shared" si="1"/>
        <v>1.1476802720782804</v>
      </c>
      <c r="R14" s="215">
        <f t="shared" si="2"/>
        <v>18.375597206909223</v>
      </c>
      <c r="T14" s="214">
        <f t="shared" si="3"/>
        <v>0</v>
      </c>
      <c r="U14" s="214">
        <f t="shared" si="3"/>
        <v>20</v>
      </c>
      <c r="V14" s="214">
        <f t="shared" si="3"/>
        <v>0</v>
      </c>
      <c r="W14" s="214">
        <f t="shared" si="3"/>
        <v>0</v>
      </c>
      <c r="X14" s="214">
        <f t="shared" si="3"/>
        <v>0</v>
      </c>
      <c r="Y14" s="214">
        <f t="shared" si="3"/>
        <v>0</v>
      </c>
      <c r="Z14" s="214">
        <f t="shared" si="3"/>
        <v>0</v>
      </c>
      <c r="AA14" s="214">
        <f t="shared" si="3"/>
        <v>0</v>
      </c>
      <c r="AB14" s="214">
        <f t="shared" si="3"/>
        <v>0</v>
      </c>
      <c r="AC14" s="214">
        <f t="shared" si="3"/>
        <v>0</v>
      </c>
      <c r="AD14" s="214">
        <f t="shared" si="3"/>
        <v>0</v>
      </c>
      <c r="AF14" s="214">
        <f>IF(AND(($D14+$C$1)&gt;AF$3,AF$3&gt;=$C$1),'General Inputs'!D$9*$G14,IF(AND(($C14+$C$1)&gt;AF$3,AF$3&gt;=$C$1),'General Inputs'!D$9*$F14,0))</f>
        <v>0</v>
      </c>
      <c r="AG14" s="214">
        <f>IF(AND(($D14+$C$1)&gt;AG$3,AG$3&gt;=$C$1),'General Inputs'!E$9*$G14,IF(AND(($C14+$C$1)&gt;AG$3,AG$3&gt;=$C$1),'General Inputs'!E$9*$F14,0))</f>
        <v>3.1773831884724251</v>
      </c>
      <c r="AH14" s="214">
        <f>IF(AND(($D14+$C$1)&gt;AH$3,AH$3&gt;=$C$1),'General Inputs'!F$9*$G14,IF(AND(($C14+$C$1)&gt;AH$3,AH$3&gt;=$C$1),'General Inputs'!F$9*$F14,0))</f>
        <v>3.2250439362995111</v>
      </c>
      <c r="AI14" s="214">
        <f>IF(AND(($D14+$C$1)&gt;AI$3,AI$3&gt;=$C$1),'General Inputs'!G$9*$G14,IF(AND(($C14+$C$1)&gt;AI$3,AI$3&gt;=$C$1),'General Inputs'!G$9*$F14,0))</f>
        <v>3.2734195953440035</v>
      </c>
      <c r="AJ14" s="214">
        <f>IF(AND(($D14+$C$1)&gt;AJ$3,AJ$3&gt;=$C$1),'General Inputs'!H$9*$G14,IF(AND(($C14+$C$1)&gt;AJ$3,AJ$3&gt;=$C$1),'General Inputs'!H$9*$F14,0))</f>
        <v>3.3225208892741631</v>
      </c>
      <c r="AK14" s="214">
        <f>IF(AND(($D14+$C$1)&gt;AK$3,AK$3&gt;=$C$1),'General Inputs'!I$9*$G14,IF(AND(($C14+$C$1)&gt;AK$3,AK$3&gt;=$C$1),'General Inputs'!I$9*$F14,0))</f>
        <v>3.3723587026132753</v>
      </c>
      <c r="AL14" s="214">
        <f>IF(AND(($D14+$C$1)&gt;AL$3,AL$3&gt;=$C$1),'General Inputs'!J$9*$G14,IF(AND(($C14+$C$1)&gt;AL$3,AL$3&gt;=$C$1),'General Inputs'!J$9*$F14,0))</f>
        <v>3.4229440831524736</v>
      </c>
      <c r="AM14" s="214">
        <f>IF(AND(($D14+$C$1)&gt;AM$3,AM$3&gt;=$C$1),'General Inputs'!K$9*$G14,IF(AND(($C14+$C$1)&gt;AM$3,AM$3&gt;=$C$1),'General Inputs'!K$9*$F14,0))</f>
        <v>3.4742882443997605</v>
      </c>
      <c r="AN14" s="214">
        <f>IF(AND(($D14+$C$1)&gt;AN$3,AN$3&gt;=$C$1),'General Inputs'!L$9*$G14,IF(AND(($C14+$C$1)&gt;AN$3,AN$3&gt;=$C$1),'General Inputs'!L$9*$F14,0))</f>
        <v>3.5264025680657562</v>
      </c>
      <c r="AO14" s="214">
        <f>IF(AND(($D14+$C$1)&gt;AO$3,AO$3&gt;=$C$1),'General Inputs'!M$9*$G14,IF(AND(($C14+$C$1)&gt;AO$3,AO$3&gt;=$C$1),'General Inputs'!M$9*$F14,0))</f>
        <v>3.5792986065867423</v>
      </c>
      <c r="AP14" s="214">
        <f>IF(AND(($D14+$C$1)&gt;AP$3,AP$3&gt;=$C$1),'General Inputs'!N$9*$G14,IF(AND(($C14+$C$1)&gt;AP$3,AP$3&gt;=$C$1),'General Inputs'!N$9*$F14,0))</f>
        <v>3.6329880856855432</v>
      </c>
      <c r="AQ14" s="214">
        <f>IF(AND(($D14+$C$1)&gt;AQ$3,AQ$3&gt;=$C$1),'General Inputs'!O$9*$G14,IF(AND(($C14+$C$1)&gt;AQ$3,AQ$3&gt;=$C$1),'General Inputs'!O$9*$F14,0))</f>
        <v>0</v>
      </c>
      <c r="AR14" s="214">
        <f>IF(AND(($D14+$C$1)&gt;AR$3,AR$3&gt;=$C$1),'General Inputs'!P$9*$G14,IF(AND(($C14+$C$1)&gt;AR$3,AR$3&gt;=$C$1),'General Inputs'!P$9*$F14,0))</f>
        <v>0</v>
      </c>
      <c r="AS14" s="214">
        <f>IF(AND(($D14+$C$1)&gt;AS$3,AS$3&gt;=$C$1),'General Inputs'!Q$9*$G14,IF(AND(($C14+$C$1)&gt;AS$3,AS$3&gt;=$C$1),'General Inputs'!Q$9*$F14,0))</f>
        <v>0</v>
      </c>
      <c r="AT14" s="214">
        <f>IF(AND(($D14+$C$1)&gt;AT$3,AT$3&gt;=$C$1),'General Inputs'!R$9*$G14,IF(AND(($C14+$C$1)&gt;AT$3,AT$3&gt;=$C$1),'General Inputs'!R$9*$F14,0))</f>
        <v>0</v>
      </c>
      <c r="AU14" s="214">
        <f>IF(AND(($D14+$C$1)&gt;AU$3,AU$3&gt;=$C$1),'General Inputs'!S$9*$G14,IF(AND(($C14+$C$1)&gt;AU$3,AU$3&gt;=$C$1),'General Inputs'!S$9*$F14,0))</f>
        <v>0</v>
      </c>
      <c r="AV14" s="214">
        <f>IF(AND(($D14+$C$1)&gt;AV$3,AV$3&gt;=$C$1),'General Inputs'!T$9*$G14,IF(AND(($C14+$C$1)&gt;AV$3,AV$3&gt;=$C$1),'General Inputs'!T$9*$F14,0))</f>
        <v>0</v>
      </c>
      <c r="AW14" s="214">
        <f>IF(AND(($D14+$C$1)&gt;AW$3,AW$3&gt;=$C$1),'General Inputs'!U$9*$G14,IF(AND(($C14+$C$1)&gt;AW$3,AW$3&gt;=$C$1),'General Inputs'!U$9*$F14,0))</f>
        <v>0</v>
      </c>
      <c r="AX14" s="214">
        <f>IF(AND(($D14+$C$1)&gt;AX$3,AX$3&gt;=$C$1),'General Inputs'!V$9*$G14,IF(AND(($C14+$C$1)&gt;AX$3,AX$3&gt;=$C$1),'General Inputs'!V$9*$F14,0))</f>
        <v>0</v>
      </c>
      <c r="AY14" s="214">
        <f>IF(AND(($D14+$C$1)&gt;AY$3,AY$3&gt;=$C$1),'General Inputs'!W$9*$G14,IF(AND(($C14+$C$1)&gt;AY$3,AY$3&gt;=$C$1),'General Inputs'!W$9*$F14,0))</f>
        <v>0</v>
      </c>
      <c r="BA14" s="214">
        <f>IF(AND(($D14+$C$1)&gt;AF$3,AF$3&gt;=$C$1),'General Inputs'!D$10*$I14,IF(AND(($C14+$C$1)&gt;AF$3,AF$3&gt;=$C$1),'General Inputs'!D$10*$H14,0))</f>
        <v>0</v>
      </c>
      <c r="BB14" s="214">
        <f>IF(AND(($D14+$C$1)&gt;AG$3,AG$3&gt;=$C$1),'General Inputs'!E$10*$I14,IF(AND(($C14+$C$1)&gt;AG$3,AG$3&gt;=$C$1),'General Inputs'!E$10*$H14,0))</f>
        <v>0.16763438148485429</v>
      </c>
      <c r="BC14" s="214">
        <f>IF(AND(($D14+$C$1)&gt;AH$3,AH$3&gt;=$C$1),'General Inputs'!F$10*$I14,IF(AND(($C14+$C$1)&gt;AH$3,AH$3&gt;=$C$1),'General Inputs'!F$10*$H14,0))</f>
        <v>0.17014889720712711</v>
      </c>
      <c r="BD14" s="214">
        <f>IF(AND(($D14+$C$1)&gt;AI$3,AI$3&gt;=$C$1),'General Inputs'!G$10*$I14,IF(AND(($C14+$C$1)&gt;AI$3,AI$3&gt;=$C$1),'General Inputs'!G$10*$H14,0))</f>
        <v>0.17270113066523399</v>
      </c>
      <c r="BE14" s="214">
        <f>IF(AND(($D14+$C$1)&gt;AJ$3,AJ$3&gt;=$C$1),'General Inputs'!H$10*$I14,IF(AND(($C14+$C$1)&gt;AJ$3,AJ$3&gt;=$C$1),'General Inputs'!H$10*$H14,0))</f>
        <v>0.17529164762521249</v>
      </c>
      <c r="BF14" s="214">
        <f>IF(AND(($D14+$C$1)&gt;AK$3,AK$3&gt;=$C$1),'General Inputs'!I$10*$I14,IF(AND(($C14+$C$1)&gt;AK$3,AK$3&gt;=$C$1),'General Inputs'!I$10*$H14,0))</f>
        <v>0.17792102233959065</v>
      </c>
      <c r="BG14" s="214">
        <f>IF(AND(($D14+$C$1)&gt;AL$3,AL$3&gt;=$C$1),'General Inputs'!J$10*$I14,IF(AND(($C14+$C$1)&gt;AL$3,AL$3&gt;=$C$1),'General Inputs'!J$10*$H14,0))</f>
        <v>0.18058983767468448</v>
      </c>
      <c r="BH14" s="214">
        <f>IF(AND(($D14+$C$1)&gt;AM$3,AM$3&gt;=$C$1),'General Inputs'!K$10*$I14,IF(AND(($C14+$C$1)&gt;AM$3,AM$3&gt;=$C$1),'General Inputs'!K$10*$H14,0))</f>
        <v>0.18329868523980475</v>
      </c>
      <c r="BI14" s="214">
        <f>IF(AND(($D14+$C$1)&gt;AN$3,AN$3&gt;=$C$1),'General Inputs'!L$10*$I14,IF(AND(($C14+$C$1)&gt;AN$3,AN$3&gt;=$C$1),'General Inputs'!L$10*$H14,0))</f>
        <v>0.18604816551840181</v>
      </c>
      <c r="BJ14" s="214">
        <f>IF(AND(($D14+$C$1)&gt;AO$3,AO$3&gt;=$C$1),'General Inputs'!M$10*$I14,IF(AND(($C14+$C$1)&gt;AO$3,AO$3&gt;=$C$1),'General Inputs'!M$10*$H14,0))</f>
        <v>0.18883888800117782</v>
      </c>
      <c r="BK14" s="214">
        <f>IF(AND(($D14+$C$1)&gt;AP$3,AP$3&gt;=$C$1),'General Inputs'!N$10*$I14,IF(AND(($C14+$C$1)&gt;AP$3,AP$3&gt;=$C$1),'General Inputs'!N$10*$H14,0))</f>
        <v>0.19167147132119547</v>
      </c>
      <c r="BL14" s="214">
        <f>IF(AND(($D14+$C$1)&gt;AQ$3,AQ$3&gt;=$C$1),'General Inputs'!O$10*$I14,IF(AND(($C14+$C$1)&gt;AQ$3,AQ$3&gt;=$C$1),'General Inputs'!O$10*$H14,0))</f>
        <v>0</v>
      </c>
      <c r="BM14" s="214">
        <f>IF(AND(($D14+$C$1)&gt;AR$3,AR$3&gt;=$C$1),'General Inputs'!P$10*$I14,IF(AND(($C14+$C$1)&gt;AR$3,AR$3&gt;=$C$1),'General Inputs'!P$10*$H14,0))</f>
        <v>0</v>
      </c>
      <c r="BN14" s="214">
        <f>IF(AND(($D14+$C$1)&gt;AS$3,AS$3&gt;=$C$1),'General Inputs'!Q$10*$I14,IF(AND(($C14+$C$1)&gt;AS$3,AS$3&gt;=$C$1),'General Inputs'!Q$10*$H14,0))</f>
        <v>0</v>
      </c>
      <c r="BO14" s="214">
        <f>IF(AND(($D14+$C$1)&gt;AT$3,AT$3&gt;=$C$1),'General Inputs'!R$10*$I14,IF(AND(($C14+$C$1)&gt;AT$3,AT$3&gt;=$C$1),'General Inputs'!R$10*$H14,0))</f>
        <v>0</v>
      </c>
      <c r="BP14" s="214">
        <f>IF(AND(($D14+$C$1)&gt;AU$3,AU$3&gt;=$C$1),'General Inputs'!S$10*$I14,IF(AND(($C14+$C$1)&gt;AU$3,AU$3&gt;=$C$1),'General Inputs'!S$10*$H14,0))</f>
        <v>0</v>
      </c>
      <c r="BQ14" s="214">
        <f>IF(AND(($D14+$C$1)&gt;AV$3,AV$3&gt;=$C$1),'General Inputs'!T$10*$I14,IF(AND(($C14+$C$1)&gt;AV$3,AV$3&gt;=$C$1),'General Inputs'!T$10*$H14,0))</f>
        <v>0</v>
      </c>
      <c r="BR14" s="214">
        <f>IF(AND(($D14+$C$1)&gt;AW$3,AW$3&gt;=$C$1),'General Inputs'!U$10*$I14,IF(AND(($C14+$C$1)&gt;AW$3,AW$3&gt;=$C$1),'General Inputs'!U$10*$H14,0))</f>
        <v>0</v>
      </c>
      <c r="BS14" s="214">
        <f>IF(AND(($D14+$C$1)&gt;AX$3,AX$3&gt;=$C$1),'General Inputs'!V$10*$I14,IF(AND(($C14+$C$1)&gt;AX$3,AX$3&gt;=$C$1),'General Inputs'!V$10*$H14,0))</f>
        <v>0</v>
      </c>
      <c r="BT14" s="214">
        <f>IF(AND(($D14+$C$1)&gt;AY$3,AY$3&gt;=$C$1),'General Inputs'!W$10*$I14,IF(AND(($C14+$C$1)&gt;AY$3,AY$3&gt;=$C$1),'General Inputs'!W$10*$H14,0))</f>
        <v>0</v>
      </c>
    </row>
    <row r="15" spans="1:73">
      <c r="A15" s="341" t="s">
        <v>12</v>
      </c>
      <c r="B15" s="427" t="str">
        <f>Sources!B15</f>
        <v>Refrigerator Recycle</v>
      </c>
      <c r="C15" s="193">
        <f>Sources!C15</f>
        <v>8</v>
      </c>
      <c r="D15" s="193">
        <f>Sources!D15</f>
        <v>0</v>
      </c>
      <c r="F15" s="429">
        <f>Sources!F15*EnergyLineLoss</f>
        <v>1349.5829999999999</v>
      </c>
      <c r="G15" s="429">
        <f>Sources!G15*EnergyLineLoss</f>
        <v>0</v>
      </c>
      <c r="H15" s="477">
        <f>Sources!H15*PeakLineLoss</f>
        <v>0.15406198630136986</v>
      </c>
      <c r="I15" s="477">
        <f>Sources!I15*PeakLineLoss</f>
        <v>0</v>
      </c>
      <c r="K15" s="419">
        <f>Sources!J15</f>
        <v>93</v>
      </c>
      <c r="L15" s="419">
        <f>Sources!K15</f>
        <v>0</v>
      </c>
      <c r="N15" s="438">
        <f t="shared" si="4"/>
        <v>3.8811572843101794</v>
      </c>
      <c r="P15" s="215">
        <f t="shared" si="0"/>
        <v>317.9787858341636</v>
      </c>
      <c r="Q15" s="215">
        <f t="shared" si="1"/>
        <v>13.652624897963024</v>
      </c>
      <c r="R15" s="215">
        <f t="shared" si="2"/>
        <v>85.446527012127888</v>
      </c>
      <c r="T15" s="214">
        <f t="shared" si="3"/>
        <v>0</v>
      </c>
      <c r="U15" s="214">
        <f t="shared" si="3"/>
        <v>93</v>
      </c>
      <c r="V15" s="214">
        <f t="shared" si="3"/>
        <v>0</v>
      </c>
      <c r="W15" s="214">
        <f t="shared" si="3"/>
        <v>0</v>
      </c>
      <c r="X15" s="214">
        <f t="shared" si="3"/>
        <v>0</v>
      </c>
      <c r="Y15" s="214">
        <f t="shared" si="3"/>
        <v>0</v>
      </c>
      <c r="Z15" s="214">
        <f t="shared" si="3"/>
        <v>0</v>
      </c>
      <c r="AA15" s="214">
        <f t="shared" si="3"/>
        <v>0</v>
      </c>
      <c r="AB15" s="214">
        <f t="shared" si="3"/>
        <v>0</v>
      </c>
      <c r="AC15" s="214">
        <f t="shared" si="3"/>
        <v>0</v>
      </c>
      <c r="AD15" s="214">
        <f t="shared" si="3"/>
        <v>0</v>
      </c>
      <c r="AF15" s="214">
        <f>IF(AND(($D15+$C$1)&gt;AF$3,AF$3&gt;=$C$1),'General Inputs'!D$9*$G15,IF(AND(($C15+$C$1)&gt;AF$3,AF$3&gt;=$C$1),'General Inputs'!D$9*$F15,0))</f>
        <v>0</v>
      </c>
      <c r="AG15" s="214">
        <f>IF(AND(($D15+$C$1)&gt;AG$3,AG$3&gt;=$C$1),'General Inputs'!E$9*$G15,IF(AND(($C15+$C$1)&gt;AG$3,AG$3&gt;=$C$1),'General Inputs'!E$9*$F15,0))</f>
        <v>54.535911184300353</v>
      </c>
      <c r="AH15" s="214">
        <f>IF(AND(($D15+$C$1)&gt;AH$3,AH$3&gt;=$C$1),'General Inputs'!F$9*$G15,IF(AND(($C15+$C$1)&gt;AH$3,AH$3&gt;=$C$1),'General Inputs'!F$9*$F15,0))</f>
        <v>55.353949852064851</v>
      </c>
      <c r="AI15" s="214">
        <f>IF(AND(($D15+$C$1)&gt;AI$3,AI$3&gt;=$C$1),'General Inputs'!G$9*$G15,IF(AND(($C15+$C$1)&gt;AI$3,AI$3&gt;=$C$1),'General Inputs'!G$9*$F15,0))</f>
        <v>56.184259099845818</v>
      </c>
      <c r="AJ15" s="214">
        <f>IF(AND(($D15+$C$1)&gt;AJ$3,AJ$3&gt;=$C$1),'General Inputs'!H$9*$G15,IF(AND(($C15+$C$1)&gt;AJ$3,AJ$3&gt;=$C$1),'General Inputs'!H$9*$F15,0))</f>
        <v>57.027022986343496</v>
      </c>
      <c r="AK15" s="214">
        <f>IF(AND(($D15+$C$1)&gt;AK$3,AK$3&gt;=$C$1),'General Inputs'!I$9*$G15,IF(AND(($C15+$C$1)&gt;AK$3,AK$3&gt;=$C$1),'General Inputs'!I$9*$F15,0))</f>
        <v>57.882428331138641</v>
      </c>
      <c r="AL15" s="214">
        <f>IF(AND(($D15+$C$1)&gt;AL$3,AL$3&gt;=$C$1),'General Inputs'!J$9*$G15,IF(AND(($C15+$C$1)&gt;AL$3,AL$3&gt;=$C$1),'General Inputs'!J$9*$F15,0))</f>
        <v>58.750664756105714</v>
      </c>
      <c r="AM15" s="214">
        <f>IF(AND(($D15+$C$1)&gt;AM$3,AM$3&gt;=$C$1),'General Inputs'!K$9*$G15,IF(AND(($C15+$C$1)&gt;AM$3,AM$3&gt;=$C$1),'General Inputs'!K$9*$F15,0))</f>
        <v>59.631924727447284</v>
      </c>
      <c r="AN15" s="214">
        <f>IF(AND(($D15+$C$1)&gt;AN$3,AN$3&gt;=$C$1),'General Inputs'!L$9*$G15,IF(AND(($C15+$C$1)&gt;AN$3,AN$3&gt;=$C$1),'General Inputs'!L$9*$F15,0))</f>
        <v>60.526403598358996</v>
      </c>
      <c r="AO15" s="214">
        <f>IF(AND(($D15+$C$1)&gt;AO$3,AO$3&gt;=$C$1),'General Inputs'!M$9*$G15,IF(AND(($C15+$C$1)&gt;AO$3,AO$3&gt;=$C$1),'General Inputs'!M$9*$F15,0))</f>
        <v>0</v>
      </c>
      <c r="AP15" s="214">
        <f>IF(AND(($D15+$C$1)&gt;AP$3,AP$3&gt;=$C$1),'General Inputs'!N$9*$G15,IF(AND(($C15+$C$1)&gt;AP$3,AP$3&gt;=$C$1),'General Inputs'!N$9*$F15,0))</f>
        <v>0</v>
      </c>
      <c r="AQ15" s="214">
        <f>IF(AND(($D15+$C$1)&gt;AQ$3,AQ$3&gt;=$C$1),'General Inputs'!O$9*$G15,IF(AND(($C15+$C$1)&gt;AQ$3,AQ$3&gt;=$C$1),'General Inputs'!O$9*$F15,0))</f>
        <v>0</v>
      </c>
      <c r="AR15" s="214">
        <f>IF(AND(($D15+$C$1)&gt;AR$3,AR$3&gt;=$C$1),'General Inputs'!P$9*$G15,IF(AND(($C15+$C$1)&gt;AR$3,AR$3&gt;=$C$1),'General Inputs'!P$9*$F15,0))</f>
        <v>0</v>
      </c>
      <c r="AS15" s="214">
        <f>IF(AND(($D15+$C$1)&gt;AS$3,AS$3&gt;=$C$1),'General Inputs'!Q$9*$G15,IF(AND(($C15+$C$1)&gt;AS$3,AS$3&gt;=$C$1),'General Inputs'!Q$9*$F15,0))</f>
        <v>0</v>
      </c>
      <c r="AT15" s="214">
        <f>IF(AND(($D15+$C$1)&gt;AT$3,AT$3&gt;=$C$1),'General Inputs'!R$9*$G15,IF(AND(($C15+$C$1)&gt;AT$3,AT$3&gt;=$C$1),'General Inputs'!R$9*$F15,0))</f>
        <v>0</v>
      </c>
      <c r="AU15" s="214">
        <f>IF(AND(($D15+$C$1)&gt;AU$3,AU$3&gt;=$C$1),'General Inputs'!S$9*$G15,IF(AND(($C15+$C$1)&gt;AU$3,AU$3&gt;=$C$1),'General Inputs'!S$9*$F15,0))</f>
        <v>0</v>
      </c>
      <c r="AV15" s="214">
        <f>IF(AND(($D15+$C$1)&gt;AV$3,AV$3&gt;=$C$1),'General Inputs'!T$9*$G15,IF(AND(($C15+$C$1)&gt;AV$3,AV$3&gt;=$C$1),'General Inputs'!T$9*$F15,0))</f>
        <v>0</v>
      </c>
      <c r="AW15" s="214">
        <f>IF(AND(($D15+$C$1)&gt;AW$3,AW$3&gt;=$C$1),'General Inputs'!U$9*$G15,IF(AND(($C15+$C$1)&gt;AW$3,AW$3&gt;=$C$1),'General Inputs'!U$9*$F15,0))</f>
        <v>0</v>
      </c>
      <c r="AX15" s="214">
        <f>IF(AND(($D15+$C$1)&gt;AX$3,AX$3&gt;=$C$1),'General Inputs'!V$9*$G15,IF(AND(($C15+$C$1)&gt;AX$3,AX$3&gt;=$C$1),'General Inputs'!V$9*$F15,0))</f>
        <v>0</v>
      </c>
      <c r="AY15" s="214">
        <f>IF(AND(($D15+$C$1)&gt;AY$3,AY$3&gt;=$C$1),'General Inputs'!W$9*$G15,IF(AND(($C15+$C$1)&gt;AY$3,AY$3&gt;=$C$1),'General Inputs'!W$9*$F15,0))</f>
        <v>0</v>
      </c>
      <c r="BA15" s="214">
        <f>IF(AND(($D15+$C$1)&gt;AF$3,AF$3&gt;=$C$1),'General Inputs'!D$10*$I15,IF(AND(($C15+$C$1)&gt;AF$3,AF$3&gt;=$C$1),'General Inputs'!D$10*$H15,0))</f>
        <v>0</v>
      </c>
      <c r="BB15" s="214">
        <f>IF(AND(($D15+$C$1)&gt;AG$3,AG$3&gt;=$C$1),'General Inputs'!E$10*$I15,IF(AND(($C15+$C$1)&gt;AG$3,AG$3&gt;=$C$1),'General Inputs'!E$10*$H15,0))</f>
        <v>2.341534630729079</v>
      </c>
      <c r="BC15" s="214">
        <f>IF(AND(($D15+$C$1)&gt;AH$3,AH$3&gt;=$C$1),'General Inputs'!F$10*$I15,IF(AND(($C15+$C$1)&gt;AH$3,AH$3&gt;=$C$1),'General Inputs'!F$10*$H15,0))</f>
        <v>2.376657650190015</v>
      </c>
      <c r="BD15" s="214">
        <f>IF(AND(($D15+$C$1)&gt;AI$3,AI$3&gt;=$C$1),'General Inputs'!G$10*$I15,IF(AND(($C15+$C$1)&gt;AI$3,AI$3&gt;=$C$1),'General Inputs'!G$10*$H15,0))</f>
        <v>2.412307514942865</v>
      </c>
      <c r="BE15" s="214">
        <f>IF(AND(($D15+$C$1)&gt;AJ$3,AJ$3&gt;=$C$1),'General Inputs'!H$10*$I15,IF(AND(($C15+$C$1)&gt;AJ$3,AJ$3&gt;=$C$1),'General Inputs'!H$10*$H15,0))</f>
        <v>2.448492127667008</v>
      </c>
      <c r="BF15" s="214">
        <f>IF(AND(($D15+$C$1)&gt;AK$3,AK$3&gt;=$C$1),'General Inputs'!I$10*$I15,IF(AND(($C15+$C$1)&gt;AK$3,AK$3&gt;=$C$1),'General Inputs'!I$10*$H15,0))</f>
        <v>2.4852195095820124</v>
      </c>
      <c r="BG15" s="214">
        <f>IF(AND(($D15+$C$1)&gt;AL$3,AL$3&gt;=$C$1),'General Inputs'!J$10*$I15,IF(AND(($C15+$C$1)&gt;AL$3,AL$3&gt;=$C$1),'General Inputs'!J$10*$H15,0))</f>
        <v>2.5224978022257427</v>
      </c>
      <c r="BH15" s="214">
        <f>IF(AND(($D15+$C$1)&gt;AM$3,AM$3&gt;=$C$1),'General Inputs'!K$10*$I15,IF(AND(($C15+$C$1)&gt;AM$3,AM$3&gt;=$C$1),'General Inputs'!K$10*$H15,0))</f>
        <v>2.5603352692591286</v>
      </c>
      <c r="BI15" s="214">
        <f>IF(AND(($D15+$C$1)&gt;AN$3,AN$3&gt;=$C$1),'General Inputs'!L$10*$I15,IF(AND(($C15+$C$1)&gt;AN$3,AN$3&gt;=$C$1),'General Inputs'!L$10*$H15,0))</f>
        <v>2.5987402982980154</v>
      </c>
      <c r="BJ15" s="214">
        <f>IF(AND(($D15+$C$1)&gt;AO$3,AO$3&gt;=$C$1),'General Inputs'!M$10*$I15,IF(AND(($C15+$C$1)&gt;AO$3,AO$3&gt;=$C$1),'General Inputs'!M$10*$H15,0))</f>
        <v>0</v>
      </c>
      <c r="BK15" s="214">
        <f>IF(AND(($D15+$C$1)&gt;AP$3,AP$3&gt;=$C$1),'General Inputs'!N$10*$I15,IF(AND(($C15+$C$1)&gt;AP$3,AP$3&gt;=$C$1),'General Inputs'!N$10*$H15,0))</f>
        <v>0</v>
      </c>
      <c r="BL15" s="214">
        <f>IF(AND(($D15+$C$1)&gt;AQ$3,AQ$3&gt;=$C$1),'General Inputs'!O$10*$I15,IF(AND(($C15+$C$1)&gt;AQ$3,AQ$3&gt;=$C$1),'General Inputs'!O$10*$H15,0))</f>
        <v>0</v>
      </c>
      <c r="BM15" s="214">
        <f>IF(AND(($D15+$C$1)&gt;AR$3,AR$3&gt;=$C$1),'General Inputs'!P$10*$I15,IF(AND(($C15+$C$1)&gt;AR$3,AR$3&gt;=$C$1),'General Inputs'!P$10*$H15,0))</f>
        <v>0</v>
      </c>
      <c r="BN15" s="214">
        <f>IF(AND(($D15+$C$1)&gt;AS$3,AS$3&gt;=$C$1),'General Inputs'!Q$10*$I15,IF(AND(($C15+$C$1)&gt;AS$3,AS$3&gt;=$C$1),'General Inputs'!Q$10*$H15,0))</f>
        <v>0</v>
      </c>
      <c r="BO15" s="214">
        <f>IF(AND(($D15+$C$1)&gt;AT$3,AT$3&gt;=$C$1),'General Inputs'!R$10*$I15,IF(AND(($C15+$C$1)&gt;AT$3,AT$3&gt;=$C$1),'General Inputs'!R$10*$H15,0))</f>
        <v>0</v>
      </c>
      <c r="BP15" s="214">
        <f>IF(AND(($D15+$C$1)&gt;AU$3,AU$3&gt;=$C$1),'General Inputs'!S$10*$I15,IF(AND(($C15+$C$1)&gt;AU$3,AU$3&gt;=$C$1),'General Inputs'!S$10*$H15,0))</f>
        <v>0</v>
      </c>
      <c r="BQ15" s="214">
        <f>IF(AND(($D15+$C$1)&gt;AV$3,AV$3&gt;=$C$1),'General Inputs'!T$10*$I15,IF(AND(($C15+$C$1)&gt;AV$3,AV$3&gt;=$C$1),'General Inputs'!T$10*$H15,0))</f>
        <v>0</v>
      </c>
      <c r="BR15" s="214">
        <f>IF(AND(($D15+$C$1)&gt;AW$3,AW$3&gt;=$C$1),'General Inputs'!U$10*$I15,IF(AND(($C15+$C$1)&gt;AW$3,AW$3&gt;=$C$1),'General Inputs'!U$10*$H15,0))</f>
        <v>0</v>
      </c>
      <c r="BS15" s="214">
        <f>IF(AND(($D15+$C$1)&gt;AX$3,AX$3&gt;=$C$1),'General Inputs'!V$10*$I15,IF(AND(($C15+$C$1)&gt;AX$3,AX$3&gt;=$C$1),'General Inputs'!V$10*$H15,0))</f>
        <v>0</v>
      </c>
      <c r="BT15" s="214">
        <f>IF(AND(($D15+$C$1)&gt;AY$3,AY$3&gt;=$C$1),'General Inputs'!W$10*$I15,IF(AND(($C15+$C$1)&gt;AY$3,AY$3&gt;=$C$1),'General Inputs'!W$10*$H15,0))</f>
        <v>0</v>
      </c>
    </row>
    <row r="16" spans="1:73">
      <c r="A16" s="341" t="s">
        <v>12</v>
      </c>
      <c r="B16" s="427" t="str">
        <f>Sources!B16</f>
        <v>Freezer Recycle</v>
      </c>
      <c r="C16" s="193">
        <f>Sources!C16</f>
        <v>8</v>
      </c>
      <c r="D16" s="193">
        <f>Sources!D16</f>
        <v>0</v>
      </c>
      <c r="F16" s="429">
        <f>Sources!F16*EnergyLineLoss</f>
        <v>1156.9349999999999</v>
      </c>
      <c r="G16" s="429">
        <f>Sources!G16*EnergyLineLoss</f>
        <v>0</v>
      </c>
      <c r="H16" s="477">
        <f>Sources!H16*PeakLineLoss</f>
        <v>0.13207020547945206</v>
      </c>
      <c r="I16" s="477">
        <f>Sources!I16*PeakLineLoss</f>
        <v>0</v>
      </c>
      <c r="K16" s="419">
        <f>Sources!J16</f>
        <v>93</v>
      </c>
      <c r="L16" s="419">
        <f>Sources!K16</f>
        <v>0</v>
      </c>
      <c r="N16" s="438">
        <f t="shared" si="4"/>
        <v>3.3271363841448771</v>
      </c>
      <c r="P16" s="215">
        <f t="shared" si="0"/>
        <v>272.58848591679651</v>
      </c>
      <c r="Q16" s="215">
        <f t="shared" si="1"/>
        <v>11.703763004072259</v>
      </c>
      <c r="R16" s="215">
        <f t="shared" si="2"/>
        <v>85.446527012127888</v>
      </c>
      <c r="T16" s="214">
        <f t="shared" si="3"/>
        <v>0</v>
      </c>
      <c r="U16" s="214">
        <f t="shared" si="3"/>
        <v>93</v>
      </c>
      <c r="V16" s="214">
        <f t="shared" si="3"/>
        <v>0</v>
      </c>
      <c r="W16" s="214">
        <f t="shared" si="3"/>
        <v>0</v>
      </c>
      <c r="X16" s="214">
        <f t="shared" si="3"/>
        <v>0</v>
      </c>
      <c r="Y16" s="214">
        <f t="shared" si="3"/>
        <v>0</v>
      </c>
      <c r="Z16" s="214">
        <f t="shared" si="3"/>
        <v>0</v>
      </c>
      <c r="AA16" s="214">
        <f t="shared" si="3"/>
        <v>0</v>
      </c>
      <c r="AB16" s="214">
        <f t="shared" si="3"/>
        <v>0</v>
      </c>
      <c r="AC16" s="214">
        <f t="shared" si="3"/>
        <v>0</v>
      </c>
      <c r="AD16" s="214">
        <f t="shared" si="3"/>
        <v>0</v>
      </c>
      <c r="AF16" s="214">
        <f>IF(AND(($D16+$C$1)&gt;AF$3,AF$3&gt;=$C$1),'General Inputs'!D$9*$G16,IF(AND(($C16+$C$1)&gt;AF$3,AF$3&gt;=$C$1),'General Inputs'!D$9*$F16,0))</f>
        <v>0</v>
      </c>
      <c r="AG16" s="214">
        <f>IF(AND(($D16+$C$1)&gt;AG$3,AG$3&gt;=$C$1),'General Inputs'!E$9*$G16,IF(AND(($C16+$C$1)&gt;AG$3,AG$3&gt;=$C$1),'General Inputs'!E$9*$F16,0))</f>
        <v>46.751110829054994</v>
      </c>
      <c r="AH16" s="214">
        <f>IF(AND(($D16+$C$1)&gt;AH$3,AH$3&gt;=$C$1),'General Inputs'!F$9*$G16,IF(AND(($C16+$C$1)&gt;AH$3,AH$3&gt;=$C$1),'General Inputs'!F$9*$F16,0))</f>
        <v>47.452377491490815</v>
      </c>
      <c r="AI16" s="214">
        <f>IF(AND(($D16+$C$1)&gt;AI$3,AI$3&gt;=$C$1),'General Inputs'!G$9*$G16,IF(AND(($C16+$C$1)&gt;AI$3,AI$3&gt;=$C$1),'General Inputs'!G$9*$F16,0))</f>
        <v>48.164163153863171</v>
      </c>
      <c r="AJ16" s="214">
        <f>IF(AND(($D16+$C$1)&gt;AJ$3,AJ$3&gt;=$C$1),'General Inputs'!H$9*$G16,IF(AND(($C16+$C$1)&gt;AJ$3,AJ$3&gt;=$C$1),'General Inputs'!H$9*$F16,0))</f>
        <v>48.886625601171119</v>
      </c>
      <c r="AK16" s="214">
        <f>IF(AND(($D16+$C$1)&gt;AK$3,AK$3&gt;=$C$1),'General Inputs'!I$9*$G16,IF(AND(($C16+$C$1)&gt;AK$3,AK$3&gt;=$C$1),'General Inputs'!I$9*$F16,0))</f>
        <v>49.619924985188675</v>
      </c>
      <c r="AL16" s="214">
        <f>IF(AND(($D16+$C$1)&gt;AL$3,AL$3&gt;=$C$1),'General Inputs'!J$9*$G16,IF(AND(($C16+$C$1)&gt;AL$3,AL$3&gt;=$C$1),'General Inputs'!J$9*$F16,0))</f>
        <v>50.364223859966501</v>
      </c>
      <c r="AM16" s="214">
        <f>IF(AND(($D16+$C$1)&gt;AM$3,AM$3&gt;=$C$1),'General Inputs'!K$9*$G16,IF(AND(($C16+$C$1)&gt;AM$3,AM$3&gt;=$C$1),'General Inputs'!K$9*$F16,0))</f>
        <v>51.119687217865987</v>
      </c>
      <c r="AN16" s="214">
        <f>IF(AND(($D16+$C$1)&gt;AN$3,AN$3&gt;=$C$1),'General Inputs'!L$9*$G16,IF(AND(($C16+$C$1)&gt;AN$3,AN$3&gt;=$C$1),'General Inputs'!L$9*$F16,0))</f>
        <v>51.886482526133975</v>
      </c>
      <c r="AO16" s="214">
        <f>IF(AND(($D16+$C$1)&gt;AO$3,AO$3&gt;=$C$1),'General Inputs'!M$9*$G16,IF(AND(($C16+$C$1)&gt;AO$3,AO$3&gt;=$C$1),'General Inputs'!M$9*$F16,0))</f>
        <v>0</v>
      </c>
      <c r="AP16" s="214">
        <f>IF(AND(($D16+$C$1)&gt;AP$3,AP$3&gt;=$C$1),'General Inputs'!N$9*$G16,IF(AND(($C16+$C$1)&gt;AP$3,AP$3&gt;=$C$1),'General Inputs'!N$9*$F16,0))</f>
        <v>0</v>
      </c>
      <c r="AQ16" s="214">
        <f>IF(AND(($D16+$C$1)&gt;AQ$3,AQ$3&gt;=$C$1),'General Inputs'!O$9*$G16,IF(AND(($C16+$C$1)&gt;AQ$3,AQ$3&gt;=$C$1),'General Inputs'!O$9*$F16,0))</f>
        <v>0</v>
      </c>
      <c r="AR16" s="214">
        <f>IF(AND(($D16+$C$1)&gt;AR$3,AR$3&gt;=$C$1),'General Inputs'!P$9*$G16,IF(AND(($C16+$C$1)&gt;AR$3,AR$3&gt;=$C$1),'General Inputs'!P$9*$F16,0))</f>
        <v>0</v>
      </c>
      <c r="AS16" s="214">
        <f>IF(AND(($D16+$C$1)&gt;AS$3,AS$3&gt;=$C$1),'General Inputs'!Q$9*$G16,IF(AND(($C16+$C$1)&gt;AS$3,AS$3&gt;=$C$1),'General Inputs'!Q$9*$F16,0))</f>
        <v>0</v>
      </c>
      <c r="AT16" s="214">
        <f>IF(AND(($D16+$C$1)&gt;AT$3,AT$3&gt;=$C$1),'General Inputs'!R$9*$G16,IF(AND(($C16+$C$1)&gt;AT$3,AT$3&gt;=$C$1),'General Inputs'!R$9*$F16,0))</f>
        <v>0</v>
      </c>
      <c r="AU16" s="214">
        <f>IF(AND(($D16+$C$1)&gt;AU$3,AU$3&gt;=$C$1),'General Inputs'!S$9*$G16,IF(AND(($C16+$C$1)&gt;AU$3,AU$3&gt;=$C$1),'General Inputs'!S$9*$F16,0))</f>
        <v>0</v>
      </c>
      <c r="AV16" s="214">
        <f>IF(AND(($D16+$C$1)&gt;AV$3,AV$3&gt;=$C$1),'General Inputs'!T$9*$G16,IF(AND(($C16+$C$1)&gt;AV$3,AV$3&gt;=$C$1),'General Inputs'!T$9*$F16,0))</f>
        <v>0</v>
      </c>
      <c r="AW16" s="214">
        <f>IF(AND(($D16+$C$1)&gt;AW$3,AW$3&gt;=$C$1),'General Inputs'!U$9*$G16,IF(AND(($C16+$C$1)&gt;AW$3,AW$3&gt;=$C$1),'General Inputs'!U$9*$F16,0))</f>
        <v>0</v>
      </c>
      <c r="AX16" s="214">
        <f>IF(AND(($D16+$C$1)&gt;AX$3,AX$3&gt;=$C$1),'General Inputs'!V$9*$G16,IF(AND(($C16+$C$1)&gt;AX$3,AX$3&gt;=$C$1),'General Inputs'!V$9*$F16,0))</f>
        <v>0</v>
      </c>
      <c r="AY16" s="214">
        <f>IF(AND(($D16+$C$1)&gt;AY$3,AY$3&gt;=$C$1),'General Inputs'!W$9*$G16,IF(AND(($C16+$C$1)&gt;AY$3,AY$3&gt;=$C$1),'General Inputs'!W$9*$F16,0))</f>
        <v>0</v>
      </c>
      <c r="BA16" s="214">
        <f>IF(AND(($D16+$C$1)&gt;AF$3,AF$3&gt;=$C$1),'General Inputs'!D$10*$I16,IF(AND(($C16+$C$1)&gt;AF$3,AF$3&gt;=$C$1),'General Inputs'!D$10*$H16,0))</f>
        <v>0</v>
      </c>
      <c r="BB16" s="214">
        <f>IF(AND(($D16+$C$1)&gt;AG$3,AG$3&gt;=$C$1),'General Inputs'!E$10*$I16,IF(AND(($C16+$C$1)&gt;AG$3,AG$3&gt;=$C$1),'General Inputs'!E$10*$H16,0))</f>
        <v>2.0072891908111967</v>
      </c>
      <c r="BC16" s="214">
        <f>IF(AND(($D16+$C$1)&gt;AH$3,AH$3&gt;=$C$1),'General Inputs'!F$10*$I16,IF(AND(($C16+$C$1)&gt;AH$3,AH$3&gt;=$C$1),'General Inputs'!F$10*$H16,0))</f>
        <v>2.0373985286733647</v>
      </c>
      <c r="BD16" s="214">
        <f>IF(AND(($D16+$C$1)&gt;AI$3,AI$3&gt;=$C$1),'General Inputs'!G$10*$I16,IF(AND(($C16+$C$1)&gt;AI$3,AI$3&gt;=$C$1),'General Inputs'!G$10*$H16,0))</f>
        <v>2.0679595066034651</v>
      </c>
      <c r="BE16" s="214">
        <f>IF(AND(($D16+$C$1)&gt;AJ$3,AJ$3&gt;=$C$1),'General Inputs'!H$10*$I16,IF(AND(($C16+$C$1)&gt;AJ$3,AJ$3&gt;=$C$1),'General Inputs'!H$10*$H16,0))</f>
        <v>2.0989788992025167</v>
      </c>
      <c r="BF16" s="214">
        <f>IF(AND(($D16+$C$1)&gt;AK$3,AK$3&gt;=$C$1),'General Inputs'!I$10*$I16,IF(AND(($C16+$C$1)&gt;AK$3,AK$3&gt;=$C$1),'General Inputs'!I$10*$H16,0))</f>
        <v>2.1304635826905538</v>
      </c>
      <c r="BG16" s="214">
        <f>IF(AND(($D16+$C$1)&gt;AL$3,AL$3&gt;=$C$1),'General Inputs'!J$10*$I16,IF(AND(($C16+$C$1)&gt;AL$3,AL$3&gt;=$C$1),'General Inputs'!J$10*$H16,0))</f>
        <v>2.1624205364309121</v>
      </c>
      <c r="BH16" s="214">
        <f>IF(AND(($D16+$C$1)&gt;AM$3,AM$3&gt;=$C$1),'General Inputs'!K$10*$I16,IF(AND(($C16+$C$1)&gt;AM$3,AM$3&gt;=$C$1),'General Inputs'!K$10*$H16,0))</f>
        <v>2.1948568444773757</v>
      </c>
      <c r="BI16" s="214">
        <f>IF(AND(($D16+$C$1)&gt;AN$3,AN$3&gt;=$C$1),'General Inputs'!L$10*$I16,IF(AND(($C16+$C$1)&gt;AN$3,AN$3&gt;=$C$1),'General Inputs'!L$10*$H16,0))</f>
        <v>2.2277796971445363</v>
      </c>
      <c r="BJ16" s="214">
        <f>IF(AND(($D16+$C$1)&gt;AO$3,AO$3&gt;=$C$1),'General Inputs'!M$10*$I16,IF(AND(($C16+$C$1)&gt;AO$3,AO$3&gt;=$C$1),'General Inputs'!M$10*$H16,0))</f>
        <v>0</v>
      </c>
      <c r="BK16" s="214">
        <f>IF(AND(($D16+$C$1)&gt;AP$3,AP$3&gt;=$C$1),'General Inputs'!N$10*$I16,IF(AND(($C16+$C$1)&gt;AP$3,AP$3&gt;=$C$1),'General Inputs'!N$10*$H16,0))</f>
        <v>0</v>
      </c>
      <c r="BL16" s="214">
        <f>IF(AND(($D16+$C$1)&gt;AQ$3,AQ$3&gt;=$C$1),'General Inputs'!O$10*$I16,IF(AND(($C16+$C$1)&gt;AQ$3,AQ$3&gt;=$C$1),'General Inputs'!O$10*$H16,0))</f>
        <v>0</v>
      </c>
      <c r="BM16" s="214">
        <f>IF(AND(($D16+$C$1)&gt;AR$3,AR$3&gt;=$C$1),'General Inputs'!P$10*$I16,IF(AND(($C16+$C$1)&gt;AR$3,AR$3&gt;=$C$1),'General Inputs'!P$10*$H16,0))</f>
        <v>0</v>
      </c>
      <c r="BN16" s="214">
        <f>IF(AND(($D16+$C$1)&gt;AS$3,AS$3&gt;=$C$1),'General Inputs'!Q$10*$I16,IF(AND(($C16+$C$1)&gt;AS$3,AS$3&gt;=$C$1),'General Inputs'!Q$10*$H16,0))</f>
        <v>0</v>
      </c>
      <c r="BO16" s="214">
        <f>IF(AND(($D16+$C$1)&gt;AT$3,AT$3&gt;=$C$1),'General Inputs'!R$10*$I16,IF(AND(($C16+$C$1)&gt;AT$3,AT$3&gt;=$C$1),'General Inputs'!R$10*$H16,0))</f>
        <v>0</v>
      </c>
      <c r="BP16" s="214">
        <f>IF(AND(($D16+$C$1)&gt;AU$3,AU$3&gt;=$C$1),'General Inputs'!S$10*$I16,IF(AND(($C16+$C$1)&gt;AU$3,AU$3&gt;=$C$1),'General Inputs'!S$10*$H16,0))</f>
        <v>0</v>
      </c>
      <c r="BQ16" s="214">
        <f>IF(AND(($D16+$C$1)&gt;AV$3,AV$3&gt;=$C$1),'General Inputs'!T$10*$I16,IF(AND(($C16+$C$1)&gt;AV$3,AV$3&gt;=$C$1),'General Inputs'!T$10*$H16,0))</f>
        <v>0</v>
      </c>
      <c r="BR16" s="214">
        <f>IF(AND(($D16+$C$1)&gt;AW$3,AW$3&gt;=$C$1),'General Inputs'!U$10*$I16,IF(AND(($C16+$C$1)&gt;AW$3,AW$3&gt;=$C$1),'General Inputs'!U$10*$H16,0))</f>
        <v>0</v>
      </c>
      <c r="BS16" s="214">
        <f>IF(AND(($D16+$C$1)&gt;AX$3,AX$3&gt;=$C$1),'General Inputs'!V$10*$I16,IF(AND(($C16+$C$1)&gt;AX$3,AX$3&gt;=$C$1),'General Inputs'!V$10*$H16,0))</f>
        <v>0</v>
      </c>
      <c r="BT16" s="214">
        <f>IF(AND(($D16+$C$1)&gt;AY$3,AY$3&gt;=$C$1),'General Inputs'!W$10*$I16,IF(AND(($C16+$C$1)&gt;AY$3,AY$3&gt;=$C$1),'General Inputs'!W$10*$H16,0))</f>
        <v>0</v>
      </c>
    </row>
    <row r="17" spans="1:72">
      <c r="A17" s="341" t="s">
        <v>12</v>
      </c>
      <c r="B17" s="427" t="str">
        <f>Sources!B17</f>
        <v>Air Sealing (Electric Heat)</v>
      </c>
      <c r="C17" s="193">
        <f>Sources!C17</f>
        <v>15</v>
      </c>
      <c r="D17" s="193">
        <f>Sources!D17</f>
        <v>0</v>
      </c>
      <c r="F17" s="429">
        <f>Sources!F17*EnergyLineLoss</f>
        <v>1407.4859889169311</v>
      </c>
      <c r="G17" s="429">
        <f>Sources!G17*EnergyLineLoss</f>
        <v>0</v>
      </c>
      <c r="H17" s="477">
        <f>Sources!H17*PeakLineLoss</f>
        <v>0.59892676519981936</v>
      </c>
      <c r="I17" s="477">
        <f>Sources!I17*PeakLineLoss</f>
        <v>0</v>
      </c>
      <c r="K17" s="419">
        <f>Sources!J17</f>
        <v>272</v>
      </c>
      <c r="L17" s="419">
        <f>Sources!K17</f>
        <v>0</v>
      </c>
      <c r="N17" s="438">
        <f t="shared" si="4"/>
        <v>2.3347995858482289</v>
      </c>
      <c r="P17" s="215">
        <f t="shared" si="0"/>
        <v>502.98358373172886</v>
      </c>
      <c r="Q17" s="215">
        <f t="shared" si="1"/>
        <v>80.501796046586307</v>
      </c>
      <c r="R17" s="215">
        <f t="shared" si="2"/>
        <v>249.90812201396545</v>
      </c>
      <c r="T17" s="214">
        <f t="shared" si="3"/>
        <v>0</v>
      </c>
      <c r="U17" s="214">
        <f t="shared" si="3"/>
        <v>272</v>
      </c>
      <c r="V17" s="214">
        <f t="shared" si="3"/>
        <v>0</v>
      </c>
      <c r="W17" s="214">
        <f t="shared" si="3"/>
        <v>0</v>
      </c>
      <c r="X17" s="214">
        <f t="shared" si="3"/>
        <v>0</v>
      </c>
      <c r="Y17" s="214">
        <f t="shared" si="3"/>
        <v>0</v>
      </c>
      <c r="Z17" s="214">
        <f t="shared" si="3"/>
        <v>0</v>
      </c>
      <c r="AA17" s="214">
        <f t="shared" si="3"/>
        <v>0</v>
      </c>
      <c r="AB17" s="214">
        <f t="shared" si="3"/>
        <v>0</v>
      </c>
      <c r="AC17" s="214">
        <f t="shared" si="3"/>
        <v>0</v>
      </c>
      <c r="AD17" s="214">
        <f t="shared" si="3"/>
        <v>0</v>
      </c>
      <c r="AF17" s="214">
        <f>IF(AND(($D17+$C$1)&gt;AF$3,AF$3&gt;=$C$1),'General Inputs'!D$9*$G17,IF(AND(($C17+$C$1)&gt;AF$3,AF$3&gt;=$C$1),'General Inputs'!D$9*$F17,0))</f>
        <v>0</v>
      </c>
      <c r="AG17" s="214">
        <f>IF(AND(($D17+$C$1)&gt;AG$3,AG$3&gt;=$C$1),'General Inputs'!E$9*$G17,IF(AND(($C17+$C$1)&gt;AG$3,AG$3&gt;=$C$1),'General Inputs'!E$9*$F17,0))</f>
        <v>56.875739309639279</v>
      </c>
      <c r="AH17" s="214">
        <f>IF(AND(($D17+$C$1)&gt;AH$3,AH$3&gt;=$C$1),'General Inputs'!F$9*$G17,IF(AND(($C17+$C$1)&gt;AH$3,AH$3&gt;=$C$1),'General Inputs'!F$9*$F17,0))</f>
        <v>57.728875399283865</v>
      </c>
      <c r="AI17" s="214">
        <f>IF(AND(($D17+$C$1)&gt;AI$3,AI$3&gt;=$C$1),'General Inputs'!G$9*$G17,IF(AND(($C17+$C$1)&gt;AI$3,AI$3&gt;=$C$1),'General Inputs'!G$9*$F17,0))</f>
        <v>58.59480853027312</v>
      </c>
      <c r="AJ17" s="214">
        <f>IF(AND(($D17+$C$1)&gt;AJ$3,AJ$3&gt;=$C$1),'General Inputs'!H$9*$G17,IF(AND(($C17+$C$1)&gt;AJ$3,AJ$3&gt;=$C$1),'General Inputs'!H$9*$F17,0))</f>
        <v>59.473730658227204</v>
      </c>
      <c r="AK17" s="214">
        <f>IF(AND(($D17+$C$1)&gt;AK$3,AK$3&gt;=$C$1),'General Inputs'!I$9*$G17,IF(AND(($C17+$C$1)&gt;AK$3,AK$3&gt;=$C$1),'General Inputs'!I$9*$F17,0))</f>
        <v>60.365836618100602</v>
      </c>
      <c r="AL17" s="214">
        <f>IF(AND(($D17+$C$1)&gt;AL$3,AL$3&gt;=$C$1),'General Inputs'!J$9*$G17,IF(AND(($C17+$C$1)&gt;AL$3,AL$3&gt;=$C$1),'General Inputs'!J$9*$F17,0))</f>
        <v>61.271324167372107</v>
      </c>
      <c r="AM17" s="214">
        <f>IF(AND(($D17+$C$1)&gt;AM$3,AM$3&gt;=$C$1),'General Inputs'!K$9*$G17,IF(AND(($C17+$C$1)&gt;AM$3,AM$3&gt;=$C$1),'General Inputs'!K$9*$F17,0))</f>
        <v>62.190394029882675</v>
      </c>
      <c r="AN17" s="214">
        <f>IF(AND(($D17+$C$1)&gt;AN$3,AN$3&gt;=$C$1),'General Inputs'!L$9*$G17,IF(AND(($C17+$C$1)&gt;AN$3,AN$3&gt;=$C$1),'General Inputs'!L$9*$F17,0))</f>
        <v>63.123249940330915</v>
      </c>
      <c r="AO17" s="214">
        <f>IF(AND(($D17+$C$1)&gt;AO$3,AO$3&gt;=$C$1),'General Inputs'!M$9*$G17,IF(AND(($C17+$C$1)&gt;AO$3,AO$3&gt;=$C$1),'General Inputs'!M$9*$F17,0))</f>
        <v>64.070098689435866</v>
      </c>
      <c r="AP17" s="214">
        <f>IF(AND(($D17+$C$1)&gt;AP$3,AP$3&gt;=$C$1),'General Inputs'!N$9*$G17,IF(AND(($C17+$C$1)&gt;AP$3,AP$3&gt;=$C$1),'General Inputs'!N$9*$F17,0))</f>
        <v>65.031150169777405</v>
      </c>
      <c r="AQ17" s="214">
        <f>IF(AND(($D17+$C$1)&gt;AQ$3,AQ$3&gt;=$C$1),'General Inputs'!O$9*$G17,IF(AND(($C17+$C$1)&gt;AQ$3,AQ$3&gt;=$C$1),'General Inputs'!O$9*$F17,0))</f>
        <v>66.006617422324055</v>
      </c>
      <c r="AR17" s="214">
        <f>IF(AND(($D17+$C$1)&gt;AR$3,AR$3&gt;=$C$1),'General Inputs'!P$9*$G17,IF(AND(($C17+$C$1)&gt;AR$3,AR$3&gt;=$C$1),'General Inputs'!P$9*$F17,0))</f>
        <v>66.996716683658903</v>
      </c>
      <c r="AS17" s="214">
        <f>IF(AND(($D17+$C$1)&gt;AS$3,AS$3&gt;=$C$1),'General Inputs'!Q$9*$G17,IF(AND(($C17+$C$1)&gt;AS$3,AS$3&gt;=$C$1),'General Inputs'!Q$9*$F17,0))</f>
        <v>68.001667433913781</v>
      </c>
      <c r="AT17" s="214">
        <f>IF(AND(($D17+$C$1)&gt;AT$3,AT$3&gt;=$C$1),'General Inputs'!R$9*$G17,IF(AND(($C17+$C$1)&gt;AT$3,AT$3&gt;=$C$1),'General Inputs'!R$9*$F17,0))</f>
        <v>69.021692445422488</v>
      </c>
      <c r="AU17" s="214">
        <f>IF(AND(($D17+$C$1)&gt;AU$3,AU$3&gt;=$C$1),'General Inputs'!S$9*$G17,IF(AND(($C17+$C$1)&gt;AU$3,AU$3&gt;=$C$1),'General Inputs'!S$9*$F17,0))</f>
        <v>70.057017832103824</v>
      </c>
      <c r="AV17" s="214">
        <f>IF(AND(($D17+$C$1)&gt;AV$3,AV$3&gt;=$C$1),'General Inputs'!T$9*$G17,IF(AND(($C17+$C$1)&gt;AV$3,AV$3&gt;=$C$1),'General Inputs'!T$9*$F17,0))</f>
        <v>0</v>
      </c>
      <c r="AW17" s="214">
        <f>IF(AND(($D17+$C$1)&gt;AW$3,AW$3&gt;=$C$1),'General Inputs'!U$9*$G17,IF(AND(($C17+$C$1)&gt;AW$3,AW$3&gt;=$C$1),'General Inputs'!U$9*$F17,0))</f>
        <v>0</v>
      </c>
      <c r="AX17" s="214">
        <f>IF(AND(($D17+$C$1)&gt;AX$3,AX$3&gt;=$C$1),'General Inputs'!V$9*$G17,IF(AND(($C17+$C$1)&gt;AX$3,AX$3&gt;=$C$1),'General Inputs'!V$9*$F17,0))</f>
        <v>0</v>
      </c>
      <c r="AY17" s="214">
        <f>IF(AND(($D17+$C$1)&gt;AY$3,AY$3&gt;=$C$1),'General Inputs'!W$9*$G17,IF(AND(($C17+$C$1)&gt;AY$3,AY$3&gt;=$C$1),'General Inputs'!W$9*$F17,0))</f>
        <v>0</v>
      </c>
      <c r="BA17" s="214">
        <f>IF(AND(($D17+$C$1)&gt;AF$3,AF$3&gt;=$C$1),'General Inputs'!D$10*$I17,IF(AND(($C17+$C$1)&gt;AF$3,AF$3&gt;=$C$1),'General Inputs'!D$10*$H17,0))</f>
        <v>0</v>
      </c>
      <c r="BB17" s="214">
        <f>IF(AND(($D17+$C$1)&gt;AG$3,AG$3&gt;=$C$1),'General Inputs'!E$10*$I17,IF(AND(($C17+$C$1)&gt;AG$3,AG$3&gt;=$C$1),'General Inputs'!E$10*$H17,0))</f>
        <v>9.1028799229070518</v>
      </c>
      <c r="BC17" s="214">
        <f>IF(AND(($D17+$C$1)&gt;AH$3,AH$3&gt;=$C$1),'General Inputs'!F$10*$I17,IF(AND(($C17+$C$1)&gt;AH$3,AH$3&gt;=$C$1),'General Inputs'!F$10*$H17,0))</f>
        <v>9.2394231217506562</v>
      </c>
      <c r="BD17" s="214">
        <f>IF(AND(($D17+$C$1)&gt;AI$3,AI$3&gt;=$C$1),'General Inputs'!G$10*$I17,IF(AND(($C17+$C$1)&gt;AI$3,AI$3&gt;=$C$1),'General Inputs'!G$10*$H17,0))</f>
        <v>9.3780144685769162</v>
      </c>
      <c r="BE17" s="214">
        <f>IF(AND(($D17+$C$1)&gt;AJ$3,AJ$3&gt;=$C$1),'General Inputs'!H$10*$I17,IF(AND(($C17+$C$1)&gt;AJ$3,AJ$3&gt;=$C$1),'General Inputs'!H$10*$H17,0))</f>
        <v>9.5186846856055691</v>
      </c>
      <c r="BF17" s="214">
        <f>IF(AND(($D17+$C$1)&gt;AK$3,AK$3&gt;=$C$1),'General Inputs'!I$10*$I17,IF(AND(($C17+$C$1)&gt;AK$3,AK$3&gt;=$C$1),'General Inputs'!I$10*$H17,0))</f>
        <v>9.6614649558896506</v>
      </c>
      <c r="BG17" s="214">
        <f>IF(AND(($D17+$C$1)&gt;AL$3,AL$3&gt;=$C$1),'General Inputs'!J$10*$I17,IF(AND(($C17+$C$1)&gt;AL$3,AL$3&gt;=$C$1),'General Inputs'!J$10*$H17,0))</f>
        <v>9.806386930227994</v>
      </c>
      <c r="BH17" s="214">
        <f>IF(AND(($D17+$C$1)&gt;AM$3,AM$3&gt;=$C$1),'General Inputs'!K$10*$I17,IF(AND(($C17+$C$1)&gt;AM$3,AM$3&gt;=$C$1),'General Inputs'!K$10*$H17,0))</f>
        <v>9.9534827341814136</v>
      </c>
      <c r="BI17" s="214">
        <f>IF(AND(($D17+$C$1)&gt;AN$3,AN$3&gt;=$C$1),'General Inputs'!L$10*$I17,IF(AND(($C17+$C$1)&gt;AN$3,AN$3&gt;=$C$1),'General Inputs'!L$10*$H17,0))</f>
        <v>10.102784975194133</v>
      </c>
      <c r="BJ17" s="214">
        <f>IF(AND(($D17+$C$1)&gt;AO$3,AO$3&gt;=$C$1),'General Inputs'!M$10*$I17,IF(AND(($C17+$C$1)&gt;AO$3,AO$3&gt;=$C$1),'General Inputs'!M$10*$H17,0))</f>
        <v>10.254326749822045</v>
      </c>
      <c r="BK17" s="214">
        <f>IF(AND(($D17+$C$1)&gt;AP$3,AP$3&gt;=$C$1),'General Inputs'!N$10*$I17,IF(AND(($C17+$C$1)&gt;AP$3,AP$3&gt;=$C$1),'General Inputs'!N$10*$H17,0))</f>
        <v>10.408141651069375</v>
      </c>
      <c r="BL17" s="214">
        <f>IF(AND(($D17+$C$1)&gt;AQ$3,AQ$3&gt;=$C$1),'General Inputs'!O$10*$I17,IF(AND(($C17+$C$1)&gt;AQ$3,AQ$3&gt;=$C$1),'General Inputs'!O$10*$H17,0))</f>
        <v>10.564263775835414</v>
      </c>
      <c r="BM17" s="214">
        <f>IF(AND(($D17+$C$1)&gt;AR$3,AR$3&gt;=$C$1),'General Inputs'!P$10*$I17,IF(AND(($C17+$C$1)&gt;AR$3,AR$3&gt;=$C$1),'General Inputs'!P$10*$H17,0))</f>
        <v>10.722727732472945</v>
      </c>
      <c r="BN17" s="214">
        <f>IF(AND(($D17+$C$1)&gt;AS$3,AS$3&gt;=$C$1),'General Inputs'!Q$10*$I17,IF(AND(($C17+$C$1)&gt;AS$3,AS$3&gt;=$C$1),'General Inputs'!Q$10*$H17,0))</f>
        <v>10.883568648460038</v>
      </c>
      <c r="BO17" s="214">
        <f>IF(AND(($D17+$C$1)&gt;AT$3,AT$3&gt;=$C$1),'General Inputs'!R$10*$I17,IF(AND(($C17+$C$1)&gt;AT$3,AT$3&gt;=$C$1),'General Inputs'!R$10*$H17,0))</f>
        <v>11.046822178186936</v>
      </c>
      <c r="BP17" s="214">
        <f>IF(AND(($D17+$C$1)&gt;AU$3,AU$3&gt;=$C$1),'General Inputs'!S$10*$I17,IF(AND(($C17+$C$1)&gt;AU$3,AU$3&gt;=$C$1),'General Inputs'!S$10*$H17,0))</f>
        <v>11.21252451085974</v>
      </c>
      <c r="BQ17" s="214">
        <f>IF(AND(($D17+$C$1)&gt;AV$3,AV$3&gt;=$C$1),'General Inputs'!T$10*$I17,IF(AND(($C17+$C$1)&gt;AV$3,AV$3&gt;=$C$1),'General Inputs'!T$10*$H17,0))</f>
        <v>0</v>
      </c>
      <c r="BR17" s="214">
        <f>IF(AND(($D17+$C$1)&gt;AW$3,AW$3&gt;=$C$1),'General Inputs'!U$10*$I17,IF(AND(($C17+$C$1)&gt;AW$3,AW$3&gt;=$C$1),'General Inputs'!U$10*$H17,0))</f>
        <v>0</v>
      </c>
      <c r="BS17" s="214">
        <f>IF(AND(($D17+$C$1)&gt;AX$3,AX$3&gt;=$C$1),'General Inputs'!V$10*$I17,IF(AND(($C17+$C$1)&gt;AX$3,AX$3&gt;=$C$1),'General Inputs'!V$10*$H17,0))</f>
        <v>0</v>
      </c>
      <c r="BT17" s="214">
        <f>IF(AND(($D17+$C$1)&gt;AY$3,AY$3&gt;=$C$1),'General Inputs'!W$10*$I17,IF(AND(($C17+$C$1)&gt;AY$3,AY$3&gt;=$C$1),'General Inputs'!W$10*$H17,0))</f>
        <v>0</v>
      </c>
    </row>
    <row r="18" spans="1:72">
      <c r="A18" s="341" t="s">
        <v>12</v>
      </c>
      <c r="B18" s="427" t="str">
        <f>Sources!B18</f>
        <v>Air Sealing (Gas Heat)</v>
      </c>
      <c r="C18" s="193">
        <f>Sources!C18</f>
        <v>15</v>
      </c>
      <c r="D18" s="193">
        <f>Sources!D18</f>
        <v>0</v>
      </c>
      <c r="F18" s="429">
        <f>Sources!F18*EnergyLineLoss</f>
        <v>59.823316216216213</v>
      </c>
      <c r="G18" s="429">
        <f>Sources!G18*EnergyLineLoss</f>
        <v>0</v>
      </c>
      <c r="H18" s="477">
        <f>Sources!H18*PeakLineLoss</f>
        <v>9.2307477804111013E-2</v>
      </c>
      <c r="I18" s="477">
        <f>Sources!I18*PeakLineLoss</f>
        <v>0</v>
      </c>
      <c r="K18" s="419">
        <f>Sources!J18</f>
        <v>272</v>
      </c>
      <c r="L18" s="419">
        <f>Sources!K18</f>
        <v>0</v>
      </c>
      <c r="N18" s="438">
        <f t="shared" ref="N18" si="5">IF(R18&gt;0,(P18+Q18)/R18,"n/a")</f>
        <v>0.13519249538272815</v>
      </c>
      <c r="P18" s="215">
        <f t="shared" ref="P18" si="6">AF18+NPV(DiscountRate,AG18:AY18)</f>
        <v>21.378646905255117</v>
      </c>
      <c r="Q18" s="215">
        <f t="shared" ref="Q18" si="7">BA18+NPV(DiscountRate,BB18:BT18)</f>
        <v>12.40705572622417</v>
      </c>
      <c r="R18" s="215">
        <f t="shared" ref="R18" si="8">T18+NPV(DiscountRate,U18:AD18)</f>
        <v>249.90812201396545</v>
      </c>
      <c r="T18" s="214">
        <f t="shared" si="3"/>
        <v>0</v>
      </c>
      <c r="U18" s="214">
        <f t="shared" si="3"/>
        <v>272</v>
      </c>
      <c r="V18" s="214">
        <f t="shared" si="3"/>
        <v>0</v>
      </c>
      <c r="W18" s="214">
        <f t="shared" si="3"/>
        <v>0</v>
      </c>
      <c r="X18" s="214">
        <f t="shared" si="3"/>
        <v>0</v>
      </c>
      <c r="Y18" s="214">
        <f t="shared" si="3"/>
        <v>0</v>
      </c>
      <c r="Z18" s="214">
        <f t="shared" si="3"/>
        <v>0</v>
      </c>
      <c r="AA18" s="214">
        <f t="shared" si="3"/>
        <v>0</v>
      </c>
      <c r="AB18" s="214">
        <f t="shared" si="3"/>
        <v>0</v>
      </c>
      <c r="AC18" s="214">
        <f t="shared" si="3"/>
        <v>0</v>
      </c>
      <c r="AD18" s="214">
        <f t="shared" si="3"/>
        <v>0</v>
      </c>
      <c r="AF18" s="214">
        <f>IF(AND(($D18+$C$1)&gt;AF$3,AF$3&gt;=$C$1),'General Inputs'!D$9*$G18,IF(AND(($C18+$C$1)&gt;AF$3,AF$3&gt;=$C$1),'General Inputs'!D$9*$F18,0))</f>
        <v>0</v>
      </c>
      <c r="AG18" s="214">
        <f>IF(AND(($D18+$C$1)&gt;AG$3,AG$3&gt;=$C$1),'General Inputs'!E$9*$G18,IF(AND(($C18+$C$1)&gt;AG$3,AG$3&gt;=$C$1),'General Inputs'!E$9*$F18,0))</f>
        <v>2.4174275016193021</v>
      </c>
      <c r="AH18" s="214">
        <f>IF(AND(($D18+$C$1)&gt;AH$3,AH$3&gt;=$C$1),'General Inputs'!F$9*$G18,IF(AND(($C18+$C$1)&gt;AH$3,AH$3&gt;=$C$1),'General Inputs'!F$9*$F18,0))</f>
        <v>2.4536889141435916</v>
      </c>
      <c r="AI18" s="214">
        <f>IF(AND(($D18+$C$1)&gt;AI$3,AI$3&gt;=$C$1),'General Inputs'!G$9*$G18,IF(AND(($C18+$C$1)&gt;AI$3,AI$3&gt;=$C$1),'General Inputs'!G$9*$F18,0))</f>
        <v>2.4904942478557452</v>
      </c>
      <c r="AJ18" s="214">
        <f>IF(AND(($D18+$C$1)&gt;AJ$3,AJ$3&gt;=$C$1),'General Inputs'!H$9*$G18,IF(AND(($C18+$C$1)&gt;AJ$3,AJ$3&gt;=$C$1),'General Inputs'!H$9*$F18,0))</f>
        <v>2.5278516615735809</v>
      </c>
      <c r="AK18" s="214">
        <f>IF(AND(($D18+$C$1)&gt;AK$3,AK$3&gt;=$C$1),'General Inputs'!I$9*$G18,IF(AND(($C18+$C$1)&gt;AK$3,AK$3&gt;=$C$1),'General Inputs'!I$9*$F18,0))</f>
        <v>2.5657694364971841</v>
      </c>
      <c r="AL18" s="214">
        <f>IF(AND(($D18+$C$1)&gt;AL$3,AL$3&gt;=$C$1),'General Inputs'!J$9*$G18,IF(AND(($C18+$C$1)&gt;AL$3,AL$3&gt;=$C$1),'General Inputs'!J$9*$F18,0))</f>
        <v>2.6042559780446415</v>
      </c>
      <c r="AM18" s="214">
        <f>IF(AND(($D18+$C$1)&gt;AM$3,AM$3&gt;=$C$1),'General Inputs'!K$9*$G18,IF(AND(($C18+$C$1)&gt;AM$3,AM$3&gt;=$C$1),'General Inputs'!K$9*$F18,0))</f>
        <v>2.643319817715311</v>
      </c>
      <c r="AN18" s="214">
        <f>IF(AND(($D18+$C$1)&gt;AN$3,AN$3&gt;=$C$1),'General Inputs'!L$9*$G18,IF(AND(($C18+$C$1)&gt;AN$3,AN$3&gt;=$C$1),'General Inputs'!L$9*$F18,0))</f>
        <v>2.6829696149810403</v>
      </c>
      <c r="AO18" s="214">
        <f>IF(AND(($D18+$C$1)&gt;AO$3,AO$3&gt;=$C$1),'General Inputs'!M$9*$G18,IF(AND(($C18+$C$1)&gt;AO$3,AO$3&gt;=$C$1),'General Inputs'!M$9*$F18,0))</f>
        <v>2.7232141592057553</v>
      </c>
      <c r="AP18" s="214">
        <f>IF(AND(($D18+$C$1)&gt;AP$3,AP$3&gt;=$C$1),'General Inputs'!N$9*$G18,IF(AND(($C18+$C$1)&gt;AP$3,AP$3&gt;=$C$1),'General Inputs'!N$9*$F18,0))</f>
        <v>2.7640623715938415</v>
      </c>
      <c r="AQ18" s="214">
        <f>IF(AND(($D18+$C$1)&gt;AQ$3,AQ$3&gt;=$C$1),'General Inputs'!O$9*$G18,IF(AND(($C18+$C$1)&gt;AQ$3,AQ$3&gt;=$C$1),'General Inputs'!O$9*$F18,0))</f>
        <v>2.805523307167749</v>
      </c>
      <c r="AR18" s="214">
        <f>IF(AND(($D18+$C$1)&gt;AR$3,AR$3&gt;=$C$1),'General Inputs'!P$9*$G18,IF(AND(($C18+$C$1)&gt;AR$3,AR$3&gt;=$C$1),'General Inputs'!P$9*$F18,0))</f>
        <v>2.8476061567752646</v>
      </c>
      <c r="AS18" s="214">
        <f>IF(AND(($D18+$C$1)&gt;AS$3,AS$3&gt;=$C$1),'General Inputs'!Q$9*$G18,IF(AND(($C18+$C$1)&gt;AS$3,AS$3&gt;=$C$1),'General Inputs'!Q$9*$F18,0))</f>
        <v>2.8903202491268938</v>
      </c>
      <c r="AT18" s="214">
        <f>IF(AND(($D18+$C$1)&gt;AT$3,AT$3&gt;=$C$1),'General Inputs'!R$9*$G18,IF(AND(($C18+$C$1)&gt;AT$3,AT$3&gt;=$C$1),'General Inputs'!R$9*$F18,0))</f>
        <v>2.9336750528637969</v>
      </c>
      <c r="AU18" s="214">
        <f>IF(AND(($D18+$C$1)&gt;AU$3,AU$3&gt;=$C$1),'General Inputs'!S$9*$G18,IF(AND(($C18+$C$1)&gt;AU$3,AU$3&gt;=$C$1),'General Inputs'!S$9*$F18,0))</f>
        <v>2.9776801786567537</v>
      </c>
      <c r="AV18" s="214">
        <f>IF(AND(($D18+$C$1)&gt;AV$3,AV$3&gt;=$C$1),'General Inputs'!T$9*$G18,IF(AND(($C18+$C$1)&gt;AV$3,AV$3&gt;=$C$1),'General Inputs'!T$9*$F18,0))</f>
        <v>0</v>
      </c>
      <c r="AW18" s="214">
        <f>IF(AND(($D18+$C$1)&gt;AW$3,AW$3&gt;=$C$1),'General Inputs'!U$9*$G18,IF(AND(($C18+$C$1)&gt;AW$3,AW$3&gt;=$C$1),'General Inputs'!U$9*$F18,0))</f>
        <v>0</v>
      </c>
      <c r="AX18" s="214">
        <f>IF(AND(($D18+$C$1)&gt;AX$3,AX$3&gt;=$C$1),'General Inputs'!V$9*$G18,IF(AND(($C18+$C$1)&gt;AX$3,AX$3&gt;=$C$1),'General Inputs'!V$9*$F18,0))</f>
        <v>0</v>
      </c>
      <c r="AY18" s="214">
        <f>IF(AND(($D18+$C$1)&gt;AY$3,AY$3&gt;=$C$1),'General Inputs'!W$9*$G18,IF(AND(($C18+$C$1)&gt;AY$3,AY$3&gt;=$C$1),'General Inputs'!W$9*$F18,0))</f>
        <v>0</v>
      </c>
      <c r="BA18" s="214">
        <f>IF(AND(($D18+$C$1)&gt;AF$3,AF$3&gt;=$C$1),'General Inputs'!D$10*$I18,IF(AND(($C18+$C$1)&gt;AF$3,AF$3&gt;=$C$1),'General Inputs'!D$10*$H18,0))</f>
        <v>0</v>
      </c>
      <c r="BB18" s="214">
        <f>IF(AND(($D18+$C$1)&gt;AG$3,AG$3&gt;=$C$1),'General Inputs'!E$10*$I18,IF(AND(($C18+$C$1)&gt;AG$3,AG$3&gt;=$C$1),'General Inputs'!E$10*$H18,0))</f>
        <v>1.4029493007494731</v>
      </c>
      <c r="BC18" s="214">
        <f>IF(AND(($D18+$C$1)&gt;AH$3,AH$3&gt;=$C$1),'General Inputs'!F$10*$I18,IF(AND(($C18+$C$1)&gt;AH$3,AH$3&gt;=$C$1),'General Inputs'!F$10*$H18,0))</f>
        <v>1.4239935402607151</v>
      </c>
      <c r="BD18" s="214">
        <f>IF(AND(($D18+$C$1)&gt;AI$3,AI$3&gt;=$C$1),'General Inputs'!G$10*$I18,IF(AND(($C18+$C$1)&gt;AI$3,AI$3&gt;=$C$1),'General Inputs'!G$10*$H18,0))</f>
        <v>1.4453534433646258</v>
      </c>
      <c r="BE18" s="214">
        <f>IF(AND(($D18+$C$1)&gt;AJ$3,AJ$3&gt;=$C$1),'General Inputs'!H$10*$I18,IF(AND(($C18+$C$1)&gt;AJ$3,AJ$3&gt;=$C$1),'General Inputs'!H$10*$H18,0))</f>
        <v>1.467033745015095</v>
      </c>
      <c r="BF18" s="214">
        <f>IF(AND(($D18+$C$1)&gt;AK$3,AK$3&gt;=$C$1),'General Inputs'!I$10*$I18,IF(AND(($C18+$C$1)&gt;AK$3,AK$3&gt;=$C$1),'General Inputs'!I$10*$H18,0))</f>
        <v>1.4890392511903212</v>
      </c>
      <c r="BG18" s="214">
        <f>IF(AND(($D18+$C$1)&gt;AL$3,AL$3&gt;=$C$1),'General Inputs'!J$10*$I18,IF(AND(($C18+$C$1)&gt;AL$3,AL$3&gt;=$C$1),'General Inputs'!J$10*$H18,0))</f>
        <v>1.5113748399581759</v>
      </c>
      <c r="BH18" s="214">
        <f>IF(AND(($D18+$C$1)&gt;AM$3,AM$3&gt;=$C$1),'General Inputs'!K$10*$I18,IF(AND(($C18+$C$1)&gt;AM$3,AM$3&gt;=$C$1),'General Inputs'!K$10*$H18,0))</f>
        <v>1.5340454625575484</v>
      </c>
      <c r="BI18" s="214">
        <f>IF(AND(($D18+$C$1)&gt;AN$3,AN$3&gt;=$C$1),'General Inputs'!L$10*$I18,IF(AND(($C18+$C$1)&gt;AN$3,AN$3&gt;=$C$1),'General Inputs'!L$10*$H18,0))</f>
        <v>1.5570561444959115</v>
      </c>
      <c r="BJ18" s="214">
        <f>IF(AND(($D18+$C$1)&gt;AO$3,AO$3&gt;=$C$1),'General Inputs'!M$10*$I18,IF(AND(($C18+$C$1)&gt;AO$3,AO$3&gt;=$C$1),'General Inputs'!M$10*$H18,0))</f>
        <v>1.5804119866633501</v>
      </c>
      <c r="BK18" s="214">
        <f>IF(AND(($D18+$C$1)&gt;AP$3,AP$3&gt;=$C$1),'General Inputs'!N$10*$I18,IF(AND(($C18+$C$1)&gt;AP$3,AP$3&gt;=$C$1),'General Inputs'!N$10*$H18,0))</f>
        <v>1.6041181664633002</v>
      </c>
      <c r="BL18" s="214">
        <f>IF(AND(($D18+$C$1)&gt;AQ$3,AQ$3&gt;=$C$1),'General Inputs'!O$10*$I18,IF(AND(($C18+$C$1)&gt;AQ$3,AQ$3&gt;=$C$1),'General Inputs'!O$10*$H18,0))</f>
        <v>1.6281799389602494</v>
      </c>
      <c r="BM18" s="214">
        <f>IF(AND(($D18+$C$1)&gt;AR$3,AR$3&gt;=$C$1),'General Inputs'!P$10*$I18,IF(AND(($C18+$C$1)&gt;AR$3,AR$3&gt;=$C$1),'General Inputs'!P$10*$H18,0))</f>
        <v>1.652602638044653</v>
      </c>
      <c r="BN18" s="214">
        <f>IF(AND(($D18+$C$1)&gt;AS$3,AS$3&gt;=$C$1),'General Inputs'!Q$10*$I18,IF(AND(($C18+$C$1)&gt;AS$3,AS$3&gt;=$C$1),'General Inputs'!Q$10*$H18,0))</f>
        <v>1.6773916776153226</v>
      </c>
      <c r="BO18" s="214">
        <f>IF(AND(($D18+$C$1)&gt;AT$3,AT$3&gt;=$C$1),'General Inputs'!R$10*$I18,IF(AND(($C18+$C$1)&gt;AT$3,AT$3&gt;=$C$1),'General Inputs'!R$10*$H18,0))</f>
        <v>1.7025525527795522</v>
      </c>
      <c r="BP18" s="214">
        <f>IF(AND(($D18+$C$1)&gt;AU$3,AU$3&gt;=$C$1),'General Inputs'!S$10*$I18,IF(AND(($C18+$C$1)&gt;AU$3,AU$3&gt;=$C$1),'General Inputs'!S$10*$H18,0))</f>
        <v>1.7280908410712454</v>
      </c>
      <c r="BQ18" s="214">
        <f>IF(AND(($D18+$C$1)&gt;AV$3,AV$3&gt;=$C$1),'General Inputs'!T$10*$I18,IF(AND(($C18+$C$1)&gt;AV$3,AV$3&gt;=$C$1),'General Inputs'!T$10*$H18,0))</f>
        <v>0</v>
      </c>
      <c r="BR18" s="214">
        <f>IF(AND(($D18+$C$1)&gt;AW$3,AW$3&gt;=$C$1),'General Inputs'!U$10*$I18,IF(AND(($C18+$C$1)&gt;AW$3,AW$3&gt;=$C$1),'General Inputs'!U$10*$H18,0))</f>
        <v>0</v>
      </c>
      <c r="BS18" s="214">
        <f>IF(AND(($D18+$C$1)&gt;AX$3,AX$3&gt;=$C$1),'General Inputs'!V$10*$I18,IF(AND(($C18+$C$1)&gt;AX$3,AX$3&gt;=$C$1),'General Inputs'!V$10*$H18,0))</f>
        <v>0</v>
      </c>
      <c r="BT18" s="214">
        <f>IF(AND(($D18+$C$1)&gt;AY$3,AY$3&gt;=$C$1),'General Inputs'!W$10*$I18,IF(AND(($C18+$C$1)&gt;AY$3,AY$3&gt;=$C$1),'General Inputs'!W$10*$H18,0))</f>
        <v>0</v>
      </c>
    </row>
    <row r="19" spans="1:72">
      <c r="A19" s="341" t="s">
        <v>12</v>
      </c>
      <c r="B19" s="427" t="str">
        <f>Sources!B19</f>
        <v>Attic Insulation</v>
      </c>
      <c r="C19" s="193">
        <f>Sources!C19</f>
        <v>20</v>
      </c>
      <c r="D19" s="193">
        <f>Sources!D19</f>
        <v>0</v>
      </c>
      <c r="F19" s="429">
        <f>Sources!F19*EnergyLineLoss</f>
        <v>539.29622747852682</v>
      </c>
      <c r="G19" s="429">
        <f>Sources!G19*EnergyLineLoss</f>
        <v>0</v>
      </c>
      <c r="H19" s="477">
        <f>Sources!H19*PeakLineLoss</f>
        <v>0.22948643720192885</v>
      </c>
      <c r="I19" s="477">
        <f>Sources!I19*PeakLineLoss</f>
        <v>0</v>
      </c>
      <c r="K19" s="419">
        <f>Sources!J19</f>
        <v>575.25</v>
      </c>
      <c r="L19" s="419">
        <f>Sources!K19</f>
        <v>0</v>
      </c>
      <c r="N19" s="438">
        <f t="shared" si="4"/>
        <v>0.47872212370489753</v>
      </c>
      <c r="P19" s="215">
        <f t="shared" si="0"/>
        <v>218.10992331045421</v>
      </c>
      <c r="Q19" s="215">
        <f t="shared" si="1"/>
        <v>34.908178179110564</v>
      </c>
      <c r="R19" s="215">
        <f t="shared" si="2"/>
        <v>528.52811466372657</v>
      </c>
      <c r="T19" s="214">
        <f t="shared" si="3"/>
        <v>0</v>
      </c>
      <c r="U19" s="214">
        <f t="shared" si="3"/>
        <v>575.25</v>
      </c>
      <c r="V19" s="214">
        <f t="shared" si="3"/>
        <v>0</v>
      </c>
      <c r="W19" s="214">
        <f t="shared" si="3"/>
        <v>0</v>
      </c>
      <c r="X19" s="214">
        <f t="shared" si="3"/>
        <v>0</v>
      </c>
      <c r="Y19" s="214">
        <f t="shared" si="3"/>
        <v>0</v>
      </c>
      <c r="Z19" s="214">
        <f t="shared" si="3"/>
        <v>0</v>
      </c>
      <c r="AA19" s="214">
        <f t="shared" si="3"/>
        <v>0</v>
      </c>
      <c r="AB19" s="214">
        <f t="shared" si="3"/>
        <v>0</v>
      </c>
      <c r="AC19" s="214">
        <f t="shared" si="3"/>
        <v>0</v>
      </c>
      <c r="AD19" s="214">
        <f t="shared" si="3"/>
        <v>0</v>
      </c>
      <c r="AF19" s="214">
        <f>IF(AND(($D19+$C$1)&gt;AF$3,AF$3&gt;=$C$1),'General Inputs'!D$9*$G19,IF(AND(($C19+$C$1)&gt;AF$3,AF$3&gt;=$C$1),'General Inputs'!D$9*$F19,0))</f>
        <v>0</v>
      </c>
      <c r="AG19" s="214">
        <f>IF(AND(($D19+$C$1)&gt;AG$3,AG$3&gt;=$C$1),'General Inputs'!E$9*$G19,IF(AND(($C19+$C$1)&gt;AG$3,AG$3&gt;=$C$1),'General Inputs'!E$9*$F19,0))</f>
        <v>21.792665707701698</v>
      </c>
      <c r="AH19" s="214">
        <f>IF(AND(($D19+$C$1)&gt;AH$3,AH$3&gt;=$C$1),'General Inputs'!F$9*$G19,IF(AND(($C19+$C$1)&gt;AH$3,AH$3&gt;=$C$1),'General Inputs'!F$9*$F19,0))</f>
        <v>22.119555693317221</v>
      </c>
      <c r="AI19" s="214">
        <f>IF(AND(($D19+$C$1)&gt;AI$3,AI$3&gt;=$C$1),'General Inputs'!G$9*$G19,IF(AND(($C19+$C$1)&gt;AI$3,AI$3&gt;=$C$1),'General Inputs'!G$9*$F19,0))</f>
        <v>22.451349028716976</v>
      </c>
      <c r="AJ19" s="214">
        <f>IF(AND(($D19+$C$1)&gt;AJ$3,AJ$3&gt;=$C$1),'General Inputs'!H$9*$G19,IF(AND(($C19+$C$1)&gt;AJ$3,AJ$3&gt;=$C$1),'General Inputs'!H$9*$F19,0))</f>
        <v>22.788119264147728</v>
      </c>
      <c r="AK19" s="214">
        <f>IF(AND(($D19+$C$1)&gt;AK$3,AK$3&gt;=$C$1),'General Inputs'!I$9*$G19,IF(AND(($C19+$C$1)&gt;AK$3,AK$3&gt;=$C$1),'General Inputs'!I$9*$F19,0))</f>
        <v>23.129941053109942</v>
      </c>
      <c r="AL19" s="214">
        <f>IF(AND(($D19+$C$1)&gt;AL$3,AL$3&gt;=$C$1),'General Inputs'!J$9*$G19,IF(AND(($C19+$C$1)&gt;AL$3,AL$3&gt;=$C$1),'General Inputs'!J$9*$F19,0))</f>
        <v>23.476890168906586</v>
      </c>
      <c r="AM19" s="214">
        <f>IF(AND(($D19+$C$1)&gt;AM$3,AM$3&gt;=$C$1),'General Inputs'!K$9*$G19,IF(AND(($C19+$C$1)&gt;AM$3,AM$3&gt;=$C$1),'General Inputs'!K$9*$F19,0))</f>
        <v>23.82904352144018</v>
      </c>
      <c r="AN19" s="214">
        <f>IF(AND(($D19+$C$1)&gt;AN$3,AN$3&gt;=$C$1),'General Inputs'!L$9*$G19,IF(AND(($C19+$C$1)&gt;AN$3,AN$3&gt;=$C$1),'General Inputs'!L$9*$F19,0))</f>
        <v>24.186479174261784</v>
      </c>
      <c r="AO19" s="214">
        <f>IF(AND(($D19+$C$1)&gt;AO$3,AO$3&gt;=$C$1),'General Inputs'!M$9*$G19,IF(AND(($C19+$C$1)&gt;AO$3,AO$3&gt;=$C$1),'General Inputs'!M$9*$F19,0))</f>
        <v>24.549276361875705</v>
      </c>
      <c r="AP19" s="214">
        <f>IF(AND(($D19+$C$1)&gt;AP$3,AP$3&gt;=$C$1),'General Inputs'!N$9*$G19,IF(AND(($C19+$C$1)&gt;AP$3,AP$3&gt;=$C$1),'General Inputs'!N$9*$F19,0))</f>
        <v>24.91751550730384</v>
      </c>
      <c r="AQ19" s="214">
        <f>IF(AND(($D19+$C$1)&gt;AQ$3,AQ$3&gt;=$C$1),'General Inputs'!O$9*$G19,IF(AND(($C19+$C$1)&gt;AQ$3,AQ$3&gt;=$C$1),'General Inputs'!O$9*$F19,0))</f>
        <v>25.291278239913392</v>
      </c>
      <c r="AR19" s="214">
        <f>IF(AND(($D19+$C$1)&gt;AR$3,AR$3&gt;=$C$1),'General Inputs'!P$9*$G19,IF(AND(($C19+$C$1)&gt;AR$3,AR$3&gt;=$C$1),'General Inputs'!P$9*$F19,0))</f>
        <v>25.670647413512093</v>
      </c>
      <c r="AS19" s="214">
        <f>IF(AND(($D19+$C$1)&gt;AS$3,AS$3&gt;=$C$1),'General Inputs'!Q$9*$G19,IF(AND(($C19+$C$1)&gt;AS$3,AS$3&gt;=$C$1),'General Inputs'!Q$9*$F19,0))</f>
        <v>26.055707124714772</v>
      </c>
      <c r="AT19" s="214">
        <f>IF(AND(($D19+$C$1)&gt;AT$3,AT$3&gt;=$C$1),'General Inputs'!R$9*$G19,IF(AND(($C19+$C$1)&gt;AT$3,AT$3&gt;=$C$1),'General Inputs'!R$9*$F19,0))</f>
        <v>26.446542731585492</v>
      </c>
      <c r="AU19" s="214">
        <f>IF(AND(($D19+$C$1)&gt;AU$3,AU$3&gt;=$C$1),'General Inputs'!S$9*$G19,IF(AND(($C19+$C$1)&gt;AU$3,AU$3&gt;=$C$1),'General Inputs'!S$9*$F19,0))</f>
        <v>26.843240872559274</v>
      </c>
      <c r="AV19" s="214">
        <f>IF(AND(($D19+$C$1)&gt;AV$3,AV$3&gt;=$C$1),'General Inputs'!T$9*$G19,IF(AND(($C19+$C$1)&gt;AV$3,AV$3&gt;=$C$1),'General Inputs'!T$9*$F19,0))</f>
        <v>27.245889485647659</v>
      </c>
      <c r="AW19" s="214">
        <f>IF(AND(($D19+$C$1)&gt;AW$3,AW$3&gt;=$C$1),'General Inputs'!U$9*$G19,IF(AND(($C19+$C$1)&gt;AW$3,AW$3&gt;=$C$1),'General Inputs'!U$9*$F19,0))</f>
        <v>27.654577827932375</v>
      </c>
      <c r="AX19" s="214">
        <f>IF(AND(($D19+$C$1)&gt;AX$3,AX$3&gt;=$C$1),'General Inputs'!V$9*$G19,IF(AND(($C19+$C$1)&gt;AX$3,AX$3&gt;=$C$1),'General Inputs'!V$9*$F19,0))</f>
        <v>28.069396495351356</v>
      </c>
      <c r="AY19" s="214">
        <f>IF(AND(($D19+$C$1)&gt;AY$3,AY$3&gt;=$C$1),'General Inputs'!W$9*$G19,IF(AND(($C19+$C$1)&gt;AY$3,AY$3&gt;=$C$1),'General Inputs'!W$9*$F19,0))</f>
        <v>28.490437442781623</v>
      </c>
      <c r="BA19" s="214">
        <f>IF(AND(($D19+$C$1)&gt;AF$3,AF$3&gt;=$C$1),'General Inputs'!D$10*$I19,IF(AND(($C19+$C$1)&gt;AF$3,AF$3&gt;=$C$1),'General Inputs'!D$10*$H19,0))</f>
        <v>0</v>
      </c>
      <c r="BB19" s="214">
        <f>IF(AND(($D19+$C$1)&gt;AG$3,AG$3&gt;=$C$1),'General Inputs'!E$10*$I19,IF(AND(($C19+$C$1)&gt;AG$3,AG$3&gt;=$C$1),'General Inputs'!E$10*$H19,0))</f>
        <v>3.4878846683166032</v>
      </c>
      <c r="BC19" s="214">
        <f>IF(AND(($D19+$C$1)&gt;AH$3,AH$3&gt;=$C$1),'General Inputs'!F$10*$I19,IF(AND(($C19+$C$1)&gt;AH$3,AH$3&gt;=$C$1),'General Inputs'!F$10*$H19,0))</f>
        <v>3.540202938341352</v>
      </c>
      <c r="BD19" s="214">
        <f>IF(AND(($D19+$C$1)&gt;AI$3,AI$3&gt;=$C$1),'General Inputs'!G$10*$I19,IF(AND(($C19+$C$1)&gt;AI$3,AI$3&gt;=$C$1),'General Inputs'!G$10*$H19,0))</f>
        <v>3.5933059824164721</v>
      </c>
      <c r="BE19" s="214">
        <f>IF(AND(($D19+$C$1)&gt;AJ$3,AJ$3&gt;=$C$1),'General Inputs'!H$10*$I19,IF(AND(($C19+$C$1)&gt;AJ$3,AJ$3&gt;=$C$1),'General Inputs'!H$10*$H19,0))</f>
        <v>3.647205572152719</v>
      </c>
      <c r="BF19" s="214">
        <f>IF(AND(($D19+$C$1)&gt;AK$3,AK$3&gt;=$C$1),'General Inputs'!I$10*$I19,IF(AND(($C19+$C$1)&gt;AK$3,AK$3&gt;=$C$1),'General Inputs'!I$10*$H19,0))</f>
        <v>3.7019136557350087</v>
      </c>
      <c r="BG19" s="214">
        <f>IF(AND(($D19+$C$1)&gt;AL$3,AL$3&gt;=$C$1),'General Inputs'!J$10*$I19,IF(AND(($C19+$C$1)&gt;AL$3,AL$3&gt;=$C$1),'General Inputs'!J$10*$H19,0))</f>
        <v>3.7574423605710336</v>
      </c>
      <c r="BH19" s="214">
        <f>IF(AND(($D19+$C$1)&gt;AM$3,AM$3&gt;=$C$1),'General Inputs'!K$10*$I19,IF(AND(($C19+$C$1)&gt;AM$3,AM$3&gt;=$C$1),'General Inputs'!K$10*$H19,0))</f>
        <v>3.8138039959795988</v>
      </c>
      <c r="BI19" s="214">
        <f>IF(AND(($D19+$C$1)&gt;AN$3,AN$3&gt;=$C$1),'General Inputs'!L$10*$I19,IF(AND(($C19+$C$1)&gt;AN$3,AN$3&gt;=$C$1),'General Inputs'!L$10*$H19,0))</f>
        <v>3.8710110559192925</v>
      </c>
      <c r="BJ19" s="214">
        <f>IF(AND(($D19+$C$1)&gt;AO$3,AO$3&gt;=$C$1),'General Inputs'!M$10*$I19,IF(AND(($C19+$C$1)&gt;AO$3,AO$3&gt;=$C$1),'General Inputs'!M$10*$H19,0))</f>
        <v>3.9290762217580819</v>
      </c>
      <c r="BK19" s="214">
        <f>IF(AND(($D19+$C$1)&gt;AP$3,AP$3&gt;=$C$1),'General Inputs'!N$10*$I19,IF(AND(($C19+$C$1)&gt;AP$3,AP$3&gt;=$C$1),'General Inputs'!N$10*$H19,0))</f>
        <v>3.9880123650844523</v>
      </c>
      <c r="BL19" s="214">
        <f>IF(AND(($D19+$C$1)&gt;AQ$3,AQ$3&gt;=$C$1),'General Inputs'!O$10*$I19,IF(AND(($C19+$C$1)&gt;AQ$3,AQ$3&gt;=$C$1),'General Inputs'!O$10*$H19,0))</f>
        <v>4.0478325505607184</v>
      </c>
      <c r="BM19" s="214">
        <f>IF(AND(($D19+$C$1)&gt;AR$3,AR$3&gt;=$C$1),'General Inputs'!P$10*$I19,IF(AND(($C19+$C$1)&gt;AR$3,AR$3&gt;=$C$1),'General Inputs'!P$10*$H19,0))</f>
        <v>4.1085500388191294</v>
      </c>
      <c r="BN19" s="214">
        <f>IF(AND(($D19+$C$1)&gt;AS$3,AS$3&gt;=$C$1),'General Inputs'!Q$10*$I19,IF(AND(($C19+$C$1)&gt;AS$3,AS$3&gt;=$C$1),'General Inputs'!Q$10*$H19,0))</f>
        <v>4.1701782894014157</v>
      </c>
      <c r="BO19" s="214">
        <f>IF(AND(($D19+$C$1)&gt;AT$3,AT$3&gt;=$C$1),'General Inputs'!R$10*$I19,IF(AND(($C19+$C$1)&gt;AT$3,AT$3&gt;=$C$1),'General Inputs'!R$10*$H19,0))</f>
        <v>4.2327309637424362</v>
      </c>
      <c r="BP19" s="214">
        <f>IF(AND(($D19+$C$1)&gt;AU$3,AU$3&gt;=$C$1),'General Inputs'!S$10*$I19,IF(AND(($C19+$C$1)&gt;AU$3,AU$3&gt;=$C$1),'General Inputs'!S$10*$H19,0))</f>
        <v>4.2962219281985732</v>
      </c>
      <c r="BQ19" s="214">
        <f>IF(AND(($D19+$C$1)&gt;AV$3,AV$3&gt;=$C$1),'General Inputs'!T$10*$I19,IF(AND(($C19+$C$1)&gt;AV$3,AV$3&gt;=$C$1),'General Inputs'!T$10*$H19,0))</f>
        <v>4.3606652571215507</v>
      </c>
      <c r="BR19" s="214">
        <f>IF(AND(($D19+$C$1)&gt;AW$3,AW$3&gt;=$C$1),'General Inputs'!U$10*$I19,IF(AND(($C19+$C$1)&gt;AW$3,AW$3&gt;=$C$1),'General Inputs'!U$10*$H19,0))</f>
        <v>4.4260752359783737</v>
      </c>
      <c r="BS19" s="214">
        <f>IF(AND(($D19+$C$1)&gt;AX$3,AX$3&gt;=$C$1),'General Inputs'!V$10*$I19,IF(AND(($C19+$C$1)&gt;AX$3,AX$3&gt;=$C$1),'General Inputs'!V$10*$H19,0))</f>
        <v>4.4924663645180489</v>
      </c>
      <c r="BT19" s="214">
        <f>IF(AND(($D19+$C$1)&gt;AY$3,AY$3&gt;=$C$1),'General Inputs'!W$10*$I19,IF(AND(($C19+$C$1)&gt;AY$3,AY$3&gt;=$C$1),'General Inputs'!W$10*$H19,0))</f>
        <v>4.5598533599858193</v>
      </c>
    </row>
    <row r="20" spans="1:72">
      <c r="A20" s="341" t="s">
        <v>12</v>
      </c>
      <c r="B20" s="427" t="str">
        <f>Sources!B20</f>
        <v>Wall Insulation</v>
      </c>
      <c r="C20" s="193">
        <f>Sources!C20</f>
        <v>20</v>
      </c>
      <c r="D20" s="193">
        <f>Sources!D20</f>
        <v>0</v>
      </c>
      <c r="F20" s="429">
        <f>Sources!F20*EnergyLineLoss</f>
        <v>5069.631488759218</v>
      </c>
      <c r="G20" s="429">
        <f>Sources!G20*EnergyLineLoss</f>
        <v>0</v>
      </c>
      <c r="H20" s="477">
        <f>Sources!H20*PeakLineLoss</f>
        <v>2.1572775943966476</v>
      </c>
      <c r="I20" s="477">
        <f>Sources!I20*PeakLineLoss</f>
        <v>0</v>
      </c>
      <c r="K20" s="419">
        <f>Sources!J20</f>
        <v>1011.7706666666668</v>
      </c>
      <c r="L20" s="419">
        <f>Sources!K20</f>
        <v>0</v>
      </c>
      <c r="N20" s="438">
        <f t="shared" si="4"/>
        <v>2.5586274272228371</v>
      </c>
      <c r="P20" s="215">
        <f t="shared" si="0"/>
        <v>2050.3331543693466</v>
      </c>
      <c r="Q20" s="215">
        <f t="shared" si="1"/>
        <v>328.15285977331058</v>
      </c>
      <c r="R20" s="215">
        <f t="shared" si="2"/>
        <v>929.59451182163423</v>
      </c>
      <c r="T20" s="214">
        <f t="shared" ref="T20:AD43" si="9">IF($C$1=T$3,$K20,IF($D20+$C$1=T$3,-$L20,0))</f>
        <v>0</v>
      </c>
      <c r="U20" s="214">
        <f t="shared" si="9"/>
        <v>1011.7706666666668</v>
      </c>
      <c r="V20" s="214">
        <f t="shared" si="9"/>
        <v>0</v>
      </c>
      <c r="W20" s="214">
        <f t="shared" si="9"/>
        <v>0</v>
      </c>
      <c r="X20" s="214">
        <f t="shared" si="9"/>
        <v>0</v>
      </c>
      <c r="Y20" s="214">
        <f t="shared" si="9"/>
        <v>0</v>
      </c>
      <c r="Z20" s="214">
        <f t="shared" si="9"/>
        <v>0</v>
      </c>
      <c r="AA20" s="214">
        <f t="shared" si="9"/>
        <v>0</v>
      </c>
      <c r="AB20" s="214">
        <f t="shared" si="9"/>
        <v>0</v>
      </c>
      <c r="AC20" s="214">
        <f t="shared" si="9"/>
        <v>0</v>
      </c>
      <c r="AD20" s="214">
        <f t="shared" si="9"/>
        <v>0</v>
      </c>
      <c r="AF20" s="214">
        <f>IF(AND(($D20+$C$1)&gt;AF$3,AF$3&gt;=$C$1),'General Inputs'!D$9*$G20,IF(AND(($C20+$C$1)&gt;AF$3,AF$3&gt;=$C$1),'General Inputs'!D$9*$F20,0))</f>
        <v>0</v>
      </c>
      <c r="AG20" s="214">
        <f>IF(AND(($D20+$C$1)&gt;AG$3,AG$3&gt;=$C$1),'General Inputs'!E$9*$G20,IF(AND(($C20+$C$1)&gt;AG$3,AG$3&gt;=$C$1),'General Inputs'!E$9*$F20,0))</f>
        <v>204.86103678551456</v>
      </c>
      <c r="AH20" s="214">
        <f>IF(AND(($D20+$C$1)&gt;AH$3,AH$3&gt;=$C$1),'General Inputs'!F$9*$G20,IF(AND(($C20+$C$1)&gt;AH$3,AH$3&gt;=$C$1),'General Inputs'!F$9*$F20,0))</f>
        <v>207.93395233729726</v>
      </c>
      <c r="AI20" s="214">
        <f>IF(AND(($D20+$C$1)&gt;AI$3,AI$3&gt;=$C$1),'General Inputs'!G$9*$G20,IF(AND(($C20+$C$1)&gt;AI$3,AI$3&gt;=$C$1),'General Inputs'!G$9*$F20,0))</f>
        <v>211.05296162235669</v>
      </c>
      <c r="AJ20" s="214">
        <f>IF(AND(($D20+$C$1)&gt;AJ$3,AJ$3&gt;=$C$1),'General Inputs'!H$9*$G20,IF(AND(($C20+$C$1)&gt;AJ$3,AJ$3&gt;=$C$1),'General Inputs'!H$9*$F20,0))</f>
        <v>214.21875604669202</v>
      </c>
      <c r="AK20" s="214">
        <f>IF(AND(($D20+$C$1)&gt;AK$3,AK$3&gt;=$C$1),'General Inputs'!I$9*$G20,IF(AND(($C20+$C$1)&gt;AK$3,AK$3&gt;=$C$1),'General Inputs'!I$9*$F20,0))</f>
        <v>217.43203738739237</v>
      </c>
      <c r="AL20" s="214">
        <f>IF(AND(($D20+$C$1)&gt;AL$3,AL$3&gt;=$C$1),'General Inputs'!J$9*$G20,IF(AND(($C20+$C$1)&gt;AL$3,AL$3&gt;=$C$1),'General Inputs'!J$9*$F20,0))</f>
        <v>220.69351794820324</v>
      </c>
      <c r="AM20" s="214">
        <f>IF(AND(($D20+$C$1)&gt;AM$3,AM$3&gt;=$C$1),'General Inputs'!K$9*$G20,IF(AND(($C20+$C$1)&gt;AM$3,AM$3&gt;=$C$1),'General Inputs'!K$9*$F20,0))</f>
        <v>224.00392071742624</v>
      </c>
      <c r="AN20" s="214">
        <f>IF(AND(($D20+$C$1)&gt;AN$3,AN$3&gt;=$C$1),'General Inputs'!L$9*$G20,IF(AND(($C20+$C$1)&gt;AN$3,AN$3&gt;=$C$1),'General Inputs'!L$9*$F20,0))</f>
        <v>227.3639795281876</v>
      </c>
      <c r="AO20" s="214">
        <f>IF(AND(($D20+$C$1)&gt;AO$3,AO$3&gt;=$C$1),'General Inputs'!M$9*$G20,IF(AND(($C20+$C$1)&gt;AO$3,AO$3&gt;=$C$1),'General Inputs'!M$9*$F20,0))</f>
        <v>230.77443922111038</v>
      </c>
      <c r="AP20" s="214">
        <f>IF(AND(($D20+$C$1)&gt;AP$3,AP$3&gt;=$C$1),'General Inputs'!N$9*$G20,IF(AND(($C20+$C$1)&gt;AP$3,AP$3&gt;=$C$1),'General Inputs'!N$9*$F20,0))</f>
        <v>234.23605580942703</v>
      </c>
      <c r="AQ20" s="214">
        <f>IF(AND(($D20+$C$1)&gt;AQ$3,AQ$3&gt;=$C$1),'General Inputs'!O$9*$G20,IF(AND(($C20+$C$1)&gt;AQ$3,AQ$3&gt;=$C$1),'General Inputs'!O$9*$F20,0))</f>
        <v>237.74959664656839</v>
      </c>
      <c r="AR20" s="214">
        <f>IF(AND(($D20+$C$1)&gt;AR$3,AR$3&gt;=$C$1),'General Inputs'!P$9*$G20,IF(AND(($C20+$C$1)&gt;AR$3,AR$3&gt;=$C$1),'General Inputs'!P$9*$F20,0))</f>
        <v>241.3158405962669</v>
      </c>
      <c r="AS20" s="214">
        <f>IF(AND(($D20+$C$1)&gt;AS$3,AS$3&gt;=$C$1),'General Inputs'!Q$9*$G20,IF(AND(($C20+$C$1)&gt;AS$3,AS$3&gt;=$C$1),'General Inputs'!Q$9*$F20,0))</f>
        <v>244.9355782052109</v>
      </c>
      <c r="AT20" s="214">
        <f>IF(AND(($D20+$C$1)&gt;AT$3,AT$3&gt;=$C$1),'General Inputs'!R$9*$G20,IF(AND(($C20+$C$1)&gt;AT$3,AT$3&gt;=$C$1),'General Inputs'!R$9*$F20,0))</f>
        <v>248.60961187828906</v>
      </c>
      <c r="AU20" s="214">
        <f>IF(AND(($D20+$C$1)&gt;AU$3,AU$3&gt;=$C$1),'General Inputs'!S$9*$G20,IF(AND(($C20+$C$1)&gt;AU$3,AU$3&gt;=$C$1),'General Inputs'!S$9*$F20,0))</f>
        <v>252.33875605646338</v>
      </c>
      <c r="AV20" s="214">
        <f>IF(AND(($D20+$C$1)&gt;AV$3,AV$3&gt;=$C$1),'General Inputs'!T$9*$G20,IF(AND(($C20+$C$1)&gt;AV$3,AV$3&gt;=$C$1),'General Inputs'!T$9*$F20,0))</f>
        <v>256.1238373973103</v>
      </c>
      <c r="AW20" s="214">
        <f>IF(AND(($D20+$C$1)&gt;AW$3,AW$3&gt;=$C$1),'General Inputs'!U$9*$G20,IF(AND(($C20+$C$1)&gt;AW$3,AW$3&gt;=$C$1),'General Inputs'!U$9*$F20,0))</f>
        <v>259.96569495826992</v>
      </c>
      <c r="AX20" s="214">
        <f>IF(AND(($D20+$C$1)&gt;AX$3,AX$3&gt;=$C$1),'General Inputs'!V$9*$G20,IF(AND(($C20+$C$1)&gt;AX$3,AX$3&gt;=$C$1),'General Inputs'!V$9*$F20,0))</f>
        <v>263.86518038264398</v>
      </c>
      <c r="AY20" s="214">
        <f>IF(AND(($D20+$C$1)&gt;AY$3,AY$3&gt;=$C$1),'General Inputs'!W$9*$G20,IF(AND(($C20+$C$1)&gt;AY$3,AY$3&gt;=$C$1),'General Inputs'!W$9*$F20,0))</f>
        <v>267.82315808838359</v>
      </c>
      <c r="BA20" s="214">
        <f>IF(AND(($D20+$C$1)&gt;AF$3,AF$3&gt;=$C$1),'General Inputs'!D$10*$I20,IF(AND(($C20+$C$1)&gt;AF$3,AF$3&gt;=$C$1),'General Inputs'!D$10*$H20,0))</f>
        <v>0</v>
      </c>
      <c r="BB20" s="214">
        <f>IF(AND(($D20+$C$1)&gt;AG$3,AG$3&gt;=$C$1),'General Inputs'!E$10*$I20,IF(AND(($C20+$C$1)&gt;AG$3,AG$3&gt;=$C$1),'General Inputs'!E$10*$H20,0))</f>
        <v>32.78771302801745</v>
      </c>
      <c r="BC20" s="214">
        <f>IF(AND(($D20+$C$1)&gt;AH$3,AH$3&gt;=$C$1),'General Inputs'!F$10*$I20,IF(AND(($C20+$C$1)&gt;AH$3,AH$3&gt;=$C$1),'General Inputs'!F$10*$H20,0))</f>
        <v>33.279528723437707</v>
      </c>
      <c r="BD20" s="214">
        <f>IF(AND(($D20+$C$1)&gt;AI$3,AI$3&gt;=$C$1),'General Inputs'!G$10*$I20,IF(AND(($C20+$C$1)&gt;AI$3,AI$3&gt;=$C$1),'General Inputs'!G$10*$H20,0))</f>
        <v>33.778721654289271</v>
      </c>
      <c r="BE20" s="214">
        <f>IF(AND(($D20+$C$1)&gt;AJ$3,AJ$3&gt;=$C$1),'General Inputs'!H$10*$I20,IF(AND(($C20+$C$1)&gt;AJ$3,AJ$3&gt;=$C$1),'General Inputs'!H$10*$H20,0))</f>
        <v>34.28540247910361</v>
      </c>
      <c r="BF20" s="214">
        <f>IF(AND(($D20+$C$1)&gt;AK$3,AK$3&gt;=$C$1),'General Inputs'!I$10*$I20,IF(AND(($C20+$C$1)&gt;AK$3,AK$3&gt;=$C$1),'General Inputs'!I$10*$H20,0))</f>
        <v>34.799683516290159</v>
      </c>
      <c r="BG20" s="214">
        <f>IF(AND(($D20+$C$1)&gt;AL$3,AL$3&gt;=$C$1),'General Inputs'!J$10*$I20,IF(AND(($C20+$C$1)&gt;AL$3,AL$3&gt;=$C$1),'General Inputs'!J$10*$H20,0))</f>
        <v>35.321678769034506</v>
      </c>
      <c r="BH20" s="214">
        <f>IF(AND(($D20+$C$1)&gt;AM$3,AM$3&gt;=$C$1),'General Inputs'!K$10*$I20,IF(AND(($C20+$C$1)&gt;AM$3,AM$3&gt;=$C$1),'General Inputs'!K$10*$H20,0))</f>
        <v>35.85150395057002</v>
      </c>
      <c r="BI20" s="214">
        <f>IF(AND(($D20+$C$1)&gt;AN$3,AN$3&gt;=$C$1),'General Inputs'!L$10*$I20,IF(AND(($C20+$C$1)&gt;AN$3,AN$3&gt;=$C$1),'General Inputs'!L$10*$H20,0))</f>
        <v>36.389276509828569</v>
      </c>
      <c r="BJ20" s="214">
        <f>IF(AND(($D20+$C$1)&gt;AO$3,AO$3&gt;=$C$1),'General Inputs'!M$10*$I20,IF(AND(($C20+$C$1)&gt;AO$3,AO$3&gt;=$C$1),'General Inputs'!M$10*$H20,0))</f>
        <v>36.935115657475997</v>
      </c>
      <c r="BK20" s="214">
        <f>IF(AND(($D20+$C$1)&gt;AP$3,AP$3&gt;=$C$1),'General Inputs'!N$10*$I20,IF(AND(($C20+$C$1)&gt;AP$3,AP$3&gt;=$C$1),'General Inputs'!N$10*$H20,0))</f>
        <v>37.489142392338131</v>
      </c>
      <c r="BL20" s="214">
        <f>IF(AND(($D20+$C$1)&gt;AQ$3,AQ$3&gt;=$C$1),'General Inputs'!O$10*$I20,IF(AND(($C20+$C$1)&gt;AQ$3,AQ$3&gt;=$C$1),'General Inputs'!O$10*$H20,0))</f>
        <v>38.051479528223197</v>
      </c>
      <c r="BM20" s="214">
        <f>IF(AND(($D20+$C$1)&gt;AR$3,AR$3&gt;=$C$1),'General Inputs'!P$10*$I20,IF(AND(($C20+$C$1)&gt;AR$3,AR$3&gt;=$C$1),'General Inputs'!P$10*$H20,0))</f>
        <v>38.62225172114654</v>
      </c>
      <c r="BN20" s="214">
        <f>IF(AND(($D20+$C$1)&gt;AS$3,AS$3&gt;=$C$1),'General Inputs'!Q$10*$I20,IF(AND(($C20+$C$1)&gt;AS$3,AS$3&gt;=$C$1),'General Inputs'!Q$10*$H20,0))</f>
        <v>39.201585496963737</v>
      </c>
      <c r="BO20" s="214">
        <f>IF(AND(($D20+$C$1)&gt;AT$3,AT$3&gt;=$C$1),'General Inputs'!R$10*$I20,IF(AND(($C20+$C$1)&gt;AT$3,AT$3&gt;=$C$1),'General Inputs'!R$10*$H20,0))</f>
        <v>39.789609279418187</v>
      </c>
      <c r="BP20" s="214">
        <f>IF(AND(($D20+$C$1)&gt;AU$3,AU$3&gt;=$C$1),'General Inputs'!S$10*$I20,IF(AND(($C20+$C$1)&gt;AU$3,AU$3&gt;=$C$1),'General Inputs'!S$10*$H20,0))</f>
        <v>40.386453418609456</v>
      </c>
      <c r="BQ20" s="214">
        <f>IF(AND(($D20+$C$1)&gt;AV$3,AV$3&gt;=$C$1),'General Inputs'!T$10*$I20,IF(AND(($C20+$C$1)&gt;AV$3,AV$3&gt;=$C$1),'General Inputs'!T$10*$H20,0))</f>
        <v>40.992250219888597</v>
      </c>
      <c r="BR20" s="214">
        <f>IF(AND(($D20+$C$1)&gt;AW$3,AW$3&gt;=$C$1),'General Inputs'!U$10*$I20,IF(AND(($C20+$C$1)&gt;AW$3,AW$3&gt;=$C$1),'General Inputs'!U$10*$H20,0))</f>
        <v>41.607133973186919</v>
      </c>
      <c r="BS20" s="214">
        <f>IF(AND(($D20+$C$1)&gt;AX$3,AX$3&gt;=$C$1),'General Inputs'!V$10*$I20,IF(AND(($C20+$C$1)&gt;AX$3,AX$3&gt;=$C$1),'General Inputs'!V$10*$H20,0))</f>
        <v>42.231240982784719</v>
      </c>
      <c r="BT20" s="214">
        <f>IF(AND(($D20+$C$1)&gt;AY$3,AY$3&gt;=$C$1),'General Inputs'!W$10*$I20,IF(AND(($C20+$C$1)&gt;AY$3,AY$3&gt;=$C$1),'General Inputs'!W$10*$H20,0))</f>
        <v>42.864709597526485</v>
      </c>
    </row>
    <row r="21" spans="1:72">
      <c r="A21" s="341" t="s">
        <v>12</v>
      </c>
      <c r="B21" s="427" t="str">
        <f>Sources!B21</f>
        <v>Faucet Aerator - Kitchen</v>
      </c>
      <c r="C21" s="193">
        <f>Sources!C21</f>
        <v>9</v>
      </c>
      <c r="D21" s="193">
        <f>Sources!D21</f>
        <v>0</v>
      </c>
      <c r="F21" s="429">
        <f>Sources!F21*EnergyLineLoss</f>
        <v>168.52438746822975</v>
      </c>
      <c r="G21" s="429">
        <f>Sources!G21*EnergyLineLoss</f>
        <v>0</v>
      </c>
      <c r="H21" s="477">
        <f>Sources!H21*PeakLineLoss</f>
        <v>1.8819982356858139E-2</v>
      </c>
      <c r="I21" s="477">
        <f>Sources!I21*PeakLineLoss</f>
        <v>0</v>
      </c>
      <c r="K21" s="419">
        <f>Sources!J21</f>
        <v>8</v>
      </c>
      <c r="L21" s="419">
        <f>Sources!K21</f>
        <v>0</v>
      </c>
      <c r="N21" s="438">
        <f t="shared" si="4"/>
        <v>6.1363609063544509</v>
      </c>
      <c r="P21" s="215">
        <f t="shared" si="0"/>
        <v>43.28560072110723</v>
      </c>
      <c r="Q21" s="215">
        <f t="shared" si="1"/>
        <v>1.8181178114502961</v>
      </c>
      <c r="R21" s="215">
        <f t="shared" si="2"/>
        <v>7.3502388827636898</v>
      </c>
      <c r="T21" s="214">
        <f t="shared" si="9"/>
        <v>0</v>
      </c>
      <c r="U21" s="214">
        <f t="shared" si="9"/>
        <v>8</v>
      </c>
      <c r="V21" s="214">
        <f t="shared" si="9"/>
        <v>0</v>
      </c>
      <c r="W21" s="214">
        <f t="shared" si="9"/>
        <v>0</v>
      </c>
      <c r="X21" s="214">
        <f t="shared" si="9"/>
        <v>0</v>
      </c>
      <c r="Y21" s="214">
        <f t="shared" si="9"/>
        <v>0</v>
      </c>
      <c r="Z21" s="214">
        <f t="shared" si="9"/>
        <v>0</v>
      </c>
      <c r="AA21" s="214">
        <f t="shared" si="9"/>
        <v>0</v>
      </c>
      <c r="AB21" s="214">
        <f t="shared" si="9"/>
        <v>0</v>
      </c>
      <c r="AC21" s="214">
        <f t="shared" si="9"/>
        <v>0</v>
      </c>
      <c r="AD21" s="214">
        <f t="shared" si="9"/>
        <v>0</v>
      </c>
      <c r="AF21" s="214">
        <f>IF(AND(($D21+$C$1)&gt;AF$3,AF$3&gt;=$C$1),'General Inputs'!D$9*$G21,IF(AND(($C21+$C$1)&gt;AF$3,AF$3&gt;=$C$1),'General Inputs'!D$9*$F21,0))</f>
        <v>0</v>
      </c>
      <c r="AG21" s="214">
        <f>IF(AND(($D21+$C$1)&gt;AG$3,AG$3&gt;=$C$1),'General Inputs'!E$9*$G21,IF(AND(($C21+$C$1)&gt;AG$3,AG$3&gt;=$C$1),'General Inputs'!E$9*$F21,0))</f>
        <v>6.8099783617280281</v>
      </c>
      <c r="AH21" s="214">
        <f>IF(AND(($D21+$C$1)&gt;AH$3,AH$3&gt;=$C$1),'General Inputs'!F$9*$G21,IF(AND(($C21+$C$1)&gt;AH$3,AH$3&gt;=$C$1),'General Inputs'!F$9*$F21,0))</f>
        <v>6.9121280371539475</v>
      </c>
      <c r="AI21" s="214">
        <f>IF(AND(($D21+$C$1)&gt;AI$3,AI$3&gt;=$C$1),'General Inputs'!G$9*$G21,IF(AND(($C21+$C$1)&gt;AI$3,AI$3&gt;=$C$1),'General Inputs'!G$9*$F21,0))</f>
        <v>7.0158099577112569</v>
      </c>
      <c r="AJ21" s="214">
        <f>IF(AND(($D21+$C$1)&gt;AJ$3,AJ$3&gt;=$C$1),'General Inputs'!H$9*$G21,IF(AND(($C21+$C$1)&gt;AJ$3,AJ$3&gt;=$C$1),'General Inputs'!H$9*$F21,0))</f>
        <v>7.1210471070769241</v>
      </c>
      <c r="AK21" s="214">
        <f>IF(AND(($D21+$C$1)&gt;AK$3,AK$3&gt;=$C$1),'General Inputs'!I$9*$G21,IF(AND(($C21+$C$1)&gt;AK$3,AK$3&gt;=$C$1),'General Inputs'!I$9*$F21,0))</f>
        <v>7.2278628136830774</v>
      </c>
      <c r="AL21" s="214">
        <f>IF(AND(($D21+$C$1)&gt;AL$3,AL$3&gt;=$C$1),'General Inputs'!J$9*$G21,IF(AND(($C21+$C$1)&gt;AL$3,AL$3&gt;=$C$1),'General Inputs'!J$9*$F21,0))</f>
        <v>7.3362807558883221</v>
      </c>
      <c r="AM21" s="214">
        <f>IF(AND(($D21+$C$1)&gt;AM$3,AM$3&gt;=$C$1),'General Inputs'!K$9*$G21,IF(AND(($C21+$C$1)&gt;AM$3,AM$3&gt;=$C$1),'General Inputs'!K$9*$F21,0))</f>
        <v>7.4463249672266461</v>
      </c>
      <c r="AN21" s="214">
        <f>IF(AND(($D21+$C$1)&gt;AN$3,AN$3&gt;=$C$1),'General Inputs'!L$9*$G21,IF(AND(($C21+$C$1)&gt;AN$3,AN$3&gt;=$C$1),'General Inputs'!L$9*$F21,0))</f>
        <v>7.558019841735045</v>
      </c>
      <c r="AO21" s="214">
        <f>IF(AND(($D21+$C$1)&gt;AO$3,AO$3&gt;=$C$1),'General Inputs'!M$9*$G21,IF(AND(($C21+$C$1)&gt;AO$3,AO$3&gt;=$C$1),'General Inputs'!M$9*$F21,0))</f>
        <v>7.6713901393610691</v>
      </c>
      <c r="AP21" s="214">
        <f>IF(AND(($D21+$C$1)&gt;AP$3,AP$3&gt;=$C$1),'General Inputs'!N$9*$G21,IF(AND(($C21+$C$1)&gt;AP$3,AP$3&gt;=$C$1),'General Inputs'!N$9*$F21,0))</f>
        <v>0</v>
      </c>
      <c r="AQ21" s="214">
        <f>IF(AND(($D21+$C$1)&gt;AQ$3,AQ$3&gt;=$C$1),'General Inputs'!O$9*$G21,IF(AND(($C21+$C$1)&gt;AQ$3,AQ$3&gt;=$C$1),'General Inputs'!O$9*$F21,0))</f>
        <v>0</v>
      </c>
      <c r="AR21" s="214">
        <f>IF(AND(($D21+$C$1)&gt;AR$3,AR$3&gt;=$C$1),'General Inputs'!P$9*$G21,IF(AND(($C21+$C$1)&gt;AR$3,AR$3&gt;=$C$1),'General Inputs'!P$9*$F21,0))</f>
        <v>0</v>
      </c>
      <c r="AS21" s="214">
        <f>IF(AND(($D21+$C$1)&gt;AS$3,AS$3&gt;=$C$1),'General Inputs'!Q$9*$G21,IF(AND(($C21+$C$1)&gt;AS$3,AS$3&gt;=$C$1),'General Inputs'!Q$9*$F21,0))</f>
        <v>0</v>
      </c>
      <c r="AT21" s="214">
        <f>IF(AND(($D21+$C$1)&gt;AT$3,AT$3&gt;=$C$1),'General Inputs'!R$9*$G21,IF(AND(($C21+$C$1)&gt;AT$3,AT$3&gt;=$C$1),'General Inputs'!R$9*$F21,0))</f>
        <v>0</v>
      </c>
      <c r="AU21" s="214">
        <f>IF(AND(($D21+$C$1)&gt;AU$3,AU$3&gt;=$C$1),'General Inputs'!S$9*$G21,IF(AND(($C21+$C$1)&gt;AU$3,AU$3&gt;=$C$1),'General Inputs'!S$9*$F21,0))</f>
        <v>0</v>
      </c>
      <c r="AV21" s="214">
        <f>IF(AND(($D21+$C$1)&gt;AV$3,AV$3&gt;=$C$1),'General Inputs'!T$9*$G21,IF(AND(($C21+$C$1)&gt;AV$3,AV$3&gt;=$C$1),'General Inputs'!T$9*$F21,0))</f>
        <v>0</v>
      </c>
      <c r="AW21" s="214">
        <f>IF(AND(($D21+$C$1)&gt;AW$3,AW$3&gt;=$C$1),'General Inputs'!U$9*$G21,IF(AND(($C21+$C$1)&gt;AW$3,AW$3&gt;=$C$1),'General Inputs'!U$9*$F21,0))</f>
        <v>0</v>
      </c>
      <c r="AX21" s="214">
        <f>IF(AND(($D21+$C$1)&gt;AX$3,AX$3&gt;=$C$1),'General Inputs'!V$9*$G21,IF(AND(($C21+$C$1)&gt;AX$3,AX$3&gt;=$C$1),'General Inputs'!V$9*$F21,0))</f>
        <v>0</v>
      </c>
      <c r="AY21" s="214">
        <f>IF(AND(($D21+$C$1)&gt;AY$3,AY$3&gt;=$C$1),'General Inputs'!W$9*$G21,IF(AND(($C21+$C$1)&gt;AY$3,AY$3&gt;=$C$1),'General Inputs'!W$9*$F21,0))</f>
        <v>0</v>
      </c>
      <c r="BA21" s="214">
        <f>IF(AND(($D21+$C$1)&gt;AF$3,AF$3&gt;=$C$1),'General Inputs'!D$10*$I21,IF(AND(($C21+$C$1)&gt;AF$3,AF$3&gt;=$C$1),'General Inputs'!D$10*$H21,0))</f>
        <v>0</v>
      </c>
      <c r="BB21" s="214">
        <f>IF(AND(($D21+$C$1)&gt;AG$3,AG$3&gt;=$C$1),'General Inputs'!E$10*$I21,IF(AND(($C21+$C$1)&gt;AG$3,AG$3&gt;=$C$1),'General Inputs'!E$10*$H21,0))</f>
        <v>0.28603837647588332</v>
      </c>
      <c r="BC21" s="214">
        <f>IF(AND(($D21+$C$1)&gt;AH$3,AH$3&gt;=$C$1),'General Inputs'!F$10*$I21,IF(AND(($C21+$C$1)&gt;AH$3,AH$3&gt;=$C$1),'General Inputs'!F$10*$H21,0))</f>
        <v>0.29032895212302151</v>
      </c>
      <c r="BD21" s="214">
        <f>IF(AND(($D21+$C$1)&gt;AI$3,AI$3&gt;=$C$1),'General Inputs'!G$10*$I21,IF(AND(($C21+$C$1)&gt;AI$3,AI$3&gt;=$C$1),'General Inputs'!G$10*$H21,0))</f>
        <v>0.29468388640486681</v>
      </c>
      <c r="BE21" s="214">
        <f>IF(AND(($D21+$C$1)&gt;AJ$3,AJ$3&gt;=$C$1),'General Inputs'!H$10*$I21,IF(AND(($C21+$C$1)&gt;AJ$3,AJ$3&gt;=$C$1),'General Inputs'!H$10*$H21,0))</f>
        <v>0.29910414470093982</v>
      </c>
      <c r="BF21" s="214">
        <f>IF(AND(($D21+$C$1)&gt;AK$3,AK$3&gt;=$C$1),'General Inputs'!I$10*$I21,IF(AND(($C21+$C$1)&gt;AK$3,AK$3&gt;=$C$1),'General Inputs'!I$10*$H21,0))</f>
        <v>0.30359070687145384</v>
      </c>
      <c r="BG21" s="214">
        <f>IF(AND(($D21+$C$1)&gt;AL$3,AL$3&gt;=$C$1),'General Inputs'!J$10*$I21,IF(AND(($C21+$C$1)&gt;AL$3,AL$3&gt;=$C$1),'General Inputs'!J$10*$H21,0))</f>
        <v>0.30814456747452562</v>
      </c>
      <c r="BH21" s="214">
        <f>IF(AND(($D21+$C$1)&gt;AM$3,AM$3&gt;=$C$1),'General Inputs'!K$10*$I21,IF(AND(($C21+$C$1)&gt;AM$3,AM$3&gt;=$C$1),'General Inputs'!K$10*$H21,0))</f>
        <v>0.31276673598664351</v>
      </c>
      <c r="BI21" s="214">
        <f>IF(AND(($D21+$C$1)&gt;AN$3,AN$3&gt;=$C$1),'General Inputs'!L$10*$I21,IF(AND(($C21+$C$1)&gt;AN$3,AN$3&gt;=$C$1),'General Inputs'!L$10*$H21,0))</f>
        <v>0.3174582370264431</v>
      </c>
      <c r="BJ21" s="214">
        <f>IF(AND(($D21+$C$1)&gt;AO$3,AO$3&gt;=$C$1),'General Inputs'!M$10*$I21,IF(AND(($C21+$C$1)&gt;AO$3,AO$3&gt;=$C$1),'General Inputs'!M$10*$H21,0))</f>
        <v>0.32222011058183975</v>
      </c>
      <c r="BK21" s="214">
        <f>IF(AND(($D21+$C$1)&gt;AP$3,AP$3&gt;=$C$1),'General Inputs'!N$10*$I21,IF(AND(($C21+$C$1)&gt;AP$3,AP$3&gt;=$C$1),'General Inputs'!N$10*$H21,0))</f>
        <v>0</v>
      </c>
      <c r="BL21" s="214">
        <f>IF(AND(($D21+$C$1)&gt;AQ$3,AQ$3&gt;=$C$1),'General Inputs'!O$10*$I21,IF(AND(($C21+$C$1)&gt;AQ$3,AQ$3&gt;=$C$1),'General Inputs'!O$10*$H21,0))</f>
        <v>0</v>
      </c>
      <c r="BM21" s="214">
        <f>IF(AND(($D21+$C$1)&gt;AR$3,AR$3&gt;=$C$1),'General Inputs'!P$10*$I21,IF(AND(($C21+$C$1)&gt;AR$3,AR$3&gt;=$C$1),'General Inputs'!P$10*$H21,0))</f>
        <v>0</v>
      </c>
      <c r="BN21" s="214">
        <f>IF(AND(($D21+$C$1)&gt;AS$3,AS$3&gt;=$C$1),'General Inputs'!Q$10*$I21,IF(AND(($C21+$C$1)&gt;AS$3,AS$3&gt;=$C$1),'General Inputs'!Q$10*$H21,0))</f>
        <v>0</v>
      </c>
      <c r="BO21" s="214">
        <f>IF(AND(($D21+$C$1)&gt;AT$3,AT$3&gt;=$C$1),'General Inputs'!R$10*$I21,IF(AND(($C21+$C$1)&gt;AT$3,AT$3&gt;=$C$1),'General Inputs'!R$10*$H21,0))</f>
        <v>0</v>
      </c>
      <c r="BP21" s="214">
        <f>IF(AND(($D21+$C$1)&gt;AU$3,AU$3&gt;=$C$1),'General Inputs'!S$10*$I21,IF(AND(($C21+$C$1)&gt;AU$3,AU$3&gt;=$C$1),'General Inputs'!S$10*$H21,0))</f>
        <v>0</v>
      </c>
      <c r="BQ21" s="214">
        <f>IF(AND(($D21+$C$1)&gt;AV$3,AV$3&gt;=$C$1),'General Inputs'!T$10*$I21,IF(AND(($C21+$C$1)&gt;AV$3,AV$3&gt;=$C$1),'General Inputs'!T$10*$H21,0))</f>
        <v>0</v>
      </c>
      <c r="BR21" s="214">
        <f>IF(AND(($D21+$C$1)&gt;AW$3,AW$3&gt;=$C$1),'General Inputs'!U$10*$I21,IF(AND(($C21+$C$1)&gt;AW$3,AW$3&gt;=$C$1),'General Inputs'!U$10*$H21,0))</f>
        <v>0</v>
      </c>
      <c r="BS21" s="214">
        <f>IF(AND(($D21+$C$1)&gt;AX$3,AX$3&gt;=$C$1),'General Inputs'!V$10*$I21,IF(AND(($C21+$C$1)&gt;AX$3,AX$3&gt;=$C$1),'General Inputs'!V$10*$H21,0))</f>
        <v>0</v>
      </c>
      <c r="BT21" s="214">
        <f>IF(AND(($D21+$C$1)&gt;AY$3,AY$3&gt;=$C$1),'General Inputs'!W$10*$I21,IF(AND(($C21+$C$1)&gt;AY$3,AY$3&gt;=$C$1),'General Inputs'!W$10*$H21,0))</f>
        <v>0</v>
      </c>
    </row>
    <row r="22" spans="1:72">
      <c r="A22" s="341" t="s">
        <v>12</v>
      </c>
      <c r="B22" s="427" t="str">
        <f>Sources!B22</f>
        <v>Faucet Aerator - Bathroom</v>
      </c>
      <c r="C22" s="193">
        <f>Sources!C22</f>
        <v>9</v>
      </c>
      <c r="D22" s="193">
        <f>Sources!D22</f>
        <v>0</v>
      </c>
      <c r="F22" s="429">
        <f>Sources!F22*EnergyLineLoss</f>
        <v>71.459104226811206</v>
      </c>
      <c r="G22" s="429">
        <f>Sources!G22*EnergyLineLoss</f>
        <v>0</v>
      </c>
      <c r="H22" s="477">
        <f>Sources!H22*PeakLineLoss</f>
        <v>7.9802045329433833E-3</v>
      </c>
      <c r="I22" s="477">
        <f>Sources!I22*PeakLineLoss</f>
        <v>0</v>
      </c>
      <c r="K22" s="419">
        <f>Sources!J22</f>
        <v>8</v>
      </c>
      <c r="L22" s="419">
        <f>Sources!K22</f>
        <v>0</v>
      </c>
      <c r="N22" s="438">
        <f t="shared" si="4"/>
        <v>2.6019904903269753</v>
      </c>
      <c r="P22" s="215">
        <f t="shared" si="0"/>
        <v>18.35431832697126</v>
      </c>
      <c r="Q22" s="215">
        <f t="shared" si="1"/>
        <v>0.77093334761143328</v>
      </c>
      <c r="R22" s="215">
        <f t="shared" si="2"/>
        <v>7.3502388827636898</v>
      </c>
      <c r="T22" s="214">
        <f t="shared" si="9"/>
        <v>0</v>
      </c>
      <c r="U22" s="214">
        <f t="shared" si="9"/>
        <v>8</v>
      </c>
      <c r="V22" s="214">
        <f t="shared" si="9"/>
        <v>0</v>
      </c>
      <c r="W22" s="214">
        <f t="shared" si="9"/>
        <v>0</v>
      </c>
      <c r="X22" s="214">
        <f t="shared" si="9"/>
        <v>0</v>
      </c>
      <c r="Y22" s="214">
        <f t="shared" si="9"/>
        <v>0</v>
      </c>
      <c r="Z22" s="214">
        <f t="shared" si="9"/>
        <v>0</v>
      </c>
      <c r="AA22" s="214">
        <f t="shared" si="9"/>
        <v>0</v>
      </c>
      <c r="AB22" s="214">
        <f t="shared" si="9"/>
        <v>0</v>
      </c>
      <c r="AC22" s="214">
        <f t="shared" si="9"/>
        <v>0</v>
      </c>
      <c r="AD22" s="214">
        <f t="shared" si="9"/>
        <v>0</v>
      </c>
      <c r="AF22" s="214">
        <f>IF(AND(($D22+$C$1)&gt;AF$3,AF$3&gt;=$C$1),'General Inputs'!D$9*$G22,IF(AND(($C22+$C$1)&gt;AF$3,AF$3&gt;=$C$1),'General Inputs'!D$9*$F22,0))</f>
        <v>0</v>
      </c>
      <c r="AG22" s="214">
        <f>IF(AND(($D22+$C$1)&gt;AG$3,AG$3&gt;=$C$1),'General Inputs'!E$9*$G22,IF(AND(($C22+$C$1)&gt;AG$3,AG$3&gt;=$C$1),'General Inputs'!E$9*$F22,0))</f>
        <v>2.8876233335949237</v>
      </c>
      <c r="AH22" s="214">
        <f>IF(AND(($D22+$C$1)&gt;AH$3,AH$3&gt;=$C$1),'General Inputs'!F$9*$G22,IF(AND(($C22+$C$1)&gt;AH$3,AH$3&gt;=$C$1),'General Inputs'!F$9*$F22,0))</f>
        <v>2.9309376835988474</v>
      </c>
      <c r="AI22" s="214">
        <f>IF(AND(($D22+$C$1)&gt;AI$3,AI$3&gt;=$C$1),'General Inputs'!G$9*$G22,IF(AND(($C22+$C$1)&gt;AI$3,AI$3&gt;=$C$1),'General Inputs'!G$9*$F22,0))</f>
        <v>2.97490174885283</v>
      </c>
      <c r="AJ22" s="214">
        <f>IF(AND(($D22+$C$1)&gt;AJ$3,AJ$3&gt;=$C$1),'General Inputs'!H$9*$G22,IF(AND(($C22+$C$1)&gt;AJ$3,AJ$3&gt;=$C$1),'General Inputs'!H$9*$F22,0))</f>
        <v>3.0195252750856221</v>
      </c>
      <c r="AK22" s="214">
        <f>IF(AND(($D22+$C$1)&gt;AK$3,AK$3&gt;=$C$1),'General Inputs'!I$9*$G22,IF(AND(($C22+$C$1)&gt;AK$3,AK$3&gt;=$C$1),'General Inputs'!I$9*$F22,0))</f>
        <v>3.0648181542119057</v>
      </c>
      <c r="AL22" s="214">
        <f>IF(AND(($D22+$C$1)&gt;AL$3,AL$3&gt;=$C$1),'General Inputs'!J$9*$G22,IF(AND(($C22+$C$1)&gt;AL$3,AL$3&gt;=$C$1),'General Inputs'!J$9*$F22,0))</f>
        <v>3.1107904265250839</v>
      </c>
      <c r="AM22" s="214">
        <f>IF(AND(($D22+$C$1)&gt;AM$3,AM$3&gt;=$C$1),'General Inputs'!K$9*$G22,IF(AND(($C22+$C$1)&gt;AM$3,AM$3&gt;=$C$1),'General Inputs'!K$9*$F22,0))</f>
        <v>3.1574522829229594</v>
      </c>
      <c r="AN22" s="214">
        <f>IF(AND(($D22+$C$1)&gt;AN$3,AN$3&gt;=$C$1),'General Inputs'!L$9*$G22,IF(AND(($C22+$C$1)&gt;AN$3,AN$3&gt;=$C$1),'General Inputs'!L$9*$F22,0))</f>
        <v>3.2048140671668039</v>
      </c>
      <c r="AO22" s="214">
        <f>IF(AND(($D22+$C$1)&gt;AO$3,AO$3&gt;=$C$1),'General Inputs'!M$9*$G22,IF(AND(($C22+$C$1)&gt;AO$3,AO$3&gt;=$C$1),'General Inputs'!M$9*$F22,0))</f>
        <v>3.2528862781743051</v>
      </c>
      <c r="AP22" s="214">
        <f>IF(AND(($D22+$C$1)&gt;AP$3,AP$3&gt;=$C$1),'General Inputs'!N$9*$G22,IF(AND(($C22+$C$1)&gt;AP$3,AP$3&gt;=$C$1),'General Inputs'!N$9*$F22,0))</f>
        <v>0</v>
      </c>
      <c r="AQ22" s="214">
        <f>IF(AND(($D22+$C$1)&gt;AQ$3,AQ$3&gt;=$C$1),'General Inputs'!O$9*$G22,IF(AND(($C22+$C$1)&gt;AQ$3,AQ$3&gt;=$C$1),'General Inputs'!O$9*$F22,0))</f>
        <v>0</v>
      </c>
      <c r="AR22" s="214">
        <f>IF(AND(($D22+$C$1)&gt;AR$3,AR$3&gt;=$C$1),'General Inputs'!P$9*$G22,IF(AND(($C22+$C$1)&gt;AR$3,AR$3&gt;=$C$1),'General Inputs'!P$9*$F22,0))</f>
        <v>0</v>
      </c>
      <c r="AS22" s="214">
        <f>IF(AND(($D22+$C$1)&gt;AS$3,AS$3&gt;=$C$1),'General Inputs'!Q$9*$G22,IF(AND(($C22+$C$1)&gt;AS$3,AS$3&gt;=$C$1),'General Inputs'!Q$9*$F22,0))</f>
        <v>0</v>
      </c>
      <c r="AT22" s="214">
        <f>IF(AND(($D22+$C$1)&gt;AT$3,AT$3&gt;=$C$1),'General Inputs'!R$9*$G22,IF(AND(($C22+$C$1)&gt;AT$3,AT$3&gt;=$C$1),'General Inputs'!R$9*$F22,0))</f>
        <v>0</v>
      </c>
      <c r="AU22" s="214">
        <f>IF(AND(($D22+$C$1)&gt;AU$3,AU$3&gt;=$C$1),'General Inputs'!S$9*$G22,IF(AND(($C22+$C$1)&gt;AU$3,AU$3&gt;=$C$1),'General Inputs'!S$9*$F22,0))</f>
        <v>0</v>
      </c>
      <c r="AV22" s="214">
        <f>IF(AND(($D22+$C$1)&gt;AV$3,AV$3&gt;=$C$1),'General Inputs'!T$9*$G22,IF(AND(($C22+$C$1)&gt;AV$3,AV$3&gt;=$C$1),'General Inputs'!T$9*$F22,0))</f>
        <v>0</v>
      </c>
      <c r="AW22" s="214">
        <f>IF(AND(($D22+$C$1)&gt;AW$3,AW$3&gt;=$C$1),'General Inputs'!U$9*$G22,IF(AND(($C22+$C$1)&gt;AW$3,AW$3&gt;=$C$1),'General Inputs'!U$9*$F22,0))</f>
        <v>0</v>
      </c>
      <c r="AX22" s="214">
        <f>IF(AND(($D22+$C$1)&gt;AX$3,AX$3&gt;=$C$1),'General Inputs'!V$9*$G22,IF(AND(($C22+$C$1)&gt;AX$3,AX$3&gt;=$C$1),'General Inputs'!V$9*$F22,0))</f>
        <v>0</v>
      </c>
      <c r="AY22" s="214">
        <f>IF(AND(($D22+$C$1)&gt;AY$3,AY$3&gt;=$C$1),'General Inputs'!W$9*$G22,IF(AND(($C22+$C$1)&gt;AY$3,AY$3&gt;=$C$1),'General Inputs'!W$9*$F22,0))</f>
        <v>0</v>
      </c>
      <c r="BA22" s="214">
        <f>IF(AND(($D22+$C$1)&gt;AF$3,AF$3&gt;=$C$1),'General Inputs'!D$10*$I22,IF(AND(($C22+$C$1)&gt;AF$3,AF$3&gt;=$C$1),'General Inputs'!D$10*$H22,0))</f>
        <v>0</v>
      </c>
      <c r="BB22" s="214">
        <f>IF(AND(($D22+$C$1)&gt;AG$3,AG$3&gt;=$C$1),'General Inputs'!E$10*$I22,IF(AND(($C22+$C$1)&gt;AG$3,AG$3&gt;=$C$1),'General Inputs'!E$10*$H22,0))</f>
        <v>0.12128835751627565</v>
      </c>
      <c r="BC22" s="214">
        <f>IF(AND(($D22+$C$1)&gt;AH$3,AH$3&gt;=$C$1),'General Inputs'!F$10*$I22,IF(AND(($C22+$C$1)&gt;AH$3,AH$3&gt;=$C$1),'General Inputs'!F$10*$H22,0))</f>
        <v>0.12310768287901977</v>
      </c>
      <c r="BD22" s="214">
        <f>IF(AND(($D22+$C$1)&gt;AI$3,AI$3&gt;=$C$1),'General Inputs'!G$10*$I22,IF(AND(($C22+$C$1)&gt;AI$3,AI$3&gt;=$C$1),'General Inputs'!G$10*$H22,0))</f>
        <v>0.12495429812220506</v>
      </c>
      <c r="BE22" s="214">
        <f>IF(AND(($D22+$C$1)&gt;AJ$3,AJ$3&gt;=$C$1),'General Inputs'!H$10*$I22,IF(AND(($C22+$C$1)&gt;AJ$3,AJ$3&gt;=$C$1),'General Inputs'!H$10*$H22,0))</f>
        <v>0.12682861259403813</v>
      </c>
      <c r="BF22" s="214">
        <f>IF(AND(($D22+$C$1)&gt;AK$3,AK$3&gt;=$C$1),'General Inputs'!I$10*$I22,IF(AND(($C22+$C$1)&gt;AK$3,AK$3&gt;=$C$1),'General Inputs'!I$10*$H22,0))</f>
        <v>0.12873104178294867</v>
      </c>
      <c r="BG22" s="214">
        <f>IF(AND(($D22+$C$1)&gt;AL$3,AL$3&gt;=$C$1),'General Inputs'!J$10*$I22,IF(AND(($C22+$C$1)&gt;AL$3,AL$3&gt;=$C$1),'General Inputs'!J$10*$H22,0))</f>
        <v>0.13066200740969289</v>
      </c>
      <c r="BH22" s="214">
        <f>IF(AND(($D22+$C$1)&gt;AM$3,AM$3&gt;=$C$1),'General Inputs'!K$10*$I22,IF(AND(($C22+$C$1)&gt;AM$3,AM$3&gt;=$C$1),'General Inputs'!K$10*$H22,0))</f>
        <v>0.13262193752083828</v>
      </c>
      <c r="BI22" s="214">
        <f>IF(AND(($D22+$C$1)&gt;AN$3,AN$3&gt;=$C$1),'General Inputs'!L$10*$I22,IF(AND(($C22+$C$1)&gt;AN$3,AN$3&gt;=$C$1),'General Inputs'!L$10*$H22,0))</f>
        <v>0.13461126658365083</v>
      </c>
      <c r="BJ22" s="214">
        <f>IF(AND(($D22+$C$1)&gt;AO$3,AO$3&gt;=$C$1),'General Inputs'!M$10*$I22,IF(AND(($C22+$C$1)&gt;AO$3,AO$3&gt;=$C$1),'General Inputs'!M$10*$H22,0))</f>
        <v>0.13663043558240559</v>
      </c>
      <c r="BK22" s="214">
        <f>IF(AND(($D22+$C$1)&gt;AP$3,AP$3&gt;=$C$1),'General Inputs'!N$10*$I22,IF(AND(($C22+$C$1)&gt;AP$3,AP$3&gt;=$C$1),'General Inputs'!N$10*$H22,0))</f>
        <v>0</v>
      </c>
      <c r="BL22" s="214">
        <f>IF(AND(($D22+$C$1)&gt;AQ$3,AQ$3&gt;=$C$1),'General Inputs'!O$10*$I22,IF(AND(($C22+$C$1)&gt;AQ$3,AQ$3&gt;=$C$1),'General Inputs'!O$10*$H22,0))</f>
        <v>0</v>
      </c>
      <c r="BM22" s="214">
        <f>IF(AND(($D22+$C$1)&gt;AR$3,AR$3&gt;=$C$1),'General Inputs'!P$10*$I22,IF(AND(($C22+$C$1)&gt;AR$3,AR$3&gt;=$C$1),'General Inputs'!P$10*$H22,0))</f>
        <v>0</v>
      </c>
      <c r="BN22" s="214">
        <f>IF(AND(($D22+$C$1)&gt;AS$3,AS$3&gt;=$C$1),'General Inputs'!Q$10*$I22,IF(AND(($C22+$C$1)&gt;AS$3,AS$3&gt;=$C$1),'General Inputs'!Q$10*$H22,0))</f>
        <v>0</v>
      </c>
      <c r="BO22" s="214">
        <f>IF(AND(($D22+$C$1)&gt;AT$3,AT$3&gt;=$C$1),'General Inputs'!R$10*$I22,IF(AND(($C22+$C$1)&gt;AT$3,AT$3&gt;=$C$1),'General Inputs'!R$10*$H22,0))</f>
        <v>0</v>
      </c>
      <c r="BP22" s="214">
        <f>IF(AND(($D22+$C$1)&gt;AU$3,AU$3&gt;=$C$1),'General Inputs'!S$10*$I22,IF(AND(($C22+$C$1)&gt;AU$3,AU$3&gt;=$C$1),'General Inputs'!S$10*$H22,0))</f>
        <v>0</v>
      </c>
      <c r="BQ22" s="214">
        <f>IF(AND(($D22+$C$1)&gt;AV$3,AV$3&gt;=$C$1),'General Inputs'!T$10*$I22,IF(AND(($C22+$C$1)&gt;AV$3,AV$3&gt;=$C$1),'General Inputs'!T$10*$H22,0))</f>
        <v>0</v>
      </c>
      <c r="BR22" s="214">
        <f>IF(AND(($D22+$C$1)&gt;AW$3,AW$3&gt;=$C$1),'General Inputs'!U$10*$I22,IF(AND(($C22+$C$1)&gt;AW$3,AW$3&gt;=$C$1),'General Inputs'!U$10*$H22,0))</f>
        <v>0</v>
      </c>
      <c r="BS22" s="214">
        <f>IF(AND(($D22+$C$1)&gt;AX$3,AX$3&gt;=$C$1),'General Inputs'!V$10*$I22,IF(AND(($C22+$C$1)&gt;AX$3,AX$3&gt;=$C$1),'General Inputs'!V$10*$H22,0))</f>
        <v>0</v>
      </c>
      <c r="BT22" s="214">
        <f>IF(AND(($D22+$C$1)&gt;AY$3,AY$3&gt;=$C$1),'General Inputs'!W$10*$I22,IF(AND(($C22+$C$1)&gt;AY$3,AY$3&gt;=$C$1),'General Inputs'!W$10*$H22,0))</f>
        <v>0</v>
      </c>
    </row>
    <row r="23" spans="1:72">
      <c r="A23" s="341" t="s">
        <v>12</v>
      </c>
      <c r="B23" s="427" t="str">
        <f>Sources!B23</f>
        <v>Low Flow Showerhead</v>
      </c>
      <c r="C23" s="193">
        <f>Sources!C23</f>
        <v>10</v>
      </c>
      <c r="D23" s="193">
        <f>Sources!D23</f>
        <v>0</v>
      </c>
      <c r="F23" s="429">
        <f>Sources!F23*EnergyLineLoss</f>
        <v>149.46851505891138</v>
      </c>
      <c r="G23" s="429">
        <f>Sources!G23*EnergyLineLoss</f>
        <v>0</v>
      </c>
      <c r="H23" s="477">
        <f>Sources!H23*PeakLineLoss</f>
        <v>1.0934801891151938E-2</v>
      </c>
      <c r="I23" s="477">
        <f>Sources!I23*PeakLineLoss</f>
        <v>0</v>
      </c>
      <c r="K23" s="419">
        <f>Sources!J23</f>
        <v>12</v>
      </c>
      <c r="L23" s="419">
        <f>Sources!K23</f>
        <v>0</v>
      </c>
      <c r="N23" s="438">
        <f t="shared" si="4"/>
        <v>3.8537748824187634</v>
      </c>
      <c r="P23" s="215">
        <f t="shared" si="0"/>
        <v>41.35142827609247</v>
      </c>
      <c r="Q23" s="215">
        <f t="shared" si="1"/>
        <v>1.1378207031662164</v>
      </c>
      <c r="R23" s="215">
        <f t="shared" si="2"/>
        <v>11.025358324145534</v>
      </c>
      <c r="T23" s="214">
        <f t="shared" si="9"/>
        <v>0</v>
      </c>
      <c r="U23" s="214">
        <f t="shared" si="9"/>
        <v>12</v>
      </c>
      <c r="V23" s="214">
        <f t="shared" si="9"/>
        <v>0</v>
      </c>
      <c r="W23" s="214">
        <f t="shared" si="9"/>
        <v>0</v>
      </c>
      <c r="X23" s="214">
        <f t="shared" si="9"/>
        <v>0</v>
      </c>
      <c r="Y23" s="214">
        <f t="shared" si="9"/>
        <v>0</v>
      </c>
      <c r="Z23" s="214">
        <f t="shared" si="9"/>
        <v>0</v>
      </c>
      <c r="AA23" s="214">
        <f t="shared" si="9"/>
        <v>0</v>
      </c>
      <c r="AB23" s="214">
        <f t="shared" si="9"/>
        <v>0</v>
      </c>
      <c r="AC23" s="214">
        <f t="shared" si="9"/>
        <v>0</v>
      </c>
      <c r="AD23" s="214">
        <f t="shared" si="9"/>
        <v>0</v>
      </c>
      <c r="AF23" s="214">
        <f>IF(AND(($D23+$C$1)&gt;AF$3,AF$3&gt;=$C$1),'General Inputs'!D$9*$G23,IF(AND(($C23+$C$1)&gt;AF$3,AF$3&gt;=$C$1),'General Inputs'!D$9*$F23,0))</f>
        <v>0</v>
      </c>
      <c r="AG23" s="214">
        <f>IF(AND(($D23+$C$1)&gt;AG$3,AG$3&gt;=$C$1),'General Inputs'!E$9*$G23,IF(AND(($C23+$C$1)&gt;AG$3,AG$3&gt;=$C$1),'General Inputs'!E$9*$F23,0))</f>
        <v>6.0399409759177844</v>
      </c>
      <c r="AH23" s="214">
        <f>IF(AND(($D23+$C$1)&gt;AH$3,AH$3&gt;=$C$1),'General Inputs'!F$9*$G23,IF(AND(($C23+$C$1)&gt;AH$3,AH$3&gt;=$C$1),'General Inputs'!F$9*$F23,0))</f>
        <v>6.1305400905565506</v>
      </c>
      <c r="AI23" s="214">
        <f>IF(AND(($D23+$C$1)&gt;AI$3,AI$3&gt;=$C$1),'General Inputs'!G$9*$G23,IF(AND(($C23+$C$1)&gt;AI$3,AI$3&gt;=$C$1),'General Inputs'!G$9*$F23,0))</f>
        <v>6.2224981919148981</v>
      </c>
      <c r="AJ23" s="214">
        <f>IF(AND(($D23+$C$1)&gt;AJ$3,AJ$3&gt;=$C$1),'General Inputs'!H$9*$G23,IF(AND(($C23+$C$1)&gt;AJ$3,AJ$3&gt;=$C$1),'General Inputs'!H$9*$F23,0))</f>
        <v>6.3158356647936209</v>
      </c>
      <c r="AK23" s="214">
        <f>IF(AND(($D23+$C$1)&gt;AK$3,AK$3&gt;=$C$1),'General Inputs'!I$9*$G23,IF(AND(($C23+$C$1)&gt;AK$3,AK$3&gt;=$C$1),'General Inputs'!I$9*$F23,0))</f>
        <v>6.4105731997655244</v>
      </c>
      <c r="AL23" s="214">
        <f>IF(AND(($D23+$C$1)&gt;AL$3,AL$3&gt;=$C$1),'General Inputs'!J$9*$G23,IF(AND(($C23+$C$1)&gt;AL$3,AL$3&gt;=$C$1),'General Inputs'!J$9*$F23,0))</f>
        <v>6.5067317977620061</v>
      </c>
      <c r="AM23" s="214">
        <f>IF(AND(($D23+$C$1)&gt;AM$3,AM$3&gt;=$C$1),'General Inputs'!K$9*$G23,IF(AND(($C23+$C$1)&gt;AM$3,AM$3&gt;=$C$1),'General Inputs'!K$9*$F23,0))</f>
        <v>6.6043327747284355</v>
      </c>
      <c r="AN23" s="214">
        <f>IF(AND(($D23+$C$1)&gt;AN$3,AN$3&gt;=$C$1),'General Inputs'!L$9*$G23,IF(AND(($C23+$C$1)&gt;AN$3,AN$3&gt;=$C$1),'General Inputs'!L$9*$F23,0))</f>
        <v>6.7033977663493616</v>
      </c>
      <c r="AO23" s="214">
        <f>IF(AND(($D23+$C$1)&gt;AO$3,AO$3&gt;=$C$1),'General Inputs'!M$9*$G23,IF(AND(($C23+$C$1)&gt;AO$3,AO$3&gt;=$C$1),'General Inputs'!M$9*$F23,0))</f>
        <v>6.8039487328446002</v>
      </c>
      <c r="AP23" s="214">
        <f>IF(AND(($D23+$C$1)&gt;AP$3,AP$3&gt;=$C$1),'General Inputs'!N$9*$G23,IF(AND(($C23+$C$1)&gt;AP$3,AP$3&gt;=$C$1),'General Inputs'!N$9*$F23,0))</f>
        <v>6.9060079638372693</v>
      </c>
      <c r="AQ23" s="214">
        <f>IF(AND(($D23+$C$1)&gt;AQ$3,AQ$3&gt;=$C$1),'General Inputs'!O$9*$G23,IF(AND(($C23+$C$1)&gt;AQ$3,AQ$3&gt;=$C$1),'General Inputs'!O$9*$F23,0))</f>
        <v>0</v>
      </c>
      <c r="AR23" s="214">
        <f>IF(AND(($D23+$C$1)&gt;AR$3,AR$3&gt;=$C$1),'General Inputs'!P$9*$G23,IF(AND(($C23+$C$1)&gt;AR$3,AR$3&gt;=$C$1),'General Inputs'!P$9*$F23,0))</f>
        <v>0</v>
      </c>
      <c r="AS23" s="214">
        <f>IF(AND(($D23+$C$1)&gt;AS$3,AS$3&gt;=$C$1),'General Inputs'!Q$9*$G23,IF(AND(($C23+$C$1)&gt;AS$3,AS$3&gt;=$C$1),'General Inputs'!Q$9*$F23,0))</f>
        <v>0</v>
      </c>
      <c r="AT23" s="214">
        <f>IF(AND(($D23+$C$1)&gt;AT$3,AT$3&gt;=$C$1),'General Inputs'!R$9*$G23,IF(AND(($C23+$C$1)&gt;AT$3,AT$3&gt;=$C$1),'General Inputs'!R$9*$F23,0))</f>
        <v>0</v>
      </c>
      <c r="AU23" s="214">
        <f>IF(AND(($D23+$C$1)&gt;AU$3,AU$3&gt;=$C$1),'General Inputs'!S$9*$G23,IF(AND(($C23+$C$1)&gt;AU$3,AU$3&gt;=$C$1),'General Inputs'!S$9*$F23,0))</f>
        <v>0</v>
      </c>
      <c r="AV23" s="214">
        <f>IF(AND(($D23+$C$1)&gt;AV$3,AV$3&gt;=$C$1),'General Inputs'!T$9*$G23,IF(AND(($C23+$C$1)&gt;AV$3,AV$3&gt;=$C$1),'General Inputs'!T$9*$F23,0))</f>
        <v>0</v>
      </c>
      <c r="AW23" s="214">
        <f>IF(AND(($D23+$C$1)&gt;AW$3,AW$3&gt;=$C$1),'General Inputs'!U$9*$G23,IF(AND(($C23+$C$1)&gt;AW$3,AW$3&gt;=$C$1),'General Inputs'!U$9*$F23,0))</f>
        <v>0</v>
      </c>
      <c r="AX23" s="214">
        <f>IF(AND(($D23+$C$1)&gt;AX$3,AX$3&gt;=$C$1),'General Inputs'!V$9*$G23,IF(AND(($C23+$C$1)&gt;AX$3,AX$3&gt;=$C$1),'General Inputs'!V$9*$F23,0))</f>
        <v>0</v>
      </c>
      <c r="AY23" s="214">
        <f>IF(AND(($D23+$C$1)&gt;AY$3,AY$3&gt;=$C$1),'General Inputs'!W$9*$G23,IF(AND(($C23+$C$1)&gt;AY$3,AY$3&gt;=$C$1),'General Inputs'!W$9*$F23,0))</f>
        <v>0</v>
      </c>
      <c r="BA23" s="214">
        <f>IF(AND(($D23+$C$1)&gt;AF$3,AF$3&gt;=$C$1),'General Inputs'!D$10*$I23,IF(AND(($C23+$C$1)&gt;AF$3,AF$3&gt;=$C$1),'General Inputs'!D$10*$H23,0))</f>
        <v>0</v>
      </c>
      <c r="BB23" s="214">
        <f>IF(AND(($D23+$C$1)&gt;AG$3,AG$3&gt;=$C$1),'General Inputs'!E$10*$I23,IF(AND(($C23+$C$1)&gt;AG$3,AG$3&gt;=$C$1),'General Inputs'!E$10*$H23,0))</f>
        <v>0.16619425675979635</v>
      </c>
      <c r="BC23" s="214">
        <f>IF(AND(($D23+$C$1)&gt;AH$3,AH$3&gt;=$C$1),'General Inputs'!F$10*$I23,IF(AND(($C23+$C$1)&gt;AH$3,AH$3&gt;=$C$1),'General Inputs'!F$10*$H23,0))</f>
        <v>0.16868717061119329</v>
      </c>
      <c r="BD23" s="214">
        <f>IF(AND(($D23+$C$1)&gt;AI$3,AI$3&gt;=$C$1),'General Inputs'!G$10*$I23,IF(AND(($C23+$C$1)&gt;AI$3,AI$3&gt;=$C$1),'General Inputs'!G$10*$H23,0))</f>
        <v>0.17121747817036118</v>
      </c>
      <c r="BE23" s="214">
        <f>IF(AND(($D23+$C$1)&gt;AJ$3,AJ$3&gt;=$C$1),'General Inputs'!H$10*$I23,IF(AND(($C23+$C$1)&gt;AJ$3,AJ$3&gt;=$C$1),'General Inputs'!H$10*$H23,0))</f>
        <v>0.17378574034291658</v>
      </c>
      <c r="BF23" s="214">
        <f>IF(AND(($D23+$C$1)&gt;AK$3,AK$3&gt;=$C$1),'General Inputs'!I$10*$I23,IF(AND(($C23+$C$1)&gt;AK$3,AK$3&gt;=$C$1),'General Inputs'!I$10*$H23,0))</f>
        <v>0.17639252644806028</v>
      </c>
      <c r="BG23" s="214">
        <f>IF(AND(($D23+$C$1)&gt;AL$3,AL$3&gt;=$C$1),'General Inputs'!J$10*$I23,IF(AND(($C23+$C$1)&gt;AL$3,AL$3&gt;=$C$1),'General Inputs'!J$10*$H23,0))</f>
        <v>0.17903841434478115</v>
      </c>
      <c r="BH23" s="214">
        <f>IF(AND(($D23+$C$1)&gt;AM$3,AM$3&gt;=$C$1),'General Inputs'!K$10*$I23,IF(AND(($C23+$C$1)&gt;AM$3,AM$3&gt;=$C$1),'General Inputs'!K$10*$H23,0))</f>
        <v>0.18172399055995286</v>
      </c>
      <c r="BI23" s="214">
        <f>IF(AND(($D23+$C$1)&gt;AN$3,AN$3&gt;=$C$1),'General Inputs'!L$10*$I23,IF(AND(($C23+$C$1)&gt;AN$3,AN$3&gt;=$C$1),'General Inputs'!L$10*$H23,0))</f>
        <v>0.18444985041835216</v>
      </c>
      <c r="BJ23" s="214">
        <f>IF(AND(($D23+$C$1)&gt;AO$3,AO$3&gt;=$C$1),'General Inputs'!M$10*$I23,IF(AND(($C23+$C$1)&gt;AO$3,AO$3&gt;=$C$1),'General Inputs'!M$10*$H23,0))</f>
        <v>0.18721659817462744</v>
      </c>
      <c r="BK23" s="214">
        <f>IF(AND(($D23+$C$1)&gt;AP$3,AP$3&gt;=$C$1),'General Inputs'!N$10*$I23,IF(AND(($C23+$C$1)&gt;AP$3,AP$3&gt;=$C$1),'General Inputs'!N$10*$H23,0))</f>
        <v>0.19002484714724682</v>
      </c>
      <c r="BL23" s="214">
        <f>IF(AND(($D23+$C$1)&gt;AQ$3,AQ$3&gt;=$C$1),'General Inputs'!O$10*$I23,IF(AND(($C23+$C$1)&gt;AQ$3,AQ$3&gt;=$C$1),'General Inputs'!O$10*$H23,0))</f>
        <v>0</v>
      </c>
      <c r="BM23" s="214">
        <f>IF(AND(($D23+$C$1)&gt;AR$3,AR$3&gt;=$C$1),'General Inputs'!P$10*$I23,IF(AND(($C23+$C$1)&gt;AR$3,AR$3&gt;=$C$1),'General Inputs'!P$10*$H23,0))</f>
        <v>0</v>
      </c>
      <c r="BN23" s="214">
        <f>IF(AND(($D23+$C$1)&gt;AS$3,AS$3&gt;=$C$1),'General Inputs'!Q$10*$I23,IF(AND(($C23+$C$1)&gt;AS$3,AS$3&gt;=$C$1),'General Inputs'!Q$10*$H23,0))</f>
        <v>0</v>
      </c>
      <c r="BO23" s="214">
        <f>IF(AND(($D23+$C$1)&gt;AT$3,AT$3&gt;=$C$1),'General Inputs'!R$10*$I23,IF(AND(($C23+$C$1)&gt;AT$3,AT$3&gt;=$C$1),'General Inputs'!R$10*$H23,0))</f>
        <v>0</v>
      </c>
      <c r="BP23" s="214">
        <f>IF(AND(($D23+$C$1)&gt;AU$3,AU$3&gt;=$C$1),'General Inputs'!S$10*$I23,IF(AND(($C23+$C$1)&gt;AU$3,AU$3&gt;=$C$1),'General Inputs'!S$10*$H23,0))</f>
        <v>0</v>
      </c>
      <c r="BQ23" s="214">
        <f>IF(AND(($D23+$C$1)&gt;AV$3,AV$3&gt;=$C$1),'General Inputs'!T$10*$I23,IF(AND(($C23+$C$1)&gt;AV$3,AV$3&gt;=$C$1),'General Inputs'!T$10*$H23,0))</f>
        <v>0</v>
      </c>
      <c r="BR23" s="214">
        <f>IF(AND(($D23+$C$1)&gt;AW$3,AW$3&gt;=$C$1),'General Inputs'!U$10*$I23,IF(AND(($C23+$C$1)&gt;AW$3,AW$3&gt;=$C$1),'General Inputs'!U$10*$H23,0))</f>
        <v>0</v>
      </c>
      <c r="BS23" s="214">
        <f>IF(AND(($D23+$C$1)&gt;AX$3,AX$3&gt;=$C$1),'General Inputs'!V$10*$I23,IF(AND(($C23+$C$1)&gt;AX$3,AX$3&gt;=$C$1),'General Inputs'!V$10*$H23,0))</f>
        <v>0</v>
      </c>
      <c r="BT23" s="214">
        <f>IF(AND(($D23+$C$1)&gt;AY$3,AY$3&gt;=$C$1),'General Inputs'!W$10*$I23,IF(AND(($C23+$C$1)&gt;AY$3,AY$3&gt;=$C$1),'General Inputs'!W$10*$H23,0))</f>
        <v>0</v>
      </c>
    </row>
    <row r="24" spans="1:72">
      <c r="A24" s="341" t="s">
        <v>12</v>
      </c>
      <c r="B24" s="427" t="str">
        <f>Sources!B24</f>
        <v>Water Heater Tank Wrap</v>
      </c>
      <c r="C24" s="193">
        <f>Sources!C24</f>
        <v>5</v>
      </c>
      <c r="D24" s="193">
        <f>Sources!D24</f>
        <v>0</v>
      </c>
      <c r="F24" s="429">
        <f>Sources!F24*EnergyLineLoss</f>
        <v>82.712999999999994</v>
      </c>
      <c r="G24" s="429">
        <f>Sources!G24*EnergyLineLoss</f>
        <v>0</v>
      </c>
      <c r="H24" s="477">
        <f>Sources!H24*PeakLineLoss</f>
        <v>9.4229999999999991E-3</v>
      </c>
      <c r="I24" s="477">
        <f>Sources!I24*PeakLineLoss</f>
        <v>0</v>
      </c>
      <c r="K24" s="419">
        <f>Sources!J24</f>
        <v>10</v>
      </c>
      <c r="L24" s="419">
        <f>Sources!K24</f>
        <v>0</v>
      </c>
      <c r="N24" s="438">
        <f t="shared" si="4"/>
        <v>1.5230633148705488</v>
      </c>
      <c r="P24" s="215">
        <f t="shared" si="0"/>
        <v>13.418628367445358</v>
      </c>
      <c r="Q24" s="215">
        <f t="shared" si="1"/>
        <v>0.57497062989522141</v>
      </c>
      <c r="R24" s="215">
        <f t="shared" si="2"/>
        <v>9.1877986034546115</v>
      </c>
      <c r="T24" s="214">
        <f t="shared" si="9"/>
        <v>0</v>
      </c>
      <c r="U24" s="214">
        <f t="shared" si="9"/>
        <v>10</v>
      </c>
      <c r="V24" s="214">
        <f t="shared" si="9"/>
        <v>0</v>
      </c>
      <c r="W24" s="214">
        <f t="shared" si="9"/>
        <v>0</v>
      </c>
      <c r="X24" s="214">
        <f t="shared" si="9"/>
        <v>0</v>
      </c>
      <c r="Y24" s="214">
        <f t="shared" si="9"/>
        <v>0</v>
      </c>
      <c r="Z24" s="214">
        <f t="shared" si="9"/>
        <v>0</v>
      </c>
      <c r="AA24" s="214">
        <f t="shared" si="9"/>
        <v>0</v>
      </c>
      <c r="AB24" s="214">
        <f t="shared" si="9"/>
        <v>0</v>
      </c>
      <c r="AC24" s="214">
        <f t="shared" si="9"/>
        <v>0</v>
      </c>
      <c r="AD24" s="214">
        <f t="shared" si="9"/>
        <v>0</v>
      </c>
      <c r="AF24" s="214">
        <f>IF(AND(($D24+$C$1)&gt;AF$3,AF$3&gt;=$C$1),'General Inputs'!D$9*$G24,IF(AND(($C24+$C$1)&gt;AF$3,AF$3&gt;=$C$1),'General Inputs'!D$9*$F24,0))</f>
        <v>0</v>
      </c>
      <c r="AG24" s="214">
        <f>IF(AND(($D24+$C$1)&gt;AG$3,AG$3&gt;=$C$1),'General Inputs'!E$9*$G24,IF(AND(($C24+$C$1)&gt;AG$3,AG$3&gt;=$C$1),'General Inputs'!E$9*$F24,0))</f>
        <v>3.3423871090455606</v>
      </c>
      <c r="AH24" s="214">
        <f>IF(AND(($D24+$C$1)&gt;AH$3,AH$3&gt;=$C$1),'General Inputs'!F$9*$G24,IF(AND(($C24+$C$1)&gt;AH$3,AH$3&gt;=$C$1),'General Inputs'!F$9*$F24,0))</f>
        <v>3.3925229156812438</v>
      </c>
      <c r="AI24" s="214">
        <f>IF(AND(($D24+$C$1)&gt;AI$3,AI$3&gt;=$C$1),'General Inputs'!G$9*$G24,IF(AND(($C24+$C$1)&gt;AI$3,AI$3&gt;=$C$1),'General Inputs'!G$9*$F24,0))</f>
        <v>3.4434107594164622</v>
      </c>
      <c r="AJ24" s="214">
        <f>IF(AND(($D24+$C$1)&gt;AJ$3,AJ$3&gt;=$C$1),'General Inputs'!H$9*$G24,IF(AND(($C24+$C$1)&gt;AJ$3,AJ$3&gt;=$C$1),'General Inputs'!H$9*$F24,0))</f>
        <v>3.4950619208077085</v>
      </c>
      <c r="AK24" s="214">
        <f>IF(AND(($D24+$C$1)&gt;AK$3,AK$3&gt;=$C$1),'General Inputs'!I$9*$G24,IF(AND(($C24+$C$1)&gt;AK$3,AK$3&gt;=$C$1),'General Inputs'!I$9*$F24,0))</f>
        <v>3.5474878496198237</v>
      </c>
      <c r="AL24" s="214">
        <f>IF(AND(($D24+$C$1)&gt;AL$3,AL$3&gt;=$C$1),'General Inputs'!J$9*$G24,IF(AND(($C24+$C$1)&gt;AL$3,AL$3&gt;=$C$1),'General Inputs'!J$9*$F24,0))</f>
        <v>0</v>
      </c>
      <c r="AM24" s="214">
        <f>IF(AND(($D24+$C$1)&gt;AM$3,AM$3&gt;=$C$1),'General Inputs'!K$9*$G24,IF(AND(($C24+$C$1)&gt;AM$3,AM$3&gt;=$C$1),'General Inputs'!K$9*$F24,0))</f>
        <v>0</v>
      </c>
      <c r="AN24" s="214">
        <f>IF(AND(($D24+$C$1)&gt;AN$3,AN$3&gt;=$C$1),'General Inputs'!L$9*$G24,IF(AND(($C24+$C$1)&gt;AN$3,AN$3&gt;=$C$1),'General Inputs'!L$9*$F24,0))</f>
        <v>0</v>
      </c>
      <c r="AO24" s="214">
        <f>IF(AND(($D24+$C$1)&gt;AO$3,AO$3&gt;=$C$1),'General Inputs'!M$9*$G24,IF(AND(($C24+$C$1)&gt;AO$3,AO$3&gt;=$C$1),'General Inputs'!M$9*$F24,0))</f>
        <v>0</v>
      </c>
      <c r="AP24" s="214">
        <f>IF(AND(($D24+$C$1)&gt;AP$3,AP$3&gt;=$C$1),'General Inputs'!N$9*$G24,IF(AND(($C24+$C$1)&gt;AP$3,AP$3&gt;=$C$1),'General Inputs'!N$9*$F24,0))</f>
        <v>0</v>
      </c>
      <c r="AQ24" s="214">
        <f>IF(AND(($D24+$C$1)&gt;AQ$3,AQ$3&gt;=$C$1),'General Inputs'!O$9*$G24,IF(AND(($C24+$C$1)&gt;AQ$3,AQ$3&gt;=$C$1),'General Inputs'!O$9*$F24,0))</f>
        <v>0</v>
      </c>
      <c r="AR24" s="214">
        <f>IF(AND(($D24+$C$1)&gt;AR$3,AR$3&gt;=$C$1),'General Inputs'!P$9*$G24,IF(AND(($C24+$C$1)&gt;AR$3,AR$3&gt;=$C$1),'General Inputs'!P$9*$F24,0))</f>
        <v>0</v>
      </c>
      <c r="AS24" s="214">
        <f>IF(AND(($D24+$C$1)&gt;AS$3,AS$3&gt;=$C$1),'General Inputs'!Q$9*$G24,IF(AND(($C24+$C$1)&gt;AS$3,AS$3&gt;=$C$1),'General Inputs'!Q$9*$F24,0))</f>
        <v>0</v>
      </c>
      <c r="AT24" s="214">
        <f>IF(AND(($D24+$C$1)&gt;AT$3,AT$3&gt;=$C$1),'General Inputs'!R$9*$G24,IF(AND(($C24+$C$1)&gt;AT$3,AT$3&gt;=$C$1),'General Inputs'!R$9*$F24,0))</f>
        <v>0</v>
      </c>
      <c r="AU24" s="214">
        <f>IF(AND(($D24+$C$1)&gt;AU$3,AU$3&gt;=$C$1),'General Inputs'!S$9*$G24,IF(AND(($C24+$C$1)&gt;AU$3,AU$3&gt;=$C$1),'General Inputs'!S$9*$F24,0))</f>
        <v>0</v>
      </c>
      <c r="AV24" s="214">
        <f>IF(AND(($D24+$C$1)&gt;AV$3,AV$3&gt;=$C$1),'General Inputs'!T$9*$G24,IF(AND(($C24+$C$1)&gt;AV$3,AV$3&gt;=$C$1),'General Inputs'!T$9*$F24,0))</f>
        <v>0</v>
      </c>
      <c r="AW24" s="214">
        <f>IF(AND(($D24+$C$1)&gt;AW$3,AW$3&gt;=$C$1),'General Inputs'!U$9*$G24,IF(AND(($C24+$C$1)&gt;AW$3,AW$3&gt;=$C$1),'General Inputs'!U$9*$F24,0))</f>
        <v>0</v>
      </c>
      <c r="AX24" s="214">
        <f>IF(AND(($D24+$C$1)&gt;AX$3,AX$3&gt;=$C$1),'General Inputs'!V$9*$G24,IF(AND(($C24+$C$1)&gt;AX$3,AX$3&gt;=$C$1),'General Inputs'!V$9*$F24,0))</f>
        <v>0</v>
      </c>
      <c r="AY24" s="214">
        <f>IF(AND(($D24+$C$1)&gt;AY$3,AY$3&gt;=$C$1),'General Inputs'!W$9*$G24,IF(AND(($C24+$C$1)&gt;AY$3,AY$3&gt;=$C$1),'General Inputs'!W$9*$F24,0))</f>
        <v>0</v>
      </c>
      <c r="BA24" s="214">
        <f>IF(AND(($D24+$C$1)&gt;AF$3,AF$3&gt;=$C$1),'General Inputs'!D$10*$I24,IF(AND(($C24+$C$1)&gt;AF$3,AF$3&gt;=$C$1),'General Inputs'!D$10*$H24,0))</f>
        <v>0</v>
      </c>
      <c r="BB24" s="214">
        <f>IF(AND(($D24+$C$1)&gt;AG$3,AG$3&gt;=$C$1),'General Inputs'!E$10*$I24,IF(AND(($C24+$C$1)&gt;AG$3,AG$3&gt;=$C$1),'General Inputs'!E$10*$H24,0))</f>
        <v>0.14321690479959703</v>
      </c>
      <c r="BC24" s="214">
        <f>IF(AND(($D24+$C$1)&gt;AH$3,AH$3&gt;=$C$1),'General Inputs'!F$10*$I24,IF(AND(($C24+$C$1)&gt;AH$3,AH$3&gt;=$C$1),'General Inputs'!F$10*$H24,0))</f>
        <v>0.145365158371591</v>
      </c>
      <c r="BD24" s="214">
        <f>IF(AND(($D24+$C$1)&gt;AI$3,AI$3&gt;=$C$1),'General Inputs'!G$10*$I24,IF(AND(($C24+$C$1)&gt;AI$3,AI$3&gt;=$C$1),'General Inputs'!G$10*$H24,0))</f>
        <v>0.14754563574716484</v>
      </c>
      <c r="BE24" s="214">
        <f>IF(AND(($D24+$C$1)&gt;AJ$3,AJ$3&gt;=$C$1),'General Inputs'!H$10*$I24,IF(AND(($C24+$C$1)&gt;AJ$3,AJ$3&gt;=$C$1),'General Inputs'!H$10*$H24,0))</f>
        <v>0.14975882028337231</v>
      </c>
      <c r="BF24" s="214">
        <f>IF(AND(($D24+$C$1)&gt;AK$3,AK$3&gt;=$C$1),'General Inputs'!I$10*$I24,IF(AND(($C24+$C$1)&gt;AK$3,AK$3&gt;=$C$1),'General Inputs'!I$10*$H24,0))</f>
        <v>0.15200520258762285</v>
      </c>
      <c r="BG24" s="214">
        <f>IF(AND(($D24+$C$1)&gt;AL$3,AL$3&gt;=$C$1),'General Inputs'!J$10*$I24,IF(AND(($C24+$C$1)&gt;AL$3,AL$3&gt;=$C$1),'General Inputs'!J$10*$H24,0))</f>
        <v>0</v>
      </c>
      <c r="BH24" s="214">
        <f>IF(AND(($D24+$C$1)&gt;AM$3,AM$3&gt;=$C$1),'General Inputs'!K$10*$I24,IF(AND(($C24+$C$1)&gt;AM$3,AM$3&gt;=$C$1),'General Inputs'!K$10*$H24,0))</f>
        <v>0</v>
      </c>
      <c r="BI24" s="214">
        <f>IF(AND(($D24+$C$1)&gt;AN$3,AN$3&gt;=$C$1),'General Inputs'!L$10*$I24,IF(AND(($C24+$C$1)&gt;AN$3,AN$3&gt;=$C$1),'General Inputs'!L$10*$H24,0))</f>
        <v>0</v>
      </c>
      <c r="BJ24" s="214">
        <f>IF(AND(($D24+$C$1)&gt;AO$3,AO$3&gt;=$C$1),'General Inputs'!M$10*$I24,IF(AND(($C24+$C$1)&gt;AO$3,AO$3&gt;=$C$1),'General Inputs'!M$10*$H24,0))</f>
        <v>0</v>
      </c>
      <c r="BK24" s="214">
        <f>IF(AND(($D24+$C$1)&gt;AP$3,AP$3&gt;=$C$1),'General Inputs'!N$10*$I24,IF(AND(($C24+$C$1)&gt;AP$3,AP$3&gt;=$C$1),'General Inputs'!N$10*$H24,0))</f>
        <v>0</v>
      </c>
      <c r="BL24" s="214">
        <f>IF(AND(($D24+$C$1)&gt;AQ$3,AQ$3&gt;=$C$1),'General Inputs'!O$10*$I24,IF(AND(($C24+$C$1)&gt;AQ$3,AQ$3&gt;=$C$1),'General Inputs'!O$10*$H24,0))</f>
        <v>0</v>
      </c>
      <c r="BM24" s="214">
        <f>IF(AND(($D24+$C$1)&gt;AR$3,AR$3&gt;=$C$1),'General Inputs'!P$10*$I24,IF(AND(($C24+$C$1)&gt;AR$3,AR$3&gt;=$C$1),'General Inputs'!P$10*$H24,0))</f>
        <v>0</v>
      </c>
      <c r="BN24" s="214">
        <f>IF(AND(($D24+$C$1)&gt;AS$3,AS$3&gt;=$C$1),'General Inputs'!Q$10*$I24,IF(AND(($C24+$C$1)&gt;AS$3,AS$3&gt;=$C$1),'General Inputs'!Q$10*$H24,0))</f>
        <v>0</v>
      </c>
      <c r="BO24" s="214">
        <f>IF(AND(($D24+$C$1)&gt;AT$3,AT$3&gt;=$C$1),'General Inputs'!R$10*$I24,IF(AND(($C24+$C$1)&gt;AT$3,AT$3&gt;=$C$1),'General Inputs'!R$10*$H24,0))</f>
        <v>0</v>
      </c>
      <c r="BP24" s="214">
        <f>IF(AND(($D24+$C$1)&gt;AU$3,AU$3&gt;=$C$1),'General Inputs'!S$10*$I24,IF(AND(($C24+$C$1)&gt;AU$3,AU$3&gt;=$C$1),'General Inputs'!S$10*$H24,0))</f>
        <v>0</v>
      </c>
      <c r="BQ24" s="214">
        <f>IF(AND(($D24+$C$1)&gt;AV$3,AV$3&gt;=$C$1),'General Inputs'!T$10*$I24,IF(AND(($C24+$C$1)&gt;AV$3,AV$3&gt;=$C$1),'General Inputs'!T$10*$H24,0))</f>
        <v>0</v>
      </c>
      <c r="BR24" s="214">
        <f>IF(AND(($D24+$C$1)&gt;AW$3,AW$3&gt;=$C$1),'General Inputs'!U$10*$I24,IF(AND(($C24+$C$1)&gt;AW$3,AW$3&gt;=$C$1),'General Inputs'!U$10*$H24,0))</f>
        <v>0</v>
      </c>
      <c r="BS24" s="214">
        <f>IF(AND(($D24+$C$1)&gt;AX$3,AX$3&gt;=$C$1),'General Inputs'!V$10*$I24,IF(AND(($C24+$C$1)&gt;AX$3,AX$3&gt;=$C$1),'General Inputs'!V$10*$H24,0))</f>
        <v>0</v>
      </c>
      <c r="BT24" s="214">
        <f>IF(AND(($D24+$C$1)&gt;AY$3,AY$3&gt;=$C$1),'General Inputs'!W$10*$I24,IF(AND(($C24+$C$1)&gt;AY$3,AY$3&gt;=$C$1),'General Inputs'!W$10*$H24,0))</f>
        <v>0</v>
      </c>
    </row>
    <row r="25" spans="1:72">
      <c r="A25" s="341" t="s">
        <v>12</v>
      </c>
      <c r="B25" s="427" t="str">
        <f>Sources!B25</f>
        <v>Hot Water Pipe Insulation</v>
      </c>
      <c r="C25" s="193">
        <f>Sources!C25</f>
        <v>15</v>
      </c>
      <c r="D25" s="193">
        <f>Sources!D25</f>
        <v>0</v>
      </c>
      <c r="F25" s="429">
        <f>Sources!F25*EnergyLineLoss</f>
        <v>141.8889000878992</v>
      </c>
      <c r="G25" s="429">
        <f>Sources!G25*EnergyLineLoss</f>
        <v>0</v>
      </c>
      <c r="H25" s="477">
        <f>Sources!H25*PeakLineLoss</f>
        <v>1.6197363023732782E-2</v>
      </c>
      <c r="I25" s="477">
        <f>Sources!I25*PeakLineLoss</f>
        <v>0</v>
      </c>
      <c r="K25" s="419">
        <f>Sources!J25</f>
        <v>15</v>
      </c>
      <c r="L25" s="419">
        <f>Sources!K25</f>
        <v>0</v>
      </c>
      <c r="N25" s="438">
        <f t="shared" si="4"/>
        <v>3.8371867699749802</v>
      </c>
      <c r="P25" s="215">
        <f t="shared" si="0"/>
        <v>50.705859965883349</v>
      </c>
      <c r="Q25" s="215">
        <f t="shared" si="1"/>
        <v>2.177088903672606</v>
      </c>
      <c r="R25" s="215">
        <f t="shared" si="2"/>
        <v>13.781697905181918</v>
      </c>
      <c r="T25" s="214">
        <f t="shared" si="9"/>
        <v>0</v>
      </c>
      <c r="U25" s="214">
        <f t="shared" si="9"/>
        <v>15</v>
      </c>
      <c r="V25" s="214">
        <f t="shared" si="9"/>
        <v>0</v>
      </c>
      <c r="W25" s="214">
        <f t="shared" si="9"/>
        <v>0</v>
      </c>
      <c r="X25" s="214">
        <f t="shared" si="9"/>
        <v>0</v>
      </c>
      <c r="Y25" s="214">
        <f t="shared" si="9"/>
        <v>0</v>
      </c>
      <c r="Z25" s="214">
        <f t="shared" si="9"/>
        <v>0</v>
      </c>
      <c r="AA25" s="214">
        <f t="shared" si="9"/>
        <v>0</v>
      </c>
      <c r="AB25" s="214">
        <f t="shared" si="9"/>
        <v>0</v>
      </c>
      <c r="AC25" s="214">
        <f t="shared" si="9"/>
        <v>0</v>
      </c>
      <c r="AD25" s="214">
        <f t="shared" si="9"/>
        <v>0</v>
      </c>
      <c r="AF25" s="214">
        <f>IF(AND(($D25+$C$1)&gt;AF$3,AF$3&gt;=$C$1),'General Inputs'!D$9*$G25,IF(AND(($C25+$C$1)&gt;AF$3,AF$3&gt;=$C$1),'General Inputs'!D$9*$F25,0))</f>
        <v>0</v>
      </c>
      <c r="AG25" s="214">
        <f>IF(AND(($D25+$C$1)&gt;AG$3,AG$3&gt;=$C$1),'General Inputs'!E$9*$G25,IF(AND(($C25+$C$1)&gt;AG$3,AG$3&gt;=$C$1),'General Inputs'!E$9*$F25,0))</f>
        <v>5.7336528788757253</v>
      </c>
      <c r="AH25" s="214">
        <f>IF(AND(($D25+$C$1)&gt;AH$3,AH$3&gt;=$C$1),'General Inputs'!F$9*$G25,IF(AND(($C25+$C$1)&gt;AH$3,AH$3&gt;=$C$1),'General Inputs'!F$9*$F25,0))</f>
        <v>5.8196576720588604</v>
      </c>
      <c r="AI25" s="214">
        <f>IF(AND(($D25+$C$1)&gt;AI$3,AI$3&gt;=$C$1),'General Inputs'!G$9*$G25,IF(AND(($C25+$C$1)&gt;AI$3,AI$3&gt;=$C$1),'General Inputs'!G$9*$F25,0))</f>
        <v>5.9069525371397429</v>
      </c>
      <c r="AJ25" s="214">
        <f>IF(AND(($D25+$C$1)&gt;AJ$3,AJ$3&gt;=$C$1),'General Inputs'!H$9*$G25,IF(AND(($C25+$C$1)&gt;AJ$3,AJ$3&gt;=$C$1),'General Inputs'!H$9*$F25,0))</f>
        <v>5.9955568251968385</v>
      </c>
      <c r="AK25" s="214">
        <f>IF(AND(($D25+$C$1)&gt;AK$3,AK$3&gt;=$C$1),'General Inputs'!I$9*$G25,IF(AND(($C25+$C$1)&gt;AK$3,AK$3&gt;=$C$1),'General Inputs'!I$9*$F25,0))</f>
        <v>6.0854901775747896</v>
      </c>
      <c r="AL25" s="214">
        <f>IF(AND(($D25+$C$1)&gt;AL$3,AL$3&gt;=$C$1),'General Inputs'!J$9*$G25,IF(AND(($C25+$C$1)&gt;AL$3,AL$3&gt;=$C$1),'General Inputs'!J$9*$F25,0))</f>
        <v>6.1767725302384111</v>
      </c>
      <c r="AM25" s="214">
        <f>IF(AND(($D25+$C$1)&gt;AM$3,AM$3&gt;=$C$1),'General Inputs'!K$9*$G25,IF(AND(($C25+$C$1)&gt;AM$3,AM$3&gt;=$C$1),'General Inputs'!K$9*$F25,0))</f>
        <v>6.2694241181919859</v>
      </c>
      <c r="AN25" s="214">
        <f>IF(AND(($D25+$C$1)&gt;AN$3,AN$3&gt;=$C$1),'General Inputs'!L$9*$G25,IF(AND(($C25+$C$1)&gt;AN$3,AN$3&gt;=$C$1),'General Inputs'!L$9*$F25,0))</f>
        <v>6.3634654799648649</v>
      </c>
      <c r="AO25" s="214">
        <f>IF(AND(($D25+$C$1)&gt;AO$3,AO$3&gt;=$C$1),'General Inputs'!M$9*$G25,IF(AND(($C25+$C$1)&gt;AO$3,AO$3&gt;=$C$1),'General Inputs'!M$9*$F25,0))</f>
        <v>6.4589174621643375</v>
      </c>
      <c r="AP25" s="214">
        <f>IF(AND(($D25+$C$1)&gt;AP$3,AP$3&gt;=$C$1),'General Inputs'!N$9*$G25,IF(AND(($C25+$C$1)&gt;AP$3,AP$3&gt;=$C$1),'General Inputs'!N$9*$F25,0))</f>
        <v>6.5558012240968022</v>
      </c>
      <c r="AQ25" s="214">
        <f>IF(AND(($D25+$C$1)&gt;AQ$3,AQ$3&gt;=$C$1),'General Inputs'!O$9*$G25,IF(AND(($C25+$C$1)&gt;AQ$3,AQ$3&gt;=$C$1),'General Inputs'!O$9*$F25,0))</f>
        <v>6.6541382424582531</v>
      </c>
      <c r="AR25" s="214">
        <f>IF(AND(($D25+$C$1)&gt;AR$3,AR$3&gt;=$C$1),'General Inputs'!P$9*$G25,IF(AND(($C25+$C$1)&gt;AR$3,AR$3&gt;=$C$1),'General Inputs'!P$9*$F25,0))</f>
        <v>6.7539503160951266</v>
      </c>
      <c r="AS25" s="214">
        <f>IF(AND(($D25+$C$1)&gt;AS$3,AS$3&gt;=$C$1),'General Inputs'!Q$9*$G25,IF(AND(($C25+$C$1)&gt;AS$3,AS$3&gt;=$C$1),'General Inputs'!Q$9*$F25,0))</f>
        <v>6.8552595708365525</v>
      </c>
      <c r="AT25" s="214">
        <f>IF(AND(($D25+$C$1)&gt;AT$3,AT$3&gt;=$C$1),'General Inputs'!R$9*$G25,IF(AND(($C25+$C$1)&gt;AT$3,AT$3&gt;=$C$1),'General Inputs'!R$9*$F25,0))</f>
        <v>6.9580884643991006</v>
      </c>
      <c r="AU25" s="214">
        <f>IF(AND(($D25+$C$1)&gt;AU$3,AU$3&gt;=$C$1),'General Inputs'!S$9*$G25,IF(AND(($C25+$C$1)&gt;AU$3,AU$3&gt;=$C$1),'General Inputs'!S$9*$F25,0))</f>
        <v>7.0624597913650868</v>
      </c>
      <c r="AV25" s="214">
        <f>IF(AND(($D25+$C$1)&gt;AV$3,AV$3&gt;=$C$1),'General Inputs'!T$9*$G25,IF(AND(($C25+$C$1)&gt;AV$3,AV$3&gt;=$C$1),'General Inputs'!T$9*$F25,0))</f>
        <v>0</v>
      </c>
      <c r="AW25" s="214">
        <f>IF(AND(($D25+$C$1)&gt;AW$3,AW$3&gt;=$C$1),'General Inputs'!U$9*$G25,IF(AND(($C25+$C$1)&gt;AW$3,AW$3&gt;=$C$1),'General Inputs'!U$9*$F25,0))</f>
        <v>0</v>
      </c>
      <c r="AX25" s="214">
        <f>IF(AND(($D25+$C$1)&gt;AX$3,AX$3&gt;=$C$1),'General Inputs'!V$9*$G25,IF(AND(($C25+$C$1)&gt;AX$3,AX$3&gt;=$C$1),'General Inputs'!V$9*$F25,0))</f>
        <v>0</v>
      </c>
      <c r="AY25" s="214">
        <f>IF(AND(($D25+$C$1)&gt;AY$3,AY$3&gt;=$C$1),'General Inputs'!W$9*$G25,IF(AND(($C25+$C$1)&gt;AY$3,AY$3&gt;=$C$1),'General Inputs'!W$9*$F25,0))</f>
        <v>0</v>
      </c>
      <c r="BA25" s="214">
        <f>IF(AND(($D25+$C$1)&gt;AF$3,AF$3&gt;=$C$1),'General Inputs'!D$10*$I25,IF(AND(($C25+$C$1)&gt;AF$3,AF$3&gt;=$C$1),'General Inputs'!D$10*$H25,0))</f>
        <v>0</v>
      </c>
      <c r="BB25" s="214">
        <f>IF(AND(($D25+$C$1)&gt;AG$3,AG$3&gt;=$C$1),'General Inputs'!E$10*$I25,IF(AND(($C25+$C$1)&gt;AG$3,AG$3&gt;=$C$1),'General Inputs'!E$10*$H25,0))</f>
        <v>0.2461780959539904</v>
      </c>
      <c r="BC25" s="214">
        <f>IF(AND(($D25+$C$1)&gt;AH$3,AH$3&gt;=$C$1),'General Inputs'!F$10*$I25,IF(AND(($C25+$C$1)&gt;AH$3,AH$3&gt;=$C$1),'General Inputs'!F$10*$H25,0))</f>
        <v>0.24987076739330022</v>
      </c>
      <c r="BD25" s="214">
        <f>IF(AND(($D25+$C$1)&gt;AI$3,AI$3&gt;=$C$1),'General Inputs'!G$10*$I25,IF(AND(($C25+$C$1)&gt;AI$3,AI$3&gt;=$C$1),'General Inputs'!G$10*$H25,0))</f>
        <v>0.25361882890419973</v>
      </c>
      <c r="BE25" s="214">
        <f>IF(AND(($D25+$C$1)&gt;AJ$3,AJ$3&gt;=$C$1),'General Inputs'!H$10*$I25,IF(AND(($C25+$C$1)&gt;AJ$3,AJ$3&gt;=$C$1),'General Inputs'!H$10*$H25,0))</f>
        <v>0.25742311133776269</v>
      </c>
      <c r="BF25" s="214">
        <f>IF(AND(($D25+$C$1)&gt;AK$3,AK$3&gt;=$C$1),'General Inputs'!I$10*$I25,IF(AND(($C25+$C$1)&gt;AK$3,AK$3&gt;=$C$1),'General Inputs'!I$10*$H25,0))</f>
        <v>0.26128445800782907</v>
      </c>
      <c r="BG25" s="214">
        <f>IF(AND(($D25+$C$1)&gt;AL$3,AL$3&gt;=$C$1),'General Inputs'!J$10*$I25,IF(AND(($C25+$C$1)&gt;AL$3,AL$3&gt;=$C$1),'General Inputs'!J$10*$H25,0))</f>
        <v>0.26520372487794647</v>
      </c>
      <c r="BH25" s="214">
        <f>IF(AND(($D25+$C$1)&gt;AM$3,AM$3&gt;=$C$1),'General Inputs'!K$10*$I25,IF(AND(($C25+$C$1)&gt;AM$3,AM$3&gt;=$C$1),'General Inputs'!K$10*$H25,0))</f>
        <v>0.26918178075111565</v>
      </c>
      <c r="BI25" s="214">
        <f>IF(AND(($D25+$C$1)&gt;AN$3,AN$3&gt;=$C$1),'General Inputs'!L$10*$I25,IF(AND(($C25+$C$1)&gt;AN$3,AN$3&gt;=$C$1),'General Inputs'!L$10*$H25,0))</f>
        <v>0.27321950746238238</v>
      </c>
      <c r="BJ25" s="214">
        <f>IF(AND(($D25+$C$1)&gt;AO$3,AO$3&gt;=$C$1),'General Inputs'!M$10*$I25,IF(AND(($C25+$C$1)&gt;AO$3,AO$3&gt;=$C$1),'General Inputs'!M$10*$H25,0))</f>
        <v>0.27731780007431811</v>
      </c>
      <c r="BK25" s="214">
        <f>IF(AND(($D25+$C$1)&gt;AP$3,AP$3&gt;=$C$1),'General Inputs'!N$10*$I25,IF(AND(($C25+$C$1)&gt;AP$3,AP$3&gt;=$C$1),'General Inputs'!N$10*$H25,0))</f>
        <v>0.28147756707543281</v>
      </c>
      <c r="BL25" s="214">
        <f>IF(AND(($D25+$C$1)&gt;AQ$3,AQ$3&gt;=$C$1),'General Inputs'!O$10*$I25,IF(AND(($C25+$C$1)&gt;AQ$3,AQ$3&gt;=$C$1),'General Inputs'!O$10*$H25,0))</f>
        <v>0.28569973058156428</v>
      </c>
      <c r="BM25" s="214">
        <f>IF(AND(($D25+$C$1)&gt;AR$3,AR$3&gt;=$C$1),'General Inputs'!P$10*$I25,IF(AND(($C25+$C$1)&gt;AR$3,AR$3&gt;=$C$1),'General Inputs'!P$10*$H25,0))</f>
        <v>0.28998522654028774</v>
      </c>
      <c r="BN25" s="214">
        <f>IF(AND(($D25+$C$1)&gt;AS$3,AS$3&gt;=$C$1),'General Inputs'!Q$10*$I25,IF(AND(($C25+$C$1)&gt;AS$3,AS$3&gt;=$C$1),'General Inputs'!Q$10*$H25,0))</f>
        <v>0.29433500493839204</v>
      </c>
      <c r="BO25" s="214">
        <f>IF(AND(($D25+$C$1)&gt;AT$3,AT$3&gt;=$C$1),'General Inputs'!R$10*$I25,IF(AND(($C25+$C$1)&gt;AT$3,AT$3&gt;=$C$1),'General Inputs'!R$10*$H25,0))</f>
        <v>0.29875003001246786</v>
      </c>
      <c r="BP25" s="214">
        <f>IF(AND(($D25+$C$1)&gt;AU$3,AU$3&gt;=$C$1),'General Inputs'!S$10*$I25,IF(AND(($C25+$C$1)&gt;AU$3,AU$3&gt;=$C$1),'General Inputs'!S$10*$H25,0))</f>
        <v>0.30323128046265485</v>
      </c>
      <c r="BQ25" s="214">
        <f>IF(AND(($D25+$C$1)&gt;AV$3,AV$3&gt;=$C$1),'General Inputs'!T$10*$I25,IF(AND(($C25+$C$1)&gt;AV$3,AV$3&gt;=$C$1),'General Inputs'!T$10*$H25,0))</f>
        <v>0</v>
      </c>
      <c r="BR25" s="214">
        <f>IF(AND(($D25+$C$1)&gt;AW$3,AW$3&gt;=$C$1),'General Inputs'!U$10*$I25,IF(AND(($C25+$C$1)&gt;AW$3,AW$3&gt;=$C$1),'General Inputs'!U$10*$H25,0))</f>
        <v>0</v>
      </c>
      <c r="BS25" s="214">
        <f>IF(AND(($D25+$C$1)&gt;AX$3,AX$3&gt;=$C$1),'General Inputs'!V$10*$I25,IF(AND(($C25+$C$1)&gt;AX$3,AX$3&gt;=$C$1),'General Inputs'!V$10*$H25,0))</f>
        <v>0</v>
      </c>
      <c r="BT25" s="214">
        <f>IF(AND(($D25+$C$1)&gt;AY$3,AY$3&gt;=$C$1),'General Inputs'!W$10*$I25,IF(AND(($C25+$C$1)&gt;AY$3,AY$3&gt;=$C$1),'General Inputs'!W$10*$H25,0))</f>
        <v>0</v>
      </c>
    </row>
    <row r="26" spans="1:72">
      <c r="A26" s="341" t="s">
        <v>12</v>
      </c>
      <c r="B26" s="427" t="str">
        <f>Sources!B26</f>
        <v>CAC/ASHP Tune-Up</v>
      </c>
      <c r="C26" s="193">
        <f>Sources!C26</f>
        <v>2</v>
      </c>
      <c r="D26" s="193">
        <f>Sources!D26</f>
        <v>0</v>
      </c>
      <c r="F26" s="429">
        <f>Sources!F26*EnergyLineLoss</f>
        <v>111.75678000000001</v>
      </c>
      <c r="G26" s="429">
        <f>Sources!G26*EnergyLineLoss</f>
        <v>0</v>
      </c>
      <c r="H26" s="477">
        <f>Sources!H26*PeakLineLoss</f>
        <v>7.3745217391304352E-2</v>
      </c>
      <c r="I26" s="477">
        <f>Sources!I26*PeakLineLoss</f>
        <v>0</v>
      </c>
      <c r="K26" s="419">
        <f>Sources!J26</f>
        <v>175</v>
      </c>
      <c r="L26" s="419">
        <f>Sources!K26</f>
        <v>0</v>
      </c>
      <c r="N26" s="438">
        <f t="shared" si="4"/>
        <v>6.2249004108694293E-2</v>
      </c>
      <c r="P26" s="215">
        <f t="shared" si="0"/>
        <v>8.0186573945868975</v>
      </c>
      <c r="Q26" s="215">
        <f t="shared" si="1"/>
        <v>1.990140583198384</v>
      </c>
      <c r="R26" s="215">
        <f t="shared" si="2"/>
        <v>160.7864755604557</v>
      </c>
      <c r="T26" s="214">
        <f t="shared" si="9"/>
        <v>0</v>
      </c>
      <c r="U26" s="214">
        <f t="shared" si="9"/>
        <v>175</v>
      </c>
      <c r="V26" s="214">
        <f t="shared" si="9"/>
        <v>0</v>
      </c>
      <c r="W26" s="214">
        <f t="shared" si="9"/>
        <v>0</v>
      </c>
      <c r="X26" s="214">
        <f t="shared" si="9"/>
        <v>0</v>
      </c>
      <c r="Y26" s="214">
        <f t="shared" si="9"/>
        <v>0</v>
      </c>
      <c r="Z26" s="214">
        <f t="shared" si="9"/>
        <v>0</v>
      </c>
      <c r="AA26" s="214">
        <f t="shared" si="9"/>
        <v>0</v>
      </c>
      <c r="AB26" s="214">
        <f t="shared" si="9"/>
        <v>0</v>
      </c>
      <c r="AC26" s="214">
        <f t="shared" si="9"/>
        <v>0</v>
      </c>
      <c r="AD26" s="214">
        <f t="shared" si="9"/>
        <v>0</v>
      </c>
      <c r="AF26" s="214">
        <f>IF(AND(($D26+$C$1)&gt;AF$3,AF$3&gt;=$C$1),'General Inputs'!D$9*$G26,IF(AND(($C26+$C$1)&gt;AF$3,AF$3&gt;=$C$1),'General Inputs'!D$9*$F26,0))</f>
        <v>0</v>
      </c>
      <c r="AG26" s="214">
        <f>IF(AND(($D26+$C$1)&gt;AG$3,AG$3&gt;=$C$1),'General Inputs'!E$9*$G26,IF(AND(($C26+$C$1)&gt;AG$3,AG$3&gt;=$C$1),'General Inputs'!E$9*$F26,0))</f>
        <v>4.5160303799939649</v>
      </c>
      <c r="AH26" s="214">
        <f>IF(AND(($D26+$C$1)&gt;AH$3,AH$3&gt;=$C$1),'General Inputs'!F$9*$G26,IF(AND(($C26+$C$1)&gt;AH$3,AH$3&gt;=$C$1),'General Inputs'!F$9*$F26,0))</f>
        <v>4.5837708356938736</v>
      </c>
      <c r="AI26" s="214">
        <f>IF(AND(($D26+$C$1)&gt;AI$3,AI$3&gt;=$C$1),'General Inputs'!G$9*$G26,IF(AND(($C26+$C$1)&gt;AI$3,AI$3&gt;=$C$1),'General Inputs'!G$9*$F26,0))</f>
        <v>0</v>
      </c>
      <c r="AJ26" s="214">
        <f>IF(AND(($D26+$C$1)&gt;AJ$3,AJ$3&gt;=$C$1),'General Inputs'!H$9*$G26,IF(AND(($C26+$C$1)&gt;AJ$3,AJ$3&gt;=$C$1),'General Inputs'!H$9*$F26,0))</f>
        <v>0</v>
      </c>
      <c r="AK26" s="214">
        <f>IF(AND(($D26+$C$1)&gt;AK$3,AK$3&gt;=$C$1),'General Inputs'!I$9*$G26,IF(AND(($C26+$C$1)&gt;AK$3,AK$3&gt;=$C$1),'General Inputs'!I$9*$F26,0))</f>
        <v>0</v>
      </c>
      <c r="AL26" s="214">
        <f>IF(AND(($D26+$C$1)&gt;AL$3,AL$3&gt;=$C$1),'General Inputs'!J$9*$G26,IF(AND(($C26+$C$1)&gt;AL$3,AL$3&gt;=$C$1),'General Inputs'!J$9*$F26,0))</f>
        <v>0</v>
      </c>
      <c r="AM26" s="214">
        <f>IF(AND(($D26+$C$1)&gt;AM$3,AM$3&gt;=$C$1),'General Inputs'!K$9*$G26,IF(AND(($C26+$C$1)&gt;AM$3,AM$3&gt;=$C$1),'General Inputs'!K$9*$F26,0))</f>
        <v>0</v>
      </c>
      <c r="AN26" s="214">
        <f>IF(AND(($D26+$C$1)&gt;AN$3,AN$3&gt;=$C$1),'General Inputs'!L$9*$G26,IF(AND(($C26+$C$1)&gt;AN$3,AN$3&gt;=$C$1),'General Inputs'!L$9*$F26,0))</f>
        <v>0</v>
      </c>
      <c r="AO26" s="214">
        <f>IF(AND(($D26+$C$1)&gt;AO$3,AO$3&gt;=$C$1),'General Inputs'!M$9*$G26,IF(AND(($C26+$C$1)&gt;AO$3,AO$3&gt;=$C$1),'General Inputs'!M$9*$F26,0))</f>
        <v>0</v>
      </c>
      <c r="AP26" s="214">
        <f>IF(AND(($D26+$C$1)&gt;AP$3,AP$3&gt;=$C$1),'General Inputs'!N$9*$G26,IF(AND(($C26+$C$1)&gt;AP$3,AP$3&gt;=$C$1),'General Inputs'!N$9*$F26,0))</f>
        <v>0</v>
      </c>
      <c r="AQ26" s="214">
        <f>IF(AND(($D26+$C$1)&gt;AQ$3,AQ$3&gt;=$C$1),'General Inputs'!O$9*$G26,IF(AND(($C26+$C$1)&gt;AQ$3,AQ$3&gt;=$C$1),'General Inputs'!O$9*$F26,0))</f>
        <v>0</v>
      </c>
      <c r="AR26" s="214">
        <f>IF(AND(($D26+$C$1)&gt;AR$3,AR$3&gt;=$C$1),'General Inputs'!P$9*$G26,IF(AND(($C26+$C$1)&gt;AR$3,AR$3&gt;=$C$1),'General Inputs'!P$9*$F26,0))</f>
        <v>0</v>
      </c>
      <c r="AS26" s="214">
        <f>IF(AND(($D26+$C$1)&gt;AS$3,AS$3&gt;=$C$1),'General Inputs'!Q$9*$G26,IF(AND(($C26+$C$1)&gt;AS$3,AS$3&gt;=$C$1),'General Inputs'!Q$9*$F26,0))</f>
        <v>0</v>
      </c>
      <c r="AT26" s="214">
        <f>IF(AND(($D26+$C$1)&gt;AT$3,AT$3&gt;=$C$1),'General Inputs'!R$9*$G26,IF(AND(($C26+$C$1)&gt;AT$3,AT$3&gt;=$C$1),'General Inputs'!R$9*$F26,0))</f>
        <v>0</v>
      </c>
      <c r="AU26" s="214">
        <f>IF(AND(($D26+$C$1)&gt;AU$3,AU$3&gt;=$C$1),'General Inputs'!S$9*$G26,IF(AND(($C26+$C$1)&gt;AU$3,AU$3&gt;=$C$1),'General Inputs'!S$9*$F26,0))</f>
        <v>0</v>
      </c>
      <c r="AV26" s="214">
        <f>IF(AND(($D26+$C$1)&gt;AV$3,AV$3&gt;=$C$1),'General Inputs'!T$9*$G26,IF(AND(($C26+$C$1)&gt;AV$3,AV$3&gt;=$C$1),'General Inputs'!T$9*$F26,0))</f>
        <v>0</v>
      </c>
      <c r="AW26" s="214">
        <f>IF(AND(($D26+$C$1)&gt;AW$3,AW$3&gt;=$C$1),'General Inputs'!U$9*$G26,IF(AND(($C26+$C$1)&gt;AW$3,AW$3&gt;=$C$1),'General Inputs'!U$9*$F26,0))</f>
        <v>0</v>
      </c>
      <c r="AX26" s="214">
        <f>IF(AND(($D26+$C$1)&gt;AX$3,AX$3&gt;=$C$1),'General Inputs'!V$9*$G26,IF(AND(($C26+$C$1)&gt;AX$3,AX$3&gt;=$C$1),'General Inputs'!V$9*$F26,0))</f>
        <v>0</v>
      </c>
      <c r="AY26" s="214">
        <f>IF(AND(($D26+$C$1)&gt;AY$3,AY$3&gt;=$C$1),'General Inputs'!W$9*$G26,IF(AND(($C26+$C$1)&gt;AY$3,AY$3&gt;=$C$1),'General Inputs'!W$9*$F26,0))</f>
        <v>0</v>
      </c>
      <c r="BA26" s="214">
        <f>IF(AND(($D26+$C$1)&gt;AF$3,AF$3&gt;=$C$1),'General Inputs'!D$10*$I26,IF(AND(($C26+$C$1)&gt;AF$3,AF$3&gt;=$C$1),'General Inputs'!D$10*$H26,0))</f>
        <v>0</v>
      </c>
      <c r="BB26" s="214">
        <f>IF(AND(($D26+$C$1)&gt;AG$3,AG$3&gt;=$C$1),'General Inputs'!E$10*$I26,IF(AND(($C26+$C$1)&gt;AG$3,AG$3&gt;=$C$1),'General Inputs'!E$10*$H26,0))</f>
        <v>1.1208279506055423</v>
      </c>
      <c r="BC26" s="214">
        <f>IF(AND(($D26+$C$1)&gt;AH$3,AH$3&gt;=$C$1),'General Inputs'!F$10*$I26,IF(AND(($C26+$C$1)&gt;AH$3,AH$3&gt;=$C$1),'General Inputs'!F$10*$H26,0))</f>
        <v>1.1376403698646254</v>
      </c>
      <c r="BD26" s="214">
        <f>IF(AND(($D26+$C$1)&gt;AI$3,AI$3&gt;=$C$1),'General Inputs'!G$10*$I26,IF(AND(($C26+$C$1)&gt;AI$3,AI$3&gt;=$C$1),'General Inputs'!G$10*$H26,0))</f>
        <v>0</v>
      </c>
      <c r="BE26" s="214">
        <f>IF(AND(($D26+$C$1)&gt;AJ$3,AJ$3&gt;=$C$1),'General Inputs'!H$10*$I26,IF(AND(($C26+$C$1)&gt;AJ$3,AJ$3&gt;=$C$1),'General Inputs'!H$10*$H26,0))</f>
        <v>0</v>
      </c>
      <c r="BF26" s="214">
        <f>IF(AND(($D26+$C$1)&gt;AK$3,AK$3&gt;=$C$1),'General Inputs'!I$10*$I26,IF(AND(($C26+$C$1)&gt;AK$3,AK$3&gt;=$C$1),'General Inputs'!I$10*$H26,0))</f>
        <v>0</v>
      </c>
      <c r="BG26" s="214">
        <f>IF(AND(($D26+$C$1)&gt;AL$3,AL$3&gt;=$C$1),'General Inputs'!J$10*$I26,IF(AND(($C26+$C$1)&gt;AL$3,AL$3&gt;=$C$1),'General Inputs'!J$10*$H26,0))</f>
        <v>0</v>
      </c>
      <c r="BH26" s="214">
        <f>IF(AND(($D26+$C$1)&gt;AM$3,AM$3&gt;=$C$1),'General Inputs'!K$10*$I26,IF(AND(($C26+$C$1)&gt;AM$3,AM$3&gt;=$C$1),'General Inputs'!K$10*$H26,0))</f>
        <v>0</v>
      </c>
      <c r="BI26" s="214">
        <f>IF(AND(($D26+$C$1)&gt;AN$3,AN$3&gt;=$C$1),'General Inputs'!L$10*$I26,IF(AND(($C26+$C$1)&gt;AN$3,AN$3&gt;=$C$1),'General Inputs'!L$10*$H26,0))</f>
        <v>0</v>
      </c>
      <c r="BJ26" s="214">
        <f>IF(AND(($D26+$C$1)&gt;AO$3,AO$3&gt;=$C$1),'General Inputs'!M$10*$I26,IF(AND(($C26+$C$1)&gt;AO$3,AO$3&gt;=$C$1),'General Inputs'!M$10*$H26,0))</f>
        <v>0</v>
      </c>
      <c r="BK26" s="214">
        <f>IF(AND(($D26+$C$1)&gt;AP$3,AP$3&gt;=$C$1),'General Inputs'!N$10*$I26,IF(AND(($C26+$C$1)&gt;AP$3,AP$3&gt;=$C$1),'General Inputs'!N$10*$H26,0))</f>
        <v>0</v>
      </c>
      <c r="BL26" s="214">
        <f>IF(AND(($D26+$C$1)&gt;AQ$3,AQ$3&gt;=$C$1),'General Inputs'!O$10*$I26,IF(AND(($C26+$C$1)&gt;AQ$3,AQ$3&gt;=$C$1),'General Inputs'!O$10*$H26,0))</f>
        <v>0</v>
      </c>
      <c r="BM26" s="214">
        <f>IF(AND(($D26+$C$1)&gt;AR$3,AR$3&gt;=$C$1),'General Inputs'!P$10*$I26,IF(AND(($C26+$C$1)&gt;AR$3,AR$3&gt;=$C$1),'General Inputs'!P$10*$H26,0))</f>
        <v>0</v>
      </c>
      <c r="BN26" s="214">
        <f>IF(AND(($D26+$C$1)&gt;AS$3,AS$3&gt;=$C$1),'General Inputs'!Q$10*$I26,IF(AND(($C26+$C$1)&gt;AS$3,AS$3&gt;=$C$1),'General Inputs'!Q$10*$H26,0))</f>
        <v>0</v>
      </c>
      <c r="BO26" s="214">
        <f>IF(AND(($D26+$C$1)&gt;AT$3,AT$3&gt;=$C$1),'General Inputs'!R$10*$I26,IF(AND(($C26+$C$1)&gt;AT$3,AT$3&gt;=$C$1),'General Inputs'!R$10*$H26,0))</f>
        <v>0</v>
      </c>
      <c r="BP26" s="214">
        <f>IF(AND(($D26+$C$1)&gt;AU$3,AU$3&gt;=$C$1),'General Inputs'!S$10*$I26,IF(AND(($C26+$C$1)&gt;AU$3,AU$3&gt;=$C$1),'General Inputs'!S$10*$H26,0))</f>
        <v>0</v>
      </c>
      <c r="BQ26" s="214">
        <f>IF(AND(($D26+$C$1)&gt;AV$3,AV$3&gt;=$C$1),'General Inputs'!T$10*$I26,IF(AND(($C26+$C$1)&gt;AV$3,AV$3&gt;=$C$1),'General Inputs'!T$10*$H26,0))</f>
        <v>0</v>
      </c>
      <c r="BR26" s="214">
        <f>IF(AND(($D26+$C$1)&gt;AW$3,AW$3&gt;=$C$1),'General Inputs'!U$10*$I26,IF(AND(($C26+$C$1)&gt;AW$3,AW$3&gt;=$C$1),'General Inputs'!U$10*$H26,0))</f>
        <v>0</v>
      </c>
      <c r="BS26" s="214">
        <f>IF(AND(($D26+$C$1)&gt;AX$3,AX$3&gt;=$C$1),'General Inputs'!V$10*$I26,IF(AND(($C26+$C$1)&gt;AX$3,AX$3&gt;=$C$1),'General Inputs'!V$10*$H26,0))</f>
        <v>0</v>
      </c>
      <c r="BT26" s="214">
        <f>IF(AND(($D26+$C$1)&gt;AY$3,AY$3&gt;=$C$1),'General Inputs'!W$10*$I26,IF(AND(($C26+$C$1)&gt;AY$3,AY$3&gt;=$C$1),'General Inputs'!W$10*$H26,0))</f>
        <v>0</v>
      </c>
    </row>
    <row r="27" spans="1:72">
      <c r="A27" s="341" t="s">
        <v>12</v>
      </c>
      <c r="B27" s="427" t="str">
        <f>Sources!B27</f>
        <v>CAC SEER 14</v>
      </c>
      <c r="C27" s="193">
        <f>Sources!C27</f>
        <v>18</v>
      </c>
      <c r="D27" s="193">
        <f>Sources!D27</f>
        <v>0</v>
      </c>
      <c r="F27" s="429">
        <f>Sources!F27*EnergyLineLoss</f>
        <v>177.86224933687009</v>
      </c>
      <c r="G27" s="429">
        <f>Sources!G27*EnergyLineLoss</f>
        <v>0</v>
      </c>
      <c r="H27" s="477">
        <f>Sources!H27*PeakLineLoss</f>
        <v>0.26127409090909115</v>
      </c>
      <c r="I27" s="477">
        <f>Sources!I27*PeakLineLoss</f>
        <v>0</v>
      </c>
      <c r="K27" s="419">
        <f>Sources!J27</f>
        <v>416.78421295927956</v>
      </c>
      <c r="L27" s="419">
        <f>Sources!K27</f>
        <v>0</v>
      </c>
      <c r="N27" s="438">
        <f t="shared" si="4"/>
        <v>0.28401754662352724</v>
      </c>
      <c r="P27" s="215">
        <f t="shared" si="0"/>
        <v>70.054402894060615</v>
      </c>
      <c r="Q27" s="215">
        <f t="shared" si="1"/>
        <v>38.705271523536119</v>
      </c>
      <c r="R27" s="215">
        <f t="shared" si="2"/>
        <v>382.93294097691984</v>
      </c>
      <c r="T27" s="214">
        <f t="shared" si="9"/>
        <v>0</v>
      </c>
      <c r="U27" s="214">
        <f t="shared" si="9"/>
        <v>416.78421295927956</v>
      </c>
      <c r="V27" s="214">
        <f t="shared" si="9"/>
        <v>0</v>
      </c>
      <c r="W27" s="214">
        <f t="shared" si="9"/>
        <v>0</v>
      </c>
      <c r="X27" s="214">
        <f t="shared" si="9"/>
        <v>0</v>
      </c>
      <c r="Y27" s="214">
        <f t="shared" si="9"/>
        <v>0</v>
      </c>
      <c r="Z27" s="214">
        <f t="shared" si="9"/>
        <v>0</v>
      </c>
      <c r="AA27" s="214">
        <f t="shared" si="9"/>
        <v>0</v>
      </c>
      <c r="AB27" s="214">
        <f t="shared" si="9"/>
        <v>0</v>
      </c>
      <c r="AC27" s="214">
        <f t="shared" si="9"/>
        <v>0</v>
      </c>
      <c r="AD27" s="214">
        <f t="shared" si="9"/>
        <v>0</v>
      </c>
      <c r="AF27" s="214">
        <f>IF(AND(($D27+$C$1)&gt;AF$3,AF$3&gt;=$C$1),'General Inputs'!D$9*$G27,IF(AND(($C27+$C$1)&gt;AF$3,AF$3&gt;=$C$1),'General Inputs'!D$9*$F27,0))</f>
        <v>0</v>
      </c>
      <c r="AG27" s="214">
        <f>IF(AND(($D27+$C$1)&gt;AG$3,AG$3&gt;=$C$1),'General Inputs'!E$9*$G27,IF(AND(($C27+$C$1)&gt;AG$3,AG$3&gt;=$C$1),'General Inputs'!E$9*$F27,0))</f>
        <v>7.1873162546323064</v>
      </c>
      <c r="AH27" s="214">
        <f>IF(AND(($D27+$C$1)&gt;AH$3,AH$3&gt;=$C$1),'General Inputs'!F$9*$G27,IF(AND(($C27+$C$1)&gt;AH$3,AH$3&gt;=$C$1),'General Inputs'!F$9*$F27,0))</f>
        <v>7.2951259984517902</v>
      </c>
      <c r="AI27" s="214">
        <f>IF(AND(($D27+$C$1)&gt;AI$3,AI$3&gt;=$C$1),'General Inputs'!G$9*$G27,IF(AND(($C27+$C$1)&gt;AI$3,AI$3&gt;=$C$1),'General Inputs'!G$9*$F27,0))</f>
        <v>7.404552888428567</v>
      </c>
      <c r="AJ27" s="214">
        <f>IF(AND(($D27+$C$1)&gt;AJ$3,AJ$3&gt;=$C$1),'General Inputs'!H$9*$G27,IF(AND(($C27+$C$1)&gt;AJ$3,AJ$3&gt;=$C$1),'General Inputs'!H$9*$F27,0))</f>
        <v>7.5156211817549945</v>
      </c>
      <c r="AK27" s="214">
        <f>IF(AND(($D27+$C$1)&gt;AK$3,AK$3&gt;=$C$1),'General Inputs'!I$9*$G27,IF(AND(($C27+$C$1)&gt;AK$3,AK$3&gt;=$C$1),'General Inputs'!I$9*$F27,0))</f>
        <v>7.6283554994813176</v>
      </c>
      <c r="AL27" s="214">
        <f>IF(AND(($D27+$C$1)&gt;AL$3,AL$3&gt;=$C$1),'General Inputs'!J$9*$G27,IF(AND(($C27+$C$1)&gt;AL$3,AL$3&gt;=$C$1),'General Inputs'!J$9*$F27,0))</f>
        <v>7.7427808319735369</v>
      </c>
      <c r="AM27" s="214">
        <f>IF(AND(($D27+$C$1)&gt;AM$3,AM$3&gt;=$C$1),'General Inputs'!K$9*$G27,IF(AND(($C27+$C$1)&gt;AM$3,AM$3&gt;=$C$1),'General Inputs'!K$9*$F27,0))</f>
        <v>7.8589225444531383</v>
      </c>
      <c r="AN27" s="214">
        <f>IF(AND(($D27+$C$1)&gt;AN$3,AN$3&gt;=$C$1),'General Inputs'!L$9*$G27,IF(AND(($C27+$C$1)&gt;AN$3,AN$3&gt;=$C$1),'General Inputs'!L$9*$F27,0))</f>
        <v>7.9768063826199347</v>
      </c>
      <c r="AO27" s="214">
        <f>IF(AND(($D27+$C$1)&gt;AO$3,AO$3&gt;=$C$1),'General Inputs'!M$9*$G27,IF(AND(($C27+$C$1)&gt;AO$3,AO$3&gt;=$C$1),'General Inputs'!M$9*$F27,0))</f>
        <v>8.0964584783592333</v>
      </c>
      <c r="AP27" s="214">
        <f>IF(AND(($D27+$C$1)&gt;AP$3,AP$3&gt;=$C$1),'General Inputs'!N$9*$G27,IF(AND(($C27+$C$1)&gt;AP$3,AP$3&gt;=$C$1),'General Inputs'!N$9*$F27,0))</f>
        <v>8.2179053555346204</v>
      </c>
      <c r="AQ27" s="214">
        <f>IF(AND(($D27+$C$1)&gt;AQ$3,AQ$3&gt;=$C$1),'General Inputs'!O$9*$G27,IF(AND(($C27+$C$1)&gt;AQ$3,AQ$3&gt;=$C$1),'General Inputs'!O$9*$F27,0))</f>
        <v>8.3411739358676389</v>
      </c>
      <c r="AR27" s="214">
        <f>IF(AND(($D27+$C$1)&gt;AR$3,AR$3&gt;=$C$1),'General Inputs'!P$9*$G27,IF(AND(($C27+$C$1)&gt;AR$3,AR$3&gt;=$C$1),'General Inputs'!P$9*$F27,0))</f>
        <v>8.4662915449056531</v>
      </c>
      <c r="AS27" s="214">
        <f>IF(AND(($D27+$C$1)&gt;AS$3,AS$3&gt;=$C$1),'General Inputs'!Q$9*$G27,IF(AND(($C27+$C$1)&gt;AS$3,AS$3&gt;=$C$1),'General Inputs'!Q$9*$F27,0))</f>
        <v>8.5932859180792374</v>
      </c>
      <c r="AT27" s="214">
        <f>IF(AND(($D27+$C$1)&gt;AT$3,AT$3&gt;=$C$1),'General Inputs'!R$9*$G27,IF(AND(($C27+$C$1)&gt;AT$3,AT$3&gt;=$C$1),'General Inputs'!R$9*$F27,0))</f>
        <v>8.7221852068504244</v>
      </c>
      <c r="AU27" s="214">
        <f>IF(AND(($D27+$C$1)&gt;AU$3,AU$3&gt;=$C$1),'General Inputs'!S$9*$G27,IF(AND(($C27+$C$1)&gt;AU$3,AU$3&gt;=$C$1),'General Inputs'!S$9*$F27,0))</f>
        <v>8.8530179849531816</v>
      </c>
      <c r="AV27" s="214">
        <f>IF(AND(($D27+$C$1)&gt;AV$3,AV$3&gt;=$C$1),'General Inputs'!T$9*$G27,IF(AND(($C27+$C$1)&gt;AV$3,AV$3&gt;=$C$1),'General Inputs'!T$9*$F27,0))</f>
        <v>8.9858132547274785</v>
      </c>
      <c r="AW27" s="214">
        <f>IF(AND(($D27+$C$1)&gt;AW$3,AW$3&gt;=$C$1),'General Inputs'!U$9*$G27,IF(AND(($C27+$C$1)&gt;AW$3,AW$3&gt;=$C$1),'General Inputs'!U$9*$F27,0))</f>
        <v>9.1206004535483896</v>
      </c>
      <c r="AX27" s="214">
        <f>IF(AND(($D27+$C$1)&gt;AX$3,AX$3&gt;=$C$1),'General Inputs'!V$9*$G27,IF(AND(($C27+$C$1)&gt;AX$3,AX$3&gt;=$C$1),'General Inputs'!V$9*$F27,0))</f>
        <v>9.2574094603516137</v>
      </c>
      <c r="AY27" s="214">
        <f>IF(AND(($D27+$C$1)&gt;AY$3,AY$3&gt;=$C$1),'General Inputs'!W$9*$G27,IF(AND(($C27+$C$1)&gt;AY$3,AY$3&gt;=$C$1),'General Inputs'!W$9*$F27,0))</f>
        <v>0</v>
      </c>
      <c r="BA27" s="214">
        <f>IF(AND(($D27+$C$1)&gt;AF$3,AF$3&gt;=$C$1),'General Inputs'!D$10*$I27,IF(AND(($C27+$C$1)&gt;AF$3,AF$3&gt;=$C$1),'General Inputs'!D$10*$H27,0))</f>
        <v>0</v>
      </c>
      <c r="BB27" s="214">
        <f>IF(AND(($D27+$C$1)&gt;AG$3,AG$3&gt;=$C$1),'General Inputs'!E$10*$I27,IF(AND(($C27+$C$1)&gt;AG$3,AG$3&gt;=$C$1),'General Inputs'!E$10*$H27,0))</f>
        <v>3.9710141785342858</v>
      </c>
      <c r="BC27" s="214">
        <f>IF(AND(($D27+$C$1)&gt;AH$3,AH$3&gt;=$C$1),'General Inputs'!F$10*$I27,IF(AND(($C27+$C$1)&gt;AH$3,AH$3&gt;=$C$1),'General Inputs'!F$10*$H27,0))</f>
        <v>4.0305793912122994</v>
      </c>
      <c r="BD27" s="214">
        <f>IF(AND(($D27+$C$1)&gt;AI$3,AI$3&gt;=$C$1),'General Inputs'!G$10*$I27,IF(AND(($C27+$C$1)&gt;AI$3,AI$3&gt;=$C$1),'General Inputs'!G$10*$H27,0))</f>
        <v>4.0910380820804839</v>
      </c>
      <c r="BE27" s="214">
        <f>IF(AND(($D27+$C$1)&gt;AJ$3,AJ$3&gt;=$C$1),'General Inputs'!H$10*$I27,IF(AND(($C27+$C$1)&gt;AJ$3,AJ$3&gt;=$C$1),'General Inputs'!H$10*$H27,0))</f>
        <v>4.1524036533116906</v>
      </c>
      <c r="BF27" s="214">
        <f>IF(AND(($D27+$C$1)&gt;AK$3,AK$3&gt;=$C$1),'General Inputs'!I$10*$I27,IF(AND(($C27+$C$1)&gt;AK$3,AK$3&gt;=$C$1),'General Inputs'!I$10*$H27,0))</f>
        <v>4.214689708111365</v>
      </c>
      <c r="BG27" s="214">
        <f>IF(AND(($D27+$C$1)&gt;AL$3,AL$3&gt;=$C$1),'General Inputs'!J$10*$I27,IF(AND(($C27+$C$1)&gt;AL$3,AL$3&gt;=$C$1),'General Inputs'!J$10*$H27,0))</f>
        <v>4.2779100537330352</v>
      </c>
      <c r="BH27" s="214">
        <f>IF(AND(($D27+$C$1)&gt;AM$3,AM$3&gt;=$C$1),'General Inputs'!K$10*$I27,IF(AND(($C27+$C$1)&gt;AM$3,AM$3&gt;=$C$1),'General Inputs'!K$10*$H27,0))</f>
        <v>4.3420787045390306</v>
      </c>
      <c r="BI27" s="214">
        <f>IF(AND(($D27+$C$1)&gt;AN$3,AN$3&gt;=$C$1),'General Inputs'!L$10*$I27,IF(AND(($C27+$C$1)&gt;AN$3,AN$3&gt;=$C$1),'General Inputs'!L$10*$H27,0))</f>
        <v>4.4072098851071155</v>
      </c>
      <c r="BJ27" s="214">
        <f>IF(AND(($D27+$C$1)&gt;AO$3,AO$3&gt;=$C$1),'General Inputs'!M$10*$I27,IF(AND(($C27+$C$1)&gt;AO$3,AO$3&gt;=$C$1),'General Inputs'!M$10*$H27,0))</f>
        <v>4.4733180333837224</v>
      </c>
      <c r="BK27" s="214">
        <f>IF(AND(($D27+$C$1)&gt;AP$3,AP$3&gt;=$C$1),'General Inputs'!N$10*$I27,IF(AND(($C27+$C$1)&gt;AP$3,AP$3&gt;=$C$1),'General Inputs'!N$10*$H27,0))</f>
        <v>4.5404178038844778</v>
      </c>
      <c r="BL27" s="214">
        <f>IF(AND(($D27+$C$1)&gt;AQ$3,AQ$3&gt;=$C$1),'General Inputs'!O$10*$I27,IF(AND(($C27+$C$1)&gt;AQ$3,AQ$3&gt;=$C$1),'General Inputs'!O$10*$H27,0))</f>
        <v>4.6085240709427442</v>
      </c>
      <c r="BM27" s="214">
        <f>IF(AND(($D27+$C$1)&gt;AR$3,AR$3&gt;=$C$1),'General Inputs'!P$10*$I27,IF(AND(($C27+$C$1)&gt;AR$3,AR$3&gt;=$C$1),'General Inputs'!P$10*$H27,0))</f>
        <v>4.677651932006885</v>
      </c>
      <c r="BN27" s="214">
        <f>IF(AND(($D27+$C$1)&gt;AS$3,AS$3&gt;=$C$1),'General Inputs'!Q$10*$I27,IF(AND(($C27+$C$1)&gt;AS$3,AS$3&gt;=$C$1),'General Inputs'!Q$10*$H27,0))</f>
        <v>4.7478167109869878</v>
      </c>
      <c r="BO27" s="214">
        <f>IF(AND(($D27+$C$1)&gt;AT$3,AT$3&gt;=$C$1),'General Inputs'!R$10*$I27,IF(AND(($C27+$C$1)&gt;AT$3,AT$3&gt;=$C$1),'General Inputs'!R$10*$H27,0))</f>
        <v>4.8190339616517921</v>
      </c>
      <c r="BP27" s="214">
        <f>IF(AND(($D27+$C$1)&gt;AU$3,AU$3&gt;=$C$1),'General Inputs'!S$10*$I27,IF(AND(($C27+$C$1)&gt;AU$3,AU$3&gt;=$C$1),'General Inputs'!S$10*$H27,0))</f>
        <v>4.8913194710765691</v>
      </c>
      <c r="BQ27" s="214">
        <f>IF(AND(($D27+$C$1)&gt;AV$3,AV$3&gt;=$C$1),'General Inputs'!T$10*$I27,IF(AND(($C27+$C$1)&gt;AV$3,AV$3&gt;=$C$1),'General Inputs'!T$10*$H27,0))</f>
        <v>4.9646892631427164</v>
      </c>
      <c r="BR27" s="214">
        <f>IF(AND(($D27+$C$1)&gt;AW$3,AW$3&gt;=$C$1),'General Inputs'!U$10*$I27,IF(AND(($C27+$C$1)&gt;AW$3,AW$3&gt;=$C$1),'General Inputs'!U$10*$H27,0))</f>
        <v>5.0391596020898568</v>
      </c>
      <c r="BS27" s="214">
        <f>IF(AND(($D27+$C$1)&gt;AX$3,AX$3&gt;=$C$1),'General Inputs'!V$10*$I27,IF(AND(($C27+$C$1)&gt;AX$3,AX$3&gt;=$C$1),'General Inputs'!V$10*$H27,0))</f>
        <v>5.1147469961212035</v>
      </c>
      <c r="BT27" s="214">
        <f>IF(AND(($D27+$C$1)&gt;AY$3,AY$3&gt;=$C$1),'General Inputs'!W$10*$I27,IF(AND(($C27+$C$1)&gt;AY$3,AY$3&gt;=$C$1),'General Inputs'!W$10*$H27,0))</f>
        <v>0</v>
      </c>
    </row>
    <row r="28" spans="1:72">
      <c r="A28" s="341" t="s">
        <v>12</v>
      </c>
      <c r="B28" s="427" t="str">
        <f>Sources!B28</f>
        <v>CAC SEER 15</v>
      </c>
      <c r="C28" s="193">
        <f>Sources!C28</f>
        <v>18</v>
      </c>
      <c r="D28" s="193">
        <f>Sources!D28</f>
        <v>0</v>
      </c>
      <c r="F28" s="429">
        <f>Sources!F28*EnergyLineLoss</f>
        <v>229.24467692307704</v>
      </c>
      <c r="G28" s="429">
        <f>Sources!G28*EnergyLineLoss</f>
        <v>0</v>
      </c>
      <c r="H28" s="477">
        <f>Sources!H28*PeakLineLoss</f>
        <v>0.42395418524871376</v>
      </c>
      <c r="I28" s="477">
        <f>Sources!I28*PeakLineLoss</f>
        <v>0</v>
      </c>
      <c r="K28" s="419">
        <f>Sources!J28</f>
        <v>555.7122839457063</v>
      </c>
      <c r="L28" s="419">
        <f>Sources!K28</f>
        <v>0</v>
      </c>
      <c r="N28" s="438">
        <f t="shared" si="4"/>
        <v>0.29985104178814254</v>
      </c>
      <c r="P28" s="215">
        <f t="shared" si="0"/>
        <v>90.292341507900375</v>
      </c>
      <c r="Q28" s="215">
        <f t="shared" si="1"/>
        <v>62.804780208001965</v>
      </c>
      <c r="R28" s="215">
        <f t="shared" si="2"/>
        <v>510.57725463589333</v>
      </c>
      <c r="T28" s="214">
        <f t="shared" si="9"/>
        <v>0</v>
      </c>
      <c r="U28" s="214">
        <f t="shared" si="9"/>
        <v>555.7122839457063</v>
      </c>
      <c r="V28" s="214">
        <f t="shared" si="9"/>
        <v>0</v>
      </c>
      <c r="W28" s="214">
        <f t="shared" si="9"/>
        <v>0</v>
      </c>
      <c r="X28" s="214">
        <f t="shared" si="9"/>
        <v>0</v>
      </c>
      <c r="Y28" s="214">
        <f t="shared" si="9"/>
        <v>0</v>
      </c>
      <c r="Z28" s="214">
        <f t="shared" si="9"/>
        <v>0</v>
      </c>
      <c r="AA28" s="214">
        <f t="shared" si="9"/>
        <v>0</v>
      </c>
      <c r="AB28" s="214">
        <f t="shared" si="9"/>
        <v>0</v>
      </c>
      <c r="AC28" s="214">
        <f t="shared" si="9"/>
        <v>0</v>
      </c>
      <c r="AD28" s="214">
        <f t="shared" si="9"/>
        <v>0</v>
      </c>
      <c r="AF28" s="214">
        <f>IF(AND(($D28+$C$1)&gt;AF$3,AF$3&gt;=$C$1),'General Inputs'!D$9*$G28,IF(AND(($C28+$C$1)&gt;AF$3,AF$3&gt;=$C$1),'General Inputs'!D$9*$F28,0))</f>
        <v>0</v>
      </c>
      <c r="AG28" s="214">
        <f>IF(AND(($D28+$C$1)&gt;AG$3,AG$3&gt;=$C$1),'General Inputs'!E$9*$G28,IF(AND(($C28+$C$1)&gt;AG$3,AG$3&gt;=$C$1),'General Inputs'!E$9*$F28,0))</f>
        <v>9.263652061526086</v>
      </c>
      <c r="AH28" s="214">
        <f>IF(AND(($D28+$C$1)&gt;AH$3,AH$3&gt;=$C$1),'General Inputs'!F$9*$G28,IF(AND(($C28+$C$1)&gt;AH$3,AH$3&gt;=$C$1),'General Inputs'!F$9*$F28,0))</f>
        <v>9.402606842448975</v>
      </c>
      <c r="AI28" s="214">
        <f>IF(AND(($D28+$C$1)&gt;AI$3,AI$3&gt;=$C$1),'General Inputs'!G$9*$G28,IF(AND(($C28+$C$1)&gt;AI$3,AI$3&gt;=$C$1),'General Inputs'!G$9*$F28,0))</f>
        <v>9.543645945085709</v>
      </c>
      <c r="AJ28" s="214">
        <f>IF(AND(($D28+$C$1)&gt;AJ$3,AJ$3&gt;=$C$1),'General Inputs'!H$9*$G28,IF(AND(($C28+$C$1)&gt;AJ$3,AJ$3&gt;=$C$1),'General Inputs'!H$9*$F28,0))</f>
        <v>9.6868006342619939</v>
      </c>
      <c r="AK28" s="214">
        <f>IF(AND(($D28+$C$1)&gt;AK$3,AK$3&gt;=$C$1),'General Inputs'!I$9*$G28,IF(AND(($C28+$C$1)&gt;AK$3,AK$3&gt;=$C$1),'General Inputs'!I$9*$F28,0))</f>
        <v>9.8321026437759222</v>
      </c>
      <c r="AL28" s="214">
        <f>IF(AND(($D28+$C$1)&gt;AL$3,AL$3&gt;=$C$1),'General Inputs'!J$9*$G28,IF(AND(($C28+$C$1)&gt;AL$3,AL$3&gt;=$C$1),'General Inputs'!J$9*$F28,0))</f>
        <v>9.9795841834325589</v>
      </c>
      <c r="AM28" s="214">
        <f>IF(AND(($D28+$C$1)&gt;AM$3,AM$3&gt;=$C$1),'General Inputs'!K$9*$G28,IF(AND(($C28+$C$1)&gt;AM$3,AM$3&gt;=$C$1),'General Inputs'!K$9*$F28,0))</f>
        <v>10.129277946184047</v>
      </c>
      <c r="AN28" s="214">
        <f>IF(AND(($D28+$C$1)&gt;AN$3,AN$3&gt;=$C$1),'General Inputs'!L$9*$G28,IF(AND(($C28+$C$1)&gt;AN$3,AN$3&gt;=$C$1),'General Inputs'!L$9*$F28,0))</f>
        <v>10.281217115376807</v>
      </c>
      <c r="AO28" s="214">
        <f>IF(AND(($D28+$C$1)&gt;AO$3,AO$3&gt;=$C$1),'General Inputs'!M$9*$G28,IF(AND(($C28+$C$1)&gt;AO$3,AO$3&gt;=$C$1),'General Inputs'!M$9*$F28,0))</f>
        <v>10.435435372107456</v>
      </c>
      <c r="AP28" s="214">
        <f>IF(AND(($D28+$C$1)&gt;AP$3,AP$3&gt;=$C$1),'General Inputs'!N$9*$G28,IF(AND(($C28+$C$1)&gt;AP$3,AP$3&gt;=$C$1),'General Inputs'!N$9*$F28,0))</f>
        <v>10.591966902689068</v>
      </c>
      <c r="AQ28" s="214">
        <f>IF(AND(($D28+$C$1)&gt;AQ$3,AQ$3&gt;=$C$1),'General Inputs'!O$9*$G28,IF(AND(($C28+$C$1)&gt;AQ$3,AQ$3&gt;=$C$1),'General Inputs'!O$9*$F28,0))</f>
        <v>10.750846406229403</v>
      </c>
      <c r="AR28" s="214">
        <f>IF(AND(($D28+$C$1)&gt;AR$3,AR$3&gt;=$C$1),'General Inputs'!P$9*$G28,IF(AND(($C28+$C$1)&gt;AR$3,AR$3&gt;=$C$1),'General Inputs'!P$9*$F28,0))</f>
        <v>10.912109102322843</v>
      </c>
      <c r="AS28" s="214">
        <f>IF(AND(($D28+$C$1)&gt;AS$3,AS$3&gt;=$C$1),'General Inputs'!Q$9*$G28,IF(AND(($C28+$C$1)&gt;AS$3,AS$3&gt;=$C$1),'General Inputs'!Q$9*$F28,0))</f>
        <v>11.075790738857684</v>
      </c>
      <c r="AT28" s="214">
        <f>IF(AND(($D28+$C$1)&gt;AT$3,AT$3&gt;=$C$1),'General Inputs'!R$9*$G28,IF(AND(($C28+$C$1)&gt;AT$3,AT$3&gt;=$C$1),'General Inputs'!R$9*$F28,0))</f>
        <v>11.241927599940549</v>
      </c>
      <c r="AU28" s="214">
        <f>IF(AND(($D28+$C$1)&gt;AU$3,AU$3&gt;=$C$1),'General Inputs'!S$9*$G28,IF(AND(($C28+$C$1)&gt;AU$3,AU$3&gt;=$C$1),'General Inputs'!S$9*$F28,0))</f>
        <v>11.410556513939657</v>
      </c>
      <c r="AV28" s="214">
        <f>IF(AND(($D28+$C$1)&gt;AV$3,AV$3&gt;=$C$1),'General Inputs'!T$9*$G28,IF(AND(($C28+$C$1)&gt;AV$3,AV$3&gt;=$C$1),'General Inputs'!T$9*$F28,0))</f>
        <v>11.58171486164875</v>
      </c>
      <c r="AW28" s="214">
        <f>IF(AND(($D28+$C$1)&gt;AW$3,AW$3&gt;=$C$1),'General Inputs'!U$9*$G28,IF(AND(($C28+$C$1)&gt;AW$3,AW$3&gt;=$C$1),'General Inputs'!U$9*$F28,0))</f>
        <v>11.755440584573481</v>
      </c>
      <c r="AX28" s="214">
        <f>IF(AND(($D28+$C$1)&gt;AX$3,AX$3&gt;=$C$1),'General Inputs'!V$9*$G28,IF(AND(($C28+$C$1)&gt;AX$3,AX$3&gt;=$C$1),'General Inputs'!V$9*$F28,0))</f>
        <v>11.931772193342082</v>
      </c>
      <c r="AY28" s="214">
        <f>IF(AND(($D28+$C$1)&gt;AY$3,AY$3&gt;=$C$1),'General Inputs'!W$9*$G28,IF(AND(($C28+$C$1)&gt;AY$3,AY$3&gt;=$C$1),'General Inputs'!W$9*$F28,0))</f>
        <v>0</v>
      </c>
      <c r="BA28" s="214">
        <f>IF(AND(($D28+$C$1)&gt;AF$3,AF$3&gt;=$C$1),'General Inputs'!D$10*$I28,IF(AND(($C28+$C$1)&gt;AF$3,AF$3&gt;=$C$1),'General Inputs'!D$10*$H28,0))</f>
        <v>0</v>
      </c>
      <c r="BB28" s="214">
        <f>IF(AND(($D28+$C$1)&gt;AG$3,AG$3&gt;=$C$1),'General Inputs'!E$10*$I28,IF(AND(($C28+$C$1)&gt;AG$3,AG$3&gt;=$C$1),'General Inputs'!E$10*$H28,0))</f>
        <v>6.4435324406405359</v>
      </c>
      <c r="BC28" s="214">
        <f>IF(AND(($D28+$C$1)&gt;AH$3,AH$3&gt;=$C$1),'General Inputs'!F$10*$I28,IF(AND(($C28+$C$1)&gt;AH$3,AH$3&gt;=$C$1),'General Inputs'!F$10*$H28,0))</f>
        <v>6.5401854272501438</v>
      </c>
      <c r="BD28" s="214">
        <f>IF(AND(($D28+$C$1)&gt;AI$3,AI$3&gt;=$C$1),'General Inputs'!G$10*$I28,IF(AND(($C28+$C$1)&gt;AI$3,AI$3&gt;=$C$1),'General Inputs'!G$10*$H28,0))</f>
        <v>6.6382882086588957</v>
      </c>
      <c r="BE28" s="214">
        <f>IF(AND(($D28+$C$1)&gt;AJ$3,AJ$3&gt;=$C$1),'General Inputs'!H$10*$I28,IF(AND(($C28+$C$1)&gt;AJ$3,AJ$3&gt;=$C$1),'General Inputs'!H$10*$H28,0))</f>
        <v>6.7378625317887781</v>
      </c>
      <c r="BF28" s="214">
        <f>IF(AND(($D28+$C$1)&gt;AK$3,AK$3&gt;=$C$1),'General Inputs'!I$10*$I28,IF(AND(($C28+$C$1)&gt;AK$3,AK$3&gt;=$C$1),'General Inputs'!I$10*$H28,0))</f>
        <v>6.838930469765609</v>
      </c>
      <c r="BG28" s="214">
        <f>IF(AND(($D28+$C$1)&gt;AL$3,AL$3&gt;=$C$1),'General Inputs'!J$10*$I28,IF(AND(($C28+$C$1)&gt;AL$3,AL$3&gt;=$C$1),'General Inputs'!J$10*$H28,0))</f>
        <v>6.9415144268120921</v>
      </c>
      <c r="BH28" s="214">
        <f>IF(AND(($D28+$C$1)&gt;AM$3,AM$3&gt;=$C$1),'General Inputs'!K$10*$I28,IF(AND(($C28+$C$1)&gt;AM$3,AM$3&gt;=$C$1),'General Inputs'!K$10*$H28,0))</f>
        <v>7.0456371432142726</v>
      </c>
      <c r="BI28" s="214">
        <f>IF(AND(($D28+$C$1)&gt;AN$3,AN$3&gt;=$C$1),'General Inputs'!L$10*$I28,IF(AND(($C28+$C$1)&gt;AN$3,AN$3&gt;=$C$1),'General Inputs'!L$10*$H28,0))</f>
        <v>7.1513217003624865</v>
      </c>
      <c r="BJ28" s="214">
        <f>IF(AND(($D28+$C$1)&gt;AO$3,AO$3&gt;=$C$1),'General Inputs'!M$10*$I28,IF(AND(($C28+$C$1)&gt;AO$3,AO$3&gt;=$C$1),'General Inputs'!M$10*$H28,0))</f>
        <v>7.2585915258679234</v>
      </c>
      <c r="BK28" s="214">
        <f>IF(AND(($D28+$C$1)&gt;AP$3,AP$3&gt;=$C$1),'General Inputs'!N$10*$I28,IF(AND(($C28+$C$1)&gt;AP$3,AP$3&gt;=$C$1),'General Inputs'!N$10*$H28,0))</f>
        <v>7.3674703987559411</v>
      </c>
      <c r="BL28" s="214">
        <f>IF(AND(($D28+$C$1)&gt;AQ$3,AQ$3&gt;=$C$1),'General Inputs'!O$10*$I28,IF(AND(($C28+$C$1)&gt;AQ$3,AQ$3&gt;=$C$1),'General Inputs'!O$10*$H28,0))</f>
        <v>7.4779824547372797</v>
      </c>
      <c r="BM28" s="214">
        <f>IF(AND(($D28+$C$1)&gt;AR$3,AR$3&gt;=$C$1),'General Inputs'!P$10*$I28,IF(AND(($C28+$C$1)&gt;AR$3,AR$3&gt;=$C$1),'General Inputs'!P$10*$H28,0))</f>
        <v>7.5901521915583388</v>
      </c>
      <c r="BN28" s="214">
        <f>IF(AND(($D28+$C$1)&gt;AS$3,AS$3&gt;=$C$1),'General Inputs'!Q$10*$I28,IF(AND(($C28+$C$1)&gt;AS$3,AS$3&gt;=$C$1),'General Inputs'!Q$10*$H28,0))</f>
        <v>7.7040044744317129</v>
      </c>
      <c r="BO28" s="214">
        <f>IF(AND(($D28+$C$1)&gt;AT$3,AT$3&gt;=$C$1),'General Inputs'!R$10*$I28,IF(AND(($C28+$C$1)&gt;AT$3,AT$3&gt;=$C$1),'General Inputs'!R$10*$H28,0))</f>
        <v>7.8195645415481874</v>
      </c>
      <c r="BP28" s="214">
        <f>IF(AND(($D28+$C$1)&gt;AU$3,AU$3&gt;=$C$1),'General Inputs'!S$10*$I28,IF(AND(($C28+$C$1)&gt;AU$3,AU$3&gt;=$C$1),'General Inputs'!S$10*$H28,0))</f>
        <v>7.9368580096714103</v>
      </c>
      <c r="BQ28" s="214">
        <f>IF(AND(($D28+$C$1)&gt;AV$3,AV$3&gt;=$C$1),'General Inputs'!T$10*$I28,IF(AND(($C28+$C$1)&gt;AV$3,AV$3&gt;=$C$1),'General Inputs'!T$10*$H28,0))</f>
        <v>8.05591087981648</v>
      </c>
      <c r="BR28" s="214">
        <f>IF(AND(($D28+$C$1)&gt;AW$3,AW$3&gt;=$C$1),'General Inputs'!U$10*$I28,IF(AND(($C28+$C$1)&gt;AW$3,AW$3&gt;=$C$1),'General Inputs'!U$10*$H28,0))</f>
        <v>8.1767495430137274</v>
      </c>
      <c r="BS28" s="214">
        <f>IF(AND(($D28+$C$1)&gt;AX$3,AX$3&gt;=$C$1),'General Inputs'!V$10*$I28,IF(AND(($C28+$C$1)&gt;AX$3,AX$3&gt;=$C$1),'General Inputs'!V$10*$H28,0))</f>
        <v>8.2994007861589303</v>
      </c>
      <c r="BT28" s="214">
        <f>IF(AND(($D28+$C$1)&gt;AY$3,AY$3&gt;=$C$1),'General Inputs'!W$10*$I28,IF(AND(($C28+$C$1)&gt;AY$3,AY$3&gt;=$C$1),'General Inputs'!W$10*$H28,0))</f>
        <v>0</v>
      </c>
    </row>
    <row r="29" spans="1:72">
      <c r="A29" s="341" t="s">
        <v>12</v>
      </c>
      <c r="B29" s="427" t="str">
        <f>Sources!B29</f>
        <v>CAC SEER 16</v>
      </c>
      <c r="C29" s="193">
        <f>Sources!C29</f>
        <v>18</v>
      </c>
      <c r="D29" s="193">
        <f>Sources!D29</f>
        <v>0</v>
      </c>
      <c r="F29" s="429">
        <f>Sources!F29*EnergyLineLoss</f>
        <v>322.37532692307701</v>
      </c>
      <c r="G29" s="429">
        <f>Sources!G29*EnergyLineLoss</f>
        <v>0</v>
      </c>
      <c r="H29" s="477">
        <f>Sources!H29*PeakLineLoss</f>
        <v>0.48235216783216778</v>
      </c>
      <c r="I29" s="477">
        <f>Sources!I29*PeakLineLoss</f>
        <v>0</v>
      </c>
      <c r="K29" s="419">
        <f>Sources!J29</f>
        <v>833.56842591855946</v>
      </c>
      <c r="L29" s="419">
        <f>Sources!K29</f>
        <v>0</v>
      </c>
      <c r="N29" s="438">
        <f t="shared" si="4"/>
        <v>0.25909169713744939</v>
      </c>
      <c r="P29" s="215">
        <f t="shared" si="0"/>
        <v>126.97360524548486</v>
      </c>
      <c r="Q29" s="215">
        <f t="shared" si="1"/>
        <v>71.455885889605057</v>
      </c>
      <c r="R29" s="215">
        <f t="shared" si="2"/>
        <v>765.86588195384002</v>
      </c>
      <c r="T29" s="214">
        <f t="shared" si="9"/>
        <v>0</v>
      </c>
      <c r="U29" s="214">
        <f t="shared" si="9"/>
        <v>833.56842591855946</v>
      </c>
      <c r="V29" s="214">
        <f t="shared" si="9"/>
        <v>0</v>
      </c>
      <c r="W29" s="214">
        <f t="shared" si="9"/>
        <v>0</v>
      </c>
      <c r="X29" s="214">
        <f t="shared" si="9"/>
        <v>0</v>
      </c>
      <c r="Y29" s="214">
        <f t="shared" si="9"/>
        <v>0</v>
      </c>
      <c r="Z29" s="214">
        <f t="shared" si="9"/>
        <v>0</v>
      </c>
      <c r="AA29" s="214">
        <f t="shared" si="9"/>
        <v>0</v>
      </c>
      <c r="AB29" s="214">
        <f t="shared" si="9"/>
        <v>0</v>
      </c>
      <c r="AC29" s="214">
        <f t="shared" si="9"/>
        <v>0</v>
      </c>
      <c r="AD29" s="214">
        <f t="shared" si="9"/>
        <v>0</v>
      </c>
      <c r="AF29" s="214">
        <f>IF(AND(($D29+$C$1)&gt;AF$3,AF$3&gt;=$C$1),'General Inputs'!D$9*$G29,IF(AND(($C29+$C$1)&gt;AF$3,AF$3&gt;=$C$1),'General Inputs'!D$9*$F29,0))</f>
        <v>0</v>
      </c>
      <c r="AG29" s="214">
        <f>IF(AND(($D29+$C$1)&gt;AG$3,AG$3&gt;=$C$1),'General Inputs'!E$9*$G29,IF(AND(($C29+$C$1)&gt;AG$3,AG$3&gt;=$C$1),'General Inputs'!E$9*$F29,0))</f>
        <v>13.027010711521054</v>
      </c>
      <c r="AH29" s="214">
        <f>IF(AND(($D29+$C$1)&gt;AH$3,AH$3&gt;=$C$1),'General Inputs'!F$9*$G29,IF(AND(($C29+$C$1)&gt;AH$3,AH$3&gt;=$C$1),'General Inputs'!F$9*$F29,0))</f>
        <v>13.222415872193869</v>
      </c>
      <c r="AI29" s="214">
        <f>IF(AND(($D29+$C$1)&gt;AI$3,AI$3&gt;=$C$1),'General Inputs'!G$9*$G29,IF(AND(($C29+$C$1)&gt;AI$3,AI$3&gt;=$C$1),'General Inputs'!G$9*$F29,0))</f>
        <v>13.420752110276776</v>
      </c>
      <c r="AJ29" s="214">
        <f>IF(AND(($D29+$C$1)&gt;AJ$3,AJ$3&gt;=$C$1),'General Inputs'!H$9*$G29,IF(AND(($C29+$C$1)&gt;AJ$3,AJ$3&gt;=$C$1),'General Inputs'!H$9*$F29,0))</f>
        <v>13.622063391930926</v>
      </c>
      <c r="AK29" s="214">
        <f>IF(AND(($D29+$C$1)&gt;AK$3,AK$3&gt;=$C$1),'General Inputs'!I$9*$G29,IF(AND(($C29+$C$1)&gt;AK$3,AK$3&gt;=$C$1),'General Inputs'!I$9*$F29,0))</f>
        <v>13.826394342809888</v>
      </c>
      <c r="AL29" s="214">
        <f>IF(AND(($D29+$C$1)&gt;AL$3,AL$3&gt;=$C$1),'General Inputs'!J$9*$G29,IF(AND(($C29+$C$1)&gt;AL$3,AL$3&gt;=$C$1),'General Inputs'!J$9*$F29,0))</f>
        <v>14.033790257952033</v>
      </c>
      <c r="AM29" s="214">
        <f>IF(AND(($D29+$C$1)&gt;AM$3,AM$3&gt;=$C$1),'General Inputs'!K$9*$G29,IF(AND(($C29+$C$1)&gt;AM$3,AM$3&gt;=$C$1),'General Inputs'!K$9*$F29,0))</f>
        <v>14.244297111821313</v>
      </c>
      <c r="AN29" s="214">
        <f>IF(AND(($D29+$C$1)&gt;AN$3,AN$3&gt;=$C$1),'General Inputs'!L$9*$G29,IF(AND(($C29+$C$1)&gt;AN$3,AN$3&gt;=$C$1),'General Inputs'!L$9*$F29,0))</f>
        <v>14.45796156849863</v>
      </c>
      <c r="AO29" s="214">
        <f>IF(AND(($D29+$C$1)&gt;AO$3,AO$3&gt;=$C$1),'General Inputs'!M$9*$G29,IF(AND(($C29+$C$1)&gt;AO$3,AO$3&gt;=$C$1),'General Inputs'!M$9*$F29,0))</f>
        <v>14.674830992026108</v>
      </c>
      <c r="AP29" s="214">
        <f>IF(AND(($D29+$C$1)&gt;AP$3,AP$3&gt;=$C$1),'General Inputs'!N$9*$G29,IF(AND(($C29+$C$1)&gt;AP$3,AP$3&gt;=$C$1),'General Inputs'!N$9*$F29,0))</f>
        <v>14.894953456906499</v>
      </c>
      <c r="AQ29" s="214">
        <f>IF(AND(($D29+$C$1)&gt;AQ$3,AQ$3&gt;=$C$1),'General Inputs'!O$9*$G29,IF(AND(($C29+$C$1)&gt;AQ$3,AQ$3&gt;=$C$1),'General Inputs'!O$9*$F29,0))</f>
        <v>15.118377758760094</v>
      </c>
      <c r="AR29" s="214">
        <f>IF(AND(($D29+$C$1)&gt;AR$3,AR$3&gt;=$C$1),'General Inputs'!P$9*$G29,IF(AND(($C29+$C$1)&gt;AR$3,AR$3&gt;=$C$1),'General Inputs'!P$9*$F29,0))</f>
        <v>15.345153425141493</v>
      </c>
      <c r="AS29" s="214">
        <f>IF(AND(($D29+$C$1)&gt;AS$3,AS$3&gt;=$C$1),'General Inputs'!Q$9*$G29,IF(AND(($C29+$C$1)&gt;AS$3,AS$3&gt;=$C$1),'General Inputs'!Q$9*$F29,0))</f>
        <v>15.575330726518615</v>
      </c>
      <c r="AT29" s="214">
        <f>IF(AND(($D29+$C$1)&gt;AT$3,AT$3&gt;=$C$1),'General Inputs'!R$9*$G29,IF(AND(($C29+$C$1)&gt;AT$3,AT$3&gt;=$C$1),'General Inputs'!R$9*$F29,0))</f>
        <v>15.808960687416393</v>
      </c>
      <c r="AU29" s="214">
        <f>IF(AND(($D29+$C$1)&gt;AU$3,AU$3&gt;=$C$1),'General Inputs'!S$9*$G29,IF(AND(($C29+$C$1)&gt;AU$3,AU$3&gt;=$C$1),'General Inputs'!S$9*$F29,0))</f>
        <v>16.04609509772764</v>
      </c>
      <c r="AV29" s="214">
        <f>IF(AND(($D29+$C$1)&gt;AV$3,AV$3&gt;=$C$1),'General Inputs'!T$9*$G29,IF(AND(($C29+$C$1)&gt;AV$3,AV$3&gt;=$C$1),'General Inputs'!T$9*$F29,0))</f>
        <v>16.286786524193552</v>
      </c>
      <c r="AW29" s="214">
        <f>IF(AND(($D29+$C$1)&gt;AW$3,AW$3&gt;=$C$1),'General Inputs'!U$9*$G29,IF(AND(($C29+$C$1)&gt;AW$3,AW$3&gt;=$C$1),'General Inputs'!U$9*$F29,0))</f>
        <v>16.531088322056455</v>
      </c>
      <c r="AX29" s="214">
        <f>IF(AND(($D29+$C$1)&gt;AX$3,AX$3&gt;=$C$1),'General Inputs'!V$9*$G29,IF(AND(($C29+$C$1)&gt;AX$3,AX$3&gt;=$C$1),'General Inputs'!V$9*$F29,0))</f>
        <v>16.7790546468873</v>
      </c>
      <c r="AY29" s="214">
        <f>IF(AND(($D29+$C$1)&gt;AY$3,AY$3&gt;=$C$1),'General Inputs'!W$9*$G29,IF(AND(($C29+$C$1)&gt;AY$3,AY$3&gt;=$C$1),'General Inputs'!W$9*$F29,0))</f>
        <v>0</v>
      </c>
      <c r="BA29" s="214">
        <f>IF(AND(($D29+$C$1)&gt;AF$3,AF$3&gt;=$C$1),'General Inputs'!D$10*$I29,IF(AND(($C29+$C$1)&gt;AF$3,AF$3&gt;=$C$1),'General Inputs'!D$10*$H29,0))</f>
        <v>0</v>
      </c>
      <c r="BB29" s="214">
        <f>IF(AND(($D29+$C$1)&gt;AG$3,AG$3&gt;=$C$1),'General Inputs'!E$10*$I29,IF(AND(($C29+$C$1)&gt;AG$3,AG$3&gt;=$C$1),'General Inputs'!E$10*$H29,0))</f>
        <v>7.3311030988325196</v>
      </c>
      <c r="BC29" s="214">
        <f>IF(AND(($D29+$C$1)&gt;AH$3,AH$3&gt;=$C$1),'General Inputs'!F$10*$I29,IF(AND(($C29+$C$1)&gt;AH$3,AH$3&gt;=$C$1),'General Inputs'!F$10*$H29,0))</f>
        <v>7.4410696453150074</v>
      </c>
      <c r="BD29" s="214">
        <f>IF(AND(($D29+$C$1)&gt;AI$3,AI$3&gt;=$C$1),'General Inputs'!G$10*$I29,IF(AND(($C29+$C$1)&gt;AI$3,AI$3&gt;=$C$1),'General Inputs'!G$10*$H29,0))</f>
        <v>7.5526856899947319</v>
      </c>
      <c r="BE29" s="214">
        <f>IF(AND(($D29+$C$1)&gt;AJ$3,AJ$3&gt;=$C$1),'General Inputs'!H$10*$I29,IF(AND(($C29+$C$1)&gt;AJ$3,AJ$3&gt;=$C$1),'General Inputs'!H$10*$H29,0))</f>
        <v>7.6659759753446517</v>
      </c>
      <c r="BF29" s="214">
        <f>IF(AND(($D29+$C$1)&gt;AK$3,AK$3&gt;=$C$1),'General Inputs'!I$10*$I29,IF(AND(($C29+$C$1)&gt;AK$3,AK$3&gt;=$C$1),'General Inputs'!I$10*$H29,0))</f>
        <v>7.7809656149748205</v>
      </c>
      <c r="BG29" s="214">
        <f>IF(AND(($D29+$C$1)&gt;AL$3,AL$3&gt;=$C$1),'General Inputs'!J$10*$I29,IF(AND(($C29+$C$1)&gt;AL$3,AL$3&gt;=$C$1),'General Inputs'!J$10*$H29,0))</f>
        <v>7.8976800991994418</v>
      </c>
      <c r="BH29" s="214">
        <f>IF(AND(($D29+$C$1)&gt;AM$3,AM$3&gt;=$C$1),'General Inputs'!K$10*$I29,IF(AND(($C29+$C$1)&gt;AM$3,AM$3&gt;=$C$1),'General Inputs'!K$10*$H29,0))</f>
        <v>8.0161453006874321</v>
      </c>
      <c r="BI29" s="214">
        <f>IF(AND(($D29+$C$1)&gt;AN$3,AN$3&gt;=$C$1),'General Inputs'!L$10*$I29,IF(AND(($C29+$C$1)&gt;AN$3,AN$3&gt;=$C$1),'General Inputs'!L$10*$H29,0))</f>
        <v>8.1363874801977438</v>
      </c>
      <c r="BJ29" s="214">
        <f>IF(AND(($D29+$C$1)&gt;AO$3,AO$3&gt;=$C$1),'General Inputs'!M$10*$I29,IF(AND(($C29+$C$1)&gt;AO$3,AO$3&gt;=$C$1),'General Inputs'!M$10*$H29,0))</f>
        <v>8.25843329240071</v>
      </c>
      <c r="BK29" s="214">
        <f>IF(AND(($D29+$C$1)&gt;AP$3,AP$3&gt;=$C$1),'General Inputs'!N$10*$I29,IF(AND(($C29+$C$1)&gt;AP$3,AP$3&gt;=$C$1),'General Inputs'!N$10*$H29,0))</f>
        <v>8.3823097917867191</v>
      </c>
      <c r="BL29" s="214">
        <f>IF(AND(($D29+$C$1)&gt;AQ$3,AQ$3&gt;=$C$1),'General Inputs'!O$10*$I29,IF(AND(($C29+$C$1)&gt;AQ$3,AQ$3&gt;=$C$1),'General Inputs'!O$10*$H29,0))</f>
        <v>8.5080444386635197</v>
      </c>
      <c r="BM29" s="214">
        <f>IF(AND(($D29+$C$1)&gt;AR$3,AR$3&gt;=$C$1),'General Inputs'!P$10*$I29,IF(AND(($C29+$C$1)&gt;AR$3,AR$3&gt;=$C$1),'General Inputs'!P$10*$H29,0))</f>
        <v>8.6356651052434721</v>
      </c>
      <c r="BN29" s="214">
        <f>IF(AND(($D29+$C$1)&gt;AS$3,AS$3&gt;=$C$1),'General Inputs'!Q$10*$I29,IF(AND(($C29+$C$1)&gt;AS$3,AS$3&gt;=$C$1),'General Inputs'!Q$10*$H29,0))</f>
        <v>8.7652000818221225</v>
      </c>
      <c r="BO29" s="214">
        <f>IF(AND(($D29+$C$1)&gt;AT$3,AT$3&gt;=$C$1),'General Inputs'!R$10*$I29,IF(AND(($C29+$C$1)&gt;AT$3,AT$3&gt;=$C$1),'General Inputs'!R$10*$H29,0))</f>
        <v>8.8966780830494532</v>
      </c>
      <c r="BP29" s="214">
        <f>IF(AND(($D29+$C$1)&gt;AU$3,AU$3&gt;=$C$1),'General Inputs'!S$10*$I29,IF(AND(($C29+$C$1)&gt;AU$3,AU$3&gt;=$C$1),'General Inputs'!S$10*$H29,0))</f>
        <v>9.0301282542951942</v>
      </c>
      <c r="BQ29" s="214">
        <f>IF(AND(($D29+$C$1)&gt;AV$3,AV$3&gt;=$C$1),'General Inputs'!T$10*$I29,IF(AND(($C29+$C$1)&gt;AV$3,AV$3&gt;=$C$1),'General Inputs'!T$10*$H29,0))</f>
        <v>9.1655801781096216</v>
      </c>
      <c r="BR29" s="214">
        <f>IF(AND(($D29+$C$1)&gt;AW$3,AW$3&gt;=$C$1),'General Inputs'!U$10*$I29,IF(AND(($C29+$C$1)&gt;AW$3,AW$3&gt;=$C$1),'General Inputs'!U$10*$H29,0))</f>
        <v>9.3030638807812647</v>
      </c>
      <c r="BS29" s="214">
        <f>IF(AND(($D29+$C$1)&gt;AX$3,AX$3&gt;=$C$1),'General Inputs'!V$10*$I29,IF(AND(($C29+$C$1)&gt;AX$3,AX$3&gt;=$C$1),'General Inputs'!V$10*$H29,0))</f>
        <v>9.4426098389929827</v>
      </c>
      <c r="BT29" s="214">
        <f>IF(AND(($D29+$C$1)&gt;AY$3,AY$3&gt;=$C$1),'General Inputs'!W$10*$I29,IF(AND(($C29+$C$1)&gt;AY$3,AY$3&gt;=$C$1),'General Inputs'!W$10*$H29,0))</f>
        <v>0</v>
      </c>
    </row>
    <row r="30" spans="1:72">
      <c r="A30" s="341" t="s">
        <v>12</v>
      </c>
      <c r="B30" s="427" t="str">
        <f>Sources!B30</f>
        <v>Early Retirement CAC SEER 14</v>
      </c>
      <c r="C30" s="193">
        <f>Sources!C30</f>
        <v>18</v>
      </c>
      <c r="D30" s="193">
        <f>Sources!D30</f>
        <v>8</v>
      </c>
      <c r="F30" s="429">
        <f>Sources!F30*EnergyLineLoss</f>
        <v>177.86224933687009</v>
      </c>
      <c r="G30" s="429">
        <f>Sources!G30*EnergyLineLoss</f>
        <v>693.66277241379328</v>
      </c>
      <c r="H30" s="477">
        <f>Sources!H30*PeakLineLoss</f>
        <v>0.26127409090909115</v>
      </c>
      <c r="I30" s="477">
        <f>Sources!I30*PeakLineLoss</f>
        <v>0.87470021739130488</v>
      </c>
      <c r="K30" s="419">
        <f>Sources!J30</f>
        <v>2065.4366584381551</v>
      </c>
      <c r="L30" s="419">
        <f>Sources!K30</f>
        <v>1648.6524454788757</v>
      </c>
      <c r="N30" s="438">
        <f t="shared" si="4"/>
        <v>0.25223815043521219</v>
      </c>
      <c r="P30" s="215">
        <f t="shared" si="0"/>
        <v>191.58351526479032</v>
      </c>
      <c r="Q30" s="215">
        <f t="shared" si="1"/>
        <v>93.065707920153059</v>
      </c>
      <c r="R30" s="215">
        <f t="shared" si="2"/>
        <v>1128.4939359641237</v>
      </c>
      <c r="T30" s="214">
        <f t="shared" si="9"/>
        <v>0</v>
      </c>
      <c r="U30" s="214">
        <f t="shared" si="9"/>
        <v>2065.4366584381551</v>
      </c>
      <c r="V30" s="214">
        <f t="shared" si="9"/>
        <v>0</v>
      </c>
      <c r="W30" s="214">
        <f t="shared" si="9"/>
        <v>0</v>
      </c>
      <c r="X30" s="214">
        <f t="shared" si="9"/>
        <v>0</v>
      </c>
      <c r="Y30" s="214">
        <f t="shared" si="9"/>
        <v>0</v>
      </c>
      <c r="Z30" s="214">
        <f t="shared" si="9"/>
        <v>0</v>
      </c>
      <c r="AA30" s="214">
        <f t="shared" si="9"/>
        <v>0</v>
      </c>
      <c r="AB30" s="214">
        <f t="shared" si="9"/>
        <v>0</v>
      </c>
      <c r="AC30" s="214">
        <f t="shared" si="9"/>
        <v>-1648.6524454788757</v>
      </c>
      <c r="AD30" s="214">
        <f t="shared" si="9"/>
        <v>0</v>
      </c>
      <c r="AF30" s="214">
        <f>IF(AND(($D30+$C$1)&gt;AF$3,AF$3&gt;=$C$1),'General Inputs'!D$9*$G30,IF(AND(($C30+$C$1)&gt;AF$3,AF$3&gt;=$C$1),'General Inputs'!D$9*$F30,0))</f>
        <v>0</v>
      </c>
      <c r="AG30" s="214">
        <f>IF(AND(($D30+$C$1)&gt;AG$3,AG$3&gt;=$C$1),'General Inputs'!E$9*$G30,IF(AND(($C30+$C$1)&gt;AG$3,AG$3&gt;=$C$1),'General Inputs'!E$9*$F30,0))</f>
        <v>28.030533393065994</v>
      </c>
      <c r="AH30" s="214">
        <f>IF(AND(($D30+$C$1)&gt;AH$3,AH$3&gt;=$C$1),'General Inputs'!F$9*$G30,IF(AND(($C30+$C$1)&gt;AH$3,AH$3&gt;=$C$1),'General Inputs'!F$9*$F30,0))</f>
        <v>28.450991393961978</v>
      </c>
      <c r="AI30" s="214">
        <f>IF(AND(($D30+$C$1)&gt;AI$3,AI$3&gt;=$C$1),'General Inputs'!G$9*$G30,IF(AND(($C30+$C$1)&gt;AI$3,AI$3&gt;=$C$1),'General Inputs'!G$9*$F30,0))</f>
        <v>28.877756264871408</v>
      </c>
      <c r="AJ30" s="214">
        <f>IF(AND(($D30+$C$1)&gt;AJ$3,AJ$3&gt;=$C$1),'General Inputs'!H$9*$G30,IF(AND(($C30+$C$1)&gt;AJ$3,AJ$3&gt;=$C$1),'General Inputs'!H$9*$F30,0))</f>
        <v>29.310922608844475</v>
      </c>
      <c r="AK30" s="214">
        <f>IF(AND(($D30+$C$1)&gt;AK$3,AK$3&gt;=$C$1),'General Inputs'!I$9*$G30,IF(AND(($C30+$C$1)&gt;AK$3,AK$3&gt;=$C$1),'General Inputs'!I$9*$F30,0))</f>
        <v>29.750586447977135</v>
      </c>
      <c r="AL30" s="214">
        <f>IF(AND(($D30+$C$1)&gt;AL$3,AL$3&gt;=$C$1),'General Inputs'!J$9*$G30,IF(AND(($C30+$C$1)&gt;AL$3,AL$3&gt;=$C$1),'General Inputs'!J$9*$F30,0))</f>
        <v>30.196845244696789</v>
      </c>
      <c r="AM30" s="214">
        <f>IF(AND(($D30+$C$1)&gt;AM$3,AM$3&gt;=$C$1),'General Inputs'!K$9*$G30,IF(AND(($C30+$C$1)&gt;AM$3,AM$3&gt;=$C$1),'General Inputs'!K$9*$F30,0))</f>
        <v>30.649797923367235</v>
      </c>
      <c r="AN30" s="214">
        <f>IF(AND(($D30+$C$1)&gt;AN$3,AN$3&gt;=$C$1),'General Inputs'!L$9*$G30,IF(AND(($C30+$C$1)&gt;AN$3,AN$3&gt;=$C$1),'General Inputs'!L$9*$F30,0))</f>
        <v>31.109544892217741</v>
      </c>
      <c r="AO30" s="214">
        <f>IF(AND(($D30+$C$1)&gt;AO$3,AO$3&gt;=$C$1),'General Inputs'!M$9*$G30,IF(AND(($C30+$C$1)&gt;AO$3,AO$3&gt;=$C$1),'General Inputs'!M$9*$F30,0))</f>
        <v>8.0964584783592333</v>
      </c>
      <c r="AP30" s="214">
        <f>IF(AND(($D30+$C$1)&gt;AP$3,AP$3&gt;=$C$1),'General Inputs'!N$9*$G30,IF(AND(($C30+$C$1)&gt;AP$3,AP$3&gt;=$C$1),'General Inputs'!N$9*$F30,0))</f>
        <v>8.2179053555346204</v>
      </c>
      <c r="AQ30" s="214">
        <f>IF(AND(($D30+$C$1)&gt;AQ$3,AQ$3&gt;=$C$1),'General Inputs'!O$9*$G30,IF(AND(($C30+$C$1)&gt;AQ$3,AQ$3&gt;=$C$1),'General Inputs'!O$9*$F30,0))</f>
        <v>8.3411739358676389</v>
      </c>
      <c r="AR30" s="214">
        <f>IF(AND(($D30+$C$1)&gt;AR$3,AR$3&gt;=$C$1),'General Inputs'!P$9*$G30,IF(AND(($C30+$C$1)&gt;AR$3,AR$3&gt;=$C$1),'General Inputs'!P$9*$F30,0))</f>
        <v>8.4662915449056531</v>
      </c>
      <c r="AS30" s="214">
        <f>IF(AND(($D30+$C$1)&gt;AS$3,AS$3&gt;=$C$1),'General Inputs'!Q$9*$G30,IF(AND(($C30+$C$1)&gt;AS$3,AS$3&gt;=$C$1),'General Inputs'!Q$9*$F30,0))</f>
        <v>8.5932859180792374</v>
      </c>
      <c r="AT30" s="214">
        <f>IF(AND(($D30+$C$1)&gt;AT$3,AT$3&gt;=$C$1),'General Inputs'!R$9*$G30,IF(AND(($C30+$C$1)&gt;AT$3,AT$3&gt;=$C$1),'General Inputs'!R$9*$F30,0))</f>
        <v>8.7221852068504244</v>
      </c>
      <c r="AU30" s="214">
        <f>IF(AND(($D30+$C$1)&gt;AU$3,AU$3&gt;=$C$1),'General Inputs'!S$9*$G30,IF(AND(($C30+$C$1)&gt;AU$3,AU$3&gt;=$C$1),'General Inputs'!S$9*$F30,0))</f>
        <v>8.8530179849531816</v>
      </c>
      <c r="AV30" s="214">
        <f>IF(AND(($D30+$C$1)&gt;AV$3,AV$3&gt;=$C$1),'General Inputs'!T$9*$G30,IF(AND(($C30+$C$1)&gt;AV$3,AV$3&gt;=$C$1),'General Inputs'!T$9*$F30,0))</f>
        <v>8.9858132547274785</v>
      </c>
      <c r="AW30" s="214">
        <f>IF(AND(($D30+$C$1)&gt;AW$3,AW$3&gt;=$C$1),'General Inputs'!U$9*$G30,IF(AND(($C30+$C$1)&gt;AW$3,AW$3&gt;=$C$1),'General Inputs'!U$9*$F30,0))</f>
        <v>9.1206004535483896</v>
      </c>
      <c r="AX30" s="214">
        <f>IF(AND(($D30+$C$1)&gt;AX$3,AX$3&gt;=$C$1),'General Inputs'!V$9*$G30,IF(AND(($C30+$C$1)&gt;AX$3,AX$3&gt;=$C$1),'General Inputs'!V$9*$F30,0))</f>
        <v>9.2574094603516137</v>
      </c>
      <c r="AY30" s="214">
        <f>IF(AND(($D30+$C$1)&gt;AY$3,AY$3&gt;=$C$1),'General Inputs'!W$9*$G30,IF(AND(($C30+$C$1)&gt;AY$3,AY$3&gt;=$C$1),'General Inputs'!W$9*$F30,0))</f>
        <v>0</v>
      </c>
      <c r="BA30" s="214">
        <f>IF(AND(($D30+$C$1)&gt;AF$3,AF$3&gt;=$C$1),'General Inputs'!D$10*$I30,IF(AND(($C30+$C$1)&gt;AF$3,AF$3&gt;=$C$1),'General Inputs'!D$10*$H30,0))</f>
        <v>0</v>
      </c>
      <c r="BB30" s="214">
        <f>IF(AND(($D30+$C$1)&gt;AG$3,AG$3&gt;=$C$1),'General Inputs'!E$10*$I30,IF(AND(($C30+$C$1)&gt;AG$3,AG$3&gt;=$C$1),'General Inputs'!E$10*$H30,0))</f>
        <v>13.294264858571299</v>
      </c>
      <c r="BC30" s="214">
        <f>IF(AND(($D30+$C$1)&gt;AH$3,AH$3&gt;=$C$1),'General Inputs'!F$10*$I30,IF(AND(($C30+$C$1)&gt;AH$3,AH$3&gt;=$C$1),'General Inputs'!F$10*$H30,0))</f>
        <v>13.493678831449868</v>
      </c>
      <c r="BD30" s="214">
        <f>IF(AND(($D30+$C$1)&gt;AI$3,AI$3&gt;=$C$1),'General Inputs'!G$10*$I30,IF(AND(($C30+$C$1)&gt;AI$3,AI$3&gt;=$C$1),'General Inputs'!G$10*$H30,0))</f>
        <v>13.696084013921615</v>
      </c>
      <c r="BE30" s="214">
        <f>IF(AND(($D30+$C$1)&gt;AJ$3,AJ$3&gt;=$C$1),'General Inputs'!H$10*$I30,IF(AND(($C30+$C$1)&gt;AJ$3,AJ$3&gt;=$C$1),'General Inputs'!H$10*$H30,0))</f>
        <v>13.901525274130439</v>
      </c>
      <c r="BF30" s="214">
        <f>IF(AND(($D30+$C$1)&gt;AK$3,AK$3&gt;=$C$1),'General Inputs'!I$10*$I30,IF(AND(($C30+$C$1)&gt;AK$3,AK$3&gt;=$C$1),'General Inputs'!I$10*$H30,0))</f>
        <v>14.110048153242392</v>
      </c>
      <c r="BG30" s="214">
        <f>IF(AND(($D30+$C$1)&gt;AL$3,AL$3&gt;=$C$1),'General Inputs'!J$10*$I30,IF(AND(($C30+$C$1)&gt;AL$3,AL$3&gt;=$C$1),'General Inputs'!J$10*$H30,0))</f>
        <v>14.321698875541026</v>
      </c>
      <c r="BH30" s="214">
        <f>IF(AND(($D30+$C$1)&gt;AM$3,AM$3&gt;=$C$1),'General Inputs'!K$10*$I30,IF(AND(($C30+$C$1)&gt;AM$3,AM$3&gt;=$C$1),'General Inputs'!K$10*$H30,0))</f>
        <v>14.536524358674141</v>
      </c>
      <c r="BI30" s="214">
        <f>IF(AND(($D30+$C$1)&gt;AN$3,AN$3&gt;=$C$1),'General Inputs'!L$10*$I30,IF(AND(($C30+$C$1)&gt;AN$3,AN$3&gt;=$C$1),'General Inputs'!L$10*$H30,0))</f>
        <v>14.754572224054252</v>
      </c>
      <c r="BJ30" s="214">
        <f>IF(AND(($D30+$C$1)&gt;AO$3,AO$3&gt;=$C$1),'General Inputs'!M$10*$I30,IF(AND(($C30+$C$1)&gt;AO$3,AO$3&gt;=$C$1),'General Inputs'!M$10*$H30,0))</f>
        <v>4.4733180333837224</v>
      </c>
      <c r="BK30" s="214">
        <f>IF(AND(($D30+$C$1)&gt;AP$3,AP$3&gt;=$C$1),'General Inputs'!N$10*$I30,IF(AND(($C30+$C$1)&gt;AP$3,AP$3&gt;=$C$1),'General Inputs'!N$10*$H30,0))</f>
        <v>4.5404178038844778</v>
      </c>
      <c r="BL30" s="214">
        <f>IF(AND(($D30+$C$1)&gt;AQ$3,AQ$3&gt;=$C$1),'General Inputs'!O$10*$I30,IF(AND(($C30+$C$1)&gt;AQ$3,AQ$3&gt;=$C$1),'General Inputs'!O$10*$H30,0))</f>
        <v>4.6085240709427442</v>
      </c>
      <c r="BM30" s="214">
        <f>IF(AND(($D30+$C$1)&gt;AR$3,AR$3&gt;=$C$1),'General Inputs'!P$10*$I30,IF(AND(($C30+$C$1)&gt;AR$3,AR$3&gt;=$C$1),'General Inputs'!P$10*$H30,0))</f>
        <v>4.677651932006885</v>
      </c>
      <c r="BN30" s="214">
        <f>IF(AND(($D30+$C$1)&gt;AS$3,AS$3&gt;=$C$1),'General Inputs'!Q$10*$I30,IF(AND(($C30+$C$1)&gt;AS$3,AS$3&gt;=$C$1),'General Inputs'!Q$10*$H30,0))</f>
        <v>4.7478167109869878</v>
      </c>
      <c r="BO30" s="214">
        <f>IF(AND(($D30+$C$1)&gt;AT$3,AT$3&gt;=$C$1),'General Inputs'!R$10*$I30,IF(AND(($C30+$C$1)&gt;AT$3,AT$3&gt;=$C$1),'General Inputs'!R$10*$H30,0))</f>
        <v>4.8190339616517921</v>
      </c>
      <c r="BP30" s="214">
        <f>IF(AND(($D30+$C$1)&gt;AU$3,AU$3&gt;=$C$1),'General Inputs'!S$10*$I30,IF(AND(($C30+$C$1)&gt;AU$3,AU$3&gt;=$C$1),'General Inputs'!S$10*$H30,0))</f>
        <v>4.8913194710765691</v>
      </c>
      <c r="BQ30" s="214">
        <f>IF(AND(($D30+$C$1)&gt;AV$3,AV$3&gt;=$C$1),'General Inputs'!T$10*$I30,IF(AND(($C30+$C$1)&gt;AV$3,AV$3&gt;=$C$1),'General Inputs'!T$10*$H30,0))</f>
        <v>4.9646892631427164</v>
      </c>
      <c r="BR30" s="214">
        <f>IF(AND(($D30+$C$1)&gt;AW$3,AW$3&gt;=$C$1),'General Inputs'!U$10*$I30,IF(AND(($C30+$C$1)&gt;AW$3,AW$3&gt;=$C$1),'General Inputs'!U$10*$H30,0))</f>
        <v>5.0391596020898568</v>
      </c>
      <c r="BS30" s="214">
        <f>IF(AND(($D30+$C$1)&gt;AX$3,AX$3&gt;=$C$1),'General Inputs'!V$10*$I30,IF(AND(($C30+$C$1)&gt;AX$3,AX$3&gt;=$C$1),'General Inputs'!V$10*$H30,0))</f>
        <v>5.1147469961212035</v>
      </c>
      <c r="BT30" s="214">
        <f>IF(AND(($D30+$C$1)&gt;AY$3,AY$3&gt;=$C$1),'General Inputs'!W$10*$I30,IF(AND(($C30+$C$1)&gt;AY$3,AY$3&gt;=$C$1),'General Inputs'!W$10*$H30,0))</f>
        <v>0</v>
      </c>
    </row>
    <row r="31" spans="1:72">
      <c r="A31" s="341" t="s">
        <v>12</v>
      </c>
      <c r="B31" s="427" t="str">
        <f>Sources!B31</f>
        <v>Early Retirement CAC SEER 15</v>
      </c>
      <c r="C31" s="193">
        <f>Sources!C31</f>
        <v>18</v>
      </c>
      <c r="D31" s="193">
        <f>Sources!D31</f>
        <v>8</v>
      </c>
      <c r="F31" s="429">
        <f>Sources!F31*EnergyLineLoss</f>
        <v>229.24467692307704</v>
      </c>
      <c r="G31" s="429">
        <f>Sources!G31*EnergyLineLoss</f>
        <v>745.04520000000014</v>
      </c>
      <c r="H31" s="477">
        <f>Sources!H31*PeakLineLoss</f>
        <v>0.42395418524871376</v>
      </c>
      <c r="I31" s="477">
        <f>Sources!I31*PeakLineLoss</f>
        <v>1.0373803117309275</v>
      </c>
      <c r="K31" s="419">
        <f>Sources!J31</f>
        <v>2204.364729424582</v>
      </c>
      <c r="L31" s="419">
        <f>Sources!K31</f>
        <v>1648.6524454788757</v>
      </c>
      <c r="N31" s="438">
        <f t="shared" si="4"/>
        <v>0.2619032344425154</v>
      </c>
      <c r="P31" s="215">
        <f t="shared" si="0"/>
        <v>211.82145387863008</v>
      </c>
      <c r="Q31" s="215">
        <f t="shared" si="1"/>
        <v>117.16521660461891</v>
      </c>
      <c r="R31" s="215">
        <f t="shared" si="2"/>
        <v>1256.1382496230974</v>
      </c>
      <c r="T31" s="214">
        <f t="shared" si="9"/>
        <v>0</v>
      </c>
      <c r="U31" s="214">
        <f t="shared" si="9"/>
        <v>2204.364729424582</v>
      </c>
      <c r="V31" s="214">
        <f t="shared" si="9"/>
        <v>0</v>
      </c>
      <c r="W31" s="214">
        <f t="shared" si="9"/>
        <v>0</v>
      </c>
      <c r="X31" s="214">
        <f t="shared" si="9"/>
        <v>0</v>
      </c>
      <c r="Y31" s="214">
        <f t="shared" si="9"/>
        <v>0</v>
      </c>
      <c r="Z31" s="214">
        <f t="shared" si="9"/>
        <v>0</v>
      </c>
      <c r="AA31" s="214">
        <f t="shared" si="9"/>
        <v>0</v>
      </c>
      <c r="AB31" s="214">
        <f t="shared" si="9"/>
        <v>0</v>
      </c>
      <c r="AC31" s="214">
        <f t="shared" si="9"/>
        <v>-1648.6524454788757</v>
      </c>
      <c r="AD31" s="214">
        <f t="shared" si="9"/>
        <v>0</v>
      </c>
      <c r="AF31" s="214">
        <f>IF(AND(($D31+$C$1)&gt;AF$3,AF$3&gt;=$C$1),'General Inputs'!D$9*$G31,IF(AND(($C31+$C$1)&gt;AF$3,AF$3&gt;=$C$1),'General Inputs'!D$9*$F31,0))</f>
        <v>0</v>
      </c>
      <c r="AG31" s="214">
        <f>IF(AND(($D31+$C$1)&gt;AG$3,AG$3&gt;=$C$1),'General Inputs'!E$9*$G31,IF(AND(($C31+$C$1)&gt;AG$3,AG$3&gt;=$C$1),'General Inputs'!E$9*$F31,0))</f>
        <v>30.106869199959768</v>
      </c>
      <c r="AH31" s="214">
        <f>IF(AND(($D31+$C$1)&gt;AH$3,AH$3&gt;=$C$1),'General Inputs'!F$9*$G31,IF(AND(($C31+$C$1)&gt;AH$3,AH$3&gt;=$C$1),'General Inputs'!F$9*$F31,0))</f>
        <v>30.558472237959162</v>
      </c>
      <c r="AI31" s="214">
        <f>IF(AND(($D31+$C$1)&gt;AI$3,AI$3&gt;=$C$1),'General Inputs'!G$9*$G31,IF(AND(($C31+$C$1)&gt;AI$3,AI$3&gt;=$C$1),'General Inputs'!G$9*$F31,0))</f>
        <v>31.016849321528547</v>
      </c>
      <c r="AJ31" s="214">
        <f>IF(AND(($D31+$C$1)&gt;AJ$3,AJ$3&gt;=$C$1),'General Inputs'!H$9*$G31,IF(AND(($C31+$C$1)&gt;AJ$3,AJ$3&gt;=$C$1),'General Inputs'!H$9*$F31,0))</f>
        <v>31.482102061351469</v>
      </c>
      <c r="AK31" s="214">
        <f>IF(AND(($D31+$C$1)&gt;AK$3,AK$3&gt;=$C$1),'General Inputs'!I$9*$G31,IF(AND(($C31+$C$1)&gt;AK$3,AK$3&gt;=$C$1),'General Inputs'!I$9*$F31,0))</f>
        <v>31.954333592271738</v>
      </c>
      <c r="AL31" s="214">
        <f>IF(AND(($D31+$C$1)&gt;AL$3,AL$3&gt;=$C$1),'General Inputs'!J$9*$G31,IF(AND(($C31+$C$1)&gt;AL$3,AL$3&gt;=$C$1),'General Inputs'!J$9*$F31,0))</f>
        <v>32.433648596155805</v>
      </c>
      <c r="AM31" s="214">
        <f>IF(AND(($D31+$C$1)&gt;AM$3,AM$3&gt;=$C$1),'General Inputs'!K$9*$G31,IF(AND(($C31+$C$1)&gt;AM$3,AM$3&gt;=$C$1),'General Inputs'!K$9*$F31,0))</f>
        <v>32.920153325098141</v>
      </c>
      <c r="AN31" s="214">
        <f>IF(AND(($D31+$C$1)&gt;AN$3,AN$3&gt;=$C$1),'General Inputs'!L$9*$G31,IF(AND(($C31+$C$1)&gt;AN$3,AN$3&gt;=$C$1),'General Inputs'!L$9*$F31,0))</f>
        <v>33.413955624974612</v>
      </c>
      <c r="AO31" s="214">
        <f>IF(AND(($D31+$C$1)&gt;AO$3,AO$3&gt;=$C$1),'General Inputs'!M$9*$G31,IF(AND(($C31+$C$1)&gt;AO$3,AO$3&gt;=$C$1),'General Inputs'!M$9*$F31,0))</f>
        <v>10.435435372107456</v>
      </c>
      <c r="AP31" s="214">
        <f>IF(AND(($D31+$C$1)&gt;AP$3,AP$3&gt;=$C$1),'General Inputs'!N$9*$G31,IF(AND(($C31+$C$1)&gt;AP$3,AP$3&gt;=$C$1),'General Inputs'!N$9*$F31,0))</f>
        <v>10.591966902689068</v>
      </c>
      <c r="AQ31" s="214">
        <f>IF(AND(($D31+$C$1)&gt;AQ$3,AQ$3&gt;=$C$1),'General Inputs'!O$9*$G31,IF(AND(($C31+$C$1)&gt;AQ$3,AQ$3&gt;=$C$1),'General Inputs'!O$9*$F31,0))</f>
        <v>10.750846406229403</v>
      </c>
      <c r="AR31" s="214">
        <f>IF(AND(($D31+$C$1)&gt;AR$3,AR$3&gt;=$C$1),'General Inputs'!P$9*$G31,IF(AND(($C31+$C$1)&gt;AR$3,AR$3&gt;=$C$1),'General Inputs'!P$9*$F31,0))</f>
        <v>10.912109102322843</v>
      </c>
      <c r="AS31" s="214">
        <f>IF(AND(($D31+$C$1)&gt;AS$3,AS$3&gt;=$C$1),'General Inputs'!Q$9*$G31,IF(AND(($C31+$C$1)&gt;AS$3,AS$3&gt;=$C$1),'General Inputs'!Q$9*$F31,0))</f>
        <v>11.075790738857684</v>
      </c>
      <c r="AT31" s="214">
        <f>IF(AND(($D31+$C$1)&gt;AT$3,AT$3&gt;=$C$1),'General Inputs'!R$9*$G31,IF(AND(($C31+$C$1)&gt;AT$3,AT$3&gt;=$C$1),'General Inputs'!R$9*$F31,0))</f>
        <v>11.241927599940549</v>
      </c>
      <c r="AU31" s="214">
        <f>IF(AND(($D31+$C$1)&gt;AU$3,AU$3&gt;=$C$1),'General Inputs'!S$9*$G31,IF(AND(($C31+$C$1)&gt;AU$3,AU$3&gt;=$C$1),'General Inputs'!S$9*$F31,0))</f>
        <v>11.410556513939657</v>
      </c>
      <c r="AV31" s="214">
        <f>IF(AND(($D31+$C$1)&gt;AV$3,AV$3&gt;=$C$1),'General Inputs'!T$9*$G31,IF(AND(($C31+$C$1)&gt;AV$3,AV$3&gt;=$C$1),'General Inputs'!T$9*$F31,0))</f>
        <v>11.58171486164875</v>
      </c>
      <c r="AW31" s="214">
        <f>IF(AND(($D31+$C$1)&gt;AW$3,AW$3&gt;=$C$1),'General Inputs'!U$9*$G31,IF(AND(($C31+$C$1)&gt;AW$3,AW$3&gt;=$C$1),'General Inputs'!U$9*$F31,0))</f>
        <v>11.755440584573481</v>
      </c>
      <c r="AX31" s="214">
        <f>IF(AND(($D31+$C$1)&gt;AX$3,AX$3&gt;=$C$1),'General Inputs'!V$9*$G31,IF(AND(($C31+$C$1)&gt;AX$3,AX$3&gt;=$C$1),'General Inputs'!V$9*$F31,0))</f>
        <v>11.931772193342082</v>
      </c>
      <c r="AY31" s="214">
        <f>IF(AND(($D31+$C$1)&gt;AY$3,AY$3&gt;=$C$1),'General Inputs'!W$9*$G31,IF(AND(($C31+$C$1)&gt;AY$3,AY$3&gt;=$C$1),'General Inputs'!W$9*$F31,0))</f>
        <v>0</v>
      </c>
      <c r="BA31" s="214">
        <f>IF(AND(($D31+$C$1)&gt;AF$3,AF$3&gt;=$C$1),'General Inputs'!D$10*$I31,IF(AND(($C31+$C$1)&gt;AF$3,AF$3&gt;=$C$1),'General Inputs'!D$10*$H31,0))</f>
        <v>0</v>
      </c>
      <c r="BB31" s="214">
        <f>IF(AND(($D31+$C$1)&gt;AG$3,AG$3&gt;=$C$1),'General Inputs'!E$10*$I31,IF(AND(($C31+$C$1)&gt;AG$3,AG$3&gt;=$C$1),'General Inputs'!E$10*$H31,0))</f>
        <v>15.76678312067755</v>
      </c>
      <c r="BC31" s="214">
        <f>IF(AND(($D31+$C$1)&gt;AH$3,AH$3&gt;=$C$1),'General Inputs'!F$10*$I31,IF(AND(($C31+$C$1)&gt;AH$3,AH$3&gt;=$C$1),'General Inputs'!F$10*$H31,0))</f>
        <v>16.003284867487714</v>
      </c>
      <c r="BD31" s="214">
        <f>IF(AND(($D31+$C$1)&gt;AI$3,AI$3&gt;=$C$1),'General Inputs'!G$10*$I31,IF(AND(($C31+$C$1)&gt;AI$3,AI$3&gt;=$C$1),'General Inputs'!G$10*$H31,0))</f>
        <v>16.243334140500028</v>
      </c>
      <c r="BE31" s="214">
        <f>IF(AND(($D31+$C$1)&gt;AJ$3,AJ$3&gt;=$C$1),'General Inputs'!H$10*$I31,IF(AND(($C31+$C$1)&gt;AJ$3,AJ$3&gt;=$C$1),'General Inputs'!H$10*$H31,0))</f>
        <v>16.486984152607526</v>
      </c>
      <c r="BF31" s="214">
        <f>IF(AND(($D31+$C$1)&gt;AK$3,AK$3&gt;=$C$1),'General Inputs'!I$10*$I31,IF(AND(($C31+$C$1)&gt;AK$3,AK$3&gt;=$C$1),'General Inputs'!I$10*$H31,0))</f>
        <v>16.734288914896634</v>
      </c>
      <c r="BG31" s="214">
        <f>IF(AND(($D31+$C$1)&gt;AL$3,AL$3&gt;=$C$1),'General Inputs'!J$10*$I31,IF(AND(($C31+$C$1)&gt;AL$3,AL$3&gt;=$C$1),'General Inputs'!J$10*$H31,0))</f>
        <v>16.985303248620085</v>
      </c>
      <c r="BH31" s="214">
        <f>IF(AND(($D31+$C$1)&gt;AM$3,AM$3&gt;=$C$1),'General Inputs'!K$10*$I31,IF(AND(($C31+$C$1)&gt;AM$3,AM$3&gt;=$C$1),'General Inputs'!K$10*$H31,0))</f>
        <v>17.240082797349384</v>
      </c>
      <c r="BI31" s="214">
        <f>IF(AND(($D31+$C$1)&gt;AN$3,AN$3&gt;=$C$1),'General Inputs'!L$10*$I31,IF(AND(($C31+$C$1)&gt;AN$3,AN$3&gt;=$C$1),'General Inputs'!L$10*$H31,0))</f>
        <v>17.498684039309623</v>
      </c>
      <c r="BJ31" s="214">
        <f>IF(AND(($D31+$C$1)&gt;AO$3,AO$3&gt;=$C$1),'General Inputs'!M$10*$I31,IF(AND(($C31+$C$1)&gt;AO$3,AO$3&gt;=$C$1),'General Inputs'!M$10*$H31,0))</f>
        <v>7.2585915258679234</v>
      </c>
      <c r="BK31" s="214">
        <f>IF(AND(($D31+$C$1)&gt;AP$3,AP$3&gt;=$C$1),'General Inputs'!N$10*$I31,IF(AND(($C31+$C$1)&gt;AP$3,AP$3&gt;=$C$1),'General Inputs'!N$10*$H31,0))</f>
        <v>7.3674703987559411</v>
      </c>
      <c r="BL31" s="214">
        <f>IF(AND(($D31+$C$1)&gt;AQ$3,AQ$3&gt;=$C$1),'General Inputs'!O$10*$I31,IF(AND(($C31+$C$1)&gt;AQ$3,AQ$3&gt;=$C$1),'General Inputs'!O$10*$H31,0))</f>
        <v>7.4779824547372797</v>
      </c>
      <c r="BM31" s="214">
        <f>IF(AND(($D31+$C$1)&gt;AR$3,AR$3&gt;=$C$1),'General Inputs'!P$10*$I31,IF(AND(($C31+$C$1)&gt;AR$3,AR$3&gt;=$C$1),'General Inputs'!P$10*$H31,0))</f>
        <v>7.5901521915583388</v>
      </c>
      <c r="BN31" s="214">
        <f>IF(AND(($D31+$C$1)&gt;AS$3,AS$3&gt;=$C$1),'General Inputs'!Q$10*$I31,IF(AND(($C31+$C$1)&gt;AS$3,AS$3&gt;=$C$1),'General Inputs'!Q$10*$H31,0))</f>
        <v>7.7040044744317129</v>
      </c>
      <c r="BO31" s="214">
        <f>IF(AND(($D31+$C$1)&gt;AT$3,AT$3&gt;=$C$1),'General Inputs'!R$10*$I31,IF(AND(($C31+$C$1)&gt;AT$3,AT$3&gt;=$C$1),'General Inputs'!R$10*$H31,0))</f>
        <v>7.8195645415481874</v>
      </c>
      <c r="BP31" s="214">
        <f>IF(AND(($D31+$C$1)&gt;AU$3,AU$3&gt;=$C$1),'General Inputs'!S$10*$I31,IF(AND(($C31+$C$1)&gt;AU$3,AU$3&gt;=$C$1),'General Inputs'!S$10*$H31,0))</f>
        <v>7.9368580096714103</v>
      </c>
      <c r="BQ31" s="214">
        <f>IF(AND(($D31+$C$1)&gt;AV$3,AV$3&gt;=$C$1),'General Inputs'!T$10*$I31,IF(AND(($C31+$C$1)&gt;AV$3,AV$3&gt;=$C$1),'General Inputs'!T$10*$H31,0))</f>
        <v>8.05591087981648</v>
      </c>
      <c r="BR31" s="214">
        <f>IF(AND(($D31+$C$1)&gt;AW$3,AW$3&gt;=$C$1),'General Inputs'!U$10*$I31,IF(AND(($C31+$C$1)&gt;AW$3,AW$3&gt;=$C$1),'General Inputs'!U$10*$H31,0))</f>
        <v>8.1767495430137274</v>
      </c>
      <c r="BS31" s="214">
        <f>IF(AND(($D31+$C$1)&gt;AX$3,AX$3&gt;=$C$1),'General Inputs'!V$10*$I31,IF(AND(($C31+$C$1)&gt;AX$3,AX$3&gt;=$C$1),'General Inputs'!V$10*$H31,0))</f>
        <v>8.2994007861589303</v>
      </c>
      <c r="BT31" s="214">
        <f>IF(AND(($D31+$C$1)&gt;AY$3,AY$3&gt;=$C$1),'General Inputs'!W$10*$I31,IF(AND(($C31+$C$1)&gt;AY$3,AY$3&gt;=$C$1),'General Inputs'!W$10*$H31,0))</f>
        <v>0</v>
      </c>
    </row>
    <row r="32" spans="1:72">
      <c r="A32" s="341" t="s">
        <v>12</v>
      </c>
      <c r="B32" s="427" t="str">
        <f>Sources!B32</f>
        <v>Early Retirement CAC SEER 16</v>
      </c>
      <c r="C32" s="193">
        <f>Sources!C32</f>
        <v>18</v>
      </c>
      <c r="D32" s="193">
        <f>Sources!D32</f>
        <v>8</v>
      </c>
      <c r="F32" s="429">
        <f>Sources!F32*EnergyLineLoss</f>
        <v>322.37532692307701</v>
      </c>
      <c r="G32" s="429">
        <f>Sources!G32*EnergyLineLoss</f>
        <v>838.17584999999997</v>
      </c>
      <c r="H32" s="477">
        <f>Sources!H32*PeakLineLoss</f>
        <v>0.48235216783216778</v>
      </c>
      <c r="I32" s="477">
        <f>Sources!I32*PeakLineLoss</f>
        <v>1.0957782943143815</v>
      </c>
      <c r="K32" s="419">
        <f>Sources!J32</f>
        <v>2482.2208713974351</v>
      </c>
      <c r="L32" s="419">
        <f>Sources!K32</f>
        <v>1648.6524454788757</v>
      </c>
      <c r="N32" s="438">
        <f t="shared" si="4"/>
        <v>0.24765937777950311</v>
      </c>
      <c r="P32" s="215">
        <f t="shared" si="0"/>
        <v>248.50271761621451</v>
      </c>
      <c r="Q32" s="215">
        <f t="shared" si="1"/>
        <v>125.816322286222</v>
      </c>
      <c r="R32" s="215">
        <f t="shared" si="2"/>
        <v>1511.4268769410439</v>
      </c>
      <c r="T32" s="214">
        <f t="shared" si="9"/>
        <v>0</v>
      </c>
      <c r="U32" s="214">
        <f t="shared" si="9"/>
        <v>2482.2208713974351</v>
      </c>
      <c r="V32" s="214">
        <f t="shared" si="9"/>
        <v>0</v>
      </c>
      <c r="W32" s="214">
        <f t="shared" si="9"/>
        <v>0</v>
      </c>
      <c r="X32" s="214">
        <f t="shared" si="9"/>
        <v>0</v>
      </c>
      <c r="Y32" s="214">
        <f t="shared" si="9"/>
        <v>0</v>
      </c>
      <c r="Z32" s="214">
        <f t="shared" si="9"/>
        <v>0</v>
      </c>
      <c r="AA32" s="214">
        <f t="shared" si="9"/>
        <v>0</v>
      </c>
      <c r="AB32" s="214">
        <f t="shared" si="9"/>
        <v>0</v>
      </c>
      <c r="AC32" s="214">
        <f t="shared" si="9"/>
        <v>-1648.6524454788757</v>
      </c>
      <c r="AD32" s="214">
        <f t="shared" si="9"/>
        <v>0</v>
      </c>
      <c r="AF32" s="214">
        <f>IF(AND(($D32+$C$1)&gt;AF$3,AF$3&gt;=$C$1),'General Inputs'!D$9*$G32,IF(AND(($C32+$C$1)&gt;AF$3,AF$3&gt;=$C$1),'General Inputs'!D$9*$F32,0))</f>
        <v>0</v>
      </c>
      <c r="AG32" s="214">
        <f>IF(AND(($D32+$C$1)&gt;AG$3,AG$3&gt;=$C$1),'General Inputs'!E$9*$G32,IF(AND(($C32+$C$1)&gt;AG$3,AG$3&gt;=$C$1),'General Inputs'!E$9*$F32,0))</f>
        <v>33.87022784995473</v>
      </c>
      <c r="AH32" s="214">
        <f>IF(AND(($D32+$C$1)&gt;AH$3,AH$3&gt;=$C$1),'General Inputs'!F$9*$G32,IF(AND(($C32+$C$1)&gt;AH$3,AH$3&gt;=$C$1),'General Inputs'!F$9*$F32,0))</f>
        <v>34.378281267704047</v>
      </c>
      <c r="AI32" s="214">
        <f>IF(AND(($D32+$C$1)&gt;AI$3,AI$3&gt;=$C$1),'General Inputs'!G$9*$G32,IF(AND(($C32+$C$1)&gt;AI$3,AI$3&gt;=$C$1),'General Inputs'!G$9*$F32,0))</f>
        <v>34.893955486719605</v>
      </c>
      <c r="AJ32" s="214">
        <f>IF(AND(($D32+$C$1)&gt;AJ$3,AJ$3&gt;=$C$1),'General Inputs'!H$9*$G32,IF(AND(($C32+$C$1)&gt;AJ$3,AJ$3&gt;=$C$1),'General Inputs'!H$9*$F32,0))</f>
        <v>35.417364819020392</v>
      </c>
      <c r="AK32" s="214">
        <f>IF(AND(($D32+$C$1)&gt;AK$3,AK$3&gt;=$C$1),'General Inputs'!I$9*$G32,IF(AND(($C32+$C$1)&gt;AK$3,AK$3&gt;=$C$1),'General Inputs'!I$9*$F32,0))</f>
        <v>35.948625291305696</v>
      </c>
      <c r="AL32" s="214">
        <f>IF(AND(($D32+$C$1)&gt;AL$3,AL$3&gt;=$C$1),'General Inputs'!J$9*$G32,IF(AND(($C32+$C$1)&gt;AL$3,AL$3&gt;=$C$1),'General Inputs'!J$9*$F32,0))</f>
        <v>36.487854670675276</v>
      </c>
      <c r="AM32" s="214">
        <f>IF(AND(($D32+$C$1)&gt;AM$3,AM$3&gt;=$C$1),'General Inputs'!K$9*$G32,IF(AND(($C32+$C$1)&gt;AM$3,AM$3&gt;=$C$1),'General Inputs'!K$9*$F32,0))</f>
        <v>37.035172490735398</v>
      </c>
      <c r="AN32" s="214">
        <f>IF(AND(($D32+$C$1)&gt;AN$3,AN$3&gt;=$C$1),'General Inputs'!L$9*$G32,IF(AND(($C32+$C$1)&gt;AN$3,AN$3&gt;=$C$1),'General Inputs'!L$9*$F32,0))</f>
        <v>37.590700078096425</v>
      </c>
      <c r="AO32" s="214">
        <f>IF(AND(($D32+$C$1)&gt;AO$3,AO$3&gt;=$C$1),'General Inputs'!M$9*$G32,IF(AND(($C32+$C$1)&gt;AO$3,AO$3&gt;=$C$1),'General Inputs'!M$9*$F32,0))</f>
        <v>14.674830992026108</v>
      </c>
      <c r="AP32" s="214">
        <f>IF(AND(($D32+$C$1)&gt;AP$3,AP$3&gt;=$C$1),'General Inputs'!N$9*$G32,IF(AND(($C32+$C$1)&gt;AP$3,AP$3&gt;=$C$1),'General Inputs'!N$9*$F32,0))</f>
        <v>14.894953456906499</v>
      </c>
      <c r="AQ32" s="214">
        <f>IF(AND(($D32+$C$1)&gt;AQ$3,AQ$3&gt;=$C$1),'General Inputs'!O$9*$G32,IF(AND(($C32+$C$1)&gt;AQ$3,AQ$3&gt;=$C$1),'General Inputs'!O$9*$F32,0))</f>
        <v>15.118377758760094</v>
      </c>
      <c r="AR32" s="214">
        <f>IF(AND(($D32+$C$1)&gt;AR$3,AR$3&gt;=$C$1),'General Inputs'!P$9*$G32,IF(AND(($C32+$C$1)&gt;AR$3,AR$3&gt;=$C$1),'General Inputs'!P$9*$F32,0))</f>
        <v>15.345153425141493</v>
      </c>
      <c r="AS32" s="214">
        <f>IF(AND(($D32+$C$1)&gt;AS$3,AS$3&gt;=$C$1),'General Inputs'!Q$9*$G32,IF(AND(($C32+$C$1)&gt;AS$3,AS$3&gt;=$C$1),'General Inputs'!Q$9*$F32,0))</f>
        <v>15.575330726518615</v>
      </c>
      <c r="AT32" s="214">
        <f>IF(AND(($D32+$C$1)&gt;AT$3,AT$3&gt;=$C$1),'General Inputs'!R$9*$G32,IF(AND(($C32+$C$1)&gt;AT$3,AT$3&gt;=$C$1),'General Inputs'!R$9*$F32,0))</f>
        <v>15.808960687416393</v>
      </c>
      <c r="AU32" s="214">
        <f>IF(AND(($D32+$C$1)&gt;AU$3,AU$3&gt;=$C$1),'General Inputs'!S$9*$G32,IF(AND(($C32+$C$1)&gt;AU$3,AU$3&gt;=$C$1),'General Inputs'!S$9*$F32,0))</f>
        <v>16.04609509772764</v>
      </c>
      <c r="AV32" s="214">
        <f>IF(AND(($D32+$C$1)&gt;AV$3,AV$3&gt;=$C$1),'General Inputs'!T$9*$G32,IF(AND(($C32+$C$1)&gt;AV$3,AV$3&gt;=$C$1),'General Inputs'!T$9*$F32,0))</f>
        <v>16.286786524193552</v>
      </c>
      <c r="AW32" s="214">
        <f>IF(AND(($D32+$C$1)&gt;AW$3,AW$3&gt;=$C$1),'General Inputs'!U$9*$G32,IF(AND(($C32+$C$1)&gt;AW$3,AW$3&gt;=$C$1),'General Inputs'!U$9*$F32,0))</f>
        <v>16.531088322056455</v>
      </c>
      <c r="AX32" s="214">
        <f>IF(AND(($D32+$C$1)&gt;AX$3,AX$3&gt;=$C$1),'General Inputs'!V$9*$G32,IF(AND(($C32+$C$1)&gt;AX$3,AX$3&gt;=$C$1),'General Inputs'!V$9*$F32,0))</f>
        <v>16.7790546468873</v>
      </c>
      <c r="AY32" s="214">
        <f>IF(AND(($D32+$C$1)&gt;AY$3,AY$3&gt;=$C$1),'General Inputs'!W$9*$G32,IF(AND(($C32+$C$1)&gt;AY$3,AY$3&gt;=$C$1),'General Inputs'!W$9*$F32,0))</f>
        <v>0</v>
      </c>
      <c r="BA32" s="214">
        <f>IF(AND(($D32+$C$1)&gt;AF$3,AF$3&gt;=$C$1),'General Inputs'!D$10*$I32,IF(AND(($C32+$C$1)&gt;AF$3,AF$3&gt;=$C$1),'General Inputs'!D$10*$H32,0))</f>
        <v>0</v>
      </c>
      <c r="BB32" s="214">
        <f>IF(AND(($D32+$C$1)&gt;AG$3,AG$3&gt;=$C$1),'General Inputs'!E$10*$I32,IF(AND(($C32+$C$1)&gt;AG$3,AG$3&gt;=$C$1),'General Inputs'!E$10*$H32,0))</f>
        <v>16.654353778869535</v>
      </c>
      <c r="BC32" s="214">
        <f>IF(AND(($D32+$C$1)&gt;AH$3,AH$3&gt;=$C$1),'General Inputs'!F$10*$I32,IF(AND(($C32+$C$1)&gt;AH$3,AH$3&gt;=$C$1),'General Inputs'!F$10*$H32,0))</f>
        <v>16.904169085552574</v>
      </c>
      <c r="BD32" s="214">
        <f>IF(AND(($D32+$C$1)&gt;AI$3,AI$3&gt;=$C$1),'General Inputs'!G$10*$I32,IF(AND(($C32+$C$1)&gt;AI$3,AI$3&gt;=$C$1),'General Inputs'!G$10*$H32,0))</f>
        <v>17.157731621835861</v>
      </c>
      <c r="BE32" s="214">
        <f>IF(AND(($D32+$C$1)&gt;AJ$3,AJ$3&gt;=$C$1),'General Inputs'!H$10*$I32,IF(AND(($C32+$C$1)&gt;AJ$3,AJ$3&gt;=$C$1),'General Inputs'!H$10*$H32,0))</f>
        <v>17.415097596163399</v>
      </c>
      <c r="BF32" s="214">
        <f>IF(AND(($D32+$C$1)&gt;AK$3,AK$3&gt;=$C$1),'General Inputs'!I$10*$I32,IF(AND(($C32+$C$1)&gt;AK$3,AK$3&gt;=$C$1),'General Inputs'!I$10*$H32,0))</f>
        <v>17.676324060105845</v>
      </c>
      <c r="BG32" s="214">
        <f>IF(AND(($D32+$C$1)&gt;AL$3,AL$3&gt;=$C$1),'General Inputs'!J$10*$I32,IF(AND(($C32+$C$1)&gt;AL$3,AL$3&gt;=$C$1),'General Inputs'!J$10*$H32,0))</f>
        <v>17.941468921007431</v>
      </c>
      <c r="BH32" s="214">
        <f>IF(AND(($D32+$C$1)&gt;AM$3,AM$3&gt;=$C$1),'General Inputs'!K$10*$I32,IF(AND(($C32+$C$1)&gt;AM$3,AM$3&gt;=$C$1),'General Inputs'!K$10*$H32,0))</f>
        <v>18.210590954822543</v>
      </c>
      <c r="BI32" s="214">
        <f>IF(AND(($D32+$C$1)&gt;AN$3,AN$3&gt;=$C$1),'General Inputs'!L$10*$I32,IF(AND(($C32+$C$1)&gt;AN$3,AN$3&gt;=$C$1),'General Inputs'!L$10*$H32,0))</f>
        <v>18.483749819144879</v>
      </c>
      <c r="BJ32" s="214">
        <f>IF(AND(($D32+$C$1)&gt;AO$3,AO$3&gt;=$C$1),'General Inputs'!M$10*$I32,IF(AND(($C32+$C$1)&gt;AO$3,AO$3&gt;=$C$1),'General Inputs'!M$10*$H32,0))</f>
        <v>8.25843329240071</v>
      </c>
      <c r="BK32" s="214">
        <f>IF(AND(($D32+$C$1)&gt;AP$3,AP$3&gt;=$C$1),'General Inputs'!N$10*$I32,IF(AND(($C32+$C$1)&gt;AP$3,AP$3&gt;=$C$1),'General Inputs'!N$10*$H32,0))</f>
        <v>8.3823097917867191</v>
      </c>
      <c r="BL32" s="214">
        <f>IF(AND(($D32+$C$1)&gt;AQ$3,AQ$3&gt;=$C$1),'General Inputs'!O$10*$I32,IF(AND(($C32+$C$1)&gt;AQ$3,AQ$3&gt;=$C$1),'General Inputs'!O$10*$H32,0))</f>
        <v>8.5080444386635197</v>
      </c>
      <c r="BM32" s="214">
        <f>IF(AND(($D32+$C$1)&gt;AR$3,AR$3&gt;=$C$1),'General Inputs'!P$10*$I32,IF(AND(($C32+$C$1)&gt;AR$3,AR$3&gt;=$C$1),'General Inputs'!P$10*$H32,0))</f>
        <v>8.6356651052434721</v>
      </c>
      <c r="BN32" s="214">
        <f>IF(AND(($D32+$C$1)&gt;AS$3,AS$3&gt;=$C$1),'General Inputs'!Q$10*$I32,IF(AND(($C32+$C$1)&gt;AS$3,AS$3&gt;=$C$1),'General Inputs'!Q$10*$H32,0))</f>
        <v>8.7652000818221225</v>
      </c>
      <c r="BO32" s="214">
        <f>IF(AND(($D32+$C$1)&gt;AT$3,AT$3&gt;=$C$1),'General Inputs'!R$10*$I32,IF(AND(($C32+$C$1)&gt;AT$3,AT$3&gt;=$C$1),'General Inputs'!R$10*$H32,0))</f>
        <v>8.8966780830494532</v>
      </c>
      <c r="BP32" s="214">
        <f>IF(AND(($D32+$C$1)&gt;AU$3,AU$3&gt;=$C$1),'General Inputs'!S$10*$I32,IF(AND(($C32+$C$1)&gt;AU$3,AU$3&gt;=$C$1),'General Inputs'!S$10*$H32,0))</f>
        <v>9.0301282542951942</v>
      </c>
      <c r="BQ32" s="214">
        <f>IF(AND(($D32+$C$1)&gt;AV$3,AV$3&gt;=$C$1),'General Inputs'!T$10*$I32,IF(AND(($C32+$C$1)&gt;AV$3,AV$3&gt;=$C$1),'General Inputs'!T$10*$H32,0))</f>
        <v>9.1655801781096216</v>
      </c>
      <c r="BR32" s="214">
        <f>IF(AND(($D32+$C$1)&gt;AW$3,AW$3&gt;=$C$1),'General Inputs'!U$10*$I32,IF(AND(($C32+$C$1)&gt;AW$3,AW$3&gt;=$C$1),'General Inputs'!U$10*$H32,0))</f>
        <v>9.3030638807812647</v>
      </c>
      <c r="BS32" s="214">
        <f>IF(AND(($D32+$C$1)&gt;AX$3,AX$3&gt;=$C$1),'General Inputs'!V$10*$I32,IF(AND(($C32+$C$1)&gt;AX$3,AX$3&gt;=$C$1),'General Inputs'!V$10*$H32,0))</f>
        <v>9.4426098389929827</v>
      </c>
      <c r="BT32" s="214">
        <f>IF(AND(($D32+$C$1)&gt;AY$3,AY$3&gt;=$C$1),'General Inputs'!W$10*$I32,IF(AND(($C32+$C$1)&gt;AY$3,AY$3&gt;=$C$1),'General Inputs'!W$10*$H32,0))</f>
        <v>0</v>
      </c>
    </row>
    <row r="33" spans="1:72">
      <c r="A33" s="341" t="s">
        <v>12</v>
      </c>
      <c r="B33" s="427" t="str">
        <f>Sources!B33</f>
        <v>Programmable Tstat CAC</v>
      </c>
      <c r="C33" s="193">
        <f>Sources!C33</f>
        <v>10</v>
      </c>
      <c r="D33" s="193">
        <f>Sources!D33</f>
        <v>0</v>
      </c>
      <c r="F33" s="429">
        <f>Sources!F33*EnergyLineLoss</f>
        <v>134.10813599999997</v>
      </c>
      <c r="G33" s="429">
        <f>Sources!G33*EnergyLineLoss</f>
        <v>0</v>
      </c>
      <c r="H33" s="477">
        <f>Sources!H33*PeakLineLoss</f>
        <v>0.24402014150943394</v>
      </c>
      <c r="I33" s="477">
        <f>Sources!I33*PeakLineLoss</f>
        <v>0</v>
      </c>
      <c r="K33" s="419">
        <f>Sources!J33</f>
        <v>30</v>
      </c>
      <c r="L33" s="419">
        <f>Sources!K33</f>
        <v>0</v>
      </c>
      <c r="N33" s="438">
        <f t="shared" si="4"/>
        <v>2.2672603273619725</v>
      </c>
      <c r="P33" s="215">
        <f t="shared" si="0"/>
        <v>37.101880385034477</v>
      </c>
      <c r="Q33" s="215">
        <f t="shared" si="1"/>
        <v>25.391513423178651</v>
      </c>
      <c r="R33" s="215">
        <f t="shared" si="2"/>
        <v>27.563395810363836</v>
      </c>
      <c r="T33" s="214">
        <f t="shared" si="9"/>
        <v>0</v>
      </c>
      <c r="U33" s="214">
        <f t="shared" si="9"/>
        <v>30</v>
      </c>
      <c r="V33" s="214">
        <f t="shared" si="9"/>
        <v>0</v>
      </c>
      <c r="W33" s="214">
        <f t="shared" si="9"/>
        <v>0</v>
      </c>
      <c r="X33" s="214">
        <f t="shared" si="9"/>
        <v>0</v>
      </c>
      <c r="Y33" s="214">
        <f t="shared" si="9"/>
        <v>0</v>
      </c>
      <c r="Z33" s="214">
        <f t="shared" si="9"/>
        <v>0</v>
      </c>
      <c r="AA33" s="214">
        <f t="shared" si="9"/>
        <v>0</v>
      </c>
      <c r="AB33" s="214">
        <f t="shared" si="9"/>
        <v>0</v>
      </c>
      <c r="AC33" s="214">
        <f t="shared" si="9"/>
        <v>0</v>
      </c>
      <c r="AD33" s="214">
        <f t="shared" si="9"/>
        <v>0</v>
      </c>
      <c r="AF33" s="214">
        <f>IF(AND(($D33+$C$1)&gt;AF$3,AF$3&gt;=$C$1),'General Inputs'!D$9*$G33,IF(AND(($C33+$C$1)&gt;AF$3,AF$3&gt;=$C$1),'General Inputs'!D$9*$F33,0))</f>
        <v>0</v>
      </c>
      <c r="AG33" s="214">
        <f>IF(AND(($D33+$C$1)&gt;AG$3,AG$3&gt;=$C$1),'General Inputs'!E$9*$G33,IF(AND(($C33+$C$1)&gt;AG$3,AG$3&gt;=$C$1),'General Inputs'!E$9*$F33,0))</f>
        <v>5.4192364559927562</v>
      </c>
      <c r="AH33" s="214">
        <f>IF(AND(($D33+$C$1)&gt;AH$3,AH$3&gt;=$C$1),'General Inputs'!F$9*$G33,IF(AND(($C33+$C$1)&gt;AH$3,AH$3&gt;=$C$1),'General Inputs'!F$9*$F33,0))</f>
        <v>5.5005250028326467</v>
      </c>
      <c r="AI33" s="214">
        <f>IF(AND(($D33+$C$1)&gt;AI$3,AI$3&gt;=$C$1),'General Inputs'!G$9*$G33,IF(AND(($C33+$C$1)&gt;AI$3,AI$3&gt;=$C$1),'General Inputs'!G$9*$F33,0))</f>
        <v>5.5830328778751364</v>
      </c>
      <c r="AJ33" s="214">
        <f>IF(AND(($D33+$C$1)&gt;AJ$3,AJ$3&gt;=$C$1),'General Inputs'!H$9*$G33,IF(AND(($C33+$C$1)&gt;AJ$3,AJ$3&gt;=$C$1),'General Inputs'!H$9*$F33,0))</f>
        <v>5.6667783710432627</v>
      </c>
      <c r="AK33" s="214">
        <f>IF(AND(($D33+$C$1)&gt;AK$3,AK$3&gt;=$C$1),'General Inputs'!I$9*$G33,IF(AND(($C33+$C$1)&gt;AK$3,AK$3&gt;=$C$1),'General Inputs'!I$9*$F33,0))</f>
        <v>5.7517800466089106</v>
      </c>
      <c r="AL33" s="214">
        <f>IF(AND(($D33+$C$1)&gt;AL$3,AL$3&gt;=$C$1),'General Inputs'!J$9*$G33,IF(AND(($C33+$C$1)&gt;AL$3,AL$3&gt;=$C$1),'General Inputs'!J$9*$F33,0))</f>
        <v>5.8380567473080429</v>
      </c>
      <c r="AM33" s="214">
        <f>IF(AND(($D33+$C$1)&gt;AM$3,AM$3&gt;=$C$1),'General Inputs'!K$9*$G33,IF(AND(($C33+$C$1)&gt;AM$3,AM$3&gt;=$C$1),'General Inputs'!K$9*$F33,0))</f>
        <v>5.9256275985176625</v>
      </c>
      <c r="AN33" s="214">
        <f>IF(AND(($D33+$C$1)&gt;AN$3,AN$3&gt;=$C$1),'General Inputs'!L$9*$G33,IF(AND(($C33+$C$1)&gt;AN$3,AN$3&gt;=$C$1),'General Inputs'!L$9*$F33,0))</f>
        <v>6.0145120124954277</v>
      </c>
      <c r="AO33" s="214">
        <f>IF(AND(($D33+$C$1)&gt;AO$3,AO$3&gt;=$C$1),'General Inputs'!M$9*$G33,IF(AND(($C33+$C$1)&gt;AO$3,AO$3&gt;=$C$1),'General Inputs'!M$9*$F33,0))</f>
        <v>6.1047296926828576</v>
      </c>
      <c r="AP33" s="214">
        <f>IF(AND(($D33+$C$1)&gt;AP$3,AP$3&gt;=$C$1),'General Inputs'!N$9*$G33,IF(AND(($C33+$C$1)&gt;AP$3,AP$3&gt;=$C$1),'General Inputs'!N$9*$F33,0))</f>
        <v>6.1963006380731001</v>
      </c>
      <c r="AQ33" s="214">
        <f>IF(AND(($D33+$C$1)&gt;AQ$3,AQ$3&gt;=$C$1),'General Inputs'!O$9*$G33,IF(AND(($C33+$C$1)&gt;AQ$3,AQ$3&gt;=$C$1),'General Inputs'!O$9*$F33,0))</f>
        <v>0</v>
      </c>
      <c r="AR33" s="214">
        <f>IF(AND(($D33+$C$1)&gt;AR$3,AR$3&gt;=$C$1),'General Inputs'!P$9*$G33,IF(AND(($C33+$C$1)&gt;AR$3,AR$3&gt;=$C$1),'General Inputs'!P$9*$F33,0))</f>
        <v>0</v>
      </c>
      <c r="AS33" s="214">
        <f>IF(AND(($D33+$C$1)&gt;AS$3,AS$3&gt;=$C$1),'General Inputs'!Q$9*$G33,IF(AND(($C33+$C$1)&gt;AS$3,AS$3&gt;=$C$1),'General Inputs'!Q$9*$F33,0))</f>
        <v>0</v>
      </c>
      <c r="AT33" s="214">
        <f>IF(AND(($D33+$C$1)&gt;AT$3,AT$3&gt;=$C$1),'General Inputs'!R$9*$G33,IF(AND(($C33+$C$1)&gt;AT$3,AT$3&gt;=$C$1),'General Inputs'!R$9*$F33,0))</f>
        <v>0</v>
      </c>
      <c r="AU33" s="214">
        <f>IF(AND(($D33+$C$1)&gt;AU$3,AU$3&gt;=$C$1),'General Inputs'!S$9*$G33,IF(AND(($C33+$C$1)&gt;AU$3,AU$3&gt;=$C$1),'General Inputs'!S$9*$F33,0))</f>
        <v>0</v>
      </c>
      <c r="AV33" s="214">
        <f>IF(AND(($D33+$C$1)&gt;AV$3,AV$3&gt;=$C$1),'General Inputs'!T$9*$G33,IF(AND(($C33+$C$1)&gt;AV$3,AV$3&gt;=$C$1),'General Inputs'!T$9*$F33,0))</f>
        <v>0</v>
      </c>
      <c r="AW33" s="214">
        <f>IF(AND(($D33+$C$1)&gt;AW$3,AW$3&gt;=$C$1),'General Inputs'!U$9*$G33,IF(AND(($C33+$C$1)&gt;AW$3,AW$3&gt;=$C$1),'General Inputs'!U$9*$F33,0))</f>
        <v>0</v>
      </c>
      <c r="AX33" s="214">
        <f>IF(AND(($D33+$C$1)&gt;AX$3,AX$3&gt;=$C$1),'General Inputs'!V$9*$G33,IF(AND(($C33+$C$1)&gt;AX$3,AX$3&gt;=$C$1),'General Inputs'!V$9*$F33,0))</f>
        <v>0</v>
      </c>
      <c r="AY33" s="214">
        <f>IF(AND(($D33+$C$1)&gt;AY$3,AY$3&gt;=$C$1),'General Inputs'!W$9*$G33,IF(AND(($C33+$C$1)&gt;AY$3,AY$3&gt;=$C$1),'General Inputs'!W$9*$F33,0))</f>
        <v>0</v>
      </c>
      <c r="BA33" s="214">
        <f>IF(AND(($D33+$C$1)&gt;AF$3,AF$3&gt;=$C$1),'General Inputs'!D$10*$I33,IF(AND(($C33+$C$1)&gt;AF$3,AF$3&gt;=$C$1),'General Inputs'!D$10*$H33,0))</f>
        <v>0</v>
      </c>
      <c r="BB33" s="214">
        <f>IF(AND(($D33+$C$1)&gt;AG$3,AG$3&gt;=$C$1),'General Inputs'!E$10*$I33,IF(AND(($C33+$C$1)&gt;AG$3,AG$3&gt;=$C$1),'General Inputs'!E$10*$H33,0))</f>
        <v>3.7087773931593762</v>
      </c>
      <c r="BC33" s="214">
        <f>IF(AND(($D33+$C$1)&gt;AH$3,AH$3&gt;=$C$1),'General Inputs'!F$10*$I33,IF(AND(($C33+$C$1)&gt;AH$3,AH$3&gt;=$C$1),'General Inputs'!F$10*$H33,0))</f>
        <v>3.7644090540567667</v>
      </c>
      <c r="BD33" s="214">
        <f>IF(AND(($D33+$C$1)&gt;AI$3,AI$3&gt;=$C$1),'General Inputs'!G$10*$I33,IF(AND(($C33+$C$1)&gt;AI$3,AI$3&gt;=$C$1),'General Inputs'!G$10*$H33,0))</f>
        <v>3.8208751898676176</v>
      </c>
      <c r="BE33" s="214">
        <f>IF(AND(($D33+$C$1)&gt;AJ$3,AJ$3&gt;=$C$1),'General Inputs'!H$10*$I33,IF(AND(($C33+$C$1)&gt;AJ$3,AJ$3&gt;=$C$1),'General Inputs'!H$10*$H33,0))</f>
        <v>3.8781883177156318</v>
      </c>
      <c r="BF33" s="214">
        <f>IF(AND(($D33+$C$1)&gt;AK$3,AK$3&gt;=$C$1),'General Inputs'!I$10*$I33,IF(AND(($C33+$C$1)&gt;AK$3,AK$3&gt;=$C$1),'General Inputs'!I$10*$H33,0))</f>
        <v>3.9363611424813656</v>
      </c>
      <c r="BG33" s="214">
        <f>IF(AND(($D33+$C$1)&gt;AL$3,AL$3&gt;=$C$1),'General Inputs'!J$10*$I33,IF(AND(($C33+$C$1)&gt;AL$3,AL$3&gt;=$C$1),'General Inputs'!J$10*$H33,0))</f>
        <v>3.9954065596185853</v>
      </c>
      <c r="BH33" s="214">
        <f>IF(AND(($D33+$C$1)&gt;AM$3,AM$3&gt;=$C$1),'General Inputs'!K$10*$I33,IF(AND(($C33+$C$1)&gt;AM$3,AM$3&gt;=$C$1),'General Inputs'!K$10*$H33,0))</f>
        <v>4.0553376580128644</v>
      </c>
      <c r="BI33" s="214">
        <f>IF(AND(($D33+$C$1)&gt;AN$3,AN$3&gt;=$C$1),'General Inputs'!L$10*$I33,IF(AND(($C33+$C$1)&gt;AN$3,AN$3&gt;=$C$1),'General Inputs'!L$10*$H33,0))</f>
        <v>4.1161677228830564</v>
      </c>
      <c r="BJ33" s="214">
        <f>IF(AND(($D33+$C$1)&gt;AO$3,AO$3&gt;=$C$1),'General Inputs'!M$10*$I33,IF(AND(($C33+$C$1)&gt;AO$3,AO$3&gt;=$C$1),'General Inputs'!M$10*$H33,0))</f>
        <v>4.1779102387263025</v>
      </c>
      <c r="BK33" s="214">
        <f>IF(AND(($D33+$C$1)&gt;AP$3,AP$3&gt;=$C$1),'General Inputs'!N$10*$I33,IF(AND(($C33+$C$1)&gt;AP$3,AP$3&gt;=$C$1),'General Inputs'!N$10*$H33,0))</f>
        <v>4.2405788923071963</v>
      </c>
      <c r="BL33" s="214">
        <f>IF(AND(($D33+$C$1)&gt;AQ$3,AQ$3&gt;=$C$1),'General Inputs'!O$10*$I33,IF(AND(($C33+$C$1)&gt;AQ$3,AQ$3&gt;=$C$1),'General Inputs'!O$10*$H33,0))</f>
        <v>0</v>
      </c>
      <c r="BM33" s="214">
        <f>IF(AND(($D33+$C$1)&gt;AR$3,AR$3&gt;=$C$1),'General Inputs'!P$10*$I33,IF(AND(($C33+$C$1)&gt;AR$3,AR$3&gt;=$C$1),'General Inputs'!P$10*$H33,0))</f>
        <v>0</v>
      </c>
      <c r="BN33" s="214">
        <f>IF(AND(($D33+$C$1)&gt;AS$3,AS$3&gt;=$C$1),'General Inputs'!Q$10*$I33,IF(AND(($C33+$C$1)&gt;AS$3,AS$3&gt;=$C$1),'General Inputs'!Q$10*$H33,0))</f>
        <v>0</v>
      </c>
      <c r="BO33" s="214">
        <f>IF(AND(($D33+$C$1)&gt;AT$3,AT$3&gt;=$C$1),'General Inputs'!R$10*$I33,IF(AND(($C33+$C$1)&gt;AT$3,AT$3&gt;=$C$1),'General Inputs'!R$10*$H33,0))</f>
        <v>0</v>
      </c>
      <c r="BP33" s="214">
        <f>IF(AND(($D33+$C$1)&gt;AU$3,AU$3&gt;=$C$1),'General Inputs'!S$10*$I33,IF(AND(($C33+$C$1)&gt;AU$3,AU$3&gt;=$C$1),'General Inputs'!S$10*$H33,0))</f>
        <v>0</v>
      </c>
      <c r="BQ33" s="214">
        <f>IF(AND(($D33+$C$1)&gt;AV$3,AV$3&gt;=$C$1),'General Inputs'!T$10*$I33,IF(AND(($C33+$C$1)&gt;AV$3,AV$3&gt;=$C$1),'General Inputs'!T$10*$H33,0))</f>
        <v>0</v>
      </c>
      <c r="BR33" s="214">
        <f>IF(AND(($D33+$C$1)&gt;AW$3,AW$3&gt;=$C$1),'General Inputs'!U$10*$I33,IF(AND(($C33+$C$1)&gt;AW$3,AW$3&gt;=$C$1),'General Inputs'!U$10*$H33,0))</f>
        <v>0</v>
      </c>
      <c r="BS33" s="214">
        <f>IF(AND(($D33+$C$1)&gt;AX$3,AX$3&gt;=$C$1),'General Inputs'!V$10*$I33,IF(AND(($C33+$C$1)&gt;AX$3,AX$3&gt;=$C$1),'General Inputs'!V$10*$H33,0))</f>
        <v>0</v>
      </c>
      <c r="BT33" s="214">
        <f>IF(AND(($D33+$C$1)&gt;AY$3,AY$3&gt;=$C$1),'General Inputs'!W$10*$I33,IF(AND(($C33+$C$1)&gt;AY$3,AY$3&gt;=$C$1),'General Inputs'!W$10*$H33,0))</f>
        <v>0</v>
      </c>
    </row>
    <row r="34" spans="1:72">
      <c r="A34" s="341" t="s">
        <v>12</v>
      </c>
      <c r="B34" s="427" t="str">
        <f>Sources!B34</f>
        <v>Heat Pump SEER 15</v>
      </c>
      <c r="C34" s="193">
        <f>Sources!C34</f>
        <v>18</v>
      </c>
      <c r="D34" s="193">
        <f>Sources!D34</f>
        <v>0</v>
      </c>
      <c r="F34" s="429">
        <f>Sources!F34*EnergyLineLoss</f>
        <v>501.30875023570508</v>
      </c>
      <c r="G34" s="429">
        <f>Sources!G34*EnergyLineLoss</f>
        <v>0</v>
      </c>
      <c r="H34" s="477">
        <f>Sources!H34*PeakLineLoss</f>
        <v>0.5246773594887183</v>
      </c>
      <c r="I34" s="477">
        <f>Sources!I34*PeakLineLoss</f>
        <v>0</v>
      </c>
      <c r="K34" s="419">
        <f>Sources!J34</f>
        <v>293.80824805778059</v>
      </c>
      <c r="L34" s="419">
        <f>Sources!K34</f>
        <v>0</v>
      </c>
      <c r="N34" s="438">
        <f t="shared" si="4"/>
        <v>1.019377160572996</v>
      </c>
      <c r="P34" s="215">
        <f t="shared" si="0"/>
        <v>197.44991022133718</v>
      </c>
      <c r="Q34" s="215">
        <f t="shared" si="1"/>
        <v>77.725960467809188</v>
      </c>
      <c r="R34" s="215">
        <f t="shared" si="2"/>
        <v>269.94510111887229</v>
      </c>
      <c r="T34" s="214">
        <f t="shared" si="9"/>
        <v>0</v>
      </c>
      <c r="U34" s="214">
        <f t="shared" si="9"/>
        <v>293.80824805778059</v>
      </c>
      <c r="V34" s="214">
        <f t="shared" si="9"/>
        <v>0</v>
      </c>
      <c r="W34" s="214">
        <f t="shared" si="9"/>
        <v>0</v>
      </c>
      <c r="X34" s="214">
        <f t="shared" si="9"/>
        <v>0</v>
      </c>
      <c r="Y34" s="214">
        <f t="shared" si="9"/>
        <v>0</v>
      </c>
      <c r="Z34" s="214">
        <f t="shared" si="9"/>
        <v>0</v>
      </c>
      <c r="AA34" s="214">
        <f t="shared" si="9"/>
        <v>0</v>
      </c>
      <c r="AB34" s="214">
        <f t="shared" si="9"/>
        <v>0</v>
      </c>
      <c r="AC34" s="214">
        <f t="shared" si="9"/>
        <v>0</v>
      </c>
      <c r="AD34" s="214">
        <f t="shared" si="9"/>
        <v>0</v>
      </c>
      <c r="AF34" s="214">
        <f>IF(AND(($D34+$C$1)&gt;AF$3,AF$3&gt;=$C$1),'General Inputs'!D$9*$G34,IF(AND(($C34+$C$1)&gt;AF$3,AF$3&gt;=$C$1),'General Inputs'!D$9*$F34,0))</f>
        <v>0</v>
      </c>
      <c r="AG34" s="214">
        <f>IF(AND(($D34+$C$1)&gt;AG$3,AG$3&gt;=$C$1),'General Inputs'!E$9*$G34,IF(AND(($C34+$C$1)&gt;AG$3,AG$3&gt;=$C$1),'General Inputs'!E$9*$F34,0))</f>
        <v>20.257612520880169</v>
      </c>
      <c r="AH34" s="214">
        <f>IF(AND(($D34+$C$1)&gt;AH$3,AH$3&gt;=$C$1),'General Inputs'!F$9*$G34,IF(AND(($C34+$C$1)&gt;AH$3,AH$3&gt;=$C$1),'General Inputs'!F$9*$F34,0))</f>
        <v>20.56147670869337</v>
      </c>
      <c r="AI34" s="214">
        <f>IF(AND(($D34+$C$1)&gt;AI$3,AI$3&gt;=$C$1),'General Inputs'!G$9*$G34,IF(AND(($C34+$C$1)&gt;AI$3,AI$3&gt;=$C$1),'General Inputs'!G$9*$F34,0))</f>
        <v>20.869898859323769</v>
      </c>
      <c r="AJ34" s="214">
        <f>IF(AND(($D34+$C$1)&gt;AJ$3,AJ$3&gt;=$C$1),'General Inputs'!H$9*$G34,IF(AND(($C34+$C$1)&gt;AJ$3,AJ$3&gt;=$C$1),'General Inputs'!H$9*$F34,0))</f>
        <v>21.182947342213623</v>
      </c>
      <c r="AK34" s="214">
        <f>IF(AND(($D34+$C$1)&gt;AK$3,AK$3&gt;=$C$1),'General Inputs'!I$9*$G34,IF(AND(($C34+$C$1)&gt;AK$3,AK$3&gt;=$C$1),'General Inputs'!I$9*$F34,0))</f>
        <v>21.500691552346822</v>
      </c>
      <c r="AL34" s="214">
        <f>IF(AND(($D34+$C$1)&gt;AL$3,AL$3&gt;=$C$1),'General Inputs'!J$9*$G34,IF(AND(($C34+$C$1)&gt;AL$3,AL$3&gt;=$C$1),'General Inputs'!J$9*$F34,0))</f>
        <v>21.823201925632024</v>
      </c>
      <c r="AM34" s="214">
        <f>IF(AND(($D34+$C$1)&gt;AM$3,AM$3&gt;=$C$1),'General Inputs'!K$9*$G34,IF(AND(($C34+$C$1)&gt;AM$3,AM$3&gt;=$C$1),'General Inputs'!K$9*$F34,0))</f>
        <v>22.150549954516499</v>
      </c>
      <c r="AN34" s="214">
        <f>IF(AND(($D34+$C$1)&gt;AN$3,AN$3&gt;=$C$1),'General Inputs'!L$9*$G34,IF(AND(($C34+$C$1)&gt;AN$3,AN$3&gt;=$C$1),'General Inputs'!L$9*$F34,0))</f>
        <v>22.482808203834246</v>
      </c>
      <c r="AO34" s="214">
        <f>IF(AND(($D34+$C$1)&gt;AO$3,AO$3&gt;=$C$1),'General Inputs'!M$9*$G34,IF(AND(($C34+$C$1)&gt;AO$3,AO$3&gt;=$C$1),'General Inputs'!M$9*$F34,0))</f>
        <v>22.820050326891756</v>
      </c>
      <c r="AP34" s="214">
        <f>IF(AND(($D34+$C$1)&gt;AP$3,AP$3&gt;=$C$1),'General Inputs'!N$9*$G34,IF(AND(($C34+$C$1)&gt;AP$3,AP$3&gt;=$C$1),'General Inputs'!N$9*$F34,0))</f>
        <v>23.16235108179513</v>
      </c>
      <c r="AQ34" s="214">
        <f>IF(AND(($D34+$C$1)&gt;AQ$3,AQ$3&gt;=$C$1),'General Inputs'!O$9*$G34,IF(AND(($C34+$C$1)&gt;AQ$3,AQ$3&gt;=$C$1),'General Inputs'!O$9*$F34,0))</f>
        <v>23.509786348022054</v>
      </c>
      <c r="AR34" s="214">
        <f>IF(AND(($D34+$C$1)&gt;AR$3,AR$3&gt;=$C$1),'General Inputs'!P$9*$G34,IF(AND(($C34+$C$1)&gt;AR$3,AR$3&gt;=$C$1),'General Inputs'!P$9*$F34,0))</f>
        <v>23.862433143242384</v>
      </c>
      <c r="AS34" s="214">
        <f>IF(AND(($D34+$C$1)&gt;AS$3,AS$3&gt;=$C$1),'General Inputs'!Q$9*$G34,IF(AND(($C34+$C$1)&gt;AS$3,AS$3&gt;=$C$1),'General Inputs'!Q$9*$F34,0))</f>
        <v>24.220369640391016</v>
      </c>
      <c r="AT34" s="214">
        <f>IF(AND(($D34+$C$1)&gt;AT$3,AT$3&gt;=$C$1),'General Inputs'!R$9*$G34,IF(AND(($C34+$C$1)&gt;AT$3,AT$3&gt;=$C$1),'General Inputs'!R$9*$F34,0))</f>
        <v>24.583675184996881</v>
      </c>
      <c r="AU34" s="214">
        <f>IF(AND(($D34+$C$1)&gt;AU$3,AU$3&gt;=$C$1),'General Inputs'!S$9*$G34,IF(AND(($C34+$C$1)&gt;AU$3,AU$3&gt;=$C$1),'General Inputs'!S$9*$F34,0))</f>
        <v>24.952430312771835</v>
      </c>
      <c r="AV34" s="214">
        <f>IF(AND(($D34+$C$1)&gt;AV$3,AV$3&gt;=$C$1),'General Inputs'!T$9*$G34,IF(AND(($C34+$C$1)&gt;AV$3,AV$3&gt;=$C$1),'General Inputs'!T$9*$F34,0))</f>
        <v>25.326716767463409</v>
      </c>
      <c r="AW34" s="214">
        <f>IF(AND(($D34+$C$1)&gt;AW$3,AW$3&gt;=$C$1),'General Inputs'!U$9*$G34,IF(AND(($C34+$C$1)&gt;AW$3,AW$3&gt;=$C$1),'General Inputs'!U$9*$F34,0))</f>
        <v>25.70661751897536</v>
      </c>
      <c r="AX34" s="214">
        <f>IF(AND(($D34+$C$1)&gt;AX$3,AX$3&gt;=$C$1),'General Inputs'!V$9*$G34,IF(AND(($C34+$C$1)&gt;AX$3,AX$3&gt;=$C$1),'General Inputs'!V$9*$F34,0))</f>
        <v>26.092216781759987</v>
      </c>
      <c r="AY34" s="214">
        <f>IF(AND(($D34+$C$1)&gt;AY$3,AY$3&gt;=$C$1),'General Inputs'!W$9*$G34,IF(AND(($C34+$C$1)&gt;AY$3,AY$3&gt;=$C$1),'General Inputs'!W$9*$F34,0))</f>
        <v>0</v>
      </c>
      <c r="BA34" s="214">
        <f>IF(AND(($D34+$C$1)&gt;AF$3,AF$3&gt;=$C$1),'General Inputs'!D$10*$I34,IF(AND(($C34+$C$1)&gt;AF$3,AF$3&gt;=$C$1),'General Inputs'!D$10*$H34,0))</f>
        <v>0</v>
      </c>
      <c r="BB34" s="214">
        <f>IF(AND(($D34+$C$1)&gt;AG$3,AG$3&gt;=$C$1),'General Inputs'!E$10*$I34,IF(AND(($C34+$C$1)&gt;AG$3,AG$3&gt;=$C$1),'General Inputs'!E$10*$H34,0))</f>
        <v>7.974388989111719</v>
      </c>
      <c r="BC34" s="214">
        <f>IF(AND(($D34+$C$1)&gt;AH$3,AH$3&gt;=$C$1),'General Inputs'!F$10*$I34,IF(AND(($C34+$C$1)&gt;AH$3,AH$3&gt;=$C$1),'General Inputs'!F$10*$H34,0))</f>
        <v>8.0940048239483939</v>
      </c>
      <c r="BD34" s="214">
        <f>IF(AND(($D34+$C$1)&gt;AI$3,AI$3&gt;=$C$1),'General Inputs'!G$10*$I34,IF(AND(($C34+$C$1)&gt;AI$3,AI$3&gt;=$C$1),'General Inputs'!G$10*$H34,0))</f>
        <v>8.2154148963076192</v>
      </c>
      <c r="BE34" s="214">
        <f>IF(AND(($D34+$C$1)&gt;AJ$3,AJ$3&gt;=$C$1),'General Inputs'!H$10*$I34,IF(AND(($C34+$C$1)&gt;AJ$3,AJ$3&gt;=$C$1),'General Inputs'!H$10*$H34,0))</f>
        <v>8.3386461197522337</v>
      </c>
      <c r="BF34" s="214">
        <f>IF(AND(($D34+$C$1)&gt;AK$3,AK$3&gt;=$C$1),'General Inputs'!I$10*$I34,IF(AND(($C34+$C$1)&gt;AK$3,AK$3&gt;=$C$1),'General Inputs'!I$10*$H34,0))</f>
        <v>8.4637258115485157</v>
      </c>
      <c r="BG34" s="214">
        <f>IF(AND(($D34+$C$1)&gt;AL$3,AL$3&gt;=$C$1),'General Inputs'!J$10*$I34,IF(AND(($C34+$C$1)&gt;AL$3,AL$3&gt;=$C$1),'General Inputs'!J$10*$H34,0))</f>
        <v>8.5906816987217418</v>
      </c>
      <c r="BH34" s="214">
        <f>IF(AND(($D34+$C$1)&gt;AM$3,AM$3&gt;=$C$1),'General Inputs'!K$10*$I34,IF(AND(($C34+$C$1)&gt;AM$3,AM$3&gt;=$C$1),'General Inputs'!K$10*$H34,0))</f>
        <v>8.7195419242025682</v>
      </c>
      <c r="BI34" s="214">
        <f>IF(AND(($D34+$C$1)&gt;AN$3,AN$3&gt;=$C$1),'General Inputs'!L$10*$I34,IF(AND(($C34+$C$1)&gt;AN$3,AN$3&gt;=$C$1),'General Inputs'!L$10*$H34,0))</f>
        <v>8.8503350530656046</v>
      </c>
      <c r="BJ34" s="214">
        <f>IF(AND(($D34+$C$1)&gt;AO$3,AO$3&gt;=$C$1),'General Inputs'!M$10*$I34,IF(AND(($C34+$C$1)&gt;AO$3,AO$3&gt;=$C$1),'General Inputs'!M$10*$H34,0))</f>
        <v>8.9830900788615899</v>
      </c>
      <c r="BK34" s="214">
        <f>IF(AND(($D34+$C$1)&gt;AP$3,AP$3&gt;=$C$1),'General Inputs'!N$10*$I34,IF(AND(($C34+$C$1)&gt;AP$3,AP$3&gt;=$C$1),'General Inputs'!N$10*$H34,0))</f>
        <v>9.1178364300445125</v>
      </c>
      <c r="BL34" s="214">
        <f>IF(AND(($D34+$C$1)&gt;AQ$3,AQ$3&gt;=$C$1),'General Inputs'!O$10*$I34,IF(AND(($C34+$C$1)&gt;AQ$3,AQ$3&gt;=$C$1),'General Inputs'!O$10*$H34,0))</f>
        <v>9.2546039764951793</v>
      </c>
      <c r="BM34" s="214">
        <f>IF(AND(($D34+$C$1)&gt;AR$3,AR$3&gt;=$C$1),'General Inputs'!P$10*$I34,IF(AND(($C34+$C$1)&gt;AR$3,AR$3&gt;=$C$1),'General Inputs'!P$10*$H34,0))</f>
        <v>9.3934230361426057</v>
      </c>
      <c r="BN34" s="214">
        <f>IF(AND(($D34+$C$1)&gt;AS$3,AS$3&gt;=$C$1),'General Inputs'!Q$10*$I34,IF(AND(($C34+$C$1)&gt;AS$3,AS$3&gt;=$C$1),'General Inputs'!Q$10*$H34,0))</f>
        <v>9.5343243816847441</v>
      </c>
      <c r="BO34" s="214">
        <f>IF(AND(($D34+$C$1)&gt;AT$3,AT$3&gt;=$C$1),'General Inputs'!R$10*$I34,IF(AND(($C34+$C$1)&gt;AT$3,AT$3&gt;=$C$1),'General Inputs'!R$10*$H34,0))</f>
        <v>9.6773392474100124</v>
      </c>
      <c r="BP34" s="214">
        <f>IF(AND(($D34+$C$1)&gt;AU$3,AU$3&gt;=$C$1),'General Inputs'!S$10*$I34,IF(AND(($C34+$C$1)&gt;AU$3,AU$3&gt;=$C$1),'General Inputs'!S$10*$H34,0))</f>
        <v>9.8224993361211634</v>
      </c>
      <c r="BQ34" s="214">
        <f>IF(AND(($D34+$C$1)&gt;AV$3,AV$3&gt;=$C$1),'General Inputs'!T$10*$I34,IF(AND(($C34+$C$1)&gt;AV$3,AV$3&gt;=$C$1),'General Inputs'!T$10*$H34,0))</f>
        <v>9.9698368261629788</v>
      </c>
      <c r="BR34" s="214">
        <f>IF(AND(($D34+$C$1)&gt;AW$3,AW$3&gt;=$C$1),'General Inputs'!U$10*$I34,IF(AND(($C34+$C$1)&gt;AW$3,AW$3&gt;=$C$1),'General Inputs'!U$10*$H34,0))</f>
        <v>10.119384378555424</v>
      </c>
      <c r="BS34" s="214">
        <f>IF(AND(($D34+$C$1)&gt;AX$3,AX$3&gt;=$C$1),'General Inputs'!V$10*$I34,IF(AND(($C34+$C$1)&gt;AX$3,AX$3&gt;=$C$1),'General Inputs'!V$10*$H34,0))</f>
        <v>10.271175144233753</v>
      </c>
      <c r="BT34" s="214">
        <f>IF(AND(($D34+$C$1)&gt;AY$3,AY$3&gt;=$C$1),'General Inputs'!W$10*$I34,IF(AND(($C34+$C$1)&gt;AY$3,AY$3&gt;=$C$1),'General Inputs'!W$10*$H34,0))</f>
        <v>0</v>
      </c>
    </row>
    <row r="35" spans="1:72">
      <c r="A35" s="341" t="s">
        <v>12</v>
      </c>
      <c r="B35" s="427" t="str">
        <f>Sources!B35</f>
        <v>Heat Pump SEER 16</v>
      </c>
      <c r="C35" s="193">
        <f>Sources!C35</f>
        <v>18</v>
      </c>
      <c r="D35" s="193">
        <f>Sources!D35</f>
        <v>0</v>
      </c>
      <c r="F35" s="429">
        <f>Sources!F35*EnergyLineLoss</f>
        <v>594.43940023570508</v>
      </c>
      <c r="G35" s="429">
        <f>Sources!G35*EnergyLineLoss</f>
        <v>0</v>
      </c>
      <c r="H35" s="477">
        <f>Sources!H35*PeakLineLoss</f>
        <v>0.5246773594887183</v>
      </c>
      <c r="I35" s="477">
        <f>Sources!I35*PeakLineLoss</f>
        <v>0</v>
      </c>
      <c r="K35" s="419">
        <f>Sources!J35</f>
        <v>587.61649611556118</v>
      </c>
      <c r="L35" s="419">
        <f>Sources!K35</f>
        <v>0</v>
      </c>
      <c r="N35" s="438">
        <f t="shared" si="4"/>
        <v>0.57763066107542049</v>
      </c>
      <c r="P35" s="215">
        <f t="shared" si="0"/>
        <v>234.13117395892166</v>
      </c>
      <c r="Q35" s="215">
        <f t="shared" si="1"/>
        <v>77.725960467809188</v>
      </c>
      <c r="R35" s="215">
        <f t="shared" si="2"/>
        <v>539.89020223774457</v>
      </c>
      <c r="T35" s="214">
        <f t="shared" si="9"/>
        <v>0</v>
      </c>
      <c r="U35" s="214">
        <f t="shared" si="9"/>
        <v>587.61649611556118</v>
      </c>
      <c r="V35" s="214">
        <f t="shared" si="9"/>
        <v>0</v>
      </c>
      <c r="W35" s="214">
        <f t="shared" si="9"/>
        <v>0</v>
      </c>
      <c r="X35" s="214">
        <f t="shared" si="9"/>
        <v>0</v>
      </c>
      <c r="Y35" s="214">
        <f t="shared" si="9"/>
        <v>0</v>
      </c>
      <c r="Z35" s="214">
        <f t="shared" si="9"/>
        <v>0</v>
      </c>
      <c r="AA35" s="214">
        <f t="shared" si="9"/>
        <v>0</v>
      </c>
      <c r="AB35" s="214">
        <f t="shared" si="9"/>
        <v>0</v>
      </c>
      <c r="AC35" s="214">
        <f t="shared" si="9"/>
        <v>0</v>
      </c>
      <c r="AD35" s="214">
        <f t="shared" si="9"/>
        <v>0</v>
      </c>
      <c r="AF35" s="214">
        <f>IF(AND(($D35+$C$1)&gt;AF$3,AF$3&gt;=$C$1),'General Inputs'!D$9*$G35,IF(AND(($C35+$C$1)&gt;AF$3,AF$3&gt;=$C$1),'General Inputs'!D$9*$F35,0))</f>
        <v>0</v>
      </c>
      <c r="AG35" s="214">
        <f>IF(AND(($D35+$C$1)&gt;AG$3,AG$3&gt;=$C$1),'General Inputs'!E$9*$G35,IF(AND(($C35+$C$1)&gt;AG$3,AG$3&gt;=$C$1),'General Inputs'!E$9*$F35,0))</f>
        <v>24.020971170875139</v>
      </c>
      <c r="AH35" s="214">
        <f>IF(AND(($D35+$C$1)&gt;AH$3,AH$3&gt;=$C$1),'General Inputs'!F$9*$G35,IF(AND(($C35+$C$1)&gt;AH$3,AH$3&gt;=$C$1),'General Inputs'!F$9*$F35,0))</f>
        <v>24.381285738438265</v>
      </c>
      <c r="AI35" s="214">
        <f>IF(AND(($D35+$C$1)&gt;AI$3,AI$3&gt;=$C$1),'General Inputs'!G$9*$G35,IF(AND(($C35+$C$1)&gt;AI$3,AI$3&gt;=$C$1),'General Inputs'!G$9*$F35,0))</f>
        <v>24.747005024514838</v>
      </c>
      <c r="AJ35" s="214">
        <f>IF(AND(($D35+$C$1)&gt;AJ$3,AJ$3&gt;=$C$1),'General Inputs'!H$9*$G35,IF(AND(($C35+$C$1)&gt;AJ$3,AJ$3&gt;=$C$1),'General Inputs'!H$9*$F35,0))</f>
        <v>25.118210099882557</v>
      </c>
      <c r="AK35" s="214">
        <f>IF(AND(($D35+$C$1)&gt;AK$3,AK$3&gt;=$C$1),'General Inputs'!I$9*$G35,IF(AND(($C35+$C$1)&gt;AK$3,AK$3&gt;=$C$1),'General Inputs'!I$9*$F35,0))</f>
        <v>25.494983251380791</v>
      </c>
      <c r="AL35" s="214">
        <f>IF(AND(($D35+$C$1)&gt;AL$3,AL$3&gt;=$C$1),'General Inputs'!J$9*$G35,IF(AND(($C35+$C$1)&gt;AL$3,AL$3&gt;=$C$1),'General Inputs'!J$9*$F35,0))</f>
        <v>25.877408000151497</v>
      </c>
      <c r="AM35" s="214">
        <f>IF(AND(($D35+$C$1)&gt;AM$3,AM$3&gt;=$C$1),'General Inputs'!K$9*$G35,IF(AND(($C35+$C$1)&gt;AM$3,AM$3&gt;=$C$1),'General Inputs'!K$9*$F35,0))</f>
        <v>26.265569120153767</v>
      </c>
      <c r="AN35" s="214">
        <f>IF(AND(($D35+$C$1)&gt;AN$3,AN$3&gt;=$C$1),'General Inputs'!L$9*$G35,IF(AND(($C35+$C$1)&gt;AN$3,AN$3&gt;=$C$1),'General Inputs'!L$9*$F35,0))</f>
        <v>26.65955265695607</v>
      </c>
      <c r="AO35" s="214">
        <f>IF(AND(($D35+$C$1)&gt;AO$3,AO$3&gt;=$C$1),'General Inputs'!M$9*$G35,IF(AND(($C35+$C$1)&gt;AO$3,AO$3&gt;=$C$1),'General Inputs'!M$9*$F35,0))</f>
        <v>27.059445946810406</v>
      </c>
      <c r="AP35" s="214">
        <f>IF(AND(($D35+$C$1)&gt;AP$3,AP$3&gt;=$C$1),'General Inputs'!N$9*$G35,IF(AND(($C35+$C$1)&gt;AP$3,AP$3&gt;=$C$1),'General Inputs'!N$9*$F35,0))</f>
        <v>27.465337636012563</v>
      </c>
      <c r="AQ35" s="214">
        <f>IF(AND(($D35+$C$1)&gt;AQ$3,AQ$3&gt;=$C$1),'General Inputs'!O$9*$G35,IF(AND(($C35+$C$1)&gt;AQ$3,AQ$3&gt;=$C$1),'General Inputs'!O$9*$F35,0))</f>
        <v>27.877317700552748</v>
      </c>
      <c r="AR35" s="214">
        <f>IF(AND(($D35+$C$1)&gt;AR$3,AR$3&gt;=$C$1),'General Inputs'!P$9*$G35,IF(AND(($C35+$C$1)&gt;AR$3,AR$3&gt;=$C$1),'General Inputs'!P$9*$F35,0))</f>
        <v>28.295477466061037</v>
      </c>
      <c r="AS35" s="214">
        <f>IF(AND(($D35+$C$1)&gt;AS$3,AS$3&gt;=$C$1),'General Inputs'!Q$9*$G35,IF(AND(($C35+$C$1)&gt;AS$3,AS$3&gt;=$C$1),'General Inputs'!Q$9*$F35,0))</f>
        <v>28.719909628051951</v>
      </c>
      <c r="AT35" s="214">
        <f>IF(AND(($D35+$C$1)&gt;AT$3,AT$3&gt;=$C$1),'General Inputs'!R$9*$G35,IF(AND(($C35+$C$1)&gt;AT$3,AT$3&gt;=$C$1),'General Inputs'!R$9*$F35,0))</f>
        <v>29.150708272472727</v>
      </c>
      <c r="AU35" s="214">
        <f>IF(AND(($D35+$C$1)&gt;AU$3,AU$3&gt;=$C$1),'General Inputs'!S$9*$G35,IF(AND(($C35+$C$1)&gt;AU$3,AU$3&gt;=$C$1),'General Inputs'!S$9*$F35,0))</f>
        <v>29.587968896559815</v>
      </c>
      <c r="AV35" s="214">
        <f>IF(AND(($D35+$C$1)&gt;AV$3,AV$3&gt;=$C$1),'General Inputs'!T$9*$G35,IF(AND(($C35+$C$1)&gt;AV$3,AV$3&gt;=$C$1),'General Inputs'!T$9*$F35,0))</f>
        <v>30.031788430008213</v>
      </c>
      <c r="AW35" s="214">
        <f>IF(AND(($D35+$C$1)&gt;AW$3,AW$3&gt;=$C$1),'General Inputs'!U$9*$G35,IF(AND(($C35+$C$1)&gt;AW$3,AW$3&gt;=$C$1),'General Inputs'!U$9*$F35,0))</f>
        <v>30.482265256458334</v>
      </c>
      <c r="AX35" s="214">
        <f>IF(AND(($D35+$C$1)&gt;AX$3,AX$3&gt;=$C$1),'General Inputs'!V$9*$G35,IF(AND(($C35+$C$1)&gt;AX$3,AX$3&gt;=$C$1),'General Inputs'!V$9*$F35,0))</f>
        <v>30.939499235305206</v>
      </c>
      <c r="AY35" s="214">
        <f>IF(AND(($D35+$C$1)&gt;AY$3,AY$3&gt;=$C$1),'General Inputs'!W$9*$G35,IF(AND(($C35+$C$1)&gt;AY$3,AY$3&gt;=$C$1),'General Inputs'!W$9*$F35,0))</f>
        <v>0</v>
      </c>
      <c r="BA35" s="214">
        <f>IF(AND(($D35+$C$1)&gt;AF$3,AF$3&gt;=$C$1),'General Inputs'!D$10*$I35,IF(AND(($C35+$C$1)&gt;AF$3,AF$3&gt;=$C$1),'General Inputs'!D$10*$H35,0))</f>
        <v>0</v>
      </c>
      <c r="BB35" s="214">
        <f>IF(AND(($D35+$C$1)&gt;AG$3,AG$3&gt;=$C$1),'General Inputs'!E$10*$I35,IF(AND(($C35+$C$1)&gt;AG$3,AG$3&gt;=$C$1),'General Inputs'!E$10*$H35,0))</f>
        <v>7.974388989111719</v>
      </c>
      <c r="BC35" s="214">
        <f>IF(AND(($D35+$C$1)&gt;AH$3,AH$3&gt;=$C$1),'General Inputs'!F$10*$I35,IF(AND(($C35+$C$1)&gt;AH$3,AH$3&gt;=$C$1),'General Inputs'!F$10*$H35,0))</f>
        <v>8.0940048239483939</v>
      </c>
      <c r="BD35" s="214">
        <f>IF(AND(($D35+$C$1)&gt;AI$3,AI$3&gt;=$C$1),'General Inputs'!G$10*$I35,IF(AND(($C35+$C$1)&gt;AI$3,AI$3&gt;=$C$1),'General Inputs'!G$10*$H35,0))</f>
        <v>8.2154148963076192</v>
      </c>
      <c r="BE35" s="214">
        <f>IF(AND(($D35+$C$1)&gt;AJ$3,AJ$3&gt;=$C$1),'General Inputs'!H$10*$I35,IF(AND(($C35+$C$1)&gt;AJ$3,AJ$3&gt;=$C$1),'General Inputs'!H$10*$H35,0))</f>
        <v>8.3386461197522337</v>
      </c>
      <c r="BF35" s="214">
        <f>IF(AND(($D35+$C$1)&gt;AK$3,AK$3&gt;=$C$1),'General Inputs'!I$10*$I35,IF(AND(($C35+$C$1)&gt;AK$3,AK$3&gt;=$C$1),'General Inputs'!I$10*$H35,0))</f>
        <v>8.4637258115485157</v>
      </c>
      <c r="BG35" s="214">
        <f>IF(AND(($D35+$C$1)&gt;AL$3,AL$3&gt;=$C$1),'General Inputs'!J$10*$I35,IF(AND(($C35+$C$1)&gt;AL$3,AL$3&gt;=$C$1),'General Inputs'!J$10*$H35,0))</f>
        <v>8.5906816987217418</v>
      </c>
      <c r="BH35" s="214">
        <f>IF(AND(($D35+$C$1)&gt;AM$3,AM$3&gt;=$C$1),'General Inputs'!K$10*$I35,IF(AND(($C35+$C$1)&gt;AM$3,AM$3&gt;=$C$1),'General Inputs'!K$10*$H35,0))</f>
        <v>8.7195419242025682</v>
      </c>
      <c r="BI35" s="214">
        <f>IF(AND(($D35+$C$1)&gt;AN$3,AN$3&gt;=$C$1),'General Inputs'!L$10*$I35,IF(AND(($C35+$C$1)&gt;AN$3,AN$3&gt;=$C$1),'General Inputs'!L$10*$H35,0))</f>
        <v>8.8503350530656046</v>
      </c>
      <c r="BJ35" s="214">
        <f>IF(AND(($D35+$C$1)&gt;AO$3,AO$3&gt;=$C$1),'General Inputs'!M$10*$I35,IF(AND(($C35+$C$1)&gt;AO$3,AO$3&gt;=$C$1),'General Inputs'!M$10*$H35,0))</f>
        <v>8.9830900788615899</v>
      </c>
      <c r="BK35" s="214">
        <f>IF(AND(($D35+$C$1)&gt;AP$3,AP$3&gt;=$C$1),'General Inputs'!N$10*$I35,IF(AND(($C35+$C$1)&gt;AP$3,AP$3&gt;=$C$1),'General Inputs'!N$10*$H35,0))</f>
        <v>9.1178364300445125</v>
      </c>
      <c r="BL35" s="214">
        <f>IF(AND(($D35+$C$1)&gt;AQ$3,AQ$3&gt;=$C$1),'General Inputs'!O$10*$I35,IF(AND(($C35+$C$1)&gt;AQ$3,AQ$3&gt;=$C$1),'General Inputs'!O$10*$H35,0))</f>
        <v>9.2546039764951793</v>
      </c>
      <c r="BM35" s="214">
        <f>IF(AND(($D35+$C$1)&gt;AR$3,AR$3&gt;=$C$1),'General Inputs'!P$10*$I35,IF(AND(($C35+$C$1)&gt;AR$3,AR$3&gt;=$C$1),'General Inputs'!P$10*$H35,0))</f>
        <v>9.3934230361426057</v>
      </c>
      <c r="BN35" s="214">
        <f>IF(AND(($D35+$C$1)&gt;AS$3,AS$3&gt;=$C$1),'General Inputs'!Q$10*$I35,IF(AND(($C35+$C$1)&gt;AS$3,AS$3&gt;=$C$1),'General Inputs'!Q$10*$H35,0))</f>
        <v>9.5343243816847441</v>
      </c>
      <c r="BO35" s="214">
        <f>IF(AND(($D35+$C$1)&gt;AT$3,AT$3&gt;=$C$1),'General Inputs'!R$10*$I35,IF(AND(($C35+$C$1)&gt;AT$3,AT$3&gt;=$C$1),'General Inputs'!R$10*$H35,0))</f>
        <v>9.6773392474100124</v>
      </c>
      <c r="BP35" s="214">
        <f>IF(AND(($D35+$C$1)&gt;AU$3,AU$3&gt;=$C$1),'General Inputs'!S$10*$I35,IF(AND(($C35+$C$1)&gt;AU$3,AU$3&gt;=$C$1),'General Inputs'!S$10*$H35,0))</f>
        <v>9.8224993361211634</v>
      </c>
      <c r="BQ35" s="214">
        <f>IF(AND(($D35+$C$1)&gt;AV$3,AV$3&gt;=$C$1),'General Inputs'!T$10*$I35,IF(AND(($C35+$C$1)&gt;AV$3,AV$3&gt;=$C$1),'General Inputs'!T$10*$H35,0))</f>
        <v>9.9698368261629788</v>
      </c>
      <c r="BR35" s="214">
        <f>IF(AND(($D35+$C$1)&gt;AW$3,AW$3&gt;=$C$1),'General Inputs'!U$10*$I35,IF(AND(($C35+$C$1)&gt;AW$3,AW$3&gt;=$C$1),'General Inputs'!U$10*$H35,0))</f>
        <v>10.119384378555424</v>
      </c>
      <c r="BS35" s="214">
        <f>IF(AND(($D35+$C$1)&gt;AX$3,AX$3&gt;=$C$1),'General Inputs'!V$10*$I35,IF(AND(($C35+$C$1)&gt;AX$3,AX$3&gt;=$C$1),'General Inputs'!V$10*$H35,0))</f>
        <v>10.271175144233753</v>
      </c>
      <c r="BT35" s="214">
        <f>IF(AND(($D35+$C$1)&gt;AY$3,AY$3&gt;=$C$1),'General Inputs'!W$10*$I35,IF(AND(($C35+$C$1)&gt;AY$3,AY$3&gt;=$C$1),'General Inputs'!W$10*$H35,0))</f>
        <v>0</v>
      </c>
    </row>
    <row r="36" spans="1:72">
      <c r="A36" s="341" t="s">
        <v>12</v>
      </c>
      <c r="B36" s="427" t="str">
        <f>Sources!B36</f>
        <v>Early Retirement Heat Pump SEER 15</v>
      </c>
      <c r="C36" s="193">
        <f>Sources!C36</f>
        <v>18</v>
      </c>
      <c r="D36" s="193">
        <f>Sources!D36</f>
        <v>8</v>
      </c>
      <c r="F36" s="429">
        <f>Sources!F36*EnergyLineLoss</f>
        <v>501.30875023570508</v>
      </c>
      <c r="G36" s="429">
        <f>Sources!G36*EnergyLineLoss</f>
        <v>3443.3489647058827</v>
      </c>
      <c r="H36" s="477">
        <f>Sources!H36*PeakLineLoss</f>
        <v>0.5246773594887183</v>
      </c>
      <c r="I36" s="477">
        <f>Sources!I36*PeakLineLoss</f>
        <v>2.0040190526854222</v>
      </c>
      <c r="K36" s="419">
        <f>Sources!J36</f>
        <v>2480.1501390380126</v>
      </c>
      <c r="L36" s="419">
        <f>Sources!K36</f>
        <v>2186.3418909802322</v>
      </c>
      <c r="N36" s="438">
        <f t="shared" si="4"/>
        <v>0.87350950151758289</v>
      </c>
      <c r="P36" s="215">
        <f t="shared" si="0"/>
        <v>890.63171176485798</v>
      </c>
      <c r="Q36" s="215">
        <f t="shared" si="1"/>
        <v>208.82187658577843</v>
      </c>
      <c r="R36" s="215">
        <f t="shared" si="2"/>
        <v>1258.6624260417452</v>
      </c>
      <c r="T36" s="214">
        <f t="shared" si="9"/>
        <v>0</v>
      </c>
      <c r="U36" s="214">
        <f t="shared" si="9"/>
        <v>2480.1501390380126</v>
      </c>
      <c r="V36" s="214">
        <f t="shared" si="9"/>
        <v>0</v>
      </c>
      <c r="W36" s="214">
        <f t="shared" si="9"/>
        <v>0</v>
      </c>
      <c r="X36" s="214">
        <f t="shared" si="9"/>
        <v>0</v>
      </c>
      <c r="Y36" s="214">
        <f t="shared" si="9"/>
        <v>0</v>
      </c>
      <c r="Z36" s="214">
        <f t="shared" si="9"/>
        <v>0</v>
      </c>
      <c r="AA36" s="214">
        <f t="shared" si="9"/>
        <v>0</v>
      </c>
      <c r="AB36" s="214">
        <f t="shared" si="9"/>
        <v>0</v>
      </c>
      <c r="AC36" s="214">
        <f t="shared" si="9"/>
        <v>-2186.3418909802322</v>
      </c>
      <c r="AD36" s="214">
        <f t="shared" si="9"/>
        <v>0</v>
      </c>
      <c r="AF36" s="214">
        <f>IF(AND(($D36+$C$1)&gt;AF$3,AF$3&gt;=$C$1),'General Inputs'!D$9*$G36,IF(AND(($C36+$C$1)&gt;AF$3,AF$3&gt;=$C$1),'General Inputs'!D$9*$F36,0))</f>
        <v>0</v>
      </c>
      <c r="AG36" s="214">
        <f>IF(AND(($D36+$C$1)&gt;AG$3,AG$3&gt;=$C$1),'General Inputs'!E$9*$G36,IF(AND(($C36+$C$1)&gt;AG$3,AG$3&gt;=$C$1),'General Inputs'!E$9*$F36,0))</f>
        <v>139.14384911172755</v>
      </c>
      <c r="AH36" s="214">
        <f>IF(AND(($D36+$C$1)&gt;AH$3,AH$3&gt;=$C$1),'General Inputs'!F$9*$G36,IF(AND(($C36+$C$1)&gt;AH$3,AH$3&gt;=$C$1),'General Inputs'!F$9*$F36,0))</f>
        <v>141.23100684840344</v>
      </c>
      <c r="AI36" s="214">
        <f>IF(AND(($D36+$C$1)&gt;AI$3,AI$3&gt;=$C$1),'General Inputs'!G$9*$G36,IF(AND(($C36+$C$1)&gt;AI$3,AI$3&gt;=$C$1),'General Inputs'!G$9*$F36,0))</f>
        <v>143.34947195112949</v>
      </c>
      <c r="AJ36" s="214">
        <f>IF(AND(($D36+$C$1)&gt;AJ$3,AJ$3&gt;=$C$1),'General Inputs'!H$9*$G36,IF(AND(($C36+$C$1)&gt;AJ$3,AJ$3&gt;=$C$1),'General Inputs'!H$9*$F36,0))</f>
        <v>145.4997140303964</v>
      </c>
      <c r="AK36" s="214">
        <f>IF(AND(($D36+$C$1)&gt;AK$3,AK$3&gt;=$C$1),'General Inputs'!I$9*$G36,IF(AND(($C36+$C$1)&gt;AK$3,AK$3&gt;=$C$1),'General Inputs'!I$9*$F36,0))</f>
        <v>147.68220974085233</v>
      </c>
      <c r="AL36" s="214">
        <f>IF(AND(($D36+$C$1)&gt;AL$3,AL$3&gt;=$C$1),'General Inputs'!J$9*$G36,IF(AND(($C36+$C$1)&gt;AL$3,AL$3&gt;=$C$1),'General Inputs'!J$9*$F36,0))</f>
        <v>149.89744288696511</v>
      </c>
      <c r="AM36" s="214">
        <f>IF(AND(($D36+$C$1)&gt;AM$3,AM$3&gt;=$C$1),'General Inputs'!K$9*$G36,IF(AND(($C36+$C$1)&gt;AM$3,AM$3&gt;=$C$1),'General Inputs'!K$9*$F36,0))</f>
        <v>152.14590453026955</v>
      </c>
      <c r="AN36" s="214">
        <f>IF(AND(($D36+$C$1)&gt;AN$3,AN$3&gt;=$C$1),'General Inputs'!L$9*$G36,IF(AND(($C36+$C$1)&gt;AN$3,AN$3&gt;=$C$1),'General Inputs'!L$9*$F36,0))</f>
        <v>154.42809309822357</v>
      </c>
      <c r="AO36" s="214">
        <f>IF(AND(($D36+$C$1)&gt;AO$3,AO$3&gt;=$C$1),'General Inputs'!M$9*$G36,IF(AND(($C36+$C$1)&gt;AO$3,AO$3&gt;=$C$1),'General Inputs'!M$9*$F36,0))</f>
        <v>22.820050326891756</v>
      </c>
      <c r="AP36" s="214">
        <f>IF(AND(($D36+$C$1)&gt;AP$3,AP$3&gt;=$C$1),'General Inputs'!N$9*$G36,IF(AND(($C36+$C$1)&gt;AP$3,AP$3&gt;=$C$1),'General Inputs'!N$9*$F36,0))</f>
        <v>23.16235108179513</v>
      </c>
      <c r="AQ36" s="214">
        <f>IF(AND(($D36+$C$1)&gt;AQ$3,AQ$3&gt;=$C$1),'General Inputs'!O$9*$G36,IF(AND(($C36+$C$1)&gt;AQ$3,AQ$3&gt;=$C$1),'General Inputs'!O$9*$F36,0))</f>
        <v>23.509786348022054</v>
      </c>
      <c r="AR36" s="214">
        <f>IF(AND(($D36+$C$1)&gt;AR$3,AR$3&gt;=$C$1),'General Inputs'!P$9*$G36,IF(AND(($C36+$C$1)&gt;AR$3,AR$3&gt;=$C$1),'General Inputs'!P$9*$F36,0))</f>
        <v>23.862433143242384</v>
      </c>
      <c r="AS36" s="214">
        <f>IF(AND(($D36+$C$1)&gt;AS$3,AS$3&gt;=$C$1),'General Inputs'!Q$9*$G36,IF(AND(($C36+$C$1)&gt;AS$3,AS$3&gt;=$C$1),'General Inputs'!Q$9*$F36,0))</f>
        <v>24.220369640391016</v>
      </c>
      <c r="AT36" s="214">
        <f>IF(AND(($D36+$C$1)&gt;AT$3,AT$3&gt;=$C$1),'General Inputs'!R$9*$G36,IF(AND(($C36+$C$1)&gt;AT$3,AT$3&gt;=$C$1),'General Inputs'!R$9*$F36,0))</f>
        <v>24.583675184996881</v>
      </c>
      <c r="AU36" s="214">
        <f>IF(AND(($D36+$C$1)&gt;AU$3,AU$3&gt;=$C$1),'General Inputs'!S$9*$G36,IF(AND(($C36+$C$1)&gt;AU$3,AU$3&gt;=$C$1),'General Inputs'!S$9*$F36,0))</f>
        <v>24.952430312771835</v>
      </c>
      <c r="AV36" s="214">
        <f>IF(AND(($D36+$C$1)&gt;AV$3,AV$3&gt;=$C$1),'General Inputs'!T$9*$G36,IF(AND(($C36+$C$1)&gt;AV$3,AV$3&gt;=$C$1),'General Inputs'!T$9*$F36,0))</f>
        <v>25.326716767463409</v>
      </c>
      <c r="AW36" s="214">
        <f>IF(AND(($D36+$C$1)&gt;AW$3,AW$3&gt;=$C$1),'General Inputs'!U$9*$G36,IF(AND(($C36+$C$1)&gt;AW$3,AW$3&gt;=$C$1),'General Inputs'!U$9*$F36,0))</f>
        <v>25.70661751897536</v>
      </c>
      <c r="AX36" s="214">
        <f>IF(AND(($D36+$C$1)&gt;AX$3,AX$3&gt;=$C$1),'General Inputs'!V$9*$G36,IF(AND(($C36+$C$1)&gt;AX$3,AX$3&gt;=$C$1),'General Inputs'!V$9*$F36,0))</f>
        <v>26.092216781759987</v>
      </c>
      <c r="AY36" s="214">
        <f>IF(AND(($D36+$C$1)&gt;AY$3,AY$3&gt;=$C$1),'General Inputs'!W$9*$G36,IF(AND(($C36+$C$1)&gt;AY$3,AY$3&gt;=$C$1),'General Inputs'!W$9*$F36,0))</f>
        <v>0</v>
      </c>
      <c r="BA36" s="214">
        <f>IF(AND(($D36+$C$1)&gt;AF$3,AF$3&gt;=$C$1),'General Inputs'!D$10*$I36,IF(AND(($C36+$C$1)&gt;AF$3,AF$3&gt;=$C$1),'General Inputs'!D$10*$H36,0))</f>
        <v>0</v>
      </c>
      <c r="BB36" s="214">
        <f>IF(AND(($D36+$C$1)&gt;AG$3,AG$3&gt;=$C$1),'General Inputs'!E$10*$I36,IF(AND(($C36+$C$1)&gt;AG$3,AG$3&gt;=$C$1),'General Inputs'!E$10*$H36,0))</f>
        <v>30.458389672612416</v>
      </c>
      <c r="BC36" s="214">
        <f>IF(AND(($D36+$C$1)&gt;AH$3,AH$3&gt;=$C$1),'General Inputs'!F$10*$I36,IF(AND(($C36+$C$1)&gt;AH$3,AH$3&gt;=$C$1),'General Inputs'!F$10*$H36,0))</f>
        <v>30.915265517701599</v>
      </c>
      <c r="BD36" s="214">
        <f>IF(AND(($D36+$C$1)&gt;AI$3,AI$3&gt;=$C$1),'General Inputs'!G$10*$I36,IF(AND(($C36+$C$1)&gt;AI$3,AI$3&gt;=$C$1),'General Inputs'!G$10*$H36,0))</f>
        <v>31.378994500467122</v>
      </c>
      <c r="BE36" s="214">
        <f>IF(AND(($D36+$C$1)&gt;AJ$3,AJ$3&gt;=$C$1),'General Inputs'!H$10*$I36,IF(AND(($C36+$C$1)&gt;AJ$3,AJ$3&gt;=$C$1),'General Inputs'!H$10*$H36,0))</f>
        <v>31.849679417974126</v>
      </c>
      <c r="BF36" s="214">
        <f>IF(AND(($D36+$C$1)&gt;AK$3,AK$3&gt;=$C$1),'General Inputs'!I$10*$I36,IF(AND(($C36+$C$1)&gt;AK$3,AK$3&gt;=$C$1),'General Inputs'!I$10*$H36,0))</f>
        <v>32.327424609243728</v>
      </c>
      <c r="BG36" s="214">
        <f>IF(AND(($D36+$C$1)&gt;AL$3,AL$3&gt;=$C$1),'General Inputs'!J$10*$I36,IF(AND(($C36+$C$1)&gt;AL$3,AL$3&gt;=$C$1),'General Inputs'!J$10*$H36,0))</f>
        <v>32.812335978382386</v>
      </c>
      <c r="BH36" s="214">
        <f>IF(AND(($D36+$C$1)&gt;AM$3,AM$3&gt;=$C$1),'General Inputs'!K$10*$I36,IF(AND(($C36+$C$1)&gt;AM$3,AM$3&gt;=$C$1),'General Inputs'!K$10*$H36,0))</f>
        <v>33.304521018058118</v>
      </c>
      <c r="BI36" s="214">
        <f>IF(AND(($D36+$C$1)&gt;AN$3,AN$3&gt;=$C$1),'General Inputs'!L$10*$I36,IF(AND(($C36+$C$1)&gt;AN$3,AN$3&gt;=$C$1),'General Inputs'!L$10*$H36,0))</f>
        <v>33.80408883332899</v>
      </c>
      <c r="BJ36" s="214">
        <f>IF(AND(($D36+$C$1)&gt;AO$3,AO$3&gt;=$C$1),'General Inputs'!M$10*$I36,IF(AND(($C36+$C$1)&gt;AO$3,AO$3&gt;=$C$1),'General Inputs'!M$10*$H36,0))</f>
        <v>8.9830900788615899</v>
      </c>
      <c r="BK36" s="214">
        <f>IF(AND(($D36+$C$1)&gt;AP$3,AP$3&gt;=$C$1),'General Inputs'!N$10*$I36,IF(AND(($C36+$C$1)&gt;AP$3,AP$3&gt;=$C$1),'General Inputs'!N$10*$H36,0))</f>
        <v>9.1178364300445125</v>
      </c>
      <c r="BL36" s="214">
        <f>IF(AND(($D36+$C$1)&gt;AQ$3,AQ$3&gt;=$C$1),'General Inputs'!O$10*$I36,IF(AND(($C36+$C$1)&gt;AQ$3,AQ$3&gt;=$C$1),'General Inputs'!O$10*$H36,0))</f>
        <v>9.2546039764951793</v>
      </c>
      <c r="BM36" s="214">
        <f>IF(AND(($D36+$C$1)&gt;AR$3,AR$3&gt;=$C$1),'General Inputs'!P$10*$I36,IF(AND(($C36+$C$1)&gt;AR$3,AR$3&gt;=$C$1),'General Inputs'!P$10*$H36,0))</f>
        <v>9.3934230361426057</v>
      </c>
      <c r="BN36" s="214">
        <f>IF(AND(($D36+$C$1)&gt;AS$3,AS$3&gt;=$C$1),'General Inputs'!Q$10*$I36,IF(AND(($C36+$C$1)&gt;AS$3,AS$3&gt;=$C$1),'General Inputs'!Q$10*$H36,0))</f>
        <v>9.5343243816847441</v>
      </c>
      <c r="BO36" s="214">
        <f>IF(AND(($D36+$C$1)&gt;AT$3,AT$3&gt;=$C$1),'General Inputs'!R$10*$I36,IF(AND(($C36+$C$1)&gt;AT$3,AT$3&gt;=$C$1),'General Inputs'!R$10*$H36,0))</f>
        <v>9.6773392474100124</v>
      </c>
      <c r="BP36" s="214">
        <f>IF(AND(($D36+$C$1)&gt;AU$3,AU$3&gt;=$C$1),'General Inputs'!S$10*$I36,IF(AND(($C36+$C$1)&gt;AU$3,AU$3&gt;=$C$1),'General Inputs'!S$10*$H36,0))</f>
        <v>9.8224993361211634</v>
      </c>
      <c r="BQ36" s="214">
        <f>IF(AND(($D36+$C$1)&gt;AV$3,AV$3&gt;=$C$1),'General Inputs'!T$10*$I36,IF(AND(($C36+$C$1)&gt;AV$3,AV$3&gt;=$C$1),'General Inputs'!T$10*$H36,0))</f>
        <v>9.9698368261629788</v>
      </c>
      <c r="BR36" s="214">
        <f>IF(AND(($D36+$C$1)&gt;AW$3,AW$3&gt;=$C$1),'General Inputs'!U$10*$I36,IF(AND(($C36+$C$1)&gt;AW$3,AW$3&gt;=$C$1),'General Inputs'!U$10*$H36,0))</f>
        <v>10.119384378555424</v>
      </c>
      <c r="BS36" s="214">
        <f>IF(AND(($D36+$C$1)&gt;AX$3,AX$3&gt;=$C$1),'General Inputs'!V$10*$I36,IF(AND(($C36+$C$1)&gt;AX$3,AX$3&gt;=$C$1),'General Inputs'!V$10*$H36,0))</f>
        <v>10.271175144233753</v>
      </c>
      <c r="BT36" s="214">
        <f>IF(AND(($D36+$C$1)&gt;AY$3,AY$3&gt;=$C$1),'General Inputs'!W$10*$I36,IF(AND(($C36+$C$1)&gt;AY$3,AY$3&gt;=$C$1),'General Inputs'!W$10*$H36,0))</f>
        <v>0</v>
      </c>
    </row>
    <row r="37" spans="1:72">
      <c r="A37" s="341" t="s">
        <v>12</v>
      </c>
      <c r="B37" s="427" t="str">
        <f>Sources!B37</f>
        <v>Early Retirement Heat Pump SEER 16</v>
      </c>
      <c r="C37" s="193">
        <f>Sources!C37</f>
        <v>18</v>
      </c>
      <c r="D37" s="193">
        <f>Sources!D37</f>
        <v>8</v>
      </c>
      <c r="F37" s="429">
        <f>Sources!F37*EnergyLineLoss</f>
        <v>594.43940023570508</v>
      </c>
      <c r="G37" s="429">
        <f>Sources!G37*EnergyLineLoss</f>
        <v>3536.4796147058828</v>
      </c>
      <c r="H37" s="477">
        <f>Sources!H37*PeakLineLoss</f>
        <v>0.5246773594887183</v>
      </c>
      <c r="I37" s="477">
        <f>Sources!I37*PeakLineLoss</f>
        <v>2.0040190526854222</v>
      </c>
      <c r="K37" s="419">
        <f>Sources!J37</f>
        <v>2773.9583870957931</v>
      </c>
      <c r="L37" s="419">
        <f>Sources!K37</f>
        <v>2186.3418909802322</v>
      </c>
      <c r="N37" s="438">
        <f t="shared" si="4"/>
        <v>0.74324823861006828</v>
      </c>
      <c r="P37" s="215">
        <f t="shared" si="0"/>
        <v>927.31297550244244</v>
      </c>
      <c r="Q37" s="215">
        <f t="shared" si="1"/>
        <v>208.82187658577843</v>
      </c>
      <c r="R37" s="215">
        <f t="shared" si="2"/>
        <v>1528.6075271606173</v>
      </c>
      <c r="T37" s="214">
        <f t="shared" si="9"/>
        <v>0</v>
      </c>
      <c r="U37" s="214">
        <f t="shared" si="9"/>
        <v>2773.9583870957931</v>
      </c>
      <c r="V37" s="214">
        <f t="shared" si="9"/>
        <v>0</v>
      </c>
      <c r="W37" s="214">
        <f t="shared" si="9"/>
        <v>0</v>
      </c>
      <c r="X37" s="214">
        <f t="shared" si="9"/>
        <v>0</v>
      </c>
      <c r="Y37" s="214">
        <f t="shared" si="9"/>
        <v>0</v>
      </c>
      <c r="Z37" s="214">
        <f t="shared" si="9"/>
        <v>0</v>
      </c>
      <c r="AA37" s="214">
        <f t="shared" si="9"/>
        <v>0</v>
      </c>
      <c r="AB37" s="214">
        <f t="shared" si="9"/>
        <v>0</v>
      </c>
      <c r="AC37" s="214">
        <f t="shared" si="9"/>
        <v>-2186.3418909802322</v>
      </c>
      <c r="AD37" s="214">
        <f t="shared" si="9"/>
        <v>0</v>
      </c>
      <c r="AF37" s="214">
        <f>IF(AND(($D37+$C$1)&gt;AF$3,AF$3&gt;=$C$1),'General Inputs'!D$9*$G37,IF(AND(($C37+$C$1)&gt;AF$3,AF$3&gt;=$C$1),'General Inputs'!D$9*$F37,0))</f>
        <v>0</v>
      </c>
      <c r="AG37" s="214">
        <f>IF(AND(($D37+$C$1)&gt;AG$3,AG$3&gt;=$C$1),'General Inputs'!E$9*$G37,IF(AND(($C37+$C$1)&gt;AG$3,AG$3&gt;=$C$1),'General Inputs'!E$9*$F37,0))</f>
        <v>142.90720776172253</v>
      </c>
      <c r="AH37" s="214">
        <f>IF(AND(($D37+$C$1)&gt;AH$3,AH$3&gt;=$C$1),'General Inputs'!F$9*$G37,IF(AND(($C37+$C$1)&gt;AH$3,AH$3&gt;=$C$1),'General Inputs'!F$9*$F37,0))</f>
        <v>145.05081587814834</v>
      </c>
      <c r="AI37" s="214">
        <f>IF(AND(($D37+$C$1)&gt;AI$3,AI$3&gt;=$C$1),'General Inputs'!G$9*$G37,IF(AND(($C37+$C$1)&gt;AI$3,AI$3&gt;=$C$1),'General Inputs'!G$9*$F37,0))</f>
        <v>147.22657811632055</v>
      </c>
      <c r="AJ37" s="214">
        <f>IF(AND(($D37+$C$1)&gt;AJ$3,AJ$3&gt;=$C$1),'General Inputs'!H$9*$G37,IF(AND(($C37+$C$1)&gt;AJ$3,AJ$3&gt;=$C$1),'General Inputs'!H$9*$F37,0))</f>
        <v>149.43497678806534</v>
      </c>
      <c r="AK37" s="214">
        <f>IF(AND(($D37+$C$1)&gt;AK$3,AK$3&gt;=$C$1),'General Inputs'!I$9*$G37,IF(AND(($C37+$C$1)&gt;AK$3,AK$3&gt;=$C$1),'General Inputs'!I$9*$F37,0))</f>
        <v>151.67650143988629</v>
      </c>
      <c r="AL37" s="214">
        <f>IF(AND(($D37+$C$1)&gt;AL$3,AL$3&gt;=$C$1),'General Inputs'!J$9*$G37,IF(AND(($C37+$C$1)&gt;AL$3,AL$3&gt;=$C$1),'General Inputs'!J$9*$F37,0))</f>
        <v>153.95164896148458</v>
      </c>
      <c r="AM37" s="214">
        <f>IF(AND(($D37+$C$1)&gt;AM$3,AM$3&gt;=$C$1),'General Inputs'!K$9*$G37,IF(AND(($C37+$C$1)&gt;AM$3,AM$3&gt;=$C$1),'General Inputs'!K$9*$F37,0))</f>
        <v>156.26092369590683</v>
      </c>
      <c r="AN37" s="214">
        <f>IF(AND(($D37+$C$1)&gt;AN$3,AN$3&gt;=$C$1),'General Inputs'!L$9*$G37,IF(AND(($C37+$C$1)&gt;AN$3,AN$3&gt;=$C$1),'General Inputs'!L$9*$F37,0))</f>
        <v>158.60483755134541</v>
      </c>
      <c r="AO37" s="214">
        <f>IF(AND(($D37+$C$1)&gt;AO$3,AO$3&gt;=$C$1),'General Inputs'!M$9*$G37,IF(AND(($C37+$C$1)&gt;AO$3,AO$3&gt;=$C$1),'General Inputs'!M$9*$F37,0))</f>
        <v>27.059445946810406</v>
      </c>
      <c r="AP37" s="214">
        <f>IF(AND(($D37+$C$1)&gt;AP$3,AP$3&gt;=$C$1),'General Inputs'!N$9*$G37,IF(AND(($C37+$C$1)&gt;AP$3,AP$3&gt;=$C$1),'General Inputs'!N$9*$F37,0))</f>
        <v>27.465337636012563</v>
      </c>
      <c r="AQ37" s="214">
        <f>IF(AND(($D37+$C$1)&gt;AQ$3,AQ$3&gt;=$C$1),'General Inputs'!O$9*$G37,IF(AND(($C37+$C$1)&gt;AQ$3,AQ$3&gt;=$C$1),'General Inputs'!O$9*$F37,0))</f>
        <v>27.877317700552748</v>
      </c>
      <c r="AR37" s="214">
        <f>IF(AND(($D37+$C$1)&gt;AR$3,AR$3&gt;=$C$1),'General Inputs'!P$9*$G37,IF(AND(($C37+$C$1)&gt;AR$3,AR$3&gt;=$C$1),'General Inputs'!P$9*$F37,0))</f>
        <v>28.295477466061037</v>
      </c>
      <c r="AS37" s="214">
        <f>IF(AND(($D37+$C$1)&gt;AS$3,AS$3&gt;=$C$1),'General Inputs'!Q$9*$G37,IF(AND(($C37+$C$1)&gt;AS$3,AS$3&gt;=$C$1),'General Inputs'!Q$9*$F37,0))</f>
        <v>28.719909628051951</v>
      </c>
      <c r="AT37" s="214">
        <f>IF(AND(($D37+$C$1)&gt;AT$3,AT$3&gt;=$C$1),'General Inputs'!R$9*$G37,IF(AND(($C37+$C$1)&gt;AT$3,AT$3&gt;=$C$1),'General Inputs'!R$9*$F37,0))</f>
        <v>29.150708272472727</v>
      </c>
      <c r="AU37" s="214">
        <f>IF(AND(($D37+$C$1)&gt;AU$3,AU$3&gt;=$C$1),'General Inputs'!S$9*$G37,IF(AND(($C37+$C$1)&gt;AU$3,AU$3&gt;=$C$1),'General Inputs'!S$9*$F37,0))</f>
        <v>29.587968896559815</v>
      </c>
      <c r="AV37" s="214">
        <f>IF(AND(($D37+$C$1)&gt;AV$3,AV$3&gt;=$C$1),'General Inputs'!T$9*$G37,IF(AND(($C37+$C$1)&gt;AV$3,AV$3&gt;=$C$1),'General Inputs'!T$9*$F37,0))</f>
        <v>30.031788430008213</v>
      </c>
      <c r="AW37" s="214">
        <f>IF(AND(($D37+$C$1)&gt;AW$3,AW$3&gt;=$C$1),'General Inputs'!U$9*$G37,IF(AND(($C37+$C$1)&gt;AW$3,AW$3&gt;=$C$1),'General Inputs'!U$9*$F37,0))</f>
        <v>30.482265256458334</v>
      </c>
      <c r="AX37" s="214">
        <f>IF(AND(($D37+$C$1)&gt;AX$3,AX$3&gt;=$C$1),'General Inputs'!V$9*$G37,IF(AND(($C37+$C$1)&gt;AX$3,AX$3&gt;=$C$1),'General Inputs'!V$9*$F37,0))</f>
        <v>30.939499235305206</v>
      </c>
      <c r="AY37" s="214">
        <f>IF(AND(($D37+$C$1)&gt;AY$3,AY$3&gt;=$C$1),'General Inputs'!W$9*$G37,IF(AND(($C37+$C$1)&gt;AY$3,AY$3&gt;=$C$1),'General Inputs'!W$9*$F37,0))</f>
        <v>0</v>
      </c>
      <c r="BA37" s="214">
        <f>IF(AND(($D37+$C$1)&gt;AF$3,AF$3&gt;=$C$1),'General Inputs'!D$10*$I37,IF(AND(($C37+$C$1)&gt;AF$3,AF$3&gt;=$C$1),'General Inputs'!D$10*$H37,0))</f>
        <v>0</v>
      </c>
      <c r="BB37" s="214">
        <f>IF(AND(($D37+$C$1)&gt;AG$3,AG$3&gt;=$C$1),'General Inputs'!E$10*$I37,IF(AND(($C37+$C$1)&gt;AG$3,AG$3&gt;=$C$1),'General Inputs'!E$10*$H37,0))</f>
        <v>30.458389672612416</v>
      </c>
      <c r="BC37" s="214">
        <f>IF(AND(($D37+$C$1)&gt;AH$3,AH$3&gt;=$C$1),'General Inputs'!F$10*$I37,IF(AND(($C37+$C$1)&gt;AH$3,AH$3&gt;=$C$1),'General Inputs'!F$10*$H37,0))</f>
        <v>30.915265517701599</v>
      </c>
      <c r="BD37" s="214">
        <f>IF(AND(($D37+$C$1)&gt;AI$3,AI$3&gt;=$C$1),'General Inputs'!G$10*$I37,IF(AND(($C37+$C$1)&gt;AI$3,AI$3&gt;=$C$1),'General Inputs'!G$10*$H37,0))</f>
        <v>31.378994500467122</v>
      </c>
      <c r="BE37" s="214">
        <f>IF(AND(($D37+$C$1)&gt;AJ$3,AJ$3&gt;=$C$1),'General Inputs'!H$10*$I37,IF(AND(($C37+$C$1)&gt;AJ$3,AJ$3&gt;=$C$1),'General Inputs'!H$10*$H37,0))</f>
        <v>31.849679417974126</v>
      </c>
      <c r="BF37" s="214">
        <f>IF(AND(($D37+$C$1)&gt;AK$3,AK$3&gt;=$C$1),'General Inputs'!I$10*$I37,IF(AND(($C37+$C$1)&gt;AK$3,AK$3&gt;=$C$1),'General Inputs'!I$10*$H37,0))</f>
        <v>32.327424609243728</v>
      </c>
      <c r="BG37" s="214">
        <f>IF(AND(($D37+$C$1)&gt;AL$3,AL$3&gt;=$C$1),'General Inputs'!J$10*$I37,IF(AND(($C37+$C$1)&gt;AL$3,AL$3&gt;=$C$1),'General Inputs'!J$10*$H37,0))</f>
        <v>32.812335978382386</v>
      </c>
      <c r="BH37" s="214">
        <f>IF(AND(($D37+$C$1)&gt;AM$3,AM$3&gt;=$C$1),'General Inputs'!K$10*$I37,IF(AND(($C37+$C$1)&gt;AM$3,AM$3&gt;=$C$1),'General Inputs'!K$10*$H37,0))</f>
        <v>33.304521018058118</v>
      </c>
      <c r="BI37" s="214">
        <f>IF(AND(($D37+$C$1)&gt;AN$3,AN$3&gt;=$C$1),'General Inputs'!L$10*$I37,IF(AND(($C37+$C$1)&gt;AN$3,AN$3&gt;=$C$1),'General Inputs'!L$10*$H37,0))</f>
        <v>33.80408883332899</v>
      </c>
      <c r="BJ37" s="214">
        <f>IF(AND(($D37+$C$1)&gt;AO$3,AO$3&gt;=$C$1),'General Inputs'!M$10*$I37,IF(AND(($C37+$C$1)&gt;AO$3,AO$3&gt;=$C$1),'General Inputs'!M$10*$H37,0))</f>
        <v>8.9830900788615899</v>
      </c>
      <c r="BK37" s="214">
        <f>IF(AND(($D37+$C$1)&gt;AP$3,AP$3&gt;=$C$1),'General Inputs'!N$10*$I37,IF(AND(($C37+$C$1)&gt;AP$3,AP$3&gt;=$C$1),'General Inputs'!N$10*$H37,0))</f>
        <v>9.1178364300445125</v>
      </c>
      <c r="BL37" s="214">
        <f>IF(AND(($D37+$C$1)&gt;AQ$3,AQ$3&gt;=$C$1),'General Inputs'!O$10*$I37,IF(AND(($C37+$C$1)&gt;AQ$3,AQ$3&gt;=$C$1),'General Inputs'!O$10*$H37,0))</f>
        <v>9.2546039764951793</v>
      </c>
      <c r="BM37" s="214">
        <f>IF(AND(($D37+$C$1)&gt;AR$3,AR$3&gt;=$C$1),'General Inputs'!P$10*$I37,IF(AND(($C37+$C$1)&gt;AR$3,AR$3&gt;=$C$1),'General Inputs'!P$10*$H37,0))</f>
        <v>9.3934230361426057</v>
      </c>
      <c r="BN37" s="214">
        <f>IF(AND(($D37+$C$1)&gt;AS$3,AS$3&gt;=$C$1),'General Inputs'!Q$10*$I37,IF(AND(($C37+$C$1)&gt;AS$3,AS$3&gt;=$C$1),'General Inputs'!Q$10*$H37,0))</f>
        <v>9.5343243816847441</v>
      </c>
      <c r="BO37" s="214">
        <f>IF(AND(($D37+$C$1)&gt;AT$3,AT$3&gt;=$C$1),'General Inputs'!R$10*$I37,IF(AND(($C37+$C$1)&gt;AT$3,AT$3&gt;=$C$1),'General Inputs'!R$10*$H37,0))</f>
        <v>9.6773392474100124</v>
      </c>
      <c r="BP37" s="214">
        <f>IF(AND(($D37+$C$1)&gt;AU$3,AU$3&gt;=$C$1),'General Inputs'!S$10*$I37,IF(AND(($C37+$C$1)&gt;AU$3,AU$3&gt;=$C$1),'General Inputs'!S$10*$H37,0))</f>
        <v>9.8224993361211634</v>
      </c>
      <c r="BQ37" s="214">
        <f>IF(AND(($D37+$C$1)&gt;AV$3,AV$3&gt;=$C$1),'General Inputs'!T$10*$I37,IF(AND(($C37+$C$1)&gt;AV$3,AV$3&gt;=$C$1),'General Inputs'!T$10*$H37,0))</f>
        <v>9.9698368261629788</v>
      </c>
      <c r="BR37" s="214">
        <f>IF(AND(($D37+$C$1)&gt;AW$3,AW$3&gt;=$C$1),'General Inputs'!U$10*$I37,IF(AND(($C37+$C$1)&gt;AW$3,AW$3&gt;=$C$1),'General Inputs'!U$10*$H37,0))</f>
        <v>10.119384378555424</v>
      </c>
      <c r="BS37" s="214">
        <f>IF(AND(($D37+$C$1)&gt;AX$3,AX$3&gt;=$C$1),'General Inputs'!V$10*$I37,IF(AND(($C37+$C$1)&gt;AX$3,AX$3&gt;=$C$1),'General Inputs'!V$10*$H37,0))</f>
        <v>10.271175144233753</v>
      </c>
      <c r="BT37" s="214">
        <f>IF(AND(($D37+$C$1)&gt;AY$3,AY$3&gt;=$C$1),'General Inputs'!W$10*$I37,IF(AND(($C37+$C$1)&gt;AY$3,AY$3&gt;=$C$1),'General Inputs'!W$10*$H37,0))</f>
        <v>0</v>
      </c>
    </row>
    <row r="38" spans="1:72">
      <c r="A38" s="341" t="s">
        <v>12</v>
      </c>
      <c r="B38" s="427" t="str">
        <f>Sources!B38</f>
        <v>Programmable Tstat</v>
      </c>
      <c r="C38" s="193">
        <f>Sources!C38</f>
        <v>10</v>
      </c>
      <c r="D38" s="193">
        <f>Sources!D38</f>
        <v>0</v>
      </c>
      <c r="F38" s="429">
        <f>Sources!F38*EnergyLineLoss</f>
        <v>868.04675999999984</v>
      </c>
      <c r="G38" s="429">
        <f>Sources!G38*EnergyLineLoss</f>
        <v>0</v>
      </c>
      <c r="H38" s="477">
        <f>Sources!H38*PeakLineLoss</f>
        <v>0.24831489599999998</v>
      </c>
      <c r="I38" s="477">
        <f>Sources!I38*PeakLineLoss</f>
        <v>0</v>
      </c>
      <c r="K38" s="419">
        <f>Sources!J38</f>
        <v>30</v>
      </c>
      <c r="L38" s="419">
        <f>Sources!K38</f>
        <v>0</v>
      </c>
      <c r="N38" s="438">
        <f t="shared" si="4"/>
        <v>9.6500858645090606</v>
      </c>
      <c r="P38" s="215">
        <f t="shared" si="0"/>
        <v>240.15073222803372</v>
      </c>
      <c r="Q38" s="215">
        <f t="shared" si="1"/>
        <v>25.838404059426594</v>
      </c>
      <c r="R38" s="215">
        <f t="shared" si="2"/>
        <v>27.563395810363836</v>
      </c>
      <c r="T38" s="214">
        <f t="shared" si="9"/>
        <v>0</v>
      </c>
      <c r="U38" s="214">
        <f t="shared" si="9"/>
        <v>30</v>
      </c>
      <c r="V38" s="214">
        <f t="shared" si="9"/>
        <v>0</v>
      </c>
      <c r="W38" s="214">
        <f t="shared" si="9"/>
        <v>0</v>
      </c>
      <c r="X38" s="214">
        <f t="shared" si="9"/>
        <v>0</v>
      </c>
      <c r="Y38" s="214">
        <f t="shared" si="9"/>
        <v>0</v>
      </c>
      <c r="Z38" s="214">
        <f t="shared" si="9"/>
        <v>0</v>
      </c>
      <c r="AA38" s="214">
        <f t="shared" si="9"/>
        <v>0</v>
      </c>
      <c r="AB38" s="214">
        <f t="shared" si="9"/>
        <v>0</v>
      </c>
      <c r="AC38" s="214">
        <f t="shared" si="9"/>
        <v>0</v>
      </c>
      <c r="AD38" s="214">
        <f t="shared" si="9"/>
        <v>0</v>
      </c>
      <c r="AF38" s="214">
        <f>IF(AND(($D38+$C$1)&gt;AF$3,AF$3&gt;=$C$1),'General Inputs'!D$9*$G38,IF(AND(($C38+$C$1)&gt;AF$3,AF$3&gt;=$C$1),'General Inputs'!D$9*$F38,0))</f>
        <v>0</v>
      </c>
      <c r="AG38" s="214">
        <f>IF(AND(($D38+$C$1)&gt;AG$3,AG$3&gt;=$C$1),'General Inputs'!E$9*$G38,IF(AND(($C38+$C$1)&gt;AG$3,AG$3&gt;=$C$1),'General Inputs'!E$9*$F38,0))</f>
        <v>35.077294991993583</v>
      </c>
      <c r="AH38" s="214">
        <f>IF(AND(($D38+$C$1)&gt;AH$3,AH$3&gt;=$C$1),'General Inputs'!F$9*$G38,IF(AND(($C38+$C$1)&gt;AH$3,AH$3&gt;=$C$1),'General Inputs'!F$9*$F38,0))</f>
        <v>35.603454416873483</v>
      </c>
      <c r="AI38" s="214">
        <f>IF(AND(($D38+$C$1)&gt;AI$3,AI$3&gt;=$C$1),'General Inputs'!G$9*$G38,IF(AND(($C38+$C$1)&gt;AI$3,AI$3&gt;=$C$1),'General Inputs'!G$9*$F38,0))</f>
        <v>36.137506233126587</v>
      </c>
      <c r="AJ38" s="214">
        <f>IF(AND(($D38+$C$1)&gt;AJ$3,AJ$3&gt;=$C$1),'General Inputs'!H$9*$G38,IF(AND(($C38+$C$1)&gt;AJ$3,AJ$3&gt;=$C$1),'General Inputs'!H$9*$F38,0))</f>
        <v>36.679568826623481</v>
      </c>
      <c r="AK38" s="214">
        <f>IF(AND(($D38+$C$1)&gt;AK$3,AK$3&gt;=$C$1),'General Inputs'!I$9*$G38,IF(AND(($C38+$C$1)&gt;AK$3,AK$3&gt;=$C$1),'General Inputs'!I$9*$F38,0))</f>
        <v>37.229762359022821</v>
      </c>
      <c r="AL38" s="214">
        <f>IF(AND(($D38+$C$1)&gt;AL$3,AL$3&gt;=$C$1),'General Inputs'!J$9*$G38,IF(AND(($C38+$C$1)&gt;AL$3,AL$3&gt;=$C$1),'General Inputs'!J$9*$F38,0))</f>
        <v>37.788208794408163</v>
      </c>
      <c r="AM38" s="214">
        <f>IF(AND(($D38+$C$1)&gt;AM$3,AM$3&gt;=$C$1),'General Inputs'!K$9*$G38,IF(AND(($C38+$C$1)&gt;AM$3,AM$3&gt;=$C$1),'General Inputs'!K$9*$F38,0))</f>
        <v>38.35503192632428</v>
      </c>
      <c r="AN38" s="214">
        <f>IF(AND(($D38+$C$1)&gt;AN$3,AN$3&gt;=$C$1),'General Inputs'!L$9*$G38,IF(AND(($C38+$C$1)&gt;AN$3,AN$3&gt;=$C$1),'General Inputs'!L$9*$F38,0))</f>
        <v>38.930357405219141</v>
      </c>
      <c r="AO38" s="214">
        <f>IF(AND(($D38+$C$1)&gt;AO$3,AO$3&gt;=$C$1),'General Inputs'!M$9*$G38,IF(AND(($C38+$C$1)&gt;AO$3,AO$3&gt;=$C$1),'General Inputs'!M$9*$F38,0))</f>
        <v>39.514312766297422</v>
      </c>
      <c r="AP38" s="214">
        <f>IF(AND(($D38+$C$1)&gt;AP$3,AP$3&gt;=$C$1),'General Inputs'!N$9*$G38,IF(AND(($C38+$C$1)&gt;AP$3,AP$3&gt;=$C$1),'General Inputs'!N$9*$F38,0))</f>
        <v>40.107027457791879</v>
      </c>
      <c r="AQ38" s="214">
        <f>IF(AND(($D38+$C$1)&gt;AQ$3,AQ$3&gt;=$C$1),'General Inputs'!O$9*$G38,IF(AND(($C38+$C$1)&gt;AQ$3,AQ$3&gt;=$C$1),'General Inputs'!O$9*$F38,0))</f>
        <v>0</v>
      </c>
      <c r="AR38" s="214">
        <f>IF(AND(($D38+$C$1)&gt;AR$3,AR$3&gt;=$C$1),'General Inputs'!P$9*$G38,IF(AND(($C38+$C$1)&gt;AR$3,AR$3&gt;=$C$1),'General Inputs'!P$9*$F38,0))</f>
        <v>0</v>
      </c>
      <c r="AS38" s="214">
        <f>IF(AND(($D38+$C$1)&gt;AS$3,AS$3&gt;=$C$1),'General Inputs'!Q$9*$G38,IF(AND(($C38+$C$1)&gt;AS$3,AS$3&gt;=$C$1),'General Inputs'!Q$9*$F38,0))</f>
        <v>0</v>
      </c>
      <c r="AT38" s="214">
        <f>IF(AND(($D38+$C$1)&gt;AT$3,AT$3&gt;=$C$1),'General Inputs'!R$9*$G38,IF(AND(($C38+$C$1)&gt;AT$3,AT$3&gt;=$C$1),'General Inputs'!R$9*$F38,0))</f>
        <v>0</v>
      </c>
      <c r="AU38" s="214">
        <f>IF(AND(($D38+$C$1)&gt;AU$3,AU$3&gt;=$C$1),'General Inputs'!S$9*$G38,IF(AND(($C38+$C$1)&gt;AU$3,AU$3&gt;=$C$1),'General Inputs'!S$9*$F38,0))</f>
        <v>0</v>
      </c>
      <c r="AV38" s="214">
        <f>IF(AND(($D38+$C$1)&gt;AV$3,AV$3&gt;=$C$1),'General Inputs'!T$9*$G38,IF(AND(($C38+$C$1)&gt;AV$3,AV$3&gt;=$C$1),'General Inputs'!T$9*$F38,0))</f>
        <v>0</v>
      </c>
      <c r="AW38" s="214">
        <f>IF(AND(($D38+$C$1)&gt;AW$3,AW$3&gt;=$C$1),'General Inputs'!U$9*$G38,IF(AND(($C38+$C$1)&gt;AW$3,AW$3&gt;=$C$1),'General Inputs'!U$9*$F38,0))</f>
        <v>0</v>
      </c>
      <c r="AX38" s="214">
        <f>IF(AND(($D38+$C$1)&gt;AX$3,AX$3&gt;=$C$1),'General Inputs'!V$9*$G38,IF(AND(($C38+$C$1)&gt;AX$3,AX$3&gt;=$C$1),'General Inputs'!V$9*$F38,0))</f>
        <v>0</v>
      </c>
      <c r="AY38" s="214">
        <f>IF(AND(($D38+$C$1)&gt;AY$3,AY$3&gt;=$C$1),'General Inputs'!W$9*$G38,IF(AND(($C38+$C$1)&gt;AY$3,AY$3&gt;=$C$1),'General Inputs'!W$9*$F38,0))</f>
        <v>0</v>
      </c>
      <c r="BA38" s="214">
        <f>IF(AND(($D38+$C$1)&gt;AF$3,AF$3&gt;=$C$1),'General Inputs'!D$10*$I38,IF(AND(($C38+$C$1)&gt;AF$3,AF$3&gt;=$C$1),'General Inputs'!D$10*$H38,0))</f>
        <v>0</v>
      </c>
      <c r="BB38" s="214">
        <f>IF(AND(($D38+$C$1)&gt;AG$3,AG$3&gt;=$C$1),'General Inputs'!E$10*$I38,IF(AND(($C38+$C$1)&gt;AG$3,AG$3&gt;=$C$1),'General Inputs'!E$10*$H38,0))</f>
        <v>3.7740518752789813</v>
      </c>
      <c r="BC38" s="214">
        <f>IF(AND(($D38+$C$1)&gt;AH$3,AH$3&gt;=$C$1),'General Inputs'!F$10*$I38,IF(AND(($C38+$C$1)&gt;AH$3,AH$3&gt;=$C$1),'General Inputs'!F$10*$H38,0))</f>
        <v>3.8306626534081656</v>
      </c>
      <c r="BD38" s="214">
        <f>IF(AND(($D38+$C$1)&gt;AI$3,AI$3&gt;=$C$1),'General Inputs'!G$10*$I38,IF(AND(($C38+$C$1)&gt;AI$3,AI$3&gt;=$C$1),'General Inputs'!G$10*$H38,0))</f>
        <v>3.888122593209288</v>
      </c>
      <c r="BE38" s="214">
        <f>IF(AND(($D38+$C$1)&gt;AJ$3,AJ$3&gt;=$C$1),'General Inputs'!H$10*$I38,IF(AND(($C38+$C$1)&gt;AJ$3,AJ$3&gt;=$C$1),'General Inputs'!H$10*$H38,0))</f>
        <v>3.9464444321074268</v>
      </c>
      <c r="BF38" s="214">
        <f>IF(AND(($D38+$C$1)&gt;AK$3,AK$3&gt;=$C$1),'General Inputs'!I$10*$I38,IF(AND(($C38+$C$1)&gt;AK$3,AK$3&gt;=$C$1),'General Inputs'!I$10*$H38,0))</f>
        <v>4.0056410985890372</v>
      </c>
      <c r="BG38" s="214">
        <f>IF(AND(($D38+$C$1)&gt;AL$3,AL$3&gt;=$C$1),'General Inputs'!J$10*$I38,IF(AND(($C38+$C$1)&gt;AL$3,AL$3&gt;=$C$1),'General Inputs'!J$10*$H38,0))</f>
        <v>4.0657257150678729</v>
      </c>
      <c r="BH38" s="214">
        <f>IF(AND(($D38+$C$1)&gt;AM$3,AM$3&gt;=$C$1),'General Inputs'!K$10*$I38,IF(AND(($C38+$C$1)&gt;AM$3,AM$3&gt;=$C$1),'General Inputs'!K$10*$H38,0))</f>
        <v>4.1267116007938904</v>
      </c>
      <c r="BI38" s="214">
        <f>IF(AND(($D38+$C$1)&gt;AN$3,AN$3&gt;=$C$1),'General Inputs'!L$10*$I38,IF(AND(($C38+$C$1)&gt;AN$3,AN$3&gt;=$C$1),'General Inputs'!L$10*$H38,0))</f>
        <v>4.1886122748057986</v>
      </c>
      <c r="BJ38" s="214">
        <f>IF(AND(($D38+$C$1)&gt;AO$3,AO$3&gt;=$C$1),'General Inputs'!M$10*$I38,IF(AND(($C38+$C$1)&gt;AO$3,AO$3&gt;=$C$1),'General Inputs'!M$10*$H38,0))</f>
        <v>4.2514414589278857</v>
      </c>
      <c r="BK38" s="214">
        <f>IF(AND(($D38+$C$1)&gt;AP$3,AP$3&gt;=$C$1),'General Inputs'!N$10*$I38,IF(AND(($C38+$C$1)&gt;AP$3,AP$3&gt;=$C$1),'General Inputs'!N$10*$H38,0))</f>
        <v>4.3152130808118034</v>
      </c>
      <c r="BL38" s="214">
        <f>IF(AND(($D38+$C$1)&gt;AQ$3,AQ$3&gt;=$C$1),'General Inputs'!O$10*$I38,IF(AND(($C38+$C$1)&gt;AQ$3,AQ$3&gt;=$C$1),'General Inputs'!O$10*$H38,0))</f>
        <v>0</v>
      </c>
      <c r="BM38" s="214">
        <f>IF(AND(($D38+$C$1)&gt;AR$3,AR$3&gt;=$C$1),'General Inputs'!P$10*$I38,IF(AND(($C38+$C$1)&gt;AR$3,AR$3&gt;=$C$1),'General Inputs'!P$10*$H38,0))</f>
        <v>0</v>
      </c>
      <c r="BN38" s="214">
        <f>IF(AND(($D38+$C$1)&gt;AS$3,AS$3&gt;=$C$1),'General Inputs'!Q$10*$I38,IF(AND(($C38+$C$1)&gt;AS$3,AS$3&gt;=$C$1),'General Inputs'!Q$10*$H38,0))</f>
        <v>0</v>
      </c>
      <c r="BO38" s="214">
        <f>IF(AND(($D38+$C$1)&gt;AT$3,AT$3&gt;=$C$1),'General Inputs'!R$10*$I38,IF(AND(($C38+$C$1)&gt;AT$3,AT$3&gt;=$C$1),'General Inputs'!R$10*$H38,0))</f>
        <v>0</v>
      </c>
      <c r="BP38" s="214">
        <f>IF(AND(($D38+$C$1)&gt;AU$3,AU$3&gt;=$C$1),'General Inputs'!S$10*$I38,IF(AND(($C38+$C$1)&gt;AU$3,AU$3&gt;=$C$1),'General Inputs'!S$10*$H38,0))</f>
        <v>0</v>
      </c>
      <c r="BQ38" s="214">
        <f>IF(AND(($D38+$C$1)&gt;AV$3,AV$3&gt;=$C$1),'General Inputs'!T$10*$I38,IF(AND(($C38+$C$1)&gt;AV$3,AV$3&gt;=$C$1),'General Inputs'!T$10*$H38,0))</f>
        <v>0</v>
      </c>
      <c r="BR38" s="214">
        <f>IF(AND(($D38+$C$1)&gt;AW$3,AW$3&gt;=$C$1),'General Inputs'!U$10*$I38,IF(AND(($C38+$C$1)&gt;AW$3,AW$3&gt;=$C$1),'General Inputs'!U$10*$H38,0))</f>
        <v>0</v>
      </c>
      <c r="BS38" s="214">
        <f>IF(AND(($D38+$C$1)&gt;AX$3,AX$3&gt;=$C$1),'General Inputs'!V$10*$I38,IF(AND(($C38+$C$1)&gt;AX$3,AX$3&gt;=$C$1),'General Inputs'!V$10*$H38,0))</f>
        <v>0</v>
      </c>
      <c r="BT38" s="214">
        <f>IF(AND(($D38+$C$1)&gt;AY$3,AY$3&gt;=$C$1),'General Inputs'!W$10*$I38,IF(AND(($C38+$C$1)&gt;AY$3,AY$3&gt;=$C$1),'General Inputs'!W$10*$H38,0))</f>
        <v>0</v>
      </c>
    </row>
    <row r="39" spans="1:72">
      <c r="A39" s="341" t="s">
        <v>12</v>
      </c>
      <c r="B39" s="427" t="str">
        <f>Sources!B39</f>
        <v>Heat Pump SEER 15 Replace Electric Furnace</v>
      </c>
      <c r="C39" s="193">
        <f>Sources!C39</f>
        <v>18</v>
      </c>
      <c r="D39" s="193">
        <f>Sources!D39</f>
        <v>0</v>
      </c>
      <c r="F39" s="429">
        <f>Sources!F39*EnergyLineLoss</f>
        <v>14620.603045575292</v>
      </c>
      <c r="G39" s="429">
        <f>Sources!G39*EnergyLineLoss</f>
        <v>0</v>
      </c>
      <c r="H39" s="477">
        <f>Sources!H39*PeakLineLoss</f>
        <v>3.2973484359496279</v>
      </c>
      <c r="I39" s="477">
        <f>Sources!I39*PeakLineLoss</f>
        <v>0</v>
      </c>
      <c r="K39" s="419">
        <f>Sources!J39</f>
        <v>4554</v>
      </c>
      <c r="L39" s="419">
        <f>Sources!K39</f>
        <v>0</v>
      </c>
      <c r="N39" s="438">
        <f t="shared" ref="N39" si="10">IF(R39&gt;0,(P39+Q39)/R39,"n/a")</f>
        <v>1.4930417830610905</v>
      </c>
      <c r="P39" s="215">
        <f t="shared" ref="P39" si="11">AF39+NPV(DiscountRate,AG39:AY39)</f>
        <v>5758.6003782565504</v>
      </c>
      <c r="Q39" s="215">
        <f t="shared" ref="Q39" si="12">BA39+NPV(DiscountRate,BB39:BT39)</f>
        <v>488.47080886234448</v>
      </c>
      <c r="R39" s="215">
        <f t="shared" ref="R39" si="13">T39+NPV(DiscountRate,U39:AD39)</f>
        <v>4184.1234840132302</v>
      </c>
      <c r="T39" s="214">
        <f t="shared" si="9"/>
        <v>0</v>
      </c>
      <c r="U39" s="214">
        <f t="shared" si="9"/>
        <v>4554</v>
      </c>
      <c r="V39" s="214">
        <f t="shared" ref="V39:AD39" si="14">IF($C$1=V$3,$K39,IF($D39+$C$1=V$3,-$L39,0))</f>
        <v>0</v>
      </c>
      <c r="W39" s="214">
        <f t="shared" si="14"/>
        <v>0</v>
      </c>
      <c r="X39" s="214">
        <f t="shared" si="14"/>
        <v>0</v>
      </c>
      <c r="Y39" s="214">
        <f t="shared" si="14"/>
        <v>0</v>
      </c>
      <c r="Z39" s="214">
        <f t="shared" si="14"/>
        <v>0</v>
      </c>
      <c r="AA39" s="214">
        <f t="shared" si="14"/>
        <v>0</v>
      </c>
      <c r="AB39" s="214">
        <f t="shared" si="14"/>
        <v>0</v>
      </c>
      <c r="AC39" s="214">
        <f t="shared" si="14"/>
        <v>0</v>
      </c>
      <c r="AD39" s="214">
        <f t="shared" si="14"/>
        <v>0</v>
      </c>
      <c r="AF39" s="214">
        <f>IF(AND(($D39+$C$1)&gt;AF$3,AF$3&gt;=$C$1),'General Inputs'!D$9*$G39,IF(AND(($C39+$C$1)&gt;AF$3,AF$3&gt;=$C$1),'General Inputs'!D$9*$F39,0))</f>
        <v>0</v>
      </c>
      <c r="AG39" s="214">
        <f>IF(AND(($D39+$C$1)&gt;AG$3,AG$3&gt;=$C$1),'General Inputs'!E$9*$G39,IF(AND(($C39+$C$1)&gt;AG$3,AG$3&gt;=$C$1),'General Inputs'!E$9*$F39,0))</f>
        <v>590.81057567737992</v>
      </c>
      <c r="AH39" s="214">
        <f>IF(AND(($D39+$C$1)&gt;AH$3,AH$3&gt;=$C$1),'General Inputs'!F$9*$G39,IF(AND(($C39+$C$1)&gt;AH$3,AH$3&gt;=$C$1),'General Inputs'!F$9*$F39,0))</f>
        <v>599.67273431254057</v>
      </c>
      <c r="AI39" s="214">
        <f>IF(AND(($D39+$C$1)&gt;AI$3,AI$3&gt;=$C$1),'General Inputs'!G$9*$G39,IF(AND(($C39+$C$1)&gt;AI$3,AI$3&gt;=$C$1),'General Inputs'!G$9*$F39,0))</f>
        <v>608.66782532722857</v>
      </c>
      <c r="AJ39" s="214">
        <f>IF(AND(($D39+$C$1)&gt;AJ$3,AJ$3&gt;=$C$1),'General Inputs'!H$9*$G39,IF(AND(($C39+$C$1)&gt;AJ$3,AJ$3&gt;=$C$1),'General Inputs'!H$9*$F39,0))</f>
        <v>617.79784270713697</v>
      </c>
      <c r="AK39" s="214">
        <f>IF(AND(($D39+$C$1)&gt;AK$3,AK$3&gt;=$C$1),'General Inputs'!I$9*$G39,IF(AND(($C39+$C$1)&gt;AK$3,AK$3&gt;=$C$1),'General Inputs'!I$9*$F39,0))</f>
        <v>627.0648103477439</v>
      </c>
      <c r="AL39" s="214">
        <f>IF(AND(($D39+$C$1)&gt;AL$3,AL$3&gt;=$C$1),'General Inputs'!J$9*$G39,IF(AND(($C39+$C$1)&gt;AL$3,AL$3&gt;=$C$1),'General Inputs'!J$9*$F39,0))</f>
        <v>636.47078250295999</v>
      </c>
      <c r="AM39" s="214">
        <f>IF(AND(($D39+$C$1)&gt;AM$3,AM$3&gt;=$C$1),'General Inputs'!K$9*$G39,IF(AND(($C39+$C$1)&gt;AM$3,AM$3&gt;=$C$1),'General Inputs'!K$9*$F39,0))</f>
        <v>646.01784424050425</v>
      </c>
      <c r="AN39" s="214">
        <f>IF(AND(($D39+$C$1)&gt;AN$3,AN$3&gt;=$C$1),'General Inputs'!L$9*$G39,IF(AND(($C39+$C$1)&gt;AN$3,AN$3&gt;=$C$1),'General Inputs'!L$9*$F39,0))</f>
        <v>655.70811190411177</v>
      </c>
      <c r="AO39" s="214">
        <f>IF(AND(($D39+$C$1)&gt;AO$3,AO$3&gt;=$C$1),'General Inputs'!M$9*$G39,IF(AND(($C39+$C$1)&gt;AO$3,AO$3&gt;=$C$1),'General Inputs'!M$9*$F39,0))</f>
        <v>665.54373358267333</v>
      </c>
      <c r="AP39" s="214">
        <f>IF(AND(($D39+$C$1)&gt;AP$3,AP$3&gt;=$C$1),'General Inputs'!N$9*$G39,IF(AND(($C39+$C$1)&gt;AP$3,AP$3&gt;=$C$1),'General Inputs'!N$9*$F39,0))</f>
        <v>675.5268895864134</v>
      </c>
      <c r="AQ39" s="214">
        <f>IF(AND(($D39+$C$1)&gt;AQ$3,AQ$3&gt;=$C$1),'General Inputs'!O$9*$G39,IF(AND(($C39+$C$1)&gt;AQ$3,AQ$3&gt;=$C$1),'General Inputs'!O$9*$F39,0))</f>
        <v>685.65979293020951</v>
      </c>
      <c r="AR39" s="214">
        <f>IF(AND(($D39+$C$1)&gt;AR$3,AR$3&gt;=$C$1),'General Inputs'!P$9*$G39,IF(AND(($C39+$C$1)&gt;AR$3,AR$3&gt;=$C$1),'General Inputs'!P$9*$F39,0))</f>
        <v>695.94468982416254</v>
      </c>
      <c r="AS39" s="214">
        <f>IF(AND(($D39+$C$1)&gt;AS$3,AS$3&gt;=$C$1),'General Inputs'!Q$9*$G39,IF(AND(($C39+$C$1)&gt;AS$3,AS$3&gt;=$C$1),'General Inputs'!Q$9*$F39,0))</f>
        <v>706.38386017152504</v>
      </c>
      <c r="AT39" s="214">
        <f>IF(AND(($D39+$C$1)&gt;AT$3,AT$3&gt;=$C$1),'General Inputs'!R$9*$G39,IF(AND(($C39+$C$1)&gt;AT$3,AT$3&gt;=$C$1),'General Inputs'!R$9*$F39,0))</f>
        <v>716.97961807409786</v>
      </c>
      <c r="AU39" s="214">
        <f>IF(AND(($D39+$C$1)&gt;AU$3,AU$3&gt;=$C$1),'General Inputs'!S$9*$G39,IF(AND(($C39+$C$1)&gt;AU$3,AU$3&gt;=$C$1),'General Inputs'!S$9*$F39,0))</f>
        <v>727.73431234520922</v>
      </c>
      <c r="AV39" s="214">
        <f>IF(AND(($D39+$C$1)&gt;AV$3,AV$3&gt;=$C$1),'General Inputs'!T$9*$G39,IF(AND(($C39+$C$1)&gt;AV$3,AV$3&gt;=$C$1),'General Inputs'!T$9*$F39,0))</f>
        <v>738.6503270303873</v>
      </c>
      <c r="AW39" s="214">
        <f>IF(AND(($D39+$C$1)&gt;AW$3,AW$3&gt;=$C$1),'General Inputs'!U$9*$G39,IF(AND(($C39+$C$1)&gt;AW$3,AW$3&gt;=$C$1),'General Inputs'!U$9*$F39,0))</f>
        <v>749.73008193584315</v>
      </c>
      <c r="AX39" s="214">
        <f>IF(AND(($D39+$C$1)&gt;AX$3,AX$3&gt;=$C$1),'General Inputs'!V$9*$G39,IF(AND(($C39+$C$1)&gt;AX$3,AX$3&gt;=$C$1),'General Inputs'!V$9*$F39,0))</f>
        <v>760.97603316488073</v>
      </c>
      <c r="AY39" s="214">
        <f>IF(AND(($D39+$C$1)&gt;AY$3,AY$3&gt;=$C$1),'General Inputs'!W$9*$G39,IF(AND(($C39+$C$1)&gt;AY$3,AY$3&gt;=$C$1),'General Inputs'!W$9*$F39,0))</f>
        <v>0</v>
      </c>
      <c r="BA39" s="214">
        <f>IF(AND(($D39+$C$1)&gt;AF$3,AF$3&gt;=$C$1),'General Inputs'!D$10*$I39,IF(AND(($C39+$C$1)&gt;AF$3,AF$3&gt;=$C$1),'General Inputs'!D$10*$H39,0))</f>
        <v>0</v>
      </c>
      <c r="BB39" s="214">
        <f>IF(AND(($D39+$C$1)&gt;AG$3,AG$3&gt;=$C$1),'General Inputs'!E$10*$I39,IF(AND(($C39+$C$1)&gt;AG$3,AG$3&gt;=$C$1),'General Inputs'!E$10*$H39,0))</f>
        <v>50.115253851480219</v>
      </c>
      <c r="BC39" s="214">
        <f>IF(AND(($D39+$C$1)&gt;AH$3,AH$3&gt;=$C$1),'General Inputs'!F$10*$I39,IF(AND(($C39+$C$1)&gt;AH$3,AH$3&gt;=$C$1),'General Inputs'!F$10*$H39,0))</f>
        <v>50.866982659252422</v>
      </c>
      <c r="BD39" s="214">
        <f>IF(AND(($D39+$C$1)&gt;AI$3,AI$3&gt;=$C$1),'General Inputs'!G$10*$I39,IF(AND(($C39+$C$1)&gt;AI$3,AI$3&gt;=$C$1),'General Inputs'!G$10*$H39,0))</f>
        <v>51.6299873991412</v>
      </c>
      <c r="BE39" s="214">
        <f>IF(AND(($D39+$C$1)&gt;AJ$3,AJ$3&gt;=$C$1),'General Inputs'!H$10*$I39,IF(AND(($C39+$C$1)&gt;AJ$3,AJ$3&gt;=$C$1),'General Inputs'!H$10*$H39,0))</f>
        <v>52.404437210128314</v>
      </c>
      <c r="BF39" s="214">
        <f>IF(AND(($D39+$C$1)&gt;AK$3,AK$3&gt;=$C$1),'General Inputs'!I$10*$I39,IF(AND(($C39+$C$1)&gt;AK$3,AK$3&gt;=$C$1),'General Inputs'!I$10*$H39,0))</f>
        <v>53.19050376828023</v>
      </c>
      <c r="BG39" s="214">
        <f>IF(AND(($D39+$C$1)&gt;AL$3,AL$3&gt;=$C$1),'General Inputs'!J$10*$I39,IF(AND(($C39+$C$1)&gt;AL$3,AL$3&gt;=$C$1),'General Inputs'!J$10*$H39,0))</f>
        <v>53.98836132480443</v>
      </c>
      <c r="BH39" s="214">
        <f>IF(AND(($D39+$C$1)&gt;AM$3,AM$3&gt;=$C$1),'General Inputs'!K$10*$I39,IF(AND(($C39+$C$1)&gt;AM$3,AM$3&gt;=$C$1),'General Inputs'!K$10*$H39,0))</f>
        <v>54.798186744676492</v>
      </c>
      <c r="BI39" s="214">
        <f>IF(AND(($D39+$C$1)&gt;AN$3,AN$3&gt;=$C$1),'General Inputs'!L$10*$I39,IF(AND(($C39+$C$1)&gt;AN$3,AN$3&gt;=$C$1),'General Inputs'!L$10*$H39,0))</f>
        <v>55.620159545846633</v>
      </c>
      <c r="BJ39" s="214">
        <f>IF(AND(($D39+$C$1)&gt;AO$3,AO$3&gt;=$C$1),'General Inputs'!M$10*$I39,IF(AND(($C39+$C$1)&gt;AO$3,AO$3&gt;=$C$1),'General Inputs'!M$10*$H39,0))</f>
        <v>56.454461939034331</v>
      </c>
      <c r="BK39" s="214">
        <f>IF(AND(($D39+$C$1)&gt;AP$3,AP$3&gt;=$C$1),'General Inputs'!N$10*$I39,IF(AND(($C39+$C$1)&gt;AP$3,AP$3&gt;=$C$1),'General Inputs'!N$10*$H39,0))</f>
        <v>57.301278868119837</v>
      </c>
      <c r="BL39" s="214">
        <f>IF(AND(($D39+$C$1)&gt;AQ$3,AQ$3&gt;=$C$1),'General Inputs'!O$10*$I39,IF(AND(($C39+$C$1)&gt;AQ$3,AQ$3&gt;=$C$1),'General Inputs'!O$10*$H39,0))</f>
        <v>58.160798051141633</v>
      </c>
      <c r="BM39" s="214">
        <f>IF(AND(($D39+$C$1)&gt;AR$3,AR$3&gt;=$C$1),'General Inputs'!P$10*$I39,IF(AND(($C39+$C$1)&gt;AR$3,AR$3&gt;=$C$1),'General Inputs'!P$10*$H39,0))</f>
        <v>59.033210021908751</v>
      </c>
      <c r="BN39" s="214">
        <f>IF(AND(($D39+$C$1)&gt;AS$3,AS$3&gt;=$C$1),'General Inputs'!Q$10*$I39,IF(AND(($C39+$C$1)&gt;AS$3,AS$3&gt;=$C$1),'General Inputs'!Q$10*$H39,0))</f>
        <v>59.918708172237373</v>
      </c>
      <c r="BO39" s="214">
        <f>IF(AND(($D39+$C$1)&gt;AT$3,AT$3&gt;=$C$1),'General Inputs'!R$10*$I39,IF(AND(($C39+$C$1)&gt;AT$3,AT$3&gt;=$C$1),'General Inputs'!R$10*$H39,0))</f>
        <v>60.817488794820925</v>
      </c>
      <c r="BP39" s="214">
        <f>IF(AND(($D39+$C$1)&gt;AU$3,AU$3&gt;=$C$1),'General Inputs'!S$10*$I39,IF(AND(($C39+$C$1)&gt;AU$3,AU$3&gt;=$C$1),'General Inputs'!S$10*$H39,0))</f>
        <v>61.729751126743238</v>
      </c>
      <c r="BQ39" s="214">
        <f>IF(AND(($D39+$C$1)&gt;AV$3,AV$3&gt;=$C$1),'General Inputs'!T$10*$I39,IF(AND(($C39+$C$1)&gt;AV$3,AV$3&gt;=$C$1),'General Inputs'!T$10*$H39,0))</f>
        <v>62.655697393644381</v>
      </c>
      <c r="BR39" s="214">
        <f>IF(AND(($D39+$C$1)&gt;AW$3,AW$3&gt;=$C$1),'General Inputs'!U$10*$I39,IF(AND(($C39+$C$1)&gt;AW$3,AW$3&gt;=$C$1),'General Inputs'!U$10*$H39,0))</f>
        <v>63.595532854549042</v>
      </c>
      <c r="BS39" s="214">
        <f>IF(AND(($D39+$C$1)&gt;AX$3,AX$3&gt;=$C$1),'General Inputs'!V$10*$I39,IF(AND(($C39+$C$1)&gt;AX$3,AX$3&gt;=$C$1),'General Inputs'!V$10*$H39,0))</f>
        <v>64.549465847367259</v>
      </c>
      <c r="BT39" s="214">
        <f>IF(AND(($D39+$C$1)&gt;AY$3,AY$3&gt;=$C$1),'General Inputs'!W$10*$I39,IF(AND(($C39+$C$1)&gt;AY$3,AY$3&gt;=$C$1),'General Inputs'!W$10*$H39,0))</f>
        <v>0</v>
      </c>
    </row>
    <row r="40" spans="1:72">
      <c r="A40" s="341" t="s">
        <v>12</v>
      </c>
      <c r="B40" s="427" t="str">
        <f>Sources!B40</f>
        <v>ECM Blower Motor</v>
      </c>
      <c r="C40" s="193">
        <f>Sources!C40</f>
        <v>20</v>
      </c>
      <c r="D40" s="193">
        <f>Sources!D40</f>
        <v>0</v>
      </c>
      <c r="F40" s="429">
        <f>Sources!F40*EnergyLineLoss</f>
        <v>753.83999999999992</v>
      </c>
      <c r="G40" s="429">
        <f>Sources!G40*EnergyLineLoss</f>
        <v>0</v>
      </c>
      <c r="H40" s="477">
        <f>Sources!H40*PeakLineLoss</f>
        <v>6.8787899999999985E-2</v>
      </c>
      <c r="I40" s="477">
        <f>Sources!I40*PeakLineLoss</f>
        <v>0</v>
      </c>
      <c r="K40" s="419">
        <f>Sources!J40</f>
        <v>250</v>
      </c>
      <c r="L40" s="419">
        <f>Sources!K40</f>
        <v>0</v>
      </c>
      <c r="N40" s="438">
        <f t="shared" si="4"/>
        <v>1.3728747693198684</v>
      </c>
      <c r="P40" s="215">
        <f t="shared" si="0"/>
        <v>304.87879612489871</v>
      </c>
      <c r="Q40" s="215">
        <f t="shared" si="1"/>
        <v>10.463626081980308</v>
      </c>
      <c r="R40" s="215">
        <f t="shared" si="2"/>
        <v>229.6949650863653</v>
      </c>
      <c r="T40" s="214">
        <f t="shared" si="9"/>
        <v>0</v>
      </c>
      <c r="U40" s="214">
        <f t="shared" si="9"/>
        <v>250</v>
      </c>
      <c r="V40" s="214">
        <f t="shared" si="9"/>
        <v>0</v>
      </c>
      <c r="W40" s="214">
        <f t="shared" si="9"/>
        <v>0</v>
      </c>
      <c r="X40" s="214">
        <f t="shared" si="9"/>
        <v>0</v>
      </c>
      <c r="Y40" s="214">
        <f t="shared" si="9"/>
        <v>0</v>
      </c>
      <c r="Z40" s="214">
        <f t="shared" si="9"/>
        <v>0</v>
      </c>
      <c r="AA40" s="214">
        <f t="shared" si="9"/>
        <v>0</v>
      </c>
      <c r="AB40" s="214">
        <f t="shared" si="9"/>
        <v>0</v>
      </c>
      <c r="AC40" s="214">
        <f t="shared" si="9"/>
        <v>0</v>
      </c>
      <c r="AD40" s="214">
        <f t="shared" si="9"/>
        <v>0</v>
      </c>
      <c r="AF40" s="214">
        <f>IF(AND(($D40+$C$1)&gt;AF$3,AF$3&gt;=$C$1),'General Inputs'!D$9*$G40,IF(AND(($C40+$C$1)&gt;AF$3,AF$3&gt;=$C$1),'General Inputs'!D$9*$F40,0))</f>
        <v>0</v>
      </c>
      <c r="AG40" s="214">
        <f>IF(AND(($D40+$C$1)&gt;AG$3,AG$3&gt;=$C$1),'General Inputs'!E$9*$G40,IF(AND(($C40+$C$1)&gt;AG$3,AG$3&gt;=$C$1),'General Inputs'!E$9*$F40,0))</f>
        <v>30.462262259655741</v>
      </c>
      <c r="AH40" s="214">
        <f>IF(AND(($D40+$C$1)&gt;AH$3,AH$3&gt;=$C$1),'General Inputs'!F$9*$G40,IF(AND(($C40+$C$1)&gt;AH$3,AH$3&gt;=$C$1),'General Inputs'!F$9*$F40,0))</f>
        <v>30.919196193550576</v>
      </c>
      <c r="AI40" s="214">
        <f>IF(AND(($D40+$C$1)&gt;AI$3,AI$3&gt;=$C$1),'General Inputs'!G$9*$G40,IF(AND(($C40+$C$1)&gt;AI$3,AI$3&gt;=$C$1),'General Inputs'!G$9*$F40,0))</f>
        <v>31.382984136453832</v>
      </c>
      <c r="AJ40" s="214">
        <f>IF(AND(($D40+$C$1)&gt;AJ$3,AJ$3&gt;=$C$1),'General Inputs'!H$9*$G40,IF(AND(($C40+$C$1)&gt;AJ$3,AJ$3&gt;=$C$1),'General Inputs'!H$9*$F40,0))</f>
        <v>31.853728898500634</v>
      </c>
      <c r="AK40" s="214">
        <f>IF(AND(($D40+$C$1)&gt;AK$3,AK$3&gt;=$C$1),'General Inputs'!I$9*$G40,IF(AND(($C40+$C$1)&gt;AK$3,AK$3&gt;=$C$1),'General Inputs'!I$9*$F40,0))</f>
        <v>32.331534831978139</v>
      </c>
      <c r="AL40" s="214">
        <f>IF(AND(($D40+$C$1)&gt;AL$3,AL$3&gt;=$C$1),'General Inputs'!J$9*$G40,IF(AND(($C40+$C$1)&gt;AL$3,AL$3&gt;=$C$1),'General Inputs'!J$9*$F40,0))</f>
        <v>32.816507854457804</v>
      </c>
      <c r="AM40" s="214">
        <f>IF(AND(($D40+$C$1)&gt;AM$3,AM$3&gt;=$C$1),'General Inputs'!K$9*$G40,IF(AND(($C40+$C$1)&gt;AM$3,AM$3&gt;=$C$1),'General Inputs'!K$9*$F40,0))</f>
        <v>33.308755472274669</v>
      </c>
      <c r="AN40" s="214">
        <f>IF(AND(($D40+$C$1)&gt;AN$3,AN$3&gt;=$C$1),'General Inputs'!L$9*$G40,IF(AND(($C40+$C$1)&gt;AN$3,AN$3&gt;=$C$1),'General Inputs'!L$9*$F40,0))</f>
        <v>33.808386804358783</v>
      </c>
      <c r="AO40" s="214">
        <f>IF(AND(($D40+$C$1)&gt;AO$3,AO$3&gt;=$C$1),'General Inputs'!M$9*$G40,IF(AND(($C40+$C$1)&gt;AO$3,AO$3&gt;=$C$1),'General Inputs'!M$9*$F40,0))</f>
        <v>34.315512606424164</v>
      </c>
      <c r="AP40" s="214">
        <f>IF(AND(($D40+$C$1)&gt;AP$3,AP$3&gt;=$C$1),'General Inputs'!N$9*$G40,IF(AND(($C40+$C$1)&gt;AP$3,AP$3&gt;=$C$1),'General Inputs'!N$9*$F40,0))</f>
        <v>34.83024529552052</v>
      </c>
      <c r="AQ40" s="214">
        <f>IF(AND(($D40+$C$1)&gt;AQ$3,AQ$3&gt;=$C$1),'General Inputs'!O$9*$G40,IF(AND(($C40+$C$1)&gt;AQ$3,AQ$3&gt;=$C$1),'General Inputs'!O$9*$F40,0))</f>
        <v>35.352698974953327</v>
      </c>
      <c r="AR40" s="214">
        <f>IF(AND(($D40+$C$1)&gt;AR$3,AR$3&gt;=$C$1),'General Inputs'!P$9*$G40,IF(AND(($C40+$C$1)&gt;AR$3,AR$3&gt;=$C$1),'General Inputs'!P$9*$F40,0))</f>
        <v>35.882989459577622</v>
      </c>
      <c r="AS40" s="214">
        <f>IF(AND(($D40+$C$1)&gt;AS$3,AS$3&gt;=$C$1),'General Inputs'!Q$9*$G40,IF(AND(($C40+$C$1)&gt;AS$3,AS$3&gt;=$C$1),'General Inputs'!Q$9*$F40,0))</f>
        <v>36.421234301471287</v>
      </c>
      <c r="AT40" s="214">
        <f>IF(AND(($D40+$C$1)&gt;AT$3,AT$3&gt;=$C$1),'General Inputs'!R$9*$G40,IF(AND(($C40+$C$1)&gt;AT$3,AT$3&gt;=$C$1),'General Inputs'!R$9*$F40,0))</f>
        <v>36.967552815993351</v>
      </c>
      <c r="AU40" s="214">
        <f>IF(AND(($D40+$C$1)&gt;AU$3,AU$3&gt;=$C$1),'General Inputs'!S$9*$G40,IF(AND(($C40+$C$1)&gt;AU$3,AU$3&gt;=$C$1),'General Inputs'!S$9*$F40,0))</f>
        <v>37.522066108233247</v>
      </c>
      <c r="AV40" s="214">
        <f>IF(AND(($D40+$C$1)&gt;AV$3,AV$3&gt;=$C$1),'General Inputs'!T$9*$G40,IF(AND(($C40+$C$1)&gt;AV$3,AV$3&gt;=$C$1),'General Inputs'!T$9*$F40,0))</f>
        <v>38.084897099856747</v>
      </c>
      <c r="AW40" s="214">
        <f>IF(AND(($D40+$C$1)&gt;AW$3,AW$3&gt;=$C$1),'General Inputs'!U$9*$G40,IF(AND(($C40+$C$1)&gt;AW$3,AW$3&gt;=$C$1),'General Inputs'!U$9*$F40,0))</f>
        <v>38.656170556354596</v>
      </c>
      <c r="AX40" s="214">
        <f>IF(AND(($D40+$C$1)&gt;AX$3,AX$3&gt;=$C$1),'General Inputs'!V$9*$G40,IF(AND(($C40+$C$1)&gt;AX$3,AX$3&gt;=$C$1),'General Inputs'!V$9*$F40,0))</f>
        <v>39.236013114699908</v>
      </c>
      <c r="AY40" s="214">
        <f>IF(AND(($D40+$C$1)&gt;AY$3,AY$3&gt;=$C$1),'General Inputs'!W$9*$G40,IF(AND(($C40+$C$1)&gt;AY$3,AY$3&gt;=$C$1),'General Inputs'!W$9*$F40,0))</f>
        <v>39.824553311420402</v>
      </c>
      <c r="BA40" s="214">
        <f>IF(AND(($D40+$C$1)&gt;AF$3,AF$3&gt;=$C$1),'General Inputs'!D$10*$I40,IF(AND(($C40+$C$1)&gt;AF$3,AF$3&gt;=$C$1),'General Inputs'!D$10*$H40,0))</f>
        <v>0</v>
      </c>
      <c r="BB40" s="214">
        <f>IF(AND(($D40+$C$1)&gt;AG$3,AG$3&gt;=$C$1),'General Inputs'!E$10*$I40,IF(AND(($C40+$C$1)&gt;AG$3,AG$3&gt;=$C$1),'General Inputs'!E$10*$H40,0))</f>
        <v>1.0454834050370583</v>
      </c>
      <c r="BC40" s="214">
        <f>IF(AND(($D40+$C$1)&gt;AH$3,AH$3&gt;=$C$1),'General Inputs'!F$10*$I40,IF(AND(($C40+$C$1)&gt;AH$3,AH$3&gt;=$C$1),'General Inputs'!F$10*$H40,0))</f>
        <v>1.0611656561126142</v>
      </c>
      <c r="BD40" s="214">
        <f>IF(AND(($D40+$C$1)&gt;AI$3,AI$3&gt;=$C$1),'General Inputs'!G$10*$I40,IF(AND(($C40+$C$1)&gt;AI$3,AI$3&gt;=$C$1),'General Inputs'!G$10*$H40,0))</f>
        <v>1.0770831409543031</v>
      </c>
      <c r="BE40" s="214">
        <f>IF(AND(($D40+$C$1)&gt;AJ$3,AJ$3&gt;=$C$1),'General Inputs'!H$10*$I40,IF(AND(($C40+$C$1)&gt;AJ$3,AJ$3&gt;=$C$1),'General Inputs'!H$10*$H40,0))</f>
        <v>1.0932393880686178</v>
      </c>
      <c r="BF40" s="214">
        <f>IF(AND(($D40+$C$1)&gt;AK$3,AK$3&gt;=$C$1),'General Inputs'!I$10*$I40,IF(AND(($C40+$C$1)&gt;AK$3,AK$3&gt;=$C$1),'General Inputs'!I$10*$H40,0))</f>
        <v>1.1096379788896467</v>
      </c>
      <c r="BG40" s="214">
        <f>IF(AND(($D40+$C$1)&gt;AL$3,AL$3&gt;=$C$1),'General Inputs'!J$10*$I40,IF(AND(($C40+$C$1)&gt;AL$3,AL$3&gt;=$C$1),'General Inputs'!J$10*$H40,0))</f>
        <v>1.1262825485729913</v>
      </c>
      <c r="BH40" s="214">
        <f>IF(AND(($D40+$C$1)&gt;AM$3,AM$3&gt;=$C$1),'General Inputs'!K$10*$I40,IF(AND(($C40+$C$1)&gt;AM$3,AM$3&gt;=$C$1),'General Inputs'!K$10*$H40,0))</f>
        <v>1.1431767868015861</v>
      </c>
      <c r="BI40" s="214">
        <f>IF(AND(($D40+$C$1)&gt;AN$3,AN$3&gt;=$C$1),'General Inputs'!L$10*$I40,IF(AND(($C40+$C$1)&gt;AN$3,AN$3&gt;=$C$1),'General Inputs'!L$10*$H40,0))</f>
        <v>1.1603244386036098</v>
      </c>
      <c r="BJ40" s="214">
        <f>IF(AND(($D40+$C$1)&gt;AO$3,AO$3&gt;=$C$1),'General Inputs'!M$10*$I40,IF(AND(($C40+$C$1)&gt;AO$3,AO$3&gt;=$C$1),'General Inputs'!M$10*$H40,0))</f>
        <v>1.1777293051826638</v>
      </c>
      <c r="BK40" s="214">
        <f>IF(AND(($D40+$C$1)&gt;AP$3,AP$3&gt;=$C$1),'General Inputs'!N$10*$I40,IF(AND(($C40+$C$1)&gt;AP$3,AP$3&gt;=$C$1),'General Inputs'!N$10*$H40,0))</f>
        <v>1.1953952447604037</v>
      </c>
      <c r="BL40" s="214">
        <f>IF(AND(($D40+$C$1)&gt;AQ$3,AQ$3&gt;=$C$1),'General Inputs'!O$10*$I40,IF(AND(($C40+$C$1)&gt;AQ$3,AQ$3&gt;=$C$1),'General Inputs'!O$10*$H40,0))</f>
        <v>1.2133261734318097</v>
      </c>
      <c r="BM40" s="214">
        <f>IF(AND(($D40+$C$1)&gt;AR$3,AR$3&gt;=$C$1),'General Inputs'!P$10*$I40,IF(AND(($C40+$C$1)&gt;AR$3,AR$3&gt;=$C$1),'General Inputs'!P$10*$H40,0))</f>
        <v>1.2315260660332867</v>
      </c>
      <c r="BN40" s="214">
        <f>IF(AND(($D40+$C$1)&gt;AS$3,AS$3&gt;=$C$1),'General Inputs'!Q$10*$I40,IF(AND(($C40+$C$1)&gt;AS$3,AS$3&gt;=$C$1),'General Inputs'!Q$10*$H40,0))</f>
        <v>1.2499989570237859</v>
      </c>
      <c r="BO40" s="214">
        <f>IF(AND(($D40+$C$1)&gt;AT$3,AT$3&gt;=$C$1),'General Inputs'!R$10*$I40,IF(AND(($C40+$C$1)&gt;AT$3,AT$3&gt;=$C$1),'General Inputs'!R$10*$H40,0))</f>
        <v>1.2687489413791424</v>
      </c>
      <c r="BP40" s="214">
        <f>IF(AND(($D40+$C$1)&gt;AU$3,AU$3&gt;=$C$1),'General Inputs'!S$10*$I40,IF(AND(($C40+$C$1)&gt;AU$3,AU$3&gt;=$C$1),'General Inputs'!S$10*$H40,0))</f>
        <v>1.2877801754998295</v>
      </c>
      <c r="BQ40" s="214">
        <f>IF(AND(($D40+$C$1)&gt;AV$3,AV$3&gt;=$C$1),'General Inputs'!T$10*$I40,IF(AND(($C40+$C$1)&gt;AV$3,AV$3&gt;=$C$1),'General Inputs'!T$10*$H40,0))</f>
        <v>1.3070968781323269</v>
      </c>
      <c r="BR40" s="214">
        <f>IF(AND(($D40+$C$1)&gt;AW$3,AW$3&gt;=$C$1),'General Inputs'!U$10*$I40,IF(AND(($C40+$C$1)&gt;AW$3,AW$3&gt;=$C$1),'General Inputs'!U$10*$H40,0))</f>
        <v>1.3267033313043117</v>
      </c>
      <c r="BS40" s="214">
        <f>IF(AND(($D40+$C$1)&gt;AX$3,AX$3&gt;=$C$1),'General Inputs'!V$10*$I40,IF(AND(($C40+$C$1)&gt;AX$3,AX$3&gt;=$C$1),'General Inputs'!V$10*$H40,0))</f>
        <v>1.3466038812738761</v>
      </c>
      <c r="BT40" s="214">
        <f>IF(AND(($D40+$C$1)&gt;AY$3,AY$3&gt;=$C$1),'General Inputs'!W$10*$I40,IF(AND(($C40+$C$1)&gt;AY$3,AY$3&gt;=$C$1),'General Inputs'!W$10*$H40,0))</f>
        <v>1.3668029394929841</v>
      </c>
    </row>
    <row r="41" spans="1:72">
      <c r="A41" s="341" t="s">
        <v>12</v>
      </c>
      <c r="B41" s="427" t="str">
        <f>Sources!B41</f>
        <v>Ductless Mini-Split SEER 21</v>
      </c>
      <c r="C41" s="193">
        <f>Sources!C41</f>
        <v>18</v>
      </c>
      <c r="D41" s="193">
        <f>Sources!D41</f>
        <v>0</v>
      </c>
      <c r="F41" s="429">
        <f>Sources!F41*EnergyLineLoss</f>
        <v>1273.0155616724742</v>
      </c>
      <c r="G41" s="429">
        <f>Sources!G41*EnergyLineLoss</f>
        <v>0</v>
      </c>
      <c r="H41" s="477">
        <f>Sources!H41*PeakLineLoss</f>
        <v>0.58412153215077611</v>
      </c>
      <c r="I41" s="477">
        <f>Sources!I41*PeakLineLoss</f>
        <v>0</v>
      </c>
      <c r="K41" s="419">
        <f>Sources!J41</f>
        <v>1055.8714961155604</v>
      </c>
      <c r="L41" s="419">
        <f>Sources!K41</f>
        <v>0</v>
      </c>
      <c r="N41" s="438">
        <f t="shared" si="4"/>
        <v>0.60604585841824943</v>
      </c>
      <c r="P41" s="215">
        <f t="shared" si="0"/>
        <v>501.40119885083271</v>
      </c>
      <c r="Q41" s="215">
        <f t="shared" si="1"/>
        <v>86.532049258976258</v>
      </c>
      <c r="R41" s="215">
        <f t="shared" si="2"/>
        <v>970.11346574380775</v>
      </c>
      <c r="T41" s="214">
        <f t="shared" si="9"/>
        <v>0</v>
      </c>
      <c r="U41" s="214">
        <f t="shared" si="9"/>
        <v>1055.8714961155604</v>
      </c>
      <c r="V41" s="214">
        <f t="shared" si="9"/>
        <v>0</v>
      </c>
      <c r="W41" s="214">
        <f t="shared" si="9"/>
        <v>0</v>
      </c>
      <c r="X41" s="214">
        <f t="shared" si="9"/>
        <v>0</v>
      </c>
      <c r="Y41" s="214">
        <f t="shared" si="9"/>
        <v>0</v>
      </c>
      <c r="Z41" s="214">
        <f t="shared" si="9"/>
        <v>0</v>
      </c>
      <c r="AA41" s="214">
        <f t="shared" si="9"/>
        <v>0</v>
      </c>
      <c r="AB41" s="214">
        <f t="shared" si="9"/>
        <v>0</v>
      </c>
      <c r="AC41" s="214">
        <f t="shared" si="9"/>
        <v>0</v>
      </c>
      <c r="AD41" s="214">
        <f t="shared" si="9"/>
        <v>0</v>
      </c>
      <c r="AF41" s="214">
        <f>IF(AND(($D41+$C$1)&gt;AF$3,AF$3&gt;=$C$1),'General Inputs'!D$9*$G41,IF(AND(($C41+$C$1)&gt;AF$3,AF$3&gt;=$C$1),'General Inputs'!D$9*$F41,0))</f>
        <v>0</v>
      </c>
      <c r="AG41" s="214">
        <f>IF(AND(($D41+$C$1)&gt;AG$3,AG$3&gt;=$C$1),'General Inputs'!E$9*$G41,IF(AND(($C41+$C$1)&gt;AG$3,AG$3&gt;=$C$1),'General Inputs'!E$9*$F41,0))</f>
        <v>51.441862862530343</v>
      </c>
      <c r="AH41" s="214">
        <f>IF(AND(($D41+$C$1)&gt;AH$3,AH$3&gt;=$C$1),'General Inputs'!F$9*$G41,IF(AND(($C41+$C$1)&gt;AH$3,AH$3&gt;=$C$1),'General Inputs'!F$9*$F41,0))</f>
        <v>52.21349080546829</v>
      </c>
      <c r="AI41" s="214">
        <f>IF(AND(($D41+$C$1)&gt;AI$3,AI$3&gt;=$C$1),'General Inputs'!G$9*$G41,IF(AND(($C41+$C$1)&gt;AI$3,AI$3&gt;=$C$1),'General Inputs'!G$9*$F41,0))</f>
        <v>52.996693167550312</v>
      </c>
      <c r="AJ41" s="214">
        <f>IF(AND(($D41+$C$1)&gt;AJ$3,AJ$3&gt;=$C$1),'General Inputs'!H$9*$G41,IF(AND(($C41+$C$1)&gt;AJ$3,AJ$3&gt;=$C$1),'General Inputs'!H$9*$F41,0))</f>
        <v>53.791643565063559</v>
      </c>
      <c r="AK41" s="214">
        <f>IF(AND(($D41+$C$1)&gt;AK$3,AK$3&gt;=$C$1),'General Inputs'!I$9*$G41,IF(AND(($C41+$C$1)&gt;AK$3,AK$3&gt;=$C$1),'General Inputs'!I$9*$F41,0))</f>
        <v>54.598518218539503</v>
      </c>
      <c r="AL41" s="214">
        <f>IF(AND(($D41+$C$1)&gt;AL$3,AL$3&gt;=$C$1),'General Inputs'!J$9*$G41,IF(AND(($C41+$C$1)&gt;AL$3,AL$3&gt;=$C$1),'General Inputs'!J$9*$F41,0))</f>
        <v>55.417495991817589</v>
      </c>
      <c r="AM41" s="214">
        <f>IF(AND(($D41+$C$1)&gt;AM$3,AM$3&gt;=$C$1),'General Inputs'!K$9*$G41,IF(AND(($C41+$C$1)&gt;AM$3,AM$3&gt;=$C$1),'General Inputs'!K$9*$F41,0))</f>
        <v>56.248758431694839</v>
      </c>
      <c r="AN41" s="214">
        <f>IF(AND(($D41+$C$1)&gt;AN$3,AN$3&gt;=$C$1),'General Inputs'!L$9*$G41,IF(AND(($C41+$C$1)&gt;AN$3,AN$3&gt;=$C$1),'General Inputs'!L$9*$F41,0))</f>
        <v>57.092489808170257</v>
      </c>
      <c r="AO41" s="214">
        <f>IF(AND(($D41+$C$1)&gt;AO$3,AO$3&gt;=$C$1),'General Inputs'!M$9*$G41,IF(AND(($C41+$C$1)&gt;AO$3,AO$3&gt;=$C$1),'General Inputs'!M$9*$F41,0))</f>
        <v>57.948877155292806</v>
      </c>
      <c r="AP41" s="214">
        <f>IF(AND(($D41+$C$1)&gt;AP$3,AP$3&gt;=$C$1),'General Inputs'!N$9*$G41,IF(AND(($C41+$C$1)&gt;AP$3,AP$3&gt;=$C$1),'General Inputs'!N$9*$F41,0))</f>
        <v>58.818110312622196</v>
      </c>
      <c r="AQ41" s="214">
        <f>IF(AND(($D41+$C$1)&gt;AQ$3,AQ$3&gt;=$C$1),'General Inputs'!O$9*$G41,IF(AND(($C41+$C$1)&gt;AQ$3,AQ$3&gt;=$C$1),'General Inputs'!O$9*$F41,0))</f>
        <v>59.700381967311522</v>
      </c>
      <c r="AR41" s="214">
        <f>IF(AND(($D41+$C$1)&gt;AR$3,AR$3&gt;=$C$1),'General Inputs'!P$9*$G41,IF(AND(($C41+$C$1)&gt;AR$3,AR$3&gt;=$C$1),'General Inputs'!P$9*$F41,0))</f>
        <v>60.595887696821187</v>
      </c>
      <c r="AS41" s="214">
        <f>IF(AND(($D41+$C$1)&gt;AS$3,AS$3&gt;=$C$1),'General Inputs'!Q$9*$G41,IF(AND(($C41+$C$1)&gt;AS$3,AS$3&gt;=$C$1),'General Inputs'!Q$9*$F41,0))</f>
        <v>61.504826012273497</v>
      </c>
      <c r="AT41" s="214">
        <f>IF(AND(($D41+$C$1)&gt;AT$3,AT$3&gt;=$C$1),'General Inputs'!R$9*$G41,IF(AND(($C41+$C$1)&gt;AT$3,AT$3&gt;=$C$1),'General Inputs'!R$9*$F41,0))</f>
        <v>62.427398402457598</v>
      </c>
      <c r="AU41" s="214">
        <f>IF(AND(($D41+$C$1)&gt;AU$3,AU$3&gt;=$C$1),'General Inputs'!S$9*$G41,IF(AND(($C41+$C$1)&gt;AU$3,AU$3&gt;=$C$1),'General Inputs'!S$9*$F41,0))</f>
        <v>63.363809378494459</v>
      </c>
      <c r="AV41" s="214">
        <f>IF(AND(($D41+$C$1)&gt;AV$3,AV$3&gt;=$C$1),'General Inputs'!T$9*$G41,IF(AND(($C41+$C$1)&gt;AV$3,AV$3&gt;=$C$1),'General Inputs'!T$9*$F41,0))</f>
        <v>64.314266519171866</v>
      </c>
      <c r="AW41" s="214">
        <f>IF(AND(($D41+$C$1)&gt;AW$3,AW$3&gt;=$C$1),'General Inputs'!U$9*$G41,IF(AND(($C41+$C$1)&gt;AW$3,AW$3&gt;=$C$1),'General Inputs'!U$9*$F41,0))</f>
        <v>65.27898051695945</v>
      </c>
      <c r="AX41" s="214">
        <f>IF(AND(($D41+$C$1)&gt;AX$3,AX$3&gt;=$C$1),'General Inputs'!V$9*$G41,IF(AND(($C41+$C$1)&gt;AX$3,AX$3&gt;=$C$1),'General Inputs'!V$9*$F41,0))</f>
        <v>66.258165224713835</v>
      </c>
      <c r="AY41" s="214">
        <f>IF(AND(($D41+$C$1)&gt;AY$3,AY$3&gt;=$C$1),'General Inputs'!W$9*$G41,IF(AND(($C41+$C$1)&gt;AY$3,AY$3&gt;=$C$1),'General Inputs'!W$9*$F41,0))</f>
        <v>0</v>
      </c>
      <c r="BA41" s="214">
        <f>IF(AND(($D41+$C$1)&gt;AF$3,AF$3&gt;=$C$1),'General Inputs'!D$10*$I41,IF(AND(($C41+$C$1)&gt;AF$3,AF$3&gt;=$C$1),'General Inputs'!D$10*$H41,0))</f>
        <v>0</v>
      </c>
      <c r="BB41" s="214">
        <f>IF(AND(($D41+$C$1)&gt;AG$3,AG$3&gt;=$C$1),'General Inputs'!E$10*$I41,IF(AND(($C41+$C$1)&gt;AG$3,AG$3&gt;=$C$1),'General Inputs'!E$10*$H41,0))</f>
        <v>8.8778603270118293</v>
      </c>
      <c r="BC41" s="214">
        <f>IF(AND(($D41+$C$1)&gt;AH$3,AH$3&gt;=$C$1),'General Inputs'!F$10*$I41,IF(AND(($C41+$C$1)&gt;AH$3,AH$3&gt;=$C$1),'General Inputs'!F$10*$H41,0))</f>
        <v>9.0110282319170061</v>
      </c>
      <c r="BD41" s="214">
        <f>IF(AND(($D41+$C$1)&gt;AI$3,AI$3&gt;=$C$1),'General Inputs'!G$10*$I41,IF(AND(($C41+$C$1)&gt;AI$3,AI$3&gt;=$C$1),'General Inputs'!G$10*$H41,0))</f>
        <v>9.146193655395761</v>
      </c>
      <c r="BE41" s="214">
        <f>IF(AND(($D41+$C$1)&gt;AJ$3,AJ$3&gt;=$C$1),'General Inputs'!H$10*$I41,IF(AND(($C41+$C$1)&gt;AJ$3,AJ$3&gt;=$C$1),'General Inputs'!H$10*$H41,0))</f>
        <v>9.2833865602266972</v>
      </c>
      <c r="BF41" s="214">
        <f>IF(AND(($D41+$C$1)&gt;AK$3,AK$3&gt;=$C$1),'General Inputs'!I$10*$I41,IF(AND(($C41+$C$1)&gt;AK$3,AK$3&gt;=$C$1),'General Inputs'!I$10*$H41,0))</f>
        <v>9.4226373586300962</v>
      </c>
      <c r="BG41" s="214">
        <f>IF(AND(($D41+$C$1)&gt;AL$3,AL$3&gt;=$C$1),'General Inputs'!J$10*$I41,IF(AND(($C41+$C$1)&gt;AL$3,AL$3&gt;=$C$1),'General Inputs'!J$10*$H41,0))</f>
        <v>9.5639769190095461</v>
      </c>
      <c r="BH41" s="214">
        <f>IF(AND(($D41+$C$1)&gt;AM$3,AM$3&gt;=$C$1),'General Inputs'!K$10*$I41,IF(AND(($C41+$C$1)&gt;AM$3,AM$3&gt;=$C$1),'General Inputs'!K$10*$H41,0))</f>
        <v>9.7074365727946876</v>
      </c>
      <c r="BI41" s="214">
        <f>IF(AND(($D41+$C$1)&gt;AN$3,AN$3&gt;=$C$1),'General Inputs'!L$10*$I41,IF(AND(($C41+$C$1)&gt;AN$3,AN$3&gt;=$C$1),'General Inputs'!L$10*$H41,0))</f>
        <v>9.8530481213866086</v>
      </c>
      <c r="BJ41" s="214">
        <f>IF(AND(($D41+$C$1)&gt;AO$3,AO$3&gt;=$C$1),'General Inputs'!M$10*$I41,IF(AND(($C41+$C$1)&gt;AO$3,AO$3&gt;=$C$1),'General Inputs'!M$10*$H41,0))</f>
        <v>10.000843843207408</v>
      </c>
      <c r="BK41" s="214">
        <f>IF(AND(($D41+$C$1)&gt;AP$3,AP$3&gt;=$C$1),'General Inputs'!N$10*$I41,IF(AND(($C41+$C$1)&gt;AP$3,AP$3&gt;=$C$1),'General Inputs'!N$10*$H41,0))</f>
        <v>10.150856500855516</v>
      </c>
      <c r="BL41" s="214">
        <f>IF(AND(($D41+$C$1)&gt;AQ$3,AQ$3&gt;=$C$1),'General Inputs'!O$10*$I41,IF(AND(($C41+$C$1)&gt;AQ$3,AQ$3&gt;=$C$1),'General Inputs'!O$10*$H41,0))</f>
        <v>10.303119348368348</v>
      </c>
      <c r="BM41" s="214">
        <f>IF(AND(($D41+$C$1)&gt;AR$3,AR$3&gt;=$C$1),'General Inputs'!P$10*$I41,IF(AND(($C41+$C$1)&gt;AR$3,AR$3&gt;=$C$1),'General Inputs'!P$10*$H41,0))</f>
        <v>10.457666138593872</v>
      </c>
      <c r="BN41" s="214">
        <f>IF(AND(($D41+$C$1)&gt;AS$3,AS$3&gt;=$C$1),'General Inputs'!Q$10*$I41,IF(AND(($C41+$C$1)&gt;AS$3,AS$3&gt;=$C$1),'General Inputs'!Q$10*$H41,0))</f>
        <v>10.614531130672781</v>
      </c>
      <c r="BO41" s="214">
        <f>IF(AND(($D41+$C$1)&gt;AT$3,AT$3&gt;=$C$1),'General Inputs'!R$10*$I41,IF(AND(($C41+$C$1)&gt;AT$3,AT$3&gt;=$C$1),'General Inputs'!R$10*$H41,0))</f>
        <v>10.773749097632869</v>
      </c>
      <c r="BP41" s="214">
        <f>IF(AND(($D41+$C$1)&gt;AU$3,AU$3&gt;=$C$1),'General Inputs'!S$10*$I41,IF(AND(($C41+$C$1)&gt;AU$3,AU$3&gt;=$C$1),'General Inputs'!S$10*$H41,0))</f>
        <v>10.935355334097363</v>
      </c>
      <c r="BQ41" s="214">
        <f>IF(AND(($D41+$C$1)&gt;AV$3,AV$3&gt;=$C$1),'General Inputs'!T$10*$I41,IF(AND(($C41+$C$1)&gt;AV$3,AV$3&gt;=$C$1),'General Inputs'!T$10*$H41,0))</f>
        <v>11.099385664108821</v>
      </c>
      <c r="BR41" s="214">
        <f>IF(AND(($D41+$C$1)&gt;AW$3,AW$3&gt;=$C$1),'General Inputs'!U$10*$I41,IF(AND(($C41+$C$1)&gt;AW$3,AW$3&gt;=$C$1),'General Inputs'!U$10*$H41,0))</f>
        <v>11.265876449070452</v>
      </c>
      <c r="BS41" s="214">
        <f>IF(AND(($D41+$C$1)&gt;AX$3,AX$3&gt;=$C$1),'General Inputs'!V$10*$I41,IF(AND(($C41+$C$1)&gt;AX$3,AX$3&gt;=$C$1),'General Inputs'!V$10*$H41,0))</f>
        <v>11.434864595806507</v>
      </c>
      <c r="BT41" s="214">
        <f>IF(AND(($D41+$C$1)&gt;AY$3,AY$3&gt;=$C$1),'General Inputs'!W$10*$I41,IF(AND(($C41+$C$1)&gt;AY$3,AY$3&gt;=$C$1),'General Inputs'!W$10*$H41,0))</f>
        <v>0</v>
      </c>
    </row>
    <row r="42" spans="1:72">
      <c r="A42" s="341" t="s">
        <v>12</v>
      </c>
      <c r="B42" s="427" t="str">
        <f>Sources!B42</f>
        <v>Geothermal EER ≥21</v>
      </c>
      <c r="C42" s="193">
        <f>Sources!C42</f>
        <v>18</v>
      </c>
      <c r="D42" s="193">
        <f>Sources!D42</f>
        <v>0</v>
      </c>
      <c r="F42" s="429">
        <f>Sources!F42*EnergyLineLoss</f>
        <v>5187.9964220182746</v>
      </c>
      <c r="G42" s="429">
        <f>Sources!G42*EnergyLineLoss</f>
        <v>0</v>
      </c>
      <c r="H42" s="477">
        <f>Sources!H42*PeakLineLoss</f>
        <v>0.81139897673293904</v>
      </c>
      <c r="I42" s="477">
        <f>Sources!I42*PeakLineLoss</f>
        <v>0</v>
      </c>
      <c r="K42" s="419">
        <f>Sources!J42</f>
        <v>1230</v>
      </c>
      <c r="L42" s="419">
        <f>Sources!K42</f>
        <v>0</v>
      </c>
      <c r="N42" s="438">
        <f t="shared" si="4"/>
        <v>1.9145144669005636</v>
      </c>
      <c r="P42" s="215">
        <f t="shared" si="0"/>
        <v>2043.3902804897969</v>
      </c>
      <c r="Q42" s="215">
        <f t="shared" si="1"/>
        <v>120.20104097996885</v>
      </c>
      <c r="R42" s="215">
        <f t="shared" si="2"/>
        <v>1130.0992282249172</v>
      </c>
      <c r="T42" s="214">
        <f t="shared" si="9"/>
        <v>0</v>
      </c>
      <c r="U42" s="214">
        <f t="shared" si="9"/>
        <v>1230</v>
      </c>
      <c r="V42" s="214">
        <f t="shared" si="9"/>
        <v>0</v>
      </c>
      <c r="W42" s="214">
        <f t="shared" si="9"/>
        <v>0</v>
      </c>
      <c r="X42" s="214">
        <f t="shared" si="9"/>
        <v>0</v>
      </c>
      <c r="Y42" s="214">
        <f t="shared" si="9"/>
        <v>0</v>
      </c>
      <c r="Z42" s="214">
        <f t="shared" si="9"/>
        <v>0</v>
      </c>
      <c r="AA42" s="214">
        <f t="shared" si="9"/>
        <v>0</v>
      </c>
      <c r="AB42" s="214">
        <f t="shared" si="9"/>
        <v>0</v>
      </c>
      <c r="AC42" s="214">
        <f t="shared" si="9"/>
        <v>0</v>
      </c>
      <c r="AD42" s="214">
        <f t="shared" si="9"/>
        <v>0</v>
      </c>
      <c r="AF42" s="214">
        <f>IF(AND(($D42+$C$1)&gt;AF$3,AF$3&gt;=$C$1),'General Inputs'!D$9*$G42,IF(AND(($C42+$C$1)&gt;AF$3,AF$3&gt;=$C$1),'General Inputs'!D$9*$F42,0))</f>
        <v>0</v>
      </c>
      <c r="AG42" s="214">
        <f>IF(AND(($D42+$C$1)&gt;AG$3,AG$3&gt;=$C$1),'General Inputs'!E$9*$G42,IF(AND(($C42+$C$1)&gt;AG$3,AG$3&gt;=$C$1),'General Inputs'!E$9*$F42,0))</f>
        <v>209.64409902588923</v>
      </c>
      <c r="AH42" s="214">
        <f>IF(AND(($D42+$C$1)&gt;AH$3,AH$3&gt;=$C$1),'General Inputs'!F$9*$G42,IF(AND(($C42+$C$1)&gt;AH$3,AH$3&gt;=$C$1),'General Inputs'!F$9*$F42,0))</f>
        <v>212.78876051127753</v>
      </c>
      <c r="AI42" s="214">
        <f>IF(AND(($D42+$C$1)&gt;AI$3,AI$3&gt;=$C$1),'General Inputs'!G$9*$G42,IF(AND(($C42+$C$1)&gt;AI$3,AI$3&gt;=$C$1),'General Inputs'!G$9*$F42,0))</f>
        <v>215.98059191894669</v>
      </c>
      <c r="AJ42" s="214">
        <f>IF(AND(($D42+$C$1)&gt;AJ$3,AJ$3&gt;=$C$1),'General Inputs'!H$9*$G42,IF(AND(($C42+$C$1)&gt;AJ$3,AJ$3&gt;=$C$1),'General Inputs'!H$9*$F42,0))</f>
        <v>219.22030079773086</v>
      </c>
      <c r="AK42" s="214">
        <f>IF(AND(($D42+$C$1)&gt;AK$3,AK$3&gt;=$C$1),'General Inputs'!I$9*$G42,IF(AND(($C42+$C$1)&gt;AK$3,AK$3&gt;=$C$1),'General Inputs'!I$9*$F42,0))</f>
        <v>222.50860530969678</v>
      </c>
      <c r="AL42" s="214">
        <f>IF(AND(($D42+$C$1)&gt;AL$3,AL$3&gt;=$C$1),'General Inputs'!J$9*$G42,IF(AND(($C42+$C$1)&gt;AL$3,AL$3&gt;=$C$1),'General Inputs'!J$9*$F42,0))</f>
        <v>225.84623438934221</v>
      </c>
      <c r="AM42" s="214">
        <f>IF(AND(($D42+$C$1)&gt;AM$3,AM$3&gt;=$C$1),'General Inputs'!K$9*$G42,IF(AND(($C42+$C$1)&gt;AM$3,AM$3&gt;=$C$1),'General Inputs'!K$9*$F42,0))</f>
        <v>229.2339279051823</v>
      </c>
      <c r="AN42" s="214">
        <f>IF(AND(($D42+$C$1)&gt;AN$3,AN$3&gt;=$C$1),'General Inputs'!L$9*$G42,IF(AND(($C42+$C$1)&gt;AN$3,AN$3&gt;=$C$1),'General Inputs'!L$9*$F42,0))</f>
        <v>232.67243682376002</v>
      </c>
      <c r="AO42" s="214">
        <f>IF(AND(($D42+$C$1)&gt;AO$3,AO$3&gt;=$C$1),'General Inputs'!M$9*$G42,IF(AND(($C42+$C$1)&gt;AO$3,AO$3&gt;=$C$1),'General Inputs'!M$9*$F42,0))</f>
        <v>236.16252337611638</v>
      </c>
      <c r="AP42" s="214">
        <f>IF(AND(($D42+$C$1)&gt;AP$3,AP$3&gt;=$C$1),'General Inputs'!N$9*$G42,IF(AND(($C42+$C$1)&gt;AP$3,AP$3&gt;=$C$1),'General Inputs'!N$9*$F42,0))</f>
        <v>239.70496122675812</v>
      </c>
      <c r="AQ42" s="214">
        <f>IF(AND(($D42+$C$1)&gt;AQ$3,AQ$3&gt;=$C$1),'General Inputs'!O$9*$G42,IF(AND(($C42+$C$1)&gt;AQ$3,AQ$3&gt;=$C$1),'General Inputs'!O$9*$F42,0))</f>
        <v>243.30053564515944</v>
      </c>
      <c r="AR42" s="214">
        <f>IF(AND(($D42+$C$1)&gt;AR$3,AR$3&gt;=$C$1),'General Inputs'!P$9*$G42,IF(AND(($C42+$C$1)&gt;AR$3,AR$3&gt;=$C$1),'General Inputs'!P$9*$F42,0))</f>
        <v>246.95004367983682</v>
      </c>
      <c r="AS42" s="214">
        <f>IF(AND(($D42+$C$1)&gt;AS$3,AS$3&gt;=$C$1),'General Inputs'!Q$9*$G42,IF(AND(($C42+$C$1)&gt;AS$3,AS$3&gt;=$C$1),'General Inputs'!Q$9*$F42,0))</f>
        <v>250.65429433503436</v>
      </c>
      <c r="AT42" s="214">
        <f>IF(AND(($D42+$C$1)&gt;AT$3,AT$3&gt;=$C$1),'General Inputs'!R$9*$G42,IF(AND(($C42+$C$1)&gt;AT$3,AT$3&gt;=$C$1),'General Inputs'!R$9*$F42,0))</f>
        <v>254.41410875005985</v>
      </c>
      <c r="AU42" s="214">
        <f>IF(AND(($D42+$C$1)&gt;AU$3,AU$3&gt;=$C$1),'General Inputs'!S$9*$G42,IF(AND(($C42+$C$1)&gt;AU$3,AU$3&gt;=$C$1),'General Inputs'!S$9*$F42,0))</f>
        <v>258.23032038131072</v>
      </c>
      <c r="AV42" s="214">
        <f>IF(AND(($D42+$C$1)&gt;AV$3,AV$3&gt;=$C$1),'General Inputs'!T$9*$G42,IF(AND(($C42+$C$1)&gt;AV$3,AV$3&gt;=$C$1),'General Inputs'!T$9*$F42,0))</f>
        <v>262.10377518703041</v>
      </c>
      <c r="AW42" s="214">
        <f>IF(AND(($D42+$C$1)&gt;AW$3,AW$3&gt;=$C$1),'General Inputs'!U$9*$G42,IF(AND(($C42+$C$1)&gt;AW$3,AW$3&gt;=$C$1),'General Inputs'!U$9*$F42,0))</f>
        <v>266.03533181483584</v>
      </c>
      <c r="AX42" s="214">
        <f>IF(AND(($D42+$C$1)&gt;AX$3,AX$3&gt;=$C$1),'General Inputs'!V$9*$G42,IF(AND(($C42+$C$1)&gt;AX$3,AX$3&gt;=$C$1),'General Inputs'!V$9*$F42,0))</f>
        <v>270.02586179205832</v>
      </c>
      <c r="AY42" s="214">
        <f>IF(AND(($D42+$C$1)&gt;AY$3,AY$3&gt;=$C$1),'General Inputs'!W$9*$G42,IF(AND(($C42+$C$1)&gt;AY$3,AY$3&gt;=$C$1),'General Inputs'!W$9*$F42,0))</f>
        <v>0</v>
      </c>
      <c r="BA42" s="214">
        <f>IF(AND(($D42+$C$1)&gt;AF$3,AF$3&gt;=$C$1),'General Inputs'!D$10*$I42,IF(AND(($C42+$C$1)&gt;AF$3,AF$3&gt;=$C$1),'General Inputs'!D$10*$H42,0))</f>
        <v>0</v>
      </c>
      <c r="BB42" s="214">
        <f>IF(AND(($D42+$C$1)&gt;AG$3,AG$3&gt;=$C$1),'General Inputs'!E$10*$I42,IF(AND(($C42+$C$1)&gt;AG$3,AG$3&gt;=$C$1),'General Inputs'!E$10*$H42,0))</f>
        <v>12.33217128358822</v>
      </c>
      <c r="BC42" s="214">
        <f>IF(AND(($D42+$C$1)&gt;AH$3,AH$3&gt;=$C$1),'General Inputs'!F$10*$I42,IF(AND(($C42+$C$1)&gt;AH$3,AH$3&gt;=$C$1),'General Inputs'!F$10*$H42,0))</f>
        <v>12.517153852842043</v>
      </c>
      <c r="BD42" s="214">
        <f>IF(AND(($D42+$C$1)&gt;AI$3,AI$3&gt;=$C$1),'General Inputs'!G$10*$I42,IF(AND(($C42+$C$1)&gt;AI$3,AI$3&gt;=$C$1),'General Inputs'!G$10*$H42,0))</f>
        <v>12.704911160634673</v>
      </c>
      <c r="BE42" s="214">
        <f>IF(AND(($D42+$C$1)&gt;AJ$3,AJ$3&gt;=$C$1),'General Inputs'!H$10*$I42,IF(AND(($C42+$C$1)&gt;AJ$3,AJ$3&gt;=$C$1),'General Inputs'!H$10*$H42,0))</f>
        <v>12.895484828044191</v>
      </c>
      <c r="BF42" s="214">
        <f>IF(AND(($D42+$C$1)&gt;AK$3,AK$3&gt;=$C$1),'General Inputs'!I$10*$I42,IF(AND(($C42+$C$1)&gt;AK$3,AK$3&gt;=$C$1),'General Inputs'!I$10*$H42,0))</f>
        <v>13.088917100464851</v>
      </c>
      <c r="BG42" s="214">
        <f>IF(AND(($D42+$C$1)&gt;AL$3,AL$3&gt;=$C$1),'General Inputs'!J$10*$I42,IF(AND(($C42+$C$1)&gt;AL$3,AL$3&gt;=$C$1),'General Inputs'!J$10*$H42,0))</f>
        <v>13.285250856971823</v>
      </c>
      <c r="BH42" s="214">
        <f>IF(AND(($D42+$C$1)&gt;AM$3,AM$3&gt;=$C$1),'General Inputs'!K$10*$I42,IF(AND(($C42+$C$1)&gt;AM$3,AM$3&gt;=$C$1),'General Inputs'!K$10*$H42,0))</f>
        <v>13.484529619826398</v>
      </c>
      <c r="BI42" s="214">
        <f>IF(AND(($D42+$C$1)&gt;AN$3,AN$3&gt;=$C$1),'General Inputs'!L$10*$I42,IF(AND(($C42+$C$1)&gt;AN$3,AN$3&gt;=$C$1),'General Inputs'!L$10*$H42,0))</f>
        <v>13.686797564123793</v>
      </c>
      <c r="BJ42" s="214">
        <f>IF(AND(($D42+$C$1)&gt;AO$3,AO$3&gt;=$C$1),'General Inputs'!M$10*$I42,IF(AND(($C42+$C$1)&gt;AO$3,AO$3&gt;=$C$1),'General Inputs'!M$10*$H42,0))</f>
        <v>13.892099527585652</v>
      </c>
      <c r="BK42" s="214">
        <f>IF(AND(($D42+$C$1)&gt;AP$3,AP$3&gt;=$C$1),'General Inputs'!N$10*$I42,IF(AND(($C42+$C$1)&gt;AP$3,AP$3&gt;=$C$1),'General Inputs'!N$10*$H42,0))</f>
        <v>14.100481020499434</v>
      </c>
      <c r="BL42" s="214">
        <f>IF(AND(($D42+$C$1)&gt;AQ$3,AQ$3&gt;=$C$1),'General Inputs'!O$10*$I42,IF(AND(($C42+$C$1)&gt;AQ$3,AQ$3&gt;=$C$1),'General Inputs'!O$10*$H42,0))</f>
        <v>14.311988235806924</v>
      </c>
      <c r="BM42" s="214">
        <f>IF(AND(($D42+$C$1)&gt;AR$3,AR$3&gt;=$C$1),'General Inputs'!P$10*$I42,IF(AND(($C42+$C$1)&gt;AR$3,AR$3&gt;=$C$1),'General Inputs'!P$10*$H42,0))</f>
        <v>14.526668059344026</v>
      </c>
      <c r="BN42" s="214">
        <f>IF(AND(($D42+$C$1)&gt;AS$3,AS$3&gt;=$C$1),'General Inputs'!Q$10*$I42,IF(AND(($C42+$C$1)&gt;AS$3,AS$3&gt;=$C$1),'General Inputs'!Q$10*$H42,0))</f>
        <v>14.744568080234185</v>
      </c>
      <c r="BO42" s="214">
        <f>IF(AND(($D42+$C$1)&gt;AT$3,AT$3&gt;=$C$1),'General Inputs'!R$10*$I42,IF(AND(($C42+$C$1)&gt;AT$3,AT$3&gt;=$C$1),'General Inputs'!R$10*$H42,0))</f>
        <v>14.965736601437696</v>
      </c>
      <c r="BP42" s="214">
        <f>IF(AND(($D42+$C$1)&gt;AU$3,AU$3&gt;=$C$1),'General Inputs'!S$10*$I42,IF(AND(($C42+$C$1)&gt;AU$3,AU$3&gt;=$C$1),'General Inputs'!S$10*$H42,0))</f>
        <v>15.19022265045926</v>
      </c>
      <c r="BQ42" s="214">
        <f>IF(AND(($D42+$C$1)&gt;AV$3,AV$3&gt;=$C$1),'General Inputs'!T$10*$I42,IF(AND(($C42+$C$1)&gt;AV$3,AV$3&gt;=$C$1),'General Inputs'!T$10*$H42,0))</f>
        <v>15.418075990216147</v>
      </c>
      <c r="BR42" s="214">
        <f>IF(AND(($D42+$C$1)&gt;AW$3,AW$3&gt;=$C$1),'General Inputs'!U$10*$I42,IF(AND(($C42+$C$1)&gt;AW$3,AW$3&gt;=$C$1),'General Inputs'!U$10*$H42,0))</f>
        <v>15.649347130069389</v>
      </c>
      <c r="BS42" s="214">
        <f>IF(AND(($D42+$C$1)&gt;AX$3,AX$3&gt;=$C$1),'General Inputs'!V$10*$I42,IF(AND(($C42+$C$1)&gt;AX$3,AX$3&gt;=$C$1),'General Inputs'!V$10*$H42,0))</f>
        <v>15.884087337020427</v>
      </c>
      <c r="BT42" s="214">
        <f>IF(AND(($D42+$C$1)&gt;AY$3,AY$3&gt;=$C$1),'General Inputs'!W$10*$I42,IF(AND(($C42+$C$1)&gt;AY$3,AY$3&gt;=$C$1),'General Inputs'!W$10*$H42,0))</f>
        <v>0</v>
      </c>
    </row>
    <row r="43" spans="1:72">
      <c r="A43" s="341" t="s">
        <v>12</v>
      </c>
      <c r="B43" s="427" t="str">
        <f>Sources!B43</f>
        <v>Early Retirement Geothermal EER ≥21</v>
      </c>
      <c r="C43" s="193">
        <f>Sources!C43</f>
        <v>18</v>
      </c>
      <c r="D43" s="193">
        <f>Sources!D43</f>
        <v>6</v>
      </c>
      <c r="F43" s="429">
        <f>Sources!F43*EnergyLineLoss</f>
        <v>5187.9964220182746</v>
      </c>
      <c r="G43" s="429">
        <f>Sources!G43*EnergyLineLoss</f>
        <v>11718.587321318171</v>
      </c>
      <c r="H43" s="477">
        <f>Sources!H43*PeakLineLoss</f>
        <v>0.81139897673293904</v>
      </c>
      <c r="I43" s="477">
        <f>Sources!I43*PeakLineLoss</f>
        <v>1.7098151489817426</v>
      </c>
      <c r="K43" s="419">
        <f>Sources!J43</f>
        <v>2913</v>
      </c>
      <c r="L43" s="419">
        <f>Sources!K43</f>
        <v>2376</v>
      </c>
      <c r="N43" s="438">
        <f t="shared" si="4"/>
        <v>2.5364535993312223</v>
      </c>
      <c r="P43" s="215">
        <f t="shared" si="0"/>
        <v>3273.8709123626218</v>
      </c>
      <c r="Q43" s="215">
        <f t="shared" si="1"/>
        <v>183.86915452399032</v>
      </c>
      <c r="R43" s="215">
        <f t="shared" si="2"/>
        <v>1363.2183406778277</v>
      </c>
      <c r="T43" s="214">
        <f t="shared" si="9"/>
        <v>0</v>
      </c>
      <c r="U43" s="214">
        <f t="shared" si="9"/>
        <v>2913</v>
      </c>
      <c r="V43" s="214">
        <f t="shared" si="9"/>
        <v>0</v>
      </c>
      <c r="W43" s="214">
        <f t="shared" si="9"/>
        <v>0</v>
      </c>
      <c r="X43" s="214">
        <f t="shared" si="9"/>
        <v>0</v>
      </c>
      <c r="Y43" s="214">
        <f t="shared" si="9"/>
        <v>0</v>
      </c>
      <c r="Z43" s="214">
        <f t="shared" si="9"/>
        <v>0</v>
      </c>
      <c r="AA43" s="214">
        <f t="shared" si="9"/>
        <v>-2376</v>
      </c>
      <c r="AB43" s="214">
        <f t="shared" si="9"/>
        <v>0</v>
      </c>
      <c r="AC43" s="214">
        <f t="shared" si="9"/>
        <v>0</v>
      </c>
      <c r="AD43" s="214">
        <f t="shared" si="9"/>
        <v>0</v>
      </c>
      <c r="AF43" s="214">
        <f>IF(AND(($D43+$C$1)&gt;AF$3,AF$3&gt;=$C$1),'General Inputs'!D$9*$G43,IF(AND(($C43+$C$1)&gt;AF$3,AF$3&gt;=$C$1),'General Inputs'!D$9*$F43,0))</f>
        <v>0</v>
      </c>
      <c r="AG43" s="214">
        <f>IF(AND(($D43+$C$1)&gt;AG$3,AG$3&gt;=$C$1),'General Inputs'!E$9*$G43,IF(AND(($C43+$C$1)&gt;AG$3,AG$3&gt;=$C$1),'General Inputs'!E$9*$F43,0))</f>
        <v>473.54170685380296</v>
      </c>
      <c r="AH43" s="214">
        <f>IF(AND(($D43+$C$1)&gt;AH$3,AH$3&gt;=$C$1),'General Inputs'!F$9*$G43,IF(AND(($C43+$C$1)&gt;AH$3,AH$3&gt;=$C$1),'General Inputs'!F$9*$F43,0))</f>
        <v>480.64483245661</v>
      </c>
      <c r="AI43" s="214">
        <f>IF(AND(($D43+$C$1)&gt;AI$3,AI$3&gt;=$C$1),'General Inputs'!G$9*$G43,IF(AND(($C43+$C$1)&gt;AI$3,AI$3&gt;=$C$1),'General Inputs'!G$9*$F43,0))</f>
        <v>487.85450494345912</v>
      </c>
      <c r="AJ43" s="214">
        <f>IF(AND(($D43+$C$1)&gt;AJ$3,AJ$3&gt;=$C$1),'General Inputs'!H$9*$G43,IF(AND(($C43+$C$1)&gt;AJ$3,AJ$3&gt;=$C$1),'General Inputs'!H$9*$F43,0))</f>
        <v>495.17232251761089</v>
      </c>
      <c r="AK43" s="214">
        <f>IF(AND(($D43+$C$1)&gt;AK$3,AK$3&gt;=$C$1),'General Inputs'!I$9*$G43,IF(AND(($C43+$C$1)&gt;AK$3,AK$3&gt;=$C$1),'General Inputs'!I$9*$F43,0))</f>
        <v>502.59990735537502</v>
      </c>
      <c r="AL43" s="214">
        <f>IF(AND(($D43+$C$1)&gt;AL$3,AL$3&gt;=$C$1),'General Inputs'!J$9*$G43,IF(AND(($C43+$C$1)&gt;AL$3,AL$3&gt;=$C$1),'General Inputs'!J$9*$F43,0))</f>
        <v>510.13890596570553</v>
      </c>
      <c r="AM43" s="214">
        <f>IF(AND(($D43+$C$1)&gt;AM$3,AM$3&gt;=$C$1),'General Inputs'!K$9*$G43,IF(AND(($C43+$C$1)&gt;AM$3,AM$3&gt;=$C$1),'General Inputs'!K$9*$F43,0))</f>
        <v>229.2339279051823</v>
      </c>
      <c r="AN43" s="214">
        <f>IF(AND(($D43+$C$1)&gt;AN$3,AN$3&gt;=$C$1),'General Inputs'!L$9*$G43,IF(AND(($C43+$C$1)&gt;AN$3,AN$3&gt;=$C$1),'General Inputs'!L$9*$F43,0))</f>
        <v>232.67243682376002</v>
      </c>
      <c r="AO43" s="214">
        <f>IF(AND(($D43+$C$1)&gt;AO$3,AO$3&gt;=$C$1),'General Inputs'!M$9*$G43,IF(AND(($C43+$C$1)&gt;AO$3,AO$3&gt;=$C$1),'General Inputs'!M$9*$F43,0))</f>
        <v>236.16252337611638</v>
      </c>
      <c r="AP43" s="214">
        <f>IF(AND(($D43+$C$1)&gt;AP$3,AP$3&gt;=$C$1),'General Inputs'!N$9*$G43,IF(AND(($C43+$C$1)&gt;AP$3,AP$3&gt;=$C$1),'General Inputs'!N$9*$F43,0))</f>
        <v>239.70496122675812</v>
      </c>
      <c r="AQ43" s="214">
        <f>IF(AND(($D43+$C$1)&gt;AQ$3,AQ$3&gt;=$C$1),'General Inputs'!O$9*$G43,IF(AND(($C43+$C$1)&gt;AQ$3,AQ$3&gt;=$C$1),'General Inputs'!O$9*$F43,0))</f>
        <v>243.30053564515944</v>
      </c>
      <c r="AR43" s="214">
        <f>IF(AND(($D43+$C$1)&gt;AR$3,AR$3&gt;=$C$1),'General Inputs'!P$9*$G43,IF(AND(($C43+$C$1)&gt;AR$3,AR$3&gt;=$C$1),'General Inputs'!P$9*$F43,0))</f>
        <v>246.95004367983682</v>
      </c>
      <c r="AS43" s="214">
        <f>IF(AND(($D43+$C$1)&gt;AS$3,AS$3&gt;=$C$1),'General Inputs'!Q$9*$G43,IF(AND(($C43+$C$1)&gt;AS$3,AS$3&gt;=$C$1),'General Inputs'!Q$9*$F43,0))</f>
        <v>250.65429433503436</v>
      </c>
      <c r="AT43" s="214">
        <f>IF(AND(($D43+$C$1)&gt;AT$3,AT$3&gt;=$C$1),'General Inputs'!R$9*$G43,IF(AND(($C43+$C$1)&gt;AT$3,AT$3&gt;=$C$1),'General Inputs'!R$9*$F43,0))</f>
        <v>254.41410875005985</v>
      </c>
      <c r="AU43" s="214">
        <f>IF(AND(($D43+$C$1)&gt;AU$3,AU$3&gt;=$C$1),'General Inputs'!S$9*$G43,IF(AND(($C43+$C$1)&gt;AU$3,AU$3&gt;=$C$1),'General Inputs'!S$9*$F43,0))</f>
        <v>258.23032038131072</v>
      </c>
      <c r="AV43" s="214">
        <f>IF(AND(($D43+$C$1)&gt;AV$3,AV$3&gt;=$C$1),'General Inputs'!T$9*$G43,IF(AND(($C43+$C$1)&gt;AV$3,AV$3&gt;=$C$1),'General Inputs'!T$9*$F43,0))</f>
        <v>262.10377518703041</v>
      </c>
      <c r="AW43" s="214">
        <f>IF(AND(($D43+$C$1)&gt;AW$3,AW$3&gt;=$C$1),'General Inputs'!U$9*$G43,IF(AND(($C43+$C$1)&gt;AW$3,AW$3&gt;=$C$1),'General Inputs'!U$9*$F43,0))</f>
        <v>266.03533181483584</v>
      </c>
      <c r="AX43" s="214">
        <f>IF(AND(($D43+$C$1)&gt;AX$3,AX$3&gt;=$C$1),'General Inputs'!V$9*$G43,IF(AND(($C43+$C$1)&gt;AX$3,AX$3&gt;=$C$1),'General Inputs'!V$9*$F43,0))</f>
        <v>270.02586179205832</v>
      </c>
      <c r="AY43" s="214">
        <f>IF(AND(($D43+$C$1)&gt;AY$3,AY$3&gt;=$C$1),'General Inputs'!W$9*$G43,IF(AND(($C43+$C$1)&gt;AY$3,AY$3&gt;=$C$1),'General Inputs'!W$9*$F43,0))</f>
        <v>0</v>
      </c>
      <c r="BA43" s="214">
        <f>IF(AND(($D43+$C$1)&gt;AF$3,AF$3&gt;=$C$1),'General Inputs'!D$10*$I43,IF(AND(($C43+$C$1)&gt;AF$3,AF$3&gt;=$C$1),'General Inputs'!D$10*$H43,0))</f>
        <v>0</v>
      </c>
      <c r="BB43" s="214">
        <f>IF(AND(($D43+$C$1)&gt;AG$3,AG$3&gt;=$C$1),'General Inputs'!E$10*$I43,IF(AND(($C43+$C$1)&gt;AG$3,AG$3&gt;=$C$1),'General Inputs'!E$10*$H43,0))</f>
        <v>25.986886704513115</v>
      </c>
      <c r="BC43" s="214">
        <f>IF(AND(($D43+$C$1)&gt;AH$3,AH$3&gt;=$C$1),'General Inputs'!F$10*$I43,IF(AND(($C43+$C$1)&gt;AH$3,AH$3&gt;=$C$1),'General Inputs'!F$10*$H43,0))</f>
        <v>26.37669000508081</v>
      </c>
      <c r="BD43" s="214">
        <f>IF(AND(($D43+$C$1)&gt;AI$3,AI$3&gt;=$C$1),'General Inputs'!G$10*$I43,IF(AND(($C43+$C$1)&gt;AI$3,AI$3&gt;=$C$1),'General Inputs'!G$10*$H43,0))</f>
        <v>26.77234035515702</v>
      </c>
      <c r="BE43" s="214">
        <f>IF(AND(($D43+$C$1)&gt;AJ$3,AJ$3&gt;=$C$1),'General Inputs'!H$10*$I43,IF(AND(($C43+$C$1)&gt;AJ$3,AJ$3&gt;=$C$1),'General Inputs'!H$10*$H43,0))</f>
        <v>27.173925460484373</v>
      </c>
      <c r="BF43" s="214">
        <f>IF(AND(($D43+$C$1)&gt;AK$3,AK$3&gt;=$C$1),'General Inputs'!I$10*$I43,IF(AND(($C43+$C$1)&gt;AK$3,AK$3&gt;=$C$1),'General Inputs'!I$10*$H43,0))</f>
        <v>27.581534342391635</v>
      </c>
      <c r="BG43" s="214">
        <f>IF(AND(($D43+$C$1)&gt;AL$3,AL$3&gt;=$C$1),'General Inputs'!J$10*$I43,IF(AND(($C43+$C$1)&gt;AL$3,AL$3&gt;=$C$1),'General Inputs'!J$10*$H43,0))</f>
        <v>27.995257357527503</v>
      </c>
      <c r="BH43" s="214">
        <f>IF(AND(($D43+$C$1)&gt;AM$3,AM$3&gt;=$C$1),'General Inputs'!K$10*$I43,IF(AND(($C43+$C$1)&gt;AM$3,AM$3&gt;=$C$1),'General Inputs'!K$10*$H43,0))</f>
        <v>13.484529619826398</v>
      </c>
      <c r="BI43" s="214">
        <f>IF(AND(($D43+$C$1)&gt;AN$3,AN$3&gt;=$C$1),'General Inputs'!L$10*$I43,IF(AND(($C43+$C$1)&gt;AN$3,AN$3&gt;=$C$1),'General Inputs'!L$10*$H43,0))</f>
        <v>13.686797564123793</v>
      </c>
      <c r="BJ43" s="214">
        <f>IF(AND(($D43+$C$1)&gt;AO$3,AO$3&gt;=$C$1),'General Inputs'!M$10*$I43,IF(AND(($C43+$C$1)&gt;AO$3,AO$3&gt;=$C$1),'General Inputs'!M$10*$H43,0))</f>
        <v>13.892099527585652</v>
      </c>
      <c r="BK43" s="214">
        <f>IF(AND(($D43+$C$1)&gt;AP$3,AP$3&gt;=$C$1),'General Inputs'!N$10*$I43,IF(AND(($C43+$C$1)&gt;AP$3,AP$3&gt;=$C$1),'General Inputs'!N$10*$H43,0))</f>
        <v>14.100481020499434</v>
      </c>
      <c r="BL43" s="214">
        <f>IF(AND(($D43+$C$1)&gt;AQ$3,AQ$3&gt;=$C$1),'General Inputs'!O$10*$I43,IF(AND(($C43+$C$1)&gt;AQ$3,AQ$3&gt;=$C$1),'General Inputs'!O$10*$H43,0))</f>
        <v>14.311988235806924</v>
      </c>
      <c r="BM43" s="214">
        <f>IF(AND(($D43+$C$1)&gt;AR$3,AR$3&gt;=$C$1),'General Inputs'!P$10*$I43,IF(AND(($C43+$C$1)&gt;AR$3,AR$3&gt;=$C$1),'General Inputs'!P$10*$H43,0))</f>
        <v>14.526668059344026</v>
      </c>
      <c r="BN43" s="214">
        <f>IF(AND(($D43+$C$1)&gt;AS$3,AS$3&gt;=$C$1),'General Inputs'!Q$10*$I43,IF(AND(($C43+$C$1)&gt;AS$3,AS$3&gt;=$C$1),'General Inputs'!Q$10*$H43,0))</f>
        <v>14.744568080234185</v>
      </c>
      <c r="BO43" s="214">
        <f>IF(AND(($D43+$C$1)&gt;AT$3,AT$3&gt;=$C$1),'General Inputs'!R$10*$I43,IF(AND(($C43+$C$1)&gt;AT$3,AT$3&gt;=$C$1),'General Inputs'!R$10*$H43,0))</f>
        <v>14.965736601437696</v>
      </c>
      <c r="BP43" s="214">
        <f>IF(AND(($D43+$C$1)&gt;AU$3,AU$3&gt;=$C$1),'General Inputs'!S$10*$I43,IF(AND(($C43+$C$1)&gt;AU$3,AU$3&gt;=$C$1),'General Inputs'!S$10*$H43,0))</f>
        <v>15.19022265045926</v>
      </c>
      <c r="BQ43" s="214">
        <f>IF(AND(($D43+$C$1)&gt;AV$3,AV$3&gt;=$C$1),'General Inputs'!T$10*$I43,IF(AND(($C43+$C$1)&gt;AV$3,AV$3&gt;=$C$1),'General Inputs'!T$10*$H43,0))</f>
        <v>15.418075990216147</v>
      </c>
      <c r="BR43" s="214">
        <f>IF(AND(($D43+$C$1)&gt;AW$3,AW$3&gt;=$C$1),'General Inputs'!U$10*$I43,IF(AND(($C43+$C$1)&gt;AW$3,AW$3&gt;=$C$1),'General Inputs'!U$10*$H43,0))</f>
        <v>15.649347130069389</v>
      </c>
      <c r="BS43" s="214">
        <f>IF(AND(($D43+$C$1)&gt;AX$3,AX$3&gt;=$C$1),'General Inputs'!V$10*$I43,IF(AND(($C43+$C$1)&gt;AX$3,AX$3&gt;=$C$1),'General Inputs'!V$10*$H43,0))</f>
        <v>15.884087337020427</v>
      </c>
      <c r="BT43" s="214">
        <f>IF(AND(($D43+$C$1)&gt;AY$3,AY$3&gt;=$C$1),'General Inputs'!W$10*$I43,IF(AND(($C43+$C$1)&gt;AY$3,AY$3&gt;=$C$1),'General Inputs'!W$10*$H43,0))</f>
        <v>0</v>
      </c>
    </row>
    <row r="44" spans="1:72">
      <c r="A44" s="341" t="s">
        <v>12</v>
      </c>
      <c r="B44" s="427" t="str">
        <f>Sources!B44</f>
        <v>Heat Pump Water Heater</v>
      </c>
      <c r="C44" s="193">
        <f>Sources!C44</f>
        <v>15</v>
      </c>
      <c r="D44" s="193">
        <f>Sources!D44</f>
        <v>0</v>
      </c>
      <c r="F44" s="429">
        <f>Sources!F44*EnergyLineLoss</f>
        <v>1815.1933588429342</v>
      </c>
      <c r="G44" s="429">
        <f>Sources!G44*EnergyLineLoss</f>
        <v>0</v>
      </c>
      <c r="H44" s="477">
        <f>Sources!H44*PeakLineLoss</f>
        <v>8.5994158334446152E-2</v>
      </c>
      <c r="I44" s="477">
        <f>Sources!I44*PeakLineLoss</f>
        <v>0</v>
      </c>
      <c r="K44" s="419">
        <f>Sources!J44</f>
        <v>700</v>
      </c>
      <c r="L44" s="419">
        <f>Sources!K44</f>
        <v>0</v>
      </c>
      <c r="N44" s="438">
        <f t="shared" si="4"/>
        <v>1.0265814350172817</v>
      </c>
      <c r="P44" s="215">
        <f t="shared" si="0"/>
        <v>648.68316131475081</v>
      </c>
      <c r="Q44" s="215">
        <f t="shared" si="1"/>
        <v>11.558481934144028</v>
      </c>
      <c r="R44" s="215">
        <f t="shared" si="2"/>
        <v>643.1459022418228</v>
      </c>
      <c r="T44" s="214">
        <f t="shared" ref="T44:AD45" si="15">IF($C$1=T$3,$K44,IF($D44+$C$1=T$3,-$L44,0))</f>
        <v>0</v>
      </c>
      <c r="U44" s="214">
        <f t="shared" si="15"/>
        <v>700</v>
      </c>
      <c r="V44" s="214">
        <f t="shared" si="15"/>
        <v>0</v>
      </c>
      <c r="W44" s="214">
        <f t="shared" si="15"/>
        <v>0</v>
      </c>
      <c r="X44" s="214">
        <f t="shared" si="15"/>
        <v>0</v>
      </c>
      <c r="Y44" s="214">
        <f t="shared" si="15"/>
        <v>0</v>
      </c>
      <c r="Z44" s="214">
        <f t="shared" si="15"/>
        <v>0</v>
      </c>
      <c r="AA44" s="214">
        <f t="shared" si="15"/>
        <v>0</v>
      </c>
      <c r="AB44" s="214">
        <f t="shared" si="15"/>
        <v>0</v>
      </c>
      <c r="AC44" s="214">
        <f t="shared" si="15"/>
        <v>0</v>
      </c>
      <c r="AD44" s="214">
        <f t="shared" si="15"/>
        <v>0</v>
      </c>
      <c r="AF44" s="214">
        <f>IF(AND(($D44+$C$1)&gt;AF$3,AF$3&gt;=$C$1),'General Inputs'!D$9*$G44,IF(AND(($C44+$C$1)&gt;AF$3,AF$3&gt;=$C$1),'General Inputs'!D$9*$F44,0))</f>
        <v>0</v>
      </c>
      <c r="AG44" s="214">
        <f>IF(AND(($D44+$C$1)&gt;AG$3,AG$3&gt;=$C$1),'General Inputs'!E$9*$G44,IF(AND(($C44+$C$1)&gt;AG$3,AG$3&gt;=$C$1),'General Inputs'!E$9*$F44,0))</f>
        <v>73.350971226067685</v>
      </c>
      <c r="AH44" s="214">
        <f>IF(AND(($D44+$C$1)&gt;AH$3,AH$3&gt;=$C$1),'General Inputs'!F$9*$G44,IF(AND(($C44+$C$1)&gt;AH$3,AH$3&gt;=$C$1),'General Inputs'!F$9*$F44,0))</f>
        <v>74.451235794458697</v>
      </c>
      <c r="AI44" s="214">
        <f>IF(AND(($D44+$C$1)&gt;AI$3,AI$3&gt;=$C$1),'General Inputs'!G$9*$G44,IF(AND(($C44+$C$1)&gt;AI$3,AI$3&gt;=$C$1),'General Inputs'!G$9*$F44,0))</f>
        <v>75.568004331375562</v>
      </c>
      <c r="AJ44" s="214">
        <f>IF(AND(($D44+$C$1)&gt;AJ$3,AJ$3&gt;=$C$1),'General Inputs'!H$9*$G44,IF(AND(($C44+$C$1)&gt;AJ$3,AJ$3&gt;=$C$1),'General Inputs'!H$9*$F44,0))</f>
        <v>76.701524396346187</v>
      </c>
      <c r="AK44" s="214">
        <f>IF(AND(($D44+$C$1)&gt;AK$3,AK$3&gt;=$C$1),'General Inputs'!I$9*$G44,IF(AND(($C44+$C$1)&gt;AK$3,AK$3&gt;=$C$1),'General Inputs'!I$9*$F44,0))</f>
        <v>77.852047262291379</v>
      </c>
      <c r="AL44" s="214">
        <f>IF(AND(($D44+$C$1)&gt;AL$3,AL$3&gt;=$C$1),'General Inputs'!J$9*$G44,IF(AND(($C44+$C$1)&gt;AL$3,AL$3&gt;=$C$1),'General Inputs'!J$9*$F44,0))</f>
        <v>79.019827971225737</v>
      </c>
      <c r="AM44" s="214">
        <f>IF(AND(($D44+$C$1)&gt;AM$3,AM$3&gt;=$C$1),'General Inputs'!K$9*$G44,IF(AND(($C44+$C$1)&gt;AM$3,AM$3&gt;=$C$1),'General Inputs'!K$9*$F44,0))</f>
        <v>80.205125390794109</v>
      </c>
      <c r="AN44" s="214">
        <f>IF(AND(($D44+$C$1)&gt;AN$3,AN$3&gt;=$C$1),'General Inputs'!L$9*$G44,IF(AND(($C44+$C$1)&gt;AN$3,AN$3&gt;=$C$1),'General Inputs'!L$9*$F44,0))</f>
        <v>81.408202271656009</v>
      </c>
      <c r="AO44" s="214">
        <f>IF(AND(($D44+$C$1)&gt;AO$3,AO$3&gt;=$C$1),'General Inputs'!M$9*$G44,IF(AND(($C44+$C$1)&gt;AO$3,AO$3&gt;=$C$1),'General Inputs'!M$9*$F44,0))</f>
        <v>82.629325305730831</v>
      </c>
      <c r="AP44" s="214">
        <f>IF(AND(($D44+$C$1)&gt;AP$3,AP$3&gt;=$C$1),'General Inputs'!N$9*$G44,IF(AND(($C44+$C$1)&gt;AP$3,AP$3&gt;=$C$1),'General Inputs'!N$9*$F44,0))</f>
        <v>83.868765185316789</v>
      </c>
      <c r="AQ44" s="214">
        <f>IF(AND(($D44+$C$1)&gt;AQ$3,AQ$3&gt;=$C$1),'General Inputs'!O$9*$G44,IF(AND(($C44+$C$1)&gt;AQ$3,AQ$3&gt;=$C$1),'General Inputs'!O$9*$F44,0))</f>
        <v>85.126796663096542</v>
      </c>
      <c r="AR44" s="214">
        <f>IF(AND(($D44+$C$1)&gt;AR$3,AR$3&gt;=$C$1),'General Inputs'!P$9*$G44,IF(AND(($C44+$C$1)&gt;AR$3,AR$3&gt;=$C$1),'General Inputs'!P$9*$F44,0))</f>
        <v>86.403698613042977</v>
      </c>
      <c r="AS44" s="214">
        <f>IF(AND(($D44+$C$1)&gt;AS$3,AS$3&gt;=$C$1),'General Inputs'!Q$9*$G44,IF(AND(($C44+$C$1)&gt;AS$3,AS$3&gt;=$C$1),'General Inputs'!Q$9*$F44,0))</f>
        <v>87.699754092238621</v>
      </c>
      <c r="AT44" s="214">
        <f>IF(AND(($D44+$C$1)&gt;AT$3,AT$3&gt;=$C$1),'General Inputs'!R$9*$G44,IF(AND(($C44+$C$1)&gt;AT$3,AT$3&gt;=$C$1),'General Inputs'!R$9*$F44,0))</f>
        <v>89.01525040362219</v>
      </c>
      <c r="AU44" s="214">
        <f>IF(AND(($D44+$C$1)&gt;AU$3,AU$3&gt;=$C$1),'General Inputs'!S$9*$G44,IF(AND(($C44+$C$1)&gt;AU$3,AU$3&gt;=$C$1),'General Inputs'!S$9*$F44,0))</f>
        <v>90.35047915967651</v>
      </c>
      <c r="AV44" s="214">
        <f>IF(AND(($D44+$C$1)&gt;AV$3,AV$3&gt;=$C$1),'General Inputs'!T$9*$G44,IF(AND(($C44+$C$1)&gt;AV$3,AV$3&gt;=$C$1),'General Inputs'!T$9*$F44,0))</f>
        <v>0</v>
      </c>
      <c r="AW44" s="214">
        <f>IF(AND(($D44+$C$1)&gt;AW$3,AW$3&gt;=$C$1),'General Inputs'!U$9*$G44,IF(AND(($C44+$C$1)&gt;AW$3,AW$3&gt;=$C$1),'General Inputs'!U$9*$F44,0))</f>
        <v>0</v>
      </c>
      <c r="AX44" s="214">
        <f>IF(AND(($D44+$C$1)&gt;AX$3,AX$3&gt;=$C$1),'General Inputs'!V$9*$G44,IF(AND(($C44+$C$1)&gt;AX$3,AX$3&gt;=$C$1),'General Inputs'!V$9*$F44,0))</f>
        <v>0</v>
      </c>
      <c r="AY44" s="214">
        <f>IF(AND(($D44+$C$1)&gt;AY$3,AY$3&gt;=$C$1),'General Inputs'!W$9*$G44,IF(AND(($C44+$C$1)&gt;AY$3,AY$3&gt;=$C$1),'General Inputs'!W$9*$F44,0))</f>
        <v>0</v>
      </c>
      <c r="BA44" s="214">
        <f>IF(AND(($D44+$C$1)&gt;AF$3,AF$3&gt;=$C$1),'General Inputs'!D$10*$I44,IF(AND(($C44+$C$1)&gt;AF$3,AF$3&gt;=$C$1),'General Inputs'!D$10*$H44,0))</f>
        <v>0</v>
      </c>
      <c r="BB44" s="214">
        <f>IF(AND(($D44+$C$1)&gt;AG$3,AG$3&gt;=$C$1),'General Inputs'!E$10*$I44,IF(AND(($C44+$C$1)&gt;AG$3,AG$3&gt;=$C$1),'General Inputs'!E$10*$H44,0))</f>
        <v>1.3069953504728695</v>
      </c>
      <c r="BC44" s="214">
        <f>IF(AND(($D44+$C$1)&gt;AH$3,AH$3&gt;=$C$1),'General Inputs'!F$10*$I44,IF(AND(($C44+$C$1)&gt;AH$3,AH$3&gt;=$C$1),'General Inputs'!F$10*$H44,0))</f>
        <v>1.3266002807299626</v>
      </c>
      <c r="BD44" s="214">
        <f>IF(AND(($D44+$C$1)&gt;AI$3,AI$3&gt;=$C$1),'General Inputs'!G$10*$I44,IF(AND(($C44+$C$1)&gt;AI$3,AI$3&gt;=$C$1),'General Inputs'!G$10*$H44,0))</f>
        <v>1.3464992849409119</v>
      </c>
      <c r="BE44" s="214">
        <f>IF(AND(($D44+$C$1)&gt;AJ$3,AJ$3&gt;=$C$1),'General Inputs'!H$10*$I44,IF(AND(($C44+$C$1)&gt;AJ$3,AJ$3&gt;=$C$1),'General Inputs'!H$10*$H44,0))</f>
        <v>1.3666967742150256</v>
      </c>
      <c r="BF44" s="214">
        <f>IF(AND(($D44+$C$1)&gt;AK$3,AK$3&gt;=$C$1),'General Inputs'!I$10*$I44,IF(AND(($C44+$C$1)&gt;AK$3,AK$3&gt;=$C$1),'General Inputs'!I$10*$H44,0))</f>
        <v>1.3871972258282506</v>
      </c>
      <c r="BG44" s="214">
        <f>IF(AND(($D44+$C$1)&gt;AL$3,AL$3&gt;=$C$1),'General Inputs'!J$10*$I44,IF(AND(($C44+$C$1)&gt;AL$3,AL$3&gt;=$C$1),'General Inputs'!J$10*$H44,0))</f>
        <v>1.4080051842156742</v>
      </c>
      <c r="BH44" s="214">
        <f>IF(AND(($D44+$C$1)&gt;AM$3,AM$3&gt;=$C$1),'General Inputs'!K$10*$I44,IF(AND(($C44+$C$1)&gt;AM$3,AM$3&gt;=$C$1),'General Inputs'!K$10*$H44,0))</f>
        <v>1.4291252619789092</v>
      </c>
      <c r="BI44" s="214">
        <f>IF(AND(($D44+$C$1)&gt;AN$3,AN$3&gt;=$C$1),'General Inputs'!L$10*$I44,IF(AND(($C44+$C$1)&gt;AN$3,AN$3&gt;=$C$1),'General Inputs'!L$10*$H44,0))</f>
        <v>1.4505621409085927</v>
      </c>
      <c r="BJ44" s="214">
        <f>IF(AND(($D44+$C$1)&gt;AO$3,AO$3&gt;=$C$1),'General Inputs'!M$10*$I44,IF(AND(($C44+$C$1)&gt;AO$3,AO$3&gt;=$C$1),'General Inputs'!M$10*$H44,0))</f>
        <v>1.4723205730222215</v>
      </c>
      <c r="BK44" s="214">
        <f>IF(AND(($D44+$C$1)&gt;AP$3,AP$3&gt;=$C$1),'General Inputs'!N$10*$I44,IF(AND(($C44+$C$1)&gt;AP$3,AP$3&gt;=$C$1),'General Inputs'!N$10*$H44,0))</f>
        <v>1.4944053816175547</v>
      </c>
      <c r="BL44" s="214">
        <f>IF(AND(($D44+$C$1)&gt;AQ$3,AQ$3&gt;=$C$1),'General Inputs'!O$10*$I44,IF(AND(($C44+$C$1)&gt;AQ$3,AQ$3&gt;=$C$1),'General Inputs'!O$10*$H44,0))</f>
        <v>1.5168214623418179</v>
      </c>
      <c r="BM44" s="214">
        <f>IF(AND(($D44+$C$1)&gt;AR$3,AR$3&gt;=$C$1),'General Inputs'!P$10*$I44,IF(AND(($C44+$C$1)&gt;AR$3,AR$3&gt;=$C$1),'General Inputs'!P$10*$H44,0))</f>
        <v>1.539573784276945</v>
      </c>
      <c r="BN44" s="214">
        <f>IF(AND(($D44+$C$1)&gt;AS$3,AS$3&gt;=$C$1),'General Inputs'!Q$10*$I44,IF(AND(($C44+$C$1)&gt;AS$3,AS$3&gt;=$C$1),'General Inputs'!Q$10*$H44,0))</f>
        <v>1.5626673910410991</v>
      </c>
      <c r="BO44" s="214">
        <f>IF(AND(($D44+$C$1)&gt;AT$3,AT$3&gt;=$C$1),'General Inputs'!R$10*$I44,IF(AND(($C44+$C$1)&gt;AT$3,AT$3&gt;=$C$1),'General Inputs'!R$10*$H44,0))</f>
        <v>1.5861074019067152</v>
      </c>
      <c r="BP44" s="214">
        <f>IF(AND(($D44+$C$1)&gt;AU$3,AU$3&gt;=$C$1),'General Inputs'!S$10*$I44,IF(AND(($C44+$C$1)&gt;AU$3,AU$3&gt;=$C$1),'General Inputs'!S$10*$H44,0))</f>
        <v>1.6098990129353159</v>
      </c>
      <c r="BQ44" s="214">
        <f>IF(AND(($D44+$C$1)&gt;AV$3,AV$3&gt;=$C$1),'General Inputs'!T$10*$I44,IF(AND(($C44+$C$1)&gt;AV$3,AV$3&gt;=$C$1),'General Inputs'!T$10*$H44,0))</f>
        <v>0</v>
      </c>
      <c r="BR44" s="214">
        <f>IF(AND(($D44+$C$1)&gt;AW$3,AW$3&gt;=$C$1),'General Inputs'!U$10*$I44,IF(AND(($C44+$C$1)&gt;AW$3,AW$3&gt;=$C$1),'General Inputs'!U$10*$H44,0))</f>
        <v>0</v>
      </c>
      <c r="BS44" s="214">
        <f>IF(AND(($D44+$C$1)&gt;AX$3,AX$3&gt;=$C$1),'General Inputs'!V$10*$I44,IF(AND(($C44+$C$1)&gt;AX$3,AX$3&gt;=$C$1),'General Inputs'!V$10*$H44,0))</f>
        <v>0</v>
      </c>
      <c r="BT44" s="214">
        <f>IF(AND(($D44+$C$1)&gt;AY$3,AY$3&gt;=$C$1),'General Inputs'!W$10*$I44,IF(AND(($C44+$C$1)&gt;AY$3,AY$3&gt;=$C$1),'General Inputs'!W$10*$H44,0))</f>
        <v>0</v>
      </c>
    </row>
    <row r="45" spans="1:72">
      <c r="A45" s="341" t="s">
        <v>12</v>
      </c>
      <c r="B45" s="427" t="str">
        <f>Sources!B45</f>
        <v>Electric Storage Water Heater</v>
      </c>
      <c r="C45" s="193">
        <f>Sources!C45</f>
        <v>15</v>
      </c>
      <c r="D45" s="193">
        <f>Sources!D45</f>
        <v>0</v>
      </c>
      <c r="F45" s="429">
        <f>Sources!F45*EnergyLineLoss</f>
        <v>133.41911275594003</v>
      </c>
      <c r="G45" s="429">
        <f>Sources!G45*EnergyLineLoss</f>
        <v>0</v>
      </c>
      <c r="H45" s="477">
        <f>Sources!H45*PeakLineLoss</f>
        <v>1.5881661511807841E-2</v>
      </c>
      <c r="I45" s="477">
        <f>Sources!I45*PeakLineLoss</f>
        <v>0</v>
      </c>
      <c r="K45" s="419">
        <f>Sources!J45</f>
        <v>50</v>
      </c>
      <c r="L45" s="419">
        <f>Sources!K45</f>
        <v>0</v>
      </c>
      <c r="N45" s="438">
        <f t="shared" ref="N45" si="16">IF(R45&gt;0,(P45+Q45)/R45,"n/a")</f>
        <v>1.0843451827854864</v>
      </c>
      <c r="P45" s="215">
        <f t="shared" ref="P45" si="17">AF45+NPV(DiscountRate,AG45:AY45)</f>
        <v>47.679070342952429</v>
      </c>
      <c r="Q45" s="215">
        <f t="shared" ref="Q45" si="18">BA45+NPV(DiscountRate,BB45:BT45)</f>
        <v>2.134655437343711</v>
      </c>
      <c r="R45" s="215">
        <f t="shared" ref="R45" si="19">T45+NPV(DiscountRate,U45:AD45)</f>
        <v>45.938993017273063</v>
      </c>
      <c r="T45" s="214">
        <f t="shared" si="15"/>
        <v>0</v>
      </c>
      <c r="U45" s="214">
        <f t="shared" si="15"/>
        <v>50</v>
      </c>
      <c r="V45" s="214">
        <f t="shared" si="15"/>
        <v>0</v>
      </c>
      <c r="W45" s="214">
        <f t="shared" si="15"/>
        <v>0</v>
      </c>
      <c r="X45" s="214">
        <f t="shared" si="15"/>
        <v>0</v>
      </c>
      <c r="Y45" s="214">
        <f t="shared" si="15"/>
        <v>0</v>
      </c>
      <c r="Z45" s="214">
        <f t="shared" si="15"/>
        <v>0</v>
      </c>
      <c r="AA45" s="214">
        <f t="shared" si="15"/>
        <v>0</v>
      </c>
      <c r="AB45" s="214">
        <f t="shared" si="15"/>
        <v>0</v>
      </c>
      <c r="AC45" s="214">
        <f t="shared" si="15"/>
        <v>0</v>
      </c>
      <c r="AD45" s="214">
        <f t="shared" si="15"/>
        <v>0</v>
      </c>
      <c r="AF45" s="214">
        <f>IF(AND(($D45+$C$1)&gt;AF$3,AF$3&gt;=$C$1),'General Inputs'!D$9*$G45,IF(AND(($C45+$C$1)&gt;AF$3,AF$3&gt;=$C$1),'General Inputs'!D$9*$F45,0))</f>
        <v>0</v>
      </c>
      <c r="AG45" s="214">
        <f>IF(AND(($D45+$C$1)&gt;AG$3,AG$3&gt;=$C$1),'General Inputs'!E$9*$G45,IF(AND(($C45+$C$1)&gt;AG$3,AG$3&gt;=$C$1),'General Inputs'!E$9*$F45,0))</f>
        <v>5.3913934034039404</v>
      </c>
      <c r="AH45" s="214">
        <f>IF(AND(($D45+$C$1)&gt;AH$3,AH$3&gt;=$C$1),'General Inputs'!F$9*$G45,IF(AND(($C45+$C$1)&gt;AH$3,AH$3&gt;=$C$1),'General Inputs'!F$9*$F45,0))</f>
        <v>5.472264304454999</v>
      </c>
      <c r="AI45" s="214">
        <f>IF(AND(($D45+$C$1)&gt;AI$3,AI$3&gt;=$C$1),'General Inputs'!G$9*$G45,IF(AND(($C45+$C$1)&gt;AI$3,AI$3&gt;=$C$1),'General Inputs'!G$9*$F45,0))</f>
        <v>5.5543482690218235</v>
      </c>
      <c r="AJ45" s="214">
        <f>IF(AND(($D45+$C$1)&gt;AJ$3,AJ$3&gt;=$C$1),'General Inputs'!H$9*$G45,IF(AND(($C45+$C$1)&gt;AJ$3,AJ$3&gt;=$C$1),'General Inputs'!H$9*$F45,0))</f>
        <v>5.6376634930571505</v>
      </c>
      <c r="AK45" s="214">
        <f>IF(AND(($D45+$C$1)&gt;AK$3,AK$3&gt;=$C$1),'General Inputs'!I$9*$G45,IF(AND(($C45+$C$1)&gt;AK$3,AK$3&gt;=$C$1),'General Inputs'!I$9*$F45,0))</f>
        <v>5.7222284454530064</v>
      </c>
      <c r="AL45" s="214">
        <f>IF(AND(($D45+$C$1)&gt;AL$3,AL$3&gt;=$C$1),'General Inputs'!J$9*$G45,IF(AND(($C45+$C$1)&gt;AL$3,AL$3&gt;=$C$1),'General Inputs'!J$9*$F45,0))</f>
        <v>5.8080618721348012</v>
      </c>
      <c r="AM45" s="214">
        <f>IF(AND(($D45+$C$1)&gt;AM$3,AM$3&gt;=$C$1),'General Inputs'!K$9*$G45,IF(AND(($C45+$C$1)&gt;AM$3,AM$3&gt;=$C$1),'General Inputs'!K$9*$F45,0))</f>
        <v>5.8951828002168218</v>
      </c>
      <c r="AN45" s="214">
        <f>IF(AND(($D45+$C$1)&gt;AN$3,AN$3&gt;=$C$1),'General Inputs'!L$9*$G45,IF(AND(($C45+$C$1)&gt;AN$3,AN$3&gt;=$C$1),'General Inputs'!L$9*$F45,0))</f>
        <v>5.9836105422200738</v>
      </c>
      <c r="AO45" s="214">
        <f>IF(AND(($D45+$C$1)&gt;AO$3,AO$3&gt;=$C$1),'General Inputs'!M$9*$G45,IF(AND(($C45+$C$1)&gt;AO$3,AO$3&gt;=$C$1),'General Inputs'!M$9*$F45,0))</f>
        <v>6.0733647003533742</v>
      </c>
      <c r="AP45" s="214">
        <f>IF(AND(($D45+$C$1)&gt;AP$3,AP$3&gt;=$C$1),'General Inputs'!N$9*$G45,IF(AND(($C45+$C$1)&gt;AP$3,AP$3&gt;=$C$1),'General Inputs'!N$9*$F45,0))</f>
        <v>6.1644651708586746</v>
      </c>
      <c r="AQ45" s="214">
        <f>IF(AND(($D45+$C$1)&gt;AQ$3,AQ$3&gt;=$C$1),'General Inputs'!O$9*$G45,IF(AND(($C45+$C$1)&gt;AQ$3,AQ$3&gt;=$C$1),'General Inputs'!O$9*$F45,0))</f>
        <v>6.2569321484215532</v>
      </c>
      <c r="AR45" s="214">
        <f>IF(AND(($D45+$C$1)&gt;AR$3,AR$3&gt;=$C$1),'General Inputs'!P$9*$G45,IF(AND(($C45+$C$1)&gt;AR$3,AR$3&gt;=$C$1),'General Inputs'!P$9*$F45,0))</f>
        <v>6.3507861306478759</v>
      </c>
      <c r="AS45" s="214">
        <f>IF(AND(($D45+$C$1)&gt;AS$3,AS$3&gt;=$C$1),'General Inputs'!Q$9*$G45,IF(AND(($C45+$C$1)&gt;AS$3,AS$3&gt;=$C$1),'General Inputs'!Q$9*$F45,0))</f>
        <v>6.446047922607594</v>
      </c>
      <c r="AT45" s="214">
        <f>IF(AND(($D45+$C$1)&gt;AT$3,AT$3&gt;=$C$1),'General Inputs'!R$9*$G45,IF(AND(($C45+$C$1)&gt;AT$3,AT$3&gt;=$C$1),'General Inputs'!R$9*$F45,0))</f>
        <v>6.5427386414467072</v>
      </c>
      <c r="AU45" s="214">
        <f>IF(AND(($D45+$C$1)&gt;AU$3,AU$3&gt;=$C$1),'General Inputs'!S$9*$G45,IF(AND(($C45+$C$1)&gt;AU$3,AU$3&gt;=$C$1),'General Inputs'!S$9*$F45,0))</f>
        <v>6.6408797210684076</v>
      </c>
      <c r="AV45" s="214">
        <f>IF(AND(($D45+$C$1)&gt;AV$3,AV$3&gt;=$C$1),'General Inputs'!T$9*$G45,IF(AND(($C45+$C$1)&gt;AV$3,AV$3&gt;=$C$1),'General Inputs'!T$9*$F45,0))</f>
        <v>0</v>
      </c>
      <c r="AW45" s="214">
        <f>IF(AND(($D45+$C$1)&gt;AW$3,AW$3&gt;=$C$1),'General Inputs'!U$9*$G45,IF(AND(($C45+$C$1)&gt;AW$3,AW$3&gt;=$C$1),'General Inputs'!U$9*$F45,0))</f>
        <v>0</v>
      </c>
      <c r="AX45" s="214">
        <f>IF(AND(($D45+$C$1)&gt;AX$3,AX$3&gt;=$C$1),'General Inputs'!V$9*$G45,IF(AND(($C45+$C$1)&gt;AX$3,AX$3&gt;=$C$1),'General Inputs'!V$9*$F45,0))</f>
        <v>0</v>
      </c>
      <c r="AY45" s="214">
        <f>IF(AND(($D45+$C$1)&gt;AY$3,AY$3&gt;=$C$1),'General Inputs'!W$9*$G45,IF(AND(($C45+$C$1)&gt;AY$3,AY$3&gt;=$C$1),'General Inputs'!W$9*$F45,0))</f>
        <v>0</v>
      </c>
      <c r="BA45" s="214">
        <f>IF(AND(($D45+$C$1)&gt;AF$3,AF$3&gt;=$C$1),'General Inputs'!D$10*$I45,IF(AND(($C45+$C$1)&gt;AF$3,AF$3&gt;=$C$1),'General Inputs'!D$10*$H45,0))</f>
        <v>0</v>
      </c>
      <c r="BB45" s="214">
        <f>IF(AND(($D45+$C$1)&gt;AG$3,AG$3&gt;=$C$1),'General Inputs'!E$10*$I45,IF(AND(($C45+$C$1)&gt;AG$3,AG$3&gt;=$C$1),'General Inputs'!E$10*$H45,0))</f>
        <v>0.2413798583037258</v>
      </c>
      <c r="BC45" s="214">
        <f>IF(AND(($D45+$C$1)&gt;AH$3,AH$3&gt;=$C$1),'General Inputs'!F$10*$I45,IF(AND(($C45+$C$1)&gt;AH$3,AH$3&gt;=$C$1),'General Inputs'!F$10*$H45,0))</f>
        <v>0.24500055617828168</v>
      </c>
      <c r="BD45" s="214">
        <f>IF(AND(($D45+$C$1)&gt;AI$3,AI$3&gt;=$C$1),'General Inputs'!G$10*$I45,IF(AND(($C45+$C$1)&gt;AI$3,AI$3&gt;=$C$1),'General Inputs'!G$10*$H45,0))</f>
        <v>0.24867556452095588</v>
      </c>
      <c r="BE45" s="214">
        <f>IF(AND(($D45+$C$1)&gt;AJ$3,AJ$3&gt;=$C$1),'General Inputs'!H$10*$I45,IF(AND(($C45+$C$1)&gt;AJ$3,AJ$3&gt;=$C$1),'General Inputs'!H$10*$H45,0))</f>
        <v>0.25240569798877022</v>
      </c>
      <c r="BF45" s="214">
        <f>IF(AND(($D45+$C$1)&gt;AK$3,AK$3&gt;=$C$1),'General Inputs'!I$10*$I45,IF(AND(($C45+$C$1)&gt;AK$3,AK$3&gt;=$C$1),'General Inputs'!I$10*$H45,0))</f>
        <v>0.25619178345860172</v>
      </c>
      <c r="BG45" s="214">
        <f>IF(AND(($D45+$C$1)&gt;AL$3,AL$3&gt;=$C$1),'General Inputs'!J$10*$I45,IF(AND(($C45+$C$1)&gt;AL$3,AL$3&gt;=$C$1),'General Inputs'!J$10*$H45,0))</f>
        <v>0.26003466021048072</v>
      </c>
      <c r="BH45" s="214">
        <f>IF(AND(($D45+$C$1)&gt;AM$3,AM$3&gt;=$C$1),'General Inputs'!K$10*$I45,IF(AND(($C45+$C$1)&gt;AM$3,AM$3&gt;=$C$1),'General Inputs'!K$10*$H45,0))</f>
        <v>0.26393518011363787</v>
      </c>
      <c r="BI45" s="214">
        <f>IF(AND(($D45+$C$1)&gt;AN$3,AN$3&gt;=$C$1),'General Inputs'!L$10*$I45,IF(AND(($C45+$C$1)&gt;AN$3,AN$3&gt;=$C$1),'General Inputs'!L$10*$H45,0))</f>
        <v>0.26789420781534246</v>
      </c>
      <c r="BJ45" s="214">
        <f>IF(AND(($D45+$C$1)&gt;AO$3,AO$3&gt;=$C$1),'General Inputs'!M$10*$I45,IF(AND(($C45+$C$1)&gt;AO$3,AO$3&gt;=$C$1),'General Inputs'!M$10*$H45,0))</f>
        <v>0.27191262093257257</v>
      </c>
      <c r="BK45" s="214">
        <f>IF(AND(($D45+$C$1)&gt;AP$3,AP$3&gt;=$C$1),'General Inputs'!N$10*$I45,IF(AND(($C45+$C$1)&gt;AP$3,AP$3&gt;=$C$1),'General Inputs'!N$10*$H45,0))</f>
        <v>0.27599131024656109</v>
      </c>
      <c r="BL45" s="214">
        <f>IF(AND(($D45+$C$1)&gt;AQ$3,AQ$3&gt;=$C$1),'General Inputs'!O$10*$I45,IF(AND(($C45+$C$1)&gt;AQ$3,AQ$3&gt;=$C$1),'General Inputs'!O$10*$H45,0))</f>
        <v>0.28013117990025949</v>
      </c>
      <c r="BM45" s="214">
        <f>IF(AND(($D45+$C$1)&gt;AR$3,AR$3&gt;=$C$1),'General Inputs'!P$10*$I45,IF(AND(($C45+$C$1)&gt;AR$3,AR$3&gt;=$C$1),'General Inputs'!P$10*$H45,0))</f>
        <v>0.28433314759876338</v>
      </c>
      <c r="BN45" s="214">
        <f>IF(AND(($D45+$C$1)&gt;AS$3,AS$3&gt;=$C$1),'General Inputs'!Q$10*$I45,IF(AND(($C45+$C$1)&gt;AS$3,AS$3&gt;=$C$1),'General Inputs'!Q$10*$H45,0))</f>
        <v>0.28859814481274482</v>
      </c>
      <c r="BO45" s="214">
        <f>IF(AND(($D45+$C$1)&gt;AT$3,AT$3&gt;=$C$1),'General Inputs'!R$10*$I45,IF(AND(($C45+$C$1)&gt;AT$3,AT$3&gt;=$C$1),'General Inputs'!R$10*$H45,0))</f>
        <v>0.2929271169849359</v>
      </c>
      <c r="BP45" s="214">
        <f>IF(AND(($D45+$C$1)&gt;AU$3,AU$3&gt;=$C$1),'General Inputs'!S$10*$I45,IF(AND(($C45+$C$1)&gt;AU$3,AU$3&gt;=$C$1),'General Inputs'!S$10*$H45,0))</f>
        <v>0.29732102373970998</v>
      </c>
      <c r="BQ45" s="214">
        <f>IF(AND(($D45+$C$1)&gt;AV$3,AV$3&gt;=$C$1),'General Inputs'!T$10*$I45,IF(AND(($C45+$C$1)&gt;AV$3,AV$3&gt;=$C$1),'General Inputs'!T$10*$H45,0))</f>
        <v>0</v>
      </c>
      <c r="BR45" s="214">
        <f>IF(AND(($D45+$C$1)&gt;AW$3,AW$3&gt;=$C$1),'General Inputs'!U$10*$I45,IF(AND(($C45+$C$1)&gt;AW$3,AW$3&gt;=$C$1),'General Inputs'!U$10*$H45,0))</f>
        <v>0</v>
      </c>
      <c r="BS45" s="214">
        <f>IF(AND(($D45+$C$1)&gt;AX$3,AX$3&gt;=$C$1),'General Inputs'!V$10*$I45,IF(AND(($C45+$C$1)&gt;AX$3,AX$3&gt;=$C$1),'General Inputs'!V$10*$H45,0))</f>
        <v>0</v>
      </c>
      <c r="BT45" s="214">
        <f>IF(AND(($D45+$C$1)&gt;AY$3,AY$3&gt;=$C$1),'General Inputs'!W$10*$I45,IF(AND(($C45+$C$1)&gt;AY$3,AY$3&gt;=$C$1),'General Inputs'!W$10*$H45,0))</f>
        <v>0</v>
      </c>
    </row>
    <row r="46" spans="1:72">
      <c r="A46" s="341" t="s">
        <v>12</v>
      </c>
      <c r="B46" s="427" t="str">
        <f>Sources!B46</f>
        <v>Water Heater Temperature Setback</v>
      </c>
      <c r="C46" s="193">
        <f>Sources!C46</f>
        <v>2</v>
      </c>
      <c r="D46" s="193">
        <f>Sources!D46</f>
        <v>0</v>
      </c>
      <c r="F46" s="429">
        <f>Sources!F46*EnergyLineLoss</f>
        <v>90.460800000000006</v>
      </c>
      <c r="G46" s="429">
        <f>Sources!G46*EnergyLineLoss</f>
        <v>0</v>
      </c>
      <c r="H46" s="477">
        <f>Sources!H46*PeakLineLoss</f>
        <v>1.0319507186858316E-2</v>
      </c>
      <c r="I46" s="477">
        <f>Sources!I46*PeakLineLoss</f>
        <v>0</v>
      </c>
      <c r="K46" s="419">
        <f>Sources!J46</f>
        <v>5</v>
      </c>
      <c r="L46" s="419">
        <f>Sources!K46</f>
        <v>0</v>
      </c>
      <c r="N46" s="438">
        <f t="shared" si="4"/>
        <v>1.4735063267818311</v>
      </c>
      <c r="P46" s="215">
        <f t="shared" si="0"/>
        <v>6.4906501676251445</v>
      </c>
      <c r="Q46" s="215">
        <f t="shared" si="1"/>
        <v>0.27848951806867644</v>
      </c>
      <c r="R46" s="215">
        <f t="shared" si="2"/>
        <v>4.5938993017273058</v>
      </c>
      <c r="T46" s="214">
        <f t="shared" ref="T46:U47" si="20">IF($C$1=T$3,$K46,IF($D46+$C$1=T$3,-$L46,0))</f>
        <v>0</v>
      </c>
      <c r="U46" s="214">
        <f t="shared" si="20"/>
        <v>5</v>
      </c>
      <c r="V46" s="214">
        <f t="shared" ref="V46:AD47" si="21">IF($C$1=V$3,$K46,IF($D46+$C$1=V$3,-$L46,0))</f>
        <v>0</v>
      </c>
      <c r="W46" s="214">
        <f t="shared" si="21"/>
        <v>0</v>
      </c>
      <c r="X46" s="214">
        <f t="shared" si="21"/>
        <v>0</v>
      </c>
      <c r="Y46" s="214">
        <f t="shared" si="21"/>
        <v>0</v>
      </c>
      <c r="Z46" s="214">
        <f t="shared" si="21"/>
        <v>0</v>
      </c>
      <c r="AA46" s="214">
        <f t="shared" si="21"/>
        <v>0</v>
      </c>
      <c r="AB46" s="214">
        <f t="shared" si="21"/>
        <v>0</v>
      </c>
      <c r="AC46" s="214">
        <f t="shared" si="21"/>
        <v>0</v>
      </c>
      <c r="AD46" s="214">
        <f t="shared" si="21"/>
        <v>0</v>
      </c>
      <c r="AF46" s="214">
        <f>IF(AND(($D46+$C$1)&gt;AF$3,AF$3&gt;=$C$1),'General Inputs'!D$9*$G46,IF(AND(($C46+$C$1)&gt;AF$3,AF$3&gt;=$C$1),'General Inputs'!D$9*$F46,0))</f>
        <v>0</v>
      </c>
      <c r="AG46" s="214">
        <f>IF(AND(($D46+$C$1)&gt;AG$3,AG$3&gt;=$C$1),'General Inputs'!E$9*$G46,IF(AND(($C46+$C$1)&gt;AG$3,AG$3&gt;=$C$1),'General Inputs'!E$9*$F46,0))</f>
        <v>3.6554714711586898</v>
      </c>
      <c r="AH46" s="214">
        <f>IF(AND(($D46+$C$1)&gt;AH$3,AH$3&gt;=$C$1),'General Inputs'!F$9*$G46,IF(AND(($C46+$C$1)&gt;AH$3,AH$3&gt;=$C$1),'General Inputs'!F$9*$F46,0))</f>
        <v>3.7103035432260696</v>
      </c>
      <c r="AI46" s="214">
        <f>IF(AND(($D46+$C$1)&gt;AI$3,AI$3&gt;=$C$1),'General Inputs'!G$9*$G46,IF(AND(($C46+$C$1)&gt;AI$3,AI$3&gt;=$C$1),'General Inputs'!G$9*$F46,0))</f>
        <v>0</v>
      </c>
      <c r="AJ46" s="214">
        <f>IF(AND(($D46+$C$1)&gt;AJ$3,AJ$3&gt;=$C$1),'General Inputs'!H$9*$G46,IF(AND(($C46+$C$1)&gt;AJ$3,AJ$3&gt;=$C$1),'General Inputs'!H$9*$F46,0))</f>
        <v>0</v>
      </c>
      <c r="AK46" s="214">
        <f>IF(AND(($D46+$C$1)&gt;AK$3,AK$3&gt;=$C$1),'General Inputs'!I$9*$G46,IF(AND(($C46+$C$1)&gt;AK$3,AK$3&gt;=$C$1),'General Inputs'!I$9*$F46,0))</f>
        <v>0</v>
      </c>
      <c r="AL46" s="214">
        <f>IF(AND(($D46+$C$1)&gt;AL$3,AL$3&gt;=$C$1),'General Inputs'!J$9*$G46,IF(AND(($C46+$C$1)&gt;AL$3,AL$3&gt;=$C$1),'General Inputs'!J$9*$F46,0))</f>
        <v>0</v>
      </c>
      <c r="AM46" s="214">
        <f>IF(AND(($D46+$C$1)&gt;AM$3,AM$3&gt;=$C$1),'General Inputs'!K$9*$G46,IF(AND(($C46+$C$1)&gt;AM$3,AM$3&gt;=$C$1),'General Inputs'!K$9*$F46,0))</f>
        <v>0</v>
      </c>
      <c r="AN46" s="214">
        <f>IF(AND(($D46+$C$1)&gt;AN$3,AN$3&gt;=$C$1),'General Inputs'!L$9*$G46,IF(AND(($C46+$C$1)&gt;AN$3,AN$3&gt;=$C$1),'General Inputs'!L$9*$F46,0))</f>
        <v>0</v>
      </c>
      <c r="AO46" s="214">
        <f>IF(AND(($D46+$C$1)&gt;AO$3,AO$3&gt;=$C$1),'General Inputs'!M$9*$G46,IF(AND(($C46+$C$1)&gt;AO$3,AO$3&gt;=$C$1),'General Inputs'!M$9*$F46,0))</f>
        <v>0</v>
      </c>
      <c r="AP46" s="214">
        <f>IF(AND(($D46+$C$1)&gt;AP$3,AP$3&gt;=$C$1),'General Inputs'!N$9*$G46,IF(AND(($C46+$C$1)&gt;AP$3,AP$3&gt;=$C$1),'General Inputs'!N$9*$F46,0))</f>
        <v>0</v>
      </c>
      <c r="AQ46" s="214">
        <f>IF(AND(($D46+$C$1)&gt;AQ$3,AQ$3&gt;=$C$1),'General Inputs'!O$9*$G46,IF(AND(($C46+$C$1)&gt;AQ$3,AQ$3&gt;=$C$1),'General Inputs'!O$9*$F46,0))</f>
        <v>0</v>
      </c>
      <c r="AR46" s="214">
        <f>IF(AND(($D46+$C$1)&gt;AR$3,AR$3&gt;=$C$1),'General Inputs'!P$9*$G46,IF(AND(($C46+$C$1)&gt;AR$3,AR$3&gt;=$C$1),'General Inputs'!P$9*$F46,0))</f>
        <v>0</v>
      </c>
      <c r="AS46" s="214">
        <f>IF(AND(($D46+$C$1)&gt;AS$3,AS$3&gt;=$C$1),'General Inputs'!Q$9*$G46,IF(AND(($C46+$C$1)&gt;AS$3,AS$3&gt;=$C$1),'General Inputs'!Q$9*$F46,0))</f>
        <v>0</v>
      </c>
      <c r="AT46" s="214">
        <f>IF(AND(($D46+$C$1)&gt;AT$3,AT$3&gt;=$C$1),'General Inputs'!R$9*$G46,IF(AND(($C46+$C$1)&gt;AT$3,AT$3&gt;=$C$1),'General Inputs'!R$9*$F46,0))</f>
        <v>0</v>
      </c>
      <c r="AU46" s="214">
        <f>IF(AND(($D46+$C$1)&gt;AU$3,AU$3&gt;=$C$1),'General Inputs'!S$9*$G46,IF(AND(($C46+$C$1)&gt;AU$3,AU$3&gt;=$C$1),'General Inputs'!S$9*$F46,0))</f>
        <v>0</v>
      </c>
      <c r="AV46" s="214">
        <f>IF(AND(($D46+$C$1)&gt;AV$3,AV$3&gt;=$C$1),'General Inputs'!T$9*$G46,IF(AND(($C46+$C$1)&gt;AV$3,AV$3&gt;=$C$1),'General Inputs'!T$9*$F46,0))</f>
        <v>0</v>
      </c>
      <c r="AW46" s="214">
        <f>IF(AND(($D46+$C$1)&gt;AW$3,AW$3&gt;=$C$1),'General Inputs'!U$9*$G46,IF(AND(($C46+$C$1)&gt;AW$3,AW$3&gt;=$C$1),'General Inputs'!U$9*$F46,0))</f>
        <v>0</v>
      </c>
      <c r="AX46" s="214">
        <f>IF(AND(($D46+$C$1)&gt;AX$3,AX$3&gt;=$C$1),'General Inputs'!V$9*$G46,IF(AND(($C46+$C$1)&gt;AX$3,AX$3&gt;=$C$1),'General Inputs'!V$9*$F46,0))</f>
        <v>0</v>
      </c>
      <c r="AY46" s="214">
        <f>IF(AND(($D46+$C$1)&gt;AY$3,AY$3&gt;=$C$1),'General Inputs'!W$9*$G46,IF(AND(($C46+$C$1)&gt;AY$3,AY$3&gt;=$C$1),'General Inputs'!W$9*$F46,0))</f>
        <v>0</v>
      </c>
      <c r="BA46" s="214">
        <f>IF(AND(($D46+$C$1)&gt;AF$3,AF$3&gt;=$C$1),'General Inputs'!D$10*$I46,IF(AND(($C46+$C$1)&gt;AF$3,AF$3&gt;=$C$1),'General Inputs'!D$10*$H46,0))</f>
        <v>0</v>
      </c>
      <c r="BB46" s="214">
        <f>IF(AND(($D46+$C$1)&gt;AG$3,AG$3&gt;=$C$1),'General Inputs'!E$10*$I46,IF(AND(($C46+$C$1)&gt;AG$3,AG$3&gt;=$C$1),'General Inputs'!E$10*$H46,0))</f>
        <v>0.15684260621447998</v>
      </c>
      <c r="BC46" s="214">
        <f>IF(AND(($D46+$C$1)&gt;AH$3,AH$3&gt;=$C$1),'General Inputs'!F$10*$I46,IF(AND(($C46+$C$1)&gt;AH$3,AH$3&gt;=$C$1),'General Inputs'!F$10*$H46,0))</f>
        <v>0.15919524530769719</v>
      </c>
      <c r="BD46" s="214">
        <f>IF(AND(($D46+$C$1)&gt;AI$3,AI$3&gt;=$C$1),'General Inputs'!G$10*$I46,IF(AND(($C46+$C$1)&gt;AI$3,AI$3&gt;=$C$1),'General Inputs'!G$10*$H46,0))</f>
        <v>0</v>
      </c>
      <c r="BE46" s="214">
        <f>IF(AND(($D46+$C$1)&gt;AJ$3,AJ$3&gt;=$C$1),'General Inputs'!H$10*$I46,IF(AND(($C46+$C$1)&gt;AJ$3,AJ$3&gt;=$C$1),'General Inputs'!H$10*$H46,0))</f>
        <v>0</v>
      </c>
      <c r="BF46" s="214">
        <f>IF(AND(($D46+$C$1)&gt;AK$3,AK$3&gt;=$C$1),'General Inputs'!I$10*$I46,IF(AND(($C46+$C$1)&gt;AK$3,AK$3&gt;=$C$1),'General Inputs'!I$10*$H46,0))</f>
        <v>0</v>
      </c>
      <c r="BG46" s="214">
        <f>IF(AND(($D46+$C$1)&gt;AL$3,AL$3&gt;=$C$1),'General Inputs'!J$10*$I46,IF(AND(($C46+$C$1)&gt;AL$3,AL$3&gt;=$C$1),'General Inputs'!J$10*$H46,0))</f>
        <v>0</v>
      </c>
      <c r="BH46" s="214">
        <f>IF(AND(($D46+$C$1)&gt;AM$3,AM$3&gt;=$C$1),'General Inputs'!K$10*$I46,IF(AND(($C46+$C$1)&gt;AM$3,AM$3&gt;=$C$1),'General Inputs'!K$10*$H46,0))</f>
        <v>0</v>
      </c>
      <c r="BI46" s="214">
        <f>IF(AND(($D46+$C$1)&gt;AN$3,AN$3&gt;=$C$1),'General Inputs'!L$10*$I46,IF(AND(($C46+$C$1)&gt;AN$3,AN$3&gt;=$C$1),'General Inputs'!L$10*$H46,0))</f>
        <v>0</v>
      </c>
      <c r="BJ46" s="214">
        <f>IF(AND(($D46+$C$1)&gt;AO$3,AO$3&gt;=$C$1),'General Inputs'!M$10*$I46,IF(AND(($C46+$C$1)&gt;AO$3,AO$3&gt;=$C$1),'General Inputs'!M$10*$H46,0))</f>
        <v>0</v>
      </c>
      <c r="BK46" s="214">
        <f>IF(AND(($D46+$C$1)&gt;AP$3,AP$3&gt;=$C$1),'General Inputs'!N$10*$I46,IF(AND(($C46+$C$1)&gt;AP$3,AP$3&gt;=$C$1),'General Inputs'!N$10*$H46,0))</f>
        <v>0</v>
      </c>
      <c r="BL46" s="214">
        <f>IF(AND(($D46+$C$1)&gt;AQ$3,AQ$3&gt;=$C$1),'General Inputs'!O$10*$I46,IF(AND(($C46+$C$1)&gt;AQ$3,AQ$3&gt;=$C$1),'General Inputs'!O$10*$H46,0))</f>
        <v>0</v>
      </c>
      <c r="BM46" s="214">
        <f>IF(AND(($D46+$C$1)&gt;AR$3,AR$3&gt;=$C$1),'General Inputs'!P$10*$I46,IF(AND(($C46+$C$1)&gt;AR$3,AR$3&gt;=$C$1),'General Inputs'!P$10*$H46,0))</f>
        <v>0</v>
      </c>
      <c r="BN46" s="214">
        <f>IF(AND(($D46+$C$1)&gt;AS$3,AS$3&gt;=$C$1),'General Inputs'!Q$10*$I46,IF(AND(($C46+$C$1)&gt;AS$3,AS$3&gt;=$C$1),'General Inputs'!Q$10*$H46,0))</f>
        <v>0</v>
      </c>
      <c r="BO46" s="214">
        <f>IF(AND(($D46+$C$1)&gt;AT$3,AT$3&gt;=$C$1),'General Inputs'!R$10*$I46,IF(AND(($C46+$C$1)&gt;AT$3,AT$3&gt;=$C$1),'General Inputs'!R$10*$H46,0))</f>
        <v>0</v>
      </c>
      <c r="BP46" s="214">
        <f>IF(AND(($D46+$C$1)&gt;AU$3,AU$3&gt;=$C$1),'General Inputs'!S$10*$I46,IF(AND(($C46+$C$1)&gt;AU$3,AU$3&gt;=$C$1),'General Inputs'!S$10*$H46,0))</f>
        <v>0</v>
      </c>
      <c r="BQ46" s="214">
        <f>IF(AND(($D46+$C$1)&gt;AV$3,AV$3&gt;=$C$1),'General Inputs'!T$10*$I46,IF(AND(($C46+$C$1)&gt;AV$3,AV$3&gt;=$C$1),'General Inputs'!T$10*$H46,0))</f>
        <v>0</v>
      </c>
      <c r="BR46" s="214">
        <f>IF(AND(($D46+$C$1)&gt;AW$3,AW$3&gt;=$C$1),'General Inputs'!U$10*$I46,IF(AND(($C46+$C$1)&gt;AW$3,AW$3&gt;=$C$1),'General Inputs'!U$10*$H46,0))</f>
        <v>0</v>
      </c>
      <c r="BS46" s="214">
        <f>IF(AND(($D46+$C$1)&gt;AX$3,AX$3&gt;=$C$1),'General Inputs'!V$10*$I46,IF(AND(($C46+$C$1)&gt;AX$3,AX$3&gt;=$C$1),'General Inputs'!V$10*$H46,0))</f>
        <v>0</v>
      </c>
      <c r="BT46" s="214">
        <f>IF(AND(($D46+$C$1)&gt;AY$3,AY$3&gt;=$C$1),'General Inputs'!W$10*$I46,IF(AND(($C46+$C$1)&gt;AY$3,AY$3&gt;=$C$1),'General Inputs'!W$10*$H46,0))</f>
        <v>0</v>
      </c>
    </row>
    <row r="47" spans="1:72">
      <c r="A47" s="341" t="s">
        <v>12</v>
      </c>
      <c r="B47" s="427" t="str">
        <f>Sources!B47</f>
        <v>School-Based Education</v>
      </c>
      <c r="C47" s="193">
        <f>Sources!C47</f>
        <v>5</v>
      </c>
      <c r="D47" s="193">
        <f>Sources!D47</f>
        <v>0</v>
      </c>
      <c r="F47" s="429">
        <f>Sources!F47*EnergyLineLoss</f>
        <v>349.30693564172253</v>
      </c>
      <c r="G47" s="429">
        <f>Sources!G47*EnergyLineLoss</f>
        <v>0</v>
      </c>
      <c r="H47" s="477">
        <f>Sources!H47*PeakLineLoss</f>
        <v>3.0578312110095322E-2</v>
      </c>
      <c r="I47" s="477">
        <f>Sources!I47*PeakLineLoss</f>
        <v>0</v>
      </c>
      <c r="K47" s="419">
        <f>Sources!J47</f>
        <v>0</v>
      </c>
      <c r="L47" s="419">
        <f>Sources!K47</f>
        <v>0</v>
      </c>
      <c r="N47" s="438" t="str">
        <f t="shared" si="4"/>
        <v>n/a</v>
      </c>
      <c r="P47" s="215">
        <f t="shared" si="0"/>
        <v>56.668479628926868</v>
      </c>
      <c r="Q47" s="215">
        <f t="shared" si="1"/>
        <v>1.865821009771218</v>
      </c>
      <c r="R47" s="215">
        <f t="shared" si="2"/>
        <v>0</v>
      </c>
      <c r="T47" s="214">
        <f t="shared" si="20"/>
        <v>0</v>
      </c>
      <c r="U47" s="214">
        <f t="shared" si="20"/>
        <v>0</v>
      </c>
      <c r="V47" s="214">
        <f t="shared" si="21"/>
        <v>0</v>
      </c>
      <c r="W47" s="214">
        <f t="shared" si="21"/>
        <v>0</v>
      </c>
      <c r="X47" s="214">
        <f t="shared" si="21"/>
        <v>0</v>
      </c>
      <c r="Y47" s="214">
        <f t="shared" si="21"/>
        <v>0</v>
      </c>
      <c r="Z47" s="214">
        <f t="shared" si="21"/>
        <v>0</v>
      </c>
      <c r="AA47" s="214">
        <f t="shared" si="21"/>
        <v>0</v>
      </c>
      <c r="AB47" s="214">
        <f t="shared" si="21"/>
        <v>0</v>
      </c>
      <c r="AC47" s="214">
        <f t="shared" si="21"/>
        <v>0</v>
      </c>
      <c r="AD47" s="214">
        <f t="shared" si="21"/>
        <v>0</v>
      </c>
      <c r="AF47" s="214">
        <f>IF(AND(($D47+$C$1)&gt;AF$3,AF$3&gt;=$C$1),'General Inputs'!D$9*$G47,IF(AND(($C47+$C$1)&gt;AF$3,AF$3&gt;=$C$1),'General Inputs'!D$9*$F47,0))</f>
        <v>0</v>
      </c>
      <c r="AG47" s="214">
        <f>IF(AND(($D47+$C$1)&gt;AG$3,AG$3&gt;=$C$1),'General Inputs'!E$9*$G47,IF(AND(($C47+$C$1)&gt;AG$3,AG$3&gt;=$C$1),'General Inputs'!E$9*$F47,0))</f>
        <v>14.115302295758838</v>
      </c>
      <c r="AH47" s="214">
        <f>IF(AND(($D47+$C$1)&gt;AH$3,AH$3&gt;=$C$1),'General Inputs'!F$9*$G47,IF(AND(($C47+$C$1)&gt;AH$3,AH$3&gt;=$C$1),'General Inputs'!F$9*$F47,0))</f>
        <v>14.327031830195219</v>
      </c>
      <c r="AI47" s="214">
        <f>IF(AND(($D47+$C$1)&gt;AI$3,AI$3&gt;=$C$1),'General Inputs'!G$9*$G47,IF(AND(($C47+$C$1)&gt;AI$3,AI$3&gt;=$C$1),'General Inputs'!G$9*$F47,0))</f>
        <v>14.541937307648146</v>
      </c>
      <c r="AJ47" s="214">
        <f>IF(AND(($D47+$C$1)&gt;AJ$3,AJ$3&gt;=$C$1),'General Inputs'!H$9*$G47,IF(AND(($C47+$C$1)&gt;AJ$3,AJ$3&gt;=$C$1),'General Inputs'!H$9*$F47,0))</f>
        <v>14.760066367262867</v>
      </c>
      <c r="AK47" s="214">
        <f>IF(AND(($D47+$C$1)&gt;AK$3,AK$3&gt;=$C$1),'General Inputs'!I$9*$G47,IF(AND(($C47+$C$1)&gt;AK$3,AK$3&gt;=$C$1),'General Inputs'!I$9*$F47,0))</f>
        <v>14.981467362771808</v>
      </c>
      <c r="AL47" s="214">
        <f>IF(AND(($D47+$C$1)&gt;AL$3,AL$3&gt;=$C$1),'General Inputs'!J$9*$G47,IF(AND(($C47+$C$1)&gt;AL$3,AL$3&gt;=$C$1),'General Inputs'!J$9*$F47,0))</f>
        <v>0</v>
      </c>
      <c r="AM47" s="214">
        <f>IF(AND(($D47+$C$1)&gt;AM$3,AM$3&gt;=$C$1),'General Inputs'!K$9*$G47,IF(AND(($C47+$C$1)&gt;AM$3,AM$3&gt;=$C$1),'General Inputs'!K$9*$F47,0))</f>
        <v>0</v>
      </c>
      <c r="AN47" s="214">
        <f>IF(AND(($D47+$C$1)&gt;AN$3,AN$3&gt;=$C$1),'General Inputs'!L$9*$G47,IF(AND(($C47+$C$1)&gt;AN$3,AN$3&gt;=$C$1),'General Inputs'!L$9*$F47,0))</f>
        <v>0</v>
      </c>
      <c r="AO47" s="214">
        <f>IF(AND(($D47+$C$1)&gt;AO$3,AO$3&gt;=$C$1),'General Inputs'!M$9*$G47,IF(AND(($C47+$C$1)&gt;AO$3,AO$3&gt;=$C$1),'General Inputs'!M$9*$F47,0))</f>
        <v>0</v>
      </c>
      <c r="AP47" s="214">
        <f>IF(AND(($D47+$C$1)&gt;AP$3,AP$3&gt;=$C$1),'General Inputs'!N$9*$G47,IF(AND(($C47+$C$1)&gt;AP$3,AP$3&gt;=$C$1),'General Inputs'!N$9*$F47,0))</f>
        <v>0</v>
      </c>
      <c r="AQ47" s="214">
        <f>IF(AND(($D47+$C$1)&gt;AQ$3,AQ$3&gt;=$C$1),'General Inputs'!O$9*$G47,IF(AND(($C47+$C$1)&gt;AQ$3,AQ$3&gt;=$C$1),'General Inputs'!O$9*$F47,0))</f>
        <v>0</v>
      </c>
      <c r="AR47" s="214">
        <f>IF(AND(($D47+$C$1)&gt;AR$3,AR$3&gt;=$C$1),'General Inputs'!P$9*$G47,IF(AND(($C47+$C$1)&gt;AR$3,AR$3&gt;=$C$1),'General Inputs'!P$9*$F47,0))</f>
        <v>0</v>
      </c>
      <c r="AS47" s="214">
        <f>IF(AND(($D47+$C$1)&gt;AS$3,AS$3&gt;=$C$1),'General Inputs'!Q$9*$G47,IF(AND(($C47+$C$1)&gt;AS$3,AS$3&gt;=$C$1),'General Inputs'!Q$9*$F47,0))</f>
        <v>0</v>
      </c>
      <c r="AT47" s="214">
        <f>IF(AND(($D47+$C$1)&gt;AT$3,AT$3&gt;=$C$1),'General Inputs'!R$9*$G47,IF(AND(($C47+$C$1)&gt;AT$3,AT$3&gt;=$C$1),'General Inputs'!R$9*$F47,0))</f>
        <v>0</v>
      </c>
      <c r="AU47" s="214">
        <f>IF(AND(($D47+$C$1)&gt;AU$3,AU$3&gt;=$C$1),'General Inputs'!S$9*$G47,IF(AND(($C47+$C$1)&gt;AU$3,AU$3&gt;=$C$1),'General Inputs'!S$9*$F47,0))</f>
        <v>0</v>
      </c>
      <c r="AV47" s="214">
        <f>IF(AND(($D47+$C$1)&gt;AV$3,AV$3&gt;=$C$1),'General Inputs'!T$9*$G47,IF(AND(($C47+$C$1)&gt;AV$3,AV$3&gt;=$C$1),'General Inputs'!T$9*$F47,0))</f>
        <v>0</v>
      </c>
      <c r="AW47" s="214">
        <f>IF(AND(($D47+$C$1)&gt;AW$3,AW$3&gt;=$C$1),'General Inputs'!U$9*$G47,IF(AND(($C47+$C$1)&gt;AW$3,AW$3&gt;=$C$1),'General Inputs'!U$9*$F47,0))</f>
        <v>0</v>
      </c>
      <c r="AX47" s="214">
        <f>IF(AND(($D47+$C$1)&gt;AX$3,AX$3&gt;=$C$1),'General Inputs'!V$9*$G47,IF(AND(($C47+$C$1)&gt;AX$3,AX$3&gt;=$C$1),'General Inputs'!V$9*$F47,0))</f>
        <v>0</v>
      </c>
      <c r="AY47" s="214">
        <f>IF(AND(($D47+$C$1)&gt;AY$3,AY$3&gt;=$C$1),'General Inputs'!W$9*$G47,IF(AND(($C47+$C$1)&gt;AY$3,AY$3&gt;=$C$1),'General Inputs'!W$9*$F47,0))</f>
        <v>0</v>
      </c>
      <c r="BA47" s="214">
        <f>IF(AND(($D47+$C$1)&gt;AF$3,AF$3&gt;=$C$1),'General Inputs'!D$10*$I47,IF(AND(($C47+$C$1)&gt;AF$3,AF$3&gt;=$C$1),'General Inputs'!D$10*$H47,0))</f>
        <v>0</v>
      </c>
      <c r="BB47" s="214">
        <f>IF(AND(($D47+$C$1)&gt;AG$3,AG$3&gt;=$C$1),'General Inputs'!E$10*$I47,IF(AND(($C47+$C$1)&gt;AG$3,AG$3&gt;=$C$1),'General Inputs'!E$10*$H47,0))</f>
        <v>0.46474914723590016</v>
      </c>
      <c r="BC47" s="214">
        <f>IF(AND(($D47+$C$1)&gt;AH$3,AH$3&gt;=$C$1),'General Inputs'!F$10*$I47,IF(AND(($C47+$C$1)&gt;AH$3,AH$3&gt;=$C$1),'General Inputs'!F$10*$H47,0))</f>
        <v>0.47172038444443865</v>
      </c>
      <c r="BD47" s="214">
        <f>IF(AND(($D47+$C$1)&gt;AI$3,AI$3&gt;=$C$1),'General Inputs'!G$10*$I47,IF(AND(($C47+$C$1)&gt;AI$3,AI$3&gt;=$C$1),'General Inputs'!G$10*$H47,0))</f>
        <v>0.4787961902111052</v>
      </c>
      <c r="BE47" s="214">
        <f>IF(AND(($D47+$C$1)&gt;AJ$3,AJ$3&gt;=$C$1),'General Inputs'!H$10*$I47,IF(AND(($C47+$C$1)&gt;AJ$3,AJ$3&gt;=$C$1),'General Inputs'!H$10*$H47,0))</f>
        <v>0.48597813306427173</v>
      </c>
      <c r="BF47" s="214">
        <f>IF(AND(($D47+$C$1)&gt;AK$3,AK$3&gt;=$C$1),'General Inputs'!I$10*$I47,IF(AND(($C47+$C$1)&gt;AK$3,AK$3&gt;=$C$1),'General Inputs'!I$10*$H47,0))</f>
        <v>0.49326780506023571</v>
      </c>
      <c r="BG47" s="214">
        <f>IF(AND(($D47+$C$1)&gt;AL$3,AL$3&gt;=$C$1),'General Inputs'!J$10*$I47,IF(AND(($C47+$C$1)&gt;AL$3,AL$3&gt;=$C$1),'General Inputs'!J$10*$H47,0))</f>
        <v>0</v>
      </c>
      <c r="BH47" s="214">
        <f>IF(AND(($D47+$C$1)&gt;AM$3,AM$3&gt;=$C$1),'General Inputs'!K$10*$I47,IF(AND(($C47+$C$1)&gt;AM$3,AM$3&gt;=$C$1),'General Inputs'!K$10*$H47,0))</f>
        <v>0</v>
      </c>
      <c r="BI47" s="214">
        <f>IF(AND(($D47+$C$1)&gt;AN$3,AN$3&gt;=$C$1),'General Inputs'!L$10*$I47,IF(AND(($C47+$C$1)&gt;AN$3,AN$3&gt;=$C$1),'General Inputs'!L$10*$H47,0))</f>
        <v>0</v>
      </c>
      <c r="BJ47" s="214">
        <f>IF(AND(($D47+$C$1)&gt;AO$3,AO$3&gt;=$C$1),'General Inputs'!M$10*$I47,IF(AND(($C47+$C$1)&gt;AO$3,AO$3&gt;=$C$1),'General Inputs'!M$10*$H47,0))</f>
        <v>0</v>
      </c>
      <c r="BK47" s="214">
        <f>IF(AND(($D47+$C$1)&gt;AP$3,AP$3&gt;=$C$1),'General Inputs'!N$10*$I47,IF(AND(($C47+$C$1)&gt;AP$3,AP$3&gt;=$C$1),'General Inputs'!N$10*$H47,0))</f>
        <v>0</v>
      </c>
      <c r="BL47" s="214">
        <f>IF(AND(($D47+$C$1)&gt;AQ$3,AQ$3&gt;=$C$1),'General Inputs'!O$10*$I47,IF(AND(($C47+$C$1)&gt;AQ$3,AQ$3&gt;=$C$1),'General Inputs'!O$10*$H47,0))</f>
        <v>0</v>
      </c>
      <c r="BM47" s="214">
        <f>IF(AND(($D47+$C$1)&gt;AR$3,AR$3&gt;=$C$1),'General Inputs'!P$10*$I47,IF(AND(($C47+$C$1)&gt;AR$3,AR$3&gt;=$C$1),'General Inputs'!P$10*$H47,0))</f>
        <v>0</v>
      </c>
      <c r="BN47" s="214">
        <f>IF(AND(($D47+$C$1)&gt;AS$3,AS$3&gt;=$C$1),'General Inputs'!Q$10*$I47,IF(AND(($C47+$C$1)&gt;AS$3,AS$3&gt;=$C$1),'General Inputs'!Q$10*$H47,0))</f>
        <v>0</v>
      </c>
      <c r="BO47" s="214">
        <f>IF(AND(($D47+$C$1)&gt;AT$3,AT$3&gt;=$C$1),'General Inputs'!R$10*$I47,IF(AND(($C47+$C$1)&gt;AT$3,AT$3&gt;=$C$1),'General Inputs'!R$10*$H47,0))</f>
        <v>0</v>
      </c>
      <c r="BP47" s="214">
        <f>IF(AND(($D47+$C$1)&gt;AU$3,AU$3&gt;=$C$1),'General Inputs'!S$10*$I47,IF(AND(($C47+$C$1)&gt;AU$3,AU$3&gt;=$C$1),'General Inputs'!S$10*$H47,0))</f>
        <v>0</v>
      </c>
      <c r="BQ47" s="214">
        <f>IF(AND(($D47+$C$1)&gt;AV$3,AV$3&gt;=$C$1),'General Inputs'!T$10*$I47,IF(AND(($C47+$C$1)&gt;AV$3,AV$3&gt;=$C$1),'General Inputs'!T$10*$H47,0))</f>
        <v>0</v>
      </c>
      <c r="BR47" s="214">
        <f>IF(AND(($D47+$C$1)&gt;AW$3,AW$3&gt;=$C$1),'General Inputs'!U$10*$I47,IF(AND(($C47+$C$1)&gt;AW$3,AW$3&gt;=$C$1),'General Inputs'!U$10*$H47,0))</f>
        <v>0</v>
      </c>
      <c r="BS47" s="214">
        <f>IF(AND(($D47+$C$1)&gt;AX$3,AX$3&gt;=$C$1),'General Inputs'!V$10*$I47,IF(AND(($C47+$C$1)&gt;AX$3,AX$3&gt;=$C$1),'General Inputs'!V$10*$H47,0))</f>
        <v>0</v>
      </c>
      <c r="BT47" s="214">
        <f>IF(AND(($D47+$C$1)&gt;AY$3,AY$3&gt;=$C$1),'General Inputs'!W$10*$I47,IF(AND(($C47+$C$1)&gt;AY$3,AY$3&gt;=$C$1),'General Inputs'!W$10*$H47,0))</f>
        <v>0</v>
      </c>
    </row>
    <row r="48" spans="1:72">
      <c r="A48" s="342" t="s">
        <v>112</v>
      </c>
      <c r="B48" s="427" t="str">
        <f>Sources!B48</f>
        <v>Delamping (T8 to T8)</v>
      </c>
      <c r="C48" s="193">
        <f>Sources!C48</f>
        <v>11</v>
      </c>
      <c r="D48" s="193">
        <f>Sources!D48</f>
        <v>0</v>
      </c>
      <c r="F48" s="429">
        <f>Sources!F48*EnergyLineLoss</f>
        <v>112.70510024999999</v>
      </c>
      <c r="G48" s="429">
        <f>Sources!G48*EnergyLineLoss</f>
        <v>0</v>
      </c>
      <c r="H48" s="477">
        <f>Sources!H48*PeakLineLoss</f>
        <v>1.7427524399999998E-2</v>
      </c>
      <c r="I48" s="477">
        <f>Sources!I48*PeakLineLoss</f>
        <v>0</v>
      </c>
      <c r="K48" s="419">
        <f>Sources!J48</f>
        <v>12</v>
      </c>
      <c r="L48" s="419">
        <f>Sources!K48</f>
        <v>0</v>
      </c>
      <c r="N48" s="438">
        <f>IF(R48&gt;0,(P48+Q48)/R48,"n/a")</f>
        <v>3.1923458350743039</v>
      </c>
      <c r="P48" s="215">
        <f t="shared" ref="P48" si="22">AF48+NPV(DiscountRate,AG48:AY48)</f>
        <v>33.262268408892048</v>
      </c>
      <c r="Q48" s="215">
        <f t="shared" ref="Q48" si="23">BA48+NPV(DiscountRate,BB48:BT48)</f>
        <v>1.934488317395755</v>
      </c>
      <c r="R48" s="215">
        <f t="shared" ref="R48" si="24">T48+NPV(DiscountRate,U48:AD48)</f>
        <v>11.025358324145534</v>
      </c>
      <c r="T48" s="214">
        <f t="shared" ref="T48:AD63" si="25">IF($C$1=T$3,$K48,IF($D48+$C$1=T$3,-$L48,0))</f>
        <v>0</v>
      </c>
      <c r="U48" s="214">
        <f t="shared" si="25"/>
        <v>12</v>
      </c>
      <c r="V48" s="214">
        <f t="shared" si="25"/>
        <v>0</v>
      </c>
      <c r="W48" s="214">
        <f t="shared" si="25"/>
        <v>0</v>
      </c>
      <c r="X48" s="214">
        <f t="shared" si="25"/>
        <v>0</v>
      </c>
      <c r="Y48" s="214">
        <f t="shared" si="25"/>
        <v>0</v>
      </c>
      <c r="Z48" s="214">
        <f t="shared" si="25"/>
        <v>0</v>
      </c>
      <c r="AA48" s="214">
        <f t="shared" si="25"/>
        <v>0</v>
      </c>
      <c r="AB48" s="214">
        <f t="shared" si="25"/>
        <v>0</v>
      </c>
      <c r="AC48" s="214">
        <f t="shared" si="25"/>
        <v>0</v>
      </c>
      <c r="AD48" s="214">
        <f t="shared" si="25"/>
        <v>0</v>
      </c>
      <c r="AF48" s="214">
        <f>IF(AND(($D48+$C$1)&gt;AF$3,AF$3&gt;=$C$1),'General Inputs'!D$9*$G48,IF(AND(($C48+$C$1)&gt;AF$3,AF$3&gt;=$C$1),'General Inputs'!D$9*$F48,0))</f>
        <v>0</v>
      </c>
      <c r="AG48" s="214">
        <f>IF(AND(($D48+$C$1)&gt;AG$3,AG$3&gt;=$C$1),'General Inputs'!E$9*$G48,IF(AND(($C48+$C$1)&gt;AG$3,AG$3&gt;=$C$1),'General Inputs'!E$9*$F48,0))</f>
        <v>4.5543514828296345</v>
      </c>
      <c r="AH48" s="214">
        <f>IF(AND(($D48+$C$1)&gt;AH$3,AH$3&gt;=$C$1),'General Inputs'!F$9*$G48,IF(AND(($C48+$C$1)&gt;AH$3,AH$3&gt;=$C$1),'General Inputs'!F$9*$F48,0))</f>
        <v>4.6226667550720792</v>
      </c>
      <c r="AI48" s="214">
        <f>IF(AND(($D48+$C$1)&gt;AI$3,AI$3&gt;=$C$1),'General Inputs'!G$9*$G48,IF(AND(($C48+$C$1)&gt;AI$3,AI$3&gt;=$C$1),'General Inputs'!G$9*$F48,0))</f>
        <v>4.6920067563981593</v>
      </c>
      <c r="AJ48" s="214">
        <f>IF(AND(($D48+$C$1)&gt;AJ$3,AJ$3&gt;=$C$1),'General Inputs'!H$9*$G48,IF(AND(($C48+$C$1)&gt;AJ$3,AJ$3&gt;=$C$1),'General Inputs'!H$9*$F48,0))</f>
        <v>4.7623868577441311</v>
      </c>
      <c r="AK48" s="214">
        <f>IF(AND(($D48+$C$1)&gt;AK$3,AK$3&gt;=$C$1),'General Inputs'!I$9*$G48,IF(AND(($C48+$C$1)&gt;AK$3,AK$3&gt;=$C$1),'General Inputs'!I$9*$F48,0))</f>
        <v>4.8338226606102923</v>
      </c>
      <c r="AL48" s="214">
        <f>IF(AND(($D48+$C$1)&gt;AL$3,AL$3&gt;=$C$1),'General Inputs'!J$9*$G48,IF(AND(($C48+$C$1)&gt;AL$3,AL$3&gt;=$C$1),'General Inputs'!J$9*$F48,0))</f>
        <v>4.9063300005194463</v>
      </c>
      <c r="AM48" s="214">
        <f>IF(AND(($D48+$C$1)&gt;AM$3,AM$3&gt;=$C$1),'General Inputs'!K$9*$G48,IF(AND(($C48+$C$1)&gt;AM$3,AM$3&gt;=$C$1),'General Inputs'!K$9*$F48,0))</f>
        <v>4.9799249505272369</v>
      </c>
      <c r="AN48" s="214">
        <f>IF(AND(($D48+$C$1)&gt;AN$3,AN$3&gt;=$C$1),'General Inputs'!L$9*$G48,IF(AND(($C48+$C$1)&gt;AN$3,AN$3&gt;=$C$1),'General Inputs'!L$9*$F48,0))</f>
        <v>5.0546238247851454</v>
      </c>
      <c r="AO48" s="214">
        <f>IF(AND(($D48+$C$1)&gt;AO$3,AO$3&gt;=$C$1),'General Inputs'!M$9*$G48,IF(AND(($C48+$C$1)&gt;AO$3,AO$3&gt;=$C$1),'General Inputs'!M$9*$F48,0))</f>
        <v>5.1304431821569221</v>
      </c>
      <c r="AP48" s="214">
        <f>IF(AND(($D48+$C$1)&gt;AP$3,AP$3&gt;=$C$1),'General Inputs'!N$9*$G48,IF(AND(($C48+$C$1)&gt;AP$3,AP$3&gt;=$C$1),'General Inputs'!N$9*$F48,0))</f>
        <v>5.2073998298892752</v>
      </c>
      <c r="AQ48" s="214">
        <f>IF(AND(($D48+$C$1)&gt;AQ$3,AQ$3&gt;=$C$1),'General Inputs'!O$9*$G48,IF(AND(($C48+$C$1)&gt;AQ$3,AQ$3&gt;=$C$1),'General Inputs'!O$9*$F48,0))</f>
        <v>5.2855108273376139</v>
      </c>
      <c r="AR48" s="214">
        <f>IF(AND(($D48+$C$1)&gt;AR$3,AR$3&gt;=$C$1),'General Inputs'!P$9*$G48,IF(AND(($C48+$C$1)&gt;AR$3,AR$3&gt;=$C$1),'General Inputs'!P$9*$F48,0))</f>
        <v>0</v>
      </c>
      <c r="AS48" s="214">
        <f>IF(AND(($D48+$C$1)&gt;AS$3,AS$3&gt;=$C$1),'General Inputs'!Q$9*$G48,IF(AND(($C48+$C$1)&gt;AS$3,AS$3&gt;=$C$1),'General Inputs'!Q$9*$F48,0))</f>
        <v>0</v>
      </c>
      <c r="AT48" s="214">
        <f>IF(AND(($D48+$C$1)&gt;AT$3,AT$3&gt;=$C$1),'General Inputs'!R$9*$G48,IF(AND(($C48+$C$1)&gt;AT$3,AT$3&gt;=$C$1),'General Inputs'!R$9*$F48,0))</f>
        <v>0</v>
      </c>
      <c r="AU48" s="214">
        <f>IF(AND(($D48+$C$1)&gt;AU$3,AU$3&gt;=$C$1),'General Inputs'!S$9*$G48,IF(AND(($C48+$C$1)&gt;AU$3,AU$3&gt;=$C$1),'General Inputs'!S$9*$F48,0))</f>
        <v>0</v>
      </c>
      <c r="AV48" s="214">
        <f>IF(AND(($D48+$C$1)&gt;AV$3,AV$3&gt;=$C$1),'General Inputs'!T$9*$G48,IF(AND(($C48+$C$1)&gt;AV$3,AV$3&gt;=$C$1),'General Inputs'!T$9*$F48,0))</f>
        <v>0</v>
      </c>
      <c r="AW48" s="214">
        <f>IF(AND(($D48+$C$1)&gt;AW$3,AW$3&gt;=$C$1),'General Inputs'!U$9*$G48,IF(AND(($C48+$C$1)&gt;AW$3,AW$3&gt;=$C$1),'General Inputs'!U$9*$F48,0))</f>
        <v>0</v>
      </c>
      <c r="AX48" s="214">
        <f>IF(AND(($D48+$C$1)&gt;AX$3,AX$3&gt;=$C$1),'General Inputs'!V$9*$G48,IF(AND(($C48+$C$1)&gt;AX$3,AX$3&gt;=$C$1),'General Inputs'!V$9*$F48,0))</f>
        <v>0</v>
      </c>
      <c r="AY48" s="214">
        <f>IF(AND(($D48+$C$1)&gt;AY$3,AY$3&gt;=$C$1),'General Inputs'!W$9*$G48,IF(AND(($C48+$C$1)&gt;AY$3,AY$3&gt;=$C$1),'General Inputs'!W$9*$F48,0))</f>
        <v>0</v>
      </c>
      <c r="BA48" s="214">
        <f>IF(AND(($D48+$C$1)&gt;AF$3,AF$3&gt;=$C$1),'General Inputs'!D$10*$I48,IF(AND(($C48+$C$1)&gt;AF$3,AF$3&gt;=$C$1),'General Inputs'!D$10*$H48,0))</f>
        <v>0</v>
      </c>
      <c r="BB48" s="214">
        <f>IF(AND(($D48+$C$1)&gt;AG$3,AG$3&gt;=$C$1),'General Inputs'!E$10*$I48,IF(AND(($C48+$C$1)&gt;AG$3,AG$3&gt;=$C$1),'General Inputs'!E$10*$H48,0))</f>
        <v>0.26487489153002808</v>
      </c>
      <c r="BC48" s="214">
        <f>IF(AND(($D48+$C$1)&gt;AH$3,AH$3&gt;=$C$1),'General Inputs'!F$10*$I48,IF(AND(($C48+$C$1)&gt;AH$3,AH$3&gt;=$C$1),'General Inputs'!F$10*$H48,0))</f>
        <v>0.26884801490297849</v>
      </c>
      <c r="BD48" s="214">
        <f>IF(AND(($D48+$C$1)&gt;AI$3,AI$3&gt;=$C$1),'General Inputs'!G$10*$I48,IF(AND(($C48+$C$1)&gt;AI$3,AI$3&gt;=$C$1),'General Inputs'!G$10*$H48,0))</f>
        <v>0.27288073512652311</v>
      </c>
      <c r="BE48" s="214">
        <f>IF(AND(($D48+$C$1)&gt;AJ$3,AJ$3&gt;=$C$1),'General Inputs'!H$10*$I48,IF(AND(($C48+$C$1)&gt;AJ$3,AJ$3&gt;=$C$1),'General Inputs'!H$10*$H48,0))</f>
        <v>0.27697394615342097</v>
      </c>
      <c r="BF48" s="214">
        <f>IF(AND(($D48+$C$1)&gt;AK$3,AK$3&gt;=$C$1),'General Inputs'!I$10*$I48,IF(AND(($C48+$C$1)&gt;AK$3,AK$3&gt;=$C$1),'General Inputs'!I$10*$H48,0))</f>
        <v>0.28112855534572223</v>
      </c>
      <c r="BG48" s="214">
        <f>IF(AND(($D48+$C$1)&gt;AL$3,AL$3&gt;=$C$1),'General Inputs'!J$10*$I48,IF(AND(($C48+$C$1)&gt;AL$3,AL$3&gt;=$C$1),'General Inputs'!J$10*$H48,0))</f>
        <v>0.28534548367590801</v>
      </c>
      <c r="BH48" s="214">
        <f>IF(AND(($D48+$C$1)&gt;AM$3,AM$3&gt;=$C$1),'General Inputs'!K$10*$I48,IF(AND(($C48+$C$1)&gt;AM$3,AM$3&gt;=$C$1),'General Inputs'!K$10*$H48,0))</f>
        <v>0.28962566593104661</v>
      </c>
      <c r="BI48" s="214">
        <f>IF(AND(($D48+$C$1)&gt;AN$3,AN$3&gt;=$C$1),'General Inputs'!L$10*$I48,IF(AND(($C48+$C$1)&gt;AN$3,AN$3&gt;=$C$1),'General Inputs'!L$10*$H48,0))</f>
        <v>0.29397005092001227</v>
      </c>
      <c r="BJ48" s="214">
        <f>IF(AND(($D48+$C$1)&gt;AO$3,AO$3&gt;=$C$1),'General Inputs'!M$10*$I48,IF(AND(($C48+$C$1)&gt;AO$3,AO$3&gt;=$C$1),'General Inputs'!M$10*$H48,0))</f>
        <v>0.2983796016838125</v>
      </c>
      <c r="BK48" s="214">
        <f>IF(AND(($D48+$C$1)&gt;AP$3,AP$3&gt;=$C$1),'General Inputs'!N$10*$I48,IF(AND(($C48+$C$1)&gt;AP$3,AP$3&gt;=$C$1),'General Inputs'!N$10*$H48,0))</f>
        <v>0.30285529570906961</v>
      </c>
      <c r="BL48" s="214">
        <f>IF(AND(($D48+$C$1)&gt;AQ$3,AQ$3&gt;=$C$1),'General Inputs'!O$10*$I48,IF(AND(($C48+$C$1)&gt;AQ$3,AQ$3&gt;=$C$1),'General Inputs'!O$10*$H48,0))</f>
        <v>0.30739812514470566</v>
      </c>
      <c r="BM48" s="214">
        <f>IF(AND(($D48+$C$1)&gt;AR$3,AR$3&gt;=$C$1),'General Inputs'!P$10*$I48,IF(AND(($C48+$C$1)&gt;AR$3,AR$3&gt;=$C$1),'General Inputs'!P$10*$H48,0))</f>
        <v>0</v>
      </c>
      <c r="BN48" s="214">
        <f>IF(AND(($D48+$C$1)&gt;AS$3,AS$3&gt;=$C$1),'General Inputs'!Q$10*$I48,IF(AND(($C48+$C$1)&gt;AS$3,AS$3&gt;=$C$1),'General Inputs'!Q$10*$H48,0))</f>
        <v>0</v>
      </c>
      <c r="BO48" s="214">
        <f>IF(AND(($D48+$C$1)&gt;AT$3,AT$3&gt;=$C$1),'General Inputs'!R$10*$I48,IF(AND(($C48+$C$1)&gt;AT$3,AT$3&gt;=$C$1),'General Inputs'!R$10*$H48,0))</f>
        <v>0</v>
      </c>
      <c r="BP48" s="214">
        <f>IF(AND(($D48+$C$1)&gt;AU$3,AU$3&gt;=$C$1),'General Inputs'!S$10*$I48,IF(AND(($C48+$C$1)&gt;AU$3,AU$3&gt;=$C$1),'General Inputs'!S$10*$H48,0))</f>
        <v>0</v>
      </c>
      <c r="BQ48" s="214">
        <f>IF(AND(($D48+$C$1)&gt;AV$3,AV$3&gt;=$C$1),'General Inputs'!T$10*$I48,IF(AND(($C48+$C$1)&gt;AV$3,AV$3&gt;=$C$1),'General Inputs'!T$10*$H48,0))</f>
        <v>0</v>
      </c>
      <c r="BR48" s="214">
        <f>IF(AND(($D48+$C$1)&gt;AW$3,AW$3&gt;=$C$1),'General Inputs'!U$10*$I48,IF(AND(($C48+$C$1)&gt;AW$3,AW$3&gt;=$C$1),'General Inputs'!U$10*$H48,0))</f>
        <v>0</v>
      </c>
      <c r="BS48" s="214">
        <f>IF(AND(($D48+$C$1)&gt;AX$3,AX$3&gt;=$C$1),'General Inputs'!V$10*$I48,IF(AND(($C48+$C$1)&gt;AX$3,AX$3&gt;=$C$1),'General Inputs'!V$10*$H48,0))</f>
        <v>0</v>
      </c>
      <c r="BT48" s="214">
        <f>IF(AND(($D48+$C$1)&gt;AY$3,AY$3&gt;=$C$1),'General Inputs'!W$10*$I48,IF(AND(($C48+$C$1)&gt;AY$3,AY$3&gt;=$C$1),'General Inputs'!W$10*$H48,0))</f>
        <v>0</v>
      </c>
    </row>
    <row r="49" spans="1:72">
      <c r="A49" s="342" t="s">
        <v>112</v>
      </c>
      <c r="B49" s="427" t="str">
        <f>Sources!B49</f>
        <v>Delamp T12 to T8 (2 Lamp Fixtures)</v>
      </c>
      <c r="C49" s="193">
        <f>Sources!C49</f>
        <v>11</v>
      </c>
      <c r="D49" s="193">
        <f>Sources!D49</f>
        <v>0</v>
      </c>
      <c r="F49" s="429">
        <f>Sources!F49*EnergyLineLoss</f>
        <v>433.97273137499991</v>
      </c>
      <c r="G49" s="429">
        <f>Sources!G49*EnergyLineLoss</f>
        <v>0</v>
      </c>
      <c r="H49" s="477">
        <f>Sources!H49*PeakLineLoss</f>
        <v>6.7104952199999984E-2</v>
      </c>
      <c r="I49" s="477">
        <f>Sources!I49*PeakLineLoss</f>
        <v>0</v>
      </c>
      <c r="K49" s="419">
        <f>Sources!J49</f>
        <v>55</v>
      </c>
      <c r="L49" s="419">
        <f>Sources!K49</f>
        <v>0</v>
      </c>
      <c r="N49" s="438">
        <f t="shared" ref="N49:N84" si="26">IF(R49&gt;0,(P49+Q49)/R49,"n/a")</f>
        <v>2.6819295281730136</v>
      </c>
      <c r="P49" s="215">
        <f t="shared" ref="P49:P84" si="27">AF49+NPV(DiscountRate,AG49:AY49)</f>
        <v>128.07687887341422</v>
      </c>
      <c r="Q49" s="215">
        <f t="shared" ref="Q49:Q84" si="28">BA49+NPV(DiscountRate,BB49:BT49)</f>
        <v>7.448777180900148</v>
      </c>
      <c r="R49" s="215">
        <f t="shared" ref="R49:R84" si="29">T49+NPV(DiscountRate,U49:AD49)</f>
        <v>50.532892319000368</v>
      </c>
      <c r="T49" s="214">
        <f t="shared" si="25"/>
        <v>0</v>
      </c>
      <c r="U49" s="214">
        <f t="shared" si="25"/>
        <v>55</v>
      </c>
      <c r="V49" s="214">
        <f t="shared" si="25"/>
        <v>0</v>
      </c>
      <c r="W49" s="214">
        <f t="shared" si="25"/>
        <v>0</v>
      </c>
      <c r="X49" s="214">
        <f t="shared" si="25"/>
        <v>0</v>
      </c>
      <c r="Y49" s="214">
        <f t="shared" si="25"/>
        <v>0</v>
      </c>
      <c r="Z49" s="214">
        <f t="shared" si="25"/>
        <v>0</v>
      </c>
      <c r="AA49" s="214">
        <f t="shared" si="25"/>
        <v>0</v>
      </c>
      <c r="AB49" s="214">
        <f t="shared" si="25"/>
        <v>0</v>
      </c>
      <c r="AC49" s="214">
        <f t="shared" si="25"/>
        <v>0</v>
      </c>
      <c r="AD49" s="214">
        <f t="shared" si="25"/>
        <v>0</v>
      </c>
      <c r="AF49" s="214">
        <f>IF(AND(($D49+$C$1)&gt;AF$3,AF$3&gt;=$C$1),'General Inputs'!D$9*$G49,IF(AND(($C49+$C$1)&gt;AF$3,AF$3&gt;=$C$1),'General Inputs'!D$9*$F49,0))</f>
        <v>0</v>
      </c>
      <c r="AG49" s="214">
        <f>IF(AND(($D49+$C$1)&gt;AG$3,AG$3&gt;=$C$1),'General Inputs'!E$9*$G49,IF(AND(($C49+$C$1)&gt;AG$3,AG$3&gt;=$C$1),'General Inputs'!E$9*$F49,0))</f>
        <v>17.536600812751221</v>
      </c>
      <c r="AH49" s="214">
        <f>IF(AND(($D49+$C$1)&gt;AH$3,AH$3&gt;=$C$1),'General Inputs'!F$9*$G49,IF(AND(($C49+$C$1)&gt;AH$3,AH$3&gt;=$C$1),'General Inputs'!F$9*$F49,0))</f>
        <v>17.799649824942488</v>
      </c>
      <c r="AI49" s="214">
        <f>IF(AND(($D49+$C$1)&gt;AI$3,AI$3&gt;=$C$1),'General Inputs'!G$9*$G49,IF(AND(($C49+$C$1)&gt;AI$3,AI$3&gt;=$C$1),'General Inputs'!G$9*$F49,0))</f>
        <v>18.066644572316623</v>
      </c>
      <c r="AJ49" s="214">
        <f>IF(AND(($D49+$C$1)&gt;AJ$3,AJ$3&gt;=$C$1),'General Inputs'!H$9*$G49,IF(AND(($C49+$C$1)&gt;AJ$3,AJ$3&gt;=$C$1),'General Inputs'!H$9*$F49,0))</f>
        <v>18.337644240901369</v>
      </c>
      <c r="AK49" s="214">
        <f>IF(AND(($D49+$C$1)&gt;AK$3,AK$3&gt;=$C$1),'General Inputs'!I$9*$G49,IF(AND(($C49+$C$1)&gt;AK$3,AK$3&gt;=$C$1),'General Inputs'!I$9*$F49,0))</f>
        <v>18.612708904514889</v>
      </c>
      <c r="AL49" s="214">
        <f>IF(AND(($D49+$C$1)&gt;AL$3,AL$3&gt;=$C$1),'General Inputs'!J$9*$G49,IF(AND(($C49+$C$1)&gt;AL$3,AL$3&gt;=$C$1),'General Inputs'!J$9*$F49,0))</f>
        <v>18.891899538082608</v>
      </c>
      <c r="AM49" s="214">
        <f>IF(AND(($D49+$C$1)&gt;AM$3,AM$3&gt;=$C$1),'General Inputs'!K$9*$G49,IF(AND(($C49+$C$1)&gt;AM$3,AM$3&gt;=$C$1),'General Inputs'!K$9*$F49,0))</f>
        <v>19.175278031153844</v>
      </c>
      <c r="AN49" s="214">
        <f>IF(AND(($D49+$C$1)&gt;AN$3,AN$3&gt;=$C$1),'General Inputs'!L$9*$G49,IF(AND(($C49+$C$1)&gt;AN$3,AN$3&gt;=$C$1),'General Inputs'!L$9*$F49,0))</f>
        <v>19.46290720162115</v>
      </c>
      <c r="AO49" s="214">
        <f>IF(AND(($D49+$C$1)&gt;AO$3,AO$3&gt;=$C$1),'General Inputs'!M$9*$G49,IF(AND(($C49+$C$1)&gt;AO$3,AO$3&gt;=$C$1),'General Inputs'!M$9*$F49,0))</f>
        <v>19.754850809645465</v>
      </c>
      <c r="AP49" s="214">
        <f>IF(AND(($D49+$C$1)&gt;AP$3,AP$3&gt;=$C$1),'General Inputs'!N$9*$G49,IF(AND(($C49+$C$1)&gt;AP$3,AP$3&gt;=$C$1),'General Inputs'!N$9*$F49,0))</f>
        <v>20.051173571790148</v>
      </c>
      <c r="AQ49" s="214">
        <f>IF(AND(($D49+$C$1)&gt;AQ$3,AQ$3&gt;=$C$1),'General Inputs'!O$9*$G49,IF(AND(($C49+$C$1)&gt;AQ$3,AQ$3&gt;=$C$1),'General Inputs'!O$9*$F49,0))</f>
        <v>20.351941175366996</v>
      </c>
      <c r="AR49" s="214">
        <f>IF(AND(($D49+$C$1)&gt;AR$3,AR$3&gt;=$C$1),'General Inputs'!P$9*$G49,IF(AND(($C49+$C$1)&gt;AR$3,AR$3&gt;=$C$1),'General Inputs'!P$9*$F49,0))</f>
        <v>0</v>
      </c>
      <c r="AS49" s="214">
        <f>IF(AND(($D49+$C$1)&gt;AS$3,AS$3&gt;=$C$1),'General Inputs'!Q$9*$G49,IF(AND(($C49+$C$1)&gt;AS$3,AS$3&gt;=$C$1),'General Inputs'!Q$9*$F49,0))</f>
        <v>0</v>
      </c>
      <c r="AT49" s="214">
        <f>IF(AND(($D49+$C$1)&gt;AT$3,AT$3&gt;=$C$1),'General Inputs'!R$9*$G49,IF(AND(($C49+$C$1)&gt;AT$3,AT$3&gt;=$C$1),'General Inputs'!R$9*$F49,0))</f>
        <v>0</v>
      </c>
      <c r="AU49" s="214">
        <f>IF(AND(($D49+$C$1)&gt;AU$3,AU$3&gt;=$C$1),'General Inputs'!S$9*$G49,IF(AND(($C49+$C$1)&gt;AU$3,AU$3&gt;=$C$1),'General Inputs'!S$9*$F49,0))</f>
        <v>0</v>
      </c>
      <c r="AV49" s="214">
        <f>IF(AND(($D49+$C$1)&gt;AV$3,AV$3&gt;=$C$1),'General Inputs'!T$9*$G49,IF(AND(($C49+$C$1)&gt;AV$3,AV$3&gt;=$C$1),'General Inputs'!T$9*$F49,0))</f>
        <v>0</v>
      </c>
      <c r="AW49" s="214">
        <f>IF(AND(($D49+$C$1)&gt;AW$3,AW$3&gt;=$C$1),'General Inputs'!U$9*$G49,IF(AND(($C49+$C$1)&gt;AW$3,AW$3&gt;=$C$1),'General Inputs'!U$9*$F49,0))</f>
        <v>0</v>
      </c>
      <c r="AX49" s="214">
        <f>IF(AND(($D49+$C$1)&gt;AX$3,AX$3&gt;=$C$1),'General Inputs'!V$9*$G49,IF(AND(($C49+$C$1)&gt;AX$3,AX$3&gt;=$C$1),'General Inputs'!V$9*$F49,0))</f>
        <v>0</v>
      </c>
      <c r="AY49" s="214">
        <f>IF(AND(($D49+$C$1)&gt;AY$3,AY$3&gt;=$C$1),'General Inputs'!W$9*$G49,IF(AND(($C49+$C$1)&gt;AY$3,AY$3&gt;=$C$1),'General Inputs'!W$9*$F49,0))</f>
        <v>0</v>
      </c>
      <c r="BA49" s="214">
        <f>IF(AND(($D49+$C$1)&gt;AF$3,AF$3&gt;=$C$1),'General Inputs'!D$10*$I49,IF(AND(($C49+$C$1)&gt;AF$3,AF$3&gt;=$C$1),'General Inputs'!D$10*$H49,0))</f>
        <v>0</v>
      </c>
      <c r="BB49" s="214">
        <f>IF(AND(($D49+$C$1)&gt;AG$3,AG$3&gt;=$C$1),'General Inputs'!E$10*$I49,IF(AND(($C49+$C$1)&gt;AG$3,AG$3&gt;=$C$1),'General Inputs'!E$10*$H49,0))</f>
        <v>1.0199048658398502</v>
      </c>
      <c r="BC49" s="214">
        <f>IF(AND(($D49+$C$1)&gt;AH$3,AH$3&gt;=$C$1),'General Inputs'!F$10*$I49,IF(AND(($C49+$C$1)&gt;AH$3,AH$3&gt;=$C$1),'General Inputs'!F$10*$H49,0))</f>
        <v>1.035203438827448</v>
      </c>
      <c r="BD49" s="214">
        <f>IF(AND(($D49+$C$1)&gt;AI$3,AI$3&gt;=$C$1),'General Inputs'!G$10*$I49,IF(AND(($C49+$C$1)&gt;AI$3,AI$3&gt;=$C$1),'General Inputs'!G$10*$H49,0))</f>
        <v>1.0507314904098595</v>
      </c>
      <c r="BE49" s="214">
        <f>IF(AND(($D49+$C$1)&gt;AJ$3,AJ$3&gt;=$C$1),'General Inputs'!H$10*$I49,IF(AND(($C49+$C$1)&gt;AJ$3,AJ$3&gt;=$C$1),'General Inputs'!H$10*$H49,0))</f>
        <v>1.0664924627660073</v>
      </c>
      <c r="BF49" s="214">
        <f>IF(AND(($D49+$C$1)&gt;AK$3,AK$3&gt;=$C$1),'General Inputs'!I$10*$I49,IF(AND(($C49+$C$1)&gt;AK$3,AK$3&gt;=$C$1),'General Inputs'!I$10*$H49,0))</f>
        <v>1.0824898497074973</v>
      </c>
      <c r="BG49" s="214">
        <f>IF(AND(($D49+$C$1)&gt;AL$3,AL$3&gt;=$C$1),'General Inputs'!J$10*$I49,IF(AND(($C49+$C$1)&gt;AL$3,AL$3&gt;=$C$1),'General Inputs'!J$10*$H49,0))</f>
        <v>1.0987271974531096</v>
      </c>
      <c r="BH49" s="214">
        <f>IF(AND(($D49+$C$1)&gt;AM$3,AM$3&gt;=$C$1),'General Inputs'!K$10*$I49,IF(AND(($C49+$C$1)&gt;AM$3,AM$3&gt;=$C$1),'General Inputs'!K$10*$H49,0))</f>
        <v>1.1152081054149061</v>
      </c>
      <c r="BI49" s="214">
        <f>IF(AND(($D49+$C$1)&gt;AN$3,AN$3&gt;=$C$1),'General Inputs'!L$10*$I49,IF(AND(($C49+$C$1)&gt;AN$3,AN$3&gt;=$C$1),'General Inputs'!L$10*$H49,0))</f>
        <v>1.1319362269961297</v>
      </c>
      <c r="BJ49" s="214">
        <f>IF(AND(($D49+$C$1)&gt;AO$3,AO$3&gt;=$C$1),'General Inputs'!M$10*$I49,IF(AND(($C49+$C$1)&gt;AO$3,AO$3&gt;=$C$1),'General Inputs'!M$10*$H49,0))</f>
        <v>1.1489152704010717</v>
      </c>
      <c r="BK49" s="214">
        <f>IF(AND(($D49+$C$1)&gt;AP$3,AP$3&gt;=$C$1),'General Inputs'!N$10*$I49,IF(AND(($C49+$C$1)&gt;AP$3,AP$3&gt;=$C$1),'General Inputs'!N$10*$H49,0))</f>
        <v>1.1661489994570875</v>
      </c>
      <c r="BL49" s="214">
        <f>IF(AND(($D49+$C$1)&gt;AQ$3,AQ$3&gt;=$C$1),'General Inputs'!O$10*$I49,IF(AND(($C49+$C$1)&gt;AQ$3,AQ$3&gt;=$C$1),'General Inputs'!O$10*$H49,0))</f>
        <v>1.1836412344489438</v>
      </c>
      <c r="BM49" s="214">
        <f>IF(AND(($D49+$C$1)&gt;AR$3,AR$3&gt;=$C$1),'General Inputs'!P$10*$I49,IF(AND(($C49+$C$1)&gt;AR$3,AR$3&gt;=$C$1),'General Inputs'!P$10*$H49,0))</f>
        <v>0</v>
      </c>
      <c r="BN49" s="214">
        <f>IF(AND(($D49+$C$1)&gt;AS$3,AS$3&gt;=$C$1),'General Inputs'!Q$10*$I49,IF(AND(($C49+$C$1)&gt;AS$3,AS$3&gt;=$C$1),'General Inputs'!Q$10*$H49,0))</f>
        <v>0</v>
      </c>
      <c r="BO49" s="214">
        <f>IF(AND(($D49+$C$1)&gt;AT$3,AT$3&gt;=$C$1),'General Inputs'!R$10*$I49,IF(AND(($C49+$C$1)&gt;AT$3,AT$3&gt;=$C$1),'General Inputs'!R$10*$H49,0))</f>
        <v>0</v>
      </c>
      <c r="BP49" s="214">
        <f>IF(AND(($D49+$C$1)&gt;AU$3,AU$3&gt;=$C$1),'General Inputs'!S$10*$I49,IF(AND(($C49+$C$1)&gt;AU$3,AU$3&gt;=$C$1),'General Inputs'!S$10*$H49,0))</f>
        <v>0</v>
      </c>
      <c r="BQ49" s="214">
        <f>IF(AND(($D49+$C$1)&gt;AV$3,AV$3&gt;=$C$1),'General Inputs'!T$10*$I49,IF(AND(($C49+$C$1)&gt;AV$3,AV$3&gt;=$C$1),'General Inputs'!T$10*$H49,0))</f>
        <v>0</v>
      </c>
      <c r="BR49" s="214">
        <f>IF(AND(($D49+$C$1)&gt;AW$3,AW$3&gt;=$C$1),'General Inputs'!U$10*$I49,IF(AND(($C49+$C$1)&gt;AW$3,AW$3&gt;=$C$1),'General Inputs'!U$10*$H49,0))</f>
        <v>0</v>
      </c>
      <c r="BS49" s="214">
        <f>IF(AND(($D49+$C$1)&gt;AX$3,AX$3&gt;=$C$1),'General Inputs'!V$10*$I49,IF(AND(($C49+$C$1)&gt;AX$3,AX$3&gt;=$C$1),'General Inputs'!V$10*$H49,0))</f>
        <v>0</v>
      </c>
      <c r="BT49" s="214">
        <f>IF(AND(($D49+$C$1)&gt;AY$3,AY$3&gt;=$C$1),'General Inputs'!W$10*$I49,IF(AND(($C49+$C$1)&gt;AY$3,AY$3&gt;=$C$1),'General Inputs'!W$10*$H49,0))</f>
        <v>0</v>
      </c>
    </row>
    <row r="50" spans="1:72">
      <c r="A50" s="342" t="s">
        <v>112</v>
      </c>
      <c r="B50" s="427" t="str">
        <f>Sources!B50</f>
        <v>Delamp T12 to T8 (3-4 Lamp Fixtures)</v>
      </c>
      <c r="C50" s="193">
        <f>Sources!C50</f>
        <v>11</v>
      </c>
      <c r="D50" s="193">
        <f>Sources!D50</f>
        <v>0</v>
      </c>
      <c r="F50" s="429">
        <f>Sources!F50*EnergyLineLoss</f>
        <v>927.78373762499984</v>
      </c>
      <c r="G50" s="429">
        <f>Sources!G50*EnergyLineLoss</f>
        <v>0</v>
      </c>
      <c r="H50" s="477">
        <f>Sources!H50*PeakLineLoss</f>
        <v>0.14346266219999998</v>
      </c>
      <c r="I50" s="477">
        <f>Sources!I50*PeakLineLoss</f>
        <v>0</v>
      </c>
      <c r="K50" s="419">
        <f>Sources!J50</f>
        <v>122</v>
      </c>
      <c r="L50" s="419">
        <f>Sources!K50</f>
        <v>0</v>
      </c>
      <c r="N50" s="438">
        <f t="shared" si="26"/>
        <v>2.5848451742168308</v>
      </c>
      <c r="P50" s="215">
        <f t="shared" si="27"/>
        <v>273.81362190206494</v>
      </c>
      <c r="Q50" s="215">
        <f t="shared" si="28"/>
        <v>15.924628056087737</v>
      </c>
      <c r="R50" s="215">
        <f t="shared" si="29"/>
        <v>112.09114296214626</v>
      </c>
      <c r="T50" s="214">
        <f t="shared" si="25"/>
        <v>0</v>
      </c>
      <c r="U50" s="214">
        <f t="shared" si="25"/>
        <v>122</v>
      </c>
      <c r="V50" s="214">
        <f t="shared" si="25"/>
        <v>0</v>
      </c>
      <c r="W50" s="214">
        <f t="shared" si="25"/>
        <v>0</v>
      </c>
      <c r="X50" s="214">
        <f t="shared" si="25"/>
        <v>0</v>
      </c>
      <c r="Y50" s="214">
        <f t="shared" si="25"/>
        <v>0</v>
      </c>
      <c r="Z50" s="214">
        <f t="shared" si="25"/>
        <v>0</v>
      </c>
      <c r="AA50" s="214">
        <f t="shared" si="25"/>
        <v>0</v>
      </c>
      <c r="AB50" s="214">
        <f t="shared" si="25"/>
        <v>0</v>
      </c>
      <c r="AC50" s="214">
        <f t="shared" si="25"/>
        <v>0</v>
      </c>
      <c r="AD50" s="214">
        <f t="shared" si="25"/>
        <v>0</v>
      </c>
      <c r="AF50" s="214">
        <f>IF(AND(($D50+$C$1)&gt;AF$3,AF$3&gt;=$C$1),'General Inputs'!D$9*$G50,IF(AND(($C50+$C$1)&gt;AF$3,AF$3&gt;=$C$1),'General Inputs'!D$9*$F50,0))</f>
        <v>0</v>
      </c>
      <c r="AG50" s="214">
        <f>IF(AND(($D50+$C$1)&gt;AG$3,AG$3&gt;=$C$1),'General Inputs'!E$9*$G50,IF(AND(($C50+$C$1)&gt;AG$3,AG$3&gt;=$C$1),'General Inputs'!E$9*$F50,0))</f>
        <v>37.491233598344984</v>
      </c>
      <c r="AH50" s="214">
        <f>IF(AND(($D50+$C$1)&gt;AH$3,AH$3&gt;=$C$1),'General Inputs'!F$9*$G50,IF(AND(($C50+$C$1)&gt;AH$3,AH$3&gt;=$C$1),'General Inputs'!F$9*$F50,0))</f>
        <v>38.053602102320156</v>
      </c>
      <c r="AI50" s="214">
        <f>IF(AND(($D50+$C$1)&gt;AI$3,AI$3&gt;=$C$1),'General Inputs'!G$9*$G50,IF(AND(($C50+$C$1)&gt;AI$3,AI$3&gt;=$C$1),'General Inputs'!G$9*$F50,0))</f>
        <v>38.624406133854954</v>
      </c>
      <c r="AJ50" s="214">
        <f>IF(AND(($D50+$C$1)&gt;AJ$3,AJ$3&gt;=$C$1),'General Inputs'!H$9*$G50,IF(AND(($C50+$C$1)&gt;AJ$3,AJ$3&gt;=$C$1),'General Inputs'!H$9*$F50,0))</f>
        <v>39.203772225862771</v>
      </c>
      <c r="AK50" s="214">
        <f>IF(AND(($D50+$C$1)&gt;AK$3,AK$3&gt;=$C$1),'General Inputs'!I$9*$G50,IF(AND(($C50+$C$1)&gt;AK$3,AK$3&gt;=$C$1),'General Inputs'!I$9*$F50,0))</f>
        <v>39.79182880925071</v>
      </c>
      <c r="AL50" s="214">
        <f>IF(AND(($D50+$C$1)&gt;AL$3,AL$3&gt;=$C$1),'General Inputs'!J$9*$G50,IF(AND(($C50+$C$1)&gt;AL$3,AL$3&gt;=$C$1),'General Inputs'!J$9*$F50,0))</f>
        <v>40.388706241389464</v>
      </c>
      <c r="AM50" s="214">
        <f>IF(AND(($D50+$C$1)&gt;AM$3,AM$3&gt;=$C$1),'General Inputs'!K$9*$G50,IF(AND(($C50+$C$1)&gt;AM$3,AM$3&gt;=$C$1),'General Inputs'!K$9*$F50,0))</f>
        <v>40.994536835010294</v>
      </c>
      <c r="AN50" s="214">
        <f>IF(AND(($D50+$C$1)&gt;AN$3,AN$3&gt;=$C$1),'General Inputs'!L$9*$G50,IF(AND(($C50+$C$1)&gt;AN$3,AN$3&gt;=$C$1),'General Inputs'!L$9*$F50,0))</f>
        <v>41.609454887535449</v>
      </c>
      <c r="AO50" s="214">
        <f>IF(AND(($D50+$C$1)&gt;AO$3,AO$3&gt;=$C$1),'General Inputs'!M$9*$G50,IF(AND(($C50+$C$1)&gt;AO$3,AO$3&gt;=$C$1),'General Inputs'!M$9*$F50,0))</f>
        <v>42.233596710848474</v>
      </c>
      <c r="AP50" s="214">
        <f>IF(AND(($D50+$C$1)&gt;AP$3,AP$3&gt;=$C$1),'General Inputs'!N$9*$G50,IF(AND(($C50+$C$1)&gt;AP$3,AP$3&gt;=$C$1),'General Inputs'!N$9*$F50,0))</f>
        <v>42.867100661511195</v>
      </c>
      <c r="AQ50" s="214">
        <f>IF(AND(($D50+$C$1)&gt;AQ$3,AQ$3&gt;=$C$1),'General Inputs'!O$9*$G50,IF(AND(($C50+$C$1)&gt;AQ$3,AQ$3&gt;=$C$1),'General Inputs'!O$9*$F50,0))</f>
        <v>43.510107171433859</v>
      </c>
      <c r="AR50" s="214">
        <f>IF(AND(($D50+$C$1)&gt;AR$3,AR$3&gt;=$C$1),'General Inputs'!P$9*$G50,IF(AND(($C50+$C$1)&gt;AR$3,AR$3&gt;=$C$1),'General Inputs'!P$9*$F50,0))</f>
        <v>0</v>
      </c>
      <c r="AS50" s="214">
        <f>IF(AND(($D50+$C$1)&gt;AS$3,AS$3&gt;=$C$1),'General Inputs'!Q$9*$G50,IF(AND(($C50+$C$1)&gt;AS$3,AS$3&gt;=$C$1),'General Inputs'!Q$9*$F50,0))</f>
        <v>0</v>
      </c>
      <c r="AT50" s="214">
        <f>IF(AND(($D50+$C$1)&gt;AT$3,AT$3&gt;=$C$1),'General Inputs'!R$9*$G50,IF(AND(($C50+$C$1)&gt;AT$3,AT$3&gt;=$C$1),'General Inputs'!R$9*$F50,0))</f>
        <v>0</v>
      </c>
      <c r="AU50" s="214">
        <f>IF(AND(($D50+$C$1)&gt;AU$3,AU$3&gt;=$C$1),'General Inputs'!S$9*$G50,IF(AND(($C50+$C$1)&gt;AU$3,AU$3&gt;=$C$1),'General Inputs'!S$9*$F50,0))</f>
        <v>0</v>
      </c>
      <c r="AV50" s="214">
        <f>IF(AND(($D50+$C$1)&gt;AV$3,AV$3&gt;=$C$1),'General Inputs'!T$9*$G50,IF(AND(($C50+$C$1)&gt;AV$3,AV$3&gt;=$C$1),'General Inputs'!T$9*$F50,0))</f>
        <v>0</v>
      </c>
      <c r="AW50" s="214">
        <f>IF(AND(($D50+$C$1)&gt;AW$3,AW$3&gt;=$C$1),'General Inputs'!U$9*$G50,IF(AND(($C50+$C$1)&gt;AW$3,AW$3&gt;=$C$1),'General Inputs'!U$9*$F50,0))</f>
        <v>0</v>
      </c>
      <c r="AX50" s="214">
        <f>IF(AND(($D50+$C$1)&gt;AX$3,AX$3&gt;=$C$1),'General Inputs'!V$9*$G50,IF(AND(($C50+$C$1)&gt;AX$3,AX$3&gt;=$C$1),'General Inputs'!V$9*$F50,0))</f>
        <v>0</v>
      </c>
      <c r="AY50" s="214">
        <f>IF(AND(($D50+$C$1)&gt;AY$3,AY$3&gt;=$C$1),'General Inputs'!W$9*$G50,IF(AND(($C50+$C$1)&gt;AY$3,AY$3&gt;=$C$1),'General Inputs'!W$9*$F50,0))</f>
        <v>0</v>
      </c>
      <c r="BA50" s="214">
        <f>IF(AND(($D50+$C$1)&gt;AF$3,AF$3&gt;=$C$1),'General Inputs'!D$10*$I50,IF(AND(($C50+$C$1)&gt;AF$3,AF$3&gt;=$C$1),'General Inputs'!D$10*$H50,0))</f>
        <v>0</v>
      </c>
      <c r="BB50" s="214">
        <f>IF(AND(($D50+$C$1)&gt;AG$3,AG$3&gt;=$C$1),'General Inputs'!E$10*$I50,IF(AND(($C50+$C$1)&gt;AG$3,AG$3&gt;=$C$1),'General Inputs'!E$10*$H50,0))</f>
        <v>2.1804391843992517</v>
      </c>
      <c r="BC50" s="214">
        <f>IF(AND(($D50+$C$1)&gt;AH$3,AH$3&gt;=$C$1),'General Inputs'!F$10*$I50,IF(AND(($C50+$C$1)&gt;AH$3,AH$3&gt;=$C$1),'General Inputs'!F$10*$H50,0))</f>
        <v>2.2131457721652401</v>
      </c>
      <c r="BD50" s="214">
        <f>IF(AND(($D50+$C$1)&gt;AI$3,AI$3&gt;=$C$1),'General Inputs'!G$10*$I50,IF(AND(($C50+$C$1)&gt;AI$3,AI$3&gt;=$C$1),'General Inputs'!G$10*$H50,0))</f>
        <v>2.2463429587477188</v>
      </c>
      <c r="BE50" s="214">
        <f>IF(AND(($D50+$C$1)&gt;AJ$3,AJ$3&gt;=$C$1),'General Inputs'!H$10*$I50,IF(AND(($C50+$C$1)&gt;AJ$3,AJ$3&gt;=$C$1),'General Inputs'!H$10*$H50,0))</f>
        <v>2.2800381031289345</v>
      </c>
      <c r="BF50" s="214">
        <f>IF(AND(($D50+$C$1)&gt;AK$3,AK$3&gt;=$C$1),'General Inputs'!I$10*$I50,IF(AND(($C50+$C$1)&gt;AK$3,AK$3&gt;=$C$1),'General Inputs'!I$10*$H50,0))</f>
        <v>2.3142386746758681</v>
      </c>
      <c r="BG50" s="214">
        <f>IF(AND(($D50+$C$1)&gt;AL$3,AL$3&gt;=$C$1),'General Inputs'!J$10*$I50,IF(AND(($C50+$C$1)&gt;AL$3,AL$3&gt;=$C$1),'General Inputs'!J$10*$H50,0))</f>
        <v>2.3489522547960058</v>
      </c>
      <c r="BH50" s="214">
        <f>IF(AND(($D50+$C$1)&gt;AM$3,AM$3&gt;=$C$1),'General Inputs'!K$10*$I50,IF(AND(($C50+$C$1)&gt;AM$3,AM$3&gt;=$C$1),'General Inputs'!K$10*$H50,0))</f>
        <v>2.3841865386179455</v>
      </c>
      <c r="BI50" s="214">
        <f>IF(AND(($D50+$C$1)&gt;AN$3,AN$3&gt;=$C$1),'General Inputs'!L$10*$I50,IF(AND(($C50+$C$1)&gt;AN$3,AN$3&gt;=$C$1),'General Inputs'!L$10*$H50,0))</f>
        <v>2.4199493366972145</v>
      </c>
      <c r="BJ50" s="214">
        <f>IF(AND(($D50+$C$1)&gt;AO$3,AO$3&gt;=$C$1),'General Inputs'!M$10*$I50,IF(AND(($C50+$C$1)&gt;AO$3,AO$3&gt;=$C$1),'General Inputs'!M$10*$H50,0))</f>
        <v>2.4562485767476727</v>
      </c>
      <c r="BK50" s="214">
        <f>IF(AND(($D50+$C$1)&gt;AP$3,AP$3&gt;=$C$1),'General Inputs'!N$10*$I50,IF(AND(($C50+$C$1)&gt;AP$3,AP$3&gt;=$C$1),'General Inputs'!N$10*$H50,0))</f>
        <v>2.4930923053988874</v>
      </c>
      <c r="BL50" s="214">
        <f>IF(AND(($D50+$C$1)&gt;AQ$3,AQ$3&gt;=$C$1),'General Inputs'!O$10*$I50,IF(AND(($C50+$C$1)&gt;AQ$3,AQ$3&gt;=$C$1),'General Inputs'!O$10*$H50,0))</f>
        <v>2.5304886899798706</v>
      </c>
      <c r="BM50" s="214">
        <f>IF(AND(($D50+$C$1)&gt;AR$3,AR$3&gt;=$C$1),'General Inputs'!P$10*$I50,IF(AND(($C50+$C$1)&gt;AR$3,AR$3&gt;=$C$1),'General Inputs'!P$10*$H50,0))</f>
        <v>0</v>
      </c>
      <c r="BN50" s="214">
        <f>IF(AND(($D50+$C$1)&gt;AS$3,AS$3&gt;=$C$1),'General Inputs'!Q$10*$I50,IF(AND(($C50+$C$1)&gt;AS$3,AS$3&gt;=$C$1),'General Inputs'!Q$10*$H50,0))</f>
        <v>0</v>
      </c>
      <c r="BO50" s="214">
        <f>IF(AND(($D50+$C$1)&gt;AT$3,AT$3&gt;=$C$1),'General Inputs'!R$10*$I50,IF(AND(($C50+$C$1)&gt;AT$3,AT$3&gt;=$C$1),'General Inputs'!R$10*$H50,0))</f>
        <v>0</v>
      </c>
      <c r="BP50" s="214">
        <f>IF(AND(($D50+$C$1)&gt;AU$3,AU$3&gt;=$C$1),'General Inputs'!S$10*$I50,IF(AND(($C50+$C$1)&gt;AU$3,AU$3&gt;=$C$1),'General Inputs'!S$10*$H50,0))</f>
        <v>0</v>
      </c>
      <c r="BQ50" s="214">
        <f>IF(AND(($D50+$C$1)&gt;AV$3,AV$3&gt;=$C$1),'General Inputs'!T$10*$I50,IF(AND(($C50+$C$1)&gt;AV$3,AV$3&gt;=$C$1),'General Inputs'!T$10*$H50,0))</f>
        <v>0</v>
      </c>
      <c r="BR50" s="214">
        <f>IF(AND(($D50+$C$1)&gt;AW$3,AW$3&gt;=$C$1),'General Inputs'!U$10*$I50,IF(AND(($C50+$C$1)&gt;AW$3,AW$3&gt;=$C$1),'General Inputs'!U$10*$H50,0))</f>
        <v>0</v>
      </c>
      <c r="BS50" s="214">
        <f>IF(AND(($D50+$C$1)&gt;AX$3,AX$3&gt;=$C$1),'General Inputs'!V$10*$I50,IF(AND(($C50+$C$1)&gt;AX$3,AX$3&gt;=$C$1),'General Inputs'!V$10*$H50,0))</f>
        <v>0</v>
      </c>
      <c r="BT50" s="214">
        <f>IF(AND(($D50+$C$1)&gt;AY$3,AY$3&gt;=$C$1),'General Inputs'!W$10*$I50,IF(AND(($C50+$C$1)&gt;AY$3,AY$3&gt;=$C$1),'General Inputs'!W$10*$H50,0))</f>
        <v>0</v>
      </c>
    </row>
    <row r="51" spans="1:72">
      <c r="A51" s="342" t="s">
        <v>112</v>
      </c>
      <c r="B51" s="427" t="str">
        <f>Sources!B51</f>
        <v>T8 (≤4 ft, 1-2 Lamp)</v>
      </c>
      <c r="C51" s="193">
        <f>Sources!C51</f>
        <v>18</v>
      </c>
      <c r="D51" s="193">
        <f>Sources!D51</f>
        <v>0</v>
      </c>
      <c r="F51" s="429">
        <f>Sources!F51*EnergyLineLoss</f>
        <v>238.19119124999997</v>
      </c>
      <c r="G51" s="429">
        <f>Sources!G51*EnergyLineLoss</f>
        <v>0</v>
      </c>
      <c r="H51" s="477">
        <f>Sources!H51*PeakLineLoss</f>
        <v>3.6831365999999997E-2</v>
      </c>
      <c r="I51" s="477">
        <f>Sources!I51*PeakLineLoss</f>
        <v>0</v>
      </c>
      <c r="K51" s="419">
        <f>Sources!J51</f>
        <v>43</v>
      </c>
      <c r="L51" s="419">
        <f>Sources!K51</f>
        <v>0</v>
      </c>
      <c r="N51" s="438">
        <f t="shared" si="26"/>
        <v>2.5127438112462999</v>
      </c>
      <c r="P51" s="215">
        <f t="shared" si="27"/>
        <v>93.816094982808352</v>
      </c>
      <c r="Q51" s="215">
        <f t="shared" si="28"/>
        <v>5.4562165603659274</v>
      </c>
      <c r="R51" s="215">
        <f t="shared" si="29"/>
        <v>39.507533994854832</v>
      </c>
      <c r="T51" s="214">
        <f t="shared" si="25"/>
        <v>0</v>
      </c>
      <c r="U51" s="214">
        <f t="shared" si="25"/>
        <v>43</v>
      </c>
      <c r="V51" s="214">
        <f t="shared" si="25"/>
        <v>0</v>
      </c>
      <c r="W51" s="214">
        <f t="shared" si="25"/>
        <v>0</v>
      </c>
      <c r="X51" s="214">
        <f t="shared" si="25"/>
        <v>0</v>
      </c>
      <c r="Y51" s="214">
        <f t="shared" si="25"/>
        <v>0</v>
      </c>
      <c r="Z51" s="214">
        <f t="shared" si="25"/>
        <v>0</v>
      </c>
      <c r="AA51" s="214">
        <f t="shared" si="25"/>
        <v>0</v>
      </c>
      <c r="AB51" s="214">
        <f t="shared" si="25"/>
        <v>0</v>
      </c>
      <c r="AC51" s="214">
        <f t="shared" si="25"/>
        <v>0</v>
      </c>
      <c r="AD51" s="214">
        <f t="shared" si="25"/>
        <v>0</v>
      </c>
      <c r="AF51" s="214">
        <f>IF(AND(($D51+$C$1)&gt;AF$3,AF$3&gt;=$C$1),'General Inputs'!D$9*$G51,IF(AND(($C51+$C$1)&gt;AF$3,AF$3&gt;=$C$1),'General Inputs'!D$9*$F51,0))</f>
        <v>0</v>
      </c>
      <c r="AG51" s="214">
        <f>IF(AND(($D51+$C$1)&gt;AG$3,AG$3&gt;=$C$1),'General Inputs'!E$9*$G51,IF(AND(($C51+$C$1)&gt;AG$3,AG$3&gt;=$C$1),'General Inputs'!E$9*$F51,0))</f>
        <v>9.6251758142275783</v>
      </c>
      <c r="AH51" s="214">
        <f>IF(AND(($D51+$C$1)&gt;AH$3,AH$3&gt;=$C$1),'General Inputs'!F$9*$G51,IF(AND(($C51+$C$1)&gt;AH$3,AH$3&gt;=$C$1),'General Inputs'!F$9*$F51,0))</f>
        <v>9.7695534514409914</v>
      </c>
      <c r="AI51" s="214">
        <f>IF(AND(($D51+$C$1)&gt;AI$3,AI$3&gt;=$C$1),'General Inputs'!G$9*$G51,IF(AND(($C51+$C$1)&gt;AI$3,AI$3&gt;=$C$1),'General Inputs'!G$9*$F51,0))</f>
        <v>9.9160967532126065</v>
      </c>
      <c r="AJ51" s="214">
        <f>IF(AND(($D51+$C$1)&gt;AJ$3,AJ$3&gt;=$C$1),'General Inputs'!H$9*$G51,IF(AND(($C51+$C$1)&gt;AJ$3,AJ$3&gt;=$C$1),'General Inputs'!H$9*$F51,0))</f>
        <v>10.064838204510794</v>
      </c>
      <c r="AK51" s="214">
        <f>IF(AND(($D51+$C$1)&gt;AK$3,AK$3&gt;=$C$1),'General Inputs'!I$9*$G51,IF(AND(($C51+$C$1)&gt;AK$3,AK$3&gt;=$C$1),'General Inputs'!I$9*$F51,0))</f>
        <v>10.215810777578454</v>
      </c>
      <c r="AL51" s="214">
        <f>IF(AND(($D51+$C$1)&gt;AL$3,AL$3&gt;=$C$1),'General Inputs'!J$9*$G51,IF(AND(($C51+$C$1)&gt;AL$3,AL$3&gt;=$C$1),'General Inputs'!J$9*$F51,0))</f>
        <v>10.36904793924213</v>
      </c>
      <c r="AM51" s="214">
        <f>IF(AND(($D51+$C$1)&gt;AM$3,AM$3&gt;=$C$1),'General Inputs'!K$9*$G51,IF(AND(($C51+$C$1)&gt;AM$3,AM$3&gt;=$C$1),'General Inputs'!K$9*$F51,0))</f>
        <v>10.524583658330759</v>
      </c>
      <c r="AN51" s="214">
        <f>IF(AND(($D51+$C$1)&gt;AN$3,AN$3&gt;=$C$1),'General Inputs'!L$9*$G51,IF(AND(($C51+$C$1)&gt;AN$3,AN$3&gt;=$C$1),'General Inputs'!L$9*$F51,0))</f>
        <v>10.68245241320572</v>
      </c>
      <c r="AO51" s="214">
        <f>IF(AND(($D51+$C$1)&gt;AO$3,AO$3&gt;=$C$1),'General Inputs'!M$9*$G51,IF(AND(($C51+$C$1)&gt;AO$3,AO$3&gt;=$C$1),'General Inputs'!M$9*$F51,0))</f>
        <v>10.842689199403804</v>
      </c>
      <c r="AP51" s="214">
        <f>IF(AND(($D51+$C$1)&gt;AP$3,AP$3&gt;=$C$1),'General Inputs'!N$9*$G51,IF(AND(($C51+$C$1)&gt;AP$3,AP$3&gt;=$C$1),'General Inputs'!N$9*$F51,0))</f>
        <v>11.005329537394861</v>
      </c>
      <c r="AQ51" s="214">
        <f>IF(AND(($D51+$C$1)&gt;AQ$3,AQ$3&gt;=$C$1),'General Inputs'!O$9*$G51,IF(AND(($C51+$C$1)&gt;AQ$3,AQ$3&gt;=$C$1),'General Inputs'!O$9*$F51,0))</f>
        <v>11.170409480455781</v>
      </c>
      <c r="AR51" s="214">
        <f>IF(AND(($D51+$C$1)&gt;AR$3,AR$3&gt;=$C$1),'General Inputs'!P$9*$G51,IF(AND(($C51+$C$1)&gt;AR$3,AR$3&gt;=$C$1),'General Inputs'!P$9*$F51,0))</f>
        <v>11.337965622662617</v>
      </c>
      <c r="AS51" s="214">
        <f>IF(AND(($D51+$C$1)&gt;AS$3,AS$3&gt;=$C$1),'General Inputs'!Q$9*$G51,IF(AND(($C51+$C$1)&gt;AS$3,AS$3&gt;=$C$1),'General Inputs'!Q$9*$F51,0))</f>
        <v>11.508035107002556</v>
      </c>
      <c r="AT51" s="214">
        <f>IF(AND(($D51+$C$1)&gt;AT$3,AT$3&gt;=$C$1),'General Inputs'!R$9*$G51,IF(AND(($C51+$C$1)&gt;AT$3,AT$3&gt;=$C$1),'General Inputs'!R$9*$F51,0))</f>
        <v>11.680655633607595</v>
      </c>
      <c r="AU51" s="214">
        <f>IF(AND(($D51+$C$1)&gt;AU$3,AU$3&gt;=$C$1),'General Inputs'!S$9*$G51,IF(AND(($C51+$C$1)&gt;AU$3,AU$3&gt;=$C$1),'General Inputs'!S$9*$F51,0))</f>
        <v>11.855865468111707</v>
      </c>
      <c r="AV51" s="214">
        <f>IF(AND(($D51+$C$1)&gt;AV$3,AV$3&gt;=$C$1),'General Inputs'!T$9*$G51,IF(AND(($C51+$C$1)&gt;AV$3,AV$3&gt;=$C$1),'General Inputs'!T$9*$F51,0))</f>
        <v>12.033703450133382</v>
      </c>
      <c r="AW51" s="214">
        <f>IF(AND(($D51+$C$1)&gt;AW$3,AW$3&gt;=$C$1),'General Inputs'!U$9*$G51,IF(AND(($C51+$C$1)&gt;AW$3,AW$3&gt;=$C$1),'General Inputs'!U$9*$F51,0))</f>
        <v>12.214209001885381</v>
      </c>
      <c r="AX51" s="214">
        <f>IF(AND(($D51+$C$1)&gt;AX$3,AX$3&gt;=$C$1),'General Inputs'!V$9*$G51,IF(AND(($C51+$C$1)&gt;AX$3,AX$3&gt;=$C$1),'General Inputs'!V$9*$F51,0))</f>
        <v>12.397422136913661</v>
      </c>
      <c r="AY51" s="214">
        <f>IF(AND(($D51+$C$1)&gt;AY$3,AY$3&gt;=$C$1),'General Inputs'!W$9*$G51,IF(AND(($C51+$C$1)&gt;AY$3,AY$3&gt;=$C$1),'General Inputs'!W$9*$F51,0))</f>
        <v>0</v>
      </c>
      <c r="BA51" s="214">
        <f>IF(AND(($D51+$C$1)&gt;AF$3,AF$3&gt;=$C$1),'General Inputs'!D$10*$I51,IF(AND(($C51+$C$1)&gt;AF$3,AF$3&gt;=$C$1),'General Inputs'!D$10*$H51,0))</f>
        <v>0</v>
      </c>
      <c r="BB51" s="214">
        <f>IF(AND(($D51+$C$1)&gt;AG$3,AG$3&gt;=$C$1),'General Inputs'!E$10*$I51,IF(AND(($C51+$C$1)&gt;AG$3,AG$3&gt;=$C$1),'General Inputs'!E$10*$H51,0))</f>
        <v>0.55978714189335832</v>
      </c>
      <c r="BC51" s="214">
        <f>IF(AND(($D51+$C$1)&gt;AH$3,AH$3&gt;=$C$1),'General Inputs'!F$10*$I51,IF(AND(($C51+$C$1)&gt;AH$3,AH$3&gt;=$C$1),'General Inputs'!F$10*$H51,0))</f>
        <v>0.56818394902175862</v>
      </c>
      <c r="BD51" s="214">
        <f>IF(AND(($D51+$C$1)&gt;AI$3,AI$3&gt;=$C$1),'General Inputs'!G$10*$I51,IF(AND(($C51+$C$1)&gt;AI$3,AI$3&gt;=$C$1),'General Inputs'!G$10*$H51,0))</f>
        <v>0.57670670825708503</v>
      </c>
      <c r="BE51" s="214">
        <f>IF(AND(($D51+$C$1)&gt;AJ$3,AJ$3&gt;=$C$1),'General Inputs'!H$10*$I51,IF(AND(($C51+$C$1)&gt;AJ$3,AJ$3&gt;=$C$1),'General Inputs'!H$10*$H51,0))</f>
        <v>0.58535730888094117</v>
      </c>
      <c r="BF51" s="214">
        <f>IF(AND(($D51+$C$1)&gt;AK$3,AK$3&gt;=$C$1),'General Inputs'!I$10*$I51,IF(AND(($C51+$C$1)&gt;AK$3,AK$3&gt;=$C$1),'General Inputs'!I$10*$H51,0))</f>
        <v>0.59413766851415517</v>
      </c>
      <c r="BG51" s="214">
        <f>IF(AND(($D51+$C$1)&gt;AL$3,AL$3&gt;=$C$1),'General Inputs'!J$10*$I51,IF(AND(($C51+$C$1)&gt;AL$3,AL$3&gt;=$C$1),'General Inputs'!J$10*$H51,0))</f>
        <v>0.60304973354186753</v>
      </c>
      <c r="BH51" s="214">
        <f>IF(AND(($D51+$C$1)&gt;AM$3,AM$3&gt;=$C$1),'General Inputs'!K$10*$I51,IF(AND(($C51+$C$1)&gt;AM$3,AM$3&gt;=$C$1),'General Inputs'!K$10*$H51,0))</f>
        <v>0.61209547954499544</v>
      </c>
      <c r="BI51" s="214">
        <f>IF(AND(($D51+$C$1)&gt;AN$3,AN$3&gt;=$C$1),'General Inputs'!L$10*$I51,IF(AND(($C51+$C$1)&gt;AN$3,AN$3&gt;=$C$1),'General Inputs'!L$10*$H51,0))</f>
        <v>0.62127691173817035</v>
      </c>
      <c r="BJ51" s="214">
        <f>IF(AND(($D51+$C$1)&gt;AO$3,AO$3&gt;=$C$1),'General Inputs'!M$10*$I51,IF(AND(($C51+$C$1)&gt;AO$3,AO$3&gt;=$C$1),'General Inputs'!M$10*$H51,0))</f>
        <v>0.63059606541424285</v>
      </c>
      <c r="BK51" s="214">
        <f>IF(AND(($D51+$C$1)&gt;AP$3,AP$3&gt;=$C$1),'General Inputs'!N$10*$I51,IF(AND(($C51+$C$1)&gt;AP$3,AP$3&gt;=$C$1),'General Inputs'!N$10*$H51,0))</f>
        <v>0.64005500639545643</v>
      </c>
      <c r="BL51" s="214">
        <f>IF(AND(($D51+$C$1)&gt;AQ$3,AQ$3&gt;=$C$1),'General Inputs'!O$10*$I51,IF(AND(($C51+$C$1)&gt;AQ$3,AQ$3&gt;=$C$1),'General Inputs'!O$10*$H51,0))</f>
        <v>0.64965583149138817</v>
      </c>
      <c r="BM51" s="214">
        <f>IF(AND(($D51+$C$1)&gt;AR$3,AR$3&gt;=$C$1),'General Inputs'!P$10*$I51,IF(AND(($C51+$C$1)&gt;AR$3,AR$3&gt;=$C$1),'General Inputs'!P$10*$H51,0))</f>
        <v>0.65940066896375904</v>
      </c>
      <c r="BN51" s="214">
        <f>IF(AND(($D51+$C$1)&gt;AS$3,AS$3&gt;=$C$1),'General Inputs'!Q$10*$I51,IF(AND(($C51+$C$1)&gt;AS$3,AS$3&gt;=$C$1),'General Inputs'!Q$10*$H51,0))</f>
        <v>0.66929167899821529</v>
      </c>
      <c r="BO51" s="214">
        <f>IF(AND(($D51+$C$1)&gt;AT$3,AT$3&gt;=$C$1),'General Inputs'!R$10*$I51,IF(AND(($C51+$C$1)&gt;AT$3,AT$3&gt;=$C$1),'General Inputs'!R$10*$H51,0))</f>
        <v>0.6793310541831884</v>
      </c>
      <c r="BP51" s="214">
        <f>IF(AND(($D51+$C$1)&gt;AU$3,AU$3&gt;=$C$1),'General Inputs'!S$10*$I51,IF(AND(($C51+$C$1)&gt;AU$3,AU$3&gt;=$C$1),'General Inputs'!S$10*$H51,0))</f>
        <v>0.68952101999593629</v>
      </c>
      <c r="BQ51" s="214">
        <f>IF(AND(($D51+$C$1)&gt;AV$3,AV$3&gt;=$C$1),'General Inputs'!T$10*$I51,IF(AND(($C51+$C$1)&gt;AV$3,AV$3&gt;=$C$1),'General Inputs'!T$10*$H51,0))</f>
        <v>0.69986383529587515</v>
      </c>
      <c r="BR51" s="214">
        <f>IF(AND(($D51+$C$1)&gt;AW$3,AW$3&gt;=$C$1),'General Inputs'!U$10*$I51,IF(AND(($C51+$C$1)&gt;AW$3,AW$3&gt;=$C$1),'General Inputs'!U$10*$H51,0))</f>
        <v>0.71036179282531331</v>
      </c>
      <c r="BS51" s="214">
        <f>IF(AND(($D51+$C$1)&gt;AX$3,AX$3&gt;=$C$1),'General Inputs'!V$10*$I51,IF(AND(($C51+$C$1)&gt;AX$3,AX$3&gt;=$C$1),'General Inputs'!V$10*$H51,0))</f>
        <v>0.72101721971769284</v>
      </c>
      <c r="BT51" s="214">
        <f>IF(AND(($D51+$C$1)&gt;AY$3,AY$3&gt;=$C$1),'General Inputs'!W$10*$I51,IF(AND(($C51+$C$1)&gt;AY$3,AY$3&gt;=$C$1),'General Inputs'!W$10*$H51,0))</f>
        <v>0</v>
      </c>
    </row>
    <row r="52" spans="1:72">
      <c r="A52" s="342" t="s">
        <v>112</v>
      </c>
      <c r="B52" s="427" t="str">
        <f>Sources!B52</f>
        <v>T8 (≤4 ft, 3-4 Lamp)</v>
      </c>
      <c r="C52" s="193">
        <f>Sources!C52</f>
        <v>18</v>
      </c>
      <c r="D52" s="193">
        <f>Sources!D52</f>
        <v>0</v>
      </c>
      <c r="F52" s="429">
        <f>Sources!F52*EnergyLineLoss</f>
        <v>366.00109874999993</v>
      </c>
      <c r="G52" s="429">
        <f>Sources!G52*EnergyLineLoss</f>
        <v>0</v>
      </c>
      <c r="H52" s="477">
        <f>Sources!H52*PeakLineLoss</f>
        <v>5.6594537999999993E-2</v>
      </c>
      <c r="I52" s="477">
        <f>Sources!I52*PeakLineLoss</f>
        <v>0</v>
      </c>
      <c r="K52" s="419">
        <f>Sources!J52</f>
        <v>55</v>
      </c>
      <c r="L52" s="419">
        <f>Sources!K52</f>
        <v>0</v>
      </c>
      <c r="N52" s="438">
        <f t="shared" si="26"/>
        <v>3.018635469918503</v>
      </c>
      <c r="P52" s="215">
        <f t="shared" si="27"/>
        <v>144.15643863212011</v>
      </c>
      <c r="Q52" s="215">
        <f t="shared" si="28"/>
        <v>8.3839425195866681</v>
      </c>
      <c r="R52" s="215">
        <f t="shared" si="29"/>
        <v>50.532892319000368</v>
      </c>
      <c r="T52" s="214">
        <f t="shared" si="25"/>
        <v>0</v>
      </c>
      <c r="U52" s="214">
        <f t="shared" si="25"/>
        <v>55</v>
      </c>
      <c r="V52" s="214">
        <f t="shared" si="25"/>
        <v>0</v>
      </c>
      <c r="W52" s="214">
        <f t="shared" si="25"/>
        <v>0</v>
      </c>
      <c r="X52" s="214">
        <f t="shared" si="25"/>
        <v>0</v>
      </c>
      <c r="Y52" s="214">
        <f t="shared" si="25"/>
        <v>0</v>
      </c>
      <c r="Z52" s="214">
        <f t="shared" si="25"/>
        <v>0</v>
      </c>
      <c r="AA52" s="214">
        <f t="shared" si="25"/>
        <v>0</v>
      </c>
      <c r="AB52" s="214">
        <f t="shared" si="25"/>
        <v>0</v>
      </c>
      <c r="AC52" s="214">
        <f t="shared" si="25"/>
        <v>0</v>
      </c>
      <c r="AD52" s="214">
        <f t="shared" si="25"/>
        <v>0</v>
      </c>
      <c r="AF52" s="214">
        <f>IF(AND(($D52+$C$1)&gt;AF$3,AF$3&gt;=$C$1),'General Inputs'!D$9*$G52,IF(AND(($C52+$C$1)&gt;AF$3,AF$3&gt;=$C$1),'General Inputs'!D$9*$F52,0))</f>
        <v>0</v>
      </c>
      <c r="AG52" s="214">
        <f>IF(AND(($D52+$C$1)&gt;AG$3,AG$3&gt;=$C$1),'General Inputs'!E$9*$G52,IF(AND(($C52+$C$1)&gt;AG$3,AG$3&gt;=$C$1),'General Inputs'!E$9*$F52,0))</f>
        <v>14.789904299910669</v>
      </c>
      <c r="AH52" s="214">
        <f>IF(AND(($D52+$C$1)&gt;AH$3,AH$3&gt;=$C$1),'General Inputs'!F$9*$G52,IF(AND(($C52+$C$1)&gt;AH$3,AH$3&gt;=$C$1),'General Inputs'!F$9*$F52,0))</f>
        <v>15.011752864409328</v>
      </c>
      <c r="AI52" s="214">
        <f>IF(AND(($D52+$C$1)&gt;AI$3,AI$3&gt;=$C$1),'General Inputs'!G$9*$G52,IF(AND(($C52+$C$1)&gt;AI$3,AI$3&gt;=$C$1),'General Inputs'!G$9*$F52,0))</f>
        <v>15.236929157375465</v>
      </c>
      <c r="AJ52" s="214">
        <f>IF(AND(($D52+$C$1)&gt;AJ$3,AJ$3&gt;=$C$1),'General Inputs'!H$9*$G52,IF(AND(($C52+$C$1)&gt;AJ$3,AJ$3&gt;=$C$1),'General Inputs'!H$9*$F52,0))</f>
        <v>15.465483094736095</v>
      </c>
      <c r="AK52" s="214">
        <f>IF(AND(($D52+$C$1)&gt;AK$3,AK$3&gt;=$C$1),'General Inputs'!I$9*$G52,IF(AND(($C52+$C$1)&gt;AK$3,AK$3&gt;=$C$1),'General Inputs'!I$9*$F52,0))</f>
        <v>15.697465341157134</v>
      </c>
      <c r="AL52" s="214">
        <f>IF(AND(($D52+$C$1)&gt;AL$3,AL$3&gt;=$C$1),'General Inputs'!J$9*$G52,IF(AND(($C52+$C$1)&gt;AL$3,AL$3&gt;=$C$1),'General Inputs'!J$9*$F52,0))</f>
        <v>15.932927321274489</v>
      </c>
      <c r="AM52" s="214">
        <f>IF(AND(($D52+$C$1)&gt;AM$3,AM$3&gt;=$C$1),'General Inputs'!K$9*$G52,IF(AND(($C52+$C$1)&gt;AM$3,AM$3&gt;=$C$1),'General Inputs'!K$9*$F52,0))</f>
        <v>16.171921231093606</v>
      </c>
      <c r="AN52" s="214">
        <f>IF(AND(($D52+$C$1)&gt;AN$3,AN$3&gt;=$C$1),'General Inputs'!L$9*$G52,IF(AND(($C52+$C$1)&gt;AN$3,AN$3&gt;=$C$1),'General Inputs'!L$9*$F52,0))</f>
        <v>16.414500049560008</v>
      </c>
      <c r="AO52" s="214">
        <f>IF(AND(($D52+$C$1)&gt;AO$3,AO$3&gt;=$C$1),'General Inputs'!M$9*$G52,IF(AND(($C52+$C$1)&gt;AO$3,AO$3&gt;=$C$1),'General Inputs'!M$9*$F52,0))</f>
        <v>16.660717550303403</v>
      </c>
      <c r="AP52" s="214">
        <f>IF(AND(($D52+$C$1)&gt;AP$3,AP$3&gt;=$C$1),'General Inputs'!N$9*$G52,IF(AND(($C52+$C$1)&gt;AP$3,AP$3&gt;=$C$1),'General Inputs'!N$9*$F52,0))</f>
        <v>16.910628313557954</v>
      </c>
      <c r="AQ52" s="214">
        <f>IF(AND(($D52+$C$1)&gt;AQ$3,AQ$3&gt;=$C$1),'General Inputs'!O$9*$G52,IF(AND(($C52+$C$1)&gt;AQ$3,AQ$3&gt;=$C$1),'General Inputs'!O$9*$F52,0))</f>
        <v>17.164287738261322</v>
      </c>
      <c r="AR52" s="214">
        <f>IF(AND(($D52+$C$1)&gt;AR$3,AR$3&gt;=$C$1),'General Inputs'!P$9*$G52,IF(AND(($C52+$C$1)&gt;AR$3,AR$3&gt;=$C$1),'General Inputs'!P$9*$F52,0))</f>
        <v>17.42175205433524</v>
      </c>
      <c r="AS52" s="214">
        <f>IF(AND(($D52+$C$1)&gt;AS$3,AS$3&gt;=$C$1),'General Inputs'!Q$9*$G52,IF(AND(($C52+$C$1)&gt;AS$3,AS$3&gt;=$C$1),'General Inputs'!Q$9*$F52,0))</f>
        <v>17.683078335150267</v>
      </c>
      <c r="AT52" s="214">
        <f>IF(AND(($D52+$C$1)&gt;AT$3,AT$3&gt;=$C$1),'General Inputs'!R$9*$G52,IF(AND(($C52+$C$1)&gt;AT$3,AT$3&gt;=$C$1),'General Inputs'!R$9*$F52,0))</f>
        <v>17.948324510177521</v>
      </c>
      <c r="AU52" s="214">
        <f>IF(AND(($D52+$C$1)&gt;AU$3,AU$3&gt;=$C$1),'General Inputs'!S$9*$G52,IF(AND(($C52+$C$1)&gt;AU$3,AU$3&gt;=$C$1),'General Inputs'!S$9*$F52,0))</f>
        <v>18.217549377830181</v>
      </c>
      <c r="AV52" s="214">
        <f>IF(AND(($D52+$C$1)&gt;AV$3,AV$3&gt;=$C$1),'General Inputs'!T$9*$G52,IF(AND(($C52+$C$1)&gt;AV$3,AV$3&gt;=$C$1),'General Inputs'!T$9*$F52,0))</f>
        <v>18.490812618497635</v>
      </c>
      <c r="AW52" s="214">
        <f>IF(AND(($D52+$C$1)&gt;AW$3,AW$3&gt;=$C$1),'General Inputs'!U$9*$G52,IF(AND(($C52+$C$1)&gt;AW$3,AW$3&gt;=$C$1),'General Inputs'!U$9*$F52,0))</f>
        <v>18.768174807775097</v>
      </c>
      <c r="AX52" s="214">
        <f>IF(AND(($D52+$C$1)&gt;AX$3,AX$3&gt;=$C$1),'General Inputs'!V$9*$G52,IF(AND(($C52+$C$1)&gt;AX$3,AX$3&gt;=$C$1),'General Inputs'!V$9*$F52,0))</f>
        <v>19.049697429891722</v>
      </c>
      <c r="AY52" s="214">
        <f>IF(AND(($D52+$C$1)&gt;AY$3,AY$3&gt;=$C$1),'General Inputs'!W$9*$G52,IF(AND(($C52+$C$1)&gt;AY$3,AY$3&gt;=$C$1),'General Inputs'!W$9*$F52,0))</f>
        <v>0</v>
      </c>
      <c r="BA52" s="214">
        <f>IF(AND(($D52+$C$1)&gt;AF$3,AF$3&gt;=$C$1),'General Inputs'!D$10*$I52,IF(AND(($C52+$C$1)&gt;AF$3,AF$3&gt;=$C$1),'General Inputs'!D$10*$H52,0))</f>
        <v>0</v>
      </c>
      <c r="BB52" s="214">
        <f>IF(AND(($D52+$C$1)&gt;AG$3,AG$3&gt;=$C$1),'General Inputs'!E$10*$I52,IF(AND(($C52+$C$1)&gt;AG$3,AG$3&gt;=$C$1),'General Inputs'!E$10*$H52,0))</f>
        <v>0.86016073022637984</v>
      </c>
      <c r="BC52" s="214">
        <f>IF(AND(($D52+$C$1)&gt;AH$3,AH$3&gt;=$C$1),'General Inputs'!F$10*$I52,IF(AND(($C52+$C$1)&gt;AH$3,AH$3&gt;=$C$1),'General Inputs'!F$10*$H52,0))</f>
        <v>0.87306314117977546</v>
      </c>
      <c r="BD52" s="214">
        <f>IF(AND(($D52+$C$1)&gt;AI$3,AI$3&gt;=$C$1),'General Inputs'!G$10*$I52,IF(AND(($C52+$C$1)&gt;AI$3,AI$3&gt;=$C$1),'General Inputs'!G$10*$H52,0))</f>
        <v>0.88615908829747203</v>
      </c>
      <c r="BE52" s="214">
        <f>IF(AND(($D52+$C$1)&gt;AJ$3,AJ$3&gt;=$C$1),'General Inputs'!H$10*$I52,IF(AND(($C52+$C$1)&gt;AJ$3,AJ$3&gt;=$C$1),'General Inputs'!H$10*$H52,0))</f>
        <v>0.89945147462193398</v>
      </c>
      <c r="BF52" s="214">
        <f>IF(AND(($D52+$C$1)&gt;AK$3,AK$3&gt;=$C$1),'General Inputs'!I$10*$I52,IF(AND(($C52+$C$1)&gt;AK$3,AK$3&gt;=$C$1),'General Inputs'!I$10*$H52,0))</f>
        <v>0.91294324674126281</v>
      </c>
      <c r="BG52" s="214">
        <f>IF(AND(($D52+$C$1)&gt;AL$3,AL$3&gt;=$C$1),'General Inputs'!J$10*$I52,IF(AND(($C52+$C$1)&gt;AL$3,AL$3&gt;=$C$1),'General Inputs'!J$10*$H52,0))</f>
        <v>0.92663739544238166</v>
      </c>
      <c r="BH52" s="214">
        <f>IF(AND(($D52+$C$1)&gt;AM$3,AM$3&gt;=$C$1),'General Inputs'!K$10*$I52,IF(AND(($C52+$C$1)&gt;AM$3,AM$3&gt;=$C$1),'General Inputs'!K$10*$H52,0))</f>
        <v>0.94053695637401735</v>
      </c>
      <c r="BI52" s="214">
        <f>IF(AND(($D52+$C$1)&gt;AN$3,AN$3&gt;=$C$1),'General Inputs'!L$10*$I52,IF(AND(($C52+$C$1)&gt;AN$3,AN$3&gt;=$C$1),'General Inputs'!L$10*$H52,0))</f>
        <v>0.9546450107196276</v>
      </c>
      <c r="BJ52" s="214">
        <f>IF(AND(($D52+$C$1)&gt;AO$3,AO$3&gt;=$C$1),'General Inputs'!M$10*$I52,IF(AND(($C52+$C$1)&gt;AO$3,AO$3&gt;=$C$1),'General Inputs'!M$10*$H52,0))</f>
        <v>0.96896468588042195</v>
      </c>
      <c r="BK52" s="214">
        <f>IF(AND(($D52+$C$1)&gt;AP$3,AP$3&gt;=$C$1),'General Inputs'!N$10*$I52,IF(AND(($C52+$C$1)&gt;AP$3,AP$3&gt;=$C$1),'General Inputs'!N$10*$H52,0))</f>
        <v>0.98349915616862815</v>
      </c>
      <c r="BL52" s="214">
        <f>IF(AND(($D52+$C$1)&gt;AQ$3,AQ$3&gt;=$C$1),'General Inputs'!O$10*$I52,IF(AND(($C52+$C$1)&gt;AQ$3,AQ$3&gt;=$C$1),'General Inputs'!O$10*$H52,0))</f>
        <v>0.99825164351115747</v>
      </c>
      <c r="BM52" s="214">
        <f>IF(AND(($D52+$C$1)&gt;AR$3,AR$3&gt;=$C$1),'General Inputs'!P$10*$I52,IF(AND(($C52+$C$1)&gt;AR$3,AR$3&gt;=$C$1),'General Inputs'!P$10*$H52,0))</f>
        <v>1.0132254181638247</v>
      </c>
      <c r="BN52" s="214">
        <f>IF(AND(($D52+$C$1)&gt;AS$3,AS$3&gt;=$C$1),'General Inputs'!Q$10*$I52,IF(AND(($C52+$C$1)&gt;AS$3,AS$3&gt;=$C$1),'General Inputs'!Q$10*$H52,0))</f>
        <v>1.0284237994362819</v>
      </c>
      <c r="BO52" s="214">
        <f>IF(AND(($D52+$C$1)&gt;AT$3,AT$3&gt;=$C$1),'General Inputs'!R$10*$I52,IF(AND(($C52+$C$1)&gt;AT$3,AT$3&gt;=$C$1),'General Inputs'!R$10*$H52,0))</f>
        <v>1.043850156427826</v>
      </c>
      <c r="BP52" s="214">
        <f>IF(AND(($D52+$C$1)&gt;AU$3,AU$3&gt;=$C$1),'General Inputs'!S$10*$I52,IF(AND(($C52+$C$1)&gt;AU$3,AU$3&gt;=$C$1),'General Inputs'!S$10*$H52,0))</f>
        <v>1.0595079087742434</v>
      </c>
      <c r="BQ52" s="214">
        <f>IF(AND(($D52+$C$1)&gt;AV$3,AV$3&gt;=$C$1),'General Inputs'!T$10*$I52,IF(AND(($C52+$C$1)&gt;AV$3,AV$3&gt;=$C$1),'General Inputs'!T$10*$H52,0))</f>
        <v>1.0754005274058569</v>
      </c>
      <c r="BR52" s="214">
        <f>IF(AND(($D52+$C$1)&gt;AW$3,AW$3&gt;=$C$1),'General Inputs'!U$10*$I52,IF(AND(($C52+$C$1)&gt;AW$3,AW$3&gt;=$C$1),'General Inputs'!U$10*$H52,0))</f>
        <v>1.0915315353169448</v>
      </c>
      <c r="BS52" s="214">
        <f>IF(AND(($D52+$C$1)&gt;AX$3,AX$3&gt;=$C$1),'General Inputs'!V$10*$I52,IF(AND(($C52+$C$1)&gt;AX$3,AX$3&gt;=$C$1),'General Inputs'!V$10*$H52,0))</f>
        <v>1.1079045083466987</v>
      </c>
      <c r="BT52" s="214">
        <f>IF(AND(($D52+$C$1)&gt;AY$3,AY$3&gt;=$C$1),'General Inputs'!W$10*$I52,IF(AND(($C52+$C$1)&gt;AY$3,AY$3&gt;=$C$1),'General Inputs'!W$10*$H52,0))</f>
        <v>0</v>
      </c>
    </row>
    <row r="53" spans="1:72">
      <c r="A53" s="342" t="s">
        <v>112</v>
      </c>
      <c r="B53" s="427" t="str">
        <f>Sources!B53</f>
        <v>T8 (5-8 ft, 1-2 Lamp)</v>
      </c>
      <c r="C53" s="193">
        <f>Sources!C53</f>
        <v>18</v>
      </c>
      <c r="D53" s="193">
        <f>Sources!D53</f>
        <v>0</v>
      </c>
      <c r="F53" s="429">
        <f>Sources!F53*EnergyLineLoss</f>
        <v>348.57247499999994</v>
      </c>
      <c r="G53" s="429">
        <f>Sources!G53*EnergyLineLoss</f>
        <v>0</v>
      </c>
      <c r="H53" s="477">
        <f>Sources!H53*PeakLineLoss</f>
        <v>5.3899559999999999E-2</v>
      </c>
      <c r="I53" s="477">
        <f>Sources!I53*PeakLineLoss</f>
        <v>0</v>
      </c>
      <c r="K53" s="419">
        <f>Sources!J53</f>
        <v>93</v>
      </c>
      <c r="L53" s="419">
        <f>Sources!K53</f>
        <v>0</v>
      </c>
      <c r="N53" s="438">
        <f t="shared" si="26"/>
        <v>1.7002043097339243</v>
      </c>
      <c r="P53" s="215">
        <f t="shared" si="27"/>
        <v>137.29184631630488</v>
      </c>
      <c r="Q53" s="215">
        <f t="shared" si="28"/>
        <v>7.9847071615111158</v>
      </c>
      <c r="R53" s="215">
        <f t="shared" si="29"/>
        <v>85.446527012127888</v>
      </c>
      <c r="T53" s="214">
        <f t="shared" si="25"/>
        <v>0</v>
      </c>
      <c r="U53" s="214">
        <f t="shared" si="25"/>
        <v>93</v>
      </c>
      <c r="V53" s="214">
        <f t="shared" si="25"/>
        <v>0</v>
      </c>
      <c r="W53" s="214">
        <f t="shared" si="25"/>
        <v>0</v>
      </c>
      <c r="X53" s="214">
        <f t="shared" si="25"/>
        <v>0</v>
      </c>
      <c r="Y53" s="214">
        <f t="shared" si="25"/>
        <v>0</v>
      </c>
      <c r="Z53" s="214">
        <f t="shared" si="25"/>
        <v>0</v>
      </c>
      <c r="AA53" s="214">
        <f t="shared" si="25"/>
        <v>0</v>
      </c>
      <c r="AB53" s="214">
        <f t="shared" si="25"/>
        <v>0</v>
      </c>
      <c r="AC53" s="214">
        <f t="shared" si="25"/>
        <v>0</v>
      </c>
      <c r="AD53" s="214">
        <f t="shared" si="25"/>
        <v>0</v>
      </c>
      <c r="AF53" s="214">
        <f>IF(AND(($D53+$C$1)&gt;AF$3,AF$3&gt;=$C$1),'General Inputs'!D$9*$G53,IF(AND(($C53+$C$1)&gt;AF$3,AF$3&gt;=$C$1),'General Inputs'!D$9*$F53,0))</f>
        <v>0</v>
      </c>
      <c r="AG53" s="214">
        <f>IF(AND(($D53+$C$1)&gt;AG$3,AG$3&gt;=$C$1),'General Inputs'!E$9*$G53,IF(AND(($C53+$C$1)&gt;AG$3,AG$3&gt;=$C$1),'General Inputs'!E$9*$F53,0))</f>
        <v>14.085623142772066</v>
      </c>
      <c r="AH53" s="214">
        <f>IF(AND(($D53+$C$1)&gt;AH$3,AH$3&gt;=$C$1),'General Inputs'!F$9*$G53,IF(AND(($C53+$C$1)&gt;AH$3,AH$3&gt;=$C$1),'General Inputs'!F$9*$F53,0))</f>
        <v>14.296907489913645</v>
      </c>
      <c r="AI53" s="214">
        <f>IF(AND(($D53+$C$1)&gt;AI$3,AI$3&gt;=$C$1),'General Inputs'!G$9*$G53,IF(AND(($C53+$C$1)&gt;AI$3,AI$3&gt;=$C$1),'General Inputs'!G$9*$F53,0))</f>
        <v>14.511361102262349</v>
      </c>
      <c r="AJ53" s="214">
        <f>IF(AND(($D53+$C$1)&gt;AJ$3,AJ$3&gt;=$C$1),'General Inputs'!H$9*$G53,IF(AND(($C53+$C$1)&gt;AJ$3,AJ$3&gt;=$C$1),'General Inputs'!H$9*$F53,0))</f>
        <v>14.729031518796281</v>
      </c>
      <c r="AK53" s="214">
        <f>IF(AND(($D53+$C$1)&gt;AK$3,AK$3&gt;=$C$1),'General Inputs'!I$9*$G53,IF(AND(($C53+$C$1)&gt;AK$3,AK$3&gt;=$C$1),'General Inputs'!I$9*$F53,0))</f>
        <v>14.949966991578224</v>
      </c>
      <c r="AL53" s="214">
        <f>IF(AND(($D53+$C$1)&gt;AL$3,AL$3&gt;=$C$1),'General Inputs'!J$9*$G53,IF(AND(($C53+$C$1)&gt;AL$3,AL$3&gt;=$C$1),'General Inputs'!J$9*$F53,0))</f>
        <v>15.174216496451896</v>
      </c>
      <c r="AM53" s="214">
        <f>IF(AND(($D53+$C$1)&gt;AM$3,AM$3&gt;=$C$1),'General Inputs'!K$9*$G53,IF(AND(($C53+$C$1)&gt;AM$3,AM$3&gt;=$C$1),'General Inputs'!K$9*$F53,0))</f>
        <v>15.401829743898672</v>
      </c>
      <c r="AN53" s="214">
        <f>IF(AND(($D53+$C$1)&gt;AN$3,AN$3&gt;=$C$1),'General Inputs'!L$9*$G53,IF(AND(($C53+$C$1)&gt;AN$3,AN$3&gt;=$C$1),'General Inputs'!L$9*$F53,0))</f>
        <v>15.63285719005715</v>
      </c>
      <c r="AO53" s="214">
        <f>IF(AND(($D53+$C$1)&gt;AO$3,AO$3&gt;=$C$1),'General Inputs'!M$9*$G53,IF(AND(($C53+$C$1)&gt;AO$3,AO$3&gt;=$C$1),'General Inputs'!M$9*$F53,0))</f>
        <v>15.867350047908005</v>
      </c>
      <c r="AP53" s="214">
        <f>IF(AND(($D53+$C$1)&gt;AP$3,AP$3&gt;=$C$1),'General Inputs'!N$9*$G53,IF(AND(($C53+$C$1)&gt;AP$3,AP$3&gt;=$C$1),'General Inputs'!N$9*$F53,0))</f>
        <v>16.105360298626625</v>
      </c>
      <c r="AQ53" s="214">
        <f>IF(AND(($D53+$C$1)&gt;AQ$3,AQ$3&gt;=$C$1),'General Inputs'!O$9*$G53,IF(AND(($C53+$C$1)&gt;AQ$3,AQ$3&gt;=$C$1),'General Inputs'!O$9*$F53,0))</f>
        <v>16.346940703106021</v>
      </c>
      <c r="AR53" s="214">
        <f>IF(AND(($D53+$C$1)&gt;AR$3,AR$3&gt;=$C$1),'General Inputs'!P$9*$G53,IF(AND(($C53+$C$1)&gt;AR$3,AR$3&gt;=$C$1),'General Inputs'!P$9*$F53,0))</f>
        <v>16.59214481365261</v>
      </c>
      <c r="AS53" s="214">
        <f>IF(AND(($D53+$C$1)&gt;AS$3,AS$3&gt;=$C$1),'General Inputs'!Q$9*$G53,IF(AND(($C53+$C$1)&gt;AS$3,AS$3&gt;=$C$1),'General Inputs'!Q$9*$F53,0))</f>
        <v>16.841026985857397</v>
      </c>
      <c r="AT53" s="214">
        <f>IF(AND(($D53+$C$1)&gt;AT$3,AT$3&gt;=$C$1),'General Inputs'!R$9*$G53,IF(AND(($C53+$C$1)&gt;AT$3,AT$3&gt;=$C$1),'General Inputs'!R$9*$F53,0))</f>
        <v>17.093642390645257</v>
      </c>
      <c r="AU53" s="214">
        <f>IF(AND(($D53+$C$1)&gt;AU$3,AU$3&gt;=$C$1),'General Inputs'!S$9*$G53,IF(AND(($C53+$C$1)&gt;AU$3,AU$3&gt;=$C$1),'General Inputs'!S$9*$F53,0))</f>
        <v>17.350047026504935</v>
      </c>
      <c r="AV53" s="214">
        <f>IF(AND(($D53+$C$1)&gt;AV$3,AV$3&gt;=$C$1),'General Inputs'!T$9*$G53,IF(AND(($C53+$C$1)&gt;AV$3,AV$3&gt;=$C$1),'General Inputs'!T$9*$F53,0))</f>
        <v>17.610297731902509</v>
      </c>
      <c r="AW53" s="214">
        <f>IF(AND(($D53+$C$1)&gt;AW$3,AW$3&gt;=$C$1),'General Inputs'!U$9*$G53,IF(AND(($C53+$C$1)&gt;AW$3,AW$3&gt;=$C$1),'General Inputs'!U$9*$F53,0))</f>
        <v>17.874452197881045</v>
      </c>
      <c r="AX53" s="214">
        <f>IF(AND(($D53+$C$1)&gt;AX$3,AX$3&gt;=$C$1),'General Inputs'!V$9*$G53,IF(AND(($C53+$C$1)&gt;AX$3,AX$3&gt;=$C$1),'General Inputs'!V$9*$F53,0))</f>
        <v>18.142568980849259</v>
      </c>
      <c r="AY53" s="214">
        <f>IF(AND(($D53+$C$1)&gt;AY$3,AY$3&gt;=$C$1),'General Inputs'!W$9*$G53,IF(AND(($C53+$C$1)&gt;AY$3,AY$3&gt;=$C$1),'General Inputs'!W$9*$F53,0))</f>
        <v>0</v>
      </c>
      <c r="BA53" s="214">
        <f>IF(AND(($D53+$C$1)&gt;AF$3,AF$3&gt;=$C$1),'General Inputs'!D$10*$I53,IF(AND(($C53+$C$1)&gt;AF$3,AF$3&gt;=$C$1),'General Inputs'!D$10*$H53,0))</f>
        <v>0</v>
      </c>
      <c r="BB53" s="214">
        <f>IF(AND(($D53+$C$1)&gt;AG$3,AG$3&gt;=$C$1),'General Inputs'!E$10*$I53,IF(AND(($C53+$C$1)&gt;AG$3,AG$3&gt;=$C$1),'General Inputs'!E$10*$H53,0))</f>
        <v>0.81920069545369512</v>
      </c>
      <c r="BC53" s="214">
        <f>IF(AND(($D53+$C$1)&gt;AH$3,AH$3&gt;=$C$1),'General Inputs'!F$10*$I53,IF(AND(($C53+$C$1)&gt;AH$3,AH$3&gt;=$C$1),'General Inputs'!F$10*$H53,0))</f>
        <v>0.8314887058855005</v>
      </c>
      <c r="BD53" s="214">
        <f>IF(AND(($D53+$C$1)&gt;AI$3,AI$3&gt;=$C$1),'General Inputs'!G$10*$I53,IF(AND(($C53+$C$1)&gt;AI$3,AI$3&gt;=$C$1),'General Inputs'!G$10*$H53,0))</f>
        <v>0.84396103647378296</v>
      </c>
      <c r="BE53" s="214">
        <f>IF(AND(($D53+$C$1)&gt;AJ$3,AJ$3&gt;=$C$1),'General Inputs'!H$10*$I53,IF(AND(($C53+$C$1)&gt;AJ$3,AJ$3&gt;=$C$1),'General Inputs'!H$10*$H53,0))</f>
        <v>0.85662045202088966</v>
      </c>
      <c r="BF53" s="214">
        <f>IF(AND(($D53+$C$1)&gt;AK$3,AK$3&gt;=$C$1),'General Inputs'!I$10*$I53,IF(AND(($C53+$C$1)&gt;AK$3,AK$3&gt;=$C$1),'General Inputs'!I$10*$H53,0))</f>
        <v>0.86946975880120281</v>
      </c>
      <c r="BG53" s="214">
        <f>IF(AND(($D53+$C$1)&gt;AL$3,AL$3&gt;=$C$1),'General Inputs'!J$10*$I53,IF(AND(($C53+$C$1)&gt;AL$3,AL$3&gt;=$C$1),'General Inputs'!J$10*$H53,0))</f>
        <v>0.88251180518322081</v>
      </c>
      <c r="BH53" s="214">
        <f>IF(AND(($D53+$C$1)&gt;AM$3,AM$3&gt;=$C$1),'General Inputs'!K$10*$I53,IF(AND(($C53+$C$1)&gt;AM$3,AM$3&gt;=$C$1),'General Inputs'!K$10*$H53,0))</f>
        <v>0.89574948226096895</v>
      </c>
      <c r="BI53" s="214">
        <f>IF(AND(($D53+$C$1)&gt;AN$3,AN$3&gt;=$C$1),'General Inputs'!L$10*$I53,IF(AND(($C53+$C$1)&gt;AN$3,AN$3&gt;=$C$1),'General Inputs'!L$10*$H53,0))</f>
        <v>0.90918572449488344</v>
      </c>
      <c r="BJ53" s="214">
        <f>IF(AND(($D53+$C$1)&gt;AO$3,AO$3&gt;=$C$1),'General Inputs'!M$10*$I53,IF(AND(($C53+$C$1)&gt;AO$3,AO$3&gt;=$C$1),'General Inputs'!M$10*$H53,0))</f>
        <v>0.9228235103623067</v>
      </c>
      <c r="BK53" s="214">
        <f>IF(AND(($D53+$C$1)&gt;AP$3,AP$3&gt;=$C$1),'General Inputs'!N$10*$I53,IF(AND(($C53+$C$1)&gt;AP$3,AP$3&gt;=$C$1),'General Inputs'!N$10*$H53,0))</f>
        <v>0.93666586301774113</v>
      </c>
      <c r="BL53" s="214">
        <f>IF(AND(($D53+$C$1)&gt;AQ$3,AQ$3&gt;=$C$1),'General Inputs'!O$10*$I53,IF(AND(($C53+$C$1)&gt;AQ$3,AQ$3&gt;=$C$1),'General Inputs'!O$10*$H53,0))</f>
        <v>0.95071585096300715</v>
      </c>
      <c r="BM53" s="214">
        <f>IF(AND(($D53+$C$1)&gt;AR$3,AR$3&gt;=$C$1),'General Inputs'!P$10*$I53,IF(AND(($C53+$C$1)&gt;AR$3,AR$3&gt;=$C$1),'General Inputs'!P$10*$H53,0))</f>
        <v>0.96497658872745229</v>
      </c>
      <c r="BN53" s="214">
        <f>IF(AND(($D53+$C$1)&gt;AS$3,AS$3&gt;=$C$1),'General Inputs'!Q$10*$I53,IF(AND(($C53+$C$1)&gt;AS$3,AS$3&gt;=$C$1),'General Inputs'!Q$10*$H53,0))</f>
        <v>0.97945123755836394</v>
      </c>
      <c r="BO53" s="214">
        <f>IF(AND(($D53+$C$1)&gt;AT$3,AT$3&gt;=$C$1),'General Inputs'!R$10*$I53,IF(AND(($C53+$C$1)&gt;AT$3,AT$3&gt;=$C$1),'General Inputs'!R$10*$H53,0))</f>
        <v>0.99414300612173923</v>
      </c>
      <c r="BP53" s="214">
        <f>IF(AND(($D53+$C$1)&gt;AU$3,AU$3&gt;=$C$1),'General Inputs'!S$10*$I53,IF(AND(($C53+$C$1)&gt;AU$3,AU$3&gt;=$C$1),'General Inputs'!S$10*$H53,0))</f>
        <v>1.0090551512135653</v>
      </c>
      <c r="BQ53" s="214">
        <f>IF(AND(($D53+$C$1)&gt;AV$3,AV$3&gt;=$C$1),'General Inputs'!T$10*$I53,IF(AND(($C53+$C$1)&gt;AV$3,AV$3&gt;=$C$1),'General Inputs'!T$10*$H53,0))</f>
        <v>1.0241909784817687</v>
      </c>
      <c r="BR53" s="214">
        <f>IF(AND(($D53+$C$1)&gt;AW$3,AW$3&gt;=$C$1),'General Inputs'!U$10*$I53,IF(AND(($C53+$C$1)&gt;AW$3,AW$3&gt;=$C$1),'General Inputs'!U$10*$H53,0))</f>
        <v>1.039553843158995</v>
      </c>
      <c r="BS53" s="214">
        <f>IF(AND(($D53+$C$1)&gt;AX$3,AX$3&gt;=$C$1),'General Inputs'!V$10*$I53,IF(AND(($C53+$C$1)&gt;AX$3,AX$3&gt;=$C$1),'General Inputs'!V$10*$H53,0))</f>
        <v>1.0551471508063799</v>
      </c>
      <c r="BT53" s="214">
        <f>IF(AND(($D53+$C$1)&gt;AY$3,AY$3&gt;=$C$1),'General Inputs'!W$10*$I53,IF(AND(($C53+$C$1)&gt;AY$3,AY$3&gt;=$C$1),'General Inputs'!W$10*$H53,0))</f>
        <v>0</v>
      </c>
    </row>
    <row r="54" spans="1:72">
      <c r="A54" s="342" t="s">
        <v>112</v>
      </c>
      <c r="B54" s="427" t="str">
        <f>Sources!B54</f>
        <v>High Performance T8 (1-2 Lamp)</v>
      </c>
      <c r="C54" s="193">
        <f>Sources!C54</f>
        <v>15</v>
      </c>
      <c r="D54" s="193">
        <f>Sources!D54</f>
        <v>0</v>
      </c>
      <c r="F54" s="429">
        <f>Sources!F54*EnergyLineLoss</f>
        <v>58.095412499999995</v>
      </c>
      <c r="G54" s="429">
        <f>Sources!G54*EnergyLineLoss</f>
        <v>0</v>
      </c>
      <c r="H54" s="477">
        <f>Sources!H54*PeakLineLoss</f>
        <v>8.9832599999999999E-3</v>
      </c>
      <c r="I54" s="477">
        <f>Sources!I54*PeakLineLoss</f>
        <v>0</v>
      </c>
      <c r="K54" s="419">
        <f>Sources!J54</f>
        <v>15</v>
      </c>
      <c r="L54" s="419">
        <f>Sources!K54</f>
        <v>0</v>
      </c>
      <c r="N54" s="438">
        <f t="shared" si="26"/>
        <v>1.5940415116966369</v>
      </c>
      <c r="P54" s="215">
        <f t="shared" si="27"/>
        <v>20.761157842934434</v>
      </c>
      <c r="Q54" s="215">
        <f t="shared" si="28"/>
        <v>1.2074407195881234</v>
      </c>
      <c r="R54" s="215">
        <f t="shared" si="29"/>
        <v>13.781697905181918</v>
      </c>
      <c r="T54" s="214">
        <f t="shared" si="25"/>
        <v>0</v>
      </c>
      <c r="U54" s="214">
        <f t="shared" si="25"/>
        <v>15</v>
      </c>
      <c r="V54" s="214">
        <f t="shared" si="25"/>
        <v>0</v>
      </c>
      <c r="W54" s="214">
        <f t="shared" si="25"/>
        <v>0</v>
      </c>
      <c r="X54" s="214">
        <f t="shared" si="25"/>
        <v>0</v>
      </c>
      <c r="Y54" s="214">
        <f t="shared" si="25"/>
        <v>0</v>
      </c>
      <c r="Z54" s="214">
        <f t="shared" si="25"/>
        <v>0</v>
      </c>
      <c r="AA54" s="214">
        <f t="shared" si="25"/>
        <v>0</v>
      </c>
      <c r="AB54" s="214">
        <f t="shared" si="25"/>
        <v>0</v>
      </c>
      <c r="AC54" s="214">
        <f t="shared" si="25"/>
        <v>0</v>
      </c>
      <c r="AD54" s="214">
        <f t="shared" si="25"/>
        <v>0</v>
      </c>
      <c r="AF54" s="214">
        <f>IF(AND(($D54+$C$1)&gt;AF$3,AF$3&gt;=$C$1),'General Inputs'!D$9*$G54,IF(AND(($C54+$C$1)&gt;AF$3,AF$3&gt;=$C$1),'General Inputs'!D$9*$F54,0))</f>
        <v>0</v>
      </c>
      <c r="AG54" s="214">
        <f>IF(AND(($D54+$C$1)&gt;AG$3,AG$3&gt;=$C$1),'General Inputs'!E$9*$G54,IF(AND(($C54+$C$1)&gt;AG$3,AG$3&gt;=$C$1),'General Inputs'!E$9*$F54,0))</f>
        <v>2.3476038571286777</v>
      </c>
      <c r="AH54" s="214">
        <f>IF(AND(($D54+$C$1)&gt;AH$3,AH$3&gt;=$C$1),'General Inputs'!F$9*$G54,IF(AND(($C54+$C$1)&gt;AH$3,AH$3&gt;=$C$1),'General Inputs'!F$9*$F54,0))</f>
        <v>2.3828179149856079</v>
      </c>
      <c r="AI54" s="214">
        <f>IF(AND(($D54+$C$1)&gt;AI$3,AI$3&gt;=$C$1),'General Inputs'!G$9*$G54,IF(AND(($C54+$C$1)&gt;AI$3,AI$3&gt;=$C$1),'General Inputs'!G$9*$F54,0))</f>
        <v>2.4185601837103916</v>
      </c>
      <c r="AJ54" s="214">
        <f>IF(AND(($D54+$C$1)&gt;AJ$3,AJ$3&gt;=$C$1),'General Inputs'!H$9*$G54,IF(AND(($C54+$C$1)&gt;AJ$3,AJ$3&gt;=$C$1),'General Inputs'!H$9*$F54,0))</f>
        <v>2.4548385864660474</v>
      </c>
      <c r="AK54" s="214">
        <f>IF(AND(($D54+$C$1)&gt;AK$3,AK$3&gt;=$C$1),'General Inputs'!I$9*$G54,IF(AND(($C54+$C$1)&gt;AK$3,AK$3&gt;=$C$1),'General Inputs'!I$9*$F54,0))</f>
        <v>2.4916611652630376</v>
      </c>
      <c r="AL54" s="214">
        <f>IF(AND(($D54+$C$1)&gt;AL$3,AL$3&gt;=$C$1),'General Inputs'!J$9*$G54,IF(AND(($C54+$C$1)&gt;AL$3,AL$3&gt;=$C$1),'General Inputs'!J$9*$F54,0))</f>
        <v>2.5290360827419827</v>
      </c>
      <c r="AM54" s="214">
        <f>IF(AND(($D54+$C$1)&gt;AM$3,AM$3&gt;=$C$1),'General Inputs'!K$9*$G54,IF(AND(($C54+$C$1)&gt;AM$3,AM$3&gt;=$C$1),'General Inputs'!K$9*$F54,0))</f>
        <v>2.566971623983112</v>
      </c>
      <c r="AN54" s="214">
        <f>IF(AND(($D54+$C$1)&gt;AN$3,AN$3&gt;=$C$1),'General Inputs'!L$9*$G54,IF(AND(($C54+$C$1)&gt;AN$3,AN$3&gt;=$C$1),'General Inputs'!L$9*$F54,0))</f>
        <v>2.6054761983428585</v>
      </c>
      <c r="AO54" s="214">
        <f>IF(AND(($D54+$C$1)&gt;AO$3,AO$3&gt;=$C$1),'General Inputs'!M$9*$G54,IF(AND(($C54+$C$1)&gt;AO$3,AO$3&gt;=$C$1),'General Inputs'!M$9*$F54,0))</f>
        <v>2.6445583413180009</v>
      </c>
      <c r="AP54" s="214">
        <f>IF(AND(($D54+$C$1)&gt;AP$3,AP$3&gt;=$C$1),'General Inputs'!N$9*$G54,IF(AND(($C54+$C$1)&gt;AP$3,AP$3&gt;=$C$1),'General Inputs'!N$9*$F54,0))</f>
        <v>2.6842267164377711</v>
      </c>
      <c r="AQ54" s="214">
        <f>IF(AND(($D54+$C$1)&gt;AQ$3,AQ$3&gt;=$C$1),'General Inputs'!O$9*$G54,IF(AND(($C54+$C$1)&gt;AQ$3,AQ$3&gt;=$C$1),'General Inputs'!O$9*$F54,0))</f>
        <v>2.7244901171843372</v>
      </c>
      <c r="AR54" s="214">
        <f>IF(AND(($D54+$C$1)&gt;AR$3,AR$3&gt;=$C$1),'General Inputs'!P$9*$G54,IF(AND(($C54+$C$1)&gt;AR$3,AR$3&gt;=$C$1),'General Inputs'!P$9*$F54,0))</f>
        <v>2.7653574689421019</v>
      </c>
      <c r="AS54" s="214">
        <f>IF(AND(($D54+$C$1)&gt;AS$3,AS$3&gt;=$C$1),'General Inputs'!Q$9*$G54,IF(AND(($C54+$C$1)&gt;AS$3,AS$3&gt;=$C$1),'General Inputs'!Q$9*$F54,0))</f>
        <v>2.8068378309762334</v>
      </c>
      <c r="AT54" s="214">
        <f>IF(AND(($D54+$C$1)&gt;AT$3,AT$3&gt;=$C$1),'General Inputs'!R$9*$G54,IF(AND(($C54+$C$1)&gt;AT$3,AT$3&gt;=$C$1),'General Inputs'!R$9*$F54,0))</f>
        <v>2.8489403984408765</v>
      </c>
      <c r="AU54" s="214">
        <f>IF(AND(($D54+$C$1)&gt;AU$3,AU$3&gt;=$C$1),'General Inputs'!S$9*$G54,IF(AND(($C54+$C$1)&gt;AU$3,AU$3&gt;=$C$1),'General Inputs'!S$9*$F54,0))</f>
        <v>2.8916745044174896</v>
      </c>
      <c r="AV54" s="214">
        <f>IF(AND(($D54+$C$1)&gt;AV$3,AV$3&gt;=$C$1),'General Inputs'!T$9*$G54,IF(AND(($C54+$C$1)&gt;AV$3,AV$3&gt;=$C$1),'General Inputs'!T$9*$F54,0))</f>
        <v>0</v>
      </c>
      <c r="AW54" s="214">
        <f>IF(AND(($D54+$C$1)&gt;AW$3,AW$3&gt;=$C$1),'General Inputs'!U$9*$G54,IF(AND(($C54+$C$1)&gt;AW$3,AW$3&gt;=$C$1),'General Inputs'!U$9*$F54,0))</f>
        <v>0</v>
      </c>
      <c r="AX54" s="214">
        <f>IF(AND(($D54+$C$1)&gt;AX$3,AX$3&gt;=$C$1),'General Inputs'!V$9*$G54,IF(AND(($C54+$C$1)&gt;AX$3,AX$3&gt;=$C$1),'General Inputs'!V$9*$F54,0))</f>
        <v>0</v>
      </c>
      <c r="AY54" s="214">
        <f>IF(AND(($D54+$C$1)&gt;AY$3,AY$3&gt;=$C$1),'General Inputs'!W$9*$G54,IF(AND(($C54+$C$1)&gt;AY$3,AY$3&gt;=$C$1),'General Inputs'!W$9*$F54,0))</f>
        <v>0</v>
      </c>
      <c r="BA54" s="214">
        <f>IF(AND(($D54+$C$1)&gt;AF$3,AF$3&gt;=$C$1),'General Inputs'!D$10*$I54,IF(AND(($C54+$C$1)&gt;AF$3,AF$3&gt;=$C$1),'General Inputs'!D$10*$H54,0))</f>
        <v>0</v>
      </c>
      <c r="BB54" s="214">
        <f>IF(AND(($D54+$C$1)&gt;AG$3,AG$3&gt;=$C$1),'General Inputs'!E$10*$I54,IF(AND(($C54+$C$1)&gt;AG$3,AG$3&gt;=$C$1),'General Inputs'!E$10*$H54,0))</f>
        <v>0.13653344924228253</v>
      </c>
      <c r="BC54" s="214">
        <f>IF(AND(($D54+$C$1)&gt;AH$3,AH$3&gt;=$C$1),'General Inputs'!F$10*$I54,IF(AND(($C54+$C$1)&gt;AH$3,AH$3&gt;=$C$1),'General Inputs'!F$10*$H54,0))</f>
        <v>0.13858145098091676</v>
      </c>
      <c r="BD54" s="214">
        <f>IF(AND(($D54+$C$1)&gt;AI$3,AI$3&gt;=$C$1),'General Inputs'!G$10*$I54,IF(AND(($C54+$C$1)&gt;AI$3,AI$3&gt;=$C$1),'General Inputs'!G$10*$H54,0))</f>
        <v>0.1406601727456305</v>
      </c>
      <c r="BE54" s="214">
        <f>IF(AND(($D54+$C$1)&gt;AJ$3,AJ$3&gt;=$C$1),'General Inputs'!H$10*$I54,IF(AND(($C54+$C$1)&gt;AJ$3,AJ$3&gt;=$C$1),'General Inputs'!H$10*$H54,0))</f>
        <v>0.14277007533681493</v>
      </c>
      <c r="BF54" s="214">
        <f>IF(AND(($D54+$C$1)&gt;AK$3,AK$3&gt;=$C$1),'General Inputs'!I$10*$I54,IF(AND(($C54+$C$1)&gt;AK$3,AK$3&gt;=$C$1),'General Inputs'!I$10*$H54,0))</f>
        <v>0.14491162646686714</v>
      </c>
      <c r="BG54" s="214">
        <f>IF(AND(($D54+$C$1)&gt;AL$3,AL$3&gt;=$C$1),'General Inputs'!J$10*$I54,IF(AND(($C54+$C$1)&gt;AL$3,AL$3&gt;=$C$1),'General Inputs'!J$10*$H54,0))</f>
        <v>0.14708530086387012</v>
      </c>
      <c r="BH54" s="214">
        <f>IF(AND(($D54+$C$1)&gt;AM$3,AM$3&gt;=$C$1),'General Inputs'!K$10*$I54,IF(AND(($C54+$C$1)&gt;AM$3,AM$3&gt;=$C$1),'General Inputs'!K$10*$H54,0))</f>
        <v>0.14929158037682816</v>
      </c>
      <c r="BI54" s="214">
        <f>IF(AND(($D54+$C$1)&gt;AN$3,AN$3&gt;=$C$1),'General Inputs'!L$10*$I54,IF(AND(($C54+$C$1)&gt;AN$3,AN$3&gt;=$C$1),'General Inputs'!L$10*$H54,0))</f>
        <v>0.15153095408248057</v>
      </c>
      <c r="BJ54" s="214">
        <f>IF(AND(($D54+$C$1)&gt;AO$3,AO$3&gt;=$C$1),'General Inputs'!M$10*$I54,IF(AND(($C54+$C$1)&gt;AO$3,AO$3&gt;=$C$1),'General Inputs'!M$10*$H54,0))</f>
        <v>0.15380391839371779</v>
      </c>
      <c r="BK54" s="214">
        <f>IF(AND(($D54+$C$1)&gt;AP$3,AP$3&gt;=$C$1),'General Inputs'!N$10*$I54,IF(AND(($C54+$C$1)&gt;AP$3,AP$3&gt;=$C$1),'General Inputs'!N$10*$H54,0))</f>
        <v>0.15611097716962352</v>
      </c>
      <c r="BL54" s="214">
        <f>IF(AND(($D54+$C$1)&gt;AQ$3,AQ$3&gt;=$C$1),'General Inputs'!O$10*$I54,IF(AND(($C54+$C$1)&gt;AQ$3,AQ$3&gt;=$C$1),'General Inputs'!O$10*$H54,0))</f>
        <v>0.15845264182716787</v>
      </c>
      <c r="BM54" s="214">
        <f>IF(AND(($D54+$C$1)&gt;AR$3,AR$3&gt;=$C$1),'General Inputs'!P$10*$I54,IF(AND(($C54+$C$1)&gt;AR$3,AR$3&gt;=$C$1),'General Inputs'!P$10*$H54,0))</f>
        <v>0.16082943145457537</v>
      </c>
      <c r="BN54" s="214">
        <f>IF(AND(($D54+$C$1)&gt;AS$3,AS$3&gt;=$C$1),'General Inputs'!Q$10*$I54,IF(AND(($C54+$C$1)&gt;AS$3,AS$3&gt;=$C$1),'General Inputs'!Q$10*$H54,0))</f>
        <v>0.163241872926394</v>
      </c>
      <c r="BO54" s="214">
        <f>IF(AND(($D54+$C$1)&gt;AT$3,AT$3&gt;=$C$1),'General Inputs'!R$10*$I54,IF(AND(($C54+$C$1)&gt;AT$3,AT$3&gt;=$C$1),'General Inputs'!R$10*$H54,0))</f>
        <v>0.16569050102028987</v>
      </c>
      <c r="BP54" s="214">
        <f>IF(AND(($D54+$C$1)&gt;AU$3,AU$3&gt;=$C$1),'General Inputs'!S$10*$I54,IF(AND(($C54+$C$1)&gt;AU$3,AU$3&gt;=$C$1),'General Inputs'!S$10*$H54,0))</f>
        <v>0.16817585853559422</v>
      </c>
      <c r="BQ54" s="214">
        <f>IF(AND(($D54+$C$1)&gt;AV$3,AV$3&gt;=$C$1),'General Inputs'!T$10*$I54,IF(AND(($C54+$C$1)&gt;AV$3,AV$3&gt;=$C$1),'General Inputs'!T$10*$H54,0))</f>
        <v>0</v>
      </c>
      <c r="BR54" s="214">
        <f>IF(AND(($D54+$C$1)&gt;AW$3,AW$3&gt;=$C$1),'General Inputs'!U$10*$I54,IF(AND(($C54+$C$1)&gt;AW$3,AW$3&gt;=$C$1),'General Inputs'!U$10*$H54,0))</f>
        <v>0</v>
      </c>
      <c r="BS54" s="214">
        <f>IF(AND(($D54+$C$1)&gt;AX$3,AX$3&gt;=$C$1),'General Inputs'!V$10*$I54,IF(AND(($C54+$C$1)&gt;AX$3,AX$3&gt;=$C$1),'General Inputs'!V$10*$H54,0))</f>
        <v>0</v>
      </c>
      <c r="BT54" s="214">
        <f>IF(AND(($D54+$C$1)&gt;AY$3,AY$3&gt;=$C$1),'General Inputs'!W$10*$I54,IF(AND(($C54+$C$1)&gt;AY$3,AY$3&gt;=$C$1),'General Inputs'!W$10*$H54,0))</f>
        <v>0</v>
      </c>
    </row>
    <row r="55" spans="1:72">
      <c r="A55" s="342" t="s">
        <v>112</v>
      </c>
      <c r="B55" s="427" t="str">
        <f>Sources!B55</f>
        <v>High Performance T8 (3-4 Lamp)</v>
      </c>
      <c r="C55" s="193">
        <f>Sources!C55</f>
        <v>15</v>
      </c>
      <c r="D55" s="193">
        <f>Sources!D55</f>
        <v>0</v>
      </c>
      <c r="F55" s="429">
        <f>Sources!F55*EnergyLineLoss</f>
        <v>92.952659999999995</v>
      </c>
      <c r="G55" s="429">
        <f>Sources!G55*EnergyLineLoss</f>
        <v>0</v>
      </c>
      <c r="H55" s="477">
        <f>Sources!H55*PeakLineLoss</f>
        <v>1.4373215999999999E-2</v>
      </c>
      <c r="I55" s="477">
        <f>Sources!I55*PeakLineLoss</f>
        <v>0</v>
      </c>
      <c r="K55" s="419">
        <f>Sources!J55</f>
        <v>18</v>
      </c>
      <c r="L55" s="419">
        <f>Sources!K55</f>
        <v>0</v>
      </c>
      <c r="N55" s="438">
        <f t="shared" si="26"/>
        <v>2.1253886822621819</v>
      </c>
      <c r="P55" s="215">
        <f t="shared" si="27"/>
        <v>33.217852548695085</v>
      </c>
      <c r="Q55" s="215">
        <f t="shared" si="28"/>
        <v>1.9319051513409977</v>
      </c>
      <c r="R55" s="215">
        <f t="shared" si="29"/>
        <v>16.5380374862183</v>
      </c>
      <c r="T55" s="214">
        <f t="shared" si="25"/>
        <v>0</v>
      </c>
      <c r="U55" s="214">
        <f t="shared" si="25"/>
        <v>18</v>
      </c>
      <c r="V55" s="214">
        <f t="shared" si="25"/>
        <v>0</v>
      </c>
      <c r="W55" s="214">
        <f t="shared" si="25"/>
        <v>0</v>
      </c>
      <c r="X55" s="214">
        <f t="shared" si="25"/>
        <v>0</v>
      </c>
      <c r="Y55" s="214">
        <f t="shared" si="25"/>
        <v>0</v>
      </c>
      <c r="Z55" s="214">
        <f t="shared" si="25"/>
        <v>0</v>
      </c>
      <c r="AA55" s="214">
        <f t="shared" si="25"/>
        <v>0</v>
      </c>
      <c r="AB55" s="214">
        <f t="shared" si="25"/>
        <v>0</v>
      </c>
      <c r="AC55" s="214">
        <f t="shared" si="25"/>
        <v>0</v>
      </c>
      <c r="AD55" s="214">
        <f t="shared" si="25"/>
        <v>0</v>
      </c>
      <c r="AF55" s="214">
        <f>IF(AND(($D55+$C$1)&gt;AF$3,AF$3&gt;=$C$1),'General Inputs'!D$9*$G55,IF(AND(($C55+$C$1)&gt;AF$3,AF$3&gt;=$C$1),'General Inputs'!D$9*$F55,0))</f>
        <v>0</v>
      </c>
      <c r="AG55" s="214">
        <f>IF(AND(($D55+$C$1)&gt;AG$3,AG$3&gt;=$C$1),'General Inputs'!E$9*$G55,IF(AND(($C55+$C$1)&gt;AG$3,AG$3&gt;=$C$1),'General Inputs'!E$9*$F55,0))</f>
        <v>3.7561661714058845</v>
      </c>
      <c r="AH55" s="214">
        <f>IF(AND(($D55+$C$1)&gt;AH$3,AH$3&gt;=$C$1),'General Inputs'!F$9*$G55,IF(AND(($C55+$C$1)&gt;AH$3,AH$3&gt;=$C$1),'General Inputs'!F$9*$F55,0))</f>
        <v>3.8125086639769723</v>
      </c>
      <c r="AI55" s="214">
        <f>IF(AND(($D55+$C$1)&gt;AI$3,AI$3&gt;=$C$1),'General Inputs'!G$9*$G55,IF(AND(($C55+$C$1)&gt;AI$3,AI$3&gt;=$C$1),'General Inputs'!G$9*$F55,0))</f>
        <v>3.8696962939366268</v>
      </c>
      <c r="AJ55" s="214">
        <f>IF(AND(($D55+$C$1)&gt;AJ$3,AJ$3&gt;=$C$1),'General Inputs'!H$9*$G55,IF(AND(($C55+$C$1)&gt;AJ$3,AJ$3&gt;=$C$1),'General Inputs'!H$9*$F55,0))</f>
        <v>3.9277417383456759</v>
      </c>
      <c r="AK55" s="214">
        <f>IF(AND(($D55+$C$1)&gt;AK$3,AK$3&gt;=$C$1),'General Inputs'!I$9*$G55,IF(AND(($C55+$C$1)&gt;AK$3,AK$3&gt;=$C$1),'General Inputs'!I$9*$F55,0))</f>
        <v>3.9866578644208603</v>
      </c>
      <c r="AL55" s="214">
        <f>IF(AND(($D55+$C$1)&gt;AL$3,AL$3&gt;=$C$1),'General Inputs'!J$9*$G55,IF(AND(($C55+$C$1)&gt;AL$3,AL$3&gt;=$C$1),'General Inputs'!J$9*$F55,0))</f>
        <v>4.0464577323871724</v>
      </c>
      <c r="AM55" s="214">
        <f>IF(AND(($D55+$C$1)&gt;AM$3,AM$3&gt;=$C$1),'General Inputs'!K$9*$G55,IF(AND(($C55+$C$1)&gt;AM$3,AM$3&gt;=$C$1),'General Inputs'!K$9*$F55,0))</f>
        <v>4.1071545983729791</v>
      </c>
      <c r="AN55" s="214">
        <f>IF(AND(($D55+$C$1)&gt;AN$3,AN$3&gt;=$C$1),'General Inputs'!L$9*$G55,IF(AND(($C55+$C$1)&gt;AN$3,AN$3&gt;=$C$1),'General Inputs'!L$9*$F55,0))</f>
        <v>4.1687619173485739</v>
      </c>
      <c r="AO55" s="214">
        <f>IF(AND(($D55+$C$1)&gt;AO$3,AO$3&gt;=$C$1),'General Inputs'!M$9*$G55,IF(AND(($C55+$C$1)&gt;AO$3,AO$3&gt;=$C$1),'General Inputs'!M$9*$F55,0))</f>
        <v>4.231293346108802</v>
      </c>
      <c r="AP55" s="214">
        <f>IF(AND(($D55+$C$1)&gt;AP$3,AP$3&gt;=$C$1),'General Inputs'!N$9*$G55,IF(AND(($C55+$C$1)&gt;AP$3,AP$3&gt;=$C$1),'General Inputs'!N$9*$F55,0))</f>
        <v>4.2947627463004334</v>
      </c>
      <c r="AQ55" s="214">
        <f>IF(AND(($D55+$C$1)&gt;AQ$3,AQ$3&gt;=$C$1),'General Inputs'!O$9*$G55,IF(AND(($C55+$C$1)&gt;AQ$3,AQ$3&gt;=$C$1),'General Inputs'!O$9*$F55,0))</f>
        <v>4.3591841874949395</v>
      </c>
      <c r="AR55" s="214">
        <f>IF(AND(($D55+$C$1)&gt;AR$3,AR$3&gt;=$C$1),'General Inputs'!P$9*$G55,IF(AND(($C55+$C$1)&gt;AR$3,AR$3&gt;=$C$1),'General Inputs'!P$9*$F55,0))</f>
        <v>4.4245719503073628</v>
      </c>
      <c r="AS55" s="214">
        <f>IF(AND(($D55+$C$1)&gt;AS$3,AS$3&gt;=$C$1),'General Inputs'!Q$9*$G55,IF(AND(($C55+$C$1)&gt;AS$3,AS$3&gt;=$C$1),'General Inputs'!Q$9*$F55,0))</f>
        <v>4.4909405295619731</v>
      </c>
      <c r="AT55" s="214">
        <f>IF(AND(($D55+$C$1)&gt;AT$3,AT$3&gt;=$C$1),'General Inputs'!R$9*$G55,IF(AND(($C55+$C$1)&gt;AT$3,AT$3&gt;=$C$1),'General Inputs'!R$9*$F55,0))</f>
        <v>4.5583046375054028</v>
      </c>
      <c r="AU55" s="214">
        <f>IF(AND(($D55+$C$1)&gt;AU$3,AU$3&gt;=$C$1),'General Inputs'!S$9*$G55,IF(AND(($C55+$C$1)&gt;AU$3,AU$3&gt;=$C$1),'General Inputs'!S$9*$F55,0))</f>
        <v>4.6266792070679834</v>
      </c>
      <c r="AV55" s="214">
        <f>IF(AND(($D55+$C$1)&gt;AV$3,AV$3&gt;=$C$1),'General Inputs'!T$9*$G55,IF(AND(($C55+$C$1)&gt;AV$3,AV$3&gt;=$C$1),'General Inputs'!T$9*$F55,0))</f>
        <v>0</v>
      </c>
      <c r="AW55" s="214">
        <f>IF(AND(($D55+$C$1)&gt;AW$3,AW$3&gt;=$C$1),'General Inputs'!U$9*$G55,IF(AND(($C55+$C$1)&gt;AW$3,AW$3&gt;=$C$1),'General Inputs'!U$9*$F55,0))</f>
        <v>0</v>
      </c>
      <c r="AX55" s="214">
        <f>IF(AND(($D55+$C$1)&gt;AX$3,AX$3&gt;=$C$1),'General Inputs'!V$9*$G55,IF(AND(($C55+$C$1)&gt;AX$3,AX$3&gt;=$C$1),'General Inputs'!V$9*$F55,0))</f>
        <v>0</v>
      </c>
      <c r="AY55" s="214">
        <f>IF(AND(($D55+$C$1)&gt;AY$3,AY$3&gt;=$C$1),'General Inputs'!W$9*$G55,IF(AND(($C55+$C$1)&gt;AY$3,AY$3&gt;=$C$1),'General Inputs'!W$9*$F55,0))</f>
        <v>0</v>
      </c>
      <c r="BA55" s="214">
        <f>IF(AND(($D55+$C$1)&gt;AF$3,AF$3&gt;=$C$1),'General Inputs'!D$10*$I55,IF(AND(($C55+$C$1)&gt;AF$3,AF$3&gt;=$C$1),'General Inputs'!D$10*$H55,0))</f>
        <v>0</v>
      </c>
      <c r="BB55" s="214">
        <f>IF(AND(($D55+$C$1)&gt;AG$3,AG$3&gt;=$C$1),'General Inputs'!E$10*$I55,IF(AND(($C55+$C$1)&gt;AG$3,AG$3&gt;=$C$1),'General Inputs'!E$10*$H55,0))</f>
        <v>0.21845351878765204</v>
      </c>
      <c r="BC55" s="214">
        <f>IF(AND(($D55+$C$1)&gt;AH$3,AH$3&gt;=$C$1),'General Inputs'!F$10*$I55,IF(AND(($C55+$C$1)&gt;AH$3,AH$3&gt;=$C$1),'General Inputs'!F$10*$H55,0))</f>
        <v>0.22173032156946682</v>
      </c>
      <c r="BD55" s="214">
        <f>IF(AND(($D55+$C$1)&gt;AI$3,AI$3&gt;=$C$1),'General Inputs'!G$10*$I55,IF(AND(($C55+$C$1)&gt;AI$3,AI$3&gt;=$C$1),'General Inputs'!G$10*$H55,0))</f>
        <v>0.22505627639300879</v>
      </c>
      <c r="BE55" s="214">
        <f>IF(AND(($D55+$C$1)&gt;AJ$3,AJ$3&gt;=$C$1),'General Inputs'!H$10*$I55,IF(AND(($C55+$C$1)&gt;AJ$3,AJ$3&gt;=$C$1),'General Inputs'!H$10*$H55,0))</f>
        <v>0.22843212053890391</v>
      </c>
      <c r="BF55" s="214">
        <f>IF(AND(($D55+$C$1)&gt;AK$3,AK$3&gt;=$C$1),'General Inputs'!I$10*$I55,IF(AND(($C55+$C$1)&gt;AK$3,AK$3&gt;=$C$1),'General Inputs'!I$10*$H55,0))</f>
        <v>0.23185860234698741</v>
      </c>
      <c r="BG55" s="214">
        <f>IF(AND(($D55+$C$1)&gt;AL$3,AL$3&gt;=$C$1),'General Inputs'!J$10*$I55,IF(AND(($C55+$C$1)&gt;AL$3,AL$3&gt;=$C$1),'General Inputs'!J$10*$H55,0))</f>
        <v>0.23533648138219221</v>
      </c>
      <c r="BH55" s="214">
        <f>IF(AND(($D55+$C$1)&gt;AM$3,AM$3&gt;=$C$1),'General Inputs'!K$10*$I55,IF(AND(($C55+$C$1)&gt;AM$3,AM$3&gt;=$C$1),'General Inputs'!K$10*$H55,0))</f>
        <v>0.23886652860292507</v>
      </c>
      <c r="BI55" s="214">
        <f>IF(AND(($D55+$C$1)&gt;AN$3,AN$3&gt;=$C$1),'General Inputs'!L$10*$I55,IF(AND(($C55+$C$1)&gt;AN$3,AN$3&gt;=$C$1),'General Inputs'!L$10*$H55,0))</f>
        <v>0.24244952653196891</v>
      </c>
      <c r="BJ55" s="214">
        <f>IF(AND(($D55+$C$1)&gt;AO$3,AO$3&gt;=$C$1),'General Inputs'!M$10*$I55,IF(AND(($C55+$C$1)&gt;AO$3,AO$3&gt;=$C$1),'General Inputs'!M$10*$H55,0))</f>
        <v>0.24608626942994846</v>
      </c>
      <c r="BK55" s="214">
        <f>IF(AND(($D55+$C$1)&gt;AP$3,AP$3&gt;=$C$1),'General Inputs'!N$10*$I55,IF(AND(($C55+$C$1)&gt;AP$3,AP$3&gt;=$C$1),'General Inputs'!N$10*$H55,0))</f>
        <v>0.24977756347139765</v>
      </c>
      <c r="BL55" s="214">
        <f>IF(AND(($D55+$C$1)&gt;AQ$3,AQ$3&gt;=$C$1),'General Inputs'!O$10*$I55,IF(AND(($C55+$C$1)&gt;AQ$3,AQ$3&gt;=$C$1),'General Inputs'!O$10*$H55,0))</f>
        <v>0.2535242269234686</v>
      </c>
      <c r="BM55" s="214">
        <f>IF(AND(($D55+$C$1)&gt;AR$3,AR$3&gt;=$C$1),'General Inputs'!P$10*$I55,IF(AND(($C55+$C$1)&gt;AR$3,AR$3&gt;=$C$1),'General Inputs'!P$10*$H55,0))</f>
        <v>0.2573270903273206</v>
      </c>
      <c r="BN55" s="214">
        <f>IF(AND(($D55+$C$1)&gt;AS$3,AS$3&gt;=$C$1),'General Inputs'!Q$10*$I55,IF(AND(($C55+$C$1)&gt;AS$3,AS$3&gt;=$C$1),'General Inputs'!Q$10*$H55,0))</f>
        <v>0.26118699668223039</v>
      </c>
      <c r="BO55" s="214">
        <f>IF(AND(($D55+$C$1)&gt;AT$3,AT$3&gt;=$C$1),'General Inputs'!R$10*$I55,IF(AND(($C55+$C$1)&gt;AT$3,AT$3&gt;=$C$1),'General Inputs'!R$10*$H55,0))</f>
        <v>0.2651048016324638</v>
      </c>
      <c r="BP55" s="214">
        <f>IF(AND(($D55+$C$1)&gt;AU$3,AU$3&gt;=$C$1),'General Inputs'!S$10*$I55,IF(AND(($C55+$C$1)&gt;AU$3,AU$3&gt;=$C$1),'General Inputs'!S$10*$H55,0))</f>
        <v>0.26908137365695073</v>
      </c>
      <c r="BQ55" s="214">
        <f>IF(AND(($D55+$C$1)&gt;AV$3,AV$3&gt;=$C$1),'General Inputs'!T$10*$I55,IF(AND(($C55+$C$1)&gt;AV$3,AV$3&gt;=$C$1),'General Inputs'!T$10*$H55,0))</f>
        <v>0</v>
      </c>
      <c r="BR55" s="214">
        <f>IF(AND(($D55+$C$1)&gt;AW$3,AW$3&gt;=$C$1),'General Inputs'!U$10*$I55,IF(AND(($C55+$C$1)&gt;AW$3,AW$3&gt;=$C$1),'General Inputs'!U$10*$H55,0))</f>
        <v>0</v>
      </c>
      <c r="BS55" s="214">
        <f>IF(AND(($D55+$C$1)&gt;AX$3,AX$3&gt;=$C$1),'General Inputs'!V$10*$I55,IF(AND(($C55+$C$1)&gt;AX$3,AX$3&gt;=$C$1),'General Inputs'!V$10*$H55,0))</f>
        <v>0</v>
      </c>
      <c r="BT55" s="214">
        <f>IF(AND(($D55+$C$1)&gt;AY$3,AY$3&gt;=$C$1),'General Inputs'!W$10*$I55,IF(AND(($C55+$C$1)&gt;AY$3,AY$3&gt;=$C$1),'General Inputs'!W$10*$H55,0))</f>
        <v>0</v>
      </c>
    </row>
    <row r="56" spans="1:72">
      <c r="A56" s="342" t="s">
        <v>112</v>
      </c>
      <c r="B56" s="427" t="str">
        <f>Sources!B56</f>
        <v xml:space="preserve">Low-Wattage T8 </v>
      </c>
      <c r="C56" s="193">
        <f>Sources!C56</f>
        <v>6</v>
      </c>
      <c r="D56" s="193">
        <f>Sources!D56</f>
        <v>0</v>
      </c>
      <c r="F56" s="429">
        <f>Sources!F56*EnergyLineLoss</f>
        <v>40.666788750000002</v>
      </c>
      <c r="G56" s="429">
        <f>Sources!G56*EnergyLineLoss</f>
        <v>0</v>
      </c>
      <c r="H56" s="477">
        <f>Sources!H56*PeakLineLoss</f>
        <v>6.2882820000000001E-3</v>
      </c>
      <c r="I56" s="477">
        <f>Sources!I56*PeakLineLoss</f>
        <v>0</v>
      </c>
      <c r="K56" s="419">
        <f>Sources!J56</f>
        <v>2</v>
      </c>
      <c r="L56" s="419">
        <f>Sources!K56</f>
        <v>0</v>
      </c>
      <c r="N56" s="438">
        <f t="shared" si="26"/>
        <v>4.4123657336977491</v>
      </c>
      <c r="P56" s="215">
        <f t="shared" si="27"/>
        <v>7.6623534820873811</v>
      </c>
      <c r="Q56" s="215">
        <f t="shared" si="28"/>
        <v>0.44563206311245263</v>
      </c>
      <c r="R56" s="215">
        <f t="shared" si="29"/>
        <v>1.8375597206909224</v>
      </c>
      <c r="T56" s="214">
        <f t="shared" si="25"/>
        <v>0</v>
      </c>
      <c r="U56" s="214">
        <f t="shared" si="25"/>
        <v>2</v>
      </c>
      <c r="V56" s="214">
        <f t="shared" si="25"/>
        <v>0</v>
      </c>
      <c r="W56" s="214">
        <f t="shared" si="25"/>
        <v>0</v>
      </c>
      <c r="X56" s="214">
        <f t="shared" si="25"/>
        <v>0</v>
      </c>
      <c r="Y56" s="214">
        <f t="shared" si="25"/>
        <v>0</v>
      </c>
      <c r="Z56" s="214">
        <f t="shared" si="25"/>
        <v>0</v>
      </c>
      <c r="AA56" s="214">
        <f t="shared" si="25"/>
        <v>0</v>
      </c>
      <c r="AB56" s="214">
        <f t="shared" si="25"/>
        <v>0</v>
      </c>
      <c r="AC56" s="214">
        <f t="shared" si="25"/>
        <v>0</v>
      </c>
      <c r="AD56" s="214">
        <f t="shared" si="25"/>
        <v>0</v>
      </c>
      <c r="AF56" s="214">
        <f>IF(AND(($D56+$C$1)&gt;AF$3,AF$3&gt;=$C$1),'General Inputs'!D$9*$G56,IF(AND(($C56+$C$1)&gt;AF$3,AF$3&gt;=$C$1),'General Inputs'!D$9*$F56,0))</f>
        <v>0</v>
      </c>
      <c r="AG56" s="214">
        <f>IF(AND(($D56+$C$1)&gt;AG$3,AG$3&gt;=$C$1),'General Inputs'!E$9*$G56,IF(AND(($C56+$C$1)&gt;AG$3,AG$3&gt;=$C$1),'General Inputs'!E$9*$F56,0))</f>
        <v>1.6433226999900747</v>
      </c>
      <c r="AH56" s="214">
        <f>IF(AND(($D56+$C$1)&gt;AH$3,AH$3&gt;=$C$1),'General Inputs'!F$9*$G56,IF(AND(($C56+$C$1)&gt;AH$3,AH$3&gt;=$C$1),'General Inputs'!F$9*$F56,0))</f>
        <v>1.6679725404899257</v>
      </c>
      <c r="AI56" s="214">
        <f>IF(AND(($D56+$C$1)&gt;AI$3,AI$3&gt;=$C$1),'General Inputs'!G$9*$G56,IF(AND(($C56+$C$1)&gt;AI$3,AI$3&gt;=$C$1),'General Inputs'!G$9*$F56,0))</f>
        <v>1.6929921285972744</v>
      </c>
      <c r="AJ56" s="214">
        <f>IF(AND(($D56+$C$1)&gt;AJ$3,AJ$3&gt;=$C$1),'General Inputs'!H$9*$G56,IF(AND(($C56+$C$1)&gt;AJ$3,AJ$3&gt;=$C$1),'General Inputs'!H$9*$F56,0))</f>
        <v>1.7183870105262333</v>
      </c>
      <c r="AK56" s="214">
        <f>IF(AND(($D56+$C$1)&gt;AK$3,AK$3&gt;=$C$1),'General Inputs'!I$9*$G56,IF(AND(($C56+$C$1)&gt;AK$3,AK$3&gt;=$C$1),'General Inputs'!I$9*$F56,0))</f>
        <v>1.7441628156841265</v>
      </c>
      <c r="AL56" s="214">
        <f>IF(AND(($D56+$C$1)&gt;AL$3,AL$3&gt;=$C$1),'General Inputs'!J$9*$G56,IF(AND(($C56+$C$1)&gt;AL$3,AL$3&gt;=$C$1),'General Inputs'!J$9*$F56,0))</f>
        <v>1.7703252579193882</v>
      </c>
      <c r="AM56" s="214">
        <f>IF(AND(($D56+$C$1)&gt;AM$3,AM$3&gt;=$C$1),'General Inputs'!K$9*$G56,IF(AND(($C56+$C$1)&gt;AM$3,AM$3&gt;=$C$1),'General Inputs'!K$9*$F56,0))</f>
        <v>0</v>
      </c>
      <c r="AN56" s="214">
        <f>IF(AND(($D56+$C$1)&gt;AN$3,AN$3&gt;=$C$1),'General Inputs'!L$9*$G56,IF(AND(($C56+$C$1)&gt;AN$3,AN$3&gt;=$C$1),'General Inputs'!L$9*$F56,0))</f>
        <v>0</v>
      </c>
      <c r="AO56" s="214">
        <f>IF(AND(($D56+$C$1)&gt;AO$3,AO$3&gt;=$C$1),'General Inputs'!M$9*$G56,IF(AND(($C56+$C$1)&gt;AO$3,AO$3&gt;=$C$1),'General Inputs'!M$9*$F56,0))</f>
        <v>0</v>
      </c>
      <c r="AP56" s="214">
        <f>IF(AND(($D56+$C$1)&gt;AP$3,AP$3&gt;=$C$1),'General Inputs'!N$9*$G56,IF(AND(($C56+$C$1)&gt;AP$3,AP$3&gt;=$C$1),'General Inputs'!N$9*$F56,0))</f>
        <v>0</v>
      </c>
      <c r="AQ56" s="214">
        <f>IF(AND(($D56+$C$1)&gt;AQ$3,AQ$3&gt;=$C$1),'General Inputs'!O$9*$G56,IF(AND(($C56+$C$1)&gt;AQ$3,AQ$3&gt;=$C$1),'General Inputs'!O$9*$F56,0))</f>
        <v>0</v>
      </c>
      <c r="AR56" s="214">
        <f>IF(AND(($D56+$C$1)&gt;AR$3,AR$3&gt;=$C$1),'General Inputs'!P$9*$G56,IF(AND(($C56+$C$1)&gt;AR$3,AR$3&gt;=$C$1),'General Inputs'!P$9*$F56,0))</f>
        <v>0</v>
      </c>
      <c r="AS56" s="214">
        <f>IF(AND(($D56+$C$1)&gt;AS$3,AS$3&gt;=$C$1),'General Inputs'!Q$9*$G56,IF(AND(($C56+$C$1)&gt;AS$3,AS$3&gt;=$C$1),'General Inputs'!Q$9*$F56,0))</f>
        <v>0</v>
      </c>
      <c r="AT56" s="214">
        <f>IF(AND(($D56+$C$1)&gt;AT$3,AT$3&gt;=$C$1),'General Inputs'!R$9*$G56,IF(AND(($C56+$C$1)&gt;AT$3,AT$3&gt;=$C$1),'General Inputs'!R$9*$F56,0))</f>
        <v>0</v>
      </c>
      <c r="AU56" s="214">
        <f>IF(AND(($D56+$C$1)&gt;AU$3,AU$3&gt;=$C$1),'General Inputs'!S$9*$G56,IF(AND(($C56+$C$1)&gt;AU$3,AU$3&gt;=$C$1),'General Inputs'!S$9*$F56,0))</f>
        <v>0</v>
      </c>
      <c r="AV56" s="214">
        <f>IF(AND(($D56+$C$1)&gt;AV$3,AV$3&gt;=$C$1),'General Inputs'!T$9*$G56,IF(AND(($C56+$C$1)&gt;AV$3,AV$3&gt;=$C$1),'General Inputs'!T$9*$F56,0))</f>
        <v>0</v>
      </c>
      <c r="AW56" s="214">
        <f>IF(AND(($D56+$C$1)&gt;AW$3,AW$3&gt;=$C$1),'General Inputs'!U$9*$G56,IF(AND(($C56+$C$1)&gt;AW$3,AW$3&gt;=$C$1),'General Inputs'!U$9*$F56,0))</f>
        <v>0</v>
      </c>
      <c r="AX56" s="214">
        <f>IF(AND(($D56+$C$1)&gt;AX$3,AX$3&gt;=$C$1),'General Inputs'!V$9*$G56,IF(AND(($C56+$C$1)&gt;AX$3,AX$3&gt;=$C$1),'General Inputs'!V$9*$F56,0))</f>
        <v>0</v>
      </c>
      <c r="AY56" s="214">
        <f>IF(AND(($D56+$C$1)&gt;AY$3,AY$3&gt;=$C$1),'General Inputs'!W$9*$G56,IF(AND(($C56+$C$1)&gt;AY$3,AY$3&gt;=$C$1),'General Inputs'!W$9*$F56,0))</f>
        <v>0</v>
      </c>
      <c r="BA56" s="214">
        <f>IF(AND(($D56+$C$1)&gt;AF$3,AF$3&gt;=$C$1),'General Inputs'!D$10*$I56,IF(AND(($C56+$C$1)&gt;AF$3,AF$3&gt;=$C$1),'General Inputs'!D$10*$H56,0))</f>
        <v>0</v>
      </c>
      <c r="BB56" s="214">
        <f>IF(AND(($D56+$C$1)&gt;AG$3,AG$3&gt;=$C$1),'General Inputs'!E$10*$I56,IF(AND(($C56+$C$1)&gt;AG$3,AG$3&gt;=$C$1),'General Inputs'!E$10*$H56,0))</f>
        <v>9.5573414469597773E-2</v>
      </c>
      <c r="BC56" s="214">
        <f>IF(AND(($D56+$C$1)&gt;AH$3,AH$3&gt;=$C$1),'General Inputs'!F$10*$I56,IF(AND(($C56+$C$1)&gt;AH$3,AH$3&gt;=$C$1),'General Inputs'!F$10*$H56,0))</f>
        <v>9.7007015686641732E-2</v>
      </c>
      <c r="BD56" s="214">
        <f>IF(AND(($D56+$C$1)&gt;AI$3,AI$3&gt;=$C$1),'General Inputs'!G$10*$I56,IF(AND(($C56+$C$1)&gt;AI$3,AI$3&gt;=$C$1),'General Inputs'!G$10*$H56,0))</f>
        <v>9.8462120921941343E-2</v>
      </c>
      <c r="BE56" s="214">
        <f>IF(AND(($D56+$C$1)&gt;AJ$3,AJ$3&gt;=$C$1),'General Inputs'!H$10*$I56,IF(AND(($C56+$C$1)&gt;AJ$3,AJ$3&gt;=$C$1),'General Inputs'!H$10*$H56,0))</f>
        <v>9.9939052735770459E-2</v>
      </c>
      <c r="BF56" s="214">
        <f>IF(AND(($D56+$C$1)&gt;AK$3,AK$3&gt;=$C$1),'General Inputs'!I$10*$I56,IF(AND(($C56+$C$1)&gt;AK$3,AK$3&gt;=$C$1),'General Inputs'!I$10*$H56,0))</f>
        <v>0.101438138526807</v>
      </c>
      <c r="BG56" s="214">
        <f>IF(AND(($D56+$C$1)&gt;AL$3,AL$3&gt;=$C$1),'General Inputs'!J$10*$I56,IF(AND(($C56+$C$1)&gt;AL$3,AL$3&gt;=$C$1),'General Inputs'!J$10*$H56,0))</f>
        <v>0.10295971060470908</v>
      </c>
      <c r="BH56" s="214">
        <f>IF(AND(($D56+$C$1)&gt;AM$3,AM$3&gt;=$C$1),'General Inputs'!K$10*$I56,IF(AND(($C56+$C$1)&gt;AM$3,AM$3&gt;=$C$1),'General Inputs'!K$10*$H56,0))</f>
        <v>0</v>
      </c>
      <c r="BI56" s="214">
        <f>IF(AND(($D56+$C$1)&gt;AN$3,AN$3&gt;=$C$1),'General Inputs'!L$10*$I56,IF(AND(($C56+$C$1)&gt;AN$3,AN$3&gt;=$C$1),'General Inputs'!L$10*$H56,0))</f>
        <v>0</v>
      </c>
      <c r="BJ56" s="214">
        <f>IF(AND(($D56+$C$1)&gt;AO$3,AO$3&gt;=$C$1),'General Inputs'!M$10*$I56,IF(AND(($C56+$C$1)&gt;AO$3,AO$3&gt;=$C$1),'General Inputs'!M$10*$H56,0))</f>
        <v>0</v>
      </c>
      <c r="BK56" s="214">
        <f>IF(AND(($D56+$C$1)&gt;AP$3,AP$3&gt;=$C$1),'General Inputs'!N$10*$I56,IF(AND(($C56+$C$1)&gt;AP$3,AP$3&gt;=$C$1),'General Inputs'!N$10*$H56,0))</f>
        <v>0</v>
      </c>
      <c r="BL56" s="214">
        <f>IF(AND(($D56+$C$1)&gt;AQ$3,AQ$3&gt;=$C$1),'General Inputs'!O$10*$I56,IF(AND(($C56+$C$1)&gt;AQ$3,AQ$3&gt;=$C$1),'General Inputs'!O$10*$H56,0))</f>
        <v>0</v>
      </c>
      <c r="BM56" s="214">
        <f>IF(AND(($D56+$C$1)&gt;AR$3,AR$3&gt;=$C$1),'General Inputs'!P$10*$I56,IF(AND(($C56+$C$1)&gt;AR$3,AR$3&gt;=$C$1),'General Inputs'!P$10*$H56,0))</f>
        <v>0</v>
      </c>
      <c r="BN56" s="214">
        <f>IF(AND(($D56+$C$1)&gt;AS$3,AS$3&gt;=$C$1),'General Inputs'!Q$10*$I56,IF(AND(($C56+$C$1)&gt;AS$3,AS$3&gt;=$C$1),'General Inputs'!Q$10*$H56,0))</f>
        <v>0</v>
      </c>
      <c r="BO56" s="214">
        <f>IF(AND(($D56+$C$1)&gt;AT$3,AT$3&gt;=$C$1),'General Inputs'!R$10*$I56,IF(AND(($C56+$C$1)&gt;AT$3,AT$3&gt;=$C$1),'General Inputs'!R$10*$H56,0))</f>
        <v>0</v>
      </c>
      <c r="BP56" s="214">
        <f>IF(AND(($D56+$C$1)&gt;AU$3,AU$3&gt;=$C$1),'General Inputs'!S$10*$I56,IF(AND(($C56+$C$1)&gt;AU$3,AU$3&gt;=$C$1),'General Inputs'!S$10*$H56,0))</f>
        <v>0</v>
      </c>
      <c r="BQ56" s="214">
        <f>IF(AND(($D56+$C$1)&gt;AV$3,AV$3&gt;=$C$1),'General Inputs'!T$10*$I56,IF(AND(($C56+$C$1)&gt;AV$3,AV$3&gt;=$C$1),'General Inputs'!T$10*$H56,0))</f>
        <v>0</v>
      </c>
      <c r="BR56" s="214">
        <f>IF(AND(($D56+$C$1)&gt;AW$3,AW$3&gt;=$C$1),'General Inputs'!U$10*$I56,IF(AND(($C56+$C$1)&gt;AW$3,AW$3&gt;=$C$1),'General Inputs'!U$10*$H56,0))</f>
        <v>0</v>
      </c>
      <c r="BS56" s="214">
        <f>IF(AND(($D56+$C$1)&gt;AX$3,AX$3&gt;=$C$1),'General Inputs'!V$10*$I56,IF(AND(($C56+$C$1)&gt;AX$3,AX$3&gt;=$C$1),'General Inputs'!V$10*$H56,0))</f>
        <v>0</v>
      </c>
      <c r="BT56" s="214">
        <f>IF(AND(($D56+$C$1)&gt;AY$3,AY$3&gt;=$C$1),'General Inputs'!W$10*$I56,IF(AND(($C56+$C$1)&gt;AY$3,AY$3&gt;=$C$1),'General Inputs'!W$10*$H56,0))</f>
        <v>0</v>
      </c>
    </row>
    <row r="57" spans="1:72">
      <c r="A57" s="342" t="s">
        <v>112</v>
      </c>
      <c r="B57" s="427" t="str">
        <f>Sources!B57</f>
        <v>Fluorescent Fixture Specular Reflector 4-ft</v>
      </c>
      <c r="C57" s="193">
        <f>Sources!C57</f>
        <v>15</v>
      </c>
      <c r="D57" s="193">
        <f>Sources!D57</f>
        <v>0</v>
      </c>
      <c r="F57" s="429">
        <f>Sources!F57*EnergyLineLoss</f>
        <v>116.19082499999999</v>
      </c>
      <c r="G57" s="429">
        <f>Sources!G57*EnergyLineLoss</f>
        <v>0</v>
      </c>
      <c r="H57" s="477">
        <f>Sources!H57*PeakLineLoss</f>
        <v>1.796652E-2</v>
      </c>
      <c r="I57" s="477">
        <f>Sources!I57*PeakLineLoss</f>
        <v>0</v>
      </c>
      <c r="K57" s="419">
        <f>Sources!J57</f>
        <v>30</v>
      </c>
      <c r="L57" s="419">
        <f>Sources!K57</f>
        <v>0</v>
      </c>
      <c r="N57" s="438">
        <f t="shared" si="26"/>
        <v>1.5940415116966369</v>
      </c>
      <c r="P57" s="215">
        <f t="shared" si="27"/>
        <v>41.522315685868868</v>
      </c>
      <c r="Q57" s="215">
        <f t="shared" si="28"/>
        <v>2.4148814391762468</v>
      </c>
      <c r="R57" s="215">
        <f t="shared" si="29"/>
        <v>27.563395810363836</v>
      </c>
      <c r="T57" s="214">
        <f t="shared" si="25"/>
        <v>0</v>
      </c>
      <c r="U57" s="214">
        <f t="shared" si="25"/>
        <v>30</v>
      </c>
      <c r="V57" s="214">
        <f t="shared" si="25"/>
        <v>0</v>
      </c>
      <c r="W57" s="214">
        <f t="shared" si="25"/>
        <v>0</v>
      </c>
      <c r="X57" s="214">
        <f t="shared" si="25"/>
        <v>0</v>
      </c>
      <c r="Y57" s="214">
        <f t="shared" si="25"/>
        <v>0</v>
      </c>
      <c r="Z57" s="214">
        <f t="shared" si="25"/>
        <v>0</v>
      </c>
      <c r="AA57" s="214">
        <f t="shared" si="25"/>
        <v>0</v>
      </c>
      <c r="AB57" s="214">
        <f t="shared" si="25"/>
        <v>0</v>
      </c>
      <c r="AC57" s="214">
        <f t="shared" si="25"/>
        <v>0</v>
      </c>
      <c r="AD57" s="214">
        <f t="shared" si="25"/>
        <v>0</v>
      </c>
      <c r="AF57" s="214">
        <f>IF(AND(($D57+$C$1)&gt;AF$3,AF$3&gt;=$C$1),'General Inputs'!D$9*$G57,IF(AND(($C57+$C$1)&gt;AF$3,AF$3&gt;=$C$1),'General Inputs'!D$9*$F57,0))</f>
        <v>0</v>
      </c>
      <c r="AG57" s="214">
        <f>IF(AND(($D57+$C$1)&gt;AG$3,AG$3&gt;=$C$1),'General Inputs'!E$9*$G57,IF(AND(($C57+$C$1)&gt;AG$3,AG$3&gt;=$C$1),'General Inputs'!E$9*$F57,0))</f>
        <v>4.6952077142573554</v>
      </c>
      <c r="AH57" s="214">
        <f>IF(AND(($D57+$C$1)&gt;AH$3,AH$3&gt;=$C$1),'General Inputs'!F$9*$G57,IF(AND(($C57+$C$1)&gt;AH$3,AH$3&gt;=$C$1),'General Inputs'!F$9*$F57,0))</f>
        <v>4.7656358299712158</v>
      </c>
      <c r="AI57" s="214">
        <f>IF(AND(($D57+$C$1)&gt;AI$3,AI$3&gt;=$C$1),'General Inputs'!G$9*$G57,IF(AND(($C57+$C$1)&gt;AI$3,AI$3&gt;=$C$1),'General Inputs'!G$9*$F57,0))</f>
        <v>4.8371203674207832</v>
      </c>
      <c r="AJ57" s="214">
        <f>IF(AND(($D57+$C$1)&gt;AJ$3,AJ$3&gt;=$C$1),'General Inputs'!H$9*$G57,IF(AND(($C57+$C$1)&gt;AJ$3,AJ$3&gt;=$C$1),'General Inputs'!H$9*$F57,0))</f>
        <v>4.9096771729320947</v>
      </c>
      <c r="AK57" s="214">
        <f>IF(AND(($D57+$C$1)&gt;AK$3,AK$3&gt;=$C$1),'General Inputs'!I$9*$G57,IF(AND(($C57+$C$1)&gt;AK$3,AK$3&gt;=$C$1),'General Inputs'!I$9*$F57,0))</f>
        <v>4.9833223305260752</v>
      </c>
      <c r="AL57" s="214">
        <f>IF(AND(($D57+$C$1)&gt;AL$3,AL$3&gt;=$C$1),'General Inputs'!J$9*$G57,IF(AND(($C57+$C$1)&gt;AL$3,AL$3&gt;=$C$1),'General Inputs'!J$9*$F57,0))</f>
        <v>5.0580721654839653</v>
      </c>
      <c r="AM57" s="214">
        <f>IF(AND(($D57+$C$1)&gt;AM$3,AM$3&gt;=$C$1),'General Inputs'!K$9*$G57,IF(AND(($C57+$C$1)&gt;AM$3,AM$3&gt;=$C$1),'General Inputs'!K$9*$F57,0))</f>
        <v>5.1339432479662239</v>
      </c>
      <c r="AN57" s="214">
        <f>IF(AND(($D57+$C$1)&gt;AN$3,AN$3&gt;=$C$1),'General Inputs'!L$9*$G57,IF(AND(($C57+$C$1)&gt;AN$3,AN$3&gt;=$C$1),'General Inputs'!L$9*$F57,0))</f>
        <v>5.210952396685717</v>
      </c>
      <c r="AO57" s="214">
        <f>IF(AND(($D57+$C$1)&gt;AO$3,AO$3&gt;=$C$1),'General Inputs'!M$9*$G57,IF(AND(($C57+$C$1)&gt;AO$3,AO$3&gt;=$C$1),'General Inputs'!M$9*$F57,0))</f>
        <v>5.2891166826360019</v>
      </c>
      <c r="AP57" s="214">
        <f>IF(AND(($D57+$C$1)&gt;AP$3,AP$3&gt;=$C$1),'General Inputs'!N$9*$G57,IF(AND(($C57+$C$1)&gt;AP$3,AP$3&gt;=$C$1),'General Inputs'!N$9*$F57,0))</f>
        <v>5.3684534328755422</v>
      </c>
      <c r="AQ57" s="214">
        <f>IF(AND(($D57+$C$1)&gt;AQ$3,AQ$3&gt;=$C$1),'General Inputs'!O$9*$G57,IF(AND(($C57+$C$1)&gt;AQ$3,AQ$3&gt;=$C$1),'General Inputs'!O$9*$F57,0))</f>
        <v>5.4489802343686744</v>
      </c>
      <c r="AR57" s="214">
        <f>IF(AND(($D57+$C$1)&gt;AR$3,AR$3&gt;=$C$1),'General Inputs'!P$9*$G57,IF(AND(($C57+$C$1)&gt;AR$3,AR$3&gt;=$C$1),'General Inputs'!P$9*$F57,0))</f>
        <v>5.5307149378842038</v>
      </c>
      <c r="AS57" s="214">
        <f>IF(AND(($D57+$C$1)&gt;AS$3,AS$3&gt;=$C$1),'General Inputs'!Q$9*$G57,IF(AND(($C57+$C$1)&gt;AS$3,AS$3&gt;=$C$1),'General Inputs'!Q$9*$F57,0))</f>
        <v>5.6136756619524668</v>
      </c>
      <c r="AT57" s="214">
        <f>IF(AND(($D57+$C$1)&gt;AT$3,AT$3&gt;=$C$1),'General Inputs'!R$9*$G57,IF(AND(($C57+$C$1)&gt;AT$3,AT$3&gt;=$C$1),'General Inputs'!R$9*$F57,0))</f>
        <v>5.6978807968817531</v>
      </c>
      <c r="AU57" s="214">
        <f>IF(AND(($D57+$C$1)&gt;AU$3,AU$3&gt;=$C$1),'General Inputs'!S$9*$G57,IF(AND(($C57+$C$1)&gt;AU$3,AU$3&gt;=$C$1),'General Inputs'!S$9*$F57,0))</f>
        <v>5.7833490088349793</v>
      </c>
      <c r="AV57" s="214">
        <f>IF(AND(($D57+$C$1)&gt;AV$3,AV$3&gt;=$C$1),'General Inputs'!T$9*$G57,IF(AND(($C57+$C$1)&gt;AV$3,AV$3&gt;=$C$1),'General Inputs'!T$9*$F57,0))</f>
        <v>0</v>
      </c>
      <c r="AW57" s="214">
        <f>IF(AND(($D57+$C$1)&gt;AW$3,AW$3&gt;=$C$1),'General Inputs'!U$9*$G57,IF(AND(($C57+$C$1)&gt;AW$3,AW$3&gt;=$C$1),'General Inputs'!U$9*$F57,0))</f>
        <v>0</v>
      </c>
      <c r="AX57" s="214">
        <f>IF(AND(($D57+$C$1)&gt;AX$3,AX$3&gt;=$C$1),'General Inputs'!V$9*$G57,IF(AND(($C57+$C$1)&gt;AX$3,AX$3&gt;=$C$1),'General Inputs'!V$9*$F57,0))</f>
        <v>0</v>
      </c>
      <c r="AY57" s="214">
        <f>IF(AND(($D57+$C$1)&gt;AY$3,AY$3&gt;=$C$1),'General Inputs'!W$9*$G57,IF(AND(($C57+$C$1)&gt;AY$3,AY$3&gt;=$C$1),'General Inputs'!W$9*$F57,0))</f>
        <v>0</v>
      </c>
      <c r="BA57" s="214">
        <f>IF(AND(($D57+$C$1)&gt;AF$3,AF$3&gt;=$C$1),'General Inputs'!D$10*$I57,IF(AND(($C57+$C$1)&gt;AF$3,AF$3&gt;=$C$1),'General Inputs'!D$10*$H57,0))</f>
        <v>0</v>
      </c>
      <c r="BB57" s="214">
        <f>IF(AND(($D57+$C$1)&gt;AG$3,AG$3&gt;=$C$1),'General Inputs'!E$10*$I57,IF(AND(($C57+$C$1)&gt;AG$3,AG$3&gt;=$C$1),'General Inputs'!E$10*$H57,0))</f>
        <v>0.27306689848456506</v>
      </c>
      <c r="BC57" s="214">
        <f>IF(AND(($D57+$C$1)&gt;AH$3,AH$3&gt;=$C$1),'General Inputs'!F$10*$I57,IF(AND(($C57+$C$1)&gt;AH$3,AH$3&gt;=$C$1),'General Inputs'!F$10*$H57,0))</f>
        <v>0.27716290196183352</v>
      </c>
      <c r="BD57" s="214">
        <f>IF(AND(($D57+$C$1)&gt;AI$3,AI$3&gt;=$C$1),'General Inputs'!G$10*$I57,IF(AND(($C57+$C$1)&gt;AI$3,AI$3&gt;=$C$1),'General Inputs'!G$10*$H57,0))</f>
        <v>0.281320345491261</v>
      </c>
      <c r="BE57" s="214">
        <f>IF(AND(($D57+$C$1)&gt;AJ$3,AJ$3&gt;=$C$1),'General Inputs'!H$10*$I57,IF(AND(($C57+$C$1)&gt;AJ$3,AJ$3&gt;=$C$1),'General Inputs'!H$10*$H57,0))</f>
        <v>0.28554015067362987</v>
      </c>
      <c r="BF57" s="214">
        <f>IF(AND(($D57+$C$1)&gt;AK$3,AK$3&gt;=$C$1),'General Inputs'!I$10*$I57,IF(AND(($C57+$C$1)&gt;AK$3,AK$3&gt;=$C$1),'General Inputs'!I$10*$H57,0))</f>
        <v>0.28982325293373429</v>
      </c>
      <c r="BG57" s="214">
        <f>IF(AND(($D57+$C$1)&gt;AL$3,AL$3&gt;=$C$1),'General Inputs'!J$10*$I57,IF(AND(($C57+$C$1)&gt;AL$3,AL$3&gt;=$C$1),'General Inputs'!J$10*$H57,0))</f>
        <v>0.29417060172774023</v>
      </c>
      <c r="BH57" s="214">
        <f>IF(AND(($D57+$C$1)&gt;AM$3,AM$3&gt;=$C$1),'General Inputs'!K$10*$I57,IF(AND(($C57+$C$1)&gt;AM$3,AM$3&gt;=$C$1),'General Inputs'!K$10*$H57,0))</f>
        <v>0.29858316075365632</v>
      </c>
      <c r="BI57" s="214">
        <f>IF(AND(($D57+$C$1)&gt;AN$3,AN$3&gt;=$C$1),'General Inputs'!L$10*$I57,IF(AND(($C57+$C$1)&gt;AN$3,AN$3&gt;=$C$1),'General Inputs'!L$10*$H57,0))</f>
        <v>0.30306190816496115</v>
      </c>
      <c r="BJ57" s="214">
        <f>IF(AND(($D57+$C$1)&gt;AO$3,AO$3&gt;=$C$1),'General Inputs'!M$10*$I57,IF(AND(($C57+$C$1)&gt;AO$3,AO$3&gt;=$C$1),'General Inputs'!M$10*$H57,0))</f>
        <v>0.30760783678743558</v>
      </c>
      <c r="BK57" s="214">
        <f>IF(AND(($D57+$C$1)&gt;AP$3,AP$3&gt;=$C$1),'General Inputs'!N$10*$I57,IF(AND(($C57+$C$1)&gt;AP$3,AP$3&gt;=$C$1),'General Inputs'!N$10*$H57,0))</f>
        <v>0.31222195433924704</v>
      </c>
      <c r="BL57" s="214">
        <f>IF(AND(($D57+$C$1)&gt;AQ$3,AQ$3&gt;=$C$1),'General Inputs'!O$10*$I57,IF(AND(($C57+$C$1)&gt;AQ$3,AQ$3&gt;=$C$1),'General Inputs'!O$10*$H57,0))</f>
        <v>0.31690528365433573</v>
      </c>
      <c r="BM57" s="214">
        <f>IF(AND(($D57+$C$1)&gt;AR$3,AR$3&gt;=$C$1),'General Inputs'!P$10*$I57,IF(AND(($C57+$C$1)&gt;AR$3,AR$3&gt;=$C$1),'General Inputs'!P$10*$H57,0))</f>
        <v>0.32165886290915074</v>
      </c>
      <c r="BN57" s="214">
        <f>IF(AND(($D57+$C$1)&gt;AS$3,AS$3&gt;=$C$1),'General Inputs'!Q$10*$I57,IF(AND(($C57+$C$1)&gt;AS$3,AS$3&gt;=$C$1),'General Inputs'!Q$10*$H57,0))</f>
        <v>0.326483745852788</v>
      </c>
      <c r="BO57" s="214">
        <f>IF(AND(($D57+$C$1)&gt;AT$3,AT$3&gt;=$C$1),'General Inputs'!R$10*$I57,IF(AND(($C57+$C$1)&gt;AT$3,AT$3&gt;=$C$1),'General Inputs'!R$10*$H57,0))</f>
        <v>0.33138100204057974</v>
      </c>
      <c r="BP57" s="214">
        <f>IF(AND(($D57+$C$1)&gt;AU$3,AU$3&gt;=$C$1),'General Inputs'!S$10*$I57,IF(AND(($C57+$C$1)&gt;AU$3,AU$3&gt;=$C$1),'General Inputs'!S$10*$H57,0))</f>
        <v>0.33635171707118844</v>
      </c>
      <c r="BQ57" s="214">
        <f>IF(AND(($D57+$C$1)&gt;AV$3,AV$3&gt;=$C$1),'General Inputs'!T$10*$I57,IF(AND(($C57+$C$1)&gt;AV$3,AV$3&gt;=$C$1),'General Inputs'!T$10*$H57,0))</f>
        <v>0</v>
      </c>
      <c r="BR57" s="214">
        <f>IF(AND(($D57+$C$1)&gt;AW$3,AW$3&gt;=$C$1),'General Inputs'!U$10*$I57,IF(AND(($C57+$C$1)&gt;AW$3,AW$3&gt;=$C$1),'General Inputs'!U$10*$H57,0))</f>
        <v>0</v>
      </c>
      <c r="BS57" s="214">
        <f>IF(AND(($D57+$C$1)&gt;AX$3,AX$3&gt;=$C$1),'General Inputs'!V$10*$I57,IF(AND(($C57+$C$1)&gt;AX$3,AX$3&gt;=$C$1),'General Inputs'!V$10*$H57,0))</f>
        <v>0</v>
      </c>
      <c r="BT57" s="214">
        <f>IF(AND(($D57+$C$1)&gt;AY$3,AY$3&gt;=$C$1),'General Inputs'!W$10*$I57,IF(AND(($C57+$C$1)&gt;AY$3,AY$3&gt;=$C$1),'General Inputs'!W$10*$H57,0))</f>
        <v>0</v>
      </c>
    </row>
    <row r="58" spans="1:72">
      <c r="A58" s="342" t="s">
        <v>112</v>
      </c>
      <c r="B58" s="427" t="str">
        <f>Sources!B58</f>
        <v>Fluorescent Fixture Specular Reflector two 4-ft</v>
      </c>
      <c r="C58" s="193">
        <f>Sources!C58</f>
        <v>15</v>
      </c>
      <c r="D58" s="193">
        <f>Sources!D58</f>
        <v>0</v>
      </c>
      <c r="F58" s="429">
        <f>Sources!F58*EnergyLineLoss</f>
        <v>151.04807249999999</v>
      </c>
      <c r="G58" s="429">
        <f>Sources!G58*EnergyLineLoss</f>
        <v>0</v>
      </c>
      <c r="H58" s="477">
        <f>Sources!H58*PeakLineLoss</f>
        <v>2.3356476000000001E-2</v>
      </c>
      <c r="I58" s="477">
        <f>Sources!I58*PeakLineLoss</f>
        <v>0</v>
      </c>
      <c r="K58" s="419">
        <f>Sources!J58</f>
        <v>30</v>
      </c>
      <c r="L58" s="419">
        <f>Sources!K58</f>
        <v>0</v>
      </c>
      <c r="N58" s="438">
        <f t="shared" si="26"/>
        <v>2.0722539652056282</v>
      </c>
      <c r="P58" s="215">
        <f t="shared" si="27"/>
        <v>53.979010391629537</v>
      </c>
      <c r="Q58" s="215">
        <f t="shared" si="28"/>
        <v>3.1393458709291213</v>
      </c>
      <c r="R58" s="215">
        <f t="shared" si="29"/>
        <v>27.563395810363836</v>
      </c>
      <c r="T58" s="214">
        <f t="shared" si="25"/>
        <v>0</v>
      </c>
      <c r="U58" s="214">
        <f t="shared" si="25"/>
        <v>30</v>
      </c>
      <c r="V58" s="214">
        <f t="shared" si="25"/>
        <v>0</v>
      </c>
      <c r="W58" s="214">
        <f t="shared" si="25"/>
        <v>0</v>
      </c>
      <c r="X58" s="214">
        <f t="shared" si="25"/>
        <v>0</v>
      </c>
      <c r="Y58" s="214">
        <f t="shared" si="25"/>
        <v>0</v>
      </c>
      <c r="Z58" s="214">
        <f t="shared" si="25"/>
        <v>0</v>
      </c>
      <c r="AA58" s="214">
        <f t="shared" si="25"/>
        <v>0</v>
      </c>
      <c r="AB58" s="214">
        <f t="shared" si="25"/>
        <v>0</v>
      </c>
      <c r="AC58" s="214">
        <f t="shared" si="25"/>
        <v>0</v>
      </c>
      <c r="AD58" s="214">
        <f t="shared" si="25"/>
        <v>0</v>
      </c>
      <c r="AF58" s="214">
        <f>IF(AND(($D58+$C$1)&gt;AF$3,AF$3&gt;=$C$1),'General Inputs'!D$9*$G58,IF(AND(($C58+$C$1)&gt;AF$3,AF$3&gt;=$C$1),'General Inputs'!D$9*$F58,0))</f>
        <v>0</v>
      </c>
      <c r="AG58" s="214">
        <f>IF(AND(($D58+$C$1)&gt;AG$3,AG$3&gt;=$C$1),'General Inputs'!E$9*$G58,IF(AND(($C58+$C$1)&gt;AG$3,AG$3&gt;=$C$1),'General Inputs'!E$9*$F58,0))</f>
        <v>6.1037700285345622</v>
      </c>
      <c r="AH58" s="214">
        <f>IF(AND(($D58+$C$1)&gt;AH$3,AH$3&gt;=$C$1),'General Inputs'!F$9*$G58,IF(AND(($C58+$C$1)&gt;AH$3,AH$3&gt;=$C$1),'General Inputs'!F$9*$F58,0))</f>
        <v>6.1953265789625807</v>
      </c>
      <c r="AI58" s="214">
        <f>IF(AND(($D58+$C$1)&gt;AI$3,AI$3&gt;=$C$1),'General Inputs'!G$9*$G58,IF(AND(($C58+$C$1)&gt;AI$3,AI$3&gt;=$C$1),'General Inputs'!G$9*$F58,0))</f>
        <v>6.2882564776470184</v>
      </c>
      <c r="AJ58" s="214">
        <f>IF(AND(($D58+$C$1)&gt;AJ$3,AJ$3&gt;=$C$1),'General Inputs'!H$9*$G58,IF(AND(($C58+$C$1)&gt;AJ$3,AJ$3&gt;=$C$1),'General Inputs'!H$9*$F58,0))</f>
        <v>6.3825803248117232</v>
      </c>
      <c r="AK58" s="214">
        <f>IF(AND(($D58+$C$1)&gt;AK$3,AK$3&gt;=$C$1),'General Inputs'!I$9*$G58,IF(AND(($C58+$C$1)&gt;AK$3,AK$3&gt;=$C$1),'General Inputs'!I$9*$F58,0))</f>
        <v>6.4783190296838979</v>
      </c>
      <c r="AL58" s="214">
        <f>IF(AND(($D58+$C$1)&gt;AL$3,AL$3&gt;=$C$1),'General Inputs'!J$9*$G58,IF(AND(($C58+$C$1)&gt;AL$3,AL$3&gt;=$C$1),'General Inputs'!J$9*$F58,0))</f>
        <v>6.5754938151291551</v>
      </c>
      <c r="AM58" s="214">
        <f>IF(AND(($D58+$C$1)&gt;AM$3,AM$3&gt;=$C$1),'General Inputs'!K$9*$G58,IF(AND(($C58+$C$1)&gt;AM$3,AM$3&gt;=$C$1),'General Inputs'!K$9*$F58,0))</f>
        <v>6.6741262223560911</v>
      </c>
      <c r="AN58" s="214">
        <f>IF(AND(($D58+$C$1)&gt;AN$3,AN$3&gt;=$C$1),'General Inputs'!L$9*$G58,IF(AND(($C58+$C$1)&gt;AN$3,AN$3&gt;=$C$1),'General Inputs'!L$9*$F58,0))</f>
        <v>6.774238115691432</v>
      </c>
      <c r="AO58" s="214">
        <f>IF(AND(($D58+$C$1)&gt;AO$3,AO$3&gt;=$C$1),'General Inputs'!M$9*$G58,IF(AND(($C58+$C$1)&gt;AO$3,AO$3&gt;=$C$1),'General Inputs'!M$9*$F58,0))</f>
        <v>6.8758516874268025</v>
      </c>
      <c r="AP58" s="214">
        <f>IF(AND(($D58+$C$1)&gt;AP$3,AP$3&gt;=$C$1),'General Inputs'!N$9*$G58,IF(AND(($C58+$C$1)&gt;AP$3,AP$3&gt;=$C$1),'General Inputs'!N$9*$F58,0))</f>
        <v>6.9789894627382045</v>
      </c>
      <c r="AQ58" s="214">
        <f>IF(AND(($D58+$C$1)&gt;AQ$3,AQ$3&gt;=$C$1),'General Inputs'!O$9*$G58,IF(AND(($C58+$C$1)&gt;AQ$3,AQ$3&gt;=$C$1),'General Inputs'!O$9*$F58,0))</f>
        <v>7.0836743046792767</v>
      </c>
      <c r="AR58" s="214">
        <f>IF(AND(($D58+$C$1)&gt;AR$3,AR$3&gt;=$C$1),'General Inputs'!P$9*$G58,IF(AND(($C58+$C$1)&gt;AR$3,AR$3&gt;=$C$1),'General Inputs'!P$9*$F58,0))</f>
        <v>7.1899294192494647</v>
      </c>
      <c r="AS58" s="214">
        <f>IF(AND(($D58+$C$1)&gt;AS$3,AS$3&gt;=$C$1),'General Inputs'!Q$9*$G58,IF(AND(($C58+$C$1)&gt;AS$3,AS$3&gt;=$C$1),'General Inputs'!Q$9*$F58,0))</f>
        <v>7.2977783605382065</v>
      </c>
      <c r="AT58" s="214">
        <f>IF(AND(($D58+$C$1)&gt;AT$3,AT$3&gt;=$C$1),'General Inputs'!R$9*$G58,IF(AND(($C58+$C$1)&gt;AT$3,AT$3&gt;=$C$1),'General Inputs'!R$9*$F58,0))</f>
        <v>7.4072450359462794</v>
      </c>
      <c r="AU58" s="214">
        <f>IF(AND(($D58+$C$1)&gt;AU$3,AU$3&gt;=$C$1),'General Inputs'!S$9*$G58,IF(AND(($C58+$C$1)&gt;AU$3,AU$3&gt;=$C$1),'General Inputs'!S$9*$F58,0))</f>
        <v>7.5183537114854726</v>
      </c>
      <c r="AV58" s="214">
        <f>IF(AND(($D58+$C$1)&gt;AV$3,AV$3&gt;=$C$1),'General Inputs'!T$9*$G58,IF(AND(($C58+$C$1)&gt;AV$3,AV$3&gt;=$C$1),'General Inputs'!T$9*$F58,0))</f>
        <v>0</v>
      </c>
      <c r="AW58" s="214">
        <f>IF(AND(($D58+$C$1)&gt;AW$3,AW$3&gt;=$C$1),'General Inputs'!U$9*$G58,IF(AND(($C58+$C$1)&gt;AW$3,AW$3&gt;=$C$1),'General Inputs'!U$9*$F58,0))</f>
        <v>0</v>
      </c>
      <c r="AX58" s="214">
        <f>IF(AND(($D58+$C$1)&gt;AX$3,AX$3&gt;=$C$1),'General Inputs'!V$9*$G58,IF(AND(($C58+$C$1)&gt;AX$3,AX$3&gt;=$C$1),'General Inputs'!V$9*$F58,0))</f>
        <v>0</v>
      </c>
      <c r="AY58" s="214">
        <f>IF(AND(($D58+$C$1)&gt;AY$3,AY$3&gt;=$C$1),'General Inputs'!W$9*$G58,IF(AND(($C58+$C$1)&gt;AY$3,AY$3&gt;=$C$1),'General Inputs'!W$9*$F58,0))</f>
        <v>0</v>
      </c>
      <c r="BA58" s="214">
        <f>IF(AND(($D58+$C$1)&gt;AF$3,AF$3&gt;=$C$1),'General Inputs'!D$10*$I58,IF(AND(($C58+$C$1)&gt;AF$3,AF$3&gt;=$C$1),'General Inputs'!D$10*$H58,0))</f>
        <v>0</v>
      </c>
      <c r="BB58" s="214">
        <f>IF(AND(($D58+$C$1)&gt;AG$3,AG$3&gt;=$C$1),'General Inputs'!E$10*$I58,IF(AND(($C58+$C$1)&gt;AG$3,AG$3&gt;=$C$1),'General Inputs'!E$10*$H58,0))</f>
        <v>0.35498696802993457</v>
      </c>
      <c r="BC58" s="214">
        <f>IF(AND(($D58+$C$1)&gt;AH$3,AH$3&gt;=$C$1),'General Inputs'!F$10*$I58,IF(AND(($C58+$C$1)&gt;AH$3,AH$3&gt;=$C$1),'General Inputs'!F$10*$H58,0))</f>
        <v>0.3603117725503836</v>
      </c>
      <c r="BD58" s="214">
        <f>IF(AND(($D58+$C$1)&gt;AI$3,AI$3&gt;=$C$1),'General Inputs'!G$10*$I58,IF(AND(($C58+$C$1)&gt;AI$3,AI$3&gt;=$C$1),'General Inputs'!G$10*$H58,0))</f>
        <v>0.36571644913863932</v>
      </c>
      <c r="BE58" s="214">
        <f>IF(AND(($D58+$C$1)&gt;AJ$3,AJ$3&gt;=$C$1),'General Inputs'!H$10*$I58,IF(AND(($C58+$C$1)&gt;AJ$3,AJ$3&gt;=$C$1),'General Inputs'!H$10*$H58,0))</f>
        <v>0.37120219587571884</v>
      </c>
      <c r="BF58" s="214">
        <f>IF(AND(($D58+$C$1)&gt;AK$3,AK$3&gt;=$C$1),'General Inputs'!I$10*$I58,IF(AND(($C58+$C$1)&gt;AK$3,AK$3&gt;=$C$1),'General Inputs'!I$10*$H58,0))</f>
        <v>0.37677022881385458</v>
      </c>
      <c r="BG58" s="214">
        <f>IF(AND(($D58+$C$1)&gt;AL$3,AL$3&gt;=$C$1),'General Inputs'!J$10*$I58,IF(AND(($C58+$C$1)&gt;AL$3,AL$3&gt;=$C$1),'General Inputs'!J$10*$H58,0))</f>
        <v>0.38242178224606233</v>
      </c>
      <c r="BH58" s="214">
        <f>IF(AND(($D58+$C$1)&gt;AM$3,AM$3&gt;=$C$1),'General Inputs'!K$10*$I58,IF(AND(($C58+$C$1)&gt;AM$3,AM$3&gt;=$C$1),'General Inputs'!K$10*$H58,0))</f>
        <v>0.38815810897975328</v>
      </c>
      <c r="BI58" s="214">
        <f>IF(AND(($D58+$C$1)&gt;AN$3,AN$3&gt;=$C$1),'General Inputs'!L$10*$I58,IF(AND(($C58+$C$1)&gt;AN$3,AN$3&gt;=$C$1),'General Inputs'!L$10*$H58,0))</f>
        <v>0.39398048061444951</v>
      </c>
      <c r="BJ58" s="214">
        <f>IF(AND(($D58+$C$1)&gt;AO$3,AO$3&gt;=$C$1),'General Inputs'!M$10*$I58,IF(AND(($C58+$C$1)&gt;AO$3,AO$3&gt;=$C$1),'General Inputs'!M$10*$H58,0))</f>
        <v>0.39989018782366625</v>
      </c>
      <c r="BK58" s="214">
        <f>IF(AND(($D58+$C$1)&gt;AP$3,AP$3&gt;=$C$1),'General Inputs'!N$10*$I58,IF(AND(($C58+$C$1)&gt;AP$3,AP$3&gt;=$C$1),'General Inputs'!N$10*$H58,0))</f>
        <v>0.4058885406410212</v>
      </c>
      <c r="BL58" s="214">
        <f>IF(AND(($D58+$C$1)&gt;AQ$3,AQ$3&gt;=$C$1),'General Inputs'!O$10*$I58,IF(AND(($C58+$C$1)&gt;AQ$3,AQ$3&gt;=$C$1),'General Inputs'!O$10*$H58,0))</f>
        <v>0.41197686875063649</v>
      </c>
      <c r="BM58" s="214">
        <f>IF(AND(($D58+$C$1)&gt;AR$3,AR$3&gt;=$C$1),'General Inputs'!P$10*$I58,IF(AND(($C58+$C$1)&gt;AR$3,AR$3&gt;=$C$1),'General Inputs'!P$10*$H58,0))</f>
        <v>0.418156521781896</v>
      </c>
      <c r="BN58" s="214">
        <f>IF(AND(($D58+$C$1)&gt;AS$3,AS$3&gt;=$C$1),'General Inputs'!Q$10*$I58,IF(AND(($C58+$C$1)&gt;AS$3,AS$3&gt;=$C$1),'General Inputs'!Q$10*$H58,0))</f>
        <v>0.42442886960862442</v>
      </c>
      <c r="BO58" s="214">
        <f>IF(AND(($D58+$C$1)&gt;AT$3,AT$3&gt;=$C$1),'General Inputs'!R$10*$I58,IF(AND(($C58+$C$1)&gt;AT$3,AT$3&gt;=$C$1),'General Inputs'!R$10*$H58,0))</f>
        <v>0.43079530265275368</v>
      </c>
      <c r="BP58" s="214">
        <f>IF(AND(($D58+$C$1)&gt;AU$3,AU$3&gt;=$C$1),'General Inputs'!S$10*$I58,IF(AND(($C58+$C$1)&gt;AU$3,AU$3&gt;=$C$1),'General Inputs'!S$10*$H58,0))</f>
        <v>0.43725723219254498</v>
      </c>
      <c r="BQ58" s="214">
        <f>IF(AND(($D58+$C$1)&gt;AV$3,AV$3&gt;=$C$1),'General Inputs'!T$10*$I58,IF(AND(($C58+$C$1)&gt;AV$3,AV$3&gt;=$C$1),'General Inputs'!T$10*$H58,0))</f>
        <v>0</v>
      </c>
      <c r="BR58" s="214">
        <f>IF(AND(($D58+$C$1)&gt;AW$3,AW$3&gt;=$C$1),'General Inputs'!U$10*$I58,IF(AND(($C58+$C$1)&gt;AW$3,AW$3&gt;=$C$1),'General Inputs'!U$10*$H58,0))</f>
        <v>0</v>
      </c>
      <c r="BS58" s="214">
        <f>IF(AND(($D58+$C$1)&gt;AX$3,AX$3&gt;=$C$1),'General Inputs'!V$10*$I58,IF(AND(($C58+$C$1)&gt;AX$3,AX$3&gt;=$C$1),'General Inputs'!V$10*$H58,0))</f>
        <v>0</v>
      </c>
      <c r="BT58" s="214">
        <f>IF(AND(($D58+$C$1)&gt;AY$3,AY$3&gt;=$C$1),'General Inputs'!W$10*$I58,IF(AND(($C58+$C$1)&gt;AY$3,AY$3&gt;=$C$1),'General Inputs'!W$10*$H58,0))</f>
        <v>0</v>
      </c>
    </row>
    <row r="59" spans="1:72">
      <c r="A59" s="342" t="s">
        <v>112</v>
      </c>
      <c r="B59" s="427" t="str">
        <f>Sources!B59</f>
        <v>Fluorescent Fixture Specular Reflector 8-ft</v>
      </c>
      <c r="C59" s="193">
        <f>Sources!C59</f>
        <v>15</v>
      </c>
      <c r="D59" s="193">
        <f>Sources!D59</f>
        <v>0</v>
      </c>
      <c r="F59" s="429">
        <f>Sources!F59*EnergyLineLoss</f>
        <v>133.61944874999998</v>
      </c>
      <c r="G59" s="429">
        <f>Sources!G59*EnergyLineLoss</f>
        <v>0</v>
      </c>
      <c r="H59" s="477">
        <f>Sources!H59*PeakLineLoss</f>
        <v>2.0661498E-2</v>
      </c>
      <c r="I59" s="477">
        <f>Sources!I59*PeakLineLoss</f>
        <v>0</v>
      </c>
      <c r="K59" s="419">
        <f>Sources!J59</f>
        <v>50</v>
      </c>
      <c r="L59" s="419">
        <f>Sources!K59</f>
        <v>0</v>
      </c>
      <c r="N59" s="438">
        <f t="shared" si="26"/>
        <v>1.0998886430706794</v>
      </c>
      <c r="P59" s="215">
        <f t="shared" si="27"/>
        <v>47.750663038749195</v>
      </c>
      <c r="Q59" s="215">
        <f t="shared" si="28"/>
        <v>2.777113655052684</v>
      </c>
      <c r="R59" s="215">
        <f t="shared" si="29"/>
        <v>45.938993017273063</v>
      </c>
      <c r="T59" s="214">
        <f t="shared" si="25"/>
        <v>0</v>
      </c>
      <c r="U59" s="214">
        <f t="shared" si="25"/>
        <v>50</v>
      </c>
      <c r="V59" s="214">
        <f t="shared" si="25"/>
        <v>0</v>
      </c>
      <c r="W59" s="214">
        <f t="shared" si="25"/>
        <v>0</v>
      </c>
      <c r="X59" s="214">
        <f t="shared" si="25"/>
        <v>0</v>
      </c>
      <c r="Y59" s="214">
        <f t="shared" si="25"/>
        <v>0</v>
      </c>
      <c r="Z59" s="214">
        <f t="shared" si="25"/>
        <v>0</v>
      </c>
      <c r="AA59" s="214">
        <f t="shared" si="25"/>
        <v>0</v>
      </c>
      <c r="AB59" s="214">
        <f t="shared" si="25"/>
        <v>0</v>
      </c>
      <c r="AC59" s="214">
        <f t="shared" si="25"/>
        <v>0</v>
      </c>
      <c r="AD59" s="214">
        <f t="shared" si="25"/>
        <v>0</v>
      </c>
      <c r="AF59" s="214">
        <f>IF(AND(($D59+$C$1)&gt;AF$3,AF$3&gt;=$C$1),'General Inputs'!D$9*$G59,IF(AND(($C59+$C$1)&gt;AF$3,AF$3&gt;=$C$1),'General Inputs'!D$9*$F59,0))</f>
        <v>0</v>
      </c>
      <c r="AG59" s="214">
        <f>IF(AND(($D59+$C$1)&gt;AG$3,AG$3&gt;=$C$1),'General Inputs'!E$9*$G59,IF(AND(($C59+$C$1)&gt;AG$3,AG$3&gt;=$C$1),'General Inputs'!E$9*$F59,0))</f>
        <v>5.3994888713959588</v>
      </c>
      <c r="AH59" s="214">
        <f>IF(AND(($D59+$C$1)&gt;AH$3,AH$3&gt;=$C$1),'General Inputs'!F$9*$G59,IF(AND(($C59+$C$1)&gt;AH$3,AH$3&gt;=$C$1),'General Inputs'!F$9*$F59,0))</f>
        <v>5.4804812044668969</v>
      </c>
      <c r="AI59" s="214">
        <f>IF(AND(($D59+$C$1)&gt;AI$3,AI$3&gt;=$C$1),'General Inputs'!G$9*$G59,IF(AND(($C59+$C$1)&gt;AI$3,AI$3&gt;=$C$1),'General Inputs'!G$9*$F59,0))</f>
        <v>5.5626884225338999</v>
      </c>
      <c r="AJ59" s="214">
        <f>IF(AND(($D59+$C$1)&gt;AJ$3,AJ$3&gt;=$C$1),'General Inputs'!H$9*$G59,IF(AND(($C59+$C$1)&gt;AJ$3,AJ$3&gt;=$C$1),'General Inputs'!H$9*$F59,0))</f>
        <v>5.6461287488719076</v>
      </c>
      <c r="AK59" s="214">
        <f>IF(AND(($D59+$C$1)&gt;AK$3,AK$3&gt;=$C$1),'General Inputs'!I$9*$G59,IF(AND(($C59+$C$1)&gt;AK$3,AK$3&gt;=$C$1),'General Inputs'!I$9*$F59,0))</f>
        <v>5.7308206801049861</v>
      </c>
      <c r="AL59" s="214">
        <f>IF(AND(($D59+$C$1)&gt;AL$3,AL$3&gt;=$C$1),'General Inputs'!J$9*$G59,IF(AND(($C59+$C$1)&gt;AL$3,AL$3&gt;=$C$1),'General Inputs'!J$9*$F59,0))</f>
        <v>5.8167829903065593</v>
      </c>
      <c r="AM59" s="214">
        <f>IF(AND(($D59+$C$1)&gt;AM$3,AM$3&gt;=$C$1),'General Inputs'!K$9*$G59,IF(AND(($C59+$C$1)&gt;AM$3,AM$3&gt;=$C$1),'General Inputs'!K$9*$F59,0))</f>
        <v>5.9040347351611571</v>
      </c>
      <c r="AN59" s="214">
        <f>IF(AND(($D59+$C$1)&gt;AN$3,AN$3&gt;=$C$1),'General Inputs'!L$9*$G59,IF(AND(($C59+$C$1)&gt;AN$3,AN$3&gt;=$C$1),'General Inputs'!L$9*$F59,0))</f>
        <v>5.992595256188574</v>
      </c>
      <c r="AO59" s="214">
        <f>IF(AND(($D59+$C$1)&gt;AO$3,AO$3&gt;=$C$1),'General Inputs'!M$9*$G59,IF(AND(($C59+$C$1)&gt;AO$3,AO$3&gt;=$C$1),'General Inputs'!M$9*$F59,0))</f>
        <v>6.0824841850314018</v>
      </c>
      <c r="AP59" s="214">
        <f>IF(AND(($D59+$C$1)&gt;AP$3,AP$3&gt;=$C$1),'General Inputs'!N$9*$G59,IF(AND(($C59+$C$1)&gt;AP$3,AP$3&gt;=$C$1),'General Inputs'!N$9*$F59,0))</f>
        <v>6.173721447806872</v>
      </c>
      <c r="AQ59" s="214">
        <f>IF(AND(($D59+$C$1)&gt;AQ$3,AQ$3&gt;=$C$1),'General Inputs'!O$9*$G59,IF(AND(($C59+$C$1)&gt;AQ$3,AQ$3&gt;=$C$1),'General Inputs'!O$9*$F59,0))</f>
        <v>6.2663272695239751</v>
      </c>
      <c r="AR59" s="214">
        <f>IF(AND(($D59+$C$1)&gt;AR$3,AR$3&gt;=$C$1),'General Inputs'!P$9*$G59,IF(AND(($C59+$C$1)&gt;AR$3,AR$3&gt;=$C$1),'General Inputs'!P$9*$F59,0))</f>
        <v>6.3603221785668334</v>
      </c>
      <c r="AS59" s="214">
        <f>IF(AND(($D59+$C$1)&gt;AS$3,AS$3&gt;=$C$1),'General Inputs'!Q$9*$G59,IF(AND(($C59+$C$1)&gt;AS$3,AS$3&gt;=$C$1),'General Inputs'!Q$9*$F59,0))</f>
        <v>6.4557270112453358</v>
      </c>
      <c r="AT59" s="214">
        <f>IF(AND(($D59+$C$1)&gt;AT$3,AT$3&gt;=$C$1),'General Inputs'!R$9*$G59,IF(AND(($C59+$C$1)&gt;AT$3,AT$3&gt;=$C$1),'General Inputs'!R$9*$F59,0))</f>
        <v>6.5525629164140158</v>
      </c>
      <c r="AU59" s="214">
        <f>IF(AND(($D59+$C$1)&gt;AU$3,AU$3&gt;=$C$1),'General Inputs'!S$9*$G59,IF(AND(($C59+$C$1)&gt;AU$3,AU$3&gt;=$C$1),'General Inputs'!S$9*$F59,0))</f>
        <v>6.6508513601602255</v>
      </c>
      <c r="AV59" s="214">
        <f>IF(AND(($D59+$C$1)&gt;AV$3,AV$3&gt;=$C$1),'General Inputs'!T$9*$G59,IF(AND(($C59+$C$1)&gt;AV$3,AV$3&gt;=$C$1),'General Inputs'!T$9*$F59,0))</f>
        <v>0</v>
      </c>
      <c r="AW59" s="214">
        <f>IF(AND(($D59+$C$1)&gt;AW$3,AW$3&gt;=$C$1),'General Inputs'!U$9*$G59,IF(AND(($C59+$C$1)&gt;AW$3,AW$3&gt;=$C$1),'General Inputs'!U$9*$F59,0))</f>
        <v>0</v>
      </c>
      <c r="AX59" s="214">
        <f>IF(AND(($D59+$C$1)&gt;AX$3,AX$3&gt;=$C$1),'General Inputs'!V$9*$G59,IF(AND(($C59+$C$1)&gt;AX$3,AX$3&gt;=$C$1),'General Inputs'!V$9*$F59,0))</f>
        <v>0</v>
      </c>
      <c r="AY59" s="214">
        <f>IF(AND(($D59+$C$1)&gt;AY$3,AY$3&gt;=$C$1),'General Inputs'!W$9*$G59,IF(AND(($C59+$C$1)&gt;AY$3,AY$3&gt;=$C$1),'General Inputs'!W$9*$F59,0))</f>
        <v>0</v>
      </c>
      <c r="BA59" s="214">
        <f>IF(AND(($D59+$C$1)&gt;AF$3,AF$3&gt;=$C$1),'General Inputs'!D$10*$I59,IF(AND(($C59+$C$1)&gt;AF$3,AF$3&gt;=$C$1),'General Inputs'!D$10*$H59,0))</f>
        <v>0</v>
      </c>
      <c r="BB59" s="214">
        <f>IF(AND(($D59+$C$1)&gt;AG$3,AG$3&gt;=$C$1),'General Inputs'!E$10*$I59,IF(AND(($C59+$C$1)&gt;AG$3,AG$3&gt;=$C$1),'General Inputs'!E$10*$H59,0))</f>
        <v>0.31402693325724984</v>
      </c>
      <c r="BC59" s="214">
        <f>IF(AND(($D59+$C$1)&gt;AH$3,AH$3&gt;=$C$1),'General Inputs'!F$10*$I59,IF(AND(($C59+$C$1)&gt;AH$3,AH$3&gt;=$C$1),'General Inputs'!F$10*$H59,0))</f>
        <v>0.31873733725610853</v>
      </c>
      <c r="BD59" s="214">
        <f>IF(AND(($D59+$C$1)&gt;AI$3,AI$3&gt;=$C$1),'General Inputs'!G$10*$I59,IF(AND(($C59+$C$1)&gt;AI$3,AI$3&gt;=$C$1),'General Inputs'!G$10*$H59,0))</f>
        <v>0.32351839731495013</v>
      </c>
      <c r="BE59" s="214">
        <f>IF(AND(($D59+$C$1)&gt;AJ$3,AJ$3&gt;=$C$1),'General Inputs'!H$10*$I59,IF(AND(($C59+$C$1)&gt;AJ$3,AJ$3&gt;=$C$1),'General Inputs'!H$10*$H59,0))</f>
        <v>0.32837117327467436</v>
      </c>
      <c r="BF59" s="214">
        <f>IF(AND(($D59+$C$1)&gt;AK$3,AK$3&gt;=$C$1),'General Inputs'!I$10*$I59,IF(AND(($C59+$C$1)&gt;AK$3,AK$3&gt;=$C$1),'General Inputs'!I$10*$H59,0))</f>
        <v>0.33329674087379441</v>
      </c>
      <c r="BG59" s="214">
        <f>IF(AND(($D59+$C$1)&gt;AL$3,AL$3&gt;=$C$1),'General Inputs'!J$10*$I59,IF(AND(($C59+$C$1)&gt;AL$3,AL$3&gt;=$C$1),'General Inputs'!J$10*$H59,0))</f>
        <v>0.33829619198690131</v>
      </c>
      <c r="BH59" s="214">
        <f>IF(AND(($D59+$C$1)&gt;AM$3,AM$3&gt;=$C$1),'General Inputs'!K$10*$I59,IF(AND(($C59+$C$1)&gt;AM$3,AM$3&gt;=$C$1),'General Inputs'!K$10*$H59,0))</f>
        <v>0.34337063486670477</v>
      </c>
      <c r="BI59" s="214">
        <f>IF(AND(($D59+$C$1)&gt;AN$3,AN$3&gt;=$C$1),'General Inputs'!L$10*$I59,IF(AND(($C59+$C$1)&gt;AN$3,AN$3&gt;=$C$1),'General Inputs'!L$10*$H59,0))</f>
        <v>0.34852119438970536</v>
      </c>
      <c r="BJ59" s="214">
        <f>IF(AND(($D59+$C$1)&gt;AO$3,AO$3&gt;=$C$1),'General Inputs'!M$10*$I59,IF(AND(($C59+$C$1)&gt;AO$3,AO$3&gt;=$C$1),'General Inputs'!M$10*$H59,0))</f>
        <v>0.35374901230555095</v>
      </c>
      <c r="BK59" s="214">
        <f>IF(AND(($D59+$C$1)&gt;AP$3,AP$3&gt;=$C$1),'General Inputs'!N$10*$I59,IF(AND(($C59+$C$1)&gt;AP$3,AP$3&gt;=$C$1),'General Inputs'!N$10*$H59,0))</f>
        <v>0.35905524749013412</v>
      </c>
      <c r="BL59" s="214">
        <f>IF(AND(($D59+$C$1)&gt;AQ$3,AQ$3&gt;=$C$1),'General Inputs'!O$10*$I59,IF(AND(($C59+$C$1)&gt;AQ$3,AQ$3&gt;=$C$1),'General Inputs'!O$10*$H59,0))</f>
        <v>0.36444107620248611</v>
      </c>
      <c r="BM59" s="214">
        <f>IF(AND(($D59+$C$1)&gt;AR$3,AR$3&gt;=$C$1),'General Inputs'!P$10*$I59,IF(AND(($C59+$C$1)&gt;AR$3,AR$3&gt;=$C$1),'General Inputs'!P$10*$H59,0))</f>
        <v>0.3699076923455234</v>
      </c>
      <c r="BN59" s="214">
        <f>IF(AND(($D59+$C$1)&gt;AS$3,AS$3&gt;=$C$1),'General Inputs'!Q$10*$I59,IF(AND(($C59+$C$1)&gt;AS$3,AS$3&gt;=$C$1),'General Inputs'!Q$10*$H59,0))</f>
        <v>0.37545630773070621</v>
      </c>
      <c r="BO59" s="214">
        <f>IF(AND(($D59+$C$1)&gt;AT$3,AT$3&gt;=$C$1),'General Inputs'!R$10*$I59,IF(AND(($C59+$C$1)&gt;AT$3,AT$3&gt;=$C$1),'General Inputs'!R$10*$H59,0))</f>
        <v>0.38108815234666671</v>
      </c>
      <c r="BP59" s="214">
        <f>IF(AND(($D59+$C$1)&gt;AU$3,AU$3&gt;=$C$1),'General Inputs'!S$10*$I59,IF(AND(($C59+$C$1)&gt;AU$3,AU$3&gt;=$C$1),'General Inputs'!S$10*$H59,0))</f>
        <v>0.38680447463186673</v>
      </c>
      <c r="BQ59" s="214">
        <f>IF(AND(($D59+$C$1)&gt;AV$3,AV$3&gt;=$C$1),'General Inputs'!T$10*$I59,IF(AND(($C59+$C$1)&gt;AV$3,AV$3&gt;=$C$1),'General Inputs'!T$10*$H59,0))</f>
        <v>0</v>
      </c>
      <c r="BR59" s="214">
        <f>IF(AND(($D59+$C$1)&gt;AW$3,AW$3&gt;=$C$1),'General Inputs'!U$10*$I59,IF(AND(($C59+$C$1)&gt;AW$3,AW$3&gt;=$C$1),'General Inputs'!U$10*$H59,0))</f>
        <v>0</v>
      </c>
      <c r="BS59" s="214">
        <f>IF(AND(($D59+$C$1)&gt;AX$3,AX$3&gt;=$C$1),'General Inputs'!V$10*$I59,IF(AND(($C59+$C$1)&gt;AX$3,AX$3&gt;=$C$1),'General Inputs'!V$10*$H59,0))</f>
        <v>0</v>
      </c>
      <c r="BT59" s="214">
        <f>IF(AND(($D59+$C$1)&gt;AY$3,AY$3&gt;=$C$1),'General Inputs'!W$10*$I59,IF(AND(($C59+$C$1)&gt;AY$3,AY$3&gt;=$C$1),'General Inputs'!W$10*$H59,0))</f>
        <v>0</v>
      </c>
    </row>
    <row r="60" spans="1:72">
      <c r="A60" s="342" t="s">
        <v>112</v>
      </c>
      <c r="B60" s="427" t="str">
        <f>Sources!B60</f>
        <v>Fluorescent Fixture Specular Reflector two 8-ft</v>
      </c>
      <c r="C60" s="193">
        <f>Sources!C60</f>
        <v>15</v>
      </c>
      <c r="D60" s="193">
        <f>Sources!D60</f>
        <v>0</v>
      </c>
      <c r="F60" s="429">
        <f>Sources!F60*EnergyLineLoss</f>
        <v>284.66752124999999</v>
      </c>
      <c r="G60" s="429">
        <f>Sources!G60*EnergyLineLoss</f>
        <v>0</v>
      </c>
      <c r="H60" s="477">
        <f>Sources!H60*PeakLineLoss</f>
        <v>4.4017974000000001E-2</v>
      </c>
      <c r="I60" s="477">
        <f>Sources!I60*PeakLineLoss</f>
        <v>0</v>
      </c>
      <c r="K60" s="419">
        <f>Sources!J60</f>
        <v>50</v>
      </c>
      <c r="L60" s="419">
        <f>Sources!K60</f>
        <v>0</v>
      </c>
      <c r="N60" s="438">
        <f t="shared" si="26"/>
        <v>2.3432410221940563</v>
      </c>
      <c r="P60" s="215">
        <f t="shared" si="27"/>
        <v>101.72967343037874</v>
      </c>
      <c r="Q60" s="215">
        <f t="shared" si="28"/>
        <v>5.9164595259818045</v>
      </c>
      <c r="R60" s="215">
        <f t="shared" si="29"/>
        <v>45.938993017273063</v>
      </c>
      <c r="T60" s="214">
        <f t="shared" si="25"/>
        <v>0</v>
      </c>
      <c r="U60" s="214">
        <f t="shared" si="25"/>
        <v>50</v>
      </c>
      <c r="V60" s="214">
        <f t="shared" si="25"/>
        <v>0</v>
      </c>
      <c r="W60" s="214">
        <f t="shared" si="25"/>
        <v>0</v>
      </c>
      <c r="X60" s="214">
        <f t="shared" si="25"/>
        <v>0</v>
      </c>
      <c r="Y60" s="214">
        <f t="shared" si="25"/>
        <v>0</v>
      </c>
      <c r="Z60" s="214">
        <f t="shared" si="25"/>
        <v>0</v>
      </c>
      <c r="AA60" s="214">
        <f t="shared" si="25"/>
        <v>0</v>
      </c>
      <c r="AB60" s="214">
        <f t="shared" si="25"/>
        <v>0</v>
      </c>
      <c r="AC60" s="214">
        <f t="shared" si="25"/>
        <v>0</v>
      </c>
      <c r="AD60" s="214">
        <f t="shared" si="25"/>
        <v>0</v>
      </c>
      <c r="AF60" s="214">
        <f>IF(AND(($D60+$C$1)&gt;AF$3,AF$3&gt;=$C$1),'General Inputs'!D$9*$G60,IF(AND(($C60+$C$1)&gt;AF$3,AF$3&gt;=$C$1),'General Inputs'!D$9*$F60,0))</f>
        <v>0</v>
      </c>
      <c r="AG60" s="214">
        <f>IF(AND(($D60+$C$1)&gt;AG$3,AG$3&gt;=$C$1),'General Inputs'!E$9*$G60,IF(AND(($C60+$C$1)&gt;AG$3,AG$3&gt;=$C$1),'General Inputs'!E$9*$F60,0))</f>
        <v>11.503258899930522</v>
      </c>
      <c r="AH60" s="214">
        <f>IF(AND(($D60+$C$1)&gt;AH$3,AH$3&gt;=$C$1),'General Inputs'!F$9*$G60,IF(AND(($C60+$C$1)&gt;AH$3,AH$3&gt;=$C$1),'General Inputs'!F$9*$F60,0))</f>
        <v>11.675807783429478</v>
      </c>
      <c r="AI60" s="214">
        <f>IF(AND(($D60+$C$1)&gt;AI$3,AI$3&gt;=$C$1),'General Inputs'!G$9*$G60,IF(AND(($C60+$C$1)&gt;AI$3,AI$3&gt;=$C$1),'General Inputs'!G$9*$F60,0))</f>
        <v>11.85094490018092</v>
      </c>
      <c r="AJ60" s="214">
        <f>IF(AND(($D60+$C$1)&gt;AJ$3,AJ$3&gt;=$C$1),'General Inputs'!H$9*$G60,IF(AND(($C60+$C$1)&gt;AJ$3,AJ$3&gt;=$C$1),'General Inputs'!H$9*$F60,0))</f>
        <v>12.028709073683633</v>
      </c>
      <c r="AK60" s="214">
        <f>IF(AND(($D60+$C$1)&gt;AK$3,AK$3&gt;=$C$1),'General Inputs'!I$9*$G60,IF(AND(($C60+$C$1)&gt;AK$3,AK$3&gt;=$C$1),'General Inputs'!I$9*$F60,0))</f>
        <v>12.209139709788884</v>
      </c>
      <c r="AL60" s="214">
        <f>IF(AND(($D60+$C$1)&gt;AL$3,AL$3&gt;=$C$1),'General Inputs'!J$9*$G60,IF(AND(($C60+$C$1)&gt;AL$3,AL$3&gt;=$C$1),'General Inputs'!J$9*$F60,0))</f>
        <v>12.392276805435717</v>
      </c>
      <c r="AM60" s="214">
        <f>IF(AND(($D60+$C$1)&gt;AM$3,AM$3&gt;=$C$1),'General Inputs'!K$9*$G60,IF(AND(($C60+$C$1)&gt;AM$3,AM$3&gt;=$C$1),'General Inputs'!K$9*$F60,0))</f>
        <v>12.57816095751725</v>
      </c>
      <c r="AN60" s="214">
        <f>IF(AND(($D60+$C$1)&gt;AN$3,AN$3&gt;=$C$1),'General Inputs'!L$9*$G60,IF(AND(($C60+$C$1)&gt;AN$3,AN$3&gt;=$C$1),'General Inputs'!L$9*$F60,0))</f>
        <v>12.766833371880008</v>
      </c>
      <c r="AO60" s="214">
        <f>IF(AND(($D60+$C$1)&gt;AO$3,AO$3&gt;=$C$1),'General Inputs'!M$9*$G60,IF(AND(($C60+$C$1)&gt;AO$3,AO$3&gt;=$C$1),'General Inputs'!M$9*$F60,0))</f>
        <v>12.958335872458205</v>
      </c>
      <c r="AP60" s="214">
        <f>IF(AND(($D60+$C$1)&gt;AP$3,AP$3&gt;=$C$1),'General Inputs'!N$9*$G60,IF(AND(($C60+$C$1)&gt;AP$3,AP$3&gt;=$C$1),'General Inputs'!N$9*$F60,0))</f>
        <v>13.152710910545078</v>
      </c>
      <c r="AQ60" s="214">
        <f>IF(AND(($D60+$C$1)&gt;AQ$3,AQ$3&gt;=$C$1),'General Inputs'!O$9*$G60,IF(AND(($C60+$C$1)&gt;AQ$3,AQ$3&gt;=$C$1),'General Inputs'!O$9*$F60,0))</f>
        <v>13.350001574203253</v>
      </c>
      <c r="AR60" s="214">
        <f>IF(AND(($D60+$C$1)&gt;AR$3,AR$3&gt;=$C$1),'General Inputs'!P$9*$G60,IF(AND(($C60+$C$1)&gt;AR$3,AR$3&gt;=$C$1),'General Inputs'!P$9*$F60,0))</f>
        <v>13.550251597816301</v>
      </c>
      <c r="AS60" s="214">
        <f>IF(AND(($D60+$C$1)&gt;AS$3,AS$3&gt;=$C$1),'General Inputs'!Q$9*$G60,IF(AND(($C60+$C$1)&gt;AS$3,AS$3&gt;=$C$1),'General Inputs'!Q$9*$F60,0))</f>
        <v>13.753505371783543</v>
      </c>
      <c r="AT60" s="214">
        <f>IF(AND(($D60+$C$1)&gt;AT$3,AT$3&gt;=$C$1),'General Inputs'!R$9*$G60,IF(AND(($C60+$C$1)&gt;AT$3,AT$3&gt;=$C$1),'General Inputs'!R$9*$F60,0))</f>
        <v>13.959807952360297</v>
      </c>
      <c r="AU60" s="214">
        <f>IF(AND(($D60+$C$1)&gt;AU$3,AU$3&gt;=$C$1),'General Inputs'!S$9*$G60,IF(AND(($C60+$C$1)&gt;AU$3,AU$3&gt;=$C$1),'General Inputs'!S$9*$F60,0))</f>
        <v>14.169205071645699</v>
      </c>
      <c r="AV60" s="214">
        <f>IF(AND(($D60+$C$1)&gt;AV$3,AV$3&gt;=$C$1),'General Inputs'!T$9*$G60,IF(AND(($C60+$C$1)&gt;AV$3,AV$3&gt;=$C$1),'General Inputs'!T$9*$F60,0))</f>
        <v>0</v>
      </c>
      <c r="AW60" s="214">
        <f>IF(AND(($D60+$C$1)&gt;AW$3,AW$3&gt;=$C$1),'General Inputs'!U$9*$G60,IF(AND(($C60+$C$1)&gt;AW$3,AW$3&gt;=$C$1),'General Inputs'!U$9*$F60,0))</f>
        <v>0</v>
      </c>
      <c r="AX60" s="214">
        <f>IF(AND(($D60+$C$1)&gt;AX$3,AX$3&gt;=$C$1),'General Inputs'!V$9*$G60,IF(AND(($C60+$C$1)&gt;AX$3,AX$3&gt;=$C$1),'General Inputs'!V$9*$F60,0))</f>
        <v>0</v>
      </c>
      <c r="AY60" s="214">
        <f>IF(AND(($D60+$C$1)&gt;AY$3,AY$3&gt;=$C$1),'General Inputs'!W$9*$G60,IF(AND(($C60+$C$1)&gt;AY$3,AY$3&gt;=$C$1),'General Inputs'!W$9*$F60,0))</f>
        <v>0</v>
      </c>
      <c r="BA60" s="214">
        <f>IF(AND(($D60+$C$1)&gt;AF$3,AF$3&gt;=$C$1),'General Inputs'!D$10*$I60,IF(AND(($C60+$C$1)&gt;AF$3,AF$3&gt;=$C$1),'General Inputs'!D$10*$H60,0))</f>
        <v>0</v>
      </c>
      <c r="BB60" s="214">
        <f>IF(AND(($D60+$C$1)&gt;AG$3,AG$3&gt;=$C$1),'General Inputs'!E$10*$I60,IF(AND(($C60+$C$1)&gt;AG$3,AG$3&gt;=$C$1),'General Inputs'!E$10*$H60,0))</f>
        <v>0.66901390128718441</v>
      </c>
      <c r="BC60" s="214">
        <f>IF(AND(($D60+$C$1)&gt;AH$3,AH$3&gt;=$C$1),'General Inputs'!F$10*$I60,IF(AND(($C60+$C$1)&gt;AH$3,AH$3&gt;=$C$1),'General Inputs'!F$10*$H60,0))</f>
        <v>0.67904910980649213</v>
      </c>
      <c r="BD60" s="214">
        <f>IF(AND(($D60+$C$1)&gt;AI$3,AI$3&gt;=$C$1),'General Inputs'!G$10*$I60,IF(AND(($C60+$C$1)&gt;AI$3,AI$3&gt;=$C$1),'General Inputs'!G$10*$H60,0))</f>
        <v>0.68923484645358946</v>
      </c>
      <c r="BE60" s="214">
        <f>IF(AND(($D60+$C$1)&gt;AJ$3,AJ$3&gt;=$C$1),'General Inputs'!H$10*$I60,IF(AND(($C60+$C$1)&gt;AJ$3,AJ$3&gt;=$C$1),'General Inputs'!H$10*$H60,0))</f>
        <v>0.69957336915039325</v>
      </c>
      <c r="BF60" s="214">
        <f>IF(AND(($D60+$C$1)&gt;AK$3,AK$3&gt;=$C$1),'General Inputs'!I$10*$I60,IF(AND(($C60+$C$1)&gt;AK$3,AK$3&gt;=$C$1),'General Inputs'!I$10*$H60,0))</f>
        <v>0.71006696968764904</v>
      </c>
      <c r="BG60" s="214">
        <f>IF(AND(($D60+$C$1)&gt;AL$3,AL$3&gt;=$C$1),'General Inputs'!J$10*$I60,IF(AND(($C60+$C$1)&gt;AL$3,AL$3&gt;=$C$1),'General Inputs'!J$10*$H60,0))</f>
        <v>0.72071797423296369</v>
      </c>
      <c r="BH60" s="214">
        <f>IF(AND(($D60+$C$1)&gt;AM$3,AM$3&gt;=$C$1),'General Inputs'!K$10*$I60,IF(AND(($C60+$C$1)&gt;AM$3,AM$3&gt;=$C$1),'General Inputs'!K$10*$H60,0))</f>
        <v>0.73152874384645805</v>
      </c>
      <c r="BI60" s="214">
        <f>IF(AND(($D60+$C$1)&gt;AN$3,AN$3&gt;=$C$1),'General Inputs'!L$10*$I60,IF(AND(($C60+$C$1)&gt;AN$3,AN$3&gt;=$C$1),'General Inputs'!L$10*$H60,0))</f>
        <v>0.74250167500415487</v>
      </c>
      <c r="BJ60" s="214">
        <f>IF(AND(($D60+$C$1)&gt;AO$3,AO$3&gt;=$C$1),'General Inputs'!M$10*$I60,IF(AND(($C60+$C$1)&gt;AO$3,AO$3&gt;=$C$1),'General Inputs'!M$10*$H60,0))</f>
        <v>0.75363920012921715</v>
      </c>
      <c r="BK60" s="214">
        <f>IF(AND(($D60+$C$1)&gt;AP$3,AP$3&gt;=$C$1),'General Inputs'!N$10*$I60,IF(AND(($C60+$C$1)&gt;AP$3,AP$3&gt;=$C$1),'General Inputs'!N$10*$H60,0))</f>
        <v>0.76494378813115527</v>
      </c>
      <c r="BL60" s="214">
        <f>IF(AND(($D60+$C$1)&gt;AQ$3,AQ$3&gt;=$C$1),'General Inputs'!O$10*$I60,IF(AND(($C60+$C$1)&gt;AQ$3,AQ$3&gt;=$C$1),'General Inputs'!O$10*$H60,0))</f>
        <v>0.77641794495312255</v>
      </c>
      <c r="BM60" s="214">
        <f>IF(AND(($D60+$C$1)&gt;AR$3,AR$3&gt;=$C$1),'General Inputs'!P$10*$I60,IF(AND(($C60+$C$1)&gt;AR$3,AR$3&gt;=$C$1),'General Inputs'!P$10*$H60,0))</f>
        <v>0.78806421412741934</v>
      </c>
      <c r="BN60" s="214">
        <f>IF(AND(($D60+$C$1)&gt;AS$3,AS$3&gt;=$C$1),'General Inputs'!Q$10*$I60,IF(AND(($C60+$C$1)&gt;AS$3,AS$3&gt;=$C$1),'General Inputs'!Q$10*$H60,0))</f>
        <v>0.79988517733933062</v>
      </c>
      <c r="BO60" s="214">
        <f>IF(AND(($D60+$C$1)&gt;AT$3,AT$3&gt;=$C$1),'General Inputs'!R$10*$I60,IF(AND(($C60+$C$1)&gt;AT$3,AT$3&gt;=$C$1),'General Inputs'!R$10*$H60,0))</f>
        <v>0.81188345499942038</v>
      </c>
      <c r="BP60" s="214">
        <f>IF(AND(($D60+$C$1)&gt;AU$3,AU$3&gt;=$C$1),'General Inputs'!S$10*$I60,IF(AND(($C60+$C$1)&gt;AU$3,AU$3&gt;=$C$1),'General Inputs'!S$10*$H60,0))</f>
        <v>0.82406170682441171</v>
      </c>
      <c r="BQ60" s="214">
        <f>IF(AND(($D60+$C$1)&gt;AV$3,AV$3&gt;=$C$1),'General Inputs'!T$10*$I60,IF(AND(($C60+$C$1)&gt;AV$3,AV$3&gt;=$C$1),'General Inputs'!T$10*$H60,0))</f>
        <v>0</v>
      </c>
      <c r="BR60" s="214">
        <f>IF(AND(($D60+$C$1)&gt;AW$3,AW$3&gt;=$C$1),'General Inputs'!U$10*$I60,IF(AND(($C60+$C$1)&gt;AW$3,AW$3&gt;=$C$1),'General Inputs'!U$10*$H60,0))</f>
        <v>0</v>
      </c>
      <c r="BS60" s="214">
        <f>IF(AND(($D60+$C$1)&gt;AX$3,AX$3&gt;=$C$1),'General Inputs'!V$10*$I60,IF(AND(($C60+$C$1)&gt;AX$3,AX$3&gt;=$C$1),'General Inputs'!V$10*$H60,0))</f>
        <v>0</v>
      </c>
      <c r="BT60" s="214">
        <f>IF(AND(($D60+$C$1)&gt;AY$3,AY$3&gt;=$C$1),'General Inputs'!W$10*$I60,IF(AND(($C60+$C$1)&gt;AY$3,AY$3&gt;=$C$1),'General Inputs'!W$10*$H60,0))</f>
        <v>0</v>
      </c>
    </row>
    <row r="61" spans="1:72">
      <c r="A61" s="342" t="s">
        <v>112</v>
      </c>
      <c r="B61" s="427" t="str">
        <f>Sources!B61</f>
        <v>High Bay Fluorescent Fixture (replace 400W HID)</v>
      </c>
      <c r="C61" s="193">
        <f>Sources!C61</f>
        <v>18</v>
      </c>
      <c r="D61" s="193">
        <f>Sources!D61</f>
        <v>0</v>
      </c>
      <c r="F61" s="429">
        <f>Sources!F61*EnergyLineLoss</f>
        <v>1405.9089825000001</v>
      </c>
      <c r="G61" s="429">
        <f>Sources!G61*EnergyLineLoss</f>
        <v>0</v>
      </c>
      <c r="H61" s="477">
        <f>Sources!H61*PeakLineLoss</f>
        <v>0.21739489200000001</v>
      </c>
      <c r="I61" s="477">
        <f>Sources!I61*PeakLineLoss</f>
        <v>0</v>
      </c>
      <c r="K61" s="419">
        <f>Sources!J61</f>
        <v>102</v>
      </c>
      <c r="L61" s="419">
        <f>Sources!K61</f>
        <v>0</v>
      </c>
      <c r="N61" s="438">
        <f t="shared" si="26"/>
        <v>6.252418005697991</v>
      </c>
      <c r="P61" s="215">
        <f t="shared" si="27"/>
        <v>553.74378014242984</v>
      </c>
      <c r="Q61" s="215">
        <f t="shared" si="28"/>
        <v>32.204985551428166</v>
      </c>
      <c r="R61" s="215">
        <f t="shared" si="29"/>
        <v>93.715545755237045</v>
      </c>
      <c r="T61" s="214">
        <f t="shared" si="25"/>
        <v>0</v>
      </c>
      <c r="U61" s="214">
        <f t="shared" si="25"/>
        <v>102</v>
      </c>
      <c r="V61" s="214">
        <f t="shared" si="25"/>
        <v>0</v>
      </c>
      <c r="W61" s="214">
        <f t="shared" si="25"/>
        <v>0</v>
      </c>
      <c r="X61" s="214">
        <f t="shared" si="25"/>
        <v>0</v>
      </c>
      <c r="Y61" s="214">
        <f t="shared" si="25"/>
        <v>0</v>
      </c>
      <c r="Z61" s="214">
        <f t="shared" si="25"/>
        <v>0</v>
      </c>
      <c r="AA61" s="214">
        <f t="shared" si="25"/>
        <v>0</v>
      </c>
      <c r="AB61" s="214">
        <f t="shared" si="25"/>
        <v>0</v>
      </c>
      <c r="AC61" s="214">
        <f t="shared" si="25"/>
        <v>0</v>
      </c>
      <c r="AD61" s="214">
        <f t="shared" si="25"/>
        <v>0</v>
      </c>
      <c r="AF61" s="214">
        <f>IF(AND(($D61+$C$1)&gt;AF$3,AF$3&gt;=$C$1),'General Inputs'!D$9*$G61,IF(AND(($C61+$C$1)&gt;AF$3,AF$3&gt;=$C$1),'General Inputs'!D$9*$F61,0))</f>
        <v>0</v>
      </c>
      <c r="AG61" s="214">
        <f>IF(AND(($D61+$C$1)&gt;AG$3,AG$3&gt;=$C$1),'General Inputs'!E$9*$G61,IF(AND(($C61+$C$1)&gt;AG$3,AG$3&gt;=$C$1),'General Inputs'!E$9*$F61,0))</f>
        <v>56.812013342514014</v>
      </c>
      <c r="AH61" s="214">
        <f>IF(AND(($D61+$C$1)&gt;AH$3,AH$3&gt;=$C$1),'General Inputs'!F$9*$G61,IF(AND(($C61+$C$1)&gt;AH$3,AH$3&gt;=$C$1),'General Inputs'!F$9*$F61,0))</f>
        <v>57.664193542651716</v>
      </c>
      <c r="AI61" s="214">
        <f>IF(AND(($D61+$C$1)&gt;AI$3,AI$3&gt;=$C$1),'General Inputs'!G$9*$G61,IF(AND(($C61+$C$1)&gt;AI$3,AI$3&gt;=$C$1),'General Inputs'!G$9*$F61,0))</f>
        <v>58.529156445791486</v>
      </c>
      <c r="AJ61" s="214">
        <f>IF(AND(($D61+$C$1)&gt;AJ$3,AJ$3&gt;=$C$1),'General Inputs'!H$9*$G61,IF(AND(($C61+$C$1)&gt;AJ$3,AJ$3&gt;=$C$1),'General Inputs'!H$9*$F61,0))</f>
        <v>59.407093792478349</v>
      </c>
      <c r="AK61" s="214">
        <f>IF(AND(($D61+$C$1)&gt;AK$3,AK$3&gt;=$C$1),'General Inputs'!I$9*$G61,IF(AND(($C61+$C$1)&gt;AK$3,AK$3&gt;=$C$1),'General Inputs'!I$9*$F61,0))</f>
        <v>60.298200199365517</v>
      </c>
      <c r="AL61" s="214">
        <f>IF(AND(($D61+$C$1)&gt;AL$3,AL$3&gt;=$C$1),'General Inputs'!J$9*$G61,IF(AND(($C61+$C$1)&gt;AL$3,AL$3&gt;=$C$1),'General Inputs'!J$9*$F61,0))</f>
        <v>61.202673202355989</v>
      </c>
      <c r="AM61" s="214">
        <f>IF(AND(($D61+$C$1)&gt;AM$3,AM$3&gt;=$C$1),'General Inputs'!K$9*$G61,IF(AND(($C61+$C$1)&gt;AM$3,AM$3&gt;=$C$1),'General Inputs'!K$9*$F61,0))</f>
        <v>62.120713300391323</v>
      </c>
      <c r="AN61" s="214">
        <f>IF(AND(($D61+$C$1)&gt;AN$3,AN$3&gt;=$C$1),'General Inputs'!L$9*$G61,IF(AND(($C61+$C$1)&gt;AN$3,AN$3&gt;=$C$1),'General Inputs'!L$9*$F61,0))</f>
        <v>63.05252399989719</v>
      </c>
      <c r="AO61" s="214">
        <f>IF(AND(($D61+$C$1)&gt;AO$3,AO$3&gt;=$C$1),'General Inputs'!M$9*$G61,IF(AND(($C61+$C$1)&gt;AO$3,AO$3&gt;=$C$1),'General Inputs'!M$9*$F61,0))</f>
        <v>63.998311859895637</v>
      </c>
      <c r="AP61" s="214">
        <f>IF(AND(($D61+$C$1)&gt;AP$3,AP$3&gt;=$C$1),'General Inputs'!N$9*$G61,IF(AND(($C61+$C$1)&gt;AP$3,AP$3&gt;=$C$1),'General Inputs'!N$9*$F61,0))</f>
        <v>64.958286537794066</v>
      </c>
      <c r="AQ61" s="214">
        <f>IF(AND(($D61+$C$1)&gt;AQ$3,AQ$3&gt;=$C$1),'General Inputs'!O$9*$G61,IF(AND(($C61+$C$1)&gt;AQ$3,AQ$3&gt;=$C$1),'General Inputs'!O$9*$F61,0))</f>
        <v>65.932660835860972</v>
      </c>
      <c r="AR61" s="214">
        <f>IF(AND(($D61+$C$1)&gt;AR$3,AR$3&gt;=$C$1),'General Inputs'!P$9*$G61,IF(AND(($C61+$C$1)&gt;AR$3,AR$3&gt;=$C$1),'General Inputs'!P$9*$F61,0))</f>
        <v>66.921650748398875</v>
      </c>
      <c r="AS61" s="214">
        <f>IF(AND(($D61+$C$1)&gt;AS$3,AS$3&gt;=$C$1),'General Inputs'!Q$9*$G61,IF(AND(($C61+$C$1)&gt;AS$3,AS$3&gt;=$C$1),'General Inputs'!Q$9*$F61,0))</f>
        <v>67.92547550962486</v>
      </c>
      <c r="AT61" s="214">
        <f>IF(AND(($D61+$C$1)&gt;AT$3,AT$3&gt;=$C$1),'General Inputs'!R$9*$G61,IF(AND(($C61+$C$1)&gt;AT$3,AT$3&gt;=$C$1),'General Inputs'!R$9*$F61,0))</f>
        <v>68.944357642269225</v>
      </c>
      <c r="AU61" s="214">
        <f>IF(AND(($D61+$C$1)&gt;AU$3,AU$3&gt;=$C$1),'General Inputs'!S$9*$G61,IF(AND(($C61+$C$1)&gt;AU$3,AU$3&gt;=$C$1),'General Inputs'!S$9*$F61,0))</f>
        <v>69.978523006903259</v>
      </c>
      <c r="AV61" s="214">
        <f>IF(AND(($D61+$C$1)&gt;AV$3,AV$3&gt;=$C$1),'General Inputs'!T$9*$G61,IF(AND(($C61+$C$1)&gt;AV$3,AV$3&gt;=$C$1),'General Inputs'!T$9*$F61,0))</f>
        <v>71.028200852006805</v>
      </c>
      <c r="AW61" s="214">
        <f>IF(AND(($D61+$C$1)&gt;AW$3,AW$3&gt;=$C$1),'General Inputs'!U$9*$G61,IF(AND(($C61+$C$1)&gt;AW$3,AW$3&gt;=$C$1),'General Inputs'!U$9*$F61,0))</f>
        <v>72.093623864786906</v>
      </c>
      <c r="AX61" s="214">
        <f>IF(AND(($D61+$C$1)&gt;AX$3,AX$3&gt;=$C$1),'General Inputs'!V$9*$G61,IF(AND(($C61+$C$1)&gt;AX$3,AX$3&gt;=$C$1),'General Inputs'!V$9*$F61,0))</f>
        <v>73.175028222758698</v>
      </c>
      <c r="AY61" s="214">
        <f>IF(AND(($D61+$C$1)&gt;AY$3,AY$3&gt;=$C$1),'General Inputs'!W$9*$G61,IF(AND(($C61+$C$1)&gt;AY$3,AY$3&gt;=$C$1),'General Inputs'!W$9*$F61,0))</f>
        <v>0</v>
      </c>
      <c r="BA61" s="214">
        <f>IF(AND(($D61+$C$1)&gt;AF$3,AF$3&gt;=$C$1),'General Inputs'!D$10*$I61,IF(AND(($C61+$C$1)&gt;AF$3,AF$3&gt;=$C$1),'General Inputs'!D$10*$H61,0))</f>
        <v>0</v>
      </c>
      <c r="BB61" s="214">
        <f>IF(AND(($D61+$C$1)&gt;AG$3,AG$3&gt;=$C$1),'General Inputs'!E$10*$I61,IF(AND(($C61+$C$1)&gt;AG$3,AG$3&gt;=$C$1),'General Inputs'!E$10*$H61,0))</f>
        <v>3.3041094716632373</v>
      </c>
      <c r="BC61" s="214">
        <f>IF(AND(($D61+$C$1)&gt;AH$3,AH$3&gt;=$C$1),'General Inputs'!F$10*$I61,IF(AND(($C61+$C$1)&gt;AH$3,AH$3&gt;=$C$1),'General Inputs'!F$10*$H61,0))</f>
        <v>3.3536711137381854</v>
      </c>
      <c r="BD61" s="214">
        <f>IF(AND(($D61+$C$1)&gt;AI$3,AI$3&gt;=$C$1),'General Inputs'!G$10*$I61,IF(AND(($C61+$C$1)&gt;AI$3,AI$3&gt;=$C$1),'General Inputs'!G$10*$H61,0))</f>
        <v>3.4039761804442583</v>
      </c>
      <c r="BE61" s="214">
        <f>IF(AND(($D61+$C$1)&gt;AJ$3,AJ$3&gt;=$C$1),'General Inputs'!H$10*$I61,IF(AND(($C61+$C$1)&gt;AJ$3,AJ$3&gt;=$C$1),'General Inputs'!H$10*$H61,0))</f>
        <v>3.4550358231509217</v>
      </c>
      <c r="BF61" s="214">
        <f>IF(AND(($D61+$C$1)&gt;AK$3,AK$3&gt;=$C$1),'General Inputs'!I$10*$I61,IF(AND(($C61+$C$1)&gt;AK$3,AK$3&gt;=$C$1),'General Inputs'!I$10*$H61,0))</f>
        <v>3.5068613604981849</v>
      </c>
      <c r="BG61" s="214">
        <f>IF(AND(($D61+$C$1)&gt;AL$3,AL$3&gt;=$C$1),'General Inputs'!J$10*$I61,IF(AND(($C61+$C$1)&gt;AL$3,AL$3&gt;=$C$1),'General Inputs'!J$10*$H61,0))</f>
        <v>3.5594642809056571</v>
      </c>
      <c r="BH61" s="214">
        <f>IF(AND(($D61+$C$1)&gt;AM$3,AM$3&gt;=$C$1),'General Inputs'!K$10*$I61,IF(AND(($C61+$C$1)&gt;AM$3,AM$3&gt;=$C$1),'General Inputs'!K$10*$H61,0))</f>
        <v>3.6128562451192416</v>
      </c>
      <c r="BI61" s="214">
        <f>IF(AND(($D61+$C$1)&gt;AN$3,AN$3&gt;=$C$1),'General Inputs'!L$10*$I61,IF(AND(($C61+$C$1)&gt;AN$3,AN$3&gt;=$C$1),'General Inputs'!L$10*$H61,0))</f>
        <v>3.6670490887960301</v>
      </c>
      <c r="BJ61" s="214">
        <f>IF(AND(($D61+$C$1)&gt;AO$3,AO$3&gt;=$C$1),'General Inputs'!M$10*$I61,IF(AND(($C61+$C$1)&gt;AO$3,AO$3&gt;=$C$1),'General Inputs'!M$10*$H61,0))</f>
        <v>3.7220548251279708</v>
      </c>
      <c r="BK61" s="214">
        <f>IF(AND(($D61+$C$1)&gt;AP$3,AP$3&gt;=$C$1),'General Inputs'!N$10*$I61,IF(AND(($C61+$C$1)&gt;AP$3,AP$3&gt;=$C$1),'General Inputs'!N$10*$H61,0))</f>
        <v>3.7778856475048896</v>
      </c>
      <c r="BL61" s="214">
        <f>IF(AND(($D61+$C$1)&gt;AQ$3,AQ$3&gt;=$C$1),'General Inputs'!O$10*$I61,IF(AND(($C61+$C$1)&gt;AQ$3,AQ$3&gt;=$C$1),'General Inputs'!O$10*$H61,0))</f>
        <v>3.8345539322174624</v>
      </c>
      <c r="BM61" s="214">
        <f>IF(AND(($D61+$C$1)&gt;AR$3,AR$3&gt;=$C$1),'General Inputs'!P$10*$I61,IF(AND(($C61+$C$1)&gt;AR$3,AR$3&gt;=$C$1),'General Inputs'!P$10*$H61,0))</f>
        <v>3.892072241200724</v>
      </c>
      <c r="BN61" s="214">
        <f>IF(AND(($D61+$C$1)&gt;AS$3,AS$3&gt;=$C$1),'General Inputs'!Q$10*$I61,IF(AND(($C61+$C$1)&gt;AS$3,AS$3&gt;=$C$1),'General Inputs'!Q$10*$H61,0))</f>
        <v>3.9504533248187346</v>
      </c>
      <c r="BO61" s="214">
        <f>IF(AND(($D61+$C$1)&gt;AT$3,AT$3&gt;=$C$1),'General Inputs'!R$10*$I61,IF(AND(($C61+$C$1)&gt;AT$3,AT$3&gt;=$C$1),'General Inputs'!R$10*$H61,0))</f>
        <v>4.009710124691015</v>
      </c>
      <c r="BP61" s="214">
        <f>IF(AND(($D61+$C$1)&gt;AU$3,AU$3&gt;=$C$1),'General Inputs'!S$10*$I61,IF(AND(($C61+$C$1)&gt;AU$3,AU$3&gt;=$C$1),'General Inputs'!S$10*$H61,0))</f>
        <v>4.0698557765613801</v>
      </c>
      <c r="BQ61" s="214">
        <f>IF(AND(($D61+$C$1)&gt;AV$3,AV$3&gt;=$C$1),'General Inputs'!T$10*$I61,IF(AND(($C61+$C$1)&gt;AV$3,AV$3&gt;=$C$1),'General Inputs'!T$10*$H61,0))</f>
        <v>4.1309036132098003</v>
      </c>
      <c r="BR61" s="214">
        <f>IF(AND(($D61+$C$1)&gt;AW$3,AW$3&gt;=$C$1),'General Inputs'!U$10*$I61,IF(AND(($C61+$C$1)&gt;AW$3,AW$3&gt;=$C$1),'General Inputs'!U$10*$H61,0))</f>
        <v>4.1928671674079467</v>
      </c>
      <c r="BS61" s="214">
        <f>IF(AND(($D61+$C$1)&gt;AX$3,AX$3&gt;=$C$1),'General Inputs'!V$10*$I61,IF(AND(($C61+$C$1)&gt;AX$3,AX$3&gt;=$C$1),'General Inputs'!V$10*$H61,0))</f>
        <v>4.2557601749190654</v>
      </c>
      <c r="BT61" s="214">
        <f>IF(AND(($D61+$C$1)&gt;AY$3,AY$3&gt;=$C$1),'General Inputs'!W$10*$I61,IF(AND(($C61+$C$1)&gt;AY$3,AY$3&gt;=$C$1),'General Inputs'!W$10*$H61,0))</f>
        <v>0</v>
      </c>
    </row>
    <row r="62" spans="1:72">
      <c r="A62" s="342" t="s">
        <v>112</v>
      </c>
      <c r="B62" s="427" t="str">
        <f>Sources!B62</f>
        <v>High Bay Fluorescent Fixture (replace 1000 W HID)</v>
      </c>
      <c r="C62" s="193">
        <f>Sources!C62</f>
        <v>18</v>
      </c>
      <c r="D62" s="193">
        <f>Sources!D62</f>
        <v>0</v>
      </c>
      <c r="F62" s="429">
        <f>Sources!F62*EnergyLineLoss</f>
        <v>2835.0561299999999</v>
      </c>
      <c r="G62" s="429">
        <f>Sources!G62*EnergyLineLoss</f>
        <v>0</v>
      </c>
      <c r="H62" s="477">
        <f>Sources!H62*PeakLineLoss</f>
        <v>0.43838308800000003</v>
      </c>
      <c r="I62" s="477">
        <f>Sources!I62*PeakLineLoss</f>
        <v>0</v>
      </c>
      <c r="K62" s="419">
        <f>Sources!J62</f>
        <v>169</v>
      </c>
      <c r="L62" s="419">
        <f>Sources!K62</f>
        <v>0</v>
      </c>
      <c r="N62" s="438">
        <f t="shared" si="26"/>
        <v>7.6096718336256801</v>
      </c>
      <c r="P62" s="215">
        <f t="shared" si="27"/>
        <v>1116.6403500392796</v>
      </c>
      <c r="Q62" s="215">
        <f t="shared" si="28"/>
        <v>64.942284913623723</v>
      </c>
      <c r="R62" s="215">
        <f t="shared" si="29"/>
        <v>155.27379639838296</v>
      </c>
      <c r="T62" s="214">
        <f t="shared" si="25"/>
        <v>0</v>
      </c>
      <c r="U62" s="214">
        <f t="shared" si="25"/>
        <v>169</v>
      </c>
      <c r="V62" s="214">
        <f t="shared" si="25"/>
        <v>0</v>
      </c>
      <c r="W62" s="214">
        <f t="shared" si="25"/>
        <v>0</v>
      </c>
      <c r="X62" s="214">
        <f t="shared" si="25"/>
        <v>0</v>
      </c>
      <c r="Y62" s="214">
        <f t="shared" si="25"/>
        <v>0</v>
      </c>
      <c r="Z62" s="214">
        <f t="shared" si="25"/>
        <v>0</v>
      </c>
      <c r="AA62" s="214">
        <f t="shared" si="25"/>
        <v>0</v>
      </c>
      <c r="AB62" s="214">
        <f t="shared" si="25"/>
        <v>0</v>
      </c>
      <c r="AC62" s="214">
        <f t="shared" si="25"/>
        <v>0</v>
      </c>
      <c r="AD62" s="214">
        <f t="shared" si="25"/>
        <v>0</v>
      </c>
      <c r="AF62" s="214">
        <f>IF(AND(($D62+$C$1)&gt;AF$3,AF$3&gt;=$C$1),'General Inputs'!D$9*$G62,IF(AND(($C62+$C$1)&gt;AF$3,AF$3&gt;=$C$1),'General Inputs'!D$9*$F62,0))</f>
        <v>0</v>
      </c>
      <c r="AG62" s="214">
        <f>IF(AND(($D62+$C$1)&gt;AG$3,AG$3&gt;=$C$1),'General Inputs'!E$9*$G62,IF(AND(($C62+$C$1)&gt;AG$3,AG$3&gt;=$C$1),'General Inputs'!E$9*$F62,0))</f>
        <v>114.56306822787948</v>
      </c>
      <c r="AH62" s="214">
        <f>IF(AND(($D62+$C$1)&gt;AH$3,AH$3&gt;=$C$1),'General Inputs'!F$9*$G62,IF(AND(($C62+$C$1)&gt;AH$3,AH$3&gt;=$C$1),'General Inputs'!F$9*$F62,0))</f>
        <v>116.28151425129766</v>
      </c>
      <c r="AI62" s="214">
        <f>IF(AND(($D62+$C$1)&gt;AI$3,AI$3&gt;=$C$1),'General Inputs'!G$9*$G62,IF(AND(($C62+$C$1)&gt;AI$3,AI$3&gt;=$C$1),'General Inputs'!G$9*$F62,0))</f>
        <v>118.02573696506713</v>
      </c>
      <c r="AJ62" s="214">
        <f>IF(AND(($D62+$C$1)&gt;AJ$3,AJ$3&gt;=$C$1),'General Inputs'!H$9*$G62,IF(AND(($C62+$C$1)&gt;AJ$3,AJ$3&gt;=$C$1),'General Inputs'!H$9*$F62,0))</f>
        <v>119.79612301954312</v>
      </c>
      <c r="AK62" s="214">
        <f>IF(AND(($D62+$C$1)&gt;AK$3,AK$3&gt;=$C$1),'General Inputs'!I$9*$G62,IF(AND(($C62+$C$1)&gt;AK$3,AK$3&gt;=$C$1),'General Inputs'!I$9*$F62,0))</f>
        <v>121.59306486483624</v>
      </c>
      <c r="AL62" s="214">
        <f>IF(AND(($D62+$C$1)&gt;AL$3,AL$3&gt;=$C$1),'General Inputs'!J$9*$G62,IF(AND(($C62+$C$1)&gt;AL$3,AL$3&gt;=$C$1),'General Inputs'!J$9*$F62,0))</f>
        <v>123.41696083780877</v>
      </c>
      <c r="AM62" s="214">
        <f>IF(AND(($D62+$C$1)&gt;AM$3,AM$3&gt;=$C$1),'General Inputs'!K$9*$G62,IF(AND(($C62+$C$1)&gt;AM$3,AM$3&gt;=$C$1),'General Inputs'!K$9*$F62,0))</f>
        <v>125.26821525037587</v>
      </c>
      <c r="AN62" s="214">
        <f>IF(AND(($D62+$C$1)&gt;AN$3,AN$3&gt;=$C$1),'General Inputs'!L$9*$G62,IF(AND(($C62+$C$1)&gt;AN$3,AN$3&gt;=$C$1),'General Inputs'!L$9*$F62,0))</f>
        <v>127.1472384791315</v>
      </c>
      <c r="AO62" s="214">
        <f>IF(AND(($D62+$C$1)&gt;AO$3,AO$3&gt;=$C$1),'General Inputs'!M$9*$G62,IF(AND(($C62+$C$1)&gt;AO$3,AO$3&gt;=$C$1),'General Inputs'!M$9*$F62,0))</f>
        <v>129.05444705631845</v>
      </c>
      <c r="AP62" s="214">
        <f>IF(AND(($D62+$C$1)&gt;AP$3,AP$3&gt;=$C$1),'General Inputs'!N$9*$G62,IF(AND(($C62+$C$1)&gt;AP$3,AP$3&gt;=$C$1),'General Inputs'!N$9*$F62,0))</f>
        <v>130.99026376216324</v>
      </c>
      <c r="AQ62" s="214">
        <f>IF(AND(($D62+$C$1)&gt;AQ$3,AQ$3&gt;=$C$1),'General Inputs'!O$9*$G62,IF(AND(($C62+$C$1)&gt;AQ$3,AQ$3&gt;=$C$1),'General Inputs'!O$9*$F62,0))</f>
        <v>132.95511771859566</v>
      </c>
      <c r="AR62" s="214">
        <f>IF(AND(($D62+$C$1)&gt;AR$3,AR$3&gt;=$C$1),'General Inputs'!P$9*$G62,IF(AND(($C62+$C$1)&gt;AR$3,AR$3&gt;=$C$1),'General Inputs'!P$9*$F62,0))</f>
        <v>134.94944448437457</v>
      </c>
      <c r="AS62" s="214">
        <f>IF(AND(($D62+$C$1)&gt;AS$3,AS$3&gt;=$C$1),'General Inputs'!Q$9*$G62,IF(AND(($C62+$C$1)&gt;AS$3,AS$3&gt;=$C$1),'General Inputs'!Q$9*$F62,0))</f>
        <v>136.97368615164018</v>
      </c>
      <c r="AT62" s="214">
        <f>IF(AND(($D62+$C$1)&gt;AT$3,AT$3&gt;=$C$1),'General Inputs'!R$9*$G62,IF(AND(($C62+$C$1)&gt;AT$3,AT$3&gt;=$C$1),'General Inputs'!R$9*$F62,0))</f>
        <v>139.02829144391478</v>
      </c>
      <c r="AU62" s="214">
        <f>IF(AND(($D62+$C$1)&gt;AU$3,AU$3&gt;=$C$1),'General Inputs'!S$9*$G62,IF(AND(($C62+$C$1)&gt;AU$3,AU$3&gt;=$C$1),'General Inputs'!S$9*$F62,0))</f>
        <v>141.1137158155735</v>
      </c>
      <c r="AV62" s="214">
        <f>IF(AND(($D62+$C$1)&gt;AV$3,AV$3&gt;=$C$1),'General Inputs'!T$9*$G62,IF(AND(($C62+$C$1)&gt;AV$3,AV$3&gt;=$C$1),'General Inputs'!T$9*$F62,0))</f>
        <v>143.23042155280709</v>
      </c>
      <c r="AW62" s="214">
        <f>IF(AND(($D62+$C$1)&gt;AW$3,AW$3&gt;=$C$1),'General Inputs'!U$9*$G62,IF(AND(($C62+$C$1)&gt;AW$3,AW$3&gt;=$C$1),'General Inputs'!U$9*$F62,0))</f>
        <v>145.37887787609918</v>
      </c>
      <c r="AX62" s="214">
        <f>IF(AND(($D62+$C$1)&gt;AX$3,AX$3&gt;=$C$1),'General Inputs'!V$9*$G62,IF(AND(($C62+$C$1)&gt;AX$3,AX$3&gt;=$C$1),'General Inputs'!V$9*$F62,0))</f>
        <v>147.55956104424067</v>
      </c>
      <c r="AY62" s="214">
        <f>IF(AND(($D62+$C$1)&gt;AY$3,AY$3&gt;=$C$1),'General Inputs'!W$9*$G62,IF(AND(($C62+$C$1)&gt;AY$3,AY$3&gt;=$C$1),'General Inputs'!W$9*$F62,0))</f>
        <v>0</v>
      </c>
      <c r="BA62" s="214">
        <f>IF(AND(($D62+$C$1)&gt;AF$3,AF$3&gt;=$C$1),'General Inputs'!D$10*$I62,IF(AND(($C62+$C$1)&gt;AF$3,AF$3&gt;=$C$1),'General Inputs'!D$10*$H62,0))</f>
        <v>0</v>
      </c>
      <c r="BB62" s="214">
        <f>IF(AND(($D62+$C$1)&gt;AG$3,AG$3&gt;=$C$1),'General Inputs'!E$10*$I62,IF(AND(($C62+$C$1)&gt;AG$3,AG$3&gt;=$C$1),'General Inputs'!E$10*$H62,0))</f>
        <v>6.6628323230233875</v>
      </c>
      <c r="BC62" s="214">
        <f>IF(AND(($D62+$C$1)&gt;AH$3,AH$3&gt;=$C$1),'General Inputs'!F$10*$I62,IF(AND(($C62+$C$1)&gt;AH$3,AH$3&gt;=$C$1),'General Inputs'!F$10*$H62,0))</f>
        <v>6.7627748078687384</v>
      </c>
      <c r="BD62" s="214">
        <f>IF(AND(($D62+$C$1)&gt;AI$3,AI$3&gt;=$C$1),'General Inputs'!G$10*$I62,IF(AND(($C62+$C$1)&gt;AI$3,AI$3&gt;=$C$1),'General Inputs'!G$10*$H62,0))</f>
        <v>6.8642164299867687</v>
      </c>
      <c r="BE62" s="214">
        <f>IF(AND(($D62+$C$1)&gt;AJ$3,AJ$3&gt;=$C$1),'General Inputs'!H$10*$I62,IF(AND(($C62+$C$1)&gt;AJ$3,AJ$3&gt;=$C$1),'General Inputs'!H$10*$H62,0))</f>
        <v>6.9671796764365697</v>
      </c>
      <c r="BF62" s="214">
        <f>IF(AND(($D62+$C$1)&gt;AK$3,AK$3&gt;=$C$1),'General Inputs'!I$10*$I62,IF(AND(($C62+$C$1)&gt;AK$3,AK$3&gt;=$C$1),'General Inputs'!I$10*$H62,0))</f>
        <v>7.071687371583117</v>
      </c>
      <c r="BG62" s="214">
        <f>IF(AND(($D62+$C$1)&gt;AL$3,AL$3&gt;=$C$1),'General Inputs'!J$10*$I62,IF(AND(($C62+$C$1)&gt;AL$3,AL$3&gt;=$C$1),'General Inputs'!J$10*$H62,0))</f>
        <v>7.177762682156863</v>
      </c>
      <c r="BH62" s="214">
        <f>IF(AND(($D62+$C$1)&gt;AM$3,AM$3&gt;=$C$1),'General Inputs'!K$10*$I62,IF(AND(($C62+$C$1)&gt;AM$3,AM$3&gt;=$C$1),'General Inputs'!K$10*$H62,0))</f>
        <v>7.2854291223892149</v>
      </c>
      <c r="BI62" s="214">
        <f>IF(AND(($D62+$C$1)&gt;AN$3,AN$3&gt;=$C$1),'General Inputs'!L$10*$I62,IF(AND(($C62+$C$1)&gt;AN$3,AN$3&gt;=$C$1),'General Inputs'!L$10*$H62,0))</f>
        <v>7.3947105592250528</v>
      </c>
      <c r="BJ62" s="214">
        <f>IF(AND(($D62+$C$1)&gt;AO$3,AO$3&gt;=$C$1),'General Inputs'!M$10*$I62,IF(AND(($C62+$C$1)&gt;AO$3,AO$3&gt;=$C$1),'General Inputs'!M$10*$H62,0))</f>
        <v>7.5056312176134288</v>
      </c>
      <c r="BK62" s="214">
        <f>IF(AND(($D62+$C$1)&gt;AP$3,AP$3&gt;=$C$1),'General Inputs'!N$10*$I62,IF(AND(($C62+$C$1)&gt;AP$3,AP$3&gt;=$C$1),'General Inputs'!N$10*$H62,0))</f>
        <v>7.6182156858776287</v>
      </c>
      <c r="BL62" s="214">
        <f>IF(AND(($D62+$C$1)&gt;AQ$3,AQ$3&gt;=$C$1),'General Inputs'!O$10*$I62,IF(AND(($C62+$C$1)&gt;AQ$3,AQ$3&gt;=$C$1),'General Inputs'!O$10*$H62,0))</f>
        <v>7.7324889211657926</v>
      </c>
      <c r="BM62" s="214">
        <f>IF(AND(($D62+$C$1)&gt;AR$3,AR$3&gt;=$C$1),'General Inputs'!P$10*$I62,IF(AND(($C62+$C$1)&gt;AR$3,AR$3&gt;=$C$1),'General Inputs'!P$10*$H62,0))</f>
        <v>7.8484762549832787</v>
      </c>
      <c r="BN62" s="214">
        <f>IF(AND(($D62+$C$1)&gt;AS$3,AS$3&gt;=$C$1),'General Inputs'!Q$10*$I62,IF(AND(($C62+$C$1)&gt;AS$3,AS$3&gt;=$C$1),'General Inputs'!Q$10*$H62,0))</f>
        <v>7.9662033988080276</v>
      </c>
      <c r="BO62" s="214">
        <f>IF(AND(($D62+$C$1)&gt;AT$3,AT$3&gt;=$C$1),'General Inputs'!R$10*$I62,IF(AND(($C62+$C$1)&gt;AT$3,AT$3&gt;=$C$1),'General Inputs'!R$10*$H62,0))</f>
        <v>8.0856964497901469</v>
      </c>
      <c r="BP62" s="214">
        <f>IF(AND(($D62+$C$1)&gt;AU$3,AU$3&gt;=$C$1),'General Inputs'!S$10*$I62,IF(AND(($C62+$C$1)&gt;AU$3,AU$3&gt;=$C$1),'General Inputs'!S$10*$H62,0))</f>
        <v>8.2069818965369983</v>
      </c>
      <c r="BQ62" s="214">
        <f>IF(AND(($D62+$C$1)&gt;AV$3,AV$3&gt;=$C$1),'General Inputs'!T$10*$I62,IF(AND(($C62+$C$1)&gt;AV$3,AV$3&gt;=$C$1),'General Inputs'!T$10*$H62,0))</f>
        <v>8.3300866249850518</v>
      </c>
      <c r="BR62" s="214">
        <f>IF(AND(($D62+$C$1)&gt;AW$3,AW$3&gt;=$C$1),'General Inputs'!U$10*$I62,IF(AND(($C62+$C$1)&gt;AW$3,AW$3&gt;=$C$1),'General Inputs'!U$10*$H62,0))</f>
        <v>8.4550379243598268</v>
      </c>
      <c r="BS62" s="214">
        <f>IF(AND(($D62+$C$1)&gt;AX$3,AX$3&gt;=$C$1),'General Inputs'!V$10*$I62,IF(AND(($C62+$C$1)&gt;AX$3,AX$3&gt;=$C$1),'General Inputs'!V$10*$H62,0))</f>
        <v>8.5818634932252227</v>
      </c>
      <c r="BT62" s="214">
        <f>IF(AND(($D62+$C$1)&gt;AY$3,AY$3&gt;=$C$1),'General Inputs'!W$10*$I62,IF(AND(($C62+$C$1)&gt;AY$3,AY$3&gt;=$C$1),'General Inputs'!W$10*$H62,0))</f>
        <v>0</v>
      </c>
    </row>
    <row r="63" spans="1:72">
      <c r="A63" s="342" t="s">
        <v>112</v>
      </c>
      <c r="B63" s="427" t="str">
        <f>Sources!B63</f>
        <v>Pin-Based CFL ≤18W</v>
      </c>
      <c r="C63" s="193">
        <f>Sources!C63</f>
        <v>10</v>
      </c>
      <c r="D63" s="193">
        <f>Sources!D63</f>
        <v>0</v>
      </c>
      <c r="F63" s="429">
        <f>Sources!F63*EnergyLineLoss</f>
        <v>366.00109874999993</v>
      </c>
      <c r="G63" s="429">
        <f>Sources!G63*EnergyLineLoss</f>
        <v>0</v>
      </c>
      <c r="H63" s="477">
        <f>Sources!H63*PeakLineLoss</f>
        <v>5.6594537999999993E-2</v>
      </c>
      <c r="I63" s="477">
        <f>Sources!I63*PeakLineLoss</f>
        <v>0</v>
      </c>
      <c r="K63" s="419">
        <f>Sources!J63</f>
        <v>20</v>
      </c>
      <c r="L63" s="419">
        <f>Sources!K63</f>
        <v>0</v>
      </c>
      <c r="N63" s="438">
        <f t="shared" si="26"/>
        <v>5.8308585224310123</v>
      </c>
      <c r="P63" s="215">
        <f t="shared" si="27"/>
        <v>101.25656348406551</v>
      </c>
      <c r="Q63" s="215">
        <f t="shared" si="28"/>
        <v>5.8889440946006424</v>
      </c>
      <c r="R63" s="215">
        <f t="shared" si="29"/>
        <v>18.375597206909223</v>
      </c>
      <c r="T63" s="214">
        <f t="shared" si="25"/>
        <v>0</v>
      </c>
      <c r="U63" s="214">
        <f t="shared" si="25"/>
        <v>20</v>
      </c>
      <c r="V63" s="214">
        <f t="shared" si="25"/>
        <v>0</v>
      </c>
      <c r="W63" s="214">
        <f t="shared" si="25"/>
        <v>0</v>
      </c>
      <c r="X63" s="214">
        <f t="shared" si="25"/>
        <v>0</v>
      </c>
      <c r="Y63" s="214">
        <f t="shared" si="25"/>
        <v>0</v>
      </c>
      <c r="Z63" s="214">
        <f t="shared" si="25"/>
        <v>0</v>
      </c>
      <c r="AA63" s="214">
        <f t="shared" si="25"/>
        <v>0</v>
      </c>
      <c r="AB63" s="214">
        <f t="shared" si="25"/>
        <v>0</v>
      </c>
      <c r="AC63" s="214">
        <f t="shared" si="25"/>
        <v>0</v>
      </c>
      <c r="AD63" s="214">
        <f t="shared" si="25"/>
        <v>0</v>
      </c>
      <c r="AF63" s="214">
        <f>IF(AND(($D63+$C$1)&gt;AF$3,AF$3&gt;=$C$1),'General Inputs'!D$9*$G63,IF(AND(($C63+$C$1)&gt;AF$3,AF$3&gt;=$C$1),'General Inputs'!D$9*$F63,0))</f>
        <v>0</v>
      </c>
      <c r="AG63" s="214">
        <f>IF(AND(($D63+$C$1)&gt;AG$3,AG$3&gt;=$C$1),'General Inputs'!E$9*$G63,IF(AND(($C63+$C$1)&gt;AG$3,AG$3&gt;=$C$1),'General Inputs'!E$9*$F63,0))</f>
        <v>14.789904299910669</v>
      </c>
      <c r="AH63" s="214">
        <f>IF(AND(($D63+$C$1)&gt;AH$3,AH$3&gt;=$C$1),'General Inputs'!F$9*$G63,IF(AND(($C63+$C$1)&gt;AH$3,AH$3&gt;=$C$1),'General Inputs'!F$9*$F63,0))</f>
        <v>15.011752864409328</v>
      </c>
      <c r="AI63" s="214">
        <f>IF(AND(($D63+$C$1)&gt;AI$3,AI$3&gt;=$C$1),'General Inputs'!G$9*$G63,IF(AND(($C63+$C$1)&gt;AI$3,AI$3&gt;=$C$1),'General Inputs'!G$9*$F63,0))</f>
        <v>15.236929157375465</v>
      </c>
      <c r="AJ63" s="214">
        <f>IF(AND(($D63+$C$1)&gt;AJ$3,AJ$3&gt;=$C$1),'General Inputs'!H$9*$G63,IF(AND(($C63+$C$1)&gt;AJ$3,AJ$3&gt;=$C$1),'General Inputs'!H$9*$F63,0))</f>
        <v>15.465483094736095</v>
      </c>
      <c r="AK63" s="214">
        <f>IF(AND(($D63+$C$1)&gt;AK$3,AK$3&gt;=$C$1),'General Inputs'!I$9*$G63,IF(AND(($C63+$C$1)&gt;AK$3,AK$3&gt;=$C$1),'General Inputs'!I$9*$F63,0))</f>
        <v>15.697465341157134</v>
      </c>
      <c r="AL63" s="214">
        <f>IF(AND(($D63+$C$1)&gt;AL$3,AL$3&gt;=$C$1),'General Inputs'!J$9*$G63,IF(AND(($C63+$C$1)&gt;AL$3,AL$3&gt;=$C$1),'General Inputs'!J$9*$F63,0))</f>
        <v>15.932927321274489</v>
      </c>
      <c r="AM63" s="214">
        <f>IF(AND(($D63+$C$1)&gt;AM$3,AM$3&gt;=$C$1),'General Inputs'!K$9*$G63,IF(AND(($C63+$C$1)&gt;AM$3,AM$3&gt;=$C$1),'General Inputs'!K$9*$F63,0))</f>
        <v>16.171921231093606</v>
      </c>
      <c r="AN63" s="214">
        <f>IF(AND(($D63+$C$1)&gt;AN$3,AN$3&gt;=$C$1),'General Inputs'!L$9*$G63,IF(AND(($C63+$C$1)&gt;AN$3,AN$3&gt;=$C$1),'General Inputs'!L$9*$F63,0))</f>
        <v>16.414500049560008</v>
      </c>
      <c r="AO63" s="214">
        <f>IF(AND(($D63+$C$1)&gt;AO$3,AO$3&gt;=$C$1),'General Inputs'!M$9*$G63,IF(AND(($C63+$C$1)&gt;AO$3,AO$3&gt;=$C$1),'General Inputs'!M$9*$F63,0))</f>
        <v>16.660717550303403</v>
      </c>
      <c r="AP63" s="214">
        <f>IF(AND(($D63+$C$1)&gt;AP$3,AP$3&gt;=$C$1),'General Inputs'!N$9*$G63,IF(AND(($C63+$C$1)&gt;AP$3,AP$3&gt;=$C$1),'General Inputs'!N$9*$F63,0))</f>
        <v>16.910628313557954</v>
      </c>
      <c r="AQ63" s="214">
        <f>IF(AND(($D63+$C$1)&gt;AQ$3,AQ$3&gt;=$C$1),'General Inputs'!O$9*$G63,IF(AND(($C63+$C$1)&gt;AQ$3,AQ$3&gt;=$C$1),'General Inputs'!O$9*$F63,0))</f>
        <v>0</v>
      </c>
      <c r="AR63" s="214">
        <f>IF(AND(($D63+$C$1)&gt;AR$3,AR$3&gt;=$C$1),'General Inputs'!P$9*$G63,IF(AND(($C63+$C$1)&gt;AR$3,AR$3&gt;=$C$1),'General Inputs'!P$9*$F63,0))</f>
        <v>0</v>
      </c>
      <c r="AS63" s="214">
        <f>IF(AND(($D63+$C$1)&gt;AS$3,AS$3&gt;=$C$1),'General Inputs'!Q$9*$G63,IF(AND(($C63+$C$1)&gt;AS$3,AS$3&gt;=$C$1),'General Inputs'!Q$9*$F63,0))</f>
        <v>0</v>
      </c>
      <c r="AT63" s="214">
        <f>IF(AND(($D63+$C$1)&gt;AT$3,AT$3&gt;=$C$1),'General Inputs'!R$9*$G63,IF(AND(($C63+$C$1)&gt;AT$3,AT$3&gt;=$C$1),'General Inputs'!R$9*$F63,0))</f>
        <v>0</v>
      </c>
      <c r="AU63" s="214">
        <f>IF(AND(($D63+$C$1)&gt;AU$3,AU$3&gt;=$C$1),'General Inputs'!S$9*$G63,IF(AND(($C63+$C$1)&gt;AU$3,AU$3&gt;=$C$1),'General Inputs'!S$9*$F63,0))</f>
        <v>0</v>
      </c>
      <c r="AV63" s="214">
        <f>IF(AND(($D63+$C$1)&gt;AV$3,AV$3&gt;=$C$1),'General Inputs'!T$9*$G63,IF(AND(($C63+$C$1)&gt;AV$3,AV$3&gt;=$C$1),'General Inputs'!T$9*$F63,0))</f>
        <v>0</v>
      </c>
      <c r="AW63" s="214">
        <f>IF(AND(($D63+$C$1)&gt;AW$3,AW$3&gt;=$C$1),'General Inputs'!U$9*$G63,IF(AND(($C63+$C$1)&gt;AW$3,AW$3&gt;=$C$1),'General Inputs'!U$9*$F63,0))</f>
        <v>0</v>
      </c>
      <c r="AX63" s="214">
        <f>IF(AND(($D63+$C$1)&gt;AX$3,AX$3&gt;=$C$1),'General Inputs'!V$9*$G63,IF(AND(($C63+$C$1)&gt;AX$3,AX$3&gt;=$C$1),'General Inputs'!V$9*$F63,0))</f>
        <v>0</v>
      </c>
      <c r="AY63" s="214">
        <f>IF(AND(($D63+$C$1)&gt;AY$3,AY$3&gt;=$C$1),'General Inputs'!W$9*$G63,IF(AND(($C63+$C$1)&gt;AY$3,AY$3&gt;=$C$1),'General Inputs'!W$9*$F63,0))</f>
        <v>0</v>
      </c>
      <c r="BA63" s="214">
        <f>IF(AND(($D63+$C$1)&gt;AF$3,AF$3&gt;=$C$1),'General Inputs'!D$10*$I63,IF(AND(($C63+$C$1)&gt;AF$3,AF$3&gt;=$C$1),'General Inputs'!D$10*$H63,0))</f>
        <v>0</v>
      </c>
      <c r="BB63" s="214">
        <f>IF(AND(($D63+$C$1)&gt;AG$3,AG$3&gt;=$C$1),'General Inputs'!E$10*$I63,IF(AND(($C63+$C$1)&gt;AG$3,AG$3&gt;=$C$1),'General Inputs'!E$10*$H63,0))</f>
        <v>0.86016073022637984</v>
      </c>
      <c r="BC63" s="214">
        <f>IF(AND(($D63+$C$1)&gt;AH$3,AH$3&gt;=$C$1),'General Inputs'!F$10*$I63,IF(AND(($C63+$C$1)&gt;AH$3,AH$3&gt;=$C$1),'General Inputs'!F$10*$H63,0))</f>
        <v>0.87306314117977546</v>
      </c>
      <c r="BD63" s="214">
        <f>IF(AND(($D63+$C$1)&gt;AI$3,AI$3&gt;=$C$1),'General Inputs'!G$10*$I63,IF(AND(($C63+$C$1)&gt;AI$3,AI$3&gt;=$C$1),'General Inputs'!G$10*$H63,0))</f>
        <v>0.88615908829747203</v>
      </c>
      <c r="BE63" s="214">
        <f>IF(AND(($D63+$C$1)&gt;AJ$3,AJ$3&gt;=$C$1),'General Inputs'!H$10*$I63,IF(AND(($C63+$C$1)&gt;AJ$3,AJ$3&gt;=$C$1),'General Inputs'!H$10*$H63,0))</f>
        <v>0.89945147462193398</v>
      </c>
      <c r="BF63" s="214">
        <f>IF(AND(($D63+$C$1)&gt;AK$3,AK$3&gt;=$C$1),'General Inputs'!I$10*$I63,IF(AND(($C63+$C$1)&gt;AK$3,AK$3&gt;=$C$1),'General Inputs'!I$10*$H63,0))</f>
        <v>0.91294324674126281</v>
      </c>
      <c r="BG63" s="214">
        <f>IF(AND(($D63+$C$1)&gt;AL$3,AL$3&gt;=$C$1),'General Inputs'!J$10*$I63,IF(AND(($C63+$C$1)&gt;AL$3,AL$3&gt;=$C$1),'General Inputs'!J$10*$H63,0))</f>
        <v>0.92663739544238166</v>
      </c>
      <c r="BH63" s="214">
        <f>IF(AND(($D63+$C$1)&gt;AM$3,AM$3&gt;=$C$1),'General Inputs'!K$10*$I63,IF(AND(($C63+$C$1)&gt;AM$3,AM$3&gt;=$C$1),'General Inputs'!K$10*$H63,0))</f>
        <v>0.94053695637401735</v>
      </c>
      <c r="BI63" s="214">
        <f>IF(AND(($D63+$C$1)&gt;AN$3,AN$3&gt;=$C$1),'General Inputs'!L$10*$I63,IF(AND(($C63+$C$1)&gt;AN$3,AN$3&gt;=$C$1),'General Inputs'!L$10*$H63,0))</f>
        <v>0.9546450107196276</v>
      </c>
      <c r="BJ63" s="214">
        <f>IF(AND(($D63+$C$1)&gt;AO$3,AO$3&gt;=$C$1),'General Inputs'!M$10*$I63,IF(AND(($C63+$C$1)&gt;AO$3,AO$3&gt;=$C$1),'General Inputs'!M$10*$H63,0))</f>
        <v>0.96896468588042195</v>
      </c>
      <c r="BK63" s="214">
        <f>IF(AND(($D63+$C$1)&gt;AP$3,AP$3&gt;=$C$1),'General Inputs'!N$10*$I63,IF(AND(($C63+$C$1)&gt;AP$3,AP$3&gt;=$C$1),'General Inputs'!N$10*$H63,0))</f>
        <v>0.98349915616862815</v>
      </c>
      <c r="BL63" s="214">
        <f>IF(AND(($D63+$C$1)&gt;AQ$3,AQ$3&gt;=$C$1),'General Inputs'!O$10*$I63,IF(AND(($C63+$C$1)&gt;AQ$3,AQ$3&gt;=$C$1),'General Inputs'!O$10*$H63,0))</f>
        <v>0</v>
      </c>
      <c r="BM63" s="214">
        <f>IF(AND(($D63+$C$1)&gt;AR$3,AR$3&gt;=$C$1),'General Inputs'!P$10*$I63,IF(AND(($C63+$C$1)&gt;AR$3,AR$3&gt;=$C$1),'General Inputs'!P$10*$H63,0))</f>
        <v>0</v>
      </c>
      <c r="BN63" s="214">
        <f>IF(AND(($D63+$C$1)&gt;AS$3,AS$3&gt;=$C$1),'General Inputs'!Q$10*$I63,IF(AND(($C63+$C$1)&gt;AS$3,AS$3&gt;=$C$1),'General Inputs'!Q$10*$H63,0))</f>
        <v>0</v>
      </c>
      <c r="BO63" s="214">
        <f>IF(AND(($D63+$C$1)&gt;AT$3,AT$3&gt;=$C$1),'General Inputs'!R$10*$I63,IF(AND(($C63+$C$1)&gt;AT$3,AT$3&gt;=$C$1),'General Inputs'!R$10*$H63,0))</f>
        <v>0</v>
      </c>
      <c r="BP63" s="214">
        <f>IF(AND(($D63+$C$1)&gt;AU$3,AU$3&gt;=$C$1),'General Inputs'!S$10*$I63,IF(AND(($C63+$C$1)&gt;AU$3,AU$3&gt;=$C$1),'General Inputs'!S$10*$H63,0))</f>
        <v>0</v>
      </c>
      <c r="BQ63" s="214">
        <f>IF(AND(($D63+$C$1)&gt;AV$3,AV$3&gt;=$C$1),'General Inputs'!T$10*$I63,IF(AND(($C63+$C$1)&gt;AV$3,AV$3&gt;=$C$1),'General Inputs'!T$10*$H63,0))</f>
        <v>0</v>
      </c>
      <c r="BR63" s="214">
        <f>IF(AND(($D63+$C$1)&gt;AW$3,AW$3&gt;=$C$1),'General Inputs'!U$10*$I63,IF(AND(($C63+$C$1)&gt;AW$3,AW$3&gt;=$C$1),'General Inputs'!U$10*$H63,0))</f>
        <v>0</v>
      </c>
      <c r="BS63" s="214">
        <f>IF(AND(($D63+$C$1)&gt;AX$3,AX$3&gt;=$C$1),'General Inputs'!V$10*$I63,IF(AND(($C63+$C$1)&gt;AX$3,AX$3&gt;=$C$1),'General Inputs'!V$10*$H63,0))</f>
        <v>0</v>
      </c>
      <c r="BT63" s="214">
        <f>IF(AND(($D63+$C$1)&gt;AY$3,AY$3&gt;=$C$1),'General Inputs'!W$10*$I63,IF(AND(($C63+$C$1)&gt;AY$3,AY$3&gt;=$C$1),'General Inputs'!W$10*$H63,0))</f>
        <v>0</v>
      </c>
    </row>
    <row r="64" spans="1:72">
      <c r="A64" s="342" t="s">
        <v>112</v>
      </c>
      <c r="B64" s="427" t="str">
        <f>Sources!B64</f>
        <v>Pin-Based CFL 19W or 32W</v>
      </c>
      <c r="C64" s="193">
        <f>Sources!C64</f>
        <v>10</v>
      </c>
      <c r="D64" s="193">
        <f>Sources!D64</f>
        <v>0</v>
      </c>
      <c r="F64" s="429">
        <f>Sources!F64*EnergyLineLoss</f>
        <v>639.04953750000004</v>
      </c>
      <c r="G64" s="429">
        <f>Sources!G64*EnergyLineLoss</f>
        <v>0</v>
      </c>
      <c r="H64" s="477">
        <f>Sources!H64*PeakLineLoss</f>
        <v>9.8815860000000005E-2</v>
      </c>
      <c r="I64" s="477">
        <f>Sources!I64*PeakLineLoss</f>
        <v>0</v>
      </c>
      <c r="K64" s="419">
        <f>Sources!J64</f>
        <v>40</v>
      </c>
      <c r="L64" s="419">
        <f>Sources!K64</f>
        <v>0</v>
      </c>
      <c r="N64" s="438">
        <f t="shared" si="26"/>
        <v>5.0904320433921528</v>
      </c>
      <c r="P64" s="215">
        <f t="shared" si="27"/>
        <v>176.79717433725722</v>
      </c>
      <c r="Q64" s="215">
        <f t="shared" si="28"/>
        <v>10.282283339778902</v>
      </c>
      <c r="R64" s="215">
        <f t="shared" si="29"/>
        <v>36.751194413818446</v>
      </c>
      <c r="T64" s="214">
        <f t="shared" ref="T64:AD79" si="30">IF($C$1=T$3,$K64,IF($D64+$C$1=T$3,-$L64,0))</f>
        <v>0</v>
      </c>
      <c r="U64" s="214">
        <f t="shared" si="30"/>
        <v>40</v>
      </c>
      <c r="V64" s="214">
        <f t="shared" si="30"/>
        <v>0</v>
      </c>
      <c r="W64" s="214">
        <f t="shared" si="30"/>
        <v>0</v>
      </c>
      <c r="X64" s="214">
        <f t="shared" si="30"/>
        <v>0</v>
      </c>
      <c r="Y64" s="214">
        <f t="shared" si="30"/>
        <v>0</v>
      </c>
      <c r="Z64" s="214">
        <f t="shared" si="30"/>
        <v>0</v>
      </c>
      <c r="AA64" s="214">
        <f t="shared" si="30"/>
        <v>0</v>
      </c>
      <c r="AB64" s="214">
        <f t="shared" si="30"/>
        <v>0</v>
      </c>
      <c r="AC64" s="214">
        <f t="shared" si="30"/>
        <v>0</v>
      </c>
      <c r="AD64" s="214">
        <f t="shared" si="30"/>
        <v>0</v>
      </c>
      <c r="AF64" s="214">
        <f>IF(AND(($D64+$C$1)&gt;AF$3,AF$3&gt;=$C$1),'General Inputs'!D$9*$G64,IF(AND(($C64+$C$1)&gt;AF$3,AF$3&gt;=$C$1),'General Inputs'!D$9*$F64,0))</f>
        <v>0</v>
      </c>
      <c r="AG64" s="214">
        <f>IF(AND(($D64+$C$1)&gt;AG$3,AG$3&gt;=$C$1),'General Inputs'!E$9*$G64,IF(AND(($C64+$C$1)&gt;AG$3,AG$3&gt;=$C$1),'General Inputs'!E$9*$F64,0))</f>
        <v>25.823642428415461</v>
      </c>
      <c r="AH64" s="214">
        <f>IF(AND(($D64+$C$1)&gt;AH$3,AH$3&gt;=$C$1),'General Inputs'!F$9*$G64,IF(AND(($C64+$C$1)&gt;AH$3,AH$3&gt;=$C$1),'General Inputs'!F$9*$F64,0))</f>
        <v>26.210997064841688</v>
      </c>
      <c r="AI64" s="214">
        <f>IF(AND(($D64+$C$1)&gt;AI$3,AI$3&gt;=$C$1),'General Inputs'!G$9*$G64,IF(AND(($C64+$C$1)&gt;AI$3,AI$3&gt;=$C$1),'General Inputs'!G$9*$F64,0))</f>
        <v>26.604162020814311</v>
      </c>
      <c r="AJ64" s="214">
        <f>IF(AND(($D64+$C$1)&gt;AJ$3,AJ$3&gt;=$C$1),'General Inputs'!H$9*$G64,IF(AND(($C64+$C$1)&gt;AJ$3,AJ$3&gt;=$C$1),'General Inputs'!H$9*$F64,0))</f>
        <v>27.003224451126524</v>
      </c>
      <c r="AK64" s="214">
        <f>IF(AND(($D64+$C$1)&gt;AK$3,AK$3&gt;=$C$1),'General Inputs'!I$9*$G64,IF(AND(($C64+$C$1)&gt;AK$3,AK$3&gt;=$C$1),'General Inputs'!I$9*$F64,0))</f>
        <v>27.408272817893415</v>
      </c>
      <c r="AL64" s="214">
        <f>IF(AND(($D64+$C$1)&gt;AL$3,AL$3&gt;=$C$1),'General Inputs'!J$9*$G64,IF(AND(($C64+$C$1)&gt;AL$3,AL$3&gt;=$C$1),'General Inputs'!J$9*$F64,0))</f>
        <v>27.819396910161814</v>
      </c>
      <c r="AM64" s="214">
        <f>IF(AND(($D64+$C$1)&gt;AM$3,AM$3&gt;=$C$1),'General Inputs'!K$9*$G64,IF(AND(($C64+$C$1)&gt;AM$3,AM$3&gt;=$C$1),'General Inputs'!K$9*$F64,0))</f>
        <v>28.236687863814236</v>
      </c>
      <c r="AN64" s="214">
        <f>IF(AND(($D64+$C$1)&gt;AN$3,AN$3&gt;=$C$1),'General Inputs'!L$9*$G64,IF(AND(($C64+$C$1)&gt;AN$3,AN$3&gt;=$C$1),'General Inputs'!L$9*$F64,0))</f>
        <v>28.660238181771447</v>
      </c>
      <c r="AO64" s="214">
        <f>IF(AND(($D64+$C$1)&gt;AO$3,AO$3&gt;=$C$1),'General Inputs'!M$9*$G64,IF(AND(($C64+$C$1)&gt;AO$3,AO$3&gt;=$C$1),'General Inputs'!M$9*$F64,0))</f>
        <v>29.090141754498017</v>
      </c>
      <c r="AP64" s="214">
        <f>IF(AND(($D64+$C$1)&gt;AP$3,AP$3&gt;=$C$1),'General Inputs'!N$9*$G64,IF(AND(($C64+$C$1)&gt;AP$3,AP$3&gt;=$C$1),'General Inputs'!N$9*$F64,0))</f>
        <v>29.526493880815483</v>
      </c>
      <c r="AQ64" s="214">
        <f>IF(AND(($D64+$C$1)&gt;AQ$3,AQ$3&gt;=$C$1),'General Inputs'!O$9*$G64,IF(AND(($C64+$C$1)&gt;AQ$3,AQ$3&gt;=$C$1),'General Inputs'!O$9*$F64,0))</f>
        <v>0</v>
      </c>
      <c r="AR64" s="214">
        <f>IF(AND(($D64+$C$1)&gt;AR$3,AR$3&gt;=$C$1),'General Inputs'!P$9*$G64,IF(AND(($C64+$C$1)&gt;AR$3,AR$3&gt;=$C$1),'General Inputs'!P$9*$F64,0))</f>
        <v>0</v>
      </c>
      <c r="AS64" s="214">
        <f>IF(AND(($D64+$C$1)&gt;AS$3,AS$3&gt;=$C$1),'General Inputs'!Q$9*$G64,IF(AND(($C64+$C$1)&gt;AS$3,AS$3&gt;=$C$1),'General Inputs'!Q$9*$F64,0))</f>
        <v>0</v>
      </c>
      <c r="AT64" s="214">
        <f>IF(AND(($D64+$C$1)&gt;AT$3,AT$3&gt;=$C$1),'General Inputs'!R$9*$G64,IF(AND(($C64+$C$1)&gt;AT$3,AT$3&gt;=$C$1),'General Inputs'!R$9*$F64,0))</f>
        <v>0</v>
      </c>
      <c r="AU64" s="214">
        <f>IF(AND(($D64+$C$1)&gt;AU$3,AU$3&gt;=$C$1),'General Inputs'!S$9*$G64,IF(AND(($C64+$C$1)&gt;AU$3,AU$3&gt;=$C$1),'General Inputs'!S$9*$F64,0))</f>
        <v>0</v>
      </c>
      <c r="AV64" s="214">
        <f>IF(AND(($D64+$C$1)&gt;AV$3,AV$3&gt;=$C$1),'General Inputs'!T$9*$G64,IF(AND(($C64+$C$1)&gt;AV$3,AV$3&gt;=$C$1),'General Inputs'!T$9*$F64,0))</f>
        <v>0</v>
      </c>
      <c r="AW64" s="214">
        <f>IF(AND(($D64+$C$1)&gt;AW$3,AW$3&gt;=$C$1),'General Inputs'!U$9*$G64,IF(AND(($C64+$C$1)&gt;AW$3,AW$3&gt;=$C$1),'General Inputs'!U$9*$F64,0))</f>
        <v>0</v>
      </c>
      <c r="AX64" s="214">
        <f>IF(AND(($D64+$C$1)&gt;AX$3,AX$3&gt;=$C$1),'General Inputs'!V$9*$G64,IF(AND(($C64+$C$1)&gt;AX$3,AX$3&gt;=$C$1),'General Inputs'!V$9*$F64,0))</f>
        <v>0</v>
      </c>
      <c r="AY64" s="214">
        <f>IF(AND(($D64+$C$1)&gt;AY$3,AY$3&gt;=$C$1),'General Inputs'!W$9*$G64,IF(AND(($C64+$C$1)&gt;AY$3,AY$3&gt;=$C$1),'General Inputs'!W$9*$F64,0))</f>
        <v>0</v>
      </c>
      <c r="BA64" s="214">
        <f>IF(AND(($D64+$C$1)&gt;AF$3,AF$3&gt;=$C$1),'General Inputs'!D$10*$I64,IF(AND(($C64+$C$1)&gt;AF$3,AF$3&gt;=$C$1),'General Inputs'!D$10*$H64,0))</f>
        <v>0</v>
      </c>
      <c r="BB64" s="214">
        <f>IF(AND(($D64+$C$1)&gt;AG$3,AG$3&gt;=$C$1),'General Inputs'!E$10*$I64,IF(AND(($C64+$C$1)&gt;AG$3,AG$3&gt;=$C$1),'General Inputs'!E$10*$H64,0))</f>
        <v>1.501867941665108</v>
      </c>
      <c r="BC64" s="214">
        <f>IF(AND(($D64+$C$1)&gt;AH$3,AH$3&gt;=$C$1),'General Inputs'!F$10*$I64,IF(AND(($C64+$C$1)&gt;AH$3,AH$3&gt;=$C$1),'General Inputs'!F$10*$H64,0))</f>
        <v>1.5243959607900843</v>
      </c>
      <c r="BD64" s="214">
        <f>IF(AND(($D64+$C$1)&gt;AI$3,AI$3&gt;=$C$1),'General Inputs'!G$10*$I64,IF(AND(($C64+$C$1)&gt;AI$3,AI$3&gt;=$C$1),'General Inputs'!G$10*$H64,0))</f>
        <v>1.5472619002019354</v>
      </c>
      <c r="BE64" s="214">
        <f>IF(AND(($D64+$C$1)&gt;AJ$3,AJ$3&gt;=$C$1),'General Inputs'!H$10*$I64,IF(AND(($C64+$C$1)&gt;AJ$3,AJ$3&gt;=$C$1),'General Inputs'!H$10*$H64,0))</f>
        <v>1.5704708287049645</v>
      </c>
      <c r="BF64" s="214">
        <f>IF(AND(($D64+$C$1)&gt;AK$3,AK$3&gt;=$C$1),'General Inputs'!I$10*$I64,IF(AND(($C64+$C$1)&gt;AK$3,AK$3&gt;=$C$1),'General Inputs'!I$10*$H64,0))</f>
        <v>1.5940278911355386</v>
      </c>
      <c r="BG64" s="214">
        <f>IF(AND(($D64+$C$1)&gt;AL$3,AL$3&gt;=$C$1),'General Inputs'!J$10*$I64,IF(AND(($C64+$C$1)&gt;AL$3,AL$3&gt;=$C$1),'General Inputs'!J$10*$H64,0))</f>
        <v>1.6179383095025714</v>
      </c>
      <c r="BH64" s="214">
        <f>IF(AND(($D64+$C$1)&gt;AM$3,AM$3&gt;=$C$1),'General Inputs'!K$10*$I64,IF(AND(($C64+$C$1)&gt;AM$3,AM$3&gt;=$C$1),'General Inputs'!K$10*$H64,0))</f>
        <v>1.6422073841451099</v>
      </c>
      <c r="BI64" s="214">
        <f>IF(AND(($D64+$C$1)&gt;AN$3,AN$3&gt;=$C$1),'General Inputs'!L$10*$I64,IF(AND(($C64+$C$1)&gt;AN$3,AN$3&gt;=$C$1),'General Inputs'!L$10*$H64,0))</f>
        <v>1.6668404949072866</v>
      </c>
      <c r="BJ64" s="214">
        <f>IF(AND(($D64+$C$1)&gt;AO$3,AO$3&gt;=$C$1),'General Inputs'!M$10*$I64,IF(AND(($C64+$C$1)&gt;AO$3,AO$3&gt;=$C$1),'General Inputs'!M$10*$H64,0))</f>
        <v>1.6918431023308957</v>
      </c>
      <c r="BK64" s="214">
        <f>IF(AND(($D64+$C$1)&gt;AP$3,AP$3&gt;=$C$1),'General Inputs'!N$10*$I64,IF(AND(($C64+$C$1)&gt;AP$3,AP$3&gt;=$C$1),'General Inputs'!N$10*$H64,0))</f>
        <v>1.7172207488658588</v>
      </c>
      <c r="BL64" s="214">
        <f>IF(AND(($D64+$C$1)&gt;AQ$3,AQ$3&gt;=$C$1),'General Inputs'!O$10*$I64,IF(AND(($C64+$C$1)&gt;AQ$3,AQ$3&gt;=$C$1),'General Inputs'!O$10*$H64,0))</f>
        <v>0</v>
      </c>
      <c r="BM64" s="214">
        <f>IF(AND(($D64+$C$1)&gt;AR$3,AR$3&gt;=$C$1),'General Inputs'!P$10*$I64,IF(AND(($C64+$C$1)&gt;AR$3,AR$3&gt;=$C$1),'General Inputs'!P$10*$H64,0))</f>
        <v>0</v>
      </c>
      <c r="BN64" s="214">
        <f>IF(AND(($D64+$C$1)&gt;AS$3,AS$3&gt;=$C$1),'General Inputs'!Q$10*$I64,IF(AND(($C64+$C$1)&gt;AS$3,AS$3&gt;=$C$1),'General Inputs'!Q$10*$H64,0))</f>
        <v>0</v>
      </c>
      <c r="BO64" s="214">
        <f>IF(AND(($D64+$C$1)&gt;AT$3,AT$3&gt;=$C$1),'General Inputs'!R$10*$I64,IF(AND(($C64+$C$1)&gt;AT$3,AT$3&gt;=$C$1),'General Inputs'!R$10*$H64,0))</f>
        <v>0</v>
      </c>
      <c r="BP64" s="214">
        <f>IF(AND(($D64+$C$1)&gt;AU$3,AU$3&gt;=$C$1),'General Inputs'!S$10*$I64,IF(AND(($C64+$C$1)&gt;AU$3,AU$3&gt;=$C$1),'General Inputs'!S$10*$H64,0))</f>
        <v>0</v>
      </c>
      <c r="BQ64" s="214">
        <f>IF(AND(($D64+$C$1)&gt;AV$3,AV$3&gt;=$C$1),'General Inputs'!T$10*$I64,IF(AND(($C64+$C$1)&gt;AV$3,AV$3&gt;=$C$1),'General Inputs'!T$10*$H64,0))</f>
        <v>0</v>
      </c>
      <c r="BR64" s="214">
        <f>IF(AND(($D64+$C$1)&gt;AW$3,AW$3&gt;=$C$1),'General Inputs'!U$10*$I64,IF(AND(($C64+$C$1)&gt;AW$3,AW$3&gt;=$C$1),'General Inputs'!U$10*$H64,0))</f>
        <v>0</v>
      </c>
      <c r="BS64" s="214">
        <f>IF(AND(($D64+$C$1)&gt;AX$3,AX$3&gt;=$C$1),'General Inputs'!V$10*$I64,IF(AND(($C64+$C$1)&gt;AX$3,AX$3&gt;=$C$1),'General Inputs'!V$10*$H64,0))</f>
        <v>0</v>
      </c>
      <c r="BT64" s="214">
        <f>IF(AND(($D64+$C$1)&gt;AY$3,AY$3&gt;=$C$1),'General Inputs'!W$10*$I64,IF(AND(($C64+$C$1)&gt;AY$3,AY$3&gt;=$C$1),'General Inputs'!W$10*$H64,0))</f>
        <v>0</v>
      </c>
    </row>
    <row r="65" spans="1:72">
      <c r="A65" s="342" t="s">
        <v>112</v>
      </c>
      <c r="B65" s="427" t="str">
        <f>Sources!B65</f>
        <v>Pin-Based CFL ≥32W</v>
      </c>
      <c r="C65" s="193">
        <f>Sources!C65</f>
        <v>10</v>
      </c>
      <c r="D65" s="193">
        <f>Sources!D65</f>
        <v>0</v>
      </c>
      <c r="F65" s="429">
        <f>Sources!F65*EnergyLineLoss</f>
        <v>1074.76513125</v>
      </c>
      <c r="G65" s="429">
        <f>Sources!G65*EnergyLineLoss</f>
        <v>0</v>
      </c>
      <c r="H65" s="477">
        <f>Sources!H65*PeakLineLoss</f>
        <v>0.16619031000000001</v>
      </c>
      <c r="I65" s="477">
        <f>Sources!I65*PeakLineLoss</f>
        <v>0</v>
      </c>
      <c r="K65" s="419">
        <f>Sources!J65</f>
        <v>50</v>
      </c>
      <c r="L65" s="419">
        <f>Sources!K65</f>
        <v>0</v>
      </c>
      <c r="N65" s="438">
        <f t="shared" si="26"/>
        <v>6.8489449311094441</v>
      </c>
      <c r="P65" s="215">
        <f t="shared" si="27"/>
        <v>297.34070229447815</v>
      </c>
      <c r="Q65" s="215">
        <f t="shared" si="28"/>
        <v>17.292931071446333</v>
      </c>
      <c r="R65" s="215">
        <f t="shared" si="29"/>
        <v>45.938993017273063</v>
      </c>
      <c r="T65" s="214">
        <f t="shared" si="30"/>
        <v>0</v>
      </c>
      <c r="U65" s="214">
        <f t="shared" si="30"/>
        <v>50</v>
      </c>
      <c r="V65" s="214">
        <f t="shared" si="30"/>
        <v>0</v>
      </c>
      <c r="W65" s="214">
        <f t="shared" si="30"/>
        <v>0</v>
      </c>
      <c r="X65" s="214">
        <f t="shared" si="30"/>
        <v>0</v>
      </c>
      <c r="Y65" s="214">
        <f t="shared" si="30"/>
        <v>0</v>
      </c>
      <c r="Z65" s="214">
        <f t="shared" si="30"/>
        <v>0</v>
      </c>
      <c r="AA65" s="214">
        <f t="shared" si="30"/>
        <v>0</v>
      </c>
      <c r="AB65" s="214">
        <f t="shared" si="30"/>
        <v>0</v>
      </c>
      <c r="AC65" s="214">
        <f t="shared" si="30"/>
        <v>0</v>
      </c>
      <c r="AD65" s="214">
        <f t="shared" si="30"/>
        <v>0</v>
      </c>
      <c r="AF65" s="214">
        <f>IF(AND(($D65+$C$1)&gt;AF$3,AF$3&gt;=$C$1),'General Inputs'!D$9*$G65,IF(AND(($C65+$C$1)&gt;AF$3,AF$3&gt;=$C$1),'General Inputs'!D$9*$F65,0))</f>
        <v>0</v>
      </c>
      <c r="AG65" s="214">
        <f>IF(AND(($D65+$C$1)&gt;AG$3,AG$3&gt;=$C$1),'General Inputs'!E$9*$G65,IF(AND(($C65+$C$1)&gt;AG$3,AG$3&gt;=$C$1),'General Inputs'!E$9*$F65,0))</f>
        <v>43.430671356880545</v>
      </c>
      <c r="AH65" s="214">
        <f>IF(AND(($D65+$C$1)&gt;AH$3,AH$3&gt;=$C$1),'General Inputs'!F$9*$G65,IF(AND(($C65+$C$1)&gt;AH$3,AH$3&gt;=$C$1),'General Inputs'!F$9*$F65,0))</f>
        <v>44.082131427233747</v>
      </c>
      <c r="AI65" s="214">
        <f>IF(AND(($D65+$C$1)&gt;AI$3,AI$3&gt;=$C$1),'General Inputs'!G$9*$G65,IF(AND(($C65+$C$1)&gt;AI$3,AI$3&gt;=$C$1),'General Inputs'!G$9*$F65,0))</f>
        <v>44.743363398642252</v>
      </c>
      <c r="AJ65" s="214">
        <f>IF(AND(($D65+$C$1)&gt;AJ$3,AJ$3&gt;=$C$1),'General Inputs'!H$9*$G65,IF(AND(($C65+$C$1)&gt;AJ$3,AJ$3&gt;=$C$1),'General Inputs'!H$9*$F65,0))</f>
        <v>45.414513849621876</v>
      </c>
      <c r="AK65" s="214">
        <f>IF(AND(($D65+$C$1)&gt;AK$3,AK$3&gt;=$C$1),'General Inputs'!I$9*$G65,IF(AND(($C65+$C$1)&gt;AK$3,AK$3&gt;=$C$1),'General Inputs'!I$9*$F65,0))</f>
        <v>46.0957315573662</v>
      </c>
      <c r="AL65" s="214">
        <f>IF(AND(($D65+$C$1)&gt;AL$3,AL$3&gt;=$C$1),'General Inputs'!J$9*$G65,IF(AND(($C65+$C$1)&gt;AL$3,AL$3&gt;=$C$1),'General Inputs'!J$9*$F65,0))</f>
        <v>46.787167530726684</v>
      </c>
      <c r="AM65" s="214">
        <f>IF(AND(($D65+$C$1)&gt;AM$3,AM$3&gt;=$C$1),'General Inputs'!K$9*$G65,IF(AND(($C65+$C$1)&gt;AM$3,AM$3&gt;=$C$1),'General Inputs'!K$9*$F65,0))</f>
        <v>47.488975043687574</v>
      </c>
      <c r="AN65" s="214">
        <f>IF(AND(($D65+$C$1)&gt;AN$3,AN$3&gt;=$C$1),'General Inputs'!L$9*$G65,IF(AND(($C65+$C$1)&gt;AN$3,AN$3&gt;=$C$1),'General Inputs'!L$9*$F65,0))</f>
        <v>48.201309669342884</v>
      </c>
      <c r="AO65" s="214">
        <f>IF(AND(($D65+$C$1)&gt;AO$3,AO$3&gt;=$C$1),'General Inputs'!M$9*$G65,IF(AND(($C65+$C$1)&gt;AO$3,AO$3&gt;=$C$1),'General Inputs'!M$9*$F65,0))</f>
        <v>48.924329314383023</v>
      </c>
      <c r="AP65" s="214">
        <f>IF(AND(($D65+$C$1)&gt;AP$3,AP$3&gt;=$C$1),'General Inputs'!N$9*$G65,IF(AND(($C65+$C$1)&gt;AP$3,AP$3&gt;=$C$1),'General Inputs'!N$9*$F65,0))</f>
        <v>49.658194254098767</v>
      </c>
      <c r="AQ65" s="214">
        <f>IF(AND(($D65+$C$1)&gt;AQ$3,AQ$3&gt;=$C$1),'General Inputs'!O$9*$G65,IF(AND(($C65+$C$1)&gt;AQ$3,AQ$3&gt;=$C$1),'General Inputs'!O$9*$F65,0))</f>
        <v>0</v>
      </c>
      <c r="AR65" s="214">
        <f>IF(AND(($D65+$C$1)&gt;AR$3,AR$3&gt;=$C$1),'General Inputs'!P$9*$G65,IF(AND(($C65+$C$1)&gt;AR$3,AR$3&gt;=$C$1),'General Inputs'!P$9*$F65,0))</f>
        <v>0</v>
      </c>
      <c r="AS65" s="214">
        <f>IF(AND(($D65+$C$1)&gt;AS$3,AS$3&gt;=$C$1),'General Inputs'!Q$9*$G65,IF(AND(($C65+$C$1)&gt;AS$3,AS$3&gt;=$C$1),'General Inputs'!Q$9*$F65,0))</f>
        <v>0</v>
      </c>
      <c r="AT65" s="214">
        <f>IF(AND(($D65+$C$1)&gt;AT$3,AT$3&gt;=$C$1),'General Inputs'!R$9*$G65,IF(AND(($C65+$C$1)&gt;AT$3,AT$3&gt;=$C$1),'General Inputs'!R$9*$F65,0))</f>
        <v>0</v>
      </c>
      <c r="AU65" s="214">
        <f>IF(AND(($D65+$C$1)&gt;AU$3,AU$3&gt;=$C$1),'General Inputs'!S$9*$G65,IF(AND(($C65+$C$1)&gt;AU$3,AU$3&gt;=$C$1),'General Inputs'!S$9*$F65,0))</f>
        <v>0</v>
      </c>
      <c r="AV65" s="214">
        <f>IF(AND(($D65+$C$1)&gt;AV$3,AV$3&gt;=$C$1),'General Inputs'!T$9*$G65,IF(AND(($C65+$C$1)&gt;AV$3,AV$3&gt;=$C$1),'General Inputs'!T$9*$F65,0))</f>
        <v>0</v>
      </c>
      <c r="AW65" s="214">
        <f>IF(AND(($D65+$C$1)&gt;AW$3,AW$3&gt;=$C$1),'General Inputs'!U$9*$G65,IF(AND(($C65+$C$1)&gt;AW$3,AW$3&gt;=$C$1),'General Inputs'!U$9*$F65,0))</f>
        <v>0</v>
      </c>
      <c r="AX65" s="214">
        <f>IF(AND(($D65+$C$1)&gt;AX$3,AX$3&gt;=$C$1),'General Inputs'!V$9*$G65,IF(AND(($C65+$C$1)&gt;AX$3,AX$3&gt;=$C$1),'General Inputs'!V$9*$F65,0))</f>
        <v>0</v>
      </c>
      <c r="AY65" s="214">
        <f>IF(AND(($D65+$C$1)&gt;AY$3,AY$3&gt;=$C$1),'General Inputs'!W$9*$G65,IF(AND(($C65+$C$1)&gt;AY$3,AY$3&gt;=$C$1),'General Inputs'!W$9*$F65,0))</f>
        <v>0</v>
      </c>
      <c r="BA65" s="214">
        <f>IF(AND(($D65+$C$1)&gt;AF$3,AF$3&gt;=$C$1),'General Inputs'!D$10*$I65,IF(AND(($C65+$C$1)&gt;AF$3,AF$3&gt;=$C$1),'General Inputs'!D$10*$H65,0))</f>
        <v>0</v>
      </c>
      <c r="BB65" s="214">
        <f>IF(AND(($D65+$C$1)&gt;AG$3,AG$3&gt;=$C$1),'General Inputs'!E$10*$I65,IF(AND(($C65+$C$1)&gt;AG$3,AG$3&gt;=$C$1),'General Inputs'!E$10*$H65,0))</f>
        <v>2.5258688109822267</v>
      </c>
      <c r="BC65" s="214">
        <f>IF(AND(($D65+$C$1)&gt;AH$3,AH$3&gt;=$C$1),'General Inputs'!F$10*$I65,IF(AND(($C65+$C$1)&gt;AH$3,AH$3&gt;=$C$1),'General Inputs'!F$10*$H65,0))</f>
        <v>2.56375684314696</v>
      </c>
      <c r="BD65" s="214">
        <f>IF(AND(($D65+$C$1)&gt;AI$3,AI$3&gt;=$C$1),'General Inputs'!G$10*$I65,IF(AND(($C65+$C$1)&gt;AI$3,AI$3&gt;=$C$1),'General Inputs'!G$10*$H65,0))</f>
        <v>2.6022131957941643</v>
      </c>
      <c r="BE65" s="214">
        <f>IF(AND(($D65+$C$1)&gt;AJ$3,AJ$3&gt;=$C$1),'General Inputs'!H$10*$I65,IF(AND(($C65+$C$1)&gt;AJ$3,AJ$3&gt;=$C$1),'General Inputs'!H$10*$H65,0))</f>
        <v>2.6412463937310764</v>
      </c>
      <c r="BF65" s="214">
        <f>IF(AND(($D65+$C$1)&gt;AK$3,AK$3&gt;=$C$1),'General Inputs'!I$10*$I65,IF(AND(($C65+$C$1)&gt;AK$3,AK$3&gt;=$C$1),'General Inputs'!I$10*$H65,0))</f>
        <v>2.6808650896370421</v>
      </c>
      <c r="BG65" s="214">
        <f>IF(AND(($D65+$C$1)&gt;AL$3,AL$3&gt;=$C$1),'General Inputs'!J$10*$I65,IF(AND(($C65+$C$1)&gt;AL$3,AL$3&gt;=$C$1),'General Inputs'!J$10*$H65,0))</f>
        <v>2.7210780659815974</v>
      </c>
      <c r="BH65" s="214">
        <f>IF(AND(($D65+$C$1)&gt;AM$3,AM$3&gt;=$C$1),'General Inputs'!K$10*$I65,IF(AND(($C65+$C$1)&gt;AM$3,AM$3&gt;=$C$1),'General Inputs'!K$10*$H65,0))</f>
        <v>2.7618942369713211</v>
      </c>
      <c r="BI65" s="214">
        <f>IF(AND(($D65+$C$1)&gt;AN$3,AN$3&gt;=$C$1),'General Inputs'!L$10*$I65,IF(AND(($C65+$C$1)&gt;AN$3,AN$3&gt;=$C$1),'General Inputs'!L$10*$H65,0))</f>
        <v>2.803322650525891</v>
      </c>
      <c r="BJ65" s="214">
        <f>IF(AND(($D65+$C$1)&gt;AO$3,AO$3&gt;=$C$1),'General Inputs'!M$10*$I65,IF(AND(($C65+$C$1)&gt;AO$3,AO$3&gt;=$C$1),'General Inputs'!M$10*$H65,0))</f>
        <v>2.8453724902837791</v>
      </c>
      <c r="BK65" s="214">
        <f>IF(AND(($D65+$C$1)&gt;AP$3,AP$3&gt;=$C$1),'General Inputs'!N$10*$I65,IF(AND(($C65+$C$1)&gt;AP$3,AP$3&gt;=$C$1),'General Inputs'!N$10*$H65,0))</f>
        <v>2.8880530776380353</v>
      </c>
      <c r="BL65" s="214">
        <f>IF(AND(($D65+$C$1)&gt;AQ$3,AQ$3&gt;=$C$1),'General Inputs'!O$10*$I65,IF(AND(($C65+$C$1)&gt;AQ$3,AQ$3&gt;=$C$1),'General Inputs'!O$10*$H65,0))</f>
        <v>0</v>
      </c>
      <c r="BM65" s="214">
        <f>IF(AND(($D65+$C$1)&gt;AR$3,AR$3&gt;=$C$1),'General Inputs'!P$10*$I65,IF(AND(($C65+$C$1)&gt;AR$3,AR$3&gt;=$C$1),'General Inputs'!P$10*$H65,0))</f>
        <v>0</v>
      </c>
      <c r="BN65" s="214">
        <f>IF(AND(($D65+$C$1)&gt;AS$3,AS$3&gt;=$C$1),'General Inputs'!Q$10*$I65,IF(AND(($C65+$C$1)&gt;AS$3,AS$3&gt;=$C$1),'General Inputs'!Q$10*$H65,0))</f>
        <v>0</v>
      </c>
      <c r="BO65" s="214">
        <f>IF(AND(($D65+$C$1)&gt;AT$3,AT$3&gt;=$C$1),'General Inputs'!R$10*$I65,IF(AND(($C65+$C$1)&gt;AT$3,AT$3&gt;=$C$1),'General Inputs'!R$10*$H65,0))</f>
        <v>0</v>
      </c>
      <c r="BP65" s="214">
        <f>IF(AND(($D65+$C$1)&gt;AU$3,AU$3&gt;=$C$1),'General Inputs'!S$10*$I65,IF(AND(($C65+$C$1)&gt;AU$3,AU$3&gt;=$C$1),'General Inputs'!S$10*$H65,0))</f>
        <v>0</v>
      </c>
      <c r="BQ65" s="214">
        <f>IF(AND(($D65+$C$1)&gt;AV$3,AV$3&gt;=$C$1),'General Inputs'!T$10*$I65,IF(AND(($C65+$C$1)&gt;AV$3,AV$3&gt;=$C$1),'General Inputs'!T$10*$H65,0))</f>
        <v>0</v>
      </c>
      <c r="BR65" s="214">
        <f>IF(AND(($D65+$C$1)&gt;AW$3,AW$3&gt;=$C$1),'General Inputs'!U$10*$I65,IF(AND(($C65+$C$1)&gt;AW$3,AW$3&gt;=$C$1),'General Inputs'!U$10*$H65,0))</f>
        <v>0</v>
      </c>
      <c r="BS65" s="214">
        <f>IF(AND(($D65+$C$1)&gt;AX$3,AX$3&gt;=$C$1),'General Inputs'!V$10*$I65,IF(AND(($C65+$C$1)&gt;AX$3,AX$3&gt;=$C$1),'General Inputs'!V$10*$H65,0))</f>
        <v>0</v>
      </c>
      <c r="BT65" s="214">
        <f>IF(AND(($D65+$C$1)&gt;AY$3,AY$3&gt;=$C$1),'General Inputs'!W$10*$I65,IF(AND(($C65+$C$1)&gt;AY$3,AY$3&gt;=$C$1),'General Inputs'!W$10*$H65,0))</f>
        <v>0</v>
      </c>
    </row>
    <row r="66" spans="1:72">
      <c r="A66" s="342" t="s">
        <v>112</v>
      </c>
      <c r="B66" s="427" t="str">
        <f>Sources!B66</f>
        <v>Multi-CFL Fixture</v>
      </c>
      <c r="C66" s="193">
        <f>Sources!C66</f>
        <v>18</v>
      </c>
      <c r="D66" s="193">
        <f>Sources!D66</f>
        <v>0</v>
      </c>
      <c r="F66" s="429">
        <f>Sources!F66*EnergyLineLoss</f>
        <v>1243.2418275</v>
      </c>
      <c r="G66" s="429">
        <f>Sources!G66*EnergyLineLoss</f>
        <v>0</v>
      </c>
      <c r="H66" s="477">
        <f>Sources!H66*PeakLineLoss</f>
        <v>0.19224176400000001</v>
      </c>
      <c r="I66" s="477">
        <f>Sources!I66*PeakLineLoss</f>
        <v>0</v>
      </c>
      <c r="K66" s="419">
        <f>Sources!J66</f>
        <v>98</v>
      </c>
      <c r="L66" s="419">
        <f>Sources!K66</f>
        <v>0</v>
      </c>
      <c r="N66" s="438">
        <f t="shared" si="26"/>
        <v>5.7546711177422729</v>
      </c>
      <c r="P66" s="215">
        <f t="shared" si="27"/>
        <v>489.67425186148751</v>
      </c>
      <c r="Q66" s="215">
        <f t="shared" si="28"/>
        <v>28.478788876056306</v>
      </c>
      <c r="R66" s="215">
        <f t="shared" si="29"/>
        <v>90.040426313855193</v>
      </c>
      <c r="T66" s="214">
        <f t="shared" si="30"/>
        <v>0</v>
      </c>
      <c r="U66" s="214">
        <f t="shared" si="30"/>
        <v>98</v>
      </c>
      <c r="V66" s="214">
        <f t="shared" si="30"/>
        <v>0</v>
      </c>
      <c r="W66" s="214">
        <f t="shared" si="30"/>
        <v>0</v>
      </c>
      <c r="X66" s="214">
        <f t="shared" si="30"/>
        <v>0</v>
      </c>
      <c r="Y66" s="214">
        <f t="shared" si="30"/>
        <v>0</v>
      </c>
      <c r="Z66" s="214">
        <f t="shared" si="30"/>
        <v>0</v>
      </c>
      <c r="AA66" s="214">
        <f t="shared" si="30"/>
        <v>0</v>
      </c>
      <c r="AB66" s="214">
        <f t="shared" si="30"/>
        <v>0</v>
      </c>
      <c r="AC66" s="214">
        <f t="shared" si="30"/>
        <v>0</v>
      </c>
      <c r="AD66" s="214">
        <f t="shared" si="30"/>
        <v>0</v>
      </c>
      <c r="AF66" s="214">
        <f>IF(AND(($D66+$C$1)&gt;AF$3,AF$3&gt;=$C$1),'General Inputs'!D$9*$G66,IF(AND(($C66+$C$1)&gt;AF$3,AF$3&gt;=$C$1),'General Inputs'!D$9*$F66,0))</f>
        <v>0</v>
      </c>
      <c r="AG66" s="214">
        <f>IF(AND(($D66+$C$1)&gt;AG$3,AG$3&gt;=$C$1),'General Inputs'!E$9*$G66,IF(AND(($C66+$C$1)&gt;AG$3,AG$3&gt;=$C$1),'General Inputs'!E$9*$F66,0))</f>
        <v>50.23872254255371</v>
      </c>
      <c r="AH66" s="214">
        <f>IF(AND(($D66+$C$1)&gt;AH$3,AH$3&gt;=$C$1),'General Inputs'!F$9*$G66,IF(AND(($C66+$C$1)&gt;AH$3,AH$3&gt;=$C$1),'General Inputs'!F$9*$F66,0))</f>
        <v>50.992303380692007</v>
      </c>
      <c r="AI66" s="214">
        <f>IF(AND(($D66+$C$1)&gt;AI$3,AI$3&gt;=$C$1),'General Inputs'!G$9*$G66,IF(AND(($C66+$C$1)&gt;AI$3,AI$3&gt;=$C$1),'General Inputs'!G$9*$F66,0))</f>
        <v>51.757187931402385</v>
      </c>
      <c r="AJ66" s="214">
        <f>IF(AND(($D66+$C$1)&gt;AJ$3,AJ$3&gt;=$C$1),'General Inputs'!H$9*$G66,IF(AND(($C66+$C$1)&gt;AJ$3,AJ$3&gt;=$C$1),'General Inputs'!H$9*$F66,0))</f>
        <v>52.533545750373413</v>
      </c>
      <c r="AK66" s="214">
        <f>IF(AND(($D66+$C$1)&gt;AK$3,AK$3&gt;=$C$1),'General Inputs'!I$9*$G66,IF(AND(($C66+$C$1)&gt;AK$3,AK$3&gt;=$C$1),'General Inputs'!I$9*$F66,0))</f>
        <v>53.321548936629007</v>
      </c>
      <c r="AL66" s="214">
        <f>IF(AND(($D66+$C$1)&gt;AL$3,AL$3&gt;=$C$1),'General Inputs'!J$9*$G66,IF(AND(($C66+$C$1)&gt;AL$3,AL$3&gt;=$C$1),'General Inputs'!J$9*$F66,0))</f>
        <v>54.121372170678434</v>
      </c>
      <c r="AM66" s="214">
        <f>IF(AND(($D66+$C$1)&gt;AM$3,AM$3&gt;=$C$1),'General Inputs'!K$9*$G66,IF(AND(($C66+$C$1)&gt;AM$3,AM$3&gt;=$C$1),'General Inputs'!K$9*$F66,0))</f>
        <v>54.9331927532386</v>
      </c>
      <c r="AN66" s="214">
        <f>IF(AND(($D66+$C$1)&gt;AN$3,AN$3&gt;=$C$1),'General Inputs'!L$9*$G66,IF(AND(($C66+$C$1)&gt;AN$3,AN$3&gt;=$C$1),'General Inputs'!L$9*$F66,0))</f>
        <v>55.757190644537175</v>
      </c>
      <c r="AO66" s="214">
        <f>IF(AND(($D66+$C$1)&gt;AO$3,AO$3&gt;=$C$1),'General Inputs'!M$9*$G66,IF(AND(($C66+$C$1)&gt;AO$3,AO$3&gt;=$C$1),'General Inputs'!M$9*$F66,0))</f>
        <v>56.593548504205224</v>
      </c>
      <c r="AP66" s="214">
        <f>IF(AND(($D66+$C$1)&gt;AP$3,AP$3&gt;=$C$1),'General Inputs'!N$9*$G66,IF(AND(($C66+$C$1)&gt;AP$3,AP$3&gt;=$C$1),'General Inputs'!N$9*$F66,0))</f>
        <v>57.442451731768301</v>
      </c>
      <c r="AQ66" s="214">
        <f>IF(AND(($D66+$C$1)&gt;AQ$3,AQ$3&gt;=$C$1),'General Inputs'!O$9*$G66,IF(AND(($C66+$C$1)&gt;AQ$3,AQ$3&gt;=$C$1),'General Inputs'!O$9*$F66,0))</f>
        <v>58.304088507744815</v>
      </c>
      <c r="AR66" s="214">
        <f>IF(AND(($D66+$C$1)&gt;AR$3,AR$3&gt;=$C$1),'General Inputs'!P$9*$G66,IF(AND(($C66+$C$1)&gt;AR$3,AR$3&gt;=$C$1),'General Inputs'!P$9*$F66,0))</f>
        <v>59.178649835360986</v>
      </c>
      <c r="AS66" s="214">
        <f>IF(AND(($D66+$C$1)&gt;AS$3,AS$3&gt;=$C$1),'General Inputs'!Q$9*$G66,IF(AND(($C66+$C$1)&gt;AS$3,AS$3&gt;=$C$1),'General Inputs'!Q$9*$F66,0))</f>
        <v>60.066329582891399</v>
      </c>
      <c r="AT66" s="214">
        <f>IF(AND(($D66+$C$1)&gt;AT$3,AT$3&gt;=$C$1),'General Inputs'!R$9*$G66,IF(AND(($C66+$C$1)&gt;AT$3,AT$3&gt;=$C$1),'General Inputs'!R$9*$F66,0))</f>
        <v>60.967324526634762</v>
      </c>
      <c r="AU66" s="214">
        <f>IF(AND(($D66+$C$1)&gt;AU$3,AU$3&gt;=$C$1),'General Inputs'!S$9*$G66,IF(AND(($C66+$C$1)&gt;AU$3,AU$3&gt;=$C$1),'General Inputs'!S$9*$F66,0))</f>
        <v>61.88183439453428</v>
      </c>
      <c r="AV66" s="214">
        <f>IF(AND(($D66+$C$1)&gt;AV$3,AV$3&gt;=$C$1),'General Inputs'!T$9*$G66,IF(AND(($C66+$C$1)&gt;AV$3,AV$3&gt;=$C$1),'General Inputs'!T$9*$F66,0))</f>
        <v>62.810061910452291</v>
      </c>
      <c r="AW66" s="214">
        <f>IF(AND(($D66+$C$1)&gt;AW$3,AW$3&gt;=$C$1),'General Inputs'!U$9*$G66,IF(AND(($C66+$C$1)&gt;AW$3,AW$3&gt;=$C$1),'General Inputs'!U$9*$F66,0))</f>
        <v>63.75221283910907</v>
      </c>
      <c r="AX66" s="214">
        <f>IF(AND(($D66+$C$1)&gt;AX$3,AX$3&gt;=$C$1),'General Inputs'!V$9*$G66,IF(AND(($C66+$C$1)&gt;AX$3,AX$3&gt;=$C$1),'General Inputs'!V$9*$F66,0))</f>
        <v>64.708496031695702</v>
      </c>
      <c r="AY66" s="214">
        <f>IF(AND(($D66+$C$1)&gt;AY$3,AY$3&gt;=$C$1),'General Inputs'!W$9*$G66,IF(AND(($C66+$C$1)&gt;AY$3,AY$3&gt;=$C$1),'General Inputs'!W$9*$F66,0))</f>
        <v>0</v>
      </c>
      <c r="BA66" s="214">
        <f>IF(AND(($D66+$C$1)&gt;AF$3,AF$3&gt;=$C$1),'General Inputs'!D$10*$I66,IF(AND(($C66+$C$1)&gt;AF$3,AF$3&gt;=$C$1),'General Inputs'!D$10*$H66,0))</f>
        <v>0</v>
      </c>
      <c r="BB66" s="214">
        <f>IF(AND(($D66+$C$1)&gt;AG$3,AG$3&gt;=$C$1),'General Inputs'!E$10*$I66,IF(AND(($C66+$C$1)&gt;AG$3,AG$3&gt;=$C$1),'General Inputs'!E$10*$H66,0))</f>
        <v>2.9218158137848462</v>
      </c>
      <c r="BC66" s="214">
        <f>IF(AND(($D66+$C$1)&gt;AH$3,AH$3&gt;=$C$1),'General Inputs'!F$10*$I66,IF(AND(($C66+$C$1)&gt;AH$3,AH$3&gt;=$C$1),'General Inputs'!F$10*$H66,0))</f>
        <v>2.9656430509916185</v>
      </c>
      <c r="BD66" s="214">
        <f>IF(AND(($D66+$C$1)&gt;AI$3,AI$3&gt;=$C$1),'General Inputs'!G$10*$I66,IF(AND(($C66+$C$1)&gt;AI$3,AI$3&gt;=$C$1),'General Inputs'!G$10*$H66,0))</f>
        <v>3.0101276967564927</v>
      </c>
      <c r="BE66" s="214">
        <f>IF(AND(($D66+$C$1)&gt;AJ$3,AJ$3&gt;=$C$1),'General Inputs'!H$10*$I66,IF(AND(($C66+$C$1)&gt;AJ$3,AJ$3&gt;=$C$1),'General Inputs'!H$10*$H66,0))</f>
        <v>3.0552796122078401</v>
      </c>
      <c r="BF66" s="214">
        <f>IF(AND(($D66+$C$1)&gt;AK$3,AK$3&gt;=$C$1),'General Inputs'!I$10*$I66,IF(AND(($C66+$C$1)&gt;AK$3,AK$3&gt;=$C$1),'General Inputs'!I$10*$H66,0))</f>
        <v>3.1011088063909571</v>
      </c>
      <c r="BG66" s="214">
        <f>IF(AND(($D66+$C$1)&gt;AL$3,AL$3&gt;=$C$1),'General Inputs'!J$10*$I66,IF(AND(($C66+$C$1)&gt;AL$3,AL$3&gt;=$C$1),'General Inputs'!J$10*$H66,0))</f>
        <v>3.1476254384868207</v>
      </c>
      <c r="BH66" s="214">
        <f>IF(AND(($D66+$C$1)&gt;AM$3,AM$3&gt;=$C$1),'General Inputs'!K$10*$I66,IF(AND(($C66+$C$1)&gt;AM$3,AM$3&gt;=$C$1),'General Inputs'!K$10*$H66,0))</f>
        <v>3.1948398200641228</v>
      </c>
      <c r="BI66" s="214">
        <f>IF(AND(($D66+$C$1)&gt;AN$3,AN$3&gt;=$C$1),'General Inputs'!L$10*$I66,IF(AND(($C66+$C$1)&gt;AN$3,AN$3&gt;=$C$1),'General Inputs'!L$10*$H66,0))</f>
        <v>3.2427624173650846</v>
      </c>
      <c r="BJ66" s="214">
        <f>IF(AND(($D66+$C$1)&gt;AO$3,AO$3&gt;=$C$1),'General Inputs'!M$10*$I66,IF(AND(($C66+$C$1)&gt;AO$3,AO$3&gt;=$C$1),'General Inputs'!M$10*$H66,0))</f>
        <v>3.2914038536255608</v>
      </c>
      <c r="BK66" s="214">
        <f>IF(AND(($D66+$C$1)&gt;AP$3,AP$3&gt;=$C$1),'General Inputs'!N$10*$I66,IF(AND(($C66+$C$1)&gt;AP$3,AP$3&gt;=$C$1),'General Inputs'!N$10*$H66,0))</f>
        <v>3.3407749114299436</v>
      </c>
      <c r="BL66" s="214">
        <f>IF(AND(($D66+$C$1)&gt;AQ$3,AQ$3&gt;=$C$1),'General Inputs'!O$10*$I66,IF(AND(($C66+$C$1)&gt;AQ$3,AQ$3&gt;=$C$1),'General Inputs'!O$10*$H66,0))</f>
        <v>3.3908865351013926</v>
      </c>
      <c r="BM66" s="214">
        <f>IF(AND(($D66+$C$1)&gt;AR$3,AR$3&gt;=$C$1),'General Inputs'!P$10*$I66,IF(AND(($C66+$C$1)&gt;AR$3,AR$3&gt;=$C$1),'General Inputs'!P$10*$H66,0))</f>
        <v>3.441749833127913</v>
      </c>
      <c r="BN66" s="214">
        <f>IF(AND(($D66+$C$1)&gt;AS$3,AS$3&gt;=$C$1),'General Inputs'!Q$10*$I66,IF(AND(($C66+$C$1)&gt;AS$3,AS$3&gt;=$C$1),'General Inputs'!Q$10*$H66,0))</f>
        <v>3.4933760806248317</v>
      </c>
      <c r="BO66" s="214">
        <f>IF(AND(($D66+$C$1)&gt;AT$3,AT$3&gt;=$C$1),'General Inputs'!R$10*$I66,IF(AND(($C66+$C$1)&gt;AT$3,AT$3&gt;=$C$1),'General Inputs'!R$10*$H66,0))</f>
        <v>3.5457767218342036</v>
      </c>
      <c r="BP66" s="214">
        <f>IF(AND(($D66+$C$1)&gt;AU$3,AU$3&gt;=$C$1),'General Inputs'!S$10*$I66,IF(AND(($C66+$C$1)&gt;AU$3,AU$3&gt;=$C$1),'General Inputs'!S$10*$H66,0))</f>
        <v>3.5989633726617165</v>
      </c>
      <c r="BQ66" s="214">
        <f>IF(AND(($D66+$C$1)&gt;AV$3,AV$3&gt;=$C$1),'General Inputs'!T$10*$I66,IF(AND(($C66+$C$1)&gt;AV$3,AV$3&gt;=$C$1),'General Inputs'!T$10*$H66,0))</f>
        <v>3.6529478232516417</v>
      </c>
      <c r="BR66" s="214">
        <f>IF(AND(($D66+$C$1)&gt;AW$3,AW$3&gt;=$C$1),'General Inputs'!U$10*$I66,IF(AND(($C66+$C$1)&gt;AW$3,AW$3&gt;=$C$1),'General Inputs'!U$10*$H66,0))</f>
        <v>3.707742040600416</v>
      </c>
      <c r="BS66" s="214">
        <f>IF(AND(($D66+$C$1)&gt;AX$3,AX$3&gt;=$C$1),'General Inputs'!V$10*$I66,IF(AND(($C66+$C$1)&gt;AX$3,AX$3&gt;=$C$1),'General Inputs'!V$10*$H66,0))</f>
        <v>3.7633581712094215</v>
      </c>
      <c r="BT66" s="214">
        <f>IF(AND(($D66+$C$1)&gt;AY$3,AY$3&gt;=$C$1),'General Inputs'!W$10*$I66,IF(AND(($C66+$C$1)&gt;AY$3,AY$3&gt;=$C$1),'General Inputs'!W$10*$H66,0))</f>
        <v>0</v>
      </c>
    </row>
    <row r="67" spans="1:72">
      <c r="A67" s="342" t="s">
        <v>112</v>
      </c>
      <c r="B67" s="427" t="str">
        <f>Sources!B67</f>
        <v>Indirect Fixture</v>
      </c>
      <c r="C67" s="193">
        <f>Sources!C67</f>
        <v>18</v>
      </c>
      <c r="D67" s="193">
        <f>Sources!D67</f>
        <v>0</v>
      </c>
      <c r="F67" s="429">
        <f>Sources!F67*EnergyLineLoss</f>
        <v>156.85761374999998</v>
      </c>
      <c r="G67" s="429">
        <f>Sources!G67*EnergyLineLoss</f>
        <v>0</v>
      </c>
      <c r="H67" s="477">
        <f>Sources!H67*PeakLineLoss</f>
        <v>92.481509999999986</v>
      </c>
      <c r="I67" s="477">
        <f>Sources!I67*PeakLineLoss</f>
        <v>0</v>
      </c>
      <c r="K67" s="419">
        <f>Sources!J67</f>
        <v>60</v>
      </c>
      <c r="L67" s="419">
        <f>Sources!K67</f>
        <v>0</v>
      </c>
      <c r="N67" s="438">
        <f t="shared" si="26"/>
        <v>249.64335883630633</v>
      </c>
      <c r="P67" s="215">
        <f t="shared" si="27"/>
        <v>61.781330842337191</v>
      </c>
      <c r="Q67" s="215">
        <f t="shared" si="28"/>
        <v>13700.256091225267</v>
      </c>
      <c r="R67" s="215">
        <f t="shared" si="29"/>
        <v>55.126791620727673</v>
      </c>
      <c r="T67" s="214">
        <f t="shared" si="30"/>
        <v>0</v>
      </c>
      <c r="U67" s="214">
        <f t="shared" si="30"/>
        <v>60</v>
      </c>
      <c r="V67" s="214">
        <f t="shared" si="30"/>
        <v>0</v>
      </c>
      <c r="W67" s="214">
        <f t="shared" si="30"/>
        <v>0</v>
      </c>
      <c r="X67" s="214">
        <f t="shared" si="30"/>
        <v>0</v>
      </c>
      <c r="Y67" s="214">
        <f t="shared" si="30"/>
        <v>0</v>
      </c>
      <c r="Z67" s="214">
        <f t="shared" si="30"/>
        <v>0</v>
      </c>
      <c r="AA67" s="214">
        <f t="shared" si="30"/>
        <v>0</v>
      </c>
      <c r="AB67" s="214">
        <f t="shared" si="30"/>
        <v>0</v>
      </c>
      <c r="AC67" s="214">
        <f t="shared" si="30"/>
        <v>0</v>
      </c>
      <c r="AD67" s="214">
        <f t="shared" si="30"/>
        <v>0</v>
      </c>
      <c r="AF67" s="214">
        <f>IF(AND(($D67+$C$1)&gt;AF$3,AF$3&gt;=$C$1),'General Inputs'!D$9*$G67,IF(AND(($C67+$C$1)&gt;AF$3,AF$3&gt;=$C$1),'General Inputs'!D$9*$F67,0))</f>
        <v>0</v>
      </c>
      <c r="AG67" s="214">
        <f>IF(AND(($D67+$C$1)&gt;AG$3,AG$3&gt;=$C$1),'General Inputs'!E$9*$G67,IF(AND(($C67+$C$1)&gt;AG$3,AG$3&gt;=$C$1),'General Inputs'!E$9*$F67,0))</f>
        <v>6.3385304142474297</v>
      </c>
      <c r="AH67" s="214">
        <f>IF(AND(($D67+$C$1)&gt;AH$3,AH$3&gt;=$C$1),'General Inputs'!F$9*$G67,IF(AND(($C67+$C$1)&gt;AH$3,AH$3&gt;=$C$1),'General Inputs'!F$9*$F67,0))</f>
        <v>6.4336083704611404</v>
      </c>
      <c r="AI67" s="214">
        <f>IF(AND(($D67+$C$1)&gt;AI$3,AI$3&gt;=$C$1),'General Inputs'!G$9*$G67,IF(AND(($C67+$C$1)&gt;AI$3,AI$3&gt;=$C$1),'General Inputs'!G$9*$F67,0))</f>
        <v>6.5301124960180577</v>
      </c>
      <c r="AJ67" s="214">
        <f>IF(AND(($D67+$C$1)&gt;AJ$3,AJ$3&gt;=$C$1),'General Inputs'!H$9*$G67,IF(AND(($C67+$C$1)&gt;AJ$3,AJ$3&gt;=$C$1),'General Inputs'!H$9*$F67,0))</f>
        <v>6.6280641834583278</v>
      </c>
      <c r="AK67" s="214">
        <f>IF(AND(($D67+$C$1)&gt;AK$3,AK$3&gt;=$C$1),'General Inputs'!I$9*$G67,IF(AND(($C67+$C$1)&gt;AK$3,AK$3&gt;=$C$1),'General Inputs'!I$9*$F67,0))</f>
        <v>6.727485146210201</v>
      </c>
      <c r="AL67" s="214">
        <f>IF(AND(($D67+$C$1)&gt;AL$3,AL$3&gt;=$C$1),'General Inputs'!J$9*$G67,IF(AND(($C67+$C$1)&gt;AL$3,AL$3&gt;=$C$1),'General Inputs'!J$9*$F67,0))</f>
        <v>6.8283974234033531</v>
      </c>
      <c r="AM67" s="214">
        <f>IF(AND(($D67+$C$1)&gt;AM$3,AM$3&gt;=$C$1),'General Inputs'!K$9*$G67,IF(AND(($C67+$C$1)&gt;AM$3,AM$3&gt;=$C$1),'General Inputs'!K$9*$F67,0))</f>
        <v>6.9308233847544027</v>
      </c>
      <c r="AN67" s="214">
        <f>IF(AND(($D67+$C$1)&gt;AN$3,AN$3&gt;=$C$1),'General Inputs'!L$9*$G67,IF(AND(($C67+$C$1)&gt;AN$3,AN$3&gt;=$C$1),'General Inputs'!L$9*$F67,0))</f>
        <v>7.034785735525718</v>
      </c>
      <c r="AO67" s="214">
        <f>IF(AND(($D67+$C$1)&gt;AO$3,AO$3&gt;=$C$1),'General Inputs'!M$9*$G67,IF(AND(($C67+$C$1)&gt;AO$3,AO$3&gt;=$C$1),'General Inputs'!M$9*$F67,0))</f>
        <v>7.1403075215586025</v>
      </c>
      <c r="AP67" s="214">
        <f>IF(AND(($D67+$C$1)&gt;AP$3,AP$3&gt;=$C$1),'General Inputs'!N$9*$G67,IF(AND(($C67+$C$1)&gt;AP$3,AP$3&gt;=$C$1),'General Inputs'!N$9*$F67,0))</f>
        <v>7.2474121343819817</v>
      </c>
      <c r="AQ67" s="214">
        <f>IF(AND(($D67+$C$1)&gt;AQ$3,AQ$3&gt;=$C$1),'General Inputs'!O$9*$G67,IF(AND(($C67+$C$1)&gt;AQ$3,AQ$3&gt;=$C$1),'General Inputs'!O$9*$F67,0))</f>
        <v>7.35612331639771</v>
      </c>
      <c r="AR67" s="214">
        <f>IF(AND(($D67+$C$1)&gt;AR$3,AR$3&gt;=$C$1),'General Inputs'!P$9*$G67,IF(AND(($C67+$C$1)&gt;AR$3,AR$3&gt;=$C$1),'General Inputs'!P$9*$F67,0))</f>
        <v>7.4664651661436752</v>
      </c>
      <c r="AS67" s="214">
        <f>IF(AND(($D67+$C$1)&gt;AS$3,AS$3&gt;=$C$1),'General Inputs'!Q$9*$G67,IF(AND(($C67+$C$1)&gt;AS$3,AS$3&gt;=$C$1),'General Inputs'!Q$9*$F67,0))</f>
        <v>7.5784621436358295</v>
      </c>
      <c r="AT67" s="214">
        <f>IF(AND(($D67+$C$1)&gt;AT$3,AT$3&gt;=$C$1),'General Inputs'!R$9*$G67,IF(AND(($C67+$C$1)&gt;AT$3,AT$3&gt;=$C$1),'General Inputs'!R$9*$F67,0))</f>
        <v>7.6921390757903669</v>
      </c>
      <c r="AU67" s="214">
        <f>IF(AND(($D67+$C$1)&gt;AU$3,AU$3&gt;=$C$1),'General Inputs'!S$9*$G67,IF(AND(($C67+$C$1)&gt;AU$3,AU$3&gt;=$C$1),'General Inputs'!S$9*$F67,0))</f>
        <v>7.8075211619272213</v>
      </c>
      <c r="AV67" s="214">
        <f>IF(AND(($D67+$C$1)&gt;AV$3,AV$3&gt;=$C$1),'General Inputs'!T$9*$G67,IF(AND(($C67+$C$1)&gt;AV$3,AV$3&gt;=$C$1),'General Inputs'!T$9*$F67,0))</f>
        <v>7.9246339793561296</v>
      </c>
      <c r="AW67" s="214">
        <f>IF(AND(($D67+$C$1)&gt;AW$3,AW$3&gt;=$C$1),'General Inputs'!U$9*$G67,IF(AND(($C67+$C$1)&gt;AW$3,AW$3&gt;=$C$1),'General Inputs'!U$9*$F67,0))</f>
        <v>8.0435034890464703</v>
      </c>
      <c r="AX67" s="214">
        <f>IF(AND(($D67+$C$1)&gt;AX$3,AX$3&gt;=$C$1),'General Inputs'!V$9*$G67,IF(AND(($C67+$C$1)&gt;AX$3,AX$3&gt;=$C$1),'General Inputs'!V$9*$F67,0))</f>
        <v>8.1641560413821672</v>
      </c>
      <c r="AY67" s="214">
        <f>IF(AND(($D67+$C$1)&gt;AY$3,AY$3&gt;=$C$1),'General Inputs'!W$9*$G67,IF(AND(($C67+$C$1)&gt;AY$3,AY$3&gt;=$C$1),'General Inputs'!W$9*$F67,0))</f>
        <v>0</v>
      </c>
      <c r="BA67" s="214">
        <f>IF(AND(($D67+$C$1)&gt;AF$3,AF$3&gt;=$C$1),'General Inputs'!D$10*$I67,IF(AND(($C67+$C$1)&gt;AF$3,AF$3&gt;=$C$1),'General Inputs'!D$10*$H67,0))</f>
        <v>0</v>
      </c>
      <c r="BB67" s="214">
        <f>IF(AND(($D67+$C$1)&gt;AG$3,AG$3&gt;=$C$1),'General Inputs'!E$10*$I67,IF(AND(($C67+$C$1)&gt;AG$3,AG$3&gt;=$C$1),'General Inputs'!E$10*$H67,0))</f>
        <v>1405.5943556609341</v>
      </c>
      <c r="BC67" s="214">
        <f>IF(AND(($D67+$C$1)&gt;AH$3,AH$3&gt;=$C$1),'General Inputs'!F$10*$I67,IF(AND(($C67+$C$1)&gt;AH$3,AH$3&gt;=$C$1),'General Inputs'!F$10*$H67,0))</f>
        <v>1426.6782709958479</v>
      </c>
      <c r="BD67" s="214">
        <f>IF(AND(($D67+$C$1)&gt;AI$3,AI$3&gt;=$C$1),'General Inputs'!G$10*$I67,IF(AND(($C67+$C$1)&gt;AI$3,AI$3&gt;=$C$1),'General Inputs'!G$10*$H67,0))</f>
        <v>1448.0784450607855</v>
      </c>
      <c r="BE67" s="214">
        <f>IF(AND(($D67+$C$1)&gt;AJ$3,AJ$3&gt;=$C$1),'General Inputs'!H$10*$I67,IF(AND(($C67+$C$1)&gt;AJ$3,AJ$3&gt;=$C$1),'General Inputs'!H$10*$H67,0))</f>
        <v>1469.7996217366972</v>
      </c>
      <c r="BF67" s="214">
        <f>IF(AND(($D67+$C$1)&gt;AK$3,AK$3&gt;=$C$1),'General Inputs'!I$10*$I67,IF(AND(($C67+$C$1)&gt;AK$3,AK$3&gt;=$C$1),'General Inputs'!I$10*$H67,0))</f>
        <v>1491.8466160627474</v>
      </c>
      <c r="BG67" s="214">
        <f>IF(AND(($D67+$C$1)&gt;AL$3,AL$3&gt;=$C$1),'General Inputs'!J$10*$I67,IF(AND(($C67+$C$1)&gt;AL$3,AL$3&gt;=$C$1),'General Inputs'!J$10*$H67,0))</f>
        <v>1514.2243153036884</v>
      </c>
      <c r="BH67" s="214">
        <f>IF(AND(($D67+$C$1)&gt;AM$3,AM$3&gt;=$C$1),'General Inputs'!K$10*$I67,IF(AND(($C67+$C$1)&gt;AM$3,AM$3&gt;=$C$1),'General Inputs'!K$10*$H67,0))</f>
        <v>1536.9376800332436</v>
      </c>
      <c r="BI67" s="214">
        <f>IF(AND(($D67+$C$1)&gt;AN$3,AN$3&gt;=$C$1),'General Inputs'!L$10*$I67,IF(AND(($C67+$C$1)&gt;AN$3,AN$3&gt;=$C$1),'General Inputs'!L$10*$H67,0))</f>
        <v>1559.9917452337422</v>
      </c>
      <c r="BJ67" s="214">
        <f>IF(AND(($D67+$C$1)&gt;AO$3,AO$3&gt;=$C$1),'General Inputs'!M$10*$I67,IF(AND(($C67+$C$1)&gt;AO$3,AO$3&gt;=$C$1),'General Inputs'!M$10*$H67,0))</f>
        <v>1583.3916214122482</v>
      </c>
      <c r="BK67" s="214">
        <f>IF(AND(($D67+$C$1)&gt;AP$3,AP$3&gt;=$C$1),'General Inputs'!N$10*$I67,IF(AND(($C67+$C$1)&gt;AP$3,AP$3&gt;=$C$1),'General Inputs'!N$10*$H67,0))</f>
        <v>1607.1424957334318</v>
      </c>
      <c r="BL67" s="214">
        <f>IF(AND(($D67+$C$1)&gt;AQ$3,AQ$3&gt;=$C$1),'General Inputs'!O$10*$I67,IF(AND(($C67+$C$1)&gt;AQ$3,AQ$3&gt;=$C$1),'General Inputs'!O$10*$H67,0))</f>
        <v>1631.2496331694331</v>
      </c>
      <c r="BM67" s="214">
        <f>IF(AND(($D67+$C$1)&gt;AR$3,AR$3&gt;=$C$1),'General Inputs'!P$10*$I67,IF(AND(($C67+$C$1)&gt;AR$3,AR$3&gt;=$C$1),'General Inputs'!P$10*$H67,0))</f>
        <v>1655.7183776669744</v>
      </c>
      <c r="BN67" s="214">
        <f>IF(AND(($D67+$C$1)&gt;AS$3,AS$3&gt;=$C$1),'General Inputs'!Q$10*$I67,IF(AND(($C67+$C$1)&gt;AS$3,AS$3&gt;=$C$1),'General Inputs'!Q$10*$H67,0))</f>
        <v>1680.554153331979</v>
      </c>
      <c r="BO67" s="214">
        <f>IF(AND(($D67+$C$1)&gt;AT$3,AT$3&gt;=$C$1),'General Inputs'!R$10*$I67,IF(AND(($C67+$C$1)&gt;AT$3,AT$3&gt;=$C$1),'General Inputs'!R$10*$H67,0))</f>
        <v>1705.7624656319583</v>
      </c>
      <c r="BP67" s="214">
        <f>IF(AND(($D67+$C$1)&gt;AU$3,AU$3&gt;=$C$1),'General Inputs'!S$10*$I67,IF(AND(($C67+$C$1)&gt;AU$3,AU$3&gt;=$C$1),'General Inputs'!S$10*$H67,0))</f>
        <v>1731.3489026164377</v>
      </c>
      <c r="BQ67" s="214">
        <f>IF(AND(($D67+$C$1)&gt;AV$3,AV$3&gt;=$C$1),'General Inputs'!T$10*$I67,IF(AND(($C67+$C$1)&gt;AV$3,AV$3&gt;=$C$1),'General Inputs'!T$10*$H67,0))</f>
        <v>1757.319136155684</v>
      </c>
      <c r="BR67" s="214">
        <f>IF(AND(($D67+$C$1)&gt;AW$3,AW$3&gt;=$C$1),'General Inputs'!U$10*$I67,IF(AND(($C67+$C$1)&gt;AW$3,AW$3&gt;=$C$1),'General Inputs'!U$10*$H67,0))</f>
        <v>1783.678923198019</v>
      </c>
      <c r="BS67" s="214">
        <f>IF(AND(($D67+$C$1)&gt;AX$3,AX$3&gt;=$C$1),'General Inputs'!V$10*$I67,IF(AND(($C67+$C$1)&gt;AX$3,AX$3&gt;=$C$1),'General Inputs'!V$10*$H67,0))</f>
        <v>1810.4341070459891</v>
      </c>
      <c r="BT67" s="214">
        <f>IF(AND(($D67+$C$1)&gt;AY$3,AY$3&gt;=$C$1),'General Inputs'!W$10*$I67,IF(AND(($C67+$C$1)&gt;AY$3,AY$3&gt;=$C$1),'General Inputs'!W$10*$H67,0))</f>
        <v>0</v>
      </c>
    </row>
    <row r="68" spans="1:72">
      <c r="A68" s="342" t="s">
        <v>112</v>
      </c>
      <c r="B68" s="427" t="str">
        <f>Sources!B68</f>
        <v>Ceramic Integrated Metal Halide (≤150W)</v>
      </c>
      <c r="C68" s="193">
        <f>Sources!C68</f>
        <v>18</v>
      </c>
      <c r="D68" s="193">
        <f>Sources!D68</f>
        <v>0</v>
      </c>
      <c r="F68" s="429">
        <f>Sources!F68*EnergyLineLoss</f>
        <v>946.95522374999985</v>
      </c>
      <c r="G68" s="429">
        <f>Sources!G68*EnergyLineLoss</f>
        <v>0</v>
      </c>
      <c r="H68" s="477">
        <f>Sources!H68*PeakLineLoss</f>
        <v>0.14642713799999998</v>
      </c>
      <c r="I68" s="477">
        <f>Sources!I68*PeakLineLoss</f>
        <v>0</v>
      </c>
      <c r="K68" s="419">
        <f>Sources!J68</f>
        <v>145</v>
      </c>
      <c r="L68" s="419">
        <f>Sources!K68</f>
        <v>0</v>
      </c>
      <c r="N68" s="438">
        <f t="shared" si="26"/>
        <v>2.962459440374317</v>
      </c>
      <c r="P68" s="215">
        <f t="shared" si="27"/>
        <v>372.97618249262825</v>
      </c>
      <c r="Q68" s="215">
        <f t="shared" si="28"/>
        <v>21.691787788771858</v>
      </c>
      <c r="R68" s="215">
        <f t="shared" si="29"/>
        <v>133.22307975009187</v>
      </c>
      <c r="T68" s="214">
        <f t="shared" si="30"/>
        <v>0</v>
      </c>
      <c r="U68" s="214">
        <f t="shared" si="30"/>
        <v>145</v>
      </c>
      <c r="V68" s="214">
        <f t="shared" si="30"/>
        <v>0</v>
      </c>
      <c r="W68" s="214">
        <f t="shared" si="30"/>
        <v>0</v>
      </c>
      <c r="X68" s="214">
        <f t="shared" si="30"/>
        <v>0</v>
      </c>
      <c r="Y68" s="214">
        <f t="shared" si="30"/>
        <v>0</v>
      </c>
      <c r="Z68" s="214">
        <f t="shared" si="30"/>
        <v>0</v>
      </c>
      <c r="AA68" s="214">
        <f t="shared" si="30"/>
        <v>0</v>
      </c>
      <c r="AB68" s="214">
        <f t="shared" si="30"/>
        <v>0</v>
      </c>
      <c r="AC68" s="214">
        <f t="shared" si="30"/>
        <v>0</v>
      </c>
      <c r="AD68" s="214">
        <f t="shared" si="30"/>
        <v>0</v>
      </c>
      <c r="AF68" s="214">
        <f>IF(AND(($D68+$C$1)&gt;AF$3,AF$3&gt;=$C$1),'General Inputs'!D$9*$G68,IF(AND(($C68+$C$1)&gt;AF$3,AF$3&gt;=$C$1),'General Inputs'!D$9*$F68,0))</f>
        <v>0</v>
      </c>
      <c r="AG68" s="214">
        <f>IF(AND(($D68+$C$1)&gt;AG$3,AG$3&gt;=$C$1),'General Inputs'!E$9*$G68,IF(AND(($C68+$C$1)&gt;AG$3,AG$3&gt;=$C$1),'General Inputs'!E$9*$F68,0))</f>
        <v>38.265942871197446</v>
      </c>
      <c r="AH68" s="214">
        <f>IF(AND(($D68+$C$1)&gt;AH$3,AH$3&gt;=$C$1),'General Inputs'!F$9*$G68,IF(AND(($C68+$C$1)&gt;AH$3,AH$3&gt;=$C$1),'General Inputs'!F$9*$F68,0))</f>
        <v>38.839932014265401</v>
      </c>
      <c r="AI68" s="214">
        <f>IF(AND(($D68+$C$1)&gt;AI$3,AI$3&gt;=$C$1),'General Inputs'!G$9*$G68,IF(AND(($C68+$C$1)&gt;AI$3,AI$3&gt;=$C$1),'General Inputs'!G$9*$F68,0))</f>
        <v>39.422530994479381</v>
      </c>
      <c r="AJ68" s="214">
        <f>IF(AND(($D68+$C$1)&gt;AJ$3,AJ$3&gt;=$C$1),'General Inputs'!H$9*$G68,IF(AND(($C68+$C$1)&gt;AJ$3,AJ$3&gt;=$C$1),'General Inputs'!H$9*$F68,0))</f>
        <v>40.013868959396568</v>
      </c>
      <c r="AK68" s="214">
        <f>IF(AND(($D68+$C$1)&gt;AK$3,AK$3&gt;=$C$1),'General Inputs'!I$9*$G68,IF(AND(($C68+$C$1)&gt;AK$3,AK$3&gt;=$C$1),'General Inputs'!I$9*$F68,0))</f>
        <v>40.614076993787506</v>
      </c>
      <c r="AL68" s="214">
        <f>IF(AND(($D68+$C$1)&gt;AL$3,AL$3&gt;=$C$1),'General Inputs'!J$9*$G68,IF(AND(($C68+$C$1)&gt;AL$3,AL$3&gt;=$C$1),'General Inputs'!J$9*$F68,0))</f>
        <v>41.223288148694316</v>
      </c>
      <c r="AM68" s="214">
        <f>IF(AND(($D68+$C$1)&gt;AM$3,AM$3&gt;=$C$1),'General Inputs'!K$9*$G68,IF(AND(($C68+$C$1)&gt;AM$3,AM$3&gt;=$C$1),'General Inputs'!K$9*$F68,0))</f>
        <v>41.841637470924724</v>
      </c>
      <c r="AN68" s="214">
        <f>IF(AND(($D68+$C$1)&gt;AN$3,AN$3&gt;=$C$1),'General Inputs'!L$9*$G68,IF(AND(($C68+$C$1)&gt;AN$3,AN$3&gt;=$C$1),'General Inputs'!L$9*$F68,0))</f>
        <v>42.469262032988588</v>
      </c>
      <c r="AO68" s="214">
        <f>IF(AND(($D68+$C$1)&gt;AO$3,AO$3&gt;=$C$1),'General Inputs'!M$9*$G68,IF(AND(($C68+$C$1)&gt;AO$3,AO$3&gt;=$C$1),'General Inputs'!M$9*$F68,0))</f>
        <v>43.106300963483413</v>
      </c>
      <c r="AP68" s="214">
        <f>IF(AND(($D68+$C$1)&gt;AP$3,AP$3&gt;=$C$1),'General Inputs'!N$9*$G68,IF(AND(($C68+$C$1)&gt;AP$3,AP$3&gt;=$C$1),'General Inputs'!N$9*$F68,0))</f>
        <v>43.75289547793566</v>
      </c>
      <c r="AQ68" s="214">
        <f>IF(AND(($D68+$C$1)&gt;AQ$3,AQ$3&gt;=$C$1),'General Inputs'!O$9*$G68,IF(AND(($C68+$C$1)&gt;AQ$3,AQ$3&gt;=$C$1),'General Inputs'!O$9*$F68,0))</f>
        <v>44.409188910104689</v>
      </c>
      <c r="AR68" s="214">
        <f>IF(AND(($D68+$C$1)&gt;AR$3,AR$3&gt;=$C$1),'General Inputs'!P$9*$G68,IF(AND(($C68+$C$1)&gt;AR$3,AR$3&gt;=$C$1),'General Inputs'!P$9*$F68,0))</f>
        <v>45.075326743756257</v>
      </c>
      <c r="AS68" s="214">
        <f>IF(AND(($D68+$C$1)&gt;AS$3,AS$3&gt;=$C$1),'General Inputs'!Q$9*$G68,IF(AND(($C68+$C$1)&gt;AS$3,AS$3&gt;=$C$1),'General Inputs'!Q$9*$F68,0))</f>
        <v>45.751456644912601</v>
      </c>
      <c r="AT68" s="214">
        <f>IF(AND(($D68+$C$1)&gt;AT$3,AT$3&gt;=$C$1),'General Inputs'!R$9*$G68,IF(AND(($C68+$C$1)&gt;AT$3,AT$3&gt;=$C$1),'General Inputs'!R$9*$F68,0))</f>
        <v>46.437728494586288</v>
      </c>
      <c r="AU68" s="214">
        <f>IF(AND(($D68+$C$1)&gt;AU$3,AU$3&gt;=$C$1),'General Inputs'!S$9*$G68,IF(AND(($C68+$C$1)&gt;AU$3,AU$3&gt;=$C$1),'General Inputs'!S$9*$F68,0))</f>
        <v>47.134294422005077</v>
      </c>
      <c r="AV68" s="214">
        <f>IF(AND(($D68+$C$1)&gt;AV$3,AV$3&gt;=$C$1),'General Inputs'!T$9*$G68,IF(AND(($C68+$C$1)&gt;AV$3,AV$3&gt;=$C$1),'General Inputs'!T$9*$F68,0))</f>
        <v>47.841308838335152</v>
      </c>
      <c r="AW68" s="214">
        <f>IF(AND(($D68+$C$1)&gt;AW$3,AW$3&gt;=$C$1),'General Inputs'!U$9*$G68,IF(AND(($C68+$C$1)&gt;AW$3,AW$3&gt;=$C$1),'General Inputs'!U$9*$F68,0))</f>
        <v>48.558928470910175</v>
      </c>
      <c r="AX68" s="214">
        <f>IF(AND(($D68+$C$1)&gt;AX$3,AX$3&gt;=$C$1),'General Inputs'!V$9*$G68,IF(AND(($C68+$C$1)&gt;AX$3,AX$3&gt;=$C$1),'General Inputs'!V$9*$F68,0))</f>
        <v>49.287312397973821</v>
      </c>
      <c r="AY68" s="214">
        <f>IF(AND(($D68+$C$1)&gt;AY$3,AY$3&gt;=$C$1),'General Inputs'!W$9*$G68,IF(AND(($C68+$C$1)&gt;AY$3,AY$3&gt;=$C$1),'General Inputs'!W$9*$F68,0))</f>
        <v>0</v>
      </c>
      <c r="BA68" s="214">
        <f>IF(AND(($D68+$C$1)&gt;AF$3,AF$3&gt;=$C$1),'General Inputs'!D$10*$I68,IF(AND(($C68+$C$1)&gt;AF$3,AF$3&gt;=$C$1),'General Inputs'!D$10*$H68,0))</f>
        <v>0</v>
      </c>
      <c r="BB68" s="214">
        <f>IF(AND(($D68+$C$1)&gt;AG$3,AG$3&gt;=$C$1),'General Inputs'!E$10*$I68,IF(AND(($C68+$C$1)&gt;AG$3,AG$3&gt;=$C$1),'General Inputs'!E$10*$H68,0))</f>
        <v>2.2254952226492049</v>
      </c>
      <c r="BC68" s="214">
        <f>IF(AND(($D68+$C$1)&gt;AH$3,AH$3&gt;=$C$1),'General Inputs'!F$10*$I68,IF(AND(($C68+$C$1)&gt;AH$3,AH$3&gt;=$C$1),'General Inputs'!F$10*$H68,0))</f>
        <v>2.2588776509889428</v>
      </c>
      <c r="BD68" s="214">
        <f>IF(AND(($D68+$C$1)&gt;AI$3,AI$3&gt;=$C$1),'General Inputs'!G$10*$I68,IF(AND(($C68+$C$1)&gt;AI$3,AI$3&gt;=$C$1),'General Inputs'!G$10*$H68,0))</f>
        <v>2.2927608157537769</v>
      </c>
      <c r="BE68" s="214">
        <f>IF(AND(($D68+$C$1)&gt;AJ$3,AJ$3&gt;=$C$1),'General Inputs'!H$10*$I68,IF(AND(($C68+$C$1)&gt;AJ$3,AJ$3&gt;=$C$1),'General Inputs'!H$10*$H68,0))</f>
        <v>2.3271522279900831</v>
      </c>
      <c r="BF68" s="214">
        <f>IF(AND(($D68+$C$1)&gt;AK$3,AK$3&gt;=$C$1),'General Inputs'!I$10*$I68,IF(AND(($C68+$C$1)&gt;AK$3,AK$3&gt;=$C$1),'General Inputs'!I$10*$H68,0))</f>
        <v>2.3620595114099343</v>
      </c>
      <c r="BG68" s="214">
        <f>IF(AND(($D68+$C$1)&gt;AL$3,AL$3&gt;=$C$1),'General Inputs'!J$10*$I68,IF(AND(($C68+$C$1)&gt;AL$3,AL$3&gt;=$C$1),'General Inputs'!J$10*$H68,0))</f>
        <v>2.3974904040810827</v>
      </c>
      <c r="BH68" s="214">
        <f>IF(AND(($D68+$C$1)&gt;AM$3,AM$3&gt;=$C$1),'General Inputs'!K$10*$I68,IF(AND(($C68+$C$1)&gt;AM$3,AM$3&gt;=$C$1),'General Inputs'!K$10*$H68,0))</f>
        <v>2.4334527601422988</v>
      </c>
      <c r="BI68" s="214">
        <f>IF(AND(($D68+$C$1)&gt;AN$3,AN$3&gt;=$C$1),'General Inputs'!L$10*$I68,IF(AND(($C68+$C$1)&gt;AN$3,AN$3&gt;=$C$1),'General Inputs'!L$10*$H68,0))</f>
        <v>2.4699545515444332</v>
      </c>
      <c r="BJ68" s="214">
        <f>IF(AND(($D68+$C$1)&gt;AO$3,AO$3&gt;=$C$1),'General Inputs'!M$10*$I68,IF(AND(($C68+$C$1)&gt;AO$3,AO$3&gt;=$C$1),'General Inputs'!M$10*$H68,0))</f>
        <v>2.5070038698175998</v>
      </c>
      <c r="BK68" s="214">
        <f>IF(AND(($D68+$C$1)&gt;AP$3,AP$3&gt;=$C$1),'General Inputs'!N$10*$I68,IF(AND(($C68+$C$1)&gt;AP$3,AP$3&gt;=$C$1),'General Inputs'!N$10*$H68,0))</f>
        <v>2.5446089278648634</v>
      </c>
      <c r="BL68" s="214">
        <f>IF(AND(($D68+$C$1)&gt;AQ$3,AQ$3&gt;=$C$1),'General Inputs'!O$10*$I68,IF(AND(($C68+$C$1)&gt;AQ$3,AQ$3&gt;=$C$1),'General Inputs'!O$10*$H68,0))</f>
        <v>2.582778061782836</v>
      </c>
      <c r="BM68" s="214">
        <f>IF(AND(($D68+$C$1)&gt;AR$3,AR$3&gt;=$C$1),'General Inputs'!P$10*$I68,IF(AND(($C68+$C$1)&gt;AR$3,AR$3&gt;=$C$1),'General Inputs'!P$10*$H68,0))</f>
        <v>2.6215197327095785</v>
      </c>
      <c r="BN68" s="214">
        <f>IF(AND(($D68+$C$1)&gt;AS$3,AS$3&gt;=$C$1),'General Inputs'!Q$10*$I68,IF(AND(($C68+$C$1)&gt;AS$3,AS$3&gt;=$C$1),'General Inputs'!Q$10*$H68,0))</f>
        <v>2.660842528700222</v>
      </c>
      <c r="BO68" s="214">
        <f>IF(AND(($D68+$C$1)&gt;AT$3,AT$3&gt;=$C$1),'General Inputs'!R$10*$I68,IF(AND(($C68+$C$1)&gt;AT$3,AT$3&gt;=$C$1),'General Inputs'!R$10*$H68,0))</f>
        <v>2.7007551666307248</v>
      </c>
      <c r="BP68" s="214">
        <f>IF(AND(($D68+$C$1)&gt;AU$3,AU$3&gt;=$C$1),'General Inputs'!S$10*$I68,IF(AND(($C68+$C$1)&gt;AU$3,AU$3&gt;=$C$1),'General Inputs'!S$10*$H68,0))</f>
        <v>2.7412664941301856</v>
      </c>
      <c r="BQ68" s="214">
        <f>IF(AND(($D68+$C$1)&gt;AV$3,AV$3&gt;=$C$1),'General Inputs'!T$10*$I68,IF(AND(($C68+$C$1)&gt;AV$3,AV$3&gt;=$C$1),'General Inputs'!T$10*$H68,0))</f>
        <v>2.7823854915421378</v>
      </c>
      <c r="BR68" s="214">
        <f>IF(AND(($D68+$C$1)&gt;AW$3,AW$3&gt;=$C$1),'General Inputs'!U$10*$I68,IF(AND(($C68+$C$1)&gt;AW$3,AW$3&gt;=$C$1),'General Inputs'!U$10*$H68,0))</f>
        <v>2.8241212739152699</v>
      </c>
      <c r="BS68" s="214">
        <f>IF(AND(($D68+$C$1)&gt;AX$3,AX$3&gt;=$C$1),'General Inputs'!V$10*$I68,IF(AND(($C68+$C$1)&gt;AX$3,AX$3&gt;=$C$1),'General Inputs'!V$10*$H68,0))</f>
        <v>2.8664830930239984</v>
      </c>
      <c r="BT68" s="214">
        <f>IF(AND(($D68+$C$1)&gt;AY$3,AY$3&gt;=$C$1),'General Inputs'!W$10*$I68,IF(AND(($C68+$C$1)&gt;AY$3,AY$3&gt;=$C$1),'General Inputs'!W$10*$H68,0))</f>
        <v>0</v>
      </c>
    </row>
    <row r="69" spans="1:72">
      <c r="A69" s="342" t="s">
        <v>112</v>
      </c>
      <c r="B69" s="427" t="str">
        <f>Sources!B69</f>
        <v>Ceramic Integrated Metal Halide (150 &lt; 250W)</v>
      </c>
      <c r="C69" s="193">
        <f>Sources!C69</f>
        <v>18</v>
      </c>
      <c r="D69" s="193">
        <f>Sources!D69</f>
        <v>0</v>
      </c>
      <c r="F69" s="429">
        <f>Sources!F69*EnergyLineLoss</f>
        <v>1063.1460487499999</v>
      </c>
      <c r="G69" s="429">
        <f>Sources!G69*EnergyLineLoss</f>
        <v>0</v>
      </c>
      <c r="H69" s="477">
        <f>Sources!H69*PeakLineLoss</f>
        <v>0.164393658</v>
      </c>
      <c r="I69" s="477">
        <f>Sources!I69*PeakLineLoss</f>
        <v>0</v>
      </c>
      <c r="K69" s="419">
        <f>Sources!J69</f>
        <v>98</v>
      </c>
      <c r="L69" s="419">
        <f>Sources!K69</f>
        <v>0</v>
      </c>
      <c r="N69" s="438">
        <f t="shared" si="26"/>
        <v>4.9210505352655876</v>
      </c>
      <c r="P69" s="215">
        <f t="shared" si="27"/>
        <v>418.74013126472994</v>
      </c>
      <c r="Q69" s="215">
        <f t="shared" si="28"/>
        <v>24.353356842608903</v>
      </c>
      <c r="R69" s="215">
        <f t="shared" si="29"/>
        <v>90.040426313855193</v>
      </c>
      <c r="T69" s="214">
        <f t="shared" si="30"/>
        <v>0</v>
      </c>
      <c r="U69" s="214">
        <f t="shared" si="30"/>
        <v>98</v>
      </c>
      <c r="V69" s="214">
        <f t="shared" si="30"/>
        <v>0</v>
      </c>
      <c r="W69" s="214">
        <f t="shared" si="30"/>
        <v>0</v>
      </c>
      <c r="X69" s="214">
        <f t="shared" si="30"/>
        <v>0</v>
      </c>
      <c r="Y69" s="214">
        <f t="shared" si="30"/>
        <v>0</v>
      </c>
      <c r="Z69" s="214">
        <f t="shared" si="30"/>
        <v>0</v>
      </c>
      <c r="AA69" s="214">
        <f t="shared" si="30"/>
        <v>0</v>
      </c>
      <c r="AB69" s="214">
        <f t="shared" si="30"/>
        <v>0</v>
      </c>
      <c r="AC69" s="214">
        <f t="shared" si="30"/>
        <v>0</v>
      </c>
      <c r="AD69" s="214">
        <f t="shared" si="30"/>
        <v>0</v>
      </c>
      <c r="AF69" s="214">
        <f>IF(AND(($D69+$C$1)&gt;AF$3,AF$3&gt;=$C$1),'General Inputs'!D$9*$G69,IF(AND(($C69+$C$1)&gt;AF$3,AF$3&gt;=$C$1),'General Inputs'!D$9*$F69,0))</f>
        <v>0</v>
      </c>
      <c r="AG69" s="214">
        <f>IF(AND(($D69+$C$1)&gt;AG$3,AG$3&gt;=$C$1),'General Inputs'!E$9*$G69,IF(AND(($C69+$C$1)&gt;AG$3,AG$3&gt;=$C$1),'General Inputs'!E$9*$F69,0))</f>
        <v>42.961150585454803</v>
      </c>
      <c r="AH69" s="214">
        <f>IF(AND(($D69+$C$1)&gt;AH$3,AH$3&gt;=$C$1),'General Inputs'!F$9*$G69,IF(AND(($C69+$C$1)&gt;AH$3,AH$3&gt;=$C$1),'General Inputs'!F$9*$F69,0))</f>
        <v>43.605567844236617</v>
      </c>
      <c r="AI69" s="214">
        <f>IF(AND(($D69+$C$1)&gt;AI$3,AI$3&gt;=$C$1),'General Inputs'!G$9*$G69,IF(AND(($C69+$C$1)&gt;AI$3,AI$3&gt;=$C$1),'General Inputs'!G$9*$F69,0))</f>
        <v>44.259651361900168</v>
      </c>
      <c r="AJ69" s="214">
        <f>IF(AND(($D69+$C$1)&gt;AJ$3,AJ$3&gt;=$C$1),'General Inputs'!H$9*$G69,IF(AND(($C69+$C$1)&gt;AJ$3,AJ$3&gt;=$C$1),'General Inputs'!H$9*$F69,0))</f>
        <v>44.92354613232866</v>
      </c>
      <c r="AK69" s="214">
        <f>IF(AND(($D69+$C$1)&gt;AK$3,AK$3&gt;=$C$1),'General Inputs'!I$9*$G69,IF(AND(($C69+$C$1)&gt;AK$3,AK$3&gt;=$C$1),'General Inputs'!I$9*$F69,0))</f>
        <v>45.597399324313585</v>
      </c>
      <c r="AL69" s="214">
        <f>IF(AND(($D69+$C$1)&gt;AL$3,AL$3&gt;=$C$1),'General Inputs'!J$9*$G69,IF(AND(($C69+$C$1)&gt;AL$3,AL$3&gt;=$C$1),'General Inputs'!J$9*$F69,0))</f>
        <v>46.281360314178279</v>
      </c>
      <c r="AM69" s="214">
        <f>IF(AND(($D69+$C$1)&gt;AM$3,AM$3&gt;=$C$1),'General Inputs'!K$9*$G69,IF(AND(($C69+$C$1)&gt;AM$3,AM$3&gt;=$C$1),'General Inputs'!K$9*$F69,0))</f>
        <v>46.975580718890946</v>
      </c>
      <c r="AN69" s="214">
        <f>IF(AND(($D69+$C$1)&gt;AN$3,AN$3&gt;=$C$1),'General Inputs'!L$9*$G69,IF(AND(($C69+$C$1)&gt;AN$3,AN$3&gt;=$C$1),'General Inputs'!L$9*$F69,0))</f>
        <v>47.680214429674308</v>
      </c>
      <c r="AO69" s="214">
        <f>IF(AND(($D69+$C$1)&gt;AO$3,AO$3&gt;=$C$1),'General Inputs'!M$9*$G69,IF(AND(($C69+$C$1)&gt;AO$3,AO$3&gt;=$C$1),'General Inputs'!M$9*$F69,0))</f>
        <v>48.395417646119419</v>
      </c>
      <c r="AP69" s="214">
        <f>IF(AND(($D69+$C$1)&gt;AP$3,AP$3&gt;=$C$1),'General Inputs'!N$9*$G69,IF(AND(($C69+$C$1)&gt;AP$3,AP$3&gt;=$C$1),'General Inputs'!N$9*$F69,0))</f>
        <v>49.121348910811207</v>
      </c>
      <c r="AQ69" s="214">
        <f>IF(AND(($D69+$C$1)&gt;AQ$3,AQ$3&gt;=$C$1),'General Inputs'!O$9*$G69,IF(AND(($C69+$C$1)&gt;AQ$3,AQ$3&gt;=$C$1),'General Inputs'!O$9*$F69,0))</f>
        <v>49.858169144473365</v>
      </c>
      <c r="AR69" s="214">
        <f>IF(AND(($D69+$C$1)&gt;AR$3,AR$3&gt;=$C$1),'General Inputs'!P$9*$G69,IF(AND(($C69+$C$1)&gt;AR$3,AR$3&gt;=$C$1),'General Inputs'!P$9*$F69,0))</f>
        <v>50.606041681640463</v>
      </c>
      <c r="AS69" s="214">
        <f>IF(AND(($D69+$C$1)&gt;AS$3,AS$3&gt;=$C$1),'General Inputs'!Q$9*$G69,IF(AND(($C69+$C$1)&gt;AS$3,AS$3&gt;=$C$1),'General Inputs'!Q$9*$F69,0))</f>
        <v>51.365132306865064</v>
      </c>
      <c r="AT69" s="214">
        <f>IF(AND(($D69+$C$1)&gt;AT$3,AT$3&gt;=$C$1),'General Inputs'!R$9*$G69,IF(AND(($C69+$C$1)&gt;AT$3,AT$3&gt;=$C$1),'General Inputs'!R$9*$F69,0))</f>
        <v>52.135609291468036</v>
      </c>
      <c r="AU69" s="214">
        <f>IF(AND(($D69+$C$1)&gt;AU$3,AU$3&gt;=$C$1),'General Inputs'!S$9*$G69,IF(AND(($C69+$C$1)&gt;AU$3,AU$3&gt;=$C$1),'General Inputs'!S$9*$F69,0))</f>
        <v>52.917643430840059</v>
      </c>
      <c r="AV69" s="214">
        <f>IF(AND(($D69+$C$1)&gt;AV$3,AV$3&gt;=$C$1),'General Inputs'!T$9*$G69,IF(AND(($C69+$C$1)&gt;AV$3,AV$3&gt;=$C$1),'General Inputs'!T$9*$F69,0))</f>
        <v>53.711408082302654</v>
      </c>
      <c r="AW69" s="214">
        <f>IF(AND(($D69+$C$1)&gt;AW$3,AW$3&gt;=$C$1),'General Inputs'!U$9*$G69,IF(AND(($C69+$C$1)&gt;AW$3,AW$3&gt;=$C$1),'General Inputs'!U$9*$F69,0))</f>
        <v>54.517079203537193</v>
      </c>
      <c r="AX69" s="214">
        <f>IF(AND(($D69+$C$1)&gt;AX$3,AX$3&gt;=$C$1),'General Inputs'!V$9*$G69,IF(AND(($C69+$C$1)&gt;AX$3,AX$3&gt;=$C$1),'General Inputs'!V$9*$F69,0))</f>
        <v>55.334835391590246</v>
      </c>
      <c r="AY69" s="214">
        <f>IF(AND(($D69+$C$1)&gt;AY$3,AY$3&gt;=$C$1),'General Inputs'!W$9*$G69,IF(AND(($C69+$C$1)&gt;AY$3,AY$3&gt;=$C$1),'General Inputs'!W$9*$F69,0))</f>
        <v>0</v>
      </c>
      <c r="BA69" s="214">
        <f>IF(AND(($D69+$C$1)&gt;AF$3,AF$3&gt;=$C$1),'General Inputs'!D$10*$I69,IF(AND(($C69+$C$1)&gt;AF$3,AF$3&gt;=$C$1),'General Inputs'!D$10*$H69,0))</f>
        <v>0</v>
      </c>
      <c r="BB69" s="214">
        <f>IF(AND(($D69+$C$1)&gt;AG$3,AG$3&gt;=$C$1),'General Inputs'!E$10*$I69,IF(AND(($C69+$C$1)&gt;AG$3,AG$3&gt;=$C$1),'General Inputs'!E$10*$H69,0))</f>
        <v>2.4985621211337703</v>
      </c>
      <c r="BC69" s="214">
        <f>IF(AND(($D69+$C$1)&gt;AH$3,AH$3&gt;=$C$1),'General Inputs'!F$10*$I69,IF(AND(($C69+$C$1)&gt;AH$3,AH$3&gt;=$C$1),'General Inputs'!F$10*$H69,0))</f>
        <v>2.5360405529507766</v>
      </c>
      <c r="BD69" s="214">
        <f>IF(AND(($D69+$C$1)&gt;AI$3,AI$3&gt;=$C$1),'General Inputs'!G$10*$I69,IF(AND(($C69+$C$1)&gt;AI$3,AI$3&gt;=$C$1),'General Inputs'!G$10*$H69,0))</f>
        <v>2.5740811612450383</v>
      </c>
      <c r="BE69" s="214">
        <f>IF(AND(($D69+$C$1)&gt;AJ$3,AJ$3&gt;=$C$1),'General Inputs'!H$10*$I69,IF(AND(($C69+$C$1)&gt;AJ$3,AJ$3&gt;=$C$1),'General Inputs'!H$10*$H69,0))</f>
        <v>2.6126923786637133</v>
      </c>
      <c r="BF69" s="214">
        <f>IF(AND(($D69+$C$1)&gt;AK$3,AK$3&gt;=$C$1),'General Inputs'!I$10*$I69,IF(AND(($C69+$C$1)&gt;AK$3,AK$3&gt;=$C$1),'General Inputs'!I$10*$H69,0))</f>
        <v>2.6518827643436684</v>
      </c>
      <c r="BG69" s="214">
        <f>IF(AND(($D69+$C$1)&gt;AL$3,AL$3&gt;=$C$1),'General Inputs'!J$10*$I69,IF(AND(($C69+$C$1)&gt;AL$3,AL$3&gt;=$C$1),'General Inputs'!J$10*$H69,0))</f>
        <v>2.6916610058088235</v>
      </c>
      <c r="BH69" s="214">
        <f>IF(AND(($D69+$C$1)&gt;AM$3,AM$3&gt;=$C$1),'General Inputs'!K$10*$I69,IF(AND(($C69+$C$1)&gt;AM$3,AM$3&gt;=$C$1),'General Inputs'!K$10*$H69,0))</f>
        <v>2.7320359208959553</v>
      </c>
      <c r="BI69" s="214">
        <f>IF(AND(($D69+$C$1)&gt;AN$3,AN$3&gt;=$C$1),'General Inputs'!L$10*$I69,IF(AND(($C69+$C$1)&gt;AN$3,AN$3&gt;=$C$1),'General Inputs'!L$10*$H69,0))</f>
        <v>2.7730164597093947</v>
      </c>
      <c r="BJ69" s="214">
        <f>IF(AND(($D69+$C$1)&gt;AO$3,AO$3&gt;=$C$1),'General Inputs'!M$10*$I69,IF(AND(($C69+$C$1)&gt;AO$3,AO$3&gt;=$C$1),'General Inputs'!M$10*$H69,0))</f>
        <v>2.8146117066050356</v>
      </c>
      <c r="BK69" s="214">
        <f>IF(AND(($D69+$C$1)&gt;AP$3,AP$3&gt;=$C$1),'General Inputs'!N$10*$I69,IF(AND(($C69+$C$1)&gt;AP$3,AP$3&gt;=$C$1),'General Inputs'!N$10*$H69,0))</f>
        <v>2.8568308822041106</v>
      </c>
      <c r="BL69" s="214">
        <f>IF(AND(($D69+$C$1)&gt;AQ$3,AQ$3&gt;=$C$1),'General Inputs'!O$10*$I69,IF(AND(($C69+$C$1)&gt;AQ$3,AQ$3&gt;=$C$1),'General Inputs'!O$10*$H69,0))</f>
        <v>2.8996833454371718</v>
      </c>
      <c r="BM69" s="214">
        <f>IF(AND(($D69+$C$1)&gt;AR$3,AR$3&gt;=$C$1),'General Inputs'!P$10*$I69,IF(AND(($C69+$C$1)&gt;AR$3,AR$3&gt;=$C$1),'General Inputs'!P$10*$H69,0))</f>
        <v>2.9431785956187295</v>
      </c>
      <c r="BN69" s="214">
        <f>IF(AND(($D69+$C$1)&gt;AS$3,AS$3&gt;=$C$1),'General Inputs'!Q$10*$I69,IF(AND(($C69+$C$1)&gt;AS$3,AS$3&gt;=$C$1),'General Inputs'!Q$10*$H69,0))</f>
        <v>2.98732627455301</v>
      </c>
      <c r="BO69" s="214">
        <f>IF(AND(($D69+$C$1)&gt;AT$3,AT$3&gt;=$C$1),'General Inputs'!R$10*$I69,IF(AND(($C69+$C$1)&gt;AT$3,AT$3&gt;=$C$1),'General Inputs'!R$10*$H69,0))</f>
        <v>3.0321361686713049</v>
      </c>
      <c r="BP69" s="214">
        <f>IF(AND(($D69+$C$1)&gt;AU$3,AU$3&gt;=$C$1),'General Inputs'!S$10*$I69,IF(AND(($C69+$C$1)&gt;AU$3,AU$3&gt;=$C$1),'General Inputs'!S$10*$H69,0))</f>
        <v>3.0776182112013744</v>
      </c>
      <c r="BQ69" s="214">
        <f>IF(AND(($D69+$C$1)&gt;AV$3,AV$3&gt;=$C$1),'General Inputs'!T$10*$I69,IF(AND(($C69+$C$1)&gt;AV$3,AV$3&gt;=$C$1),'General Inputs'!T$10*$H69,0))</f>
        <v>3.1237824843693942</v>
      </c>
      <c r="BR69" s="214">
        <f>IF(AND(($D69+$C$1)&gt;AW$3,AW$3&gt;=$C$1),'General Inputs'!U$10*$I69,IF(AND(($C69+$C$1)&gt;AW$3,AW$3&gt;=$C$1),'General Inputs'!U$10*$H69,0))</f>
        <v>3.1706392216349348</v>
      </c>
      <c r="BS69" s="214">
        <f>IF(AND(($D69+$C$1)&gt;AX$3,AX$3&gt;=$C$1),'General Inputs'!V$10*$I69,IF(AND(($C69+$C$1)&gt;AX$3,AX$3&gt;=$C$1),'General Inputs'!V$10*$H69,0))</f>
        <v>3.2181988099594583</v>
      </c>
      <c r="BT69" s="214">
        <f>IF(AND(($D69+$C$1)&gt;AY$3,AY$3&gt;=$C$1),'General Inputs'!W$10*$I69,IF(AND(($C69+$C$1)&gt;AY$3,AY$3&gt;=$C$1),'General Inputs'!W$10*$H69,0))</f>
        <v>0</v>
      </c>
    </row>
    <row r="70" spans="1:72">
      <c r="A70" s="342" t="s">
        <v>112</v>
      </c>
      <c r="B70" s="427" t="str">
        <f>Sources!B70</f>
        <v>Ceramic Integrated Metal Halide (≥250 W)</v>
      </c>
      <c r="C70" s="193">
        <f>Sources!C70</f>
        <v>18</v>
      </c>
      <c r="D70" s="193">
        <f>Sources!D70</f>
        <v>0</v>
      </c>
      <c r="F70" s="429">
        <f>Sources!F70*EnergyLineLoss</f>
        <v>493.81100625000005</v>
      </c>
      <c r="G70" s="429">
        <f>Sources!G70*EnergyLineLoss</f>
        <v>0</v>
      </c>
      <c r="H70" s="477">
        <f>Sources!H70*PeakLineLoss</f>
        <v>7.6357710000000009E-2</v>
      </c>
      <c r="I70" s="477">
        <f>Sources!I70*PeakLineLoss</f>
        <v>0</v>
      </c>
      <c r="K70" s="419">
        <f>Sources!J70</f>
        <v>42</v>
      </c>
      <c r="L70" s="419">
        <f>Sources!K70</f>
        <v>0</v>
      </c>
      <c r="N70" s="438">
        <f t="shared" si="26"/>
        <v>5.3333789954153454</v>
      </c>
      <c r="P70" s="215">
        <f t="shared" si="27"/>
        <v>194.49678228143193</v>
      </c>
      <c r="Q70" s="215">
        <f t="shared" si="28"/>
        <v>11.311668478807416</v>
      </c>
      <c r="R70" s="215">
        <f t="shared" si="29"/>
        <v>38.588754134509372</v>
      </c>
      <c r="T70" s="214">
        <f t="shared" si="30"/>
        <v>0</v>
      </c>
      <c r="U70" s="214">
        <f t="shared" si="30"/>
        <v>42</v>
      </c>
      <c r="V70" s="214">
        <f t="shared" si="30"/>
        <v>0</v>
      </c>
      <c r="W70" s="214">
        <f t="shared" si="30"/>
        <v>0</v>
      </c>
      <c r="X70" s="214">
        <f t="shared" si="30"/>
        <v>0</v>
      </c>
      <c r="Y70" s="214">
        <f t="shared" si="30"/>
        <v>0</v>
      </c>
      <c r="Z70" s="214">
        <f t="shared" si="30"/>
        <v>0</v>
      </c>
      <c r="AA70" s="214">
        <f t="shared" si="30"/>
        <v>0</v>
      </c>
      <c r="AB70" s="214">
        <f t="shared" si="30"/>
        <v>0</v>
      </c>
      <c r="AC70" s="214">
        <f t="shared" si="30"/>
        <v>0</v>
      </c>
      <c r="AD70" s="214">
        <f t="shared" si="30"/>
        <v>0</v>
      </c>
      <c r="AF70" s="214">
        <f>IF(AND(($D70+$C$1)&gt;AF$3,AF$3&gt;=$C$1),'General Inputs'!D$9*$G70,IF(AND(($C70+$C$1)&gt;AF$3,AF$3&gt;=$C$1),'General Inputs'!D$9*$F70,0))</f>
        <v>0</v>
      </c>
      <c r="AG70" s="214">
        <f>IF(AND(($D70+$C$1)&gt;AG$3,AG$3&gt;=$C$1),'General Inputs'!E$9*$G70,IF(AND(($C70+$C$1)&gt;AG$3,AG$3&gt;=$C$1),'General Inputs'!E$9*$F70,0))</f>
        <v>19.954632785593766</v>
      </c>
      <c r="AH70" s="214">
        <f>IF(AND(($D70+$C$1)&gt;AH$3,AH$3&gt;=$C$1),'General Inputs'!F$9*$G70,IF(AND(($C70+$C$1)&gt;AH$3,AH$3&gt;=$C$1),'General Inputs'!F$9*$F70,0))</f>
        <v>20.253952277377671</v>
      </c>
      <c r="AI70" s="214">
        <f>IF(AND(($D70+$C$1)&gt;AI$3,AI$3&gt;=$C$1),'General Inputs'!G$9*$G70,IF(AND(($C70+$C$1)&gt;AI$3,AI$3&gt;=$C$1),'General Inputs'!G$9*$F70,0))</f>
        <v>20.557761561538332</v>
      </c>
      <c r="AJ70" s="214">
        <f>IF(AND(($D70+$C$1)&gt;AJ$3,AJ$3&gt;=$C$1),'General Inputs'!H$9*$G70,IF(AND(($C70+$C$1)&gt;AJ$3,AJ$3&gt;=$C$1),'General Inputs'!H$9*$F70,0))</f>
        <v>20.866127984961405</v>
      </c>
      <c r="AK70" s="214">
        <f>IF(AND(($D70+$C$1)&gt;AK$3,AK$3&gt;=$C$1),'General Inputs'!I$9*$G70,IF(AND(($C70+$C$1)&gt;AK$3,AK$3&gt;=$C$1),'General Inputs'!I$9*$F70,0))</f>
        <v>21.179119904735824</v>
      </c>
      <c r="AL70" s="214">
        <f>IF(AND(($D70+$C$1)&gt;AL$3,AL$3&gt;=$C$1),'General Inputs'!J$9*$G70,IF(AND(($C70+$C$1)&gt;AL$3,AL$3&gt;=$C$1),'General Inputs'!J$9*$F70,0))</f>
        <v>21.496806703306856</v>
      </c>
      <c r="AM70" s="214">
        <f>IF(AND(($D70+$C$1)&gt;AM$3,AM$3&gt;=$C$1),'General Inputs'!K$9*$G70,IF(AND(($C70+$C$1)&gt;AM$3,AM$3&gt;=$C$1),'General Inputs'!K$9*$F70,0))</f>
        <v>21.819258803856457</v>
      </c>
      <c r="AN70" s="214">
        <f>IF(AND(($D70+$C$1)&gt;AN$3,AN$3&gt;=$C$1),'General Inputs'!L$9*$G70,IF(AND(($C70+$C$1)&gt;AN$3,AN$3&gt;=$C$1),'General Inputs'!L$9*$F70,0))</f>
        <v>22.146547685914303</v>
      </c>
      <c r="AO70" s="214">
        <f>IF(AND(($D70+$C$1)&gt;AO$3,AO$3&gt;=$C$1),'General Inputs'!M$9*$G70,IF(AND(($C70+$C$1)&gt;AO$3,AO$3&gt;=$C$1),'General Inputs'!M$9*$F70,0))</f>
        <v>22.478745901203013</v>
      </c>
      <c r="AP70" s="214">
        <f>IF(AND(($D70+$C$1)&gt;AP$3,AP$3&gt;=$C$1),'General Inputs'!N$9*$G70,IF(AND(($C70+$C$1)&gt;AP$3,AP$3&gt;=$C$1),'General Inputs'!N$9*$F70,0))</f>
        <v>22.815927089721058</v>
      </c>
      <c r="AQ70" s="214">
        <f>IF(AND(($D70+$C$1)&gt;AQ$3,AQ$3&gt;=$C$1),'General Inputs'!O$9*$G70,IF(AND(($C70+$C$1)&gt;AQ$3,AQ$3&gt;=$C$1),'General Inputs'!O$9*$F70,0))</f>
        <v>23.15816599606687</v>
      </c>
      <c r="AR70" s="214">
        <f>IF(AND(($D70+$C$1)&gt;AR$3,AR$3&gt;=$C$1),'General Inputs'!P$9*$G70,IF(AND(($C70+$C$1)&gt;AR$3,AR$3&gt;=$C$1),'General Inputs'!P$9*$F70,0))</f>
        <v>23.505538486007872</v>
      </c>
      <c r="AS70" s="214">
        <f>IF(AND(($D70+$C$1)&gt;AS$3,AS$3&gt;=$C$1),'General Inputs'!Q$9*$G70,IF(AND(($C70+$C$1)&gt;AS$3,AS$3&gt;=$C$1),'General Inputs'!Q$9*$F70,0))</f>
        <v>23.858121563297988</v>
      </c>
      <c r="AT70" s="214">
        <f>IF(AND(($D70+$C$1)&gt;AT$3,AT$3&gt;=$C$1),'General Inputs'!R$9*$G70,IF(AND(($C70+$C$1)&gt;AT$3,AT$3&gt;=$C$1),'General Inputs'!R$9*$F70,0))</f>
        <v>24.215993386747456</v>
      </c>
      <c r="AU70" s="214">
        <f>IF(AND(($D70+$C$1)&gt;AU$3,AU$3&gt;=$C$1),'General Inputs'!S$9*$G70,IF(AND(($C70+$C$1)&gt;AU$3,AU$3&gt;=$C$1),'General Inputs'!S$9*$F70,0))</f>
        <v>24.579233287548664</v>
      </c>
      <c r="AV70" s="214">
        <f>IF(AND(($D70+$C$1)&gt;AV$3,AV$3&gt;=$C$1),'General Inputs'!T$9*$G70,IF(AND(($C70+$C$1)&gt;AV$3,AV$3&gt;=$C$1),'General Inputs'!T$9*$F70,0))</f>
        <v>24.947921786861894</v>
      </c>
      <c r="AW70" s="214">
        <f>IF(AND(($D70+$C$1)&gt;AW$3,AW$3&gt;=$C$1),'General Inputs'!U$9*$G70,IF(AND(($C70+$C$1)&gt;AW$3,AW$3&gt;=$C$1),'General Inputs'!U$9*$F70,0))</f>
        <v>25.322140613664821</v>
      </c>
      <c r="AX70" s="214">
        <f>IF(AND(($D70+$C$1)&gt;AX$3,AX$3&gt;=$C$1),'General Inputs'!V$9*$G70,IF(AND(($C70+$C$1)&gt;AX$3,AX$3&gt;=$C$1),'General Inputs'!V$9*$F70,0))</f>
        <v>25.70197272286979</v>
      </c>
      <c r="AY70" s="214">
        <f>IF(AND(($D70+$C$1)&gt;AY$3,AY$3&gt;=$C$1),'General Inputs'!W$9*$G70,IF(AND(($C70+$C$1)&gt;AY$3,AY$3&gt;=$C$1),'General Inputs'!W$9*$F70,0))</f>
        <v>0</v>
      </c>
      <c r="BA70" s="214">
        <f>IF(AND(($D70+$C$1)&gt;AF$3,AF$3&gt;=$C$1),'General Inputs'!D$10*$I70,IF(AND(($C70+$C$1)&gt;AF$3,AF$3&gt;=$C$1),'General Inputs'!D$10*$H70,0))</f>
        <v>0</v>
      </c>
      <c r="BB70" s="214">
        <f>IF(AND(($D70+$C$1)&gt;AG$3,AG$3&gt;=$C$1),'General Inputs'!E$10*$I70,IF(AND(($C70+$C$1)&gt;AG$3,AG$3&gt;=$C$1),'General Inputs'!E$10*$H70,0))</f>
        <v>1.1605343185594017</v>
      </c>
      <c r="BC70" s="214">
        <f>IF(AND(($D70+$C$1)&gt;AH$3,AH$3&gt;=$C$1),'General Inputs'!F$10*$I70,IF(AND(($C70+$C$1)&gt;AH$3,AH$3&gt;=$C$1),'General Inputs'!F$10*$H70,0))</f>
        <v>1.1779423333377925</v>
      </c>
      <c r="BD70" s="214">
        <f>IF(AND(($D70+$C$1)&gt;AI$3,AI$3&gt;=$C$1),'General Inputs'!G$10*$I70,IF(AND(($C70+$C$1)&gt;AI$3,AI$3&gt;=$C$1),'General Inputs'!G$10*$H70,0))</f>
        <v>1.1956114683378594</v>
      </c>
      <c r="BE70" s="214">
        <f>IF(AND(($D70+$C$1)&gt;AJ$3,AJ$3&gt;=$C$1),'General Inputs'!H$10*$I70,IF(AND(($C70+$C$1)&gt;AJ$3,AJ$3&gt;=$C$1),'General Inputs'!H$10*$H70,0))</f>
        <v>1.2135456403629272</v>
      </c>
      <c r="BF70" s="214">
        <f>IF(AND(($D70+$C$1)&gt;AK$3,AK$3&gt;=$C$1),'General Inputs'!I$10*$I70,IF(AND(($C70+$C$1)&gt;AK$3,AK$3&gt;=$C$1),'General Inputs'!I$10*$H70,0))</f>
        <v>1.2317488249683708</v>
      </c>
      <c r="BG70" s="214">
        <f>IF(AND(($D70+$C$1)&gt;AL$3,AL$3&gt;=$C$1),'General Inputs'!J$10*$I70,IF(AND(($C70+$C$1)&gt;AL$3,AL$3&gt;=$C$1),'General Inputs'!J$10*$H70,0))</f>
        <v>1.2502250573428961</v>
      </c>
      <c r="BH70" s="214">
        <f>IF(AND(($D70+$C$1)&gt;AM$3,AM$3&gt;=$C$1),'General Inputs'!K$10*$I70,IF(AND(($C70+$C$1)&gt;AM$3,AM$3&gt;=$C$1),'General Inputs'!K$10*$H70,0))</f>
        <v>1.2689784332030396</v>
      </c>
      <c r="BI70" s="214">
        <f>IF(AND(($D70+$C$1)&gt;AN$3,AN$3&gt;=$C$1),'General Inputs'!L$10*$I70,IF(AND(($C70+$C$1)&gt;AN$3,AN$3&gt;=$C$1),'General Inputs'!L$10*$H70,0))</f>
        <v>1.2880131097010852</v>
      </c>
      <c r="BJ70" s="214">
        <f>IF(AND(($D70+$C$1)&gt;AO$3,AO$3&gt;=$C$1),'General Inputs'!M$10*$I70,IF(AND(($C70+$C$1)&gt;AO$3,AO$3&gt;=$C$1),'General Inputs'!M$10*$H70,0))</f>
        <v>1.3073333063466013</v>
      </c>
      <c r="BK70" s="214">
        <f>IF(AND(($D70+$C$1)&gt;AP$3,AP$3&gt;=$C$1),'General Inputs'!N$10*$I70,IF(AND(($C70+$C$1)&gt;AP$3,AP$3&gt;=$C$1),'General Inputs'!N$10*$H70,0))</f>
        <v>1.3269433059418001</v>
      </c>
      <c r="BL70" s="214">
        <f>IF(AND(($D70+$C$1)&gt;AQ$3,AQ$3&gt;=$C$1),'General Inputs'!O$10*$I70,IF(AND(($C70+$C$1)&gt;AQ$3,AQ$3&gt;=$C$1),'General Inputs'!O$10*$H70,0))</f>
        <v>1.3468474555309271</v>
      </c>
      <c r="BM70" s="214">
        <f>IF(AND(($D70+$C$1)&gt;AR$3,AR$3&gt;=$C$1),'General Inputs'!P$10*$I70,IF(AND(($C70+$C$1)&gt;AR$3,AR$3&gt;=$C$1),'General Inputs'!P$10*$H70,0))</f>
        <v>1.3670501673638908</v>
      </c>
      <c r="BN70" s="214">
        <f>IF(AND(($D70+$C$1)&gt;AS$3,AS$3&gt;=$C$1),'General Inputs'!Q$10*$I70,IF(AND(($C70+$C$1)&gt;AS$3,AS$3&gt;=$C$1),'General Inputs'!Q$10*$H70,0))</f>
        <v>1.387555919874349</v>
      </c>
      <c r="BO70" s="214">
        <f>IF(AND(($D70+$C$1)&gt;AT$3,AT$3&gt;=$C$1),'General Inputs'!R$10*$I70,IF(AND(($C70+$C$1)&gt;AT$3,AT$3&gt;=$C$1),'General Inputs'!R$10*$H70,0))</f>
        <v>1.4083692586724641</v>
      </c>
      <c r="BP70" s="214">
        <f>IF(AND(($D70+$C$1)&gt;AU$3,AU$3&gt;=$C$1),'General Inputs'!S$10*$I70,IF(AND(($C70+$C$1)&gt;AU$3,AU$3&gt;=$C$1),'General Inputs'!S$10*$H70,0))</f>
        <v>1.4294947975525509</v>
      </c>
      <c r="BQ70" s="214">
        <f>IF(AND(($D70+$C$1)&gt;AV$3,AV$3&gt;=$C$1),'General Inputs'!T$10*$I70,IF(AND(($C70+$C$1)&gt;AV$3,AV$3&gt;=$C$1),'General Inputs'!T$10*$H70,0))</f>
        <v>1.4509372195158392</v>
      </c>
      <c r="BR70" s="214">
        <f>IF(AND(($D70+$C$1)&gt;AW$3,AW$3&gt;=$C$1),'General Inputs'!U$10*$I70,IF(AND(($C70+$C$1)&gt;AW$3,AW$3&gt;=$C$1),'General Inputs'!U$10*$H70,0))</f>
        <v>1.4727012778085766</v>
      </c>
      <c r="BS70" s="214">
        <f>IF(AND(($D70+$C$1)&gt;AX$3,AX$3&gt;=$C$1),'General Inputs'!V$10*$I70,IF(AND(($C70+$C$1)&gt;AX$3,AX$3&gt;=$C$1),'General Inputs'!V$10*$H70,0))</f>
        <v>1.494791796975705</v>
      </c>
      <c r="BT70" s="214">
        <f>IF(AND(($D70+$C$1)&gt;AY$3,AY$3&gt;=$C$1),'General Inputs'!W$10*$I70,IF(AND(($C70+$C$1)&gt;AY$3,AY$3&gt;=$C$1),'General Inputs'!W$10*$H70,0))</f>
        <v>0</v>
      </c>
    </row>
    <row r="71" spans="1:72">
      <c r="A71" s="342" t="s">
        <v>112</v>
      </c>
      <c r="B71" s="427" t="str">
        <f>Sources!B71</f>
        <v>Pulse Start Metal Halide (≤175W)</v>
      </c>
      <c r="C71" s="193">
        <f>Sources!C71</f>
        <v>18</v>
      </c>
      <c r="D71" s="193">
        <f>Sources!D71</f>
        <v>0</v>
      </c>
      <c r="F71" s="429">
        <f>Sources!F71*EnergyLineLoss</f>
        <v>981.81247124999993</v>
      </c>
      <c r="G71" s="429">
        <f>Sources!G71*EnergyLineLoss</f>
        <v>0</v>
      </c>
      <c r="H71" s="477">
        <f>Sources!H71*PeakLineLoss</f>
        <v>0.15181709400000001</v>
      </c>
      <c r="I71" s="477">
        <f>Sources!I71*PeakLineLoss</f>
        <v>0</v>
      </c>
      <c r="K71" s="419">
        <f>Sources!J71</f>
        <v>161</v>
      </c>
      <c r="L71" s="419">
        <f>Sources!K71</f>
        <v>0</v>
      </c>
      <c r="N71" s="438">
        <f t="shared" si="26"/>
        <v>2.766264092762742</v>
      </c>
      <c r="P71" s="215">
        <f t="shared" si="27"/>
        <v>386.70536712425883</v>
      </c>
      <c r="Q71" s="215">
        <f t="shared" si="28"/>
        <v>22.490258504922981</v>
      </c>
      <c r="R71" s="215">
        <f t="shared" si="29"/>
        <v>147.92355751561925</v>
      </c>
      <c r="T71" s="214">
        <f t="shared" si="30"/>
        <v>0</v>
      </c>
      <c r="U71" s="214">
        <f t="shared" si="30"/>
        <v>161</v>
      </c>
      <c r="V71" s="214">
        <f t="shared" si="30"/>
        <v>0</v>
      </c>
      <c r="W71" s="214">
        <f t="shared" si="30"/>
        <v>0</v>
      </c>
      <c r="X71" s="214">
        <f t="shared" si="30"/>
        <v>0</v>
      </c>
      <c r="Y71" s="214">
        <f t="shared" si="30"/>
        <v>0</v>
      </c>
      <c r="Z71" s="214">
        <f t="shared" si="30"/>
        <v>0</v>
      </c>
      <c r="AA71" s="214">
        <f t="shared" si="30"/>
        <v>0</v>
      </c>
      <c r="AB71" s="214">
        <f t="shared" si="30"/>
        <v>0</v>
      </c>
      <c r="AC71" s="214">
        <f t="shared" si="30"/>
        <v>0</v>
      </c>
      <c r="AD71" s="214">
        <f t="shared" si="30"/>
        <v>0</v>
      </c>
      <c r="AF71" s="214">
        <f>IF(AND(($D71+$C$1)&gt;AF$3,AF$3&gt;=$C$1),'General Inputs'!D$9*$G71,IF(AND(($C71+$C$1)&gt;AF$3,AF$3&gt;=$C$1),'General Inputs'!D$9*$F71,0))</f>
        <v>0</v>
      </c>
      <c r="AG71" s="214">
        <f>IF(AND(($D71+$C$1)&gt;AG$3,AG$3&gt;=$C$1),'General Inputs'!E$9*$G71,IF(AND(($C71+$C$1)&gt;AG$3,AG$3&gt;=$C$1),'General Inputs'!E$9*$F71,0))</f>
        <v>39.674505185474658</v>
      </c>
      <c r="AH71" s="214">
        <f>IF(AND(($D71+$C$1)&gt;AH$3,AH$3&gt;=$C$1),'General Inputs'!F$9*$G71,IF(AND(($C71+$C$1)&gt;AH$3,AH$3&gt;=$C$1),'General Inputs'!F$9*$F71,0))</f>
        <v>40.26962276325677</v>
      </c>
      <c r="AI71" s="214">
        <f>IF(AND(($D71+$C$1)&gt;AI$3,AI$3&gt;=$C$1),'General Inputs'!G$9*$G71,IF(AND(($C71+$C$1)&gt;AI$3,AI$3&gt;=$C$1),'General Inputs'!G$9*$F71,0))</f>
        <v>40.873667104705618</v>
      </c>
      <c r="AJ71" s="214">
        <f>IF(AND(($D71+$C$1)&gt;AJ$3,AJ$3&gt;=$C$1),'General Inputs'!H$9*$G71,IF(AND(($C71+$C$1)&gt;AJ$3,AJ$3&gt;=$C$1),'General Inputs'!H$9*$F71,0))</f>
        <v>41.486772111276196</v>
      </c>
      <c r="AK71" s="214">
        <f>IF(AND(($D71+$C$1)&gt;AK$3,AK$3&gt;=$C$1),'General Inputs'!I$9*$G71,IF(AND(($C71+$C$1)&gt;AK$3,AK$3&gt;=$C$1),'General Inputs'!I$9*$F71,0))</f>
        <v>42.109073692945337</v>
      </c>
      <c r="AL71" s="214">
        <f>IF(AND(($D71+$C$1)&gt;AL$3,AL$3&gt;=$C$1),'General Inputs'!J$9*$G71,IF(AND(($C71+$C$1)&gt;AL$3,AL$3&gt;=$C$1),'General Inputs'!J$9*$F71,0))</f>
        <v>42.740709798339509</v>
      </c>
      <c r="AM71" s="214">
        <f>IF(AND(($D71+$C$1)&gt;AM$3,AM$3&gt;=$C$1),'General Inputs'!K$9*$G71,IF(AND(($C71+$C$1)&gt;AM$3,AM$3&gt;=$C$1),'General Inputs'!K$9*$F71,0))</f>
        <v>43.381820445314595</v>
      </c>
      <c r="AN71" s="214">
        <f>IF(AND(($D71+$C$1)&gt;AN$3,AN$3&gt;=$C$1),'General Inputs'!L$9*$G71,IF(AND(($C71+$C$1)&gt;AN$3,AN$3&gt;=$C$1),'General Inputs'!L$9*$F71,0))</f>
        <v>44.032547751994308</v>
      </c>
      <c r="AO71" s="214">
        <f>IF(AND(($D71+$C$1)&gt;AO$3,AO$3&gt;=$C$1),'General Inputs'!M$9*$G71,IF(AND(($C71+$C$1)&gt;AO$3,AO$3&gt;=$C$1),'General Inputs'!M$9*$F71,0))</f>
        <v>44.693035968274216</v>
      </c>
      <c r="AP71" s="214">
        <f>IF(AND(($D71+$C$1)&gt;AP$3,AP$3&gt;=$C$1),'General Inputs'!N$9*$G71,IF(AND(($C71+$C$1)&gt;AP$3,AP$3&gt;=$C$1),'General Inputs'!N$9*$F71,0))</f>
        <v>45.363431507798332</v>
      </c>
      <c r="AQ71" s="214">
        <f>IF(AND(($D71+$C$1)&gt;AQ$3,AQ$3&gt;=$C$1),'General Inputs'!O$9*$G71,IF(AND(($C71+$C$1)&gt;AQ$3,AQ$3&gt;=$C$1),'General Inputs'!O$9*$F71,0))</f>
        <v>46.043882980415297</v>
      </c>
      <c r="AR71" s="214">
        <f>IF(AND(($D71+$C$1)&gt;AR$3,AR$3&gt;=$C$1),'General Inputs'!P$9*$G71,IF(AND(($C71+$C$1)&gt;AR$3,AR$3&gt;=$C$1),'General Inputs'!P$9*$F71,0))</f>
        <v>46.734541225121525</v>
      </c>
      <c r="AS71" s="214">
        <f>IF(AND(($D71+$C$1)&gt;AS$3,AS$3&gt;=$C$1),'General Inputs'!Q$9*$G71,IF(AND(($C71+$C$1)&gt;AS$3,AS$3&gt;=$C$1),'General Inputs'!Q$9*$F71,0))</f>
        <v>47.43555934349834</v>
      </c>
      <c r="AT71" s="214">
        <f>IF(AND(($D71+$C$1)&gt;AT$3,AT$3&gt;=$C$1),'General Inputs'!R$9*$G71,IF(AND(($C71+$C$1)&gt;AT$3,AT$3&gt;=$C$1),'General Inputs'!R$9*$F71,0))</f>
        <v>48.147092733650815</v>
      </c>
      <c r="AU71" s="214">
        <f>IF(AND(($D71+$C$1)&gt;AU$3,AU$3&gt;=$C$1),'General Inputs'!S$9*$G71,IF(AND(($C71+$C$1)&gt;AU$3,AU$3&gt;=$C$1),'General Inputs'!S$9*$F71,0))</f>
        <v>48.869299124655576</v>
      </c>
      <c r="AV71" s="214">
        <f>IF(AND(($D71+$C$1)&gt;AV$3,AV$3&gt;=$C$1),'General Inputs'!T$9*$G71,IF(AND(($C71+$C$1)&gt;AV$3,AV$3&gt;=$C$1),'General Inputs'!T$9*$F71,0))</f>
        <v>49.602338611525404</v>
      </c>
      <c r="AW71" s="214">
        <f>IF(AND(($D71+$C$1)&gt;AW$3,AW$3&gt;=$C$1),'General Inputs'!U$9*$G71,IF(AND(($C71+$C$1)&gt;AW$3,AW$3&gt;=$C$1),'General Inputs'!U$9*$F71,0))</f>
        <v>50.346373690698286</v>
      </c>
      <c r="AX71" s="214">
        <f>IF(AND(($D71+$C$1)&gt;AX$3,AX$3&gt;=$C$1),'General Inputs'!V$9*$G71,IF(AND(($C71+$C$1)&gt;AX$3,AX$3&gt;=$C$1),'General Inputs'!V$9*$F71,0))</f>
        <v>51.101569296058756</v>
      </c>
      <c r="AY71" s="214">
        <f>IF(AND(($D71+$C$1)&gt;AY$3,AY$3&gt;=$C$1),'General Inputs'!W$9*$G71,IF(AND(($C71+$C$1)&gt;AY$3,AY$3&gt;=$C$1),'General Inputs'!W$9*$F71,0))</f>
        <v>0</v>
      </c>
      <c r="BA71" s="214">
        <f>IF(AND(($D71+$C$1)&gt;AF$3,AF$3&gt;=$C$1),'General Inputs'!D$10*$I71,IF(AND(($C71+$C$1)&gt;AF$3,AF$3&gt;=$C$1),'General Inputs'!D$10*$H71,0))</f>
        <v>0</v>
      </c>
      <c r="BB71" s="214">
        <f>IF(AND(($D71+$C$1)&gt;AG$3,AG$3&gt;=$C$1),'General Inputs'!E$10*$I71,IF(AND(($C71+$C$1)&gt;AG$3,AG$3&gt;=$C$1),'General Inputs'!E$10*$H71,0))</f>
        <v>2.307415292194575</v>
      </c>
      <c r="BC71" s="214">
        <f>IF(AND(($D71+$C$1)&gt;AH$3,AH$3&gt;=$C$1),'General Inputs'!F$10*$I71,IF(AND(($C71+$C$1)&gt;AH$3,AH$3&gt;=$C$1),'General Inputs'!F$10*$H71,0))</f>
        <v>2.3420265215774934</v>
      </c>
      <c r="BD71" s="214">
        <f>IF(AND(($D71+$C$1)&gt;AI$3,AI$3&gt;=$C$1),'General Inputs'!G$10*$I71,IF(AND(($C71+$C$1)&gt;AI$3,AI$3&gt;=$C$1),'General Inputs'!G$10*$H71,0))</f>
        <v>2.3771569194011555</v>
      </c>
      <c r="BE71" s="214">
        <f>IF(AND(($D71+$C$1)&gt;AJ$3,AJ$3&gt;=$C$1),'General Inputs'!H$10*$I71,IF(AND(($C71+$C$1)&gt;AJ$3,AJ$3&gt;=$C$1),'General Inputs'!H$10*$H71,0))</f>
        <v>2.4128142731921729</v>
      </c>
      <c r="BF71" s="214">
        <f>IF(AND(($D71+$C$1)&gt;AK$3,AK$3&gt;=$C$1),'General Inputs'!I$10*$I71,IF(AND(($C71+$C$1)&gt;AK$3,AK$3&gt;=$C$1),'General Inputs'!I$10*$H71,0))</f>
        <v>2.4490064872900548</v>
      </c>
      <c r="BG71" s="214">
        <f>IF(AND(($D71+$C$1)&gt;AL$3,AL$3&gt;=$C$1),'General Inputs'!J$10*$I71,IF(AND(($C71+$C$1)&gt;AL$3,AL$3&gt;=$C$1),'General Inputs'!J$10*$H71,0))</f>
        <v>2.4857415845994053</v>
      </c>
      <c r="BH71" s="214">
        <f>IF(AND(($D71+$C$1)&gt;AM$3,AM$3&gt;=$C$1),'General Inputs'!K$10*$I71,IF(AND(($C71+$C$1)&gt;AM$3,AM$3&gt;=$C$1),'General Inputs'!K$10*$H71,0))</f>
        <v>2.5230277083683963</v>
      </c>
      <c r="BI71" s="214">
        <f>IF(AND(($D71+$C$1)&gt;AN$3,AN$3&gt;=$C$1),'General Inputs'!L$10*$I71,IF(AND(($C71+$C$1)&gt;AN$3,AN$3&gt;=$C$1),'General Inputs'!L$10*$H71,0))</f>
        <v>2.5608731239939222</v>
      </c>
      <c r="BJ71" s="214">
        <f>IF(AND(($D71+$C$1)&gt;AO$3,AO$3&gt;=$C$1),'General Inputs'!M$10*$I71,IF(AND(($C71+$C$1)&gt;AO$3,AO$3&gt;=$C$1),'General Inputs'!M$10*$H71,0))</f>
        <v>2.599286220853831</v>
      </c>
      <c r="BK71" s="214">
        <f>IF(AND(($D71+$C$1)&gt;AP$3,AP$3&gt;=$C$1),'General Inputs'!N$10*$I71,IF(AND(($C71+$C$1)&gt;AP$3,AP$3&gt;=$C$1),'General Inputs'!N$10*$H71,0))</f>
        <v>2.6382755141666379</v>
      </c>
      <c r="BL71" s="214">
        <f>IF(AND(($D71+$C$1)&gt;AQ$3,AQ$3&gt;=$C$1),'General Inputs'!O$10*$I71,IF(AND(($C71+$C$1)&gt;AQ$3,AQ$3&gt;=$C$1),'General Inputs'!O$10*$H71,0))</f>
        <v>2.6778496468791371</v>
      </c>
      <c r="BM71" s="214">
        <f>IF(AND(($D71+$C$1)&gt;AR$3,AR$3&gt;=$C$1),'General Inputs'!P$10*$I71,IF(AND(($C71+$C$1)&gt;AR$3,AR$3&gt;=$C$1),'General Inputs'!P$10*$H71,0))</f>
        <v>2.718017391582324</v>
      </c>
      <c r="BN71" s="214">
        <f>IF(AND(($D71+$C$1)&gt;AS$3,AS$3&gt;=$C$1),'General Inputs'!Q$10*$I71,IF(AND(($C71+$C$1)&gt;AS$3,AS$3&gt;=$C$1),'General Inputs'!Q$10*$H71,0))</f>
        <v>2.7587876524560588</v>
      </c>
      <c r="BO71" s="214">
        <f>IF(AND(($D71+$C$1)&gt;AT$3,AT$3&gt;=$C$1),'General Inputs'!R$10*$I71,IF(AND(($C71+$C$1)&gt;AT$3,AT$3&gt;=$C$1),'General Inputs'!R$10*$H71,0))</f>
        <v>2.8001694672428989</v>
      </c>
      <c r="BP71" s="214">
        <f>IF(AND(($D71+$C$1)&gt;AU$3,AU$3&gt;=$C$1),'General Inputs'!S$10*$I71,IF(AND(($C71+$C$1)&gt;AU$3,AU$3&gt;=$C$1),'General Inputs'!S$10*$H71,0))</f>
        <v>2.8421720092515423</v>
      </c>
      <c r="BQ71" s="214">
        <f>IF(AND(($D71+$C$1)&gt;AV$3,AV$3&gt;=$C$1),'General Inputs'!T$10*$I71,IF(AND(($C71+$C$1)&gt;AV$3,AV$3&gt;=$C$1),'General Inputs'!T$10*$H71,0))</f>
        <v>2.8848045893903151</v>
      </c>
      <c r="BR71" s="214">
        <f>IF(AND(($D71+$C$1)&gt;AW$3,AW$3&gt;=$C$1),'General Inputs'!U$10*$I71,IF(AND(($C71+$C$1)&gt;AW$3,AW$3&gt;=$C$1),'General Inputs'!U$10*$H71,0))</f>
        <v>2.9280766582311699</v>
      </c>
      <c r="BS71" s="214">
        <f>IF(AND(($D71+$C$1)&gt;AX$3,AX$3&gt;=$C$1),'General Inputs'!V$10*$I71,IF(AND(($C71+$C$1)&gt;AX$3,AX$3&gt;=$C$1),'General Inputs'!V$10*$H71,0))</f>
        <v>2.971997808104637</v>
      </c>
      <c r="BT71" s="214">
        <f>IF(AND(($D71+$C$1)&gt;AY$3,AY$3&gt;=$C$1),'General Inputs'!W$10*$I71,IF(AND(($C71+$C$1)&gt;AY$3,AY$3&gt;=$C$1),'General Inputs'!W$10*$H71,0))</f>
        <v>0</v>
      </c>
    </row>
    <row r="72" spans="1:72">
      <c r="A72" s="342" t="s">
        <v>112</v>
      </c>
      <c r="B72" s="427" t="str">
        <f>Sources!B72</f>
        <v>Pulse Start Metal Halide (175 &lt; 320 W)</v>
      </c>
      <c r="C72" s="193">
        <f>Sources!C72</f>
        <v>18</v>
      </c>
      <c r="D72" s="193">
        <f>Sources!D72</f>
        <v>0</v>
      </c>
      <c r="F72" s="429">
        <f>Sources!F72*EnergyLineLoss</f>
        <v>685.5258675</v>
      </c>
      <c r="G72" s="429">
        <f>Sources!G72*EnergyLineLoss</f>
        <v>0</v>
      </c>
      <c r="H72" s="477">
        <f>Sources!H72*PeakLineLoss</f>
        <v>0.106002468</v>
      </c>
      <c r="I72" s="477">
        <f>Sources!I72*PeakLineLoss</f>
        <v>0</v>
      </c>
      <c r="K72" s="419">
        <f>Sources!J72</f>
        <v>185</v>
      </c>
      <c r="L72" s="419">
        <f>Sources!K72</f>
        <v>0</v>
      </c>
      <c r="N72" s="438">
        <f t="shared" si="26"/>
        <v>1.6809046932450529</v>
      </c>
      <c r="P72" s="215">
        <f t="shared" si="27"/>
        <v>270.00729775539963</v>
      </c>
      <c r="Q72" s="215">
        <f t="shared" si="28"/>
        <v>15.703257417638525</v>
      </c>
      <c r="R72" s="215">
        <f t="shared" si="29"/>
        <v>169.97427416391031</v>
      </c>
      <c r="T72" s="214">
        <f t="shared" si="30"/>
        <v>0</v>
      </c>
      <c r="U72" s="214">
        <f t="shared" si="30"/>
        <v>185</v>
      </c>
      <c r="V72" s="214">
        <f t="shared" si="30"/>
        <v>0</v>
      </c>
      <c r="W72" s="214">
        <f t="shared" si="30"/>
        <v>0</v>
      </c>
      <c r="X72" s="214">
        <f t="shared" si="30"/>
        <v>0</v>
      </c>
      <c r="Y72" s="214">
        <f t="shared" si="30"/>
        <v>0</v>
      </c>
      <c r="Z72" s="214">
        <f t="shared" si="30"/>
        <v>0</v>
      </c>
      <c r="AA72" s="214">
        <f t="shared" si="30"/>
        <v>0</v>
      </c>
      <c r="AB72" s="214">
        <f t="shared" si="30"/>
        <v>0</v>
      </c>
      <c r="AC72" s="214">
        <f t="shared" si="30"/>
        <v>0</v>
      </c>
      <c r="AD72" s="214">
        <f t="shared" si="30"/>
        <v>0</v>
      </c>
      <c r="AF72" s="214">
        <f>IF(AND(($D72+$C$1)&gt;AF$3,AF$3&gt;=$C$1),'General Inputs'!D$9*$G72,IF(AND(($C72+$C$1)&gt;AF$3,AF$3&gt;=$C$1),'General Inputs'!D$9*$F72,0))</f>
        <v>0</v>
      </c>
      <c r="AG72" s="214">
        <f>IF(AND(($D72+$C$1)&gt;AG$3,AG$3&gt;=$C$1),'General Inputs'!E$9*$G72,IF(AND(($C72+$C$1)&gt;AG$3,AG$3&gt;=$C$1),'General Inputs'!E$9*$F72,0))</f>
        <v>27.701725514118401</v>
      </c>
      <c r="AH72" s="214">
        <f>IF(AND(($D72+$C$1)&gt;AH$3,AH$3&gt;=$C$1),'General Inputs'!F$9*$G72,IF(AND(($C72+$C$1)&gt;AH$3,AH$3&gt;=$C$1),'General Inputs'!F$9*$F72,0))</f>
        <v>28.117251396830174</v>
      </c>
      <c r="AI72" s="214">
        <f>IF(AND(($D72+$C$1)&gt;AI$3,AI$3&gt;=$C$1),'General Inputs'!G$9*$G72,IF(AND(($C72+$C$1)&gt;AI$3,AI$3&gt;=$C$1),'General Inputs'!G$9*$F72,0))</f>
        <v>28.539010167782624</v>
      </c>
      <c r="AJ72" s="214">
        <f>IF(AND(($D72+$C$1)&gt;AJ$3,AJ$3&gt;=$C$1),'General Inputs'!H$9*$G72,IF(AND(($C72+$C$1)&gt;AJ$3,AJ$3&gt;=$C$1),'General Inputs'!H$9*$F72,0))</f>
        <v>28.967095320299361</v>
      </c>
      <c r="AK72" s="214">
        <f>IF(AND(($D72+$C$1)&gt;AK$3,AK$3&gt;=$C$1),'General Inputs'!I$9*$G72,IF(AND(($C72+$C$1)&gt;AK$3,AK$3&gt;=$C$1),'General Inputs'!I$9*$F72,0))</f>
        <v>29.401601750103847</v>
      </c>
      <c r="AL72" s="214">
        <f>IF(AND(($D72+$C$1)&gt;AL$3,AL$3&gt;=$C$1),'General Inputs'!J$9*$G72,IF(AND(($C72+$C$1)&gt;AL$3,AL$3&gt;=$C$1),'General Inputs'!J$9*$F72,0))</f>
        <v>29.842625776355398</v>
      </c>
      <c r="AM72" s="214">
        <f>IF(AND(($D72+$C$1)&gt;AM$3,AM$3&gt;=$C$1),'General Inputs'!K$9*$G72,IF(AND(($C72+$C$1)&gt;AM$3,AM$3&gt;=$C$1),'General Inputs'!K$9*$F72,0))</f>
        <v>30.290265163000726</v>
      </c>
      <c r="AN72" s="214">
        <f>IF(AND(($D72+$C$1)&gt;AN$3,AN$3&gt;=$C$1),'General Inputs'!L$9*$G72,IF(AND(($C72+$C$1)&gt;AN$3,AN$3&gt;=$C$1),'General Inputs'!L$9*$F72,0))</f>
        <v>30.744619140445735</v>
      </c>
      <c r="AO72" s="214">
        <f>IF(AND(($D72+$C$1)&gt;AO$3,AO$3&gt;=$C$1),'General Inputs'!M$9*$G72,IF(AND(($C72+$C$1)&gt;AO$3,AO$3&gt;=$C$1),'General Inputs'!M$9*$F72,0))</f>
        <v>31.205788427552413</v>
      </c>
      <c r="AP72" s="214">
        <f>IF(AND(($D72+$C$1)&gt;AP$3,AP$3&gt;=$C$1),'General Inputs'!N$9*$G72,IF(AND(($C72+$C$1)&gt;AP$3,AP$3&gt;=$C$1),'General Inputs'!N$9*$F72,0))</f>
        <v>31.673875253965701</v>
      </c>
      <c r="AQ72" s="214">
        <f>IF(AND(($D72+$C$1)&gt;AQ$3,AQ$3&gt;=$C$1),'General Inputs'!O$9*$G72,IF(AND(($C72+$C$1)&gt;AQ$3,AQ$3&gt;=$C$1),'General Inputs'!O$9*$F72,0))</f>
        <v>32.148983382775178</v>
      </c>
      <c r="AR72" s="214">
        <f>IF(AND(($D72+$C$1)&gt;AR$3,AR$3&gt;=$C$1),'General Inputs'!P$9*$G72,IF(AND(($C72+$C$1)&gt;AR$3,AR$3&gt;=$C$1),'General Inputs'!P$9*$F72,0))</f>
        <v>32.631218133516803</v>
      </c>
      <c r="AS72" s="214">
        <f>IF(AND(($D72+$C$1)&gt;AS$3,AS$3&gt;=$C$1),'General Inputs'!Q$9*$G72,IF(AND(($C72+$C$1)&gt;AS$3,AS$3&gt;=$C$1),'General Inputs'!Q$9*$F72,0))</f>
        <v>33.120686405519557</v>
      </c>
      <c r="AT72" s="214">
        <f>IF(AND(($D72+$C$1)&gt;AT$3,AT$3&gt;=$C$1),'General Inputs'!R$9*$G72,IF(AND(($C72+$C$1)&gt;AT$3,AT$3&gt;=$C$1),'General Inputs'!R$9*$F72,0))</f>
        <v>33.617496701602349</v>
      </c>
      <c r="AU72" s="214">
        <f>IF(AND(($D72+$C$1)&gt;AU$3,AU$3&gt;=$C$1),'General Inputs'!S$9*$G72,IF(AND(($C72+$C$1)&gt;AU$3,AU$3&gt;=$C$1),'General Inputs'!S$9*$F72,0))</f>
        <v>34.12175915212638</v>
      </c>
      <c r="AV72" s="214">
        <f>IF(AND(($D72+$C$1)&gt;AV$3,AV$3&gt;=$C$1),'General Inputs'!T$9*$G72,IF(AND(($C72+$C$1)&gt;AV$3,AV$3&gt;=$C$1),'General Inputs'!T$9*$F72,0))</f>
        <v>34.633585539408273</v>
      </c>
      <c r="AW72" s="214">
        <f>IF(AND(($D72+$C$1)&gt;AW$3,AW$3&gt;=$C$1),'General Inputs'!U$9*$G72,IF(AND(($C72+$C$1)&gt;AW$3,AW$3&gt;=$C$1),'General Inputs'!U$9*$F72,0))</f>
        <v>35.153089322499397</v>
      </c>
      <c r="AX72" s="214">
        <f>IF(AND(($D72+$C$1)&gt;AX$3,AX$3&gt;=$C$1),'General Inputs'!V$9*$G72,IF(AND(($C72+$C$1)&gt;AX$3,AX$3&gt;=$C$1),'General Inputs'!V$9*$F72,0))</f>
        <v>35.680385662336882</v>
      </c>
      <c r="AY72" s="214">
        <f>IF(AND(($D72+$C$1)&gt;AY$3,AY$3&gt;=$C$1),'General Inputs'!W$9*$G72,IF(AND(($C72+$C$1)&gt;AY$3,AY$3&gt;=$C$1),'General Inputs'!W$9*$F72,0))</f>
        <v>0</v>
      </c>
      <c r="BA72" s="214">
        <f>IF(AND(($D72+$C$1)&gt;AF$3,AF$3&gt;=$C$1),'General Inputs'!D$10*$I72,IF(AND(($C72+$C$1)&gt;AF$3,AF$3&gt;=$C$1),'General Inputs'!D$10*$H72,0))</f>
        <v>0</v>
      </c>
      <c r="BB72" s="214">
        <f>IF(AND(($D72+$C$1)&gt;AG$3,AG$3&gt;=$C$1),'General Inputs'!E$10*$I72,IF(AND(($C72+$C$1)&gt;AG$3,AG$3&gt;=$C$1),'General Inputs'!E$10*$H72,0))</f>
        <v>1.6110947010589338</v>
      </c>
      <c r="BC72" s="214">
        <f>IF(AND(($D72+$C$1)&gt;AH$3,AH$3&gt;=$C$1),'General Inputs'!F$10*$I72,IF(AND(($C72+$C$1)&gt;AH$3,AH$3&gt;=$C$1),'General Inputs'!F$10*$H72,0))</f>
        <v>1.6352611215748178</v>
      </c>
      <c r="BD72" s="214">
        <f>IF(AND(($D72+$C$1)&gt;AI$3,AI$3&gt;=$C$1),'General Inputs'!G$10*$I72,IF(AND(($C72+$C$1)&gt;AI$3,AI$3&gt;=$C$1),'General Inputs'!G$10*$H72,0))</f>
        <v>1.6597900383984399</v>
      </c>
      <c r="BE72" s="214">
        <f>IF(AND(($D72+$C$1)&gt;AJ$3,AJ$3&gt;=$C$1),'General Inputs'!H$10*$I72,IF(AND(($C72+$C$1)&gt;AJ$3,AJ$3&gt;=$C$1),'General Inputs'!H$10*$H72,0))</f>
        <v>1.6846868889744164</v>
      </c>
      <c r="BF72" s="214">
        <f>IF(AND(($D72+$C$1)&gt;AK$3,AK$3&gt;=$C$1),'General Inputs'!I$10*$I72,IF(AND(($C72+$C$1)&gt;AK$3,AK$3&gt;=$C$1),'General Inputs'!I$10*$H72,0))</f>
        <v>1.7099571923090322</v>
      </c>
      <c r="BG72" s="214">
        <f>IF(AND(($D72+$C$1)&gt;AL$3,AL$3&gt;=$C$1),'General Inputs'!J$10*$I72,IF(AND(($C72+$C$1)&gt;AL$3,AL$3&gt;=$C$1),'General Inputs'!J$10*$H72,0))</f>
        <v>1.7356065501936675</v>
      </c>
      <c r="BH72" s="214">
        <f>IF(AND(($D72+$C$1)&gt;AM$3,AM$3&gt;=$C$1),'General Inputs'!K$10*$I72,IF(AND(($C72+$C$1)&gt;AM$3,AM$3&gt;=$C$1),'General Inputs'!K$10*$H72,0))</f>
        <v>1.7616406484465725</v>
      </c>
      <c r="BI72" s="214">
        <f>IF(AND(($D72+$C$1)&gt;AN$3,AN$3&gt;=$C$1),'General Inputs'!L$10*$I72,IF(AND(($C72+$C$1)&gt;AN$3,AN$3&gt;=$C$1),'General Inputs'!L$10*$H72,0))</f>
        <v>1.788065258173271</v>
      </c>
      <c r="BJ72" s="214">
        <f>IF(AND(($D72+$C$1)&gt;AO$3,AO$3&gt;=$C$1),'General Inputs'!M$10*$I72,IF(AND(($C72+$C$1)&gt;AO$3,AO$3&gt;=$C$1),'General Inputs'!M$10*$H72,0))</f>
        <v>1.81488623704587</v>
      </c>
      <c r="BK72" s="214">
        <f>IF(AND(($D72+$C$1)&gt;AP$3,AP$3&gt;=$C$1),'General Inputs'!N$10*$I72,IF(AND(($C72+$C$1)&gt;AP$3,AP$3&gt;=$C$1),'General Inputs'!N$10*$H72,0))</f>
        <v>1.8421095306015578</v>
      </c>
      <c r="BL72" s="214">
        <f>IF(AND(($D72+$C$1)&gt;AQ$3,AQ$3&gt;=$C$1),'General Inputs'!O$10*$I72,IF(AND(($C72+$C$1)&gt;AQ$3,AQ$3&gt;=$C$1),'General Inputs'!O$10*$H72,0))</f>
        <v>1.8697411735605809</v>
      </c>
      <c r="BM72" s="214">
        <f>IF(AND(($D72+$C$1)&gt;AR$3,AR$3&gt;=$C$1),'General Inputs'!P$10*$I72,IF(AND(($C72+$C$1)&gt;AR$3,AR$3&gt;=$C$1),'General Inputs'!P$10*$H72,0))</f>
        <v>1.8977872911639895</v>
      </c>
      <c r="BN72" s="214">
        <f>IF(AND(($D72+$C$1)&gt;AS$3,AS$3&gt;=$C$1),'General Inputs'!Q$10*$I72,IF(AND(($C72+$C$1)&gt;AS$3,AS$3&gt;=$C$1),'General Inputs'!Q$10*$H72,0))</f>
        <v>1.9262541005314491</v>
      </c>
      <c r="BO72" s="214">
        <f>IF(AND(($D72+$C$1)&gt;AT$3,AT$3&gt;=$C$1),'General Inputs'!R$10*$I72,IF(AND(($C72+$C$1)&gt;AT$3,AT$3&gt;=$C$1),'General Inputs'!R$10*$H72,0))</f>
        <v>1.9551479120394206</v>
      </c>
      <c r="BP72" s="214">
        <f>IF(AND(($D72+$C$1)&gt;AU$3,AU$3&gt;=$C$1),'General Inputs'!S$10*$I72,IF(AND(($C72+$C$1)&gt;AU$3,AU$3&gt;=$C$1),'General Inputs'!S$10*$H72,0))</f>
        <v>1.9844751307200119</v>
      </c>
      <c r="BQ72" s="214">
        <f>IF(AND(($D72+$C$1)&gt;AV$3,AV$3&gt;=$C$1),'General Inputs'!T$10*$I72,IF(AND(($C72+$C$1)&gt;AV$3,AV$3&gt;=$C$1),'General Inputs'!T$10*$H72,0))</f>
        <v>2.0142422576808117</v>
      </c>
      <c r="BR72" s="214">
        <f>IF(AND(($D72+$C$1)&gt;AW$3,AW$3&gt;=$C$1),'General Inputs'!U$10*$I72,IF(AND(($C72+$C$1)&gt;AW$3,AW$3&gt;=$C$1),'General Inputs'!U$10*$H72,0))</f>
        <v>2.0444558915460238</v>
      </c>
      <c r="BS72" s="214">
        <f>IF(AND(($D72+$C$1)&gt;AX$3,AX$3&gt;=$C$1),'General Inputs'!V$10*$I72,IF(AND(($C72+$C$1)&gt;AX$3,AX$3&gt;=$C$1),'General Inputs'!V$10*$H72,0))</f>
        <v>2.0751227299192139</v>
      </c>
      <c r="BT72" s="214">
        <f>IF(AND(($D72+$C$1)&gt;AY$3,AY$3&gt;=$C$1),'General Inputs'!W$10*$I72,IF(AND(($C72+$C$1)&gt;AY$3,AY$3&gt;=$C$1),'General Inputs'!W$10*$H72,0))</f>
        <v>0</v>
      </c>
    </row>
    <row r="73" spans="1:72">
      <c r="A73" s="342" t="s">
        <v>112</v>
      </c>
      <c r="B73" s="427" t="str">
        <f>Sources!B73</f>
        <v>Pulse Start Metal Halide (320 &lt; 750 W)</v>
      </c>
      <c r="C73" s="193">
        <f>Sources!C73</f>
        <v>18</v>
      </c>
      <c r="D73" s="193">
        <f>Sources!D73</f>
        <v>0</v>
      </c>
      <c r="F73" s="429">
        <f>Sources!F73*EnergyLineLoss</f>
        <v>470.57284125000001</v>
      </c>
      <c r="G73" s="429">
        <f>Sources!G73*EnergyLineLoss</f>
        <v>0</v>
      </c>
      <c r="H73" s="477">
        <f>Sources!H73*PeakLineLoss</f>
        <v>7.2764406000000018E-2</v>
      </c>
      <c r="I73" s="477">
        <f>Sources!I73*PeakLineLoss</f>
        <v>0</v>
      </c>
      <c r="K73" s="419">
        <f>Sources!J73</f>
        <v>283</v>
      </c>
      <c r="L73" s="419">
        <f>Sources!K73</f>
        <v>0</v>
      </c>
      <c r="N73" s="438">
        <f t="shared" si="26"/>
        <v>0.75427791903566854</v>
      </c>
      <c r="P73" s="215">
        <f t="shared" si="27"/>
        <v>185.34399252701161</v>
      </c>
      <c r="Q73" s="215">
        <f t="shared" si="28"/>
        <v>10.779354668040007</v>
      </c>
      <c r="R73" s="215">
        <f t="shared" si="29"/>
        <v>260.01470047776553</v>
      </c>
      <c r="T73" s="214">
        <f t="shared" si="30"/>
        <v>0</v>
      </c>
      <c r="U73" s="214">
        <f t="shared" si="30"/>
        <v>283</v>
      </c>
      <c r="V73" s="214">
        <f t="shared" si="30"/>
        <v>0</v>
      </c>
      <c r="W73" s="214">
        <f t="shared" si="30"/>
        <v>0</v>
      </c>
      <c r="X73" s="214">
        <f t="shared" si="30"/>
        <v>0</v>
      </c>
      <c r="Y73" s="214">
        <f t="shared" si="30"/>
        <v>0</v>
      </c>
      <c r="Z73" s="214">
        <f t="shared" si="30"/>
        <v>0</v>
      </c>
      <c r="AA73" s="214">
        <f t="shared" si="30"/>
        <v>0</v>
      </c>
      <c r="AB73" s="214">
        <f t="shared" si="30"/>
        <v>0</v>
      </c>
      <c r="AC73" s="214">
        <f t="shared" si="30"/>
        <v>0</v>
      </c>
      <c r="AD73" s="214">
        <f t="shared" si="30"/>
        <v>0</v>
      </c>
      <c r="AF73" s="214">
        <f>IF(AND(($D73+$C$1)&gt;AF$3,AF$3&gt;=$C$1),'General Inputs'!D$9*$G73,IF(AND(($C73+$C$1)&gt;AF$3,AF$3&gt;=$C$1),'General Inputs'!D$9*$F73,0))</f>
        <v>0</v>
      </c>
      <c r="AG73" s="214">
        <f>IF(AND(($D73+$C$1)&gt;AG$3,AG$3&gt;=$C$1),'General Inputs'!E$9*$G73,IF(AND(($C73+$C$1)&gt;AG$3,AG$3&gt;=$C$1),'General Inputs'!E$9*$F73,0))</f>
        <v>19.015591242742293</v>
      </c>
      <c r="AH73" s="214">
        <f>IF(AND(($D73+$C$1)&gt;AH$3,AH$3&gt;=$C$1),'General Inputs'!F$9*$G73,IF(AND(($C73+$C$1)&gt;AH$3,AH$3&gt;=$C$1),'General Inputs'!F$9*$F73,0))</f>
        <v>19.300825111383425</v>
      </c>
      <c r="AI73" s="214">
        <f>IF(AND(($D73+$C$1)&gt;AI$3,AI$3&gt;=$C$1),'General Inputs'!G$9*$G73,IF(AND(($C73+$C$1)&gt;AI$3,AI$3&gt;=$C$1),'General Inputs'!G$9*$F73,0))</f>
        <v>19.590337488054175</v>
      </c>
      <c r="AJ73" s="214">
        <f>IF(AND(($D73+$C$1)&gt;AJ$3,AJ$3&gt;=$C$1),'General Inputs'!H$9*$G73,IF(AND(($C73+$C$1)&gt;AJ$3,AJ$3&gt;=$C$1),'General Inputs'!H$9*$F73,0))</f>
        <v>19.884192550374983</v>
      </c>
      <c r="AK73" s="214">
        <f>IF(AND(($D73+$C$1)&gt;AK$3,AK$3&gt;=$C$1),'General Inputs'!I$9*$G73,IF(AND(($C73+$C$1)&gt;AK$3,AK$3&gt;=$C$1),'General Inputs'!I$9*$F73,0))</f>
        <v>20.182455438630605</v>
      </c>
      <c r="AL73" s="214">
        <f>IF(AND(($D73+$C$1)&gt;AL$3,AL$3&gt;=$C$1),'General Inputs'!J$9*$G73,IF(AND(($C73+$C$1)&gt;AL$3,AL$3&gt;=$C$1),'General Inputs'!J$9*$F73,0))</f>
        <v>20.485192270210064</v>
      </c>
      <c r="AM73" s="214">
        <f>IF(AND(($D73+$C$1)&gt;AM$3,AM$3&gt;=$C$1),'General Inputs'!K$9*$G73,IF(AND(($C73+$C$1)&gt;AM$3,AM$3&gt;=$C$1),'General Inputs'!K$9*$F73,0))</f>
        <v>20.79247015426321</v>
      </c>
      <c r="AN73" s="214">
        <f>IF(AND(($D73+$C$1)&gt;AN$3,AN$3&gt;=$C$1),'General Inputs'!L$9*$G73,IF(AND(($C73+$C$1)&gt;AN$3,AN$3&gt;=$C$1),'General Inputs'!L$9*$F73,0))</f>
        <v>21.104357206577156</v>
      </c>
      <c r="AO73" s="214">
        <f>IF(AND(($D73+$C$1)&gt;AO$3,AO$3&gt;=$C$1),'General Inputs'!M$9*$G73,IF(AND(($C73+$C$1)&gt;AO$3,AO$3&gt;=$C$1),'General Inputs'!M$9*$F73,0))</f>
        <v>21.420922564675809</v>
      </c>
      <c r="AP73" s="214">
        <f>IF(AND(($D73+$C$1)&gt;AP$3,AP$3&gt;=$C$1),'General Inputs'!N$9*$G73,IF(AND(($C73+$C$1)&gt;AP$3,AP$3&gt;=$C$1),'General Inputs'!N$9*$F73,0))</f>
        <v>21.742236403145945</v>
      </c>
      <c r="AQ73" s="214">
        <f>IF(AND(($D73+$C$1)&gt;AQ$3,AQ$3&gt;=$C$1),'General Inputs'!O$9*$G73,IF(AND(($C73+$C$1)&gt;AQ$3,AQ$3&gt;=$C$1),'General Inputs'!O$9*$F73,0))</f>
        <v>22.068369949193134</v>
      </c>
      <c r="AR73" s="214">
        <f>IF(AND(($D73+$C$1)&gt;AR$3,AR$3&gt;=$C$1),'General Inputs'!P$9*$G73,IF(AND(($C73+$C$1)&gt;AR$3,AR$3&gt;=$C$1),'General Inputs'!P$9*$F73,0))</f>
        <v>22.399395498431026</v>
      </c>
      <c r="AS73" s="214">
        <f>IF(AND(($D73+$C$1)&gt;AS$3,AS$3&gt;=$C$1),'General Inputs'!Q$9*$G73,IF(AND(($C73+$C$1)&gt;AS$3,AS$3&gt;=$C$1),'General Inputs'!Q$9*$F73,0))</f>
        <v>22.735386430907493</v>
      </c>
      <c r="AT73" s="214">
        <f>IF(AND(($D73+$C$1)&gt;AT$3,AT$3&gt;=$C$1),'General Inputs'!R$9*$G73,IF(AND(($C73+$C$1)&gt;AT$3,AT$3&gt;=$C$1),'General Inputs'!R$9*$F73,0))</f>
        <v>23.076417227371103</v>
      </c>
      <c r="AU73" s="214">
        <f>IF(AND(($D73+$C$1)&gt;AU$3,AU$3&gt;=$C$1),'General Inputs'!S$9*$G73,IF(AND(($C73+$C$1)&gt;AU$3,AU$3&gt;=$C$1),'General Inputs'!S$9*$F73,0))</f>
        <v>23.422563485781669</v>
      </c>
      <c r="AV73" s="214">
        <f>IF(AND(($D73+$C$1)&gt;AV$3,AV$3&gt;=$C$1),'General Inputs'!T$9*$G73,IF(AND(($C73+$C$1)&gt;AV$3,AV$3&gt;=$C$1),'General Inputs'!T$9*$F73,0))</f>
        <v>23.773901938068391</v>
      </c>
      <c r="AW73" s="214">
        <f>IF(AND(($D73+$C$1)&gt;AW$3,AW$3&gt;=$C$1),'General Inputs'!U$9*$G73,IF(AND(($C73+$C$1)&gt;AW$3,AW$3&gt;=$C$1),'General Inputs'!U$9*$F73,0))</f>
        <v>24.130510467139416</v>
      </c>
      <c r="AX73" s="214">
        <f>IF(AND(($D73+$C$1)&gt;AX$3,AX$3&gt;=$C$1),'General Inputs'!V$9*$G73,IF(AND(($C73+$C$1)&gt;AX$3,AX$3&gt;=$C$1),'General Inputs'!V$9*$F73,0))</f>
        <v>24.492468124146505</v>
      </c>
      <c r="AY73" s="214">
        <f>IF(AND(($D73+$C$1)&gt;AY$3,AY$3&gt;=$C$1),'General Inputs'!W$9*$G73,IF(AND(($C73+$C$1)&gt;AY$3,AY$3&gt;=$C$1),'General Inputs'!W$9*$F73,0))</f>
        <v>0</v>
      </c>
      <c r="BA73" s="214">
        <f>IF(AND(($D73+$C$1)&gt;AF$3,AF$3&gt;=$C$1),'General Inputs'!D$10*$I73,IF(AND(($C73+$C$1)&gt;AF$3,AF$3&gt;=$C$1),'General Inputs'!D$10*$H73,0))</f>
        <v>0</v>
      </c>
      <c r="BB73" s="214">
        <f>IF(AND(($D73+$C$1)&gt;AG$3,AG$3&gt;=$C$1),'General Inputs'!E$10*$I73,IF(AND(($C73+$C$1)&gt;AG$3,AG$3&gt;=$C$1),'General Inputs'!E$10*$H73,0))</f>
        <v>1.1059209388624887</v>
      </c>
      <c r="BC73" s="214">
        <f>IF(AND(($D73+$C$1)&gt;AH$3,AH$3&gt;=$C$1),'General Inputs'!F$10*$I73,IF(AND(($C73+$C$1)&gt;AH$3,AH$3&gt;=$C$1),'General Inputs'!F$10*$H73,0))</f>
        <v>1.122509752945426</v>
      </c>
      <c r="BD73" s="214">
        <f>IF(AND(($D73+$C$1)&gt;AI$3,AI$3&gt;=$C$1),'General Inputs'!G$10*$I73,IF(AND(($C73+$C$1)&gt;AI$3,AI$3&gt;=$C$1),'General Inputs'!G$10*$H73,0))</f>
        <v>1.1393473992396073</v>
      </c>
      <c r="BE73" s="214">
        <f>IF(AND(($D73+$C$1)&gt;AJ$3,AJ$3&gt;=$C$1),'General Inputs'!H$10*$I73,IF(AND(($C73+$C$1)&gt;AJ$3,AJ$3&gt;=$C$1),'General Inputs'!H$10*$H73,0))</f>
        <v>1.1564376102282012</v>
      </c>
      <c r="BF73" s="214">
        <f>IF(AND(($D73+$C$1)&gt;AK$3,AK$3&gt;=$C$1),'General Inputs'!I$10*$I73,IF(AND(($C73+$C$1)&gt;AK$3,AK$3&gt;=$C$1),'General Inputs'!I$10*$H73,0))</f>
        <v>1.1737841743816242</v>
      </c>
      <c r="BG73" s="214">
        <f>IF(AND(($D73+$C$1)&gt;AL$3,AL$3&gt;=$C$1),'General Inputs'!J$10*$I73,IF(AND(($C73+$C$1)&gt;AL$3,AL$3&gt;=$C$1),'General Inputs'!J$10*$H73,0))</f>
        <v>1.1913909369973483</v>
      </c>
      <c r="BH73" s="214">
        <f>IF(AND(($D73+$C$1)&gt;AM$3,AM$3&gt;=$C$1),'General Inputs'!K$10*$I73,IF(AND(($C73+$C$1)&gt;AM$3,AM$3&gt;=$C$1),'General Inputs'!K$10*$H73,0))</f>
        <v>1.2092618010523084</v>
      </c>
      <c r="BI73" s="214">
        <f>IF(AND(($D73+$C$1)&gt;AN$3,AN$3&gt;=$C$1),'General Inputs'!L$10*$I73,IF(AND(($C73+$C$1)&gt;AN$3,AN$3&gt;=$C$1),'General Inputs'!L$10*$H73,0))</f>
        <v>1.227400728068093</v>
      </c>
      <c r="BJ73" s="214">
        <f>IF(AND(($D73+$C$1)&gt;AO$3,AO$3&gt;=$C$1),'General Inputs'!M$10*$I73,IF(AND(($C73+$C$1)&gt;AO$3,AO$3&gt;=$C$1),'General Inputs'!M$10*$H73,0))</f>
        <v>1.2458117389891143</v>
      </c>
      <c r="BK73" s="214">
        <f>IF(AND(($D73+$C$1)&gt;AP$3,AP$3&gt;=$C$1),'General Inputs'!N$10*$I73,IF(AND(($C73+$C$1)&gt;AP$3,AP$3&gt;=$C$1),'General Inputs'!N$10*$H73,0))</f>
        <v>1.264498915073951</v>
      </c>
      <c r="BL73" s="214">
        <f>IF(AND(($D73+$C$1)&gt;AQ$3,AQ$3&gt;=$C$1),'General Inputs'!O$10*$I73,IF(AND(($C73+$C$1)&gt;AQ$3,AQ$3&gt;=$C$1),'General Inputs'!O$10*$H73,0))</f>
        <v>1.2834663988000601</v>
      </c>
      <c r="BM73" s="214">
        <f>IF(AND(($D73+$C$1)&gt;AR$3,AR$3&gt;=$C$1),'General Inputs'!P$10*$I73,IF(AND(($C73+$C$1)&gt;AR$3,AR$3&gt;=$C$1),'General Inputs'!P$10*$H73,0))</f>
        <v>1.3027183947820609</v>
      </c>
      <c r="BN73" s="214">
        <f>IF(AND(($D73+$C$1)&gt;AS$3,AS$3&gt;=$C$1),'General Inputs'!Q$10*$I73,IF(AND(($C73+$C$1)&gt;AS$3,AS$3&gt;=$C$1),'General Inputs'!Q$10*$H73,0))</f>
        <v>1.3222591707037916</v>
      </c>
      <c r="BO73" s="214">
        <f>IF(AND(($D73+$C$1)&gt;AT$3,AT$3&gt;=$C$1),'General Inputs'!R$10*$I73,IF(AND(($C73+$C$1)&gt;AT$3,AT$3&gt;=$C$1),'General Inputs'!R$10*$H73,0))</f>
        <v>1.3420930582643482</v>
      </c>
      <c r="BP73" s="214">
        <f>IF(AND(($D73+$C$1)&gt;AU$3,AU$3&gt;=$C$1),'General Inputs'!S$10*$I73,IF(AND(($C73+$C$1)&gt;AU$3,AU$3&gt;=$C$1),'General Inputs'!S$10*$H73,0))</f>
        <v>1.3622244541383135</v>
      </c>
      <c r="BQ73" s="214">
        <f>IF(AND(($D73+$C$1)&gt;AV$3,AV$3&gt;=$C$1),'General Inputs'!T$10*$I73,IF(AND(($C73+$C$1)&gt;AV$3,AV$3&gt;=$C$1),'General Inputs'!T$10*$H73,0))</f>
        <v>1.3826578209503881</v>
      </c>
      <c r="BR73" s="214">
        <f>IF(AND(($D73+$C$1)&gt;AW$3,AW$3&gt;=$C$1),'General Inputs'!U$10*$I73,IF(AND(($C73+$C$1)&gt;AW$3,AW$3&gt;=$C$1),'General Inputs'!U$10*$H73,0))</f>
        <v>1.4033976882646437</v>
      </c>
      <c r="BS73" s="214">
        <f>IF(AND(($D73+$C$1)&gt;AX$3,AX$3&gt;=$C$1),'General Inputs'!V$10*$I73,IF(AND(($C73+$C$1)&gt;AX$3,AX$3&gt;=$C$1),'General Inputs'!V$10*$H73,0))</f>
        <v>1.4244486535886132</v>
      </c>
      <c r="BT73" s="214">
        <f>IF(AND(($D73+$C$1)&gt;AY$3,AY$3&gt;=$C$1),'General Inputs'!W$10*$I73,IF(AND(($C73+$C$1)&gt;AY$3,AY$3&gt;=$C$1),'General Inputs'!W$10*$H73,0))</f>
        <v>0</v>
      </c>
    </row>
    <row r="74" spans="1:72">
      <c r="A74" s="342" t="s">
        <v>112</v>
      </c>
      <c r="B74" s="427" t="str">
        <f>Sources!B74</f>
        <v>Pulse Start Metal Halide (≥750 W)</v>
      </c>
      <c r="C74" s="193">
        <f>Sources!C74</f>
        <v>18</v>
      </c>
      <c r="D74" s="193">
        <f>Sources!D74</f>
        <v>0</v>
      </c>
      <c r="F74" s="429">
        <f>Sources!F74*EnergyLineLoss</f>
        <v>2039.1489787499997</v>
      </c>
      <c r="G74" s="429">
        <f>Sources!G74*EnergyLineLoss</f>
        <v>0</v>
      </c>
      <c r="H74" s="477">
        <f>Sources!H74*PeakLineLoss</f>
        <v>0.31531242600000003</v>
      </c>
      <c r="I74" s="477">
        <f>Sources!I74*PeakLineLoss</f>
        <v>0</v>
      </c>
      <c r="K74" s="419">
        <f>Sources!J74</f>
        <v>381</v>
      </c>
      <c r="L74" s="419">
        <f>Sources!K74</f>
        <v>0</v>
      </c>
      <c r="N74" s="438">
        <f t="shared" si="26"/>
        <v>2.4278114296869857</v>
      </c>
      <c r="P74" s="215">
        <f t="shared" si="27"/>
        <v>803.15730095038361</v>
      </c>
      <c r="Q74" s="215">
        <f t="shared" si="28"/>
        <v>46.710536894840033</v>
      </c>
      <c r="R74" s="215">
        <f t="shared" si="29"/>
        <v>350.05512679162069</v>
      </c>
      <c r="T74" s="214">
        <f t="shared" si="30"/>
        <v>0</v>
      </c>
      <c r="U74" s="214">
        <f t="shared" si="30"/>
        <v>381</v>
      </c>
      <c r="V74" s="214">
        <f t="shared" si="30"/>
        <v>0</v>
      </c>
      <c r="W74" s="214">
        <f t="shared" si="30"/>
        <v>0</v>
      </c>
      <c r="X74" s="214">
        <f t="shared" si="30"/>
        <v>0</v>
      </c>
      <c r="Y74" s="214">
        <f t="shared" si="30"/>
        <v>0</v>
      </c>
      <c r="Z74" s="214">
        <f t="shared" si="30"/>
        <v>0</v>
      </c>
      <c r="AA74" s="214">
        <f t="shared" si="30"/>
        <v>0</v>
      </c>
      <c r="AB74" s="214">
        <f t="shared" si="30"/>
        <v>0</v>
      </c>
      <c r="AC74" s="214">
        <f t="shared" si="30"/>
        <v>0</v>
      </c>
      <c r="AD74" s="214">
        <f t="shared" si="30"/>
        <v>0</v>
      </c>
      <c r="AF74" s="214">
        <f>IF(AND(($D74+$C$1)&gt;AF$3,AF$3&gt;=$C$1),'General Inputs'!D$9*$G74,IF(AND(($C74+$C$1)&gt;AF$3,AF$3&gt;=$C$1),'General Inputs'!D$9*$F74,0))</f>
        <v>0</v>
      </c>
      <c r="AG74" s="214">
        <f>IF(AND(($D74+$C$1)&gt;AG$3,AG$3&gt;=$C$1),'General Inputs'!E$9*$G74,IF(AND(($C74+$C$1)&gt;AG$3,AG$3&gt;=$C$1),'General Inputs'!E$9*$F74,0))</f>
        <v>82.400895385216586</v>
      </c>
      <c r="AH74" s="214">
        <f>IF(AND(($D74+$C$1)&gt;AH$3,AH$3&gt;=$C$1),'General Inputs'!F$9*$G74,IF(AND(($C74+$C$1)&gt;AH$3,AH$3&gt;=$C$1),'General Inputs'!F$9*$F74,0))</f>
        <v>83.636908815994829</v>
      </c>
      <c r="AI74" s="214">
        <f>IF(AND(($D74+$C$1)&gt;AI$3,AI$3&gt;=$C$1),'General Inputs'!G$9*$G74,IF(AND(($C74+$C$1)&gt;AI$3,AI$3&gt;=$C$1),'General Inputs'!G$9*$F74,0))</f>
        <v>84.891462448234748</v>
      </c>
      <c r="AJ74" s="214">
        <f>IF(AND(($D74+$C$1)&gt;AJ$3,AJ$3&gt;=$C$1),'General Inputs'!H$9*$G74,IF(AND(($C74+$C$1)&gt;AJ$3,AJ$3&gt;=$C$1),'General Inputs'!H$9*$F74,0))</f>
        <v>86.164834384958255</v>
      </c>
      <c r="AK74" s="214">
        <f>IF(AND(($D74+$C$1)&gt;AK$3,AK$3&gt;=$C$1),'General Inputs'!I$9*$G74,IF(AND(($C74+$C$1)&gt;AK$3,AK$3&gt;=$C$1),'General Inputs'!I$9*$F74,0))</f>
        <v>87.457306900732618</v>
      </c>
      <c r="AL74" s="214">
        <f>IF(AND(($D74+$C$1)&gt;AL$3,AL$3&gt;=$C$1),'General Inputs'!J$9*$G74,IF(AND(($C74+$C$1)&gt;AL$3,AL$3&gt;=$C$1),'General Inputs'!J$9*$F74,0))</f>
        <v>88.769166504243586</v>
      </c>
      <c r="AM74" s="214">
        <f>IF(AND(($D74+$C$1)&gt;AM$3,AM$3&gt;=$C$1),'General Inputs'!K$9*$G74,IF(AND(($C74+$C$1)&gt;AM$3,AM$3&gt;=$C$1),'General Inputs'!K$9*$F74,0))</f>
        <v>90.10070400180723</v>
      </c>
      <c r="AN74" s="214">
        <f>IF(AND(($D74+$C$1)&gt;AN$3,AN$3&gt;=$C$1),'General Inputs'!L$9*$G74,IF(AND(($C74+$C$1)&gt;AN$3,AN$3&gt;=$C$1),'General Inputs'!L$9*$F74,0))</f>
        <v>91.452214561834339</v>
      </c>
      <c r="AO74" s="214">
        <f>IF(AND(($D74+$C$1)&gt;AO$3,AO$3&gt;=$C$1),'General Inputs'!M$9*$G74,IF(AND(($C74+$C$1)&gt;AO$3,AO$3&gt;=$C$1),'General Inputs'!M$9*$F74,0))</f>
        <v>92.823997780261834</v>
      </c>
      <c r="AP74" s="214">
        <f>IF(AND(($D74+$C$1)&gt;AP$3,AP$3&gt;=$C$1),'General Inputs'!N$9*$G74,IF(AND(($C74+$C$1)&gt;AP$3,AP$3&gt;=$C$1),'General Inputs'!N$9*$F74,0))</f>
        <v>94.216357746965755</v>
      </c>
      <c r="AQ74" s="214">
        <f>IF(AND(($D74+$C$1)&gt;AQ$3,AQ$3&gt;=$C$1),'General Inputs'!O$9*$G74,IF(AND(($C74+$C$1)&gt;AQ$3,AQ$3&gt;=$C$1),'General Inputs'!O$9*$F74,0))</f>
        <v>95.629603113170234</v>
      </c>
      <c r="AR74" s="214">
        <f>IF(AND(($D74+$C$1)&gt;AR$3,AR$3&gt;=$C$1),'General Inputs'!P$9*$G74,IF(AND(($C74+$C$1)&gt;AR$3,AR$3&gt;=$C$1),'General Inputs'!P$9*$F74,0))</f>
        <v>97.064047159867769</v>
      </c>
      <c r="AS74" s="214">
        <f>IF(AND(($D74+$C$1)&gt;AS$3,AS$3&gt;=$C$1),'General Inputs'!Q$9*$G74,IF(AND(($C74+$C$1)&gt;AS$3,AS$3&gt;=$C$1),'General Inputs'!Q$9*$F74,0))</f>
        <v>98.52000786726579</v>
      </c>
      <c r="AT74" s="214">
        <f>IF(AND(($D74+$C$1)&gt;AT$3,AT$3&gt;=$C$1),'General Inputs'!R$9*$G74,IF(AND(($C74+$C$1)&gt;AT$3,AT$3&gt;=$C$1),'General Inputs'!R$9*$F74,0))</f>
        <v>99.997807985274761</v>
      </c>
      <c r="AU74" s="214">
        <f>IF(AND(($D74+$C$1)&gt;AU$3,AU$3&gt;=$C$1),'General Inputs'!S$9*$G74,IF(AND(($C74+$C$1)&gt;AU$3,AU$3&gt;=$C$1),'General Inputs'!S$9*$F74,0))</f>
        <v>101.49777510505388</v>
      </c>
      <c r="AV74" s="214">
        <f>IF(AND(($D74+$C$1)&gt;AV$3,AV$3&gt;=$C$1),'General Inputs'!T$9*$G74,IF(AND(($C74+$C$1)&gt;AV$3,AV$3&gt;=$C$1),'General Inputs'!T$9*$F74,0))</f>
        <v>103.02024173162968</v>
      </c>
      <c r="AW74" s="214">
        <f>IF(AND(($D74+$C$1)&gt;AW$3,AW$3&gt;=$C$1),'General Inputs'!U$9*$G74,IF(AND(($C74+$C$1)&gt;AW$3,AW$3&gt;=$C$1),'General Inputs'!U$9*$F74,0))</f>
        <v>104.56554535760412</v>
      </c>
      <c r="AX74" s="214">
        <f>IF(AND(($D74+$C$1)&gt;AX$3,AX$3&gt;=$C$1),'General Inputs'!V$9*$G74,IF(AND(($C74+$C$1)&gt;AX$3,AX$3&gt;=$C$1),'General Inputs'!V$9*$F74,0))</f>
        <v>106.13402853796818</v>
      </c>
      <c r="AY74" s="214">
        <f>IF(AND(($D74+$C$1)&gt;AY$3,AY$3&gt;=$C$1),'General Inputs'!W$9*$G74,IF(AND(($C74+$C$1)&gt;AY$3,AY$3&gt;=$C$1),'General Inputs'!W$9*$F74,0))</f>
        <v>0</v>
      </c>
      <c r="BA74" s="214">
        <f>IF(AND(($D74+$C$1)&gt;AF$3,AF$3&gt;=$C$1),'General Inputs'!D$10*$I74,IF(AND(($C74+$C$1)&gt;AF$3,AF$3&gt;=$C$1),'General Inputs'!D$10*$H74,0))</f>
        <v>0</v>
      </c>
      <c r="BB74" s="214">
        <f>IF(AND(($D74+$C$1)&gt;AG$3,AG$3&gt;=$C$1),'General Inputs'!E$10*$I74,IF(AND(($C74+$C$1)&gt;AG$3,AG$3&gt;=$C$1),'General Inputs'!E$10*$H74,0))</f>
        <v>4.7923240684041168</v>
      </c>
      <c r="BC74" s="214">
        <f>IF(AND(($D74+$C$1)&gt;AH$3,AH$3&gt;=$C$1),'General Inputs'!F$10*$I74,IF(AND(($C74+$C$1)&gt;AH$3,AH$3&gt;=$C$1),'General Inputs'!F$10*$H74,0))</f>
        <v>4.8642089294301787</v>
      </c>
      <c r="BD74" s="214">
        <f>IF(AND(($D74+$C$1)&gt;AI$3,AI$3&gt;=$C$1),'General Inputs'!G$10*$I74,IF(AND(($C74+$C$1)&gt;AI$3,AI$3&gt;=$C$1),'General Inputs'!G$10*$H74,0))</f>
        <v>4.9371720633716309</v>
      </c>
      <c r="BE74" s="214">
        <f>IF(AND(($D74+$C$1)&gt;AJ$3,AJ$3&gt;=$C$1),'General Inputs'!H$10*$I74,IF(AND(($C74+$C$1)&gt;AJ$3,AJ$3&gt;=$C$1),'General Inputs'!H$10*$H74,0))</f>
        <v>5.0112296443222046</v>
      </c>
      <c r="BF74" s="214">
        <f>IF(AND(($D74+$C$1)&gt;AK$3,AK$3&gt;=$C$1),'General Inputs'!I$10*$I74,IF(AND(($C74+$C$1)&gt;AK$3,AK$3&gt;=$C$1),'General Inputs'!I$10*$H74,0))</f>
        <v>5.0863980889870373</v>
      </c>
      <c r="BG74" s="214">
        <f>IF(AND(($D74+$C$1)&gt;AL$3,AL$3&gt;=$C$1),'General Inputs'!J$10*$I74,IF(AND(($C74+$C$1)&gt;AL$3,AL$3&gt;=$C$1),'General Inputs'!J$10*$H74,0))</f>
        <v>5.1626940603218419</v>
      </c>
      <c r="BH74" s="214">
        <f>IF(AND(($D74+$C$1)&gt;AM$3,AM$3&gt;=$C$1),'General Inputs'!K$10*$I74,IF(AND(($C74+$C$1)&gt;AM$3,AM$3&gt;=$C$1),'General Inputs'!K$10*$H74,0))</f>
        <v>5.2401344712266695</v>
      </c>
      <c r="BI74" s="214">
        <f>IF(AND(($D74+$C$1)&gt;AN$3,AN$3&gt;=$C$1),'General Inputs'!L$10*$I74,IF(AND(($C74+$C$1)&gt;AN$3,AN$3&gt;=$C$1),'General Inputs'!L$10*$H74,0))</f>
        <v>5.3187364882950687</v>
      </c>
      <c r="BJ74" s="214">
        <f>IF(AND(($D74+$C$1)&gt;AO$3,AO$3&gt;=$C$1),'General Inputs'!M$10*$I74,IF(AND(($C74+$C$1)&gt;AO$3,AO$3&gt;=$C$1),'General Inputs'!M$10*$H74,0))</f>
        <v>5.3985175356194945</v>
      </c>
      <c r="BK74" s="214">
        <f>IF(AND(($D74+$C$1)&gt;AP$3,AP$3&gt;=$C$1),'General Inputs'!N$10*$I74,IF(AND(($C74+$C$1)&gt;AP$3,AP$3&gt;=$C$1),'General Inputs'!N$10*$H74,0))</f>
        <v>5.4794952986537862</v>
      </c>
      <c r="BL74" s="214">
        <f>IF(AND(($D74+$C$1)&gt;AQ$3,AQ$3&gt;=$C$1),'General Inputs'!O$10*$I74,IF(AND(($C74+$C$1)&gt;AQ$3,AQ$3&gt;=$C$1),'General Inputs'!O$10*$H74,0))</f>
        <v>5.5616877281335926</v>
      </c>
      <c r="BM74" s="214">
        <f>IF(AND(($D74+$C$1)&gt;AR$3,AR$3&gt;=$C$1),'General Inputs'!P$10*$I74,IF(AND(($C74+$C$1)&gt;AR$3,AR$3&gt;=$C$1),'General Inputs'!P$10*$H74,0))</f>
        <v>5.6451130440555959</v>
      </c>
      <c r="BN74" s="214">
        <f>IF(AND(($D74+$C$1)&gt;AS$3,AS$3&gt;=$C$1),'General Inputs'!Q$10*$I74,IF(AND(($C74+$C$1)&gt;AS$3,AS$3&gt;=$C$1),'General Inputs'!Q$10*$H74,0))</f>
        <v>5.7297897397164297</v>
      </c>
      <c r="BO74" s="214">
        <f>IF(AND(($D74+$C$1)&gt;AT$3,AT$3&gt;=$C$1),'General Inputs'!R$10*$I74,IF(AND(($C74+$C$1)&gt;AT$3,AT$3&gt;=$C$1),'General Inputs'!R$10*$H74,0))</f>
        <v>5.815736585812175</v>
      </c>
      <c r="BP74" s="214">
        <f>IF(AND(($D74+$C$1)&gt;AU$3,AU$3&gt;=$C$1),'General Inputs'!S$10*$I74,IF(AND(($C74+$C$1)&gt;AU$3,AU$3&gt;=$C$1),'General Inputs'!S$10*$H74,0))</f>
        <v>5.9029726345993581</v>
      </c>
      <c r="BQ74" s="214">
        <f>IF(AND(($D74+$C$1)&gt;AV$3,AV$3&gt;=$C$1),'General Inputs'!T$10*$I74,IF(AND(($C74+$C$1)&gt;AV$3,AV$3&gt;=$C$1),'General Inputs'!T$10*$H74,0))</f>
        <v>5.991517224118347</v>
      </c>
      <c r="BR74" s="214">
        <f>IF(AND(($D74+$C$1)&gt;AW$3,AW$3&gt;=$C$1),'General Inputs'!U$10*$I74,IF(AND(($C74+$C$1)&gt;AW$3,AW$3&gt;=$C$1),'General Inputs'!U$10*$H74,0))</f>
        <v>6.0813899824801219</v>
      </c>
      <c r="BS74" s="214">
        <f>IF(AND(($D74+$C$1)&gt;AX$3,AX$3&gt;=$C$1),'General Inputs'!V$10*$I74,IF(AND(($C74+$C$1)&gt;AX$3,AX$3&gt;=$C$1),'General Inputs'!V$10*$H74,0))</f>
        <v>6.1726108322173223</v>
      </c>
      <c r="BT74" s="214">
        <f>IF(AND(($D74+$C$1)&gt;AY$3,AY$3&gt;=$C$1),'General Inputs'!W$10*$I74,IF(AND(($C74+$C$1)&gt;AY$3,AY$3&gt;=$C$1),'General Inputs'!W$10*$H74,0))</f>
        <v>0</v>
      </c>
    </row>
    <row r="75" spans="1:72">
      <c r="A75" s="342" t="s">
        <v>112</v>
      </c>
      <c r="B75" s="427" t="str">
        <f>Sources!B75</f>
        <v>Ceiling Mount Occupancy</v>
      </c>
      <c r="C75" s="193">
        <f>Sources!C75</f>
        <v>8</v>
      </c>
      <c r="D75" s="193">
        <f>Sources!D75</f>
        <v>0</v>
      </c>
      <c r="F75" s="429">
        <f>Sources!F75*EnergyLineLoss</f>
        <v>350.21102999999999</v>
      </c>
      <c r="G75" s="429">
        <f>Sources!G75*EnergyLineLoss</f>
        <v>0</v>
      </c>
      <c r="H75" s="477">
        <f>Sources!H75*PeakLineLoss</f>
        <v>1.11841587E-2</v>
      </c>
      <c r="I75" s="477">
        <f>Sources!I75*PeakLineLoss</f>
        <v>0</v>
      </c>
      <c r="K75" s="419">
        <f>Sources!J75</f>
        <v>125</v>
      </c>
      <c r="L75" s="419">
        <f>Sources!K75</f>
        <v>0</v>
      </c>
      <c r="N75" s="438">
        <f t="shared" si="26"/>
        <v>0.72709693897165972</v>
      </c>
      <c r="P75" s="215">
        <f t="shared" si="27"/>
        <v>82.51413814869619</v>
      </c>
      <c r="Q75" s="215">
        <f t="shared" si="28"/>
        <v>0.99111485705304125</v>
      </c>
      <c r="R75" s="215">
        <f t="shared" si="29"/>
        <v>114.84748254318265</v>
      </c>
      <c r="T75" s="214">
        <f t="shared" si="30"/>
        <v>0</v>
      </c>
      <c r="U75" s="214">
        <f t="shared" si="30"/>
        <v>125</v>
      </c>
      <c r="V75" s="214">
        <f t="shared" si="30"/>
        <v>0</v>
      </c>
      <c r="W75" s="214">
        <f t="shared" si="30"/>
        <v>0</v>
      </c>
      <c r="X75" s="214">
        <f t="shared" si="30"/>
        <v>0</v>
      </c>
      <c r="Y75" s="214">
        <f t="shared" si="30"/>
        <v>0</v>
      </c>
      <c r="Z75" s="214">
        <f t="shared" si="30"/>
        <v>0</v>
      </c>
      <c r="AA75" s="214">
        <f t="shared" si="30"/>
        <v>0</v>
      </c>
      <c r="AB75" s="214">
        <f t="shared" si="30"/>
        <v>0</v>
      </c>
      <c r="AC75" s="214">
        <f t="shared" si="30"/>
        <v>0</v>
      </c>
      <c r="AD75" s="214">
        <f t="shared" si="30"/>
        <v>0</v>
      </c>
      <c r="AF75" s="214">
        <f>IF(AND(($D75+$C$1)&gt;AF$3,AF$3&gt;=$C$1),'General Inputs'!D$9*$G75,IF(AND(($C75+$C$1)&gt;AF$3,AF$3&gt;=$C$1),'General Inputs'!D$9*$F75,0))</f>
        <v>0</v>
      </c>
      <c r="AG75" s="214">
        <f>IF(AND(($D75+$C$1)&gt;AG$3,AG$3&gt;=$C$1),'General Inputs'!E$9*$G75,IF(AND(($C75+$C$1)&gt;AG$3,AG$3&gt;=$C$1),'General Inputs'!E$9*$F75,0))</f>
        <v>14.151836254489236</v>
      </c>
      <c r="AH75" s="214">
        <f>IF(AND(($D75+$C$1)&gt;AH$3,AH$3&gt;=$C$1),'General Inputs'!F$9*$G75,IF(AND(($C75+$C$1)&gt;AH$3,AH$3&gt;=$C$1),'General Inputs'!F$9*$F75,0))</f>
        <v>14.364113798306573</v>
      </c>
      <c r="AI75" s="214">
        <f>IF(AND(($D75+$C$1)&gt;AI$3,AI$3&gt;=$C$1),'General Inputs'!G$9*$G75,IF(AND(($C75+$C$1)&gt;AI$3,AI$3&gt;=$C$1),'General Inputs'!G$9*$F75,0))</f>
        <v>14.579575505281172</v>
      </c>
      <c r="AJ75" s="214">
        <f>IF(AND(($D75+$C$1)&gt;AJ$3,AJ$3&gt;=$C$1),'General Inputs'!H$9*$G75,IF(AND(($C75+$C$1)&gt;AJ$3,AJ$3&gt;=$C$1),'General Inputs'!H$9*$F75,0))</f>
        <v>14.798269137860386</v>
      </c>
      <c r="AK75" s="214">
        <f>IF(AND(($D75+$C$1)&gt;AK$3,AK$3&gt;=$C$1),'General Inputs'!I$9*$G75,IF(AND(($C75+$C$1)&gt;AK$3,AK$3&gt;=$C$1),'General Inputs'!I$9*$F75,0))</f>
        <v>15.020243174928289</v>
      </c>
      <c r="AL75" s="214">
        <f>IF(AND(($D75+$C$1)&gt;AL$3,AL$3&gt;=$C$1),'General Inputs'!J$9*$G75,IF(AND(($C75+$C$1)&gt;AL$3,AL$3&gt;=$C$1),'General Inputs'!J$9*$F75,0))</f>
        <v>15.245546822552212</v>
      </c>
      <c r="AM75" s="214">
        <f>IF(AND(($D75+$C$1)&gt;AM$3,AM$3&gt;=$C$1),'General Inputs'!K$9*$G75,IF(AND(($C75+$C$1)&gt;AM$3,AM$3&gt;=$C$1),'General Inputs'!K$9*$F75,0))</f>
        <v>15.474230024890492</v>
      </c>
      <c r="AN75" s="214">
        <f>IF(AND(($D75+$C$1)&gt;AN$3,AN$3&gt;=$C$1),'General Inputs'!L$9*$G75,IF(AND(($C75+$C$1)&gt;AN$3,AN$3&gt;=$C$1),'General Inputs'!L$9*$F75,0))</f>
        <v>15.706343475263848</v>
      </c>
      <c r="AO75" s="214">
        <f>IF(AND(($D75+$C$1)&gt;AO$3,AO$3&gt;=$C$1),'General Inputs'!M$9*$G75,IF(AND(($C75+$C$1)&gt;AO$3,AO$3&gt;=$C$1),'General Inputs'!M$9*$F75,0))</f>
        <v>0</v>
      </c>
      <c r="AP75" s="214">
        <f>IF(AND(($D75+$C$1)&gt;AP$3,AP$3&gt;=$C$1),'General Inputs'!N$9*$G75,IF(AND(($C75+$C$1)&gt;AP$3,AP$3&gt;=$C$1),'General Inputs'!N$9*$F75,0))</f>
        <v>0</v>
      </c>
      <c r="AQ75" s="214">
        <f>IF(AND(($D75+$C$1)&gt;AQ$3,AQ$3&gt;=$C$1),'General Inputs'!O$9*$G75,IF(AND(($C75+$C$1)&gt;AQ$3,AQ$3&gt;=$C$1),'General Inputs'!O$9*$F75,0))</f>
        <v>0</v>
      </c>
      <c r="AR75" s="214">
        <f>IF(AND(($D75+$C$1)&gt;AR$3,AR$3&gt;=$C$1),'General Inputs'!P$9*$G75,IF(AND(($C75+$C$1)&gt;AR$3,AR$3&gt;=$C$1),'General Inputs'!P$9*$F75,0))</f>
        <v>0</v>
      </c>
      <c r="AS75" s="214">
        <f>IF(AND(($D75+$C$1)&gt;AS$3,AS$3&gt;=$C$1),'General Inputs'!Q$9*$G75,IF(AND(($C75+$C$1)&gt;AS$3,AS$3&gt;=$C$1),'General Inputs'!Q$9*$F75,0))</f>
        <v>0</v>
      </c>
      <c r="AT75" s="214">
        <f>IF(AND(($D75+$C$1)&gt;AT$3,AT$3&gt;=$C$1),'General Inputs'!R$9*$G75,IF(AND(($C75+$C$1)&gt;AT$3,AT$3&gt;=$C$1),'General Inputs'!R$9*$F75,0))</f>
        <v>0</v>
      </c>
      <c r="AU75" s="214">
        <f>IF(AND(($D75+$C$1)&gt;AU$3,AU$3&gt;=$C$1),'General Inputs'!S$9*$G75,IF(AND(($C75+$C$1)&gt;AU$3,AU$3&gt;=$C$1),'General Inputs'!S$9*$F75,0))</f>
        <v>0</v>
      </c>
      <c r="AV75" s="214">
        <f>IF(AND(($D75+$C$1)&gt;AV$3,AV$3&gt;=$C$1),'General Inputs'!T$9*$G75,IF(AND(($C75+$C$1)&gt;AV$3,AV$3&gt;=$C$1),'General Inputs'!T$9*$F75,0))</f>
        <v>0</v>
      </c>
      <c r="AW75" s="214">
        <f>IF(AND(($D75+$C$1)&gt;AW$3,AW$3&gt;=$C$1),'General Inputs'!U$9*$G75,IF(AND(($C75+$C$1)&gt;AW$3,AW$3&gt;=$C$1),'General Inputs'!U$9*$F75,0))</f>
        <v>0</v>
      </c>
      <c r="AX75" s="214">
        <f>IF(AND(($D75+$C$1)&gt;AX$3,AX$3&gt;=$C$1),'General Inputs'!V$9*$G75,IF(AND(($C75+$C$1)&gt;AX$3,AX$3&gt;=$C$1),'General Inputs'!V$9*$F75,0))</f>
        <v>0</v>
      </c>
      <c r="AY75" s="214">
        <f>IF(AND(($D75+$C$1)&gt;AY$3,AY$3&gt;=$C$1),'General Inputs'!W$9*$G75,IF(AND(($C75+$C$1)&gt;AY$3,AY$3&gt;=$C$1),'General Inputs'!W$9*$F75,0))</f>
        <v>0</v>
      </c>
      <c r="BA75" s="214">
        <f>IF(AND(($D75+$C$1)&gt;AF$3,AF$3&gt;=$C$1),'General Inputs'!D$10*$I75,IF(AND(($C75+$C$1)&gt;AF$3,AF$3&gt;=$C$1),'General Inputs'!D$10*$H75,0))</f>
        <v>0</v>
      </c>
      <c r="BB75" s="214">
        <f>IF(AND(($D75+$C$1)&gt;AG$3,AG$3&gt;=$C$1),'General Inputs'!E$10*$I75,IF(AND(($C75+$C$1)&gt;AG$3,AG$3&gt;=$C$1),'General Inputs'!E$10*$H75,0))</f>
        <v>0.16998414430664174</v>
      </c>
      <c r="BC75" s="214">
        <f>IF(AND(($D75+$C$1)&gt;AH$3,AH$3&gt;=$C$1),'General Inputs'!F$10*$I75,IF(AND(($C75+$C$1)&gt;AH$3,AH$3&gt;=$C$1),'General Inputs'!F$10*$H75,0))</f>
        <v>0.17253390647124137</v>
      </c>
      <c r="BD75" s="214">
        <f>IF(AND(($D75+$C$1)&gt;AI$3,AI$3&gt;=$C$1),'General Inputs'!G$10*$I75,IF(AND(($C75+$C$1)&gt;AI$3,AI$3&gt;=$C$1),'General Inputs'!G$10*$H75,0))</f>
        <v>0.17512191506830999</v>
      </c>
      <c r="BE75" s="214">
        <f>IF(AND(($D75+$C$1)&gt;AJ$3,AJ$3&gt;=$C$1),'General Inputs'!H$10*$I75,IF(AND(($C75+$C$1)&gt;AJ$3,AJ$3&gt;=$C$1),'General Inputs'!H$10*$H75,0))</f>
        <v>0.17774874379433461</v>
      </c>
      <c r="BF75" s="214">
        <f>IF(AND(($D75+$C$1)&gt;AK$3,AK$3&gt;=$C$1),'General Inputs'!I$10*$I75,IF(AND(($C75+$C$1)&gt;AK$3,AK$3&gt;=$C$1),'General Inputs'!I$10*$H75,0))</f>
        <v>0.18041497495124958</v>
      </c>
      <c r="BG75" s="214">
        <f>IF(AND(($D75+$C$1)&gt;AL$3,AL$3&gt;=$C$1),'General Inputs'!J$10*$I75,IF(AND(($C75+$C$1)&gt;AL$3,AL$3&gt;=$C$1),'General Inputs'!J$10*$H75,0))</f>
        <v>0.18312119957551831</v>
      </c>
      <c r="BH75" s="214">
        <f>IF(AND(($D75+$C$1)&gt;AM$3,AM$3&gt;=$C$1),'General Inputs'!K$10*$I75,IF(AND(($C75+$C$1)&gt;AM$3,AM$3&gt;=$C$1),'General Inputs'!K$10*$H75,0))</f>
        <v>0.18586801756915108</v>
      </c>
      <c r="BI75" s="214">
        <f>IF(AND(($D75+$C$1)&gt;AN$3,AN$3&gt;=$C$1),'General Inputs'!L$10*$I75,IF(AND(($C75+$C$1)&gt;AN$3,AN$3&gt;=$C$1),'General Inputs'!L$10*$H75,0))</f>
        <v>0.18865603783268833</v>
      </c>
      <c r="BJ75" s="214">
        <f>IF(AND(($D75+$C$1)&gt;AO$3,AO$3&gt;=$C$1),'General Inputs'!M$10*$I75,IF(AND(($C75+$C$1)&gt;AO$3,AO$3&gt;=$C$1),'General Inputs'!M$10*$H75,0))</f>
        <v>0</v>
      </c>
      <c r="BK75" s="214">
        <f>IF(AND(($D75+$C$1)&gt;AP$3,AP$3&gt;=$C$1),'General Inputs'!N$10*$I75,IF(AND(($C75+$C$1)&gt;AP$3,AP$3&gt;=$C$1),'General Inputs'!N$10*$H75,0))</f>
        <v>0</v>
      </c>
      <c r="BL75" s="214">
        <f>IF(AND(($D75+$C$1)&gt;AQ$3,AQ$3&gt;=$C$1),'General Inputs'!O$10*$I75,IF(AND(($C75+$C$1)&gt;AQ$3,AQ$3&gt;=$C$1),'General Inputs'!O$10*$H75,0))</f>
        <v>0</v>
      </c>
      <c r="BM75" s="214">
        <f>IF(AND(($D75+$C$1)&gt;AR$3,AR$3&gt;=$C$1),'General Inputs'!P$10*$I75,IF(AND(($C75+$C$1)&gt;AR$3,AR$3&gt;=$C$1),'General Inputs'!P$10*$H75,0))</f>
        <v>0</v>
      </c>
      <c r="BN75" s="214">
        <f>IF(AND(($D75+$C$1)&gt;AS$3,AS$3&gt;=$C$1),'General Inputs'!Q$10*$I75,IF(AND(($C75+$C$1)&gt;AS$3,AS$3&gt;=$C$1),'General Inputs'!Q$10*$H75,0))</f>
        <v>0</v>
      </c>
      <c r="BO75" s="214">
        <f>IF(AND(($D75+$C$1)&gt;AT$3,AT$3&gt;=$C$1),'General Inputs'!R$10*$I75,IF(AND(($C75+$C$1)&gt;AT$3,AT$3&gt;=$C$1),'General Inputs'!R$10*$H75,0))</f>
        <v>0</v>
      </c>
      <c r="BP75" s="214">
        <f>IF(AND(($D75+$C$1)&gt;AU$3,AU$3&gt;=$C$1),'General Inputs'!S$10*$I75,IF(AND(($C75+$C$1)&gt;AU$3,AU$3&gt;=$C$1),'General Inputs'!S$10*$H75,0))</f>
        <v>0</v>
      </c>
      <c r="BQ75" s="214">
        <f>IF(AND(($D75+$C$1)&gt;AV$3,AV$3&gt;=$C$1),'General Inputs'!T$10*$I75,IF(AND(($C75+$C$1)&gt;AV$3,AV$3&gt;=$C$1),'General Inputs'!T$10*$H75,0))</f>
        <v>0</v>
      </c>
      <c r="BR75" s="214">
        <f>IF(AND(($D75+$C$1)&gt;AW$3,AW$3&gt;=$C$1),'General Inputs'!U$10*$I75,IF(AND(($C75+$C$1)&gt;AW$3,AW$3&gt;=$C$1),'General Inputs'!U$10*$H75,0))</f>
        <v>0</v>
      </c>
      <c r="BS75" s="214">
        <f>IF(AND(($D75+$C$1)&gt;AX$3,AX$3&gt;=$C$1),'General Inputs'!V$10*$I75,IF(AND(($C75+$C$1)&gt;AX$3,AX$3&gt;=$C$1),'General Inputs'!V$10*$H75,0))</f>
        <v>0</v>
      </c>
      <c r="BT75" s="214">
        <f>IF(AND(($D75+$C$1)&gt;AY$3,AY$3&gt;=$C$1),'General Inputs'!W$10*$I75,IF(AND(($C75+$C$1)&gt;AY$3,AY$3&gt;=$C$1),'General Inputs'!W$10*$H75,0))</f>
        <v>0</v>
      </c>
    </row>
    <row r="76" spans="1:72">
      <c r="A76" s="342" t="s">
        <v>112</v>
      </c>
      <c r="B76" s="427" t="str">
        <f>Sources!B76</f>
        <v>Wall Mount Occupancy</v>
      </c>
      <c r="C76" s="193">
        <f>Sources!C76</f>
        <v>8</v>
      </c>
      <c r="D76" s="193">
        <f>Sources!D76</f>
        <v>0</v>
      </c>
      <c r="F76" s="429">
        <f>Sources!F76*EnergyLineLoss</f>
        <v>350.21102999999999</v>
      </c>
      <c r="G76" s="429">
        <f>Sources!G76*EnergyLineLoss</f>
        <v>0</v>
      </c>
      <c r="H76" s="477">
        <f>Sources!H76*PeakLineLoss</f>
        <v>1.11841587E-2</v>
      </c>
      <c r="I76" s="477">
        <f>Sources!I76*PeakLineLoss</f>
        <v>0</v>
      </c>
      <c r="K76" s="419">
        <f>Sources!J76</f>
        <v>55</v>
      </c>
      <c r="L76" s="419">
        <f>Sources!K76</f>
        <v>0</v>
      </c>
      <c r="N76" s="438">
        <f t="shared" si="26"/>
        <v>1.6524930431174083</v>
      </c>
      <c r="P76" s="215">
        <f t="shared" si="27"/>
        <v>82.51413814869619</v>
      </c>
      <c r="Q76" s="215">
        <f t="shared" si="28"/>
        <v>0.99111485705304125</v>
      </c>
      <c r="R76" s="215">
        <f t="shared" si="29"/>
        <v>50.532892319000368</v>
      </c>
      <c r="T76" s="214">
        <f t="shared" si="30"/>
        <v>0</v>
      </c>
      <c r="U76" s="214">
        <f t="shared" si="30"/>
        <v>55</v>
      </c>
      <c r="V76" s="214">
        <f t="shared" si="30"/>
        <v>0</v>
      </c>
      <c r="W76" s="214">
        <f t="shared" si="30"/>
        <v>0</v>
      </c>
      <c r="X76" s="214">
        <f t="shared" si="30"/>
        <v>0</v>
      </c>
      <c r="Y76" s="214">
        <f t="shared" si="30"/>
        <v>0</v>
      </c>
      <c r="Z76" s="214">
        <f t="shared" si="30"/>
        <v>0</v>
      </c>
      <c r="AA76" s="214">
        <f t="shared" si="30"/>
        <v>0</v>
      </c>
      <c r="AB76" s="214">
        <f t="shared" si="30"/>
        <v>0</v>
      </c>
      <c r="AC76" s="214">
        <f t="shared" si="30"/>
        <v>0</v>
      </c>
      <c r="AD76" s="214">
        <f t="shared" si="30"/>
        <v>0</v>
      </c>
      <c r="AF76" s="214">
        <f>IF(AND(($D76+$C$1)&gt;AF$3,AF$3&gt;=$C$1),'General Inputs'!D$9*$G76,IF(AND(($C76+$C$1)&gt;AF$3,AF$3&gt;=$C$1),'General Inputs'!D$9*$F76,0))</f>
        <v>0</v>
      </c>
      <c r="AG76" s="214">
        <f>IF(AND(($D76+$C$1)&gt;AG$3,AG$3&gt;=$C$1),'General Inputs'!E$9*$G76,IF(AND(($C76+$C$1)&gt;AG$3,AG$3&gt;=$C$1),'General Inputs'!E$9*$F76,0))</f>
        <v>14.151836254489236</v>
      </c>
      <c r="AH76" s="214">
        <f>IF(AND(($D76+$C$1)&gt;AH$3,AH$3&gt;=$C$1),'General Inputs'!F$9*$G76,IF(AND(($C76+$C$1)&gt;AH$3,AH$3&gt;=$C$1),'General Inputs'!F$9*$F76,0))</f>
        <v>14.364113798306573</v>
      </c>
      <c r="AI76" s="214">
        <f>IF(AND(($D76+$C$1)&gt;AI$3,AI$3&gt;=$C$1),'General Inputs'!G$9*$G76,IF(AND(($C76+$C$1)&gt;AI$3,AI$3&gt;=$C$1),'General Inputs'!G$9*$F76,0))</f>
        <v>14.579575505281172</v>
      </c>
      <c r="AJ76" s="214">
        <f>IF(AND(($D76+$C$1)&gt;AJ$3,AJ$3&gt;=$C$1),'General Inputs'!H$9*$G76,IF(AND(($C76+$C$1)&gt;AJ$3,AJ$3&gt;=$C$1),'General Inputs'!H$9*$F76,0))</f>
        <v>14.798269137860386</v>
      </c>
      <c r="AK76" s="214">
        <f>IF(AND(($D76+$C$1)&gt;AK$3,AK$3&gt;=$C$1),'General Inputs'!I$9*$G76,IF(AND(($C76+$C$1)&gt;AK$3,AK$3&gt;=$C$1),'General Inputs'!I$9*$F76,0))</f>
        <v>15.020243174928289</v>
      </c>
      <c r="AL76" s="214">
        <f>IF(AND(($D76+$C$1)&gt;AL$3,AL$3&gt;=$C$1),'General Inputs'!J$9*$G76,IF(AND(($C76+$C$1)&gt;AL$3,AL$3&gt;=$C$1),'General Inputs'!J$9*$F76,0))</f>
        <v>15.245546822552212</v>
      </c>
      <c r="AM76" s="214">
        <f>IF(AND(($D76+$C$1)&gt;AM$3,AM$3&gt;=$C$1),'General Inputs'!K$9*$G76,IF(AND(($C76+$C$1)&gt;AM$3,AM$3&gt;=$C$1),'General Inputs'!K$9*$F76,0))</f>
        <v>15.474230024890492</v>
      </c>
      <c r="AN76" s="214">
        <f>IF(AND(($D76+$C$1)&gt;AN$3,AN$3&gt;=$C$1),'General Inputs'!L$9*$G76,IF(AND(($C76+$C$1)&gt;AN$3,AN$3&gt;=$C$1),'General Inputs'!L$9*$F76,0))</f>
        <v>15.706343475263848</v>
      </c>
      <c r="AO76" s="214">
        <f>IF(AND(($D76+$C$1)&gt;AO$3,AO$3&gt;=$C$1),'General Inputs'!M$9*$G76,IF(AND(($C76+$C$1)&gt;AO$3,AO$3&gt;=$C$1),'General Inputs'!M$9*$F76,0))</f>
        <v>0</v>
      </c>
      <c r="AP76" s="214">
        <f>IF(AND(($D76+$C$1)&gt;AP$3,AP$3&gt;=$C$1),'General Inputs'!N$9*$G76,IF(AND(($C76+$C$1)&gt;AP$3,AP$3&gt;=$C$1),'General Inputs'!N$9*$F76,0))</f>
        <v>0</v>
      </c>
      <c r="AQ76" s="214">
        <f>IF(AND(($D76+$C$1)&gt;AQ$3,AQ$3&gt;=$C$1),'General Inputs'!O$9*$G76,IF(AND(($C76+$C$1)&gt;AQ$3,AQ$3&gt;=$C$1),'General Inputs'!O$9*$F76,0))</f>
        <v>0</v>
      </c>
      <c r="AR76" s="214">
        <f>IF(AND(($D76+$C$1)&gt;AR$3,AR$3&gt;=$C$1),'General Inputs'!P$9*$G76,IF(AND(($C76+$C$1)&gt;AR$3,AR$3&gt;=$C$1),'General Inputs'!P$9*$F76,0))</f>
        <v>0</v>
      </c>
      <c r="AS76" s="214">
        <f>IF(AND(($D76+$C$1)&gt;AS$3,AS$3&gt;=$C$1),'General Inputs'!Q$9*$G76,IF(AND(($C76+$C$1)&gt;AS$3,AS$3&gt;=$C$1),'General Inputs'!Q$9*$F76,0))</f>
        <v>0</v>
      </c>
      <c r="AT76" s="214">
        <f>IF(AND(($D76+$C$1)&gt;AT$3,AT$3&gt;=$C$1),'General Inputs'!R$9*$G76,IF(AND(($C76+$C$1)&gt;AT$3,AT$3&gt;=$C$1),'General Inputs'!R$9*$F76,0))</f>
        <v>0</v>
      </c>
      <c r="AU76" s="214">
        <f>IF(AND(($D76+$C$1)&gt;AU$3,AU$3&gt;=$C$1),'General Inputs'!S$9*$G76,IF(AND(($C76+$C$1)&gt;AU$3,AU$3&gt;=$C$1),'General Inputs'!S$9*$F76,0))</f>
        <v>0</v>
      </c>
      <c r="AV76" s="214">
        <f>IF(AND(($D76+$C$1)&gt;AV$3,AV$3&gt;=$C$1),'General Inputs'!T$9*$G76,IF(AND(($C76+$C$1)&gt;AV$3,AV$3&gt;=$C$1),'General Inputs'!T$9*$F76,0))</f>
        <v>0</v>
      </c>
      <c r="AW76" s="214">
        <f>IF(AND(($D76+$C$1)&gt;AW$3,AW$3&gt;=$C$1),'General Inputs'!U$9*$G76,IF(AND(($C76+$C$1)&gt;AW$3,AW$3&gt;=$C$1),'General Inputs'!U$9*$F76,0))</f>
        <v>0</v>
      </c>
      <c r="AX76" s="214">
        <f>IF(AND(($D76+$C$1)&gt;AX$3,AX$3&gt;=$C$1),'General Inputs'!V$9*$G76,IF(AND(($C76+$C$1)&gt;AX$3,AX$3&gt;=$C$1),'General Inputs'!V$9*$F76,0))</f>
        <v>0</v>
      </c>
      <c r="AY76" s="214">
        <f>IF(AND(($D76+$C$1)&gt;AY$3,AY$3&gt;=$C$1),'General Inputs'!W$9*$G76,IF(AND(($C76+$C$1)&gt;AY$3,AY$3&gt;=$C$1),'General Inputs'!W$9*$F76,0))</f>
        <v>0</v>
      </c>
      <c r="BA76" s="214">
        <f>IF(AND(($D76+$C$1)&gt;AF$3,AF$3&gt;=$C$1),'General Inputs'!D$10*$I76,IF(AND(($C76+$C$1)&gt;AF$3,AF$3&gt;=$C$1),'General Inputs'!D$10*$H76,0))</f>
        <v>0</v>
      </c>
      <c r="BB76" s="214">
        <f>IF(AND(($D76+$C$1)&gt;AG$3,AG$3&gt;=$C$1),'General Inputs'!E$10*$I76,IF(AND(($C76+$C$1)&gt;AG$3,AG$3&gt;=$C$1),'General Inputs'!E$10*$H76,0))</f>
        <v>0.16998414430664174</v>
      </c>
      <c r="BC76" s="214">
        <f>IF(AND(($D76+$C$1)&gt;AH$3,AH$3&gt;=$C$1),'General Inputs'!F$10*$I76,IF(AND(($C76+$C$1)&gt;AH$3,AH$3&gt;=$C$1),'General Inputs'!F$10*$H76,0))</f>
        <v>0.17253390647124137</v>
      </c>
      <c r="BD76" s="214">
        <f>IF(AND(($D76+$C$1)&gt;AI$3,AI$3&gt;=$C$1),'General Inputs'!G$10*$I76,IF(AND(($C76+$C$1)&gt;AI$3,AI$3&gt;=$C$1),'General Inputs'!G$10*$H76,0))</f>
        <v>0.17512191506830999</v>
      </c>
      <c r="BE76" s="214">
        <f>IF(AND(($D76+$C$1)&gt;AJ$3,AJ$3&gt;=$C$1),'General Inputs'!H$10*$I76,IF(AND(($C76+$C$1)&gt;AJ$3,AJ$3&gt;=$C$1),'General Inputs'!H$10*$H76,0))</f>
        <v>0.17774874379433461</v>
      </c>
      <c r="BF76" s="214">
        <f>IF(AND(($D76+$C$1)&gt;AK$3,AK$3&gt;=$C$1),'General Inputs'!I$10*$I76,IF(AND(($C76+$C$1)&gt;AK$3,AK$3&gt;=$C$1),'General Inputs'!I$10*$H76,0))</f>
        <v>0.18041497495124958</v>
      </c>
      <c r="BG76" s="214">
        <f>IF(AND(($D76+$C$1)&gt;AL$3,AL$3&gt;=$C$1),'General Inputs'!J$10*$I76,IF(AND(($C76+$C$1)&gt;AL$3,AL$3&gt;=$C$1),'General Inputs'!J$10*$H76,0))</f>
        <v>0.18312119957551831</v>
      </c>
      <c r="BH76" s="214">
        <f>IF(AND(($D76+$C$1)&gt;AM$3,AM$3&gt;=$C$1),'General Inputs'!K$10*$I76,IF(AND(($C76+$C$1)&gt;AM$3,AM$3&gt;=$C$1),'General Inputs'!K$10*$H76,0))</f>
        <v>0.18586801756915108</v>
      </c>
      <c r="BI76" s="214">
        <f>IF(AND(($D76+$C$1)&gt;AN$3,AN$3&gt;=$C$1),'General Inputs'!L$10*$I76,IF(AND(($C76+$C$1)&gt;AN$3,AN$3&gt;=$C$1),'General Inputs'!L$10*$H76,0))</f>
        <v>0.18865603783268833</v>
      </c>
      <c r="BJ76" s="214">
        <f>IF(AND(($D76+$C$1)&gt;AO$3,AO$3&gt;=$C$1),'General Inputs'!M$10*$I76,IF(AND(($C76+$C$1)&gt;AO$3,AO$3&gt;=$C$1),'General Inputs'!M$10*$H76,0))</f>
        <v>0</v>
      </c>
      <c r="BK76" s="214">
        <f>IF(AND(($D76+$C$1)&gt;AP$3,AP$3&gt;=$C$1),'General Inputs'!N$10*$I76,IF(AND(($C76+$C$1)&gt;AP$3,AP$3&gt;=$C$1),'General Inputs'!N$10*$H76,0))</f>
        <v>0</v>
      </c>
      <c r="BL76" s="214">
        <f>IF(AND(($D76+$C$1)&gt;AQ$3,AQ$3&gt;=$C$1),'General Inputs'!O$10*$I76,IF(AND(($C76+$C$1)&gt;AQ$3,AQ$3&gt;=$C$1),'General Inputs'!O$10*$H76,0))</f>
        <v>0</v>
      </c>
      <c r="BM76" s="214">
        <f>IF(AND(($D76+$C$1)&gt;AR$3,AR$3&gt;=$C$1),'General Inputs'!P$10*$I76,IF(AND(($C76+$C$1)&gt;AR$3,AR$3&gt;=$C$1),'General Inputs'!P$10*$H76,0))</f>
        <v>0</v>
      </c>
      <c r="BN76" s="214">
        <f>IF(AND(($D76+$C$1)&gt;AS$3,AS$3&gt;=$C$1),'General Inputs'!Q$10*$I76,IF(AND(($C76+$C$1)&gt;AS$3,AS$3&gt;=$C$1),'General Inputs'!Q$10*$H76,0))</f>
        <v>0</v>
      </c>
      <c r="BO76" s="214">
        <f>IF(AND(($D76+$C$1)&gt;AT$3,AT$3&gt;=$C$1),'General Inputs'!R$10*$I76,IF(AND(($C76+$C$1)&gt;AT$3,AT$3&gt;=$C$1),'General Inputs'!R$10*$H76,0))</f>
        <v>0</v>
      </c>
      <c r="BP76" s="214">
        <f>IF(AND(($D76+$C$1)&gt;AU$3,AU$3&gt;=$C$1),'General Inputs'!S$10*$I76,IF(AND(($C76+$C$1)&gt;AU$3,AU$3&gt;=$C$1),'General Inputs'!S$10*$H76,0))</f>
        <v>0</v>
      </c>
      <c r="BQ76" s="214">
        <f>IF(AND(($D76+$C$1)&gt;AV$3,AV$3&gt;=$C$1),'General Inputs'!T$10*$I76,IF(AND(($C76+$C$1)&gt;AV$3,AV$3&gt;=$C$1),'General Inputs'!T$10*$H76,0))</f>
        <v>0</v>
      </c>
      <c r="BR76" s="214">
        <f>IF(AND(($D76+$C$1)&gt;AW$3,AW$3&gt;=$C$1),'General Inputs'!U$10*$I76,IF(AND(($C76+$C$1)&gt;AW$3,AW$3&gt;=$C$1),'General Inputs'!U$10*$H76,0))</f>
        <v>0</v>
      </c>
      <c r="BS76" s="214">
        <f>IF(AND(($D76+$C$1)&gt;AX$3,AX$3&gt;=$C$1),'General Inputs'!V$10*$I76,IF(AND(($C76+$C$1)&gt;AX$3,AX$3&gt;=$C$1),'General Inputs'!V$10*$H76,0))</f>
        <v>0</v>
      </c>
      <c r="BT76" s="214">
        <f>IF(AND(($D76+$C$1)&gt;AY$3,AY$3&gt;=$C$1),'General Inputs'!W$10*$I76,IF(AND(($C76+$C$1)&gt;AY$3,AY$3&gt;=$C$1),'General Inputs'!W$10*$H76,0))</f>
        <v>0</v>
      </c>
    </row>
    <row r="77" spans="1:72">
      <c r="A77" s="342" t="s">
        <v>112</v>
      </c>
      <c r="B77" s="427" t="str">
        <f>Sources!B77</f>
        <v>Fixture Mount Occupancy</v>
      </c>
      <c r="C77" s="193">
        <f>Sources!C77</f>
        <v>8</v>
      </c>
      <c r="D77" s="193">
        <f>Sources!D77</f>
        <v>0</v>
      </c>
      <c r="F77" s="429">
        <f>Sources!F77*EnergyLineLoss</f>
        <v>350.21102999999999</v>
      </c>
      <c r="G77" s="429">
        <f>Sources!G77*EnergyLineLoss</f>
        <v>0</v>
      </c>
      <c r="H77" s="477">
        <f>Sources!H77*PeakLineLoss</f>
        <v>1.11841587E-2</v>
      </c>
      <c r="I77" s="477">
        <f>Sources!I77*PeakLineLoss</f>
        <v>0</v>
      </c>
      <c r="K77" s="419">
        <f>Sources!J77</f>
        <v>55</v>
      </c>
      <c r="L77" s="419">
        <f>Sources!K77</f>
        <v>0</v>
      </c>
      <c r="N77" s="438">
        <f t="shared" si="26"/>
        <v>1.6524930431174083</v>
      </c>
      <c r="P77" s="215">
        <f t="shared" si="27"/>
        <v>82.51413814869619</v>
      </c>
      <c r="Q77" s="215">
        <f t="shared" si="28"/>
        <v>0.99111485705304125</v>
      </c>
      <c r="R77" s="215">
        <f t="shared" si="29"/>
        <v>50.532892319000368</v>
      </c>
      <c r="T77" s="214">
        <f t="shared" si="30"/>
        <v>0</v>
      </c>
      <c r="U77" s="214">
        <f t="shared" si="30"/>
        <v>55</v>
      </c>
      <c r="V77" s="214">
        <f t="shared" si="30"/>
        <v>0</v>
      </c>
      <c r="W77" s="214">
        <f t="shared" si="30"/>
        <v>0</v>
      </c>
      <c r="X77" s="214">
        <f t="shared" si="30"/>
        <v>0</v>
      </c>
      <c r="Y77" s="214">
        <f t="shared" si="30"/>
        <v>0</v>
      </c>
      <c r="Z77" s="214">
        <f t="shared" si="30"/>
        <v>0</v>
      </c>
      <c r="AA77" s="214">
        <f t="shared" si="30"/>
        <v>0</v>
      </c>
      <c r="AB77" s="214">
        <f t="shared" si="30"/>
        <v>0</v>
      </c>
      <c r="AC77" s="214">
        <f t="shared" si="30"/>
        <v>0</v>
      </c>
      <c r="AD77" s="214">
        <f t="shared" si="30"/>
        <v>0</v>
      </c>
      <c r="AF77" s="214">
        <f>IF(AND(($D77+$C$1)&gt;AF$3,AF$3&gt;=$C$1),'General Inputs'!D$9*$G77,IF(AND(($C77+$C$1)&gt;AF$3,AF$3&gt;=$C$1),'General Inputs'!D$9*$F77,0))</f>
        <v>0</v>
      </c>
      <c r="AG77" s="214">
        <f>IF(AND(($D77+$C$1)&gt;AG$3,AG$3&gt;=$C$1),'General Inputs'!E$9*$G77,IF(AND(($C77+$C$1)&gt;AG$3,AG$3&gt;=$C$1),'General Inputs'!E$9*$F77,0))</f>
        <v>14.151836254489236</v>
      </c>
      <c r="AH77" s="214">
        <f>IF(AND(($D77+$C$1)&gt;AH$3,AH$3&gt;=$C$1),'General Inputs'!F$9*$G77,IF(AND(($C77+$C$1)&gt;AH$3,AH$3&gt;=$C$1),'General Inputs'!F$9*$F77,0))</f>
        <v>14.364113798306573</v>
      </c>
      <c r="AI77" s="214">
        <f>IF(AND(($D77+$C$1)&gt;AI$3,AI$3&gt;=$C$1),'General Inputs'!G$9*$G77,IF(AND(($C77+$C$1)&gt;AI$3,AI$3&gt;=$C$1),'General Inputs'!G$9*$F77,0))</f>
        <v>14.579575505281172</v>
      </c>
      <c r="AJ77" s="214">
        <f>IF(AND(($D77+$C$1)&gt;AJ$3,AJ$3&gt;=$C$1),'General Inputs'!H$9*$G77,IF(AND(($C77+$C$1)&gt;AJ$3,AJ$3&gt;=$C$1),'General Inputs'!H$9*$F77,0))</f>
        <v>14.798269137860386</v>
      </c>
      <c r="AK77" s="214">
        <f>IF(AND(($D77+$C$1)&gt;AK$3,AK$3&gt;=$C$1),'General Inputs'!I$9*$G77,IF(AND(($C77+$C$1)&gt;AK$3,AK$3&gt;=$C$1),'General Inputs'!I$9*$F77,0))</f>
        <v>15.020243174928289</v>
      </c>
      <c r="AL77" s="214">
        <f>IF(AND(($D77+$C$1)&gt;AL$3,AL$3&gt;=$C$1),'General Inputs'!J$9*$G77,IF(AND(($C77+$C$1)&gt;AL$3,AL$3&gt;=$C$1),'General Inputs'!J$9*$F77,0))</f>
        <v>15.245546822552212</v>
      </c>
      <c r="AM77" s="214">
        <f>IF(AND(($D77+$C$1)&gt;AM$3,AM$3&gt;=$C$1),'General Inputs'!K$9*$G77,IF(AND(($C77+$C$1)&gt;AM$3,AM$3&gt;=$C$1),'General Inputs'!K$9*$F77,0))</f>
        <v>15.474230024890492</v>
      </c>
      <c r="AN77" s="214">
        <f>IF(AND(($D77+$C$1)&gt;AN$3,AN$3&gt;=$C$1),'General Inputs'!L$9*$G77,IF(AND(($C77+$C$1)&gt;AN$3,AN$3&gt;=$C$1),'General Inputs'!L$9*$F77,0))</f>
        <v>15.706343475263848</v>
      </c>
      <c r="AO77" s="214">
        <f>IF(AND(($D77+$C$1)&gt;AO$3,AO$3&gt;=$C$1),'General Inputs'!M$9*$G77,IF(AND(($C77+$C$1)&gt;AO$3,AO$3&gt;=$C$1),'General Inputs'!M$9*$F77,0))</f>
        <v>0</v>
      </c>
      <c r="AP77" s="214">
        <f>IF(AND(($D77+$C$1)&gt;AP$3,AP$3&gt;=$C$1),'General Inputs'!N$9*$G77,IF(AND(($C77+$C$1)&gt;AP$3,AP$3&gt;=$C$1),'General Inputs'!N$9*$F77,0))</f>
        <v>0</v>
      </c>
      <c r="AQ77" s="214">
        <f>IF(AND(($D77+$C$1)&gt;AQ$3,AQ$3&gt;=$C$1),'General Inputs'!O$9*$G77,IF(AND(($C77+$C$1)&gt;AQ$3,AQ$3&gt;=$C$1),'General Inputs'!O$9*$F77,0))</f>
        <v>0</v>
      </c>
      <c r="AR77" s="214">
        <f>IF(AND(($D77+$C$1)&gt;AR$3,AR$3&gt;=$C$1),'General Inputs'!P$9*$G77,IF(AND(($C77+$C$1)&gt;AR$3,AR$3&gt;=$C$1),'General Inputs'!P$9*$F77,0))</f>
        <v>0</v>
      </c>
      <c r="AS77" s="214">
        <f>IF(AND(($D77+$C$1)&gt;AS$3,AS$3&gt;=$C$1),'General Inputs'!Q$9*$G77,IF(AND(($C77+$C$1)&gt;AS$3,AS$3&gt;=$C$1),'General Inputs'!Q$9*$F77,0))</f>
        <v>0</v>
      </c>
      <c r="AT77" s="214">
        <f>IF(AND(($D77+$C$1)&gt;AT$3,AT$3&gt;=$C$1),'General Inputs'!R$9*$G77,IF(AND(($C77+$C$1)&gt;AT$3,AT$3&gt;=$C$1),'General Inputs'!R$9*$F77,0))</f>
        <v>0</v>
      </c>
      <c r="AU77" s="214">
        <f>IF(AND(($D77+$C$1)&gt;AU$3,AU$3&gt;=$C$1),'General Inputs'!S$9*$G77,IF(AND(($C77+$C$1)&gt;AU$3,AU$3&gt;=$C$1),'General Inputs'!S$9*$F77,0))</f>
        <v>0</v>
      </c>
      <c r="AV77" s="214">
        <f>IF(AND(($D77+$C$1)&gt;AV$3,AV$3&gt;=$C$1),'General Inputs'!T$9*$G77,IF(AND(($C77+$C$1)&gt;AV$3,AV$3&gt;=$C$1),'General Inputs'!T$9*$F77,0))</f>
        <v>0</v>
      </c>
      <c r="AW77" s="214">
        <f>IF(AND(($D77+$C$1)&gt;AW$3,AW$3&gt;=$C$1),'General Inputs'!U$9*$G77,IF(AND(($C77+$C$1)&gt;AW$3,AW$3&gt;=$C$1),'General Inputs'!U$9*$F77,0))</f>
        <v>0</v>
      </c>
      <c r="AX77" s="214">
        <f>IF(AND(($D77+$C$1)&gt;AX$3,AX$3&gt;=$C$1),'General Inputs'!V$9*$G77,IF(AND(($C77+$C$1)&gt;AX$3,AX$3&gt;=$C$1),'General Inputs'!V$9*$F77,0))</f>
        <v>0</v>
      </c>
      <c r="AY77" s="214">
        <f>IF(AND(($D77+$C$1)&gt;AY$3,AY$3&gt;=$C$1),'General Inputs'!W$9*$G77,IF(AND(($C77+$C$1)&gt;AY$3,AY$3&gt;=$C$1),'General Inputs'!W$9*$F77,0))</f>
        <v>0</v>
      </c>
      <c r="BA77" s="214">
        <f>IF(AND(($D77+$C$1)&gt;AF$3,AF$3&gt;=$C$1),'General Inputs'!D$10*$I77,IF(AND(($C77+$C$1)&gt;AF$3,AF$3&gt;=$C$1),'General Inputs'!D$10*$H77,0))</f>
        <v>0</v>
      </c>
      <c r="BB77" s="214">
        <f>IF(AND(($D77+$C$1)&gt;AG$3,AG$3&gt;=$C$1),'General Inputs'!E$10*$I77,IF(AND(($C77+$C$1)&gt;AG$3,AG$3&gt;=$C$1),'General Inputs'!E$10*$H77,0))</f>
        <v>0.16998414430664174</v>
      </c>
      <c r="BC77" s="214">
        <f>IF(AND(($D77+$C$1)&gt;AH$3,AH$3&gt;=$C$1),'General Inputs'!F$10*$I77,IF(AND(($C77+$C$1)&gt;AH$3,AH$3&gt;=$C$1),'General Inputs'!F$10*$H77,0))</f>
        <v>0.17253390647124137</v>
      </c>
      <c r="BD77" s="214">
        <f>IF(AND(($D77+$C$1)&gt;AI$3,AI$3&gt;=$C$1),'General Inputs'!G$10*$I77,IF(AND(($C77+$C$1)&gt;AI$3,AI$3&gt;=$C$1),'General Inputs'!G$10*$H77,0))</f>
        <v>0.17512191506830999</v>
      </c>
      <c r="BE77" s="214">
        <f>IF(AND(($D77+$C$1)&gt;AJ$3,AJ$3&gt;=$C$1),'General Inputs'!H$10*$I77,IF(AND(($C77+$C$1)&gt;AJ$3,AJ$3&gt;=$C$1),'General Inputs'!H$10*$H77,0))</f>
        <v>0.17774874379433461</v>
      </c>
      <c r="BF77" s="214">
        <f>IF(AND(($D77+$C$1)&gt;AK$3,AK$3&gt;=$C$1),'General Inputs'!I$10*$I77,IF(AND(($C77+$C$1)&gt;AK$3,AK$3&gt;=$C$1),'General Inputs'!I$10*$H77,0))</f>
        <v>0.18041497495124958</v>
      </c>
      <c r="BG77" s="214">
        <f>IF(AND(($D77+$C$1)&gt;AL$3,AL$3&gt;=$C$1),'General Inputs'!J$10*$I77,IF(AND(($C77+$C$1)&gt;AL$3,AL$3&gt;=$C$1),'General Inputs'!J$10*$H77,0))</f>
        <v>0.18312119957551831</v>
      </c>
      <c r="BH77" s="214">
        <f>IF(AND(($D77+$C$1)&gt;AM$3,AM$3&gt;=$C$1),'General Inputs'!K$10*$I77,IF(AND(($C77+$C$1)&gt;AM$3,AM$3&gt;=$C$1),'General Inputs'!K$10*$H77,0))</f>
        <v>0.18586801756915108</v>
      </c>
      <c r="BI77" s="214">
        <f>IF(AND(($D77+$C$1)&gt;AN$3,AN$3&gt;=$C$1),'General Inputs'!L$10*$I77,IF(AND(($C77+$C$1)&gt;AN$3,AN$3&gt;=$C$1),'General Inputs'!L$10*$H77,0))</f>
        <v>0.18865603783268833</v>
      </c>
      <c r="BJ77" s="214">
        <f>IF(AND(($D77+$C$1)&gt;AO$3,AO$3&gt;=$C$1),'General Inputs'!M$10*$I77,IF(AND(($C77+$C$1)&gt;AO$3,AO$3&gt;=$C$1),'General Inputs'!M$10*$H77,0))</f>
        <v>0</v>
      </c>
      <c r="BK77" s="214">
        <f>IF(AND(($D77+$C$1)&gt;AP$3,AP$3&gt;=$C$1),'General Inputs'!N$10*$I77,IF(AND(($C77+$C$1)&gt;AP$3,AP$3&gt;=$C$1),'General Inputs'!N$10*$H77,0))</f>
        <v>0</v>
      </c>
      <c r="BL77" s="214">
        <f>IF(AND(($D77+$C$1)&gt;AQ$3,AQ$3&gt;=$C$1),'General Inputs'!O$10*$I77,IF(AND(($C77+$C$1)&gt;AQ$3,AQ$3&gt;=$C$1),'General Inputs'!O$10*$H77,0))</f>
        <v>0</v>
      </c>
      <c r="BM77" s="214">
        <f>IF(AND(($D77+$C$1)&gt;AR$3,AR$3&gt;=$C$1),'General Inputs'!P$10*$I77,IF(AND(($C77+$C$1)&gt;AR$3,AR$3&gt;=$C$1),'General Inputs'!P$10*$H77,0))</f>
        <v>0</v>
      </c>
      <c r="BN77" s="214">
        <f>IF(AND(($D77+$C$1)&gt;AS$3,AS$3&gt;=$C$1),'General Inputs'!Q$10*$I77,IF(AND(($C77+$C$1)&gt;AS$3,AS$3&gt;=$C$1),'General Inputs'!Q$10*$H77,0))</f>
        <v>0</v>
      </c>
      <c r="BO77" s="214">
        <f>IF(AND(($D77+$C$1)&gt;AT$3,AT$3&gt;=$C$1),'General Inputs'!R$10*$I77,IF(AND(($C77+$C$1)&gt;AT$3,AT$3&gt;=$C$1),'General Inputs'!R$10*$H77,0))</f>
        <v>0</v>
      </c>
      <c r="BP77" s="214">
        <f>IF(AND(($D77+$C$1)&gt;AU$3,AU$3&gt;=$C$1),'General Inputs'!S$10*$I77,IF(AND(($C77+$C$1)&gt;AU$3,AU$3&gt;=$C$1),'General Inputs'!S$10*$H77,0))</f>
        <v>0</v>
      </c>
      <c r="BQ77" s="214">
        <f>IF(AND(($D77+$C$1)&gt;AV$3,AV$3&gt;=$C$1),'General Inputs'!T$10*$I77,IF(AND(($C77+$C$1)&gt;AV$3,AV$3&gt;=$C$1),'General Inputs'!T$10*$H77,0))</f>
        <v>0</v>
      </c>
      <c r="BR77" s="214">
        <f>IF(AND(($D77+$C$1)&gt;AW$3,AW$3&gt;=$C$1),'General Inputs'!U$10*$I77,IF(AND(($C77+$C$1)&gt;AW$3,AW$3&gt;=$C$1),'General Inputs'!U$10*$H77,0))</f>
        <v>0</v>
      </c>
      <c r="BS77" s="214">
        <f>IF(AND(($D77+$C$1)&gt;AX$3,AX$3&gt;=$C$1),'General Inputs'!V$10*$I77,IF(AND(($C77+$C$1)&gt;AX$3,AX$3&gt;=$C$1),'General Inputs'!V$10*$H77,0))</f>
        <v>0</v>
      </c>
      <c r="BT77" s="214">
        <f>IF(AND(($D77+$C$1)&gt;AY$3,AY$3&gt;=$C$1),'General Inputs'!W$10*$I77,IF(AND(($C77+$C$1)&gt;AY$3,AY$3&gt;=$C$1),'General Inputs'!W$10*$H77,0))</f>
        <v>0</v>
      </c>
    </row>
    <row r="78" spans="1:72">
      <c r="A78" s="342" t="s">
        <v>112</v>
      </c>
      <c r="B78" s="427" t="str">
        <f>Sources!B78</f>
        <v>Fixture Mount Photo Sensor</v>
      </c>
      <c r="C78" s="193">
        <f>Sources!C78</f>
        <v>8</v>
      </c>
      <c r="D78" s="193">
        <f>Sources!D78</f>
        <v>0</v>
      </c>
      <c r="F78" s="429">
        <f>Sources!F78*EnergyLineLoss</f>
        <v>409.28276999999997</v>
      </c>
      <c r="G78" s="429">
        <f>Sources!G78*EnergyLineLoss</f>
        <v>0</v>
      </c>
      <c r="H78" s="477">
        <f>Sources!H78*PeakLineLoss</f>
        <v>2.1784405499999999E-2</v>
      </c>
      <c r="I78" s="477">
        <f>Sources!I78*PeakLineLoss</f>
        <v>0</v>
      </c>
      <c r="K78" s="419">
        <f>Sources!J78</f>
        <v>65</v>
      </c>
      <c r="L78" s="419">
        <f>Sources!K78</f>
        <v>0</v>
      </c>
      <c r="N78" s="438">
        <f t="shared" si="26"/>
        <v>1.6470450825279535</v>
      </c>
      <c r="P78" s="215">
        <f t="shared" si="27"/>
        <v>96.432185547271445</v>
      </c>
      <c r="Q78" s="215">
        <f t="shared" si="28"/>
        <v>1.9304847617298191</v>
      </c>
      <c r="R78" s="215">
        <f t="shared" si="29"/>
        <v>59.720690922454978</v>
      </c>
      <c r="T78" s="214">
        <f t="shared" si="30"/>
        <v>0</v>
      </c>
      <c r="U78" s="214">
        <f t="shared" si="30"/>
        <v>65</v>
      </c>
      <c r="V78" s="214">
        <f t="shared" si="30"/>
        <v>0</v>
      </c>
      <c r="W78" s="214">
        <f t="shared" si="30"/>
        <v>0</v>
      </c>
      <c r="X78" s="214">
        <f t="shared" si="30"/>
        <v>0</v>
      </c>
      <c r="Y78" s="214">
        <f t="shared" si="30"/>
        <v>0</v>
      </c>
      <c r="Z78" s="214">
        <f t="shared" si="30"/>
        <v>0</v>
      </c>
      <c r="AA78" s="214">
        <f t="shared" si="30"/>
        <v>0</v>
      </c>
      <c r="AB78" s="214">
        <f t="shared" si="30"/>
        <v>0</v>
      </c>
      <c r="AC78" s="214">
        <f t="shared" si="30"/>
        <v>0</v>
      </c>
      <c r="AD78" s="214">
        <f t="shared" si="30"/>
        <v>0</v>
      </c>
      <c r="AF78" s="214">
        <f>IF(AND(($D78+$C$1)&gt;AF$3,AF$3&gt;=$C$1),'General Inputs'!D$9*$G78,IF(AND(($C78+$C$1)&gt;AF$3,AF$3&gt;=$C$1),'General Inputs'!D$9*$F78,0))</f>
        <v>0</v>
      </c>
      <c r="AG78" s="214">
        <f>IF(AND(($D78+$C$1)&gt;AG$3,AG$3&gt;=$C$1),'General Inputs'!E$9*$G78,IF(AND(($C78+$C$1)&gt;AG$3,AG$3&gt;=$C$1),'General Inputs'!E$9*$F78,0))</f>
        <v>16.538892972113928</v>
      </c>
      <c r="AH78" s="214">
        <f>IF(AND(($D78+$C$1)&gt;AH$3,AH$3&gt;=$C$1),'General Inputs'!F$9*$G78,IF(AND(($C78+$C$1)&gt;AH$3,AH$3&gt;=$C$1),'General Inputs'!F$9*$F78,0))</f>
        <v>16.786976366695633</v>
      </c>
      <c r="AI78" s="214">
        <f>IF(AND(($D78+$C$1)&gt;AI$3,AI$3&gt;=$C$1),'General Inputs'!G$9*$G78,IF(AND(($C78+$C$1)&gt;AI$3,AI$3&gt;=$C$1),'General Inputs'!G$9*$F78,0))</f>
        <v>17.038781012196065</v>
      </c>
      <c r="AJ78" s="214">
        <f>IF(AND(($D78+$C$1)&gt;AJ$3,AJ$3&gt;=$C$1),'General Inputs'!H$9*$G78,IF(AND(($C78+$C$1)&gt;AJ$3,AJ$3&gt;=$C$1),'General Inputs'!H$9*$F78,0))</f>
        <v>17.294362727379006</v>
      </c>
      <c r="AK78" s="214">
        <f>IF(AND(($D78+$C$1)&gt;AK$3,AK$3&gt;=$C$1),'General Inputs'!I$9*$G78,IF(AND(($C78+$C$1)&gt;AK$3,AK$3&gt;=$C$1),'General Inputs'!I$9*$F78,0))</f>
        <v>17.553778168289686</v>
      </c>
      <c r="AL78" s="214">
        <f>IF(AND(($D78+$C$1)&gt;AL$3,AL$3&gt;=$C$1),'General Inputs'!J$9*$G78,IF(AND(($C78+$C$1)&gt;AL$3,AL$3&gt;=$C$1),'General Inputs'!J$9*$F78,0))</f>
        <v>17.817084840814029</v>
      </c>
      <c r="AM78" s="214">
        <f>IF(AND(($D78+$C$1)&gt;AM$3,AM$3&gt;=$C$1),'General Inputs'!K$9*$G78,IF(AND(($C78+$C$1)&gt;AM$3,AM$3&gt;=$C$1),'General Inputs'!K$9*$F78,0))</f>
        <v>18.084341113426238</v>
      </c>
      <c r="AN78" s="214">
        <f>IF(AND(($D78+$C$1)&gt;AN$3,AN$3&gt;=$C$1),'General Inputs'!L$9*$G78,IF(AND(($C78+$C$1)&gt;AN$3,AN$3&gt;=$C$1),'General Inputs'!L$9*$F78,0))</f>
        <v>18.355606230127631</v>
      </c>
      <c r="AO78" s="214">
        <f>IF(AND(($D78+$C$1)&gt;AO$3,AO$3&gt;=$C$1),'General Inputs'!M$9*$G78,IF(AND(($C78+$C$1)&gt;AO$3,AO$3&gt;=$C$1),'General Inputs'!M$9*$F78,0))</f>
        <v>0</v>
      </c>
      <c r="AP78" s="214">
        <f>IF(AND(($D78+$C$1)&gt;AP$3,AP$3&gt;=$C$1),'General Inputs'!N$9*$G78,IF(AND(($C78+$C$1)&gt;AP$3,AP$3&gt;=$C$1),'General Inputs'!N$9*$F78,0))</f>
        <v>0</v>
      </c>
      <c r="AQ78" s="214">
        <f>IF(AND(($D78+$C$1)&gt;AQ$3,AQ$3&gt;=$C$1),'General Inputs'!O$9*$G78,IF(AND(($C78+$C$1)&gt;AQ$3,AQ$3&gt;=$C$1),'General Inputs'!O$9*$F78,0))</f>
        <v>0</v>
      </c>
      <c r="AR78" s="214">
        <f>IF(AND(($D78+$C$1)&gt;AR$3,AR$3&gt;=$C$1),'General Inputs'!P$9*$G78,IF(AND(($C78+$C$1)&gt;AR$3,AR$3&gt;=$C$1),'General Inputs'!P$9*$F78,0))</f>
        <v>0</v>
      </c>
      <c r="AS78" s="214">
        <f>IF(AND(($D78+$C$1)&gt;AS$3,AS$3&gt;=$C$1),'General Inputs'!Q$9*$G78,IF(AND(($C78+$C$1)&gt;AS$3,AS$3&gt;=$C$1),'General Inputs'!Q$9*$F78,0))</f>
        <v>0</v>
      </c>
      <c r="AT78" s="214">
        <f>IF(AND(($D78+$C$1)&gt;AT$3,AT$3&gt;=$C$1),'General Inputs'!R$9*$G78,IF(AND(($C78+$C$1)&gt;AT$3,AT$3&gt;=$C$1),'General Inputs'!R$9*$F78,0))</f>
        <v>0</v>
      </c>
      <c r="AU78" s="214">
        <f>IF(AND(($D78+$C$1)&gt;AU$3,AU$3&gt;=$C$1),'General Inputs'!S$9*$G78,IF(AND(($C78+$C$1)&gt;AU$3,AU$3&gt;=$C$1),'General Inputs'!S$9*$F78,0))</f>
        <v>0</v>
      </c>
      <c r="AV78" s="214">
        <f>IF(AND(($D78+$C$1)&gt;AV$3,AV$3&gt;=$C$1),'General Inputs'!T$9*$G78,IF(AND(($C78+$C$1)&gt;AV$3,AV$3&gt;=$C$1),'General Inputs'!T$9*$F78,0))</f>
        <v>0</v>
      </c>
      <c r="AW78" s="214">
        <f>IF(AND(($D78+$C$1)&gt;AW$3,AW$3&gt;=$C$1),'General Inputs'!U$9*$G78,IF(AND(($C78+$C$1)&gt;AW$3,AW$3&gt;=$C$1),'General Inputs'!U$9*$F78,0))</f>
        <v>0</v>
      </c>
      <c r="AX78" s="214">
        <f>IF(AND(($D78+$C$1)&gt;AX$3,AX$3&gt;=$C$1),'General Inputs'!V$9*$G78,IF(AND(($C78+$C$1)&gt;AX$3,AX$3&gt;=$C$1),'General Inputs'!V$9*$F78,0))</f>
        <v>0</v>
      </c>
      <c r="AY78" s="214">
        <f>IF(AND(($D78+$C$1)&gt;AY$3,AY$3&gt;=$C$1),'General Inputs'!W$9*$G78,IF(AND(($C78+$C$1)&gt;AY$3,AY$3&gt;=$C$1),'General Inputs'!W$9*$F78,0))</f>
        <v>0</v>
      </c>
      <c r="BA78" s="214">
        <f>IF(AND(($D78+$C$1)&gt;AF$3,AF$3&gt;=$C$1),'General Inputs'!D$10*$I78,IF(AND(($C78+$C$1)&gt;AF$3,AF$3&gt;=$C$1),'General Inputs'!D$10*$H78,0))</f>
        <v>0</v>
      </c>
      <c r="BB78" s="214">
        <f>IF(AND(($D78+$C$1)&gt;AG$3,AG$3&gt;=$C$1),'General Inputs'!E$10*$I78,IF(AND(($C78+$C$1)&gt;AG$3,AG$3&gt;=$C$1),'General Inputs'!E$10*$H78,0))</f>
        <v>0.3310936144125351</v>
      </c>
      <c r="BC78" s="214">
        <f>IF(AND(($D78+$C$1)&gt;AH$3,AH$3&gt;=$C$1),'General Inputs'!F$10*$I78,IF(AND(($C78+$C$1)&gt;AH$3,AH$3&gt;=$C$1),'General Inputs'!F$10*$H78,0))</f>
        <v>0.33606001862872315</v>
      </c>
      <c r="BD78" s="214">
        <f>IF(AND(($D78+$C$1)&gt;AI$3,AI$3&gt;=$C$1),'General Inputs'!G$10*$I78,IF(AND(($C78+$C$1)&gt;AI$3,AI$3&gt;=$C$1),'General Inputs'!G$10*$H78,0))</f>
        <v>0.34110091890815397</v>
      </c>
      <c r="BE78" s="214">
        <f>IF(AND(($D78+$C$1)&gt;AJ$3,AJ$3&gt;=$C$1),'General Inputs'!H$10*$I78,IF(AND(($C78+$C$1)&gt;AJ$3,AJ$3&gt;=$C$1),'General Inputs'!H$10*$H78,0))</f>
        <v>0.34621743269177624</v>
      </c>
      <c r="BF78" s="214">
        <f>IF(AND(($D78+$C$1)&gt;AK$3,AK$3&gt;=$C$1),'General Inputs'!I$10*$I78,IF(AND(($C78+$C$1)&gt;AK$3,AK$3&gt;=$C$1),'General Inputs'!I$10*$H78,0))</f>
        <v>0.35141069418215282</v>
      </c>
      <c r="BG78" s="214">
        <f>IF(AND(($D78+$C$1)&gt;AL$3,AL$3&gt;=$C$1),'General Inputs'!J$10*$I78,IF(AND(($C78+$C$1)&gt;AL$3,AL$3&gt;=$C$1),'General Inputs'!J$10*$H78,0))</f>
        <v>0.35668185459488505</v>
      </c>
      <c r="BH78" s="214">
        <f>IF(AND(($D78+$C$1)&gt;AM$3,AM$3&gt;=$C$1),'General Inputs'!K$10*$I78,IF(AND(($C78+$C$1)&gt;AM$3,AM$3&gt;=$C$1),'General Inputs'!K$10*$H78,0))</f>
        <v>0.3620320824138083</v>
      </c>
      <c r="BI78" s="214">
        <f>IF(AND(($D78+$C$1)&gt;AN$3,AN$3&gt;=$C$1),'General Inputs'!L$10*$I78,IF(AND(($C78+$C$1)&gt;AN$3,AN$3&gt;=$C$1),'General Inputs'!L$10*$H78,0))</f>
        <v>0.36746256365001539</v>
      </c>
      <c r="BJ78" s="214">
        <f>IF(AND(($D78+$C$1)&gt;AO$3,AO$3&gt;=$C$1),'General Inputs'!M$10*$I78,IF(AND(($C78+$C$1)&gt;AO$3,AO$3&gt;=$C$1),'General Inputs'!M$10*$H78,0))</f>
        <v>0</v>
      </c>
      <c r="BK78" s="214">
        <f>IF(AND(($D78+$C$1)&gt;AP$3,AP$3&gt;=$C$1),'General Inputs'!N$10*$I78,IF(AND(($C78+$C$1)&gt;AP$3,AP$3&gt;=$C$1),'General Inputs'!N$10*$H78,0))</f>
        <v>0</v>
      </c>
      <c r="BL78" s="214">
        <f>IF(AND(($D78+$C$1)&gt;AQ$3,AQ$3&gt;=$C$1),'General Inputs'!O$10*$I78,IF(AND(($C78+$C$1)&gt;AQ$3,AQ$3&gt;=$C$1),'General Inputs'!O$10*$H78,0))</f>
        <v>0</v>
      </c>
      <c r="BM78" s="214">
        <f>IF(AND(($D78+$C$1)&gt;AR$3,AR$3&gt;=$C$1),'General Inputs'!P$10*$I78,IF(AND(($C78+$C$1)&gt;AR$3,AR$3&gt;=$C$1),'General Inputs'!P$10*$H78,0))</f>
        <v>0</v>
      </c>
      <c r="BN78" s="214">
        <f>IF(AND(($D78+$C$1)&gt;AS$3,AS$3&gt;=$C$1),'General Inputs'!Q$10*$I78,IF(AND(($C78+$C$1)&gt;AS$3,AS$3&gt;=$C$1),'General Inputs'!Q$10*$H78,0))</f>
        <v>0</v>
      </c>
      <c r="BO78" s="214">
        <f>IF(AND(($D78+$C$1)&gt;AT$3,AT$3&gt;=$C$1),'General Inputs'!R$10*$I78,IF(AND(($C78+$C$1)&gt;AT$3,AT$3&gt;=$C$1),'General Inputs'!R$10*$H78,0))</f>
        <v>0</v>
      </c>
      <c r="BP78" s="214">
        <f>IF(AND(($D78+$C$1)&gt;AU$3,AU$3&gt;=$C$1),'General Inputs'!S$10*$I78,IF(AND(($C78+$C$1)&gt;AU$3,AU$3&gt;=$C$1),'General Inputs'!S$10*$H78,0))</f>
        <v>0</v>
      </c>
      <c r="BQ78" s="214">
        <f>IF(AND(($D78+$C$1)&gt;AV$3,AV$3&gt;=$C$1),'General Inputs'!T$10*$I78,IF(AND(($C78+$C$1)&gt;AV$3,AV$3&gt;=$C$1),'General Inputs'!T$10*$H78,0))</f>
        <v>0</v>
      </c>
      <c r="BR78" s="214">
        <f>IF(AND(($D78+$C$1)&gt;AW$3,AW$3&gt;=$C$1),'General Inputs'!U$10*$I78,IF(AND(($C78+$C$1)&gt;AW$3,AW$3&gt;=$C$1),'General Inputs'!U$10*$H78,0))</f>
        <v>0</v>
      </c>
      <c r="BS78" s="214">
        <f>IF(AND(($D78+$C$1)&gt;AX$3,AX$3&gt;=$C$1),'General Inputs'!V$10*$I78,IF(AND(($C78+$C$1)&gt;AX$3,AX$3&gt;=$C$1),'General Inputs'!V$10*$H78,0))</f>
        <v>0</v>
      </c>
      <c r="BT78" s="214">
        <f>IF(AND(($D78+$C$1)&gt;AY$3,AY$3&gt;=$C$1),'General Inputs'!W$10*$I78,IF(AND(($C78+$C$1)&gt;AY$3,AY$3&gt;=$C$1),'General Inputs'!W$10*$H78,0))</f>
        <v>0</v>
      </c>
    </row>
    <row r="79" spans="1:72">
      <c r="A79" s="342" t="s">
        <v>112</v>
      </c>
      <c r="B79" s="427" t="str">
        <f>Sources!B79</f>
        <v>Exit Sign</v>
      </c>
      <c r="C79" s="193">
        <f>Sources!C79</f>
        <v>15</v>
      </c>
      <c r="D79" s="193">
        <f>Sources!D79</f>
        <v>0</v>
      </c>
      <c r="F79" s="429">
        <f>Sources!F79*EnergyLineLoss</f>
        <v>189.414282915</v>
      </c>
      <c r="G79" s="429">
        <f>Sources!G79*EnergyLineLoss</f>
        <v>0</v>
      </c>
      <c r="H79" s="477">
        <f>Sources!H79*PeakLineLoss</f>
        <v>3.4136387999999997E-2</v>
      </c>
      <c r="I79" s="477">
        <f>Sources!I79*PeakLineLoss</f>
        <v>0</v>
      </c>
      <c r="K79" s="419">
        <f>Sources!J79</f>
        <v>25</v>
      </c>
      <c r="L79" s="419">
        <f>Sources!K79</f>
        <v>0</v>
      </c>
      <c r="N79" s="438">
        <f t="shared" si="26"/>
        <v>3.1466929951364757</v>
      </c>
      <c r="P79" s="215">
        <f t="shared" si="27"/>
        <v>67.689679031103438</v>
      </c>
      <c r="Q79" s="215">
        <f t="shared" si="28"/>
        <v>4.5882747344348696</v>
      </c>
      <c r="R79" s="215">
        <f t="shared" si="29"/>
        <v>22.969496508636531</v>
      </c>
      <c r="T79" s="214">
        <f t="shared" si="30"/>
        <v>0</v>
      </c>
      <c r="U79" s="214">
        <f t="shared" si="30"/>
        <v>25</v>
      </c>
      <c r="V79" s="214">
        <f t="shared" si="30"/>
        <v>0</v>
      </c>
      <c r="W79" s="214">
        <f t="shared" si="30"/>
        <v>0</v>
      </c>
      <c r="X79" s="214">
        <f t="shared" si="30"/>
        <v>0</v>
      </c>
      <c r="Y79" s="214">
        <f t="shared" si="30"/>
        <v>0</v>
      </c>
      <c r="Z79" s="214">
        <f t="shared" si="30"/>
        <v>0</v>
      </c>
      <c r="AA79" s="214">
        <f t="shared" si="30"/>
        <v>0</v>
      </c>
      <c r="AB79" s="214">
        <f t="shared" si="30"/>
        <v>0</v>
      </c>
      <c r="AC79" s="214">
        <f t="shared" si="30"/>
        <v>0</v>
      </c>
      <c r="AD79" s="214">
        <f t="shared" si="30"/>
        <v>0</v>
      </c>
      <c r="AF79" s="214">
        <f>IF(AND(($D79+$C$1)&gt;AF$3,AF$3&gt;=$C$1),'General Inputs'!D$9*$G79,IF(AND(($C79+$C$1)&gt;AF$3,AF$3&gt;=$C$1),'General Inputs'!D$9*$F79,0))</f>
        <v>0</v>
      </c>
      <c r="AG79" s="214">
        <f>IF(AND(($D79+$C$1)&gt;AG$3,AG$3&gt;=$C$1),'General Inputs'!E$9*$G79,IF(AND(($C79+$C$1)&gt;AG$3,AG$3&gt;=$C$1),'General Inputs'!E$9*$F79,0))</f>
        <v>7.6541276157823424</v>
      </c>
      <c r="AH79" s="214">
        <f>IF(AND(($D79+$C$1)&gt;AH$3,AH$3&gt;=$C$1),'General Inputs'!F$9*$G79,IF(AND(($C79+$C$1)&gt;AH$3,AH$3&gt;=$C$1),'General Inputs'!F$9*$F79,0))</f>
        <v>7.7689395300190762</v>
      </c>
      <c r="AI79" s="214">
        <f>IF(AND(($D79+$C$1)&gt;AI$3,AI$3&gt;=$C$1),'General Inputs'!G$9*$G79,IF(AND(($C79+$C$1)&gt;AI$3,AI$3&gt;=$C$1),'General Inputs'!G$9*$F79,0))</f>
        <v>7.8854736229693616</v>
      </c>
      <c r="AJ79" s="214">
        <f>IF(AND(($D79+$C$1)&gt;AJ$3,AJ$3&gt;=$C$1),'General Inputs'!H$9*$G79,IF(AND(($C79+$C$1)&gt;AJ$3,AJ$3&gt;=$C$1),'General Inputs'!H$9*$F79,0))</f>
        <v>8.0037557273139015</v>
      </c>
      <c r="AK79" s="214">
        <f>IF(AND(($D79+$C$1)&gt;AK$3,AK$3&gt;=$C$1),'General Inputs'!I$9*$G79,IF(AND(($C79+$C$1)&gt;AK$3,AK$3&gt;=$C$1),'General Inputs'!I$9*$F79,0))</f>
        <v>8.1238120632236086</v>
      </c>
      <c r="AL79" s="214">
        <f>IF(AND(($D79+$C$1)&gt;AL$3,AL$3&gt;=$C$1),'General Inputs'!J$9*$G79,IF(AND(($C79+$C$1)&gt;AL$3,AL$3&gt;=$C$1),'General Inputs'!J$9*$F79,0))</f>
        <v>8.2456692441719621</v>
      </c>
      <c r="AM79" s="214">
        <f>IF(AND(($D79+$C$1)&gt;AM$3,AM$3&gt;=$C$1),'General Inputs'!K$9*$G79,IF(AND(($C79+$C$1)&gt;AM$3,AM$3&gt;=$C$1),'General Inputs'!K$9*$F79,0))</f>
        <v>8.3693542828345393</v>
      </c>
      <c r="AN79" s="214">
        <f>IF(AND(($D79+$C$1)&gt;AN$3,AN$3&gt;=$C$1),'General Inputs'!L$9*$G79,IF(AND(($C79+$C$1)&gt;AN$3,AN$3&gt;=$C$1),'General Inputs'!L$9*$F79,0))</f>
        <v>8.4948945970770566</v>
      </c>
      <c r="AO79" s="214">
        <f>IF(AND(($D79+$C$1)&gt;AO$3,AO$3&gt;=$C$1),'General Inputs'!M$9*$G79,IF(AND(($C79+$C$1)&gt;AO$3,AO$3&gt;=$C$1),'General Inputs'!M$9*$F79,0))</f>
        <v>8.622318016033212</v>
      </c>
      <c r="AP79" s="214">
        <f>IF(AND(($D79+$C$1)&gt;AP$3,AP$3&gt;=$C$1),'General Inputs'!N$9*$G79,IF(AND(($C79+$C$1)&gt;AP$3,AP$3&gt;=$C$1),'General Inputs'!N$9*$F79,0))</f>
        <v>8.7516527862737092</v>
      </c>
      <c r="AQ79" s="214">
        <f>IF(AND(($D79+$C$1)&gt;AQ$3,AQ$3&gt;=$C$1),'General Inputs'!O$9*$G79,IF(AND(($C79+$C$1)&gt;AQ$3,AQ$3&gt;=$C$1),'General Inputs'!O$9*$F79,0))</f>
        <v>8.8829275780678127</v>
      </c>
      <c r="AR79" s="214">
        <f>IF(AND(($D79+$C$1)&gt;AR$3,AR$3&gt;=$C$1),'General Inputs'!P$9*$G79,IF(AND(($C79+$C$1)&gt;AR$3,AR$3&gt;=$C$1),'General Inputs'!P$9*$F79,0))</f>
        <v>9.0161714917388291</v>
      </c>
      <c r="AS79" s="214">
        <f>IF(AND(($D79+$C$1)&gt;AS$3,AS$3&gt;=$C$1),'General Inputs'!Q$9*$G79,IF(AND(($C79+$C$1)&gt;AS$3,AS$3&gt;=$C$1),'General Inputs'!Q$9*$F79,0))</f>
        <v>9.1514140641149115</v>
      </c>
      <c r="AT79" s="214">
        <f>IF(AND(($D79+$C$1)&gt;AT$3,AT$3&gt;=$C$1),'General Inputs'!R$9*$G79,IF(AND(($C79+$C$1)&gt;AT$3,AT$3&gt;=$C$1),'General Inputs'!R$9*$F79,0))</f>
        <v>9.2886852750766344</v>
      </c>
      <c r="AU79" s="214">
        <f>IF(AND(($D79+$C$1)&gt;AU$3,AU$3&gt;=$C$1),'General Inputs'!S$9*$G79,IF(AND(($C79+$C$1)&gt;AU$3,AU$3&gt;=$C$1),'General Inputs'!S$9*$F79,0))</f>
        <v>9.4280155542027835</v>
      </c>
      <c r="AV79" s="214">
        <f>IF(AND(($D79+$C$1)&gt;AV$3,AV$3&gt;=$C$1),'General Inputs'!T$9*$G79,IF(AND(($C79+$C$1)&gt;AV$3,AV$3&gt;=$C$1),'General Inputs'!T$9*$F79,0))</f>
        <v>0</v>
      </c>
      <c r="AW79" s="214">
        <f>IF(AND(($D79+$C$1)&gt;AW$3,AW$3&gt;=$C$1),'General Inputs'!U$9*$G79,IF(AND(($C79+$C$1)&gt;AW$3,AW$3&gt;=$C$1),'General Inputs'!U$9*$F79,0))</f>
        <v>0</v>
      </c>
      <c r="AX79" s="214">
        <f>IF(AND(($D79+$C$1)&gt;AX$3,AX$3&gt;=$C$1),'General Inputs'!V$9*$G79,IF(AND(($C79+$C$1)&gt;AX$3,AX$3&gt;=$C$1),'General Inputs'!V$9*$F79,0))</f>
        <v>0</v>
      </c>
      <c r="AY79" s="214">
        <f>IF(AND(($D79+$C$1)&gt;AY$3,AY$3&gt;=$C$1),'General Inputs'!W$9*$G79,IF(AND(($C79+$C$1)&gt;AY$3,AY$3&gt;=$C$1),'General Inputs'!W$9*$F79,0))</f>
        <v>0</v>
      </c>
      <c r="BA79" s="214">
        <f>IF(AND(($D79+$C$1)&gt;AF$3,AF$3&gt;=$C$1),'General Inputs'!D$10*$I79,IF(AND(($C79+$C$1)&gt;AF$3,AF$3&gt;=$C$1),'General Inputs'!D$10*$H79,0))</f>
        <v>0</v>
      </c>
      <c r="BB79" s="214">
        <f>IF(AND(($D79+$C$1)&gt;AG$3,AG$3&gt;=$C$1),'General Inputs'!E$10*$I79,IF(AND(($C79+$C$1)&gt;AG$3,AG$3&gt;=$C$1),'General Inputs'!E$10*$H79,0))</f>
        <v>0.51882710712067359</v>
      </c>
      <c r="BC79" s="214">
        <f>IF(AND(($D79+$C$1)&gt;AH$3,AH$3&gt;=$C$1),'General Inputs'!F$10*$I79,IF(AND(($C79+$C$1)&gt;AH$3,AH$3&gt;=$C$1),'General Inputs'!F$10*$H79,0))</f>
        <v>0.52660951372748366</v>
      </c>
      <c r="BD79" s="214">
        <f>IF(AND(($D79+$C$1)&gt;AI$3,AI$3&gt;=$C$1),'General Inputs'!G$10*$I79,IF(AND(($C79+$C$1)&gt;AI$3,AI$3&gt;=$C$1),'General Inputs'!G$10*$H79,0))</f>
        <v>0.53450865643339585</v>
      </c>
      <c r="BE79" s="214">
        <f>IF(AND(($D79+$C$1)&gt;AJ$3,AJ$3&gt;=$C$1),'General Inputs'!H$10*$I79,IF(AND(($C79+$C$1)&gt;AJ$3,AJ$3&gt;=$C$1),'General Inputs'!H$10*$H79,0))</f>
        <v>0.54252628627989674</v>
      </c>
      <c r="BF79" s="214">
        <f>IF(AND(($D79+$C$1)&gt;AK$3,AK$3&gt;=$C$1),'General Inputs'!I$10*$I79,IF(AND(($C79+$C$1)&gt;AK$3,AK$3&gt;=$C$1),'General Inputs'!I$10*$H79,0))</f>
        <v>0.55066418057409505</v>
      </c>
      <c r="BG79" s="214">
        <f>IF(AND(($D79+$C$1)&gt;AL$3,AL$3&gt;=$C$1),'General Inputs'!J$10*$I79,IF(AND(($C79+$C$1)&gt;AL$3,AL$3&gt;=$C$1),'General Inputs'!J$10*$H79,0))</f>
        <v>0.55892414328270645</v>
      </c>
      <c r="BH79" s="214">
        <f>IF(AND(($D79+$C$1)&gt;AM$3,AM$3&gt;=$C$1),'General Inputs'!K$10*$I79,IF(AND(($C79+$C$1)&gt;AM$3,AM$3&gt;=$C$1),'General Inputs'!K$10*$H79,0))</f>
        <v>0.56730800543194704</v>
      </c>
      <c r="BI79" s="214">
        <f>IF(AND(($D79+$C$1)&gt;AN$3,AN$3&gt;=$C$1),'General Inputs'!L$10*$I79,IF(AND(($C79+$C$1)&gt;AN$3,AN$3&gt;=$C$1),'General Inputs'!L$10*$H79,0))</f>
        <v>0.57581762551342619</v>
      </c>
      <c r="BJ79" s="214">
        <f>IF(AND(($D79+$C$1)&gt;AO$3,AO$3&gt;=$C$1),'General Inputs'!M$10*$I79,IF(AND(($C79+$C$1)&gt;AO$3,AO$3&gt;=$C$1),'General Inputs'!M$10*$H79,0))</f>
        <v>0.58445488989612759</v>
      </c>
      <c r="BK79" s="214">
        <f>IF(AND(($D79+$C$1)&gt;AP$3,AP$3&gt;=$C$1),'General Inputs'!N$10*$I79,IF(AND(($C79+$C$1)&gt;AP$3,AP$3&gt;=$C$1),'General Inputs'!N$10*$H79,0))</f>
        <v>0.5932217132445694</v>
      </c>
      <c r="BL79" s="214">
        <f>IF(AND(($D79+$C$1)&gt;AQ$3,AQ$3&gt;=$C$1),'General Inputs'!O$10*$I79,IF(AND(($C79+$C$1)&gt;AQ$3,AQ$3&gt;=$C$1),'General Inputs'!O$10*$H79,0))</f>
        <v>0.60212003894323785</v>
      </c>
      <c r="BM79" s="214">
        <f>IF(AND(($D79+$C$1)&gt;AR$3,AR$3&gt;=$C$1),'General Inputs'!P$10*$I79,IF(AND(($C79+$C$1)&gt;AR$3,AR$3&gt;=$C$1),'General Inputs'!P$10*$H79,0))</f>
        <v>0.61115183952738639</v>
      </c>
      <c r="BN79" s="214">
        <f>IF(AND(($D79+$C$1)&gt;AS$3,AS$3&gt;=$C$1),'General Inputs'!Q$10*$I79,IF(AND(($C79+$C$1)&gt;AS$3,AS$3&gt;=$C$1),'General Inputs'!Q$10*$H79,0))</f>
        <v>0.62031911712029708</v>
      </c>
      <c r="BO79" s="214">
        <f>IF(AND(($D79+$C$1)&gt;AT$3,AT$3&gt;=$C$1),'General Inputs'!R$10*$I79,IF(AND(($C79+$C$1)&gt;AT$3,AT$3&gt;=$C$1),'General Inputs'!R$10*$H79,0))</f>
        <v>0.62962390387710143</v>
      </c>
      <c r="BP79" s="214">
        <f>IF(AND(($D79+$C$1)&gt;AU$3,AU$3&gt;=$C$1),'General Inputs'!S$10*$I79,IF(AND(($C79+$C$1)&gt;AU$3,AU$3&gt;=$C$1),'General Inputs'!S$10*$H79,0))</f>
        <v>0.63906826243525794</v>
      </c>
      <c r="BQ79" s="214">
        <f>IF(AND(($D79+$C$1)&gt;AV$3,AV$3&gt;=$C$1),'General Inputs'!T$10*$I79,IF(AND(($C79+$C$1)&gt;AV$3,AV$3&gt;=$C$1),'General Inputs'!T$10*$H79,0))</f>
        <v>0</v>
      </c>
      <c r="BR79" s="214">
        <f>IF(AND(($D79+$C$1)&gt;AW$3,AW$3&gt;=$C$1),'General Inputs'!U$10*$I79,IF(AND(($C79+$C$1)&gt;AW$3,AW$3&gt;=$C$1),'General Inputs'!U$10*$H79,0))</f>
        <v>0</v>
      </c>
      <c r="BS79" s="214">
        <f>IF(AND(($D79+$C$1)&gt;AX$3,AX$3&gt;=$C$1),'General Inputs'!V$10*$I79,IF(AND(($C79+$C$1)&gt;AX$3,AX$3&gt;=$C$1),'General Inputs'!V$10*$H79,0))</f>
        <v>0</v>
      </c>
      <c r="BT79" s="214">
        <f>IF(AND(($D79+$C$1)&gt;AY$3,AY$3&gt;=$C$1),'General Inputs'!W$10*$I79,IF(AND(($C79+$C$1)&gt;AY$3,AY$3&gt;=$C$1),'General Inputs'!W$10*$H79,0))</f>
        <v>0</v>
      </c>
    </row>
    <row r="80" spans="1:72">
      <c r="A80" s="342" t="s">
        <v>112</v>
      </c>
      <c r="B80" s="427" t="str">
        <f>Sources!B80</f>
        <v>LED (≤5W)</v>
      </c>
      <c r="C80" s="193">
        <f>Sources!C80</f>
        <v>10</v>
      </c>
      <c r="D80" s="193">
        <f>Sources!D80</f>
        <v>0</v>
      </c>
      <c r="F80" s="429">
        <f>Sources!F80*EnergyLineLoss</f>
        <v>307.90568624999997</v>
      </c>
      <c r="G80" s="429">
        <f>Sources!G80*EnergyLineLoss</f>
        <v>0</v>
      </c>
      <c r="H80" s="477">
        <f>Sources!H80*PeakLineLoss</f>
        <v>4.7611278E-2</v>
      </c>
      <c r="I80" s="477">
        <f>Sources!I80*PeakLineLoss</f>
        <v>0</v>
      </c>
      <c r="K80" s="419">
        <f>Sources!J80</f>
        <v>34</v>
      </c>
      <c r="L80" s="419">
        <f>Sources!K80</f>
        <v>0</v>
      </c>
      <c r="N80" s="438">
        <f t="shared" si="26"/>
        <v>2.8854855433131994</v>
      </c>
      <c r="P80" s="215">
        <f t="shared" si="27"/>
        <v>85.184093089769405</v>
      </c>
      <c r="Q80" s="215">
        <f t="shared" si="28"/>
        <v>4.9541910637116517</v>
      </c>
      <c r="R80" s="215">
        <f t="shared" si="29"/>
        <v>31.238515251745682</v>
      </c>
      <c r="T80" s="214">
        <f t="shared" ref="T80:AD87" si="31">IF($C$1=T$3,$K80,IF($D80+$C$1=T$3,-$L80,0))</f>
        <v>0</v>
      </c>
      <c r="U80" s="214">
        <f t="shared" si="31"/>
        <v>34</v>
      </c>
      <c r="V80" s="214">
        <f t="shared" si="31"/>
        <v>0</v>
      </c>
      <c r="W80" s="214">
        <f t="shared" si="31"/>
        <v>0</v>
      </c>
      <c r="X80" s="214">
        <f t="shared" si="31"/>
        <v>0</v>
      </c>
      <c r="Y80" s="214">
        <f t="shared" si="31"/>
        <v>0</v>
      </c>
      <c r="Z80" s="214">
        <f t="shared" si="31"/>
        <v>0</v>
      </c>
      <c r="AA80" s="214">
        <f t="shared" si="31"/>
        <v>0</v>
      </c>
      <c r="AB80" s="214">
        <f t="shared" si="31"/>
        <v>0</v>
      </c>
      <c r="AC80" s="214">
        <f t="shared" si="31"/>
        <v>0</v>
      </c>
      <c r="AD80" s="214">
        <f t="shared" si="31"/>
        <v>0</v>
      </c>
      <c r="AF80" s="214">
        <f>IF(AND(($D80+$C$1)&gt;AF$3,AF$3&gt;=$C$1),'General Inputs'!D$9*$G80,IF(AND(($C80+$C$1)&gt;AF$3,AF$3&gt;=$C$1),'General Inputs'!D$9*$F80,0))</f>
        <v>0</v>
      </c>
      <c r="AG80" s="214">
        <f>IF(AND(($D80+$C$1)&gt;AG$3,AG$3&gt;=$C$1),'General Inputs'!E$9*$G80,IF(AND(($C80+$C$1)&gt;AG$3,AG$3&gt;=$C$1),'General Inputs'!E$9*$F80,0))</f>
        <v>12.442300442781992</v>
      </c>
      <c r="AH80" s="214">
        <f>IF(AND(($D80+$C$1)&gt;AH$3,AH$3&gt;=$C$1),'General Inputs'!F$9*$G80,IF(AND(($C80+$C$1)&gt;AH$3,AH$3&gt;=$C$1),'General Inputs'!F$9*$F80,0))</f>
        <v>12.628934949423721</v>
      </c>
      <c r="AI80" s="214">
        <f>IF(AND(($D80+$C$1)&gt;AI$3,AI$3&gt;=$C$1),'General Inputs'!G$9*$G80,IF(AND(($C80+$C$1)&gt;AI$3,AI$3&gt;=$C$1),'General Inputs'!G$9*$F80,0))</f>
        <v>12.818368973665075</v>
      </c>
      <c r="AJ80" s="214">
        <f>IF(AND(($D80+$C$1)&gt;AJ$3,AJ$3&gt;=$C$1),'General Inputs'!H$9*$G80,IF(AND(($C80+$C$1)&gt;AJ$3,AJ$3&gt;=$C$1),'General Inputs'!H$9*$F80,0))</f>
        <v>13.010644508270051</v>
      </c>
      <c r="AK80" s="214">
        <f>IF(AND(($D80+$C$1)&gt;AK$3,AK$3&gt;=$C$1),'General Inputs'!I$9*$G80,IF(AND(($C80+$C$1)&gt;AK$3,AK$3&gt;=$C$1),'General Inputs'!I$9*$F80,0))</f>
        <v>13.2058041758941</v>
      </c>
      <c r="AL80" s="214">
        <f>IF(AND(($D80+$C$1)&gt;AL$3,AL$3&gt;=$C$1),'General Inputs'!J$9*$G80,IF(AND(($C80+$C$1)&gt;AL$3,AL$3&gt;=$C$1),'General Inputs'!J$9*$F80,0))</f>
        <v>13.403891238532509</v>
      </c>
      <c r="AM80" s="214">
        <f>IF(AND(($D80+$C$1)&gt;AM$3,AM$3&gt;=$C$1),'General Inputs'!K$9*$G80,IF(AND(($C80+$C$1)&gt;AM$3,AM$3&gt;=$C$1),'General Inputs'!K$9*$F80,0))</f>
        <v>13.604949607110495</v>
      </c>
      <c r="AN80" s="214">
        <f>IF(AND(($D80+$C$1)&gt;AN$3,AN$3&gt;=$C$1),'General Inputs'!L$9*$G80,IF(AND(($C80+$C$1)&gt;AN$3,AN$3&gt;=$C$1),'General Inputs'!L$9*$F80,0))</f>
        <v>13.80902385121715</v>
      </c>
      <c r="AO80" s="214">
        <f>IF(AND(($D80+$C$1)&gt;AO$3,AO$3&gt;=$C$1),'General Inputs'!M$9*$G80,IF(AND(($C80+$C$1)&gt;AO$3,AO$3&gt;=$C$1),'General Inputs'!M$9*$F80,0))</f>
        <v>14.016159208985405</v>
      </c>
      <c r="AP80" s="214">
        <f>IF(AND(($D80+$C$1)&gt;AP$3,AP$3&gt;=$C$1),'General Inputs'!N$9*$G80,IF(AND(($C80+$C$1)&gt;AP$3,AP$3&gt;=$C$1),'General Inputs'!N$9*$F80,0))</f>
        <v>14.226401597120185</v>
      </c>
      <c r="AQ80" s="214">
        <f>IF(AND(($D80+$C$1)&gt;AQ$3,AQ$3&gt;=$C$1),'General Inputs'!O$9*$G80,IF(AND(($C80+$C$1)&gt;AQ$3,AQ$3&gt;=$C$1),'General Inputs'!O$9*$F80,0))</f>
        <v>0</v>
      </c>
      <c r="AR80" s="214">
        <f>IF(AND(($D80+$C$1)&gt;AR$3,AR$3&gt;=$C$1),'General Inputs'!P$9*$G80,IF(AND(($C80+$C$1)&gt;AR$3,AR$3&gt;=$C$1),'General Inputs'!P$9*$F80,0))</f>
        <v>0</v>
      </c>
      <c r="AS80" s="214">
        <f>IF(AND(($D80+$C$1)&gt;AS$3,AS$3&gt;=$C$1),'General Inputs'!Q$9*$G80,IF(AND(($C80+$C$1)&gt;AS$3,AS$3&gt;=$C$1),'General Inputs'!Q$9*$F80,0))</f>
        <v>0</v>
      </c>
      <c r="AT80" s="214">
        <f>IF(AND(($D80+$C$1)&gt;AT$3,AT$3&gt;=$C$1),'General Inputs'!R$9*$G80,IF(AND(($C80+$C$1)&gt;AT$3,AT$3&gt;=$C$1),'General Inputs'!R$9*$F80,0))</f>
        <v>0</v>
      </c>
      <c r="AU80" s="214">
        <f>IF(AND(($D80+$C$1)&gt;AU$3,AU$3&gt;=$C$1),'General Inputs'!S$9*$G80,IF(AND(($C80+$C$1)&gt;AU$3,AU$3&gt;=$C$1),'General Inputs'!S$9*$F80,0))</f>
        <v>0</v>
      </c>
      <c r="AV80" s="214">
        <f>IF(AND(($D80+$C$1)&gt;AV$3,AV$3&gt;=$C$1),'General Inputs'!T$9*$G80,IF(AND(($C80+$C$1)&gt;AV$3,AV$3&gt;=$C$1),'General Inputs'!T$9*$F80,0))</f>
        <v>0</v>
      </c>
      <c r="AW80" s="214">
        <f>IF(AND(($D80+$C$1)&gt;AW$3,AW$3&gt;=$C$1),'General Inputs'!U$9*$G80,IF(AND(($C80+$C$1)&gt;AW$3,AW$3&gt;=$C$1),'General Inputs'!U$9*$F80,0))</f>
        <v>0</v>
      </c>
      <c r="AX80" s="214">
        <f>IF(AND(($D80+$C$1)&gt;AX$3,AX$3&gt;=$C$1),'General Inputs'!V$9*$G80,IF(AND(($C80+$C$1)&gt;AX$3,AX$3&gt;=$C$1),'General Inputs'!V$9*$F80,0))</f>
        <v>0</v>
      </c>
      <c r="AY80" s="214">
        <f>IF(AND(($D80+$C$1)&gt;AY$3,AY$3&gt;=$C$1),'General Inputs'!W$9*$G80,IF(AND(($C80+$C$1)&gt;AY$3,AY$3&gt;=$C$1),'General Inputs'!W$9*$F80,0))</f>
        <v>0</v>
      </c>
      <c r="BA80" s="214">
        <f>IF(AND(($D80+$C$1)&gt;AF$3,AF$3&gt;=$C$1),'General Inputs'!D$10*$I80,IF(AND(($C80+$C$1)&gt;AF$3,AF$3&gt;=$C$1),'General Inputs'!D$10*$H80,0))</f>
        <v>0</v>
      </c>
      <c r="BB80" s="214">
        <f>IF(AND(($D80+$C$1)&gt;AG$3,AG$3&gt;=$C$1),'General Inputs'!E$10*$I80,IF(AND(($C80+$C$1)&gt;AG$3,AG$3&gt;=$C$1),'General Inputs'!E$10*$H80,0))</f>
        <v>0.72362728098409734</v>
      </c>
      <c r="BC80" s="214">
        <f>IF(AND(($D80+$C$1)&gt;AH$3,AH$3&gt;=$C$1),'General Inputs'!F$10*$I80,IF(AND(($C80+$C$1)&gt;AH$3,AH$3&gt;=$C$1),'General Inputs'!F$10*$H80,0))</f>
        <v>0.73448169019885878</v>
      </c>
      <c r="BD80" s="214">
        <f>IF(AND(($D80+$C$1)&gt;AI$3,AI$3&gt;=$C$1),'General Inputs'!G$10*$I80,IF(AND(($C80+$C$1)&gt;AI$3,AI$3&gt;=$C$1),'General Inputs'!G$10*$H80,0))</f>
        <v>0.74549891555184167</v>
      </c>
      <c r="BE80" s="214">
        <f>IF(AND(($D80+$C$1)&gt;AJ$3,AJ$3&gt;=$C$1),'General Inputs'!H$10*$I80,IF(AND(($C80+$C$1)&gt;AJ$3,AJ$3&gt;=$C$1),'General Inputs'!H$10*$H80,0))</f>
        <v>0.75668139928511924</v>
      </c>
      <c r="BF80" s="214">
        <f>IF(AND(($D80+$C$1)&gt;AK$3,AK$3&gt;=$C$1),'General Inputs'!I$10*$I80,IF(AND(($C80+$C$1)&gt;AK$3,AK$3&gt;=$C$1),'General Inputs'!I$10*$H80,0))</f>
        <v>0.76803162027439587</v>
      </c>
      <c r="BG80" s="214">
        <f>IF(AND(($D80+$C$1)&gt;AL$3,AL$3&gt;=$C$1),'General Inputs'!J$10*$I80,IF(AND(($C80+$C$1)&gt;AL$3,AL$3&gt;=$C$1),'General Inputs'!J$10*$H80,0))</f>
        <v>0.77955209457851171</v>
      </c>
      <c r="BH80" s="214">
        <f>IF(AND(($D80+$C$1)&gt;AM$3,AM$3&gt;=$C$1),'General Inputs'!K$10*$I80,IF(AND(($C80+$C$1)&gt;AM$3,AM$3&gt;=$C$1),'General Inputs'!K$10*$H80,0))</f>
        <v>0.79124537599718925</v>
      </c>
      <c r="BI80" s="214">
        <f>IF(AND(($D80+$C$1)&gt;AN$3,AN$3&gt;=$C$1),'General Inputs'!L$10*$I80,IF(AND(($C80+$C$1)&gt;AN$3,AN$3&gt;=$C$1),'General Inputs'!L$10*$H80,0))</f>
        <v>0.80311405663714708</v>
      </c>
      <c r="BJ80" s="214">
        <f>IF(AND(($D80+$C$1)&gt;AO$3,AO$3&gt;=$C$1),'General Inputs'!M$10*$I80,IF(AND(($C80+$C$1)&gt;AO$3,AO$3&gt;=$C$1),'General Inputs'!M$10*$H80,0))</f>
        <v>0.8151607674867043</v>
      </c>
      <c r="BK80" s="214">
        <f>IF(AND(($D80+$C$1)&gt;AP$3,AP$3&gt;=$C$1),'General Inputs'!N$10*$I80,IF(AND(($C80+$C$1)&gt;AP$3,AP$3&gt;=$C$1),'General Inputs'!N$10*$H80,0))</f>
        <v>0.82738817899900474</v>
      </c>
      <c r="BL80" s="214">
        <f>IF(AND(($D80+$C$1)&gt;AQ$3,AQ$3&gt;=$C$1),'General Inputs'!O$10*$I80,IF(AND(($C80+$C$1)&gt;AQ$3,AQ$3&gt;=$C$1),'General Inputs'!O$10*$H80,0))</f>
        <v>0</v>
      </c>
      <c r="BM80" s="214">
        <f>IF(AND(($D80+$C$1)&gt;AR$3,AR$3&gt;=$C$1),'General Inputs'!P$10*$I80,IF(AND(($C80+$C$1)&gt;AR$3,AR$3&gt;=$C$1),'General Inputs'!P$10*$H80,0))</f>
        <v>0</v>
      </c>
      <c r="BN80" s="214">
        <f>IF(AND(($D80+$C$1)&gt;AS$3,AS$3&gt;=$C$1),'General Inputs'!Q$10*$I80,IF(AND(($C80+$C$1)&gt;AS$3,AS$3&gt;=$C$1),'General Inputs'!Q$10*$H80,0))</f>
        <v>0</v>
      </c>
      <c r="BO80" s="214">
        <f>IF(AND(($D80+$C$1)&gt;AT$3,AT$3&gt;=$C$1),'General Inputs'!R$10*$I80,IF(AND(($C80+$C$1)&gt;AT$3,AT$3&gt;=$C$1),'General Inputs'!R$10*$H80,0))</f>
        <v>0</v>
      </c>
      <c r="BP80" s="214">
        <f>IF(AND(($D80+$C$1)&gt;AU$3,AU$3&gt;=$C$1),'General Inputs'!S$10*$I80,IF(AND(($C80+$C$1)&gt;AU$3,AU$3&gt;=$C$1),'General Inputs'!S$10*$H80,0))</f>
        <v>0</v>
      </c>
      <c r="BQ80" s="214">
        <f>IF(AND(($D80+$C$1)&gt;AV$3,AV$3&gt;=$C$1),'General Inputs'!T$10*$I80,IF(AND(($C80+$C$1)&gt;AV$3,AV$3&gt;=$C$1),'General Inputs'!T$10*$H80,0))</f>
        <v>0</v>
      </c>
      <c r="BR80" s="214">
        <f>IF(AND(($D80+$C$1)&gt;AW$3,AW$3&gt;=$C$1),'General Inputs'!U$10*$I80,IF(AND(($C80+$C$1)&gt;AW$3,AW$3&gt;=$C$1),'General Inputs'!U$10*$H80,0))</f>
        <v>0</v>
      </c>
      <c r="BS80" s="214">
        <f>IF(AND(($D80+$C$1)&gt;AX$3,AX$3&gt;=$C$1),'General Inputs'!V$10*$I80,IF(AND(($C80+$C$1)&gt;AX$3,AX$3&gt;=$C$1),'General Inputs'!V$10*$H80,0))</f>
        <v>0</v>
      </c>
      <c r="BT80" s="214">
        <f>IF(AND(($D80+$C$1)&gt;AY$3,AY$3&gt;=$C$1),'General Inputs'!W$10*$I80,IF(AND(($C80+$C$1)&gt;AY$3,AY$3&gt;=$C$1),'General Inputs'!W$10*$H80,0))</f>
        <v>0</v>
      </c>
    </row>
    <row r="81" spans="1:72">
      <c r="A81" s="342" t="s">
        <v>112</v>
      </c>
      <c r="B81" s="427" t="str">
        <f>Sources!B81</f>
        <v>LED (5 ≤ 10W)</v>
      </c>
      <c r="C81" s="193">
        <f>Sources!C81</f>
        <v>10</v>
      </c>
      <c r="D81" s="193">
        <f>Sources!D81</f>
        <v>0</v>
      </c>
      <c r="F81" s="429">
        <f>Sources!F81*EnergyLineLoss</f>
        <v>255.61981499999999</v>
      </c>
      <c r="G81" s="429">
        <f>Sources!G81*EnergyLineLoss</f>
        <v>0</v>
      </c>
      <c r="H81" s="477">
        <f>Sources!H81*PeakLineLoss</f>
        <v>3.9526343999999998E-2</v>
      </c>
      <c r="I81" s="477">
        <f>Sources!I81*PeakLineLoss</f>
        <v>0</v>
      </c>
      <c r="K81" s="419">
        <f>Sources!J81</f>
        <v>40</v>
      </c>
      <c r="L81" s="419">
        <f>Sources!K81</f>
        <v>0</v>
      </c>
      <c r="N81" s="438">
        <f t="shared" si="26"/>
        <v>2.0361728173568618</v>
      </c>
      <c r="P81" s="215">
        <f t="shared" si="27"/>
        <v>70.71886973490291</v>
      </c>
      <c r="Q81" s="215">
        <f t="shared" si="28"/>
        <v>4.1129133359115597</v>
      </c>
      <c r="R81" s="215">
        <f t="shared" si="29"/>
        <v>36.751194413818446</v>
      </c>
      <c r="T81" s="214">
        <f t="shared" si="31"/>
        <v>0</v>
      </c>
      <c r="U81" s="214">
        <f t="shared" si="31"/>
        <v>40</v>
      </c>
      <c r="V81" s="214">
        <f t="shared" si="31"/>
        <v>0</v>
      </c>
      <c r="W81" s="214">
        <f t="shared" si="31"/>
        <v>0</v>
      </c>
      <c r="X81" s="214">
        <f t="shared" si="31"/>
        <v>0</v>
      </c>
      <c r="Y81" s="214">
        <f t="shared" si="31"/>
        <v>0</v>
      </c>
      <c r="Z81" s="214">
        <f t="shared" si="31"/>
        <v>0</v>
      </c>
      <c r="AA81" s="214">
        <f t="shared" si="31"/>
        <v>0</v>
      </c>
      <c r="AB81" s="214">
        <f t="shared" si="31"/>
        <v>0</v>
      </c>
      <c r="AC81" s="214">
        <f t="shared" si="31"/>
        <v>0</v>
      </c>
      <c r="AD81" s="214">
        <f t="shared" si="31"/>
        <v>0</v>
      </c>
      <c r="AF81" s="214">
        <f>IF(AND(($D81+$C$1)&gt;AF$3,AF$3&gt;=$C$1),'General Inputs'!D$9*$G81,IF(AND(($C81+$C$1)&gt;AF$3,AF$3&gt;=$C$1),'General Inputs'!D$9*$F81,0))</f>
        <v>0</v>
      </c>
      <c r="AG81" s="214">
        <f>IF(AND(($D81+$C$1)&gt;AG$3,AG$3&gt;=$C$1),'General Inputs'!E$9*$G81,IF(AND(($C81+$C$1)&gt;AG$3,AG$3&gt;=$C$1),'General Inputs'!E$9*$F81,0))</f>
        <v>10.329456971366183</v>
      </c>
      <c r="AH81" s="214">
        <f>IF(AND(($D81+$C$1)&gt;AH$3,AH$3&gt;=$C$1),'General Inputs'!F$9*$G81,IF(AND(($C81+$C$1)&gt;AH$3,AH$3&gt;=$C$1),'General Inputs'!F$9*$F81,0))</f>
        <v>10.484398825936674</v>
      </c>
      <c r="AI81" s="214">
        <f>IF(AND(($D81+$C$1)&gt;AI$3,AI$3&gt;=$C$1),'General Inputs'!G$9*$G81,IF(AND(($C81+$C$1)&gt;AI$3,AI$3&gt;=$C$1),'General Inputs'!G$9*$F81,0))</f>
        <v>10.641664808325723</v>
      </c>
      <c r="AJ81" s="214">
        <f>IF(AND(($D81+$C$1)&gt;AJ$3,AJ$3&gt;=$C$1),'General Inputs'!H$9*$G81,IF(AND(($C81+$C$1)&gt;AJ$3,AJ$3&gt;=$C$1),'General Inputs'!H$9*$F81,0))</f>
        <v>10.801289780450608</v>
      </c>
      <c r="AK81" s="214">
        <f>IF(AND(($D81+$C$1)&gt;AK$3,AK$3&gt;=$C$1),'General Inputs'!I$9*$G81,IF(AND(($C81+$C$1)&gt;AK$3,AK$3&gt;=$C$1),'General Inputs'!I$9*$F81,0))</f>
        <v>10.963309127157366</v>
      </c>
      <c r="AL81" s="214">
        <f>IF(AND(($D81+$C$1)&gt;AL$3,AL$3&gt;=$C$1),'General Inputs'!J$9*$G81,IF(AND(($C81+$C$1)&gt;AL$3,AL$3&gt;=$C$1),'General Inputs'!J$9*$F81,0))</f>
        <v>11.127758764064724</v>
      </c>
      <c r="AM81" s="214">
        <f>IF(AND(($D81+$C$1)&gt;AM$3,AM$3&gt;=$C$1),'General Inputs'!K$9*$G81,IF(AND(($C81+$C$1)&gt;AM$3,AM$3&gt;=$C$1),'General Inputs'!K$9*$F81,0))</f>
        <v>11.294675145525694</v>
      </c>
      <c r="AN81" s="214">
        <f>IF(AND(($D81+$C$1)&gt;AN$3,AN$3&gt;=$C$1),'General Inputs'!L$9*$G81,IF(AND(($C81+$C$1)&gt;AN$3,AN$3&gt;=$C$1),'General Inputs'!L$9*$F81,0))</f>
        <v>11.464095272708578</v>
      </c>
      <c r="AO81" s="214">
        <f>IF(AND(($D81+$C$1)&gt;AO$3,AO$3&gt;=$C$1),'General Inputs'!M$9*$G81,IF(AND(($C81+$C$1)&gt;AO$3,AO$3&gt;=$C$1),'General Inputs'!M$9*$F81,0))</f>
        <v>11.636056701799205</v>
      </c>
      <c r="AP81" s="214">
        <f>IF(AND(($D81+$C$1)&gt;AP$3,AP$3&gt;=$C$1),'General Inputs'!N$9*$G81,IF(AND(($C81+$C$1)&gt;AP$3,AP$3&gt;=$C$1),'General Inputs'!N$9*$F81,0))</f>
        <v>11.810597552326193</v>
      </c>
      <c r="AQ81" s="214">
        <f>IF(AND(($D81+$C$1)&gt;AQ$3,AQ$3&gt;=$C$1),'General Inputs'!O$9*$G81,IF(AND(($C81+$C$1)&gt;AQ$3,AQ$3&gt;=$C$1),'General Inputs'!O$9*$F81,0))</f>
        <v>0</v>
      </c>
      <c r="AR81" s="214">
        <f>IF(AND(($D81+$C$1)&gt;AR$3,AR$3&gt;=$C$1),'General Inputs'!P$9*$G81,IF(AND(($C81+$C$1)&gt;AR$3,AR$3&gt;=$C$1),'General Inputs'!P$9*$F81,0))</f>
        <v>0</v>
      </c>
      <c r="AS81" s="214">
        <f>IF(AND(($D81+$C$1)&gt;AS$3,AS$3&gt;=$C$1),'General Inputs'!Q$9*$G81,IF(AND(($C81+$C$1)&gt;AS$3,AS$3&gt;=$C$1),'General Inputs'!Q$9*$F81,0))</f>
        <v>0</v>
      </c>
      <c r="AT81" s="214">
        <f>IF(AND(($D81+$C$1)&gt;AT$3,AT$3&gt;=$C$1),'General Inputs'!R$9*$G81,IF(AND(($C81+$C$1)&gt;AT$3,AT$3&gt;=$C$1),'General Inputs'!R$9*$F81,0))</f>
        <v>0</v>
      </c>
      <c r="AU81" s="214">
        <f>IF(AND(($D81+$C$1)&gt;AU$3,AU$3&gt;=$C$1),'General Inputs'!S$9*$G81,IF(AND(($C81+$C$1)&gt;AU$3,AU$3&gt;=$C$1),'General Inputs'!S$9*$F81,0))</f>
        <v>0</v>
      </c>
      <c r="AV81" s="214">
        <f>IF(AND(($D81+$C$1)&gt;AV$3,AV$3&gt;=$C$1),'General Inputs'!T$9*$G81,IF(AND(($C81+$C$1)&gt;AV$3,AV$3&gt;=$C$1),'General Inputs'!T$9*$F81,0))</f>
        <v>0</v>
      </c>
      <c r="AW81" s="214">
        <f>IF(AND(($D81+$C$1)&gt;AW$3,AW$3&gt;=$C$1),'General Inputs'!U$9*$G81,IF(AND(($C81+$C$1)&gt;AW$3,AW$3&gt;=$C$1),'General Inputs'!U$9*$F81,0))</f>
        <v>0</v>
      </c>
      <c r="AX81" s="214">
        <f>IF(AND(($D81+$C$1)&gt;AX$3,AX$3&gt;=$C$1),'General Inputs'!V$9*$G81,IF(AND(($C81+$C$1)&gt;AX$3,AX$3&gt;=$C$1),'General Inputs'!V$9*$F81,0))</f>
        <v>0</v>
      </c>
      <c r="AY81" s="214">
        <f>IF(AND(($D81+$C$1)&gt;AY$3,AY$3&gt;=$C$1),'General Inputs'!W$9*$G81,IF(AND(($C81+$C$1)&gt;AY$3,AY$3&gt;=$C$1),'General Inputs'!W$9*$F81,0))</f>
        <v>0</v>
      </c>
      <c r="BA81" s="214">
        <f>IF(AND(($D81+$C$1)&gt;AF$3,AF$3&gt;=$C$1),'General Inputs'!D$10*$I81,IF(AND(($C81+$C$1)&gt;AF$3,AF$3&gt;=$C$1),'General Inputs'!D$10*$H81,0))</f>
        <v>0</v>
      </c>
      <c r="BB81" s="214">
        <f>IF(AND(($D81+$C$1)&gt;AG$3,AG$3&gt;=$C$1),'General Inputs'!E$10*$I81,IF(AND(($C81+$C$1)&gt;AG$3,AG$3&gt;=$C$1),'General Inputs'!E$10*$H81,0))</f>
        <v>0.60074717666604305</v>
      </c>
      <c r="BC81" s="214">
        <f>IF(AND(($D81+$C$1)&gt;AH$3,AH$3&gt;=$C$1),'General Inputs'!F$10*$I81,IF(AND(($C81+$C$1)&gt;AH$3,AH$3&gt;=$C$1),'General Inputs'!F$10*$H81,0))</f>
        <v>0.60975838431603369</v>
      </c>
      <c r="BD81" s="214">
        <f>IF(AND(($D81+$C$1)&gt;AI$3,AI$3&gt;=$C$1),'General Inputs'!G$10*$I81,IF(AND(($C81+$C$1)&gt;AI$3,AI$3&gt;=$C$1),'General Inputs'!G$10*$H81,0))</f>
        <v>0.61890476008077411</v>
      </c>
      <c r="BE81" s="214">
        <f>IF(AND(($D81+$C$1)&gt;AJ$3,AJ$3&gt;=$C$1),'General Inputs'!H$10*$I81,IF(AND(($C81+$C$1)&gt;AJ$3,AJ$3&gt;=$C$1),'General Inputs'!H$10*$H81,0))</f>
        <v>0.62818833148198572</v>
      </c>
      <c r="BF81" s="214">
        <f>IF(AND(($D81+$C$1)&gt;AK$3,AK$3&gt;=$C$1),'General Inputs'!I$10*$I81,IF(AND(($C81+$C$1)&gt;AK$3,AK$3&gt;=$C$1),'General Inputs'!I$10*$H81,0))</f>
        <v>0.6376111564542154</v>
      </c>
      <c r="BG81" s="214">
        <f>IF(AND(($D81+$C$1)&gt;AL$3,AL$3&gt;=$C$1),'General Inputs'!J$10*$I81,IF(AND(($C81+$C$1)&gt;AL$3,AL$3&gt;=$C$1),'General Inputs'!J$10*$H81,0))</f>
        <v>0.64717532380102849</v>
      </c>
      <c r="BH81" s="214">
        <f>IF(AND(($D81+$C$1)&gt;AM$3,AM$3&gt;=$C$1),'General Inputs'!K$10*$I81,IF(AND(($C81+$C$1)&gt;AM$3,AM$3&gt;=$C$1),'General Inputs'!K$10*$H81,0))</f>
        <v>0.65688295365804394</v>
      </c>
      <c r="BI81" s="214">
        <f>IF(AND(($D81+$C$1)&gt;AN$3,AN$3&gt;=$C$1),'General Inputs'!L$10*$I81,IF(AND(($C81+$C$1)&gt;AN$3,AN$3&gt;=$C$1),'General Inputs'!L$10*$H81,0))</f>
        <v>0.6667361979629145</v>
      </c>
      <c r="BJ81" s="214">
        <f>IF(AND(($D81+$C$1)&gt;AO$3,AO$3&gt;=$C$1),'General Inputs'!M$10*$I81,IF(AND(($C81+$C$1)&gt;AO$3,AO$3&gt;=$C$1),'General Inputs'!M$10*$H81,0))</f>
        <v>0.67673724093235821</v>
      </c>
      <c r="BK81" s="214">
        <f>IF(AND(($D81+$C$1)&gt;AP$3,AP$3&gt;=$C$1),'General Inputs'!N$10*$I81,IF(AND(($C81+$C$1)&gt;AP$3,AP$3&gt;=$C$1),'General Inputs'!N$10*$H81,0))</f>
        <v>0.68688829954634345</v>
      </c>
      <c r="BL81" s="214">
        <f>IF(AND(($D81+$C$1)&gt;AQ$3,AQ$3&gt;=$C$1),'General Inputs'!O$10*$I81,IF(AND(($C81+$C$1)&gt;AQ$3,AQ$3&gt;=$C$1),'General Inputs'!O$10*$H81,0))</f>
        <v>0</v>
      </c>
      <c r="BM81" s="214">
        <f>IF(AND(($D81+$C$1)&gt;AR$3,AR$3&gt;=$C$1),'General Inputs'!P$10*$I81,IF(AND(($C81+$C$1)&gt;AR$3,AR$3&gt;=$C$1),'General Inputs'!P$10*$H81,0))</f>
        <v>0</v>
      </c>
      <c r="BN81" s="214">
        <f>IF(AND(($D81+$C$1)&gt;AS$3,AS$3&gt;=$C$1),'General Inputs'!Q$10*$I81,IF(AND(($C81+$C$1)&gt;AS$3,AS$3&gt;=$C$1),'General Inputs'!Q$10*$H81,0))</f>
        <v>0</v>
      </c>
      <c r="BO81" s="214">
        <f>IF(AND(($D81+$C$1)&gt;AT$3,AT$3&gt;=$C$1),'General Inputs'!R$10*$I81,IF(AND(($C81+$C$1)&gt;AT$3,AT$3&gt;=$C$1),'General Inputs'!R$10*$H81,0))</f>
        <v>0</v>
      </c>
      <c r="BP81" s="214">
        <f>IF(AND(($D81+$C$1)&gt;AU$3,AU$3&gt;=$C$1),'General Inputs'!S$10*$I81,IF(AND(($C81+$C$1)&gt;AU$3,AU$3&gt;=$C$1),'General Inputs'!S$10*$H81,0))</f>
        <v>0</v>
      </c>
      <c r="BQ81" s="214">
        <f>IF(AND(($D81+$C$1)&gt;AV$3,AV$3&gt;=$C$1),'General Inputs'!T$10*$I81,IF(AND(($C81+$C$1)&gt;AV$3,AV$3&gt;=$C$1),'General Inputs'!T$10*$H81,0))</f>
        <v>0</v>
      </c>
      <c r="BR81" s="214">
        <f>IF(AND(($D81+$C$1)&gt;AW$3,AW$3&gt;=$C$1),'General Inputs'!U$10*$I81,IF(AND(($C81+$C$1)&gt;AW$3,AW$3&gt;=$C$1),'General Inputs'!U$10*$H81,0))</f>
        <v>0</v>
      </c>
      <c r="BS81" s="214">
        <f>IF(AND(($D81+$C$1)&gt;AX$3,AX$3&gt;=$C$1),'General Inputs'!V$10*$I81,IF(AND(($C81+$C$1)&gt;AX$3,AX$3&gt;=$C$1),'General Inputs'!V$10*$H81,0))</f>
        <v>0</v>
      </c>
      <c r="BT81" s="214">
        <f>IF(AND(($D81+$C$1)&gt;AY$3,AY$3&gt;=$C$1),'General Inputs'!W$10*$I81,IF(AND(($C81+$C$1)&gt;AY$3,AY$3&gt;=$C$1),'General Inputs'!W$10*$H81,0))</f>
        <v>0</v>
      </c>
    </row>
    <row r="82" spans="1:72">
      <c r="A82" s="342" t="s">
        <v>112</v>
      </c>
      <c r="B82" s="427" t="str">
        <f>Sources!B82</f>
        <v>LED (&gt;10W)</v>
      </c>
      <c r="C82" s="193">
        <f>Sources!C82</f>
        <v>10</v>
      </c>
      <c r="D82" s="193">
        <f>Sources!D82</f>
        <v>0</v>
      </c>
      <c r="F82" s="429">
        <f>Sources!F82*EnergyLineLoss</f>
        <v>580.95412499999998</v>
      </c>
      <c r="G82" s="429">
        <f>Sources!G82*EnergyLineLoss</f>
        <v>0</v>
      </c>
      <c r="H82" s="477">
        <f>Sources!H82*PeakLineLoss</f>
        <v>8.9832599999999999E-2</v>
      </c>
      <c r="I82" s="477">
        <f>Sources!I82*PeakLineLoss</f>
        <v>0</v>
      </c>
      <c r="K82" s="419">
        <f>Sources!J82</f>
        <v>65</v>
      </c>
      <c r="L82" s="419">
        <f>Sources!K82</f>
        <v>0</v>
      </c>
      <c r="N82" s="438">
        <f t="shared" si="26"/>
        <v>2.8477941501494564</v>
      </c>
      <c r="P82" s="215">
        <f t="shared" si="27"/>
        <v>160.72470394296113</v>
      </c>
      <c r="Q82" s="215">
        <f t="shared" si="28"/>
        <v>9.34753030888991</v>
      </c>
      <c r="R82" s="215">
        <f t="shared" si="29"/>
        <v>59.720690922454978</v>
      </c>
      <c r="T82" s="214">
        <f t="shared" si="31"/>
        <v>0</v>
      </c>
      <c r="U82" s="214">
        <f t="shared" si="31"/>
        <v>65</v>
      </c>
      <c r="V82" s="214">
        <f t="shared" si="31"/>
        <v>0</v>
      </c>
      <c r="W82" s="214">
        <f t="shared" si="31"/>
        <v>0</v>
      </c>
      <c r="X82" s="214">
        <f t="shared" si="31"/>
        <v>0</v>
      </c>
      <c r="Y82" s="214">
        <f t="shared" si="31"/>
        <v>0</v>
      </c>
      <c r="Z82" s="214">
        <f t="shared" si="31"/>
        <v>0</v>
      </c>
      <c r="AA82" s="214">
        <f t="shared" si="31"/>
        <v>0</v>
      </c>
      <c r="AB82" s="214">
        <f t="shared" si="31"/>
        <v>0</v>
      </c>
      <c r="AC82" s="214">
        <f t="shared" si="31"/>
        <v>0</v>
      </c>
      <c r="AD82" s="214">
        <f t="shared" si="31"/>
        <v>0</v>
      </c>
      <c r="AF82" s="214">
        <f>IF(AND(($D82+$C$1)&gt;AF$3,AF$3&gt;=$C$1),'General Inputs'!D$9*$G82,IF(AND(($C82+$C$1)&gt;AF$3,AF$3&gt;=$C$1),'General Inputs'!D$9*$F82,0))</f>
        <v>0</v>
      </c>
      <c r="AG82" s="214">
        <f>IF(AND(($D82+$C$1)&gt;AG$3,AG$3&gt;=$C$1),'General Inputs'!E$9*$G82,IF(AND(($C82+$C$1)&gt;AG$3,AG$3&gt;=$C$1),'General Inputs'!E$9*$F82,0))</f>
        <v>23.476038571286779</v>
      </c>
      <c r="AH82" s="214">
        <f>IF(AND(($D82+$C$1)&gt;AH$3,AH$3&gt;=$C$1),'General Inputs'!F$9*$G82,IF(AND(($C82+$C$1)&gt;AH$3,AH$3&gt;=$C$1),'General Inputs'!F$9*$F82,0))</f>
        <v>23.82817914985608</v>
      </c>
      <c r="AI82" s="214">
        <f>IF(AND(($D82+$C$1)&gt;AI$3,AI$3&gt;=$C$1),'General Inputs'!G$9*$G82,IF(AND(($C82+$C$1)&gt;AI$3,AI$3&gt;=$C$1),'General Inputs'!G$9*$F82,0))</f>
        <v>24.185601837103917</v>
      </c>
      <c r="AJ82" s="214">
        <f>IF(AND(($D82+$C$1)&gt;AJ$3,AJ$3&gt;=$C$1),'General Inputs'!H$9*$G82,IF(AND(($C82+$C$1)&gt;AJ$3,AJ$3&gt;=$C$1),'General Inputs'!H$9*$F82,0))</f>
        <v>24.548385864660474</v>
      </c>
      <c r="AK82" s="214">
        <f>IF(AND(($D82+$C$1)&gt;AK$3,AK$3&gt;=$C$1),'General Inputs'!I$9*$G82,IF(AND(($C82+$C$1)&gt;AK$3,AK$3&gt;=$C$1),'General Inputs'!I$9*$F82,0))</f>
        <v>24.916611652630376</v>
      </c>
      <c r="AL82" s="214">
        <f>IF(AND(($D82+$C$1)&gt;AL$3,AL$3&gt;=$C$1),'General Inputs'!J$9*$G82,IF(AND(($C82+$C$1)&gt;AL$3,AL$3&gt;=$C$1),'General Inputs'!J$9*$F82,0))</f>
        <v>25.290360827419828</v>
      </c>
      <c r="AM82" s="214">
        <f>IF(AND(($D82+$C$1)&gt;AM$3,AM$3&gt;=$C$1),'General Inputs'!K$9*$G82,IF(AND(($C82+$C$1)&gt;AM$3,AM$3&gt;=$C$1),'General Inputs'!K$9*$F82,0))</f>
        <v>25.669716239831121</v>
      </c>
      <c r="AN82" s="214">
        <f>IF(AND(($D82+$C$1)&gt;AN$3,AN$3&gt;=$C$1),'General Inputs'!L$9*$G82,IF(AND(($C82+$C$1)&gt;AN$3,AN$3&gt;=$C$1),'General Inputs'!L$9*$F82,0))</f>
        <v>26.054761983428588</v>
      </c>
      <c r="AO82" s="214">
        <f>IF(AND(($D82+$C$1)&gt;AO$3,AO$3&gt;=$C$1),'General Inputs'!M$9*$G82,IF(AND(($C82+$C$1)&gt;AO$3,AO$3&gt;=$C$1),'General Inputs'!M$9*$F82,0))</f>
        <v>26.44558341318001</v>
      </c>
      <c r="AP82" s="214">
        <f>IF(AND(($D82+$C$1)&gt;AP$3,AP$3&gt;=$C$1),'General Inputs'!N$9*$G82,IF(AND(($C82+$C$1)&gt;AP$3,AP$3&gt;=$C$1),'General Inputs'!N$9*$F82,0))</f>
        <v>26.842267164377709</v>
      </c>
      <c r="AQ82" s="214">
        <f>IF(AND(($D82+$C$1)&gt;AQ$3,AQ$3&gt;=$C$1),'General Inputs'!O$9*$G82,IF(AND(($C82+$C$1)&gt;AQ$3,AQ$3&gt;=$C$1),'General Inputs'!O$9*$F82,0))</f>
        <v>0</v>
      </c>
      <c r="AR82" s="214">
        <f>IF(AND(($D82+$C$1)&gt;AR$3,AR$3&gt;=$C$1),'General Inputs'!P$9*$G82,IF(AND(($C82+$C$1)&gt;AR$3,AR$3&gt;=$C$1),'General Inputs'!P$9*$F82,0))</f>
        <v>0</v>
      </c>
      <c r="AS82" s="214">
        <f>IF(AND(($D82+$C$1)&gt;AS$3,AS$3&gt;=$C$1),'General Inputs'!Q$9*$G82,IF(AND(($C82+$C$1)&gt;AS$3,AS$3&gt;=$C$1),'General Inputs'!Q$9*$F82,0))</f>
        <v>0</v>
      </c>
      <c r="AT82" s="214">
        <f>IF(AND(($D82+$C$1)&gt;AT$3,AT$3&gt;=$C$1),'General Inputs'!R$9*$G82,IF(AND(($C82+$C$1)&gt;AT$3,AT$3&gt;=$C$1),'General Inputs'!R$9*$F82,0))</f>
        <v>0</v>
      </c>
      <c r="AU82" s="214">
        <f>IF(AND(($D82+$C$1)&gt;AU$3,AU$3&gt;=$C$1),'General Inputs'!S$9*$G82,IF(AND(($C82+$C$1)&gt;AU$3,AU$3&gt;=$C$1),'General Inputs'!S$9*$F82,0))</f>
        <v>0</v>
      </c>
      <c r="AV82" s="214">
        <f>IF(AND(($D82+$C$1)&gt;AV$3,AV$3&gt;=$C$1),'General Inputs'!T$9*$G82,IF(AND(($C82+$C$1)&gt;AV$3,AV$3&gt;=$C$1),'General Inputs'!T$9*$F82,0))</f>
        <v>0</v>
      </c>
      <c r="AW82" s="214">
        <f>IF(AND(($D82+$C$1)&gt;AW$3,AW$3&gt;=$C$1),'General Inputs'!U$9*$G82,IF(AND(($C82+$C$1)&gt;AW$3,AW$3&gt;=$C$1),'General Inputs'!U$9*$F82,0))</f>
        <v>0</v>
      </c>
      <c r="AX82" s="214">
        <f>IF(AND(($D82+$C$1)&gt;AX$3,AX$3&gt;=$C$1),'General Inputs'!V$9*$G82,IF(AND(($C82+$C$1)&gt;AX$3,AX$3&gt;=$C$1),'General Inputs'!V$9*$F82,0))</f>
        <v>0</v>
      </c>
      <c r="AY82" s="214">
        <f>IF(AND(($D82+$C$1)&gt;AY$3,AY$3&gt;=$C$1),'General Inputs'!W$9*$G82,IF(AND(($C82+$C$1)&gt;AY$3,AY$3&gt;=$C$1),'General Inputs'!W$9*$F82,0))</f>
        <v>0</v>
      </c>
      <c r="BA82" s="214">
        <f>IF(AND(($D82+$C$1)&gt;AF$3,AF$3&gt;=$C$1),'General Inputs'!D$10*$I82,IF(AND(($C82+$C$1)&gt;AF$3,AF$3&gt;=$C$1),'General Inputs'!D$10*$H82,0))</f>
        <v>0</v>
      </c>
      <c r="BB82" s="214">
        <f>IF(AND(($D82+$C$1)&gt;AG$3,AG$3&gt;=$C$1),'General Inputs'!E$10*$I82,IF(AND(($C82+$C$1)&gt;AG$3,AG$3&gt;=$C$1),'General Inputs'!E$10*$H82,0))</f>
        <v>1.3653344924228252</v>
      </c>
      <c r="BC82" s="214">
        <f>IF(AND(($D82+$C$1)&gt;AH$3,AH$3&gt;=$C$1),'General Inputs'!F$10*$I82,IF(AND(($C82+$C$1)&gt;AH$3,AH$3&gt;=$C$1),'General Inputs'!F$10*$H82,0))</f>
        <v>1.3858145098091676</v>
      </c>
      <c r="BD82" s="214">
        <f>IF(AND(($D82+$C$1)&gt;AI$3,AI$3&gt;=$C$1),'General Inputs'!G$10*$I82,IF(AND(($C82+$C$1)&gt;AI$3,AI$3&gt;=$C$1),'General Inputs'!G$10*$H82,0))</f>
        <v>1.406601727456305</v>
      </c>
      <c r="BE82" s="214">
        <f>IF(AND(($D82+$C$1)&gt;AJ$3,AJ$3&gt;=$C$1),'General Inputs'!H$10*$I82,IF(AND(($C82+$C$1)&gt;AJ$3,AJ$3&gt;=$C$1),'General Inputs'!H$10*$H82,0))</f>
        <v>1.4277007533681494</v>
      </c>
      <c r="BF82" s="214">
        <f>IF(AND(($D82+$C$1)&gt;AK$3,AK$3&gt;=$C$1),'General Inputs'!I$10*$I82,IF(AND(($C82+$C$1)&gt;AK$3,AK$3&gt;=$C$1),'General Inputs'!I$10*$H82,0))</f>
        <v>1.4491162646686713</v>
      </c>
      <c r="BG82" s="214">
        <f>IF(AND(($D82+$C$1)&gt;AL$3,AL$3&gt;=$C$1),'General Inputs'!J$10*$I82,IF(AND(($C82+$C$1)&gt;AL$3,AL$3&gt;=$C$1),'General Inputs'!J$10*$H82,0))</f>
        <v>1.4708530086387013</v>
      </c>
      <c r="BH82" s="214">
        <f>IF(AND(($D82+$C$1)&gt;AM$3,AM$3&gt;=$C$1),'General Inputs'!K$10*$I82,IF(AND(($C82+$C$1)&gt;AM$3,AM$3&gt;=$C$1),'General Inputs'!K$10*$H82,0))</f>
        <v>1.4929158037682817</v>
      </c>
      <c r="BI82" s="214">
        <f>IF(AND(($D82+$C$1)&gt;AN$3,AN$3&gt;=$C$1),'General Inputs'!L$10*$I82,IF(AND(($C82+$C$1)&gt;AN$3,AN$3&gt;=$C$1),'General Inputs'!L$10*$H82,0))</f>
        <v>1.5153095408248058</v>
      </c>
      <c r="BJ82" s="214">
        <f>IF(AND(($D82+$C$1)&gt;AO$3,AO$3&gt;=$C$1),'General Inputs'!M$10*$I82,IF(AND(($C82+$C$1)&gt;AO$3,AO$3&gt;=$C$1),'General Inputs'!M$10*$H82,0))</f>
        <v>1.5380391839371779</v>
      </c>
      <c r="BK82" s="214">
        <f>IF(AND(($D82+$C$1)&gt;AP$3,AP$3&gt;=$C$1),'General Inputs'!N$10*$I82,IF(AND(($C82+$C$1)&gt;AP$3,AP$3&gt;=$C$1),'General Inputs'!N$10*$H82,0))</f>
        <v>1.5611097716962352</v>
      </c>
      <c r="BL82" s="214">
        <f>IF(AND(($D82+$C$1)&gt;AQ$3,AQ$3&gt;=$C$1),'General Inputs'!O$10*$I82,IF(AND(($C82+$C$1)&gt;AQ$3,AQ$3&gt;=$C$1),'General Inputs'!O$10*$H82,0))</f>
        <v>0</v>
      </c>
      <c r="BM82" s="214">
        <f>IF(AND(($D82+$C$1)&gt;AR$3,AR$3&gt;=$C$1),'General Inputs'!P$10*$I82,IF(AND(($C82+$C$1)&gt;AR$3,AR$3&gt;=$C$1),'General Inputs'!P$10*$H82,0))</f>
        <v>0</v>
      </c>
      <c r="BN82" s="214">
        <f>IF(AND(($D82+$C$1)&gt;AS$3,AS$3&gt;=$C$1),'General Inputs'!Q$10*$I82,IF(AND(($C82+$C$1)&gt;AS$3,AS$3&gt;=$C$1),'General Inputs'!Q$10*$H82,0))</f>
        <v>0</v>
      </c>
      <c r="BO82" s="214">
        <f>IF(AND(($D82+$C$1)&gt;AT$3,AT$3&gt;=$C$1),'General Inputs'!R$10*$I82,IF(AND(($C82+$C$1)&gt;AT$3,AT$3&gt;=$C$1),'General Inputs'!R$10*$H82,0))</f>
        <v>0</v>
      </c>
      <c r="BP82" s="214">
        <f>IF(AND(($D82+$C$1)&gt;AU$3,AU$3&gt;=$C$1),'General Inputs'!S$10*$I82,IF(AND(($C82+$C$1)&gt;AU$3,AU$3&gt;=$C$1),'General Inputs'!S$10*$H82,0))</f>
        <v>0</v>
      </c>
      <c r="BQ82" s="214">
        <f>IF(AND(($D82+$C$1)&gt;AV$3,AV$3&gt;=$C$1),'General Inputs'!T$10*$I82,IF(AND(($C82+$C$1)&gt;AV$3,AV$3&gt;=$C$1),'General Inputs'!T$10*$H82,0))</f>
        <v>0</v>
      </c>
      <c r="BR82" s="214">
        <f>IF(AND(($D82+$C$1)&gt;AW$3,AW$3&gt;=$C$1),'General Inputs'!U$10*$I82,IF(AND(($C82+$C$1)&gt;AW$3,AW$3&gt;=$C$1),'General Inputs'!U$10*$H82,0))</f>
        <v>0</v>
      </c>
      <c r="BS82" s="214">
        <f>IF(AND(($D82+$C$1)&gt;AX$3,AX$3&gt;=$C$1),'General Inputs'!V$10*$I82,IF(AND(($C82+$C$1)&gt;AX$3,AX$3&gt;=$C$1),'General Inputs'!V$10*$H82,0))</f>
        <v>0</v>
      </c>
      <c r="BT82" s="214">
        <f>IF(AND(($D82+$C$1)&gt;AY$3,AY$3&gt;=$C$1),'General Inputs'!W$10*$I82,IF(AND(($C82+$C$1)&gt;AY$3,AY$3&gt;=$C$1),'General Inputs'!W$10*$H82,0))</f>
        <v>0</v>
      </c>
    </row>
    <row r="83" spans="1:72">
      <c r="A83" s="342" t="s">
        <v>112</v>
      </c>
      <c r="B83" s="427" t="str">
        <f>Sources!B83</f>
        <v>LED Linear Replacement Lamp (≤4ft)</v>
      </c>
      <c r="C83" s="193">
        <f>Sources!C83</f>
        <v>16</v>
      </c>
      <c r="D83" s="193">
        <f>Sources!D83</f>
        <v>0</v>
      </c>
      <c r="F83" s="429">
        <f>Sources!F83*EnergyLineLoss</f>
        <v>261.42935624999996</v>
      </c>
      <c r="G83" s="429">
        <f>Sources!G83*EnergyLineLoss</f>
        <v>0</v>
      </c>
      <c r="H83" s="477">
        <f>Sources!H83*PeakLineLoss</f>
        <v>4.0424670000000003E-2</v>
      </c>
      <c r="I83" s="477">
        <f>Sources!I83*PeakLineLoss</f>
        <v>0</v>
      </c>
      <c r="K83" s="419">
        <f>Sources!J83</f>
        <v>9.5</v>
      </c>
      <c r="L83" s="419">
        <f>Sources!K83</f>
        <v>0</v>
      </c>
      <c r="N83" s="438">
        <f t="shared" si="26"/>
        <v>11.738967559262219</v>
      </c>
      <c r="P83" s="215">
        <f t="shared" si="27"/>
        <v>96.830949838921413</v>
      </c>
      <c r="Q83" s="215">
        <f t="shared" si="28"/>
        <v>5.6315564207175894</v>
      </c>
      <c r="R83" s="215">
        <f t="shared" si="29"/>
        <v>8.7284086732818817</v>
      </c>
      <c r="T83" s="214">
        <f t="shared" si="31"/>
        <v>0</v>
      </c>
      <c r="U83" s="214">
        <f t="shared" si="31"/>
        <v>9.5</v>
      </c>
      <c r="V83" s="214">
        <f t="shared" si="31"/>
        <v>0</v>
      </c>
      <c r="W83" s="214">
        <f t="shared" si="31"/>
        <v>0</v>
      </c>
      <c r="X83" s="214">
        <f t="shared" si="31"/>
        <v>0</v>
      </c>
      <c r="Y83" s="214">
        <f t="shared" si="31"/>
        <v>0</v>
      </c>
      <c r="Z83" s="214">
        <f t="shared" si="31"/>
        <v>0</v>
      </c>
      <c r="AA83" s="214">
        <f t="shared" si="31"/>
        <v>0</v>
      </c>
      <c r="AB83" s="214">
        <f t="shared" si="31"/>
        <v>0</v>
      </c>
      <c r="AC83" s="214">
        <f t="shared" si="31"/>
        <v>0</v>
      </c>
      <c r="AD83" s="214">
        <f t="shared" si="31"/>
        <v>0</v>
      </c>
      <c r="AF83" s="214">
        <f>IF(AND(($D83+$C$1)&gt;AF$3,AF$3&gt;=$C$1),'General Inputs'!D$9*$G83,IF(AND(($C83+$C$1)&gt;AF$3,AF$3&gt;=$C$1),'General Inputs'!D$9*$F83,0))</f>
        <v>0</v>
      </c>
      <c r="AG83" s="214">
        <f>IF(AND(($D83+$C$1)&gt;AG$3,AG$3&gt;=$C$1),'General Inputs'!E$9*$G83,IF(AND(($C83+$C$1)&gt;AG$3,AG$3&gt;=$C$1),'General Inputs'!E$9*$F83,0))</f>
        <v>10.56421735707905</v>
      </c>
      <c r="AH83" s="214">
        <f>IF(AND(($D83+$C$1)&gt;AH$3,AH$3&gt;=$C$1),'General Inputs'!F$9*$G83,IF(AND(($C83+$C$1)&gt;AH$3,AH$3&gt;=$C$1),'General Inputs'!F$9*$F83,0))</f>
        <v>10.722680617435234</v>
      </c>
      <c r="AI83" s="214">
        <f>IF(AND(($D83+$C$1)&gt;AI$3,AI$3&gt;=$C$1),'General Inputs'!G$9*$G83,IF(AND(($C83+$C$1)&gt;AI$3,AI$3&gt;=$C$1),'General Inputs'!G$9*$F83,0))</f>
        <v>10.883520826696762</v>
      </c>
      <c r="AJ83" s="214">
        <f>IF(AND(($D83+$C$1)&gt;AJ$3,AJ$3&gt;=$C$1),'General Inputs'!H$9*$G83,IF(AND(($C83+$C$1)&gt;AJ$3,AJ$3&gt;=$C$1),'General Inputs'!H$9*$F83,0))</f>
        <v>11.046773639097211</v>
      </c>
      <c r="AK83" s="214">
        <f>IF(AND(($D83+$C$1)&gt;AK$3,AK$3&gt;=$C$1),'General Inputs'!I$9*$G83,IF(AND(($C83+$C$1)&gt;AK$3,AK$3&gt;=$C$1),'General Inputs'!I$9*$F83,0))</f>
        <v>11.212475243683668</v>
      </c>
      <c r="AL83" s="214">
        <f>IF(AND(($D83+$C$1)&gt;AL$3,AL$3&gt;=$C$1),'General Inputs'!J$9*$G83,IF(AND(($C83+$C$1)&gt;AL$3,AL$3&gt;=$C$1),'General Inputs'!J$9*$F83,0))</f>
        <v>11.380662372338922</v>
      </c>
      <c r="AM83" s="214">
        <f>IF(AND(($D83+$C$1)&gt;AM$3,AM$3&gt;=$C$1),'General Inputs'!K$9*$G83,IF(AND(($C83+$C$1)&gt;AM$3,AM$3&gt;=$C$1),'General Inputs'!K$9*$F83,0))</f>
        <v>11.551372307924003</v>
      </c>
      <c r="AN83" s="214">
        <f>IF(AND(($D83+$C$1)&gt;AN$3,AN$3&gt;=$C$1),'General Inputs'!L$9*$G83,IF(AND(($C83+$C$1)&gt;AN$3,AN$3&gt;=$C$1),'General Inputs'!L$9*$F83,0))</f>
        <v>11.724642892542862</v>
      </c>
      <c r="AO83" s="214">
        <f>IF(AND(($D83+$C$1)&gt;AO$3,AO$3&gt;=$C$1),'General Inputs'!M$9*$G83,IF(AND(($C83+$C$1)&gt;AO$3,AO$3&gt;=$C$1),'General Inputs'!M$9*$F83,0))</f>
        <v>11.900512535931004</v>
      </c>
      <c r="AP83" s="214">
        <f>IF(AND(($D83+$C$1)&gt;AP$3,AP$3&gt;=$C$1),'General Inputs'!N$9*$G83,IF(AND(($C83+$C$1)&gt;AP$3,AP$3&gt;=$C$1),'General Inputs'!N$9*$F83,0))</f>
        <v>12.079020223969968</v>
      </c>
      <c r="AQ83" s="214">
        <f>IF(AND(($D83+$C$1)&gt;AQ$3,AQ$3&gt;=$C$1),'General Inputs'!O$9*$G83,IF(AND(($C83+$C$1)&gt;AQ$3,AQ$3&gt;=$C$1),'General Inputs'!O$9*$F83,0))</f>
        <v>12.260205527329516</v>
      </c>
      <c r="AR83" s="214">
        <f>IF(AND(($D83+$C$1)&gt;AR$3,AR$3&gt;=$C$1),'General Inputs'!P$9*$G83,IF(AND(($C83+$C$1)&gt;AR$3,AR$3&gt;=$C$1),'General Inputs'!P$9*$F83,0))</f>
        <v>12.444108610239457</v>
      </c>
      <c r="AS83" s="214">
        <f>IF(AND(($D83+$C$1)&gt;AS$3,AS$3&gt;=$C$1),'General Inputs'!Q$9*$G83,IF(AND(($C83+$C$1)&gt;AS$3,AS$3&gt;=$C$1),'General Inputs'!Q$9*$F83,0))</f>
        <v>12.630770239393049</v>
      </c>
      <c r="AT83" s="214">
        <f>IF(AND(($D83+$C$1)&gt;AT$3,AT$3&gt;=$C$1),'General Inputs'!R$9*$G83,IF(AND(($C83+$C$1)&gt;AT$3,AT$3&gt;=$C$1),'General Inputs'!R$9*$F83,0))</f>
        <v>12.820231792983943</v>
      </c>
      <c r="AU83" s="214">
        <f>IF(AND(($D83+$C$1)&gt;AU$3,AU$3&gt;=$C$1),'General Inputs'!S$9*$G83,IF(AND(($C83+$C$1)&gt;AU$3,AU$3&gt;=$C$1),'General Inputs'!S$9*$F83,0))</f>
        <v>13.012535269878702</v>
      </c>
      <c r="AV83" s="214">
        <f>IF(AND(($D83+$C$1)&gt;AV$3,AV$3&gt;=$C$1),'General Inputs'!T$9*$G83,IF(AND(($C83+$C$1)&gt;AV$3,AV$3&gt;=$C$1),'General Inputs'!T$9*$F83,0))</f>
        <v>13.207723298926881</v>
      </c>
      <c r="AW83" s="214">
        <f>IF(AND(($D83+$C$1)&gt;AW$3,AW$3&gt;=$C$1),'General Inputs'!U$9*$G83,IF(AND(($C83+$C$1)&gt;AW$3,AW$3&gt;=$C$1),'General Inputs'!U$9*$F83,0))</f>
        <v>0</v>
      </c>
      <c r="AX83" s="214">
        <f>IF(AND(($D83+$C$1)&gt;AX$3,AX$3&gt;=$C$1),'General Inputs'!V$9*$G83,IF(AND(($C83+$C$1)&gt;AX$3,AX$3&gt;=$C$1),'General Inputs'!V$9*$F83,0))</f>
        <v>0</v>
      </c>
      <c r="AY83" s="214">
        <f>IF(AND(($D83+$C$1)&gt;AY$3,AY$3&gt;=$C$1),'General Inputs'!W$9*$G83,IF(AND(($C83+$C$1)&gt;AY$3,AY$3&gt;=$C$1),'General Inputs'!W$9*$F83,0))</f>
        <v>0</v>
      </c>
      <c r="BA83" s="214">
        <f>IF(AND(($D83+$C$1)&gt;AF$3,AF$3&gt;=$C$1),'General Inputs'!D$10*$I83,IF(AND(($C83+$C$1)&gt;AF$3,AF$3&gt;=$C$1),'General Inputs'!D$10*$H83,0))</f>
        <v>0</v>
      </c>
      <c r="BB83" s="214">
        <f>IF(AND(($D83+$C$1)&gt;AG$3,AG$3&gt;=$C$1),'General Inputs'!E$10*$I83,IF(AND(($C83+$C$1)&gt;AG$3,AG$3&gt;=$C$1),'General Inputs'!E$10*$H83,0))</f>
        <v>0.61440052159027136</v>
      </c>
      <c r="BC83" s="214">
        <f>IF(AND(($D83+$C$1)&gt;AH$3,AH$3&gt;=$C$1),'General Inputs'!F$10*$I83,IF(AND(($C83+$C$1)&gt;AH$3,AH$3&gt;=$C$1),'General Inputs'!F$10*$H83,0))</f>
        <v>0.62361652941412549</v>
      </c>
      <c r="BD83" s="214">
        <f>IF(AND(($D83+$C$1)&gt;AI$3,AI$3&gt;=$C$1),'General Inputs'!G$10*$I83,IF(AND(($C83+$C$1)&gt;AI$3,AI$3&gt;=$C$1),'General Inputs'!G$10*$H83,0))</f>
        <v>0.63297077735533724</v>
      </c>
      <c r="BE83" s="214">
        <f>IF(AND(($D83+$C$1)&gt;AJ$3,AJ$3&gt;=$C$1),'General Inputs'!H$10*$I83,IF(AND(($C83+$C$1)&gt;AJ$3,AJ$3&gt;=$C$1),'General Inputs'!H$10*$H83,0))</f>
        <v>0.64246533901566727</v>
      </c>
      <c r="BF83" s="214">
        <f>IF(AND(($D83+$C$1)&gt;AK$3,AK$3&gt;=$C$1),'General Inputs'!I$10*$I83,IF(AND(($C83+$C$1)&gt;AK$3,AK$3&gt;=$C$1),'General Inputs'!I$10*$H83,0))</f>
        <v>0.65210231910090222</v>
      </c>
      <c r="BG83" s="214">
        <f>IF(AND(($D83+$C$1)&gt;AL$3,AL$3&gt;=$C$1),'General Inputs'!J$10*$I83,IF(AND(($C83+$C$1)&gt;AL$3,AL$3&gt;=$C$1),'General Inputs'!J$10*$H83,0))</f>
        <v>0.66188385388741566</v>
      </c>
      <c r="BH83" s="214">
        <f>IF(AND(($D83+$C$1)&gt;AM$3,AM$3&gt;=$C$1),'General Inputs'!K$10*$I83,IF(AND(($C83+$C$1)&gt;AM$3,AM$3&gt;=$C$1),'General Inputs'!K$10*$H83,0))</f>
        <v>0.67181211169572685</v>
      </c>
      <c r="BI83" s="214">
        <f>IF(AND(($D83+$C$1)&gt;AN$3,AN$3&gt;=$C$1),'General Inputs'!L$10*$I83,IF(AND(($C83+$C$1)&gt;AN$3,AN$3&gt;=$C$1),'General Inputs'!L$10*$H83,0))</f>
        <v>0.68188929337116266</v>
      </c>
      <c r="BJ83" s="214">
        <f>IF(AND(($D83+$C$1)&gt;AO$3,AO$3&gt;=$C$1),'General Inputs'!M$10*$I83,IF(AND(($C83+$C$1)&gt;AO$3,AO$3&gt;=$C$1),'General Inputs'!M$10*$H83,0))</f>
        <v>0.69211763277173011</v>
      </c>
      <c r="BK83" s="214">
        <f>IF(AND(($D83+$C$1)&gt;AP$3,AP$3&gt;=$C$1),'General Inputs'!N$10*$I83,IF(AND(($C83+$C$1)&gt;AP$3,AP$3&gt;=$C$1),'General Inputs'!N$10*$H83,0))</f>
        <v>0.7024993972633059</v>
      </c>
      <c r="BL83" s="214">
        <f>IF(AND(($D83+$C$1)&gt;AQ$3,AQ$3&gt;=$C$1),'General Inputs'!O$10*$I83,IF(AND(($C83+$C$1)&gt;AQ$3,AQ$3&gt;=$C$1),'General Inputs'!O$10*$H83,0))</f>
        <v>0.71303688822225542</v>
      </c>
      <c r="BM83" s="214">
        <f>IF(AND(($D83+$C$1)&gt;AR$3,AR$3&gt;=$C$1),'General Inputs'!P$10*$I83,IF(AND(($C83+$C$1)&gt;AR$3,AR$3&gt;=$C$1),'General Inputs'!P$10*$H83,0))</f>
        <v>0.72373244154558924</v>
      </c>
      <c r="BN83" s="214">
        <f>IF(AND(($D83+$C$1)&gt;AS$3,AS$3&gt;=$C$1),'General Inputs'!Q$10*$I83,IF(AND(($C83+$C$1)&gt;AS$3,AS$3&gt;=$C$1),'General Inputs'!Q$10*$H83,0))</f>
        <v>0.73458842816877301</v>
      </c>
      <c r="BO83" s="214">
        <f>IF(AND(($D83+$C$1)&gt;AT$3,AT$3&gt;=$C$1),'General Inputs'!R$10*$I83,IF(AND(($C83+$C$1)&gt;AT$3,AT$3&gt;=$C$1),'General Inputs'!R$10*$H83,0))</f>
        <v>0.7456072545913045</v>
      </c>
      <c r="BP83" s="214">
        <f>IF(AND(($D83+$C$1)&gt;AU$3,AU$3&gt;=$C$1),'General Inputs'!S$10*$I83,IF(AND(($C83+$C$1)&gt;AU$3,AU$3&gt;=$C$1),'General Inputs'!S$10*$H83,0))</f>
        <v>0.75679136341017406</v>
      </c>
      <c r="BQ83" s="214">
        <f>IF(AND(($D83+$C$1)&gt;AV$3,AV$3&gt;=$C$1),'General Inputs'!T$10*$I83,IF(AND(($C83+$C$1)&gt;AV$3,AV$3&gt;=$C$1),'General Inputs'!T$10*$H83,0))</f>
        <v>0.76814323386132655</v>
      </c>
      <c r="BR83" s="214">
        <f>IF(AND(($D83+$C$1)&gt;AW$3,AW$3&gt;=$C$1),'General Inputs'!U$10*$I83,IF(AND(($C83+$C$1)&gt;AW$3,AW$3&gt;=$C$1),'General Inputs'!U$10*$H83,0))</f>
        <v>0</v>
      </c>
      <c r="BS83" s="214">
        <f>IF(AND(($D83+$C$1)&gt;AX$3,AX$3&gt;=$C$1),'General Inputs'!V$10*$I83,IF(AND(($C83+$C$1)&gt;AX$3,AX$3&gt;=$C$1),'General Inputs'!V$10*$H83,0))</f>
        <v>0</v>
      </c>
      <c r="BT83" s="214">
        <f>IF(AND(($D83+$C$1)&gt;AY$3,AY$3&gt;=$C$1),'General Inputs'!W$10*$I83,IF(AND(($C83+$C$1)&gt;AY$3,AY$3&gt;=$C$1),'General Inputs'!W$10*$H83,0))</f>
        <v>0</v>
      </c>
    </row>
    <row r="84" spans="1:72">
      <c r="A84" s="342" t="s">
        <v>112</v>
      </c>
      <c r="B84" s="427" t="str">
        <f>Sources!B84</f>
        <v>LED Linear Replacement Lamp (5-8ft)</v>
      </c>
      <c r="C84" s="193">
        <f>Sources!C84</f>
        <v>16</v>
      </c>
      <c r="D84" s="193">
        <f>Sources!D84</f>
        <v>0</v>
      </c>
      <c r="F84" s="429">
        <f>Sources!F84*EnergyLineLoss</f>
        <v>319.52476875000002</v>
      </c>
      <c r="G84" s="429">
        <f>Sources!G84*EnergyLineLoss</f>
        <v>0</v>
      </c>
      <c r="H84" s="477">
        <f>Sources!H84*PeakLineLoss</f>
        <v>4.9407930000000003E-2</v>
      </c>
      <c r="I84" s="477">
        <f>Sources!I84*PeakLineLoss</f>
        <v>0</v>
      </c>
      <c r="K84" s="419">
        <f>Sources!J84</f>
        <v>9.5</v>
      </c>
      <c r="L84" s="419">
        <f>Sources!K84</f>
        <v>0</v>
      </c>
      <c r="N84" s="438">
        <f t="shared" si="26"/>
        <v>14.34762701687605</v>
      </c>
      <c r="P84" s="215">
        <f t="shared" si="27"/>
        <v>118.34893869201508</v>
      </c>
      <c r="Q84" s="215">
        <f t="shared" si="28"/>
        <v>6.8830134030992767</v>
      </c>
      <c r="R84" s="215">
        <f t="shared" si="29"/>
        <v>8.7284086732818817</v>
      </c>
      <c r="T84" s="214">
        <f t="shared" si="31"/>
        <v>0</v>
      </c>
      <c r="U84" s="214">
        <f t="shared" si="31"/>
        <v>9.5</v>
      </c>
      <c r="V84" s="214">
        <f t="shared" si="31"/>
        <v>0</v>
      </c>
      <c r="W84" s="214">
        <f t="shared" si="31"/>
        <v>0</v>
      </c>
      <c r="X84" s="214">
        <f t="shared" si="31"/>
        <v>0</v>
      </c>
      <c r="Y84" s="214">
        <f t="shared" si="31"/>
        <v>0</v>
      </c>
      <c r="Z84" s="214">
        <f t="shared" si="31"/>
        <v>0</v>
      </c>
      <c r="AA84" s="214">
        <f t="shared" si="31"/>
        <v>0</v>
      </c>
      <c r="AB84" s="214">
        <f t="shared" si="31"/>
        <v>0</v>
      </c>
      <c r="AC84" s="214">
        <f t="shared" si="31"/>
        <v>0</v>
      </c>
      <c r="AD84" s="214">
        <f t="shared" si="31"/>
        <v>0</v>
      </c>
      <c r="AF84" s="214">
        <f>IF(AND(($D84+$C$1)&gt;AF$3,AF$3&gt;=$C$1),'General Inputs'!D$9*$G84,IF(AND(($C84+$C$1)&gt;AF$3,AF$3&gt;=$C$1),'General Inputs'!D$9*$F84,0))</f>
        <v>0</v>
      </c>
      <c r="AG84" s="214">
        <f>IF(AND(($D84+$C$1)&gt;AG$3,AG$3&gt;=$C$1),'General Inputs'!E$9*$G84,IF(AND(($C84+$C$1)&gt;AG$3,AG$3&gt;=$C$1),'General Inputs'!E$9*$F84,0))</f>
        <v>12.91182121420773</v>
      </c>
      <c r="AH84" s="214">
        <f>IF(AND(($D84+$C$1)&gt;AH$3,AH$3&gt;=$C$1),'General Inputs'!F$9*$G84,IF(AND(($C84+$C$1)&gt;AH$3,AH$3&gt;=$C$1),'General Inputs'!F$9*$F84,0))</f>
        <v>13.105498532420844</v>
      </c>
      <c r="AI84" s="214">
        <f>IF(AND(($D84+$C$1)&gt;AI$3,AI$3&gt;=$C$1),'General Inputs'!G$9*$G84,IF(AND(($C84+$C$1)&gt;AI$3,AI$3&gt;=$C$1),'General Inputs'!G$9*$F84,0))</f>
        <v>13.302081010407155</v>
      </c>
      <c r="AJ84" s="214">
        <f>IF(AND(($D84+$C$1)&gt;AJ$3,AJ$3&gt;=$C$1),'General Inputs'!H$9*$G84,IF(AND(($C84+$C$1)&gt;AJ$3,AJ$3&gt;=$C$1),'General Inputs'!H$9*$F84,0))</f>
        <v>13.501612225563262</v>
      </c>
      <c r="AK84" s="214">
        <f>IF(AND(($D84+$C$1)&gt;AK$3,AK$3&gt;=$C$1),'General Inputs'!I$9*$G84,IF(AND(($C84+$C$1)&gt;AK$3,AK$3&gt;=$C$1),'General Inputs'!I$9*$F84,0))</f>
        <v>13.704136408946708</v>
      </c>
      <c r="AL84" s="214">
        <f>IF(AND(($D84+$C$1)&gt;AL$3,AL$3&gt;=$C$1),'General Inputs'!J$9*$G84,IF(AND(($C84+$C$1)&gt;AL$3,AL$3&gt;=$C$1),'General Inputs'!J$9*$F84,0))</f>
        <v>13.909698455080907</v>
      </c>
      <c r="AM84" s="214">
        <f>IF(AND(($D84+$C$1)&gt;AM$3,AM$3&gt;=$C$1),'General Inputs'!K$9*$G84,IF(AND(($C84+$C$1)&gt;AM$3,AM$3&gt;=$C$1),'General Inputs'!K$9*$F84,0))</f>
        <v>14.118343931907118</v>
      </c>
      <c r="AN84" s="214">
        <f>IF(AND(($D84+$C$1)&gt;AN$3,AN$3&gt;=$C$1),'General Inputs'!L$9*$G84,IF(AND(($C84+$C$1)&gt;AN$3,AN$3&gt;=$C$1),'General Inputs'!L$9*$F84,0))</f>
        <v>14.330119090885724</v>
      </c>
      <c r="AO84" s="214">
        <f>IF(AND(($D84+$C$1)&gt;AO$3,AO$3&gt;=$C$1),'General Inputs'!M$9*$G84,IF(AND(($C84+$C$1)&gt;AO$3,AO$3&gt;=$C$1),'General Inputs'!M$9*$F84,0))</f>
        <v>14.545070877249008</v>
      </c>
      <c r="AP84" s="214">
        <f>IF(AND(($D84+$C$1)&gt;AP$3,AP$3&gt;=$C$1),'General Inputs'!N$9*$G84,IF(AND(($C84+$C$1)&gt;AP$3,AP$3&gt;=$C$1),'General Inputs'!N$9*$F84,0))</f>
        <v>14.763246940407742</v>
      </c>
      <c r="AQ84" s="214">
        <f>IF(AND(($D84+$C$1)&gt;AQ$3,AQ$3&gt;=$C$1),'General Inputs'!O$9*$G84,IF(AND(($C84+$C$1)&gt;AQ$3,AQ$3&gt;=$C$1),'General Inputs'!O$9*$F84,0))</f>
        <v>14.984695644513856</v>
      </c>
      <c r="AR84" s="214">
        <f>IF(AND(($D84+$C$1)&gt;AR$3,AR$3&gt;=$C$1),'General Inputs'!P$9*$G84,IF(AND(($C84+$C$1)&gt;AR$3,AR$3&gt;=$C$1),'General Inputs'!P$9*$F84,0))</f>
        <v>15.209466079181563</v>
      </c>
      <c r="AS84" s="214">
        <f>IF(AND(($D84+$C$1)&gt;AS$3,AS$3&gt;=$C$1),'General Inputs'!Q$9*$G84,IF(AND(($C84+$C$1)&gt;AS$3,AS$3&gt;=$C$1),'General Inputs'!Q$9*$F84,0))</f>
        <v>15.437608070369285</v>
      </c>
      <c r="AT84" s="214">
        <f>IF(AND(($D84+$C$1)&gt;AT$3,AT$3&gt;=$C$1),'General Inputs'!R$9*$G84,IF(AND(($C84+$C$1)&gt;AT$3,AT$3&gt;=$C$1),'General Inputs'!R$9*$F84,0))</f>
        <v>15.669172191424824</v>
      </c>
      <c r="AU84" s="214">
        <f>IF(AND(($D84+$C$1)&gt;AU$3,AU$3&gt;=$C$1),'General Inputs'!S$9*$G84,IF(AND(($C84+$C$1)&gt;AU$3,AU$3&gt;=$C$1),'General Inputs'!S$9*$F84,0))</f>
        <v>15.904209774296195</v>
      </c>
      <c r="AV84" s="214">
        <f>IF(AND(($D84+$C$1)&gt;AV$3,AV$3&gt;=$C$1),'General Inputs'!T$9*$G84,IF(AND(($C84+$C$1)&gt;AV$3,AV$3&gt;=$C$1),'General Inputs'!T$9*$F84,0))</f>
        <v>16.142772920910637</v>
      </c>
      <c r="AW84" s="214">
        <f>IF(AND(($D84+$C$1)&gt;AW$3,AW$3&gt;=$C$1),'General Inputs'!U$9*$G84,IF(AND(($C84+$C$1)&gt;AW$3,AW$3&gt;=$C$1),'General Inputs'!U$9*$F84,0))</f>
        <v>0</v>
      </c>
      <c r="AX84" s="214">
        <f>IF(AND(($D84+$C$1)&gt;AX$3,AX$3&gt;=$C$1),'General Inputs'!V$9*$G84,IF(AND(($C84+$C$1)&gt;AX$3,AX$3&gt;=$C$1),'General Inputs'!V$9*$F84,0))</f>
        <v>0</v>
      </c>
      <c r="AY84" s="214">
        <f>IF(AND(($D84+$C$1)&gt;AY$3,AY$3&gt;=$C$1),'General Inputs'!W$9*$G84,IF(AND(($C84+$C$1)&gt;AY$3,AY$3&gt;=$C$1),'General Inputs'!W$9*$F84,0))</f>
        <v>0</v>
      </c>
      <c r="BA84" s="214">
        <f>IF(AND(($D84+$C$1)&gt;AF$3,AF$3&gt;=$C$1),'General Inputs'!D$10*$I84,IF(AND(($C84+$C$1)&gt;AF$3,AF$3&gt;=$C$1),'General Inputs'!D$10*$H84,0))</f>
        <v>0</v>
      </c>
      <c r="BB84" s="214">
        <f>IF(AND(($D84+$C$1)&gt;AG$3,AG$3&gt;=$C$1),'General Inputs'!E$10*$I84,IF(AND(($C84+$C$1)&gt;AG$3,AG$3&gt;=$C$1),'General Inputs'!E$10*$H84,0))</f>
        <v>0.75093397083255398</v>
      </c>
      <c r="BC84" s="214">
        <f>IF(AND(($D84+$C$1)&gt;AH$3,AH$3&gt;=$C$1),'General Inputs'!F$10*$I84,IF(AND(($C84+$C$1)&gt;AH$3,AH$3&gt;=$C$1),'General Inputs'!F$10*$H84,0))</f>
        <v>0.76219798039504216</v>
      </c>
      <c r="BD84" s="214">
        <f>IF(AND(($D84+$C$1)&gt;AI$3,AI$3&gt;=$C$1),'General Inputs'!G$10*$I84,IF(AND(($C84+$C$1)&gt;AI$3,AI$3&gt;=$C$1),'General Inputs'!G$10*$H84,0))</f>
        <v>0.77363095010096772</v>
      </c>
      <c r="BE84" s="214">
        <f>IF(AND(($D84+$C$1)&gt;AJ$3,AJ$3&gt;=$C$1),'General Inputs'!H$10*$I84,IF(AND(($C84+$C$1)&gt;AJ$3,AJ$3&gt;=$C$1),'General Inputs'!H$10*$H84,0))</f>
        <v>0.78523541435248223</v>
      </c>
      <c r="BF84" s="214">
        <f>IF(AND(($D84+$C$1)&gt;AK$3,AK$3&gt;=$C$1),'General Inputs'!I$10*$I84,IF(AND(($C84+$C$1)&gt;AK$3,AK$3&gt;=$C$1),'General Inputs'!I$10*$H84,0))</f>
        <v>0.79701394556776928</v>
      </c>
      <c r="BG84" s="214">
        <f>IF(AND(($D84+$C$1)&gt;AL$3,AL$3&gt;=$C$1),'General Inputs'!J$10*$I84,IF(AND(($C84+$C$1)&gt;AL$3,AL$3&gt;=$C$1),'General Inputs'!J$10*$H84,0))</f>
        <v>0.80896915475128572</v>
      </c>
      <c r="BH84" s="214">
        <f>IF(AND(($D84+$C$1)&gt;AM$3,AM$3&gt;=$C$1),'General Inputs'!K$10*$I84,IF(AND(($C84+$C$1)&gt;AM$3,AM$3&gt;=$C$1),'General Inputs'!K$10*$H84,0))</f>
        <v>0.82110369207255496</v>
      </c>
      <c r="BI84" s="214">
        <f>IF(AND(($D84+$C$1)&gt;AN$3,AN$3&gt;=$C$1),'General Inputs'!L$10*$I84,IF(AND(($C84+$C$1)&gt;AN$3,AN$3&gt;=$C$1),'General Inputs'!L$10*$H84,0))</f>
        <v>0.83342024745364329</v>
      </c>
      <c r="BJ84" s="214">
        <f>IF(AND(($D84+$C$1)&gt;AO$3,AO$3&gt;=$C$1),'General Inputs'!M$10*$I84,IF(AND(($C84+$C$1)&gt;AO$3,AO$3&gt;=$C$1),'General Inputs'!M$10*$H84,0))</f>
        <v>0.84592155116544787</v>
      </c>
      <c r="BK84" s="214">
        <f>IF(AND(($D84+$C$1)&gt;AP$3,AP$3&gt;=$C$1),'General Inputs'!N$10*$I84,IF(AND(($C84+$C$1)&gt;AP$3,AP$3&gt;=$C$1),'General Inputs'!N$10*$H84,0))</f>
        <v>0.85861037443292942</v>
      </c>
      <c r="BL84" s="214">
        <f>IF(AND(($D84+$C$1)&gt;AQ$3,AQ$3&gt;=$C$1),'General Inputs'!O$10*$I84,IF(AND(($C84+$C$1)&gt;AQ$3,AQ$3&gt;=$C$1),'General Inputs'!O$10*$H84,0))</f>
        <v>0.87148953004942331</v>
      </c>
      <c r="BM84" s="214">
        <f>IF(AND(($D84+$C$1)&gt;AR$3,AR$3&gt;=$C$1),'General Inputs'!P$10*$I84,IF(AND(($C84+$C$1)&gt;AR$3,AR$3&gt;=$C$1),'General Inputs'!P$10*$H84,0))</f>
        <v>0.88456187300016464</v>
      </c>
      <c r="BN84" s="214">
        <f>IF(AND(($D84+$C$1)&gt;AS$3,AS$3&gt;=$C$1),'General Inputs'!Q$10*$I84,IF(AND(($C84+$C$1)&gt;AS$3,AS$3&gt;=$C$1),'General Inputs'!Q$10*$H84,0))</f>
        <v>0.89783030109516704</v>
      </c>
      <c r="BO84" s="214">
        <f>IF(AND(($D84+$C$1)&gt;AT$3,AT$3&gt;=$C$1),'General Inputs'!R$10*$I84,IF(AND(($C84+$C$1)&gt;AT$3,AT$3&gt;=$C$1),'General Inputs'!R$10*$H84,0))</f>
        <v>0.91129775561159432</v>
      </c>
      <c r="BP84" s="214">
        <f>IF(AND(($D84+$C$1)&gt;AU$3,AU$3&gt;=$C$1),'General Inputs'!S$10*$I84,IF(AND(($C84+$C$1)&gt;AU$3,AU$3&gt;=$C$1),'General Inputs'!S$10*$H84,0))</f>
        <v>0.9249672219457683</v>
      </c>
      <c r="BQ84" s="214">
        <f>IF(AND(($D84+$C$1)&gt;AV$3,AV$3&gt;=$C$1),'General Inputs'!T$10*$I84,IF(AND(($C84+$C$1)&gt;AV$3,AV$3&gt;=$C$1),'General Inputs'!T$10*$H84,0))</f>
        <v>0.93884173027495466</v>
      </c>
      <c r="BR84" s="214">
        <f>IF(AND(($D84+$C$1)&gt;AW$3,AW$3&gt;=$C$1),'General Inputs'!U$10*$I84,IF(AND(($C84+$C$1)&gt;AW$3,AW$3&gt;=$C$1),'General Inputs'!U$10*$H84,0))</f>
        <v>0</v>
      </c>
      <c r="BS84" s="214">
        <f>IF(AND(($D84+$C$1)&gt;AX$3,AX$3&gt;=$C$1),'General Inputs'!V$10*$I84,IF(AND(($C84+$C$1)&gt;AX$3,AX$3&gt;=$C$1),'General Inputs'!V$10*$H84,0))</f>
        <v>0</v>
      </c>
      <c r="BT84" s="214">
        <f>IF(AND(($D84+$C$1)&gt;AY$3,AY$3&gt;=$C$1),'General Inputs'!W$10*$I84,IF(AND(($C84+$C$1)&gt;AY$3,AY$3&gt;=$C$1),'General Inputs'!W$10*$H84,0))</f>
        <v>0</v>
      </c>
    </row>
    <row r="85" spans="1:72">
      <c r="A85" s="342" t="s">
        <v>112</v>
      </c>
      <c r="B85" s="427" t="str">
        <f>Sources!B85</f>
        <v>≤25 W LED Fixtures (Exterior/Parking Garage)</v>
      </c>
      <c r="C85" s="193">
        <f>Sources!C85</f>
        <v>15</v>
      </c>
      <c r="D85" s="193">
        <f>Sources!D85</f>
        <v>0</v>
      </c>
      <c r="F85" s="429">
        <f>Sources!F85*EnergyLineLoss</f>
        <v>391.76436599999994</v>
      </c>
      <c r="G85" s="429">
        <f>Sources!G85*EnergyLineLoss</f>
        <v>0</v>
      </c>
      <c r="H85" s="477">
        <f>Sources!H85*PeakLineLoss</f>
        <v>0</v>
      </c>
      <c r="I85" s="477">
        <f>Sources!I85*PeakLineLoss</f>
        <v>0</v>
      </c>
      <c r="K85" s="419">
        <f>Sources!J85</f>
        <v>125</v>
      </c>
      <c r="L85" s="419">
        <f>Sources!K85</f>
        <v>0</v>
      </c>
      <c r="N85" s="438">
        <f t="shared" ref="N85:N87" si="32">IF(R85&gt;0,(P85+Q85)/R85,"n/a")</f>
        <v>1.2190265982737547</v>
      </c>
      <c r="P85" s="215">
        <f t="shared" ref="P85:P87" si="33">AF85+NPV(DiscountRate,AG85:AY85)</f>
        <v>140.00213596492037</v>
      </c>
      <c r="Q85" s="215">
        <f t="shared" ref="Q85:Q87" si="34">BA85+NPV(DiscountRate,BB85:BT85)</f>
        <v>0</v>
      </c>
      <c r="R85" s="215">
        <f t="shared" ref="R85:R87" si="35">T85+NPV(DiscountRate,U85:AD85)</f>
        <v>114.84748254318265</v>
      </c>
      <c r="T85" s="214">
        <f t="shared" si="31"/>
        <v>0</v>
      </c>
      <c r="U85" s="214">
        <f t="shared" si="31"/>
        <v>125</v>
      </c>
      <c r="V85" s="214">
        <f t="shared" si="31"/>
        <v>0</v>
      </c>
      <c r="W85" s="214">
        <f t="shared" si="31"/>
        <v>0</v>
      </c>
      <c r="X85" s="214">
        <f t="shared" si="31"/>
        <v>0</v>
      </c>
      <c r="Y85" s="214">
        <f t="shared" si="31"/>
        <v>0</v>
      </c>
      <c r="Z85" s="214">
        <f t="shared" si="31"/>
        <v>0</v>
      </c>
      <c r="AA85" s="214">
        <f t="shared" si="31"/>
        <v>0</v>
      </c>
      <c r="AB85" s="214">
        <f t="shared" si="31"/>
        <v>0</v>
      </c>
      <c r="AC85" s="214">
        <f t="shared" si="31"/>
        <v>0</v>
      </c>
      <c r="AD85" s="214">
        <f t="shared" si="31"/>
        <v>0</v>
      </c>
      <c r="AF85" s="214">
        <f>IF(AND(($D85+$C$1)&gt;AF$3,AF$3&gt;=$C$1),'General Inputs'!D$9*$G85,IF(AND(($C85+$C$1)&gt;AF$3,AF$3&gt;=$C$1),'General Inputs'!D$9*$F85,0))</f>
        <v>0</v>
      </c>
      <c r="AG85" s="214">
        <f>IF(AND(($D85+$C$1)&gt;AG$3,AG$3&gt;=$C$1),'General Inputs'!E$9*$G85,IF(AND(($C85+$C$1)&gt;AG$3,AG$3&gt;=$C$1),'General Inputs'!E$9*$F85,0))</f>
        <v>15.830983844157592</v>
      </c>
      <c r="AH85" s="214">
        <f>IF(AND(($D85+$C$1)&gt;AH$3,AH$3&gt;=$C$1),'General Inputs'!F$9*$G85,IF(AND(($C85+$C$1)&gt;AH$3,AH$3&gt;=$C$1),'General Inputs'!F$9*$F85,0))</f>
        <v>16.068448601819952</v>
      </c>
      <c r="AI85" s="214">
        <f>IF(AND(($D85+$C$1)&gt;AI$3,AI$3&gt;=$C$1),'General Inputs'!G$9*$G85,IF(AND(($C85+$C$1)&gt;AI$3,AI$3&gt;=$C$1),'General Inputs'!G$9*$F85,0))</f>
        <v>16.309475330847253</v>
      </c>
      <c r="AJ85" s="214">
        <f>IF(AND(($D85+$C$1)&gt;AJ$3,AJ$3&gt;=$C$1),'General Inputs'!H$9*$G85,IF(AND(($C85+$C$1)&gt;AJ$3,AJ$3&gt;=$C$1),'General Inputs'!H$9*$F85,0))</f>
        <v>16.554117460809959</v>
      </c>
      <c r="AK85" s="214">
        <f>IF(AND(($D85+$C$1)&gt;AK$3,AK$3&gt;=$C$1),'General Inputs'!I$9*$G85,IF(AND(($C85+$C$1)&gt;AK$3,AK$3&gt;=$C$1),'General Inputs'!I$9*$F85,0))</f>
        <v>16.802429222722104</v>
      </c>
      <c r="AL85" s="214">
        <f>IF(AND(($D85+$C$1)&gt;AL$3,AL$3&gt;=$C$1),'General Inputs'!J$9*$G85,IF(AND(($C85+$C$1)&gt;AL$3,AL$3&gt;=$C$1),'General Inputs'!J$9*$F85,0))</f>
        <v>17.054465661062935</v>
      </c>
      <c r="AM85" s="214">
        <f>IF(AND(($D85+$C$1)&gt;AM$3,AM$3&gt;=$C$1),'General Inputs'!K$9*$G85,IF(AND(($C85+$C$1)&gt;AM$3,AM$3&gt;=$C$1),'General Inputs'!K$9*$F85,0))</f>
        <v>17.310282645978877</v>
      </c>
      <c r="AN85" s="214">
        <f>IF(AND(($D85+$C$1)&gt;AN$3,AN$3&gt;=$C$1),'General Inputs'!L$9*$G85,IF(AND(($C85+$C$1)&gt;AN$3,AN$3&gt;=$C$1),'General Inputs'!L$9*$F85,0))</f>
        <v>17.569936885668557</v>
      </c>
      <c r="AO85" s="214">
        <f>IF(AND(($D85+$C$1)&gt;AO$3,AO$3&gt;=$C$1),'General Inputs'!M$9*$G85,IF(AND(($C85+$C$1)&gt;AO$3,AO$3&gt;=$C$1),'General Inputs'!M$9*$F85,0))</f>
        <v>17.833485938953583</v>
      </c>
      <c r="AP85" s="214">
        <f>IF(AND(($D85+$C$1)&gt;AP$3,AP$3&gt;=$C$1),'General Inputs'!N$9*$G85,IF(AND(($C85+$C$1)&gt;AP$3,AP$3&gt;=$C$1),'General Inputs'!N$9*$F85,0))</f>
        <v>18.100988228037885</v>
      </c>
      <c r="AQ85" s="214">
        <f>IF(AND(($D85+$C$1)&gt;AQ$3,AQ$3&gt;=$C$1),'General Inputs'!O$9*$G85,IF(AND(($C85+$C$1)&gt;AQ$3,AQ$3&gt;=$C$1),'General Inputs'!O$9*$F85,0))</f>
        <v>18.372503051458452</v>
      </c>
      <c r="AR85" s="214">
        <f>IF(AND(($D85+$C$1)&gt;AR$3,AR$3&gt;=$C$1),'General Inputs'!P$9*$G85,IF(AND(($C85+$C$1)&gt;AR$3,AR$3&gt;=$C$1),'General Inputs'!P$9*$F85,0))</f>
        <v>18.648090597230325</v>
      </c>
      <c r="AS85" s="214">
        <f>IF(AND(($D85+$C$1)&gt;AS$3,AS$3&gt;=$C$1),'General Inputs'!Q$9*$G85,IF(AND(($C85+$C$1)&gt;AS$3,AS$3&gt;=$C$1),'General Inputs'!Q$9*$F85,0))</f>
        <v>18.92781195618878</v>
      </c>
      <c r="AT85" s="214">
        <f>IF(AND(($D85+$C$1)&gt;AT$3,AT$3&gt;=$C$1),'General Inputs'!R$9*$G85,IF(AND(($C85+$C$1)&gt;AT$3,AT$3&gt;=$C$1),'General Inputs'!R$9*$F85,0))</f>
        <v>19.211729135531609</v>
      </c>
      <c r="AU85" s="214">
        <f>IF(AND(($D85+$C$1)&gt;AU$3,AU$3&gt;=$C$1),'General Inputs'!S$9*$G85,IF(AND(($C85+$C$1)&gt;AU$3,AU$3&gt;=$C$1),'General Inputs'!S$9*$F85,0))</f>
        <v>19.499905072564584</v>
      </c>
      <c r="AV85" s="214">
        <f>IF(AND(($D85+$C$1)&gt;AV$3,AV$3&gt;=$C$1),'General Inputs'!T$9*$G85,IF(AND(($C85+$C$1)&gt;AV$3,AV$3&gt;=$C$1),'General Inputs'!T$9*$F85,0))</f>
        <v>0</v>
      </c>
      <c r="AW85" s="214">
        <f>IF(AND(($D85+$C$1)&gt;AW$3,AW$3&gt;=$C$1),'General Inputs'!U$9*$G85,IF(AND(($C85+$C$1)&gt;AW$3,AW$3&gt;=$C$1),'General Inputs'!U$9*$F85,0))</f>
        <v>0</v>
      </c>
      <c r="AX85" s="214">
        <f>IF(AND(($D85+$C$1)&gt;AX$3,AX$3&gt;=$C$1),'General Inputs'!V$9*$G85,IF(AND(($C85+$C$1)&gt;AX$3,AX$3&gt;=$C$1),'General Inputs'!V$9*$F85,0))</f>
        <v>0</v>
      </c>
      <c r="AY85" s="214">
        <f>IF(AND(($D85+$C$1)&gt;AY$3,AY$3&gt;=$C$1),'General Inputs'!W$9*$G85,IF(AND(($C85+$C$1)&gt;AY$3,AY$3&gt;=$C$1),'General Inputs'!W$9*$F85,0))</f>
        <v>0</v>
      </c>
      <c r="BA85" s="214">
        <f>IF(AND(($D85+$C$1)&gt;AF$3,AF$3&gt;=$C$1),'General Inputs'!D$10*$I85,IF(AND(($C85+$C$1)&gt;AF$3,AF$3&gt;=$C$1),'General Inputs'!D$10*$H85,0))</f>
        <v>0</v>
      </c>
      <c r="BB85" s="214">
        <f>IF(AND(($D85+$C$1)&gt;AG$3,AG$3&gt;=$C$1),'General Inputs'!E$10*$I85,IF(AND(($C85+$C$1)&gt;AG$3,AG$3&gt;=$C$1),'General Inputs'!E$10*$H85,0))</f>
        <v>0</v>
      </c>
      <c r="BC85" s="214">
        <f>IF(AND(($D85+$C$1)&gt;AH$3,AH$3&gt;=$C$1),'General Inputs'!F$10*$I85,IF(AND(($C85+$C$1)&gt;AH$3,AH$3&gt;=$C$1),'General Inputs'!F$10*$H85,0))</f>
        <v>0</v>
      </c>
      <c r="BD85" s="214">
        <f>IF(AND(($D85+$C$1)&gt;AI$3,AI$3&gt;=$C$1),'General Inputs'!G$10*$I85,IF(AND(($C85+$C$1)&gt;AI$3,AI$3&gt;=$C$1),'General Inputs'!G$10*$H85,0))</f>
        <v>0</v>
      </c>
      <c r="BE85" s="214">
        <f>IF(AND(($D85+$C$1)&gt;AJ$3,AJ$3&gt;=$C$1),'General Inputs'!H$10*$I85,IF(AND(($C85+$C$1)&gt;AJ$3,AJ$3&gt;=$C$1),'General Inputs'!H$10*$H85,0))</f>
        <v>0</v>
      </c>
      <c r="BF85" s="214">
        <f>IF(AND(($D85+$C$1)&gt;AK$3,AK$3&gt;=$C$1),'General Inputs'!I$10*$I85,IF(AND(($C85+$C$1)&gt;AK$3,AK$3&gt;=$C$1),'General Inputs'!I$10*$H85,0))</f>
        <v>0</v>
      </c>
      <c r="BG85" s="214">
        <f>IF(AND(($D85+$C$1)&gt;AL$3,AL$3&gt;=$C$1),'General Inputs'!J$10*$I85,IF(AND(($C85+$C$1)&gt;AL$3,AL$3&gt;=$C$1),'General Inputs'!J$10*$H85,0))</f>
        <v>0</v>
      </c>
      <c r="BH85" s="214">
        <f>IF(AND(($D85+$C$1)&gt;AM$3,AM$3&gt;=$C$1),'General Inputs'!K$10*$I85,IF(AND(($C85+$C$1)&gt;AM$3,AM$3&gt;=$C$1),'General Inputs'!K$10*$H85,0))</f>
        <v>0</v>
      </c>
      <c r="BI85" s="214">
        <f>IF(AND(($D85+$C$1)&gt;AN$3,AN$3&gt;=$C$1),'General Inputs'!L$10*$I85,IF(AND(($C85+$C$1)&gt;AN$3,AN$3&gt;=$C$1),'General Inputs'!L$10*$H85,0))</f>
        <v>0</v>
      </c>
      <c r="BJ85" s="214">
        <f>IF(AND(($D85+$C$1)&gt;AO$3,AO$3&gt;=$C$1),'General Inputs'!M$10*$I85,IF(AND(($C85+$C$1)&gt;AO$3,AO$3&gt;=$C$1),'General Inputs'!M$10*$H85,0))</f>
        <v>0</v>
      </c>
      <c r="BK85" s="214">
        <f>IF(AND(($D85+$C$1)&gt;AP$3,AP$3&gt;=$C$1),'General Inputs'!N$10*$I85,IF(AND(($C85+$C$1)&gt;AP$3,AP$3&gt;=$C$1),'General Inputs'!N$10*$H85,0))</f>
        <v>0</v>
      </c>
      <c r="BL85" s="214">
        <f>IF(AND(($D85+$C$1)&gt;AQ$3,AQ$3&gt;=$C$1),'General Inputs'!O$10*$I85,IF(AND(($C85+$C$1)&gt;AQ$3,AQ$3&gt;=$C$1),'General Inputs'!O$10*$H85,0))</f>
        <v>0</v>
      </c>
      <c r="BM85" s="214">
        <f>IF(AND(($D85+$C$1)&gt;AR$3,AR$3&gt;=$C$1),'General Inputs'!P$10*$I85,IF(AND(($C85+$C$1)&gt;AR$3,AR$3&gt;=$C$1),'General Inputs'!P$10*$H85,0))</f>
        <v>0</v>
      </c>
      <c r="BN85" s="214">
        <f>IF(AND(($D85+$C$1)&gt;AS$3,AS$3&gt;=$C$1),'General Inputs'!Q$10*$I85,IF(AND(($C85+$C$1)&gt;AS$3,AS$3&gt;=$C$1),'General Inputs'!Q$10*$H85,0))</f>
        <v>0</v>
      </c>
      <c r="BO85" s="214">
        <f>IF(AND(($D85+$C$1)&gt;AT$3,AT$3&gt;=$C$1),'General Inputs'!R$10*$I85,IF(AND(($C85+$C$1)&gt;AT$3,AT$3&gt;=$C$1),'General Inputs'!R$10*$H85,0))</f>
        <v>0</v>
      </c>
      <c r="BP85" s="214">
        <f>IF(AND(($D85+$C$1)&gt;AU$3,AU$3&gt;=$C$1),'General Inputs'!S$10*$I85,IF(AND(($C85+$C$1)&gt;AU$3,AU$3&gt;=$C$1),'General Inputs'!S$10*$H85,0))</f>
        <v>0</v>
      </c>
      <c r="BQ85" s="214">
        <f>IF(AND(($D85+$C$1)&gt;AV$3,AV$3&gt;=$C$1),'General Inputs'!T$10*$I85,IF(AND(($C85+$C$1)&gt;AV$3,AV$3&gt;=$C$1),'General Inputs'!T$10*$H85,0))</f>
        <v>0</v>
      </c>
      <c r="BR85" s="214">
        <f>IF(AND(($D85+$C$1)&gt;AW$3,AW$3&gt;=$C$1),'General Inputs'!U$10*$I85,IF(AND(($C85+$C$1)&gt;AW$3,AW$3&gt;=$C$1),'General Inputs'!U$10*$H85,0))</f>
        <v>0</v>
      </c>
      <c r="BS85" s="214">
        <f>IF(AND(($D85+$C$1)&gt;AX$3,AX$3&gt;=$C$1),'General Inputs'!V$10*$I85,IF(AND(($C85+$C$1)&gt;AX$3,AX$3&gt;=$C$1),'General Inputs'!V$10*$H85,0))</f>
        <v>0</v>
      </c>
      <c r="BT85" s="214">
        <f>IF(AND(($D85+$C$1)&gt;AY$3,AY$3&gt;=$C$1),'General Inputs'!W$10*$I85,IF(AND(($C85+$C$1)&gt;AY$3,AY$3&gt;=$C$1),'General Inputs'!W$10*$H85,0))</f>
        <v>0</v>
      </c>
    </row>
    <row r="86" spans="1:72">
      <c r="A86" s="342" t="s">
        <v>112</v>
      </c>
      <c r="B86" s="427" t="str">
        <f>Sources!B86</f>
        <v>25≤60 W LED Fixtures (Exterior/Parking Garage)</v>
      </c>
      <c r="C86" s="193">
        <f>Sources!C86</f>
        <v>15</v>
      </c>
      <c r="D86" s="193">
        <f>Sources!D86</f>
        <v>0</v>
      </c>
      <c r="F86" s="429">
        <f>Sources!F86*EnergyLineLoss</f>
        <v>483.31195200000002</v>
      </c>
      <c r="G86" s="429">
        <f>Sources!G86*EnergyLineLoss</f>
        <v>0</v>
      </c>
      <c r="H86" s="477">
        <f>Sources!H86*PeakLineLoss</f>
        <v>0</v>
      </c>
      <c r="I86" s="477">
        <f>Sources!I86*PeakLineLoss</f>
        <v>0</v>
      </c>
      <c r="K86" s="419">
        <f>Sources!J86</f>
        <v>250</v>
      </c>
      <c r="L86" s="419">
        <f>Sources!K86</f>
        <v>0</v>
      </c>
      <c r="N86" s="438">
        <f t="shared" si="32"/>
        <v>0.75194450527387724</v>
      </c>
      <c r="P86" s="215">
        <f t="shared" si="33"/>
        <v>172.71786688576745</v>
      </c>
      <c r="Q86" s="215">
        <f t="shared" si="34"/>
        <v>0</v>
      </c>
      <c r="R86" s="215">
        <f t="shared" si="35"/>
        <v>229.6949650863653</v>
      </c>
      <c r="T86" s="214">
        <f t="shared" si="31"/>
        <v>0</v>
      </c>
      <c r="U86" s="214">
        <f t="shared" si="31"/>
        <v>250</v>
      </c>
      <c r="V86" s="214">
        <f t="shared" si="31"/>
        <v>0</v>
      </c>
      <c r="W86" s="214">
        <f t="shared" si="31"/>
        <v>0</v>
      </c>
      <c r="X86" s="214">
        <f t="shared" si="31"/>
        <v>0</v>
      </c>
      <c r="Y86" s="214">
        <f t="shared" si="31"/>
        <v>0</v>
      </c>
      <c r="Z86" s="214">
        <f t="shared" si="31"/>
        <v>0</v>
      </c>
      <c r="AA86" s="214">
        <f t="shared" si="31"/>
        <v>0</v>
      </c>
      <c r="AB86" s="214">
        <f t="shared" si="31"/>
        <v>0</v>
      </c>
      <c r="AC86" s="214">
        <f t="shared" si="31"/>
        <v>0</v>
      </c>
      <c r="AD86" s="214">
        <f t="shared" si="31"/>
        <v>0</v>
      </c>
      <c r="AF86" s="214">
        <f>IF(AND(($D86+$C$1)&gt;AF$3,AF$3&gt;=$C$1),'General Inputs'!D$9*$G86,IF(AND(($C86+$C$1)&gt;AF$3,AF$3&gt;=$C$1),'General Inputs'!D$9*$F86,0))</f>
        <v>0</v>
      </c>
      <c r="AG86" s="214">
        <f>IF(AND(($D86+$C$1)&gt;AG$3,AG$3&gt;=$C$1),'General Inputs'!E$9*$G86,IF(AND(($C86+$C$1)&gt;AG$3,AG$3&gt;=$C$1),'General Inputs'!E$9*$F86,0))</f>
        <v>19.530371743407287</v>
      </c>
      <c r="AH86" s="214">
        <f>IF(AND(($D86+$C$1)&gt;AH$3,AH$3&gt;=$C$1),'General Inputs'!F$9*$G86,IF(AND(($C86+$C$1)&gt;AH$3,AH$3&gt;=$C$1),'General Inputs'!F$9*$F86,0))</f>
        <v>19.823327319558395</v>
      </c>
      <c r="AI86" s="214">
        <f>IF(AND(($D86+$C$1)&gt;AI$3,AI$3&gt;=$C$1),'General Inputs'!G$9*$G86,IF(AND(($C86+$C$1)&gt;AI$3,AI$3&gt;=$C$1),'General Inputs'!G$9*$F86,0))</f>
        <v>20.12067722935177</v>
      </c>
      <c r="AJ86" s="214">
        <f>IF(AND(($D86+$C$1)&gt;AJ$3,AJ$3&gt;=$C$1),'General Inputs'!H$9*$G86,IF(AND(($C86+$C$1)&gt;AJ$3,AJ$3&gt;=$C$1),'General Inputs'!H$9*$F86,0))</f>
        <v>20.422487387792042</v>
      </c>
      <c r="AK86" s="214">
        <f>IF(AND(($D86+$C$1)&gt;AK$3,AK$3&gt;=$C$1),'General Inputs'!I$9*$G86,IF(AND(($C86+$C$1)&gt;AK$3,AK$3&gt;=$C$1),'General Inputs'!I$9*$F86,0))</f>
        <v>20.728824698608921</v>
      </c>
      <c r="AL86" s="214">
        <f>IF(AND(($D86+$C$1)&gt;AL$3,AL$3&gt;=$C$1),'General Inputs'!J$9*$G86,IF(AND(($C86+$C$1)&gt;AL$3,AL$3&gt;=$C$1),'General Inputs'!J$9*$F86,0))</f>
        <v>21.039757069088051</v>
      </c>
      <c r="AM86" s="214">
        <f>IF(AND(($D86+$C$1)&gt;AM$3,AM$3&gt;=$C$1),'General Inputs'!K$9*$G86,IF(AND(($C86+$C$1)&gt;AM$3,AM$3&gt;=$C$1),'General Inputs'!K$9*$F86,0))</f>
        <v>21.35535342512437</v>
      </c>
      <c r="AN86" s="214">
        <f>IF(AND(($D86+$C$1)&gt;AN$3,AN$3&gt;=$C$1),'General Inputs'!L$9*$G86,IF(AND(($C86+$C$1)&gt;AN$3,AN$3&gt;=$C$1),'General Inputs'!L$9*$F86,0))</f>
        <v>21.675683726501234</v>
      </c>
      <c r="AO86" s="214">
        <f>IF(AND(($D86+$C$1)&gt;AO$3,AO$3&gt;=$C$1),'General Inputs'!M$9*$G86,IF(AND(($C86+$C$1)&gt;AO$3,AO$3&gt;=$C$1),'General Inputs'!M$9*$F86,0))</f>
        <v>22.000818982398748</v>
      </c>
      <c r="AP86" s="214">
        <f>IF(AND(($D86+$C$1)&gt;AP$3,AP$3&gt;=$C$1),'General Inputs'!N$9*$G86,IF(AND(($C86+$C$1)&gt;AP$3,AP$3&gt;=$C$1),'General Inputs'!N$9*$F86,0))</f>
        <v>22.330831267134727</v>
      </c>
      <c r="AQ86" s="214">
        <f>IF(AND(($D86+$C$1)&gt;AQ$3,AQ$3&gt;=$C$1),'General Inputs'!O$9*$G86,IF(AND(($C86+$C$1)&gt;AQ$3,AQ$3&gt;=$C$1),'General Inputs'!O$9*$F86,0))</f>
        <v>22.665793736141744</v>
      </c>
      <c r="AR86" s="214">
        <f>IF(AND(($D86+$C$1)&gt;AR$3,AR$3&gt;=$C$1),'General Inputs'!P$9*$G86,IF(AND(($C86+$C$1)&gt;AR$3,AR$3&gt;=$C$1),'General Inputs'!P$9*$F86,0))</f>
        <v>23.005780642183868</v>
      </c>
      <c r="AS86" s="214">
        <f>IF(AND(($D86+$C$1)&gt;AS$3,AS$3&gt;=$C$1),'General Inputs'!Q$9*$G86,IF(AND(($C86+$C$1)&gt;AS$3,AS$3&gt;=$C$1),'General Inputs'!Q$9*$F86,0))</f>
        <v>23.350867351816625</v>
      </c>
      <c r="AT86" s="214">
        <f>IF(AND(($D86+$C$1)&gt;AT$3,AT$3&gt;=$C$1),'General Inputs'!R$9*$G86,IF(AND(($C86+$C$1)&gt;AT$3,AT$3&gt;=$C$1),'General Inputs'!R$9*$F86,0))</f>
        <v>23.701130362093874</v>
      </c>
      <c r="AU86" s="214">
        <f>IF(AND(($D86+$C$1)&gt;AU$3,AU$3&gt;=$C$1),'General Inputs'!S$9*$G86,IF(AND(($C86+$C$1)&gt;AU$3,AU$3&gt;=$C$1),'General Inputs'!S$9*$F86,0))</f>
        <v>24.056647317525282</v>
      </c>
      <c r="AV86" s="214">
        <f>IF(AND(($D86+$C$1)&gt;AV$3,AV$3&gt;=$C$1),'General Inputs'!T$9*$G86,IF(AND(($C86+$C$1)&gt;AV$3,AV$3&gt;=$C$1),'General Inputs'!T$9*$F86,0))</f>
        <v>0</v>
      </c>
      <c r="AW86" s="214">
        <f>IF(AND(($D86+$C$1)&gt;AW$3,AW$3&gt;=$C$1),'General Inputs'!U$9*$G86,IF(AND(($C86+$C$1)&gt;AW$3,AW$3&gt;=$C$1),'General Inputs'!U$9*$F86,0))</f>
        <v>0</v>
      </c>
      <c r="AX86" s="214">
        <f>IF(AND(($D86+$C$1)&gt;AX$3,AX$3&gt;=$C$1),'General Inputs'!V$9*$G86,IF(AND(($C86+$C$1)&gt;AX$3,AX$3&gt;=$C$1),'General Inputs'!V$9*$F86,0))</f>
        <v>0</v>
      </c>
      <c r="AY86" s="214">
        <f>IF(AND(($D86+$C$1)&gt;AY$3,AY$3&gt;=$C$1),'General Inputs'!W$9*$G86,IF(AND(($C86+$C$1)&gt;AY$3,AY$3&gt;=$C$1),'General Inputs'!W$9*$F86,0))</f>
        <v>0</v>
      </c>
      <c r="BA86" s="214">
        <f>IF(AND(($D86+$C$1)&gt;AF$3,AF$3&gt;=$C$1),'General Inputs'!D$10*$I86,IF(AND(($C86+$C$1)&gt;AF$3,AF$3&gt;=$C$1),'General Inputs'!D$10*$H86,0))</f>
        <v>0</v>
      </c>
      <c r="BB86" s="214">
        <f>IF(AND(($D86+$C$1)&gt;AG$3,AG$3&gt;=$C$1),'General Inputs'!E$10*$I86,IF(AND(($C86+$C$1)&gt;AG$3,AG$3&gt;=$C$1),'General Inputs'!E$10*$H86,0))</f>
        <v>0</v>
      </c>
      <c r="BC86" s="214">
        <f>IF(AND(($D86+$C$1)&gt;AH$3,AH$3&gt;=$C$1),'General Inputs'!F$10*$I86,IF(AND(($C86+$C$1)&gt;AH$3,AH$3&gt;=$C$1),'General Inputs'!F$10*$H86,0))</f>
        <v>0</v>
      </c>
      <c r="BD86" s="214">
        <f>IF(AND(($D86+$C$1)&gt;AI$3,AI$3&gt;=$C$1),'General Inputs'!G$10*$I86,IF(AND(($C86+$C$1)&gt;AI$3,AI$3&gt;=$C$1),'General Inputs'!G$10*$H86,0))</f>
        <v>0</v>
      </c>
      <c r="BE86" s="214">
        <f>IF(AND(($D86+$C$1)&gt;AJ$3,AJ$3&gt;=$C$1),'General Inputs'!H$10*$I86,IF(AND(($C86+$C$1)&gt;AJ$3,AJ$3&gt;=$C$1),'General Inputs'!H$10*$H86,0))</f>
        <v>0</v>
      </c>
      <c r="BF86" s="214">
        <f>IF(AND(($D86+$C$1)&gt;AK$3,AK$3&gt;=$C$1),'General Inputs'!I$10*$I86,IF(AND(($C86+$C$1)&gt;AK$3,AK$3&gt;=$C$1),'General Inputs'!I$10*$H86,0))</f>
        <v>0</v>
      </c>
      <c r="BG86" s="214">
        <f>IF(AND(($D86+$C$1)&gt;AL$3,AL$3&gt;=$C$1),'General Inputs'!J$10*$I86,IF(AND(($C86+$C$1)&gt;AL$3,AL$3&gt;=$C$1),'General Inputs'!J$10*$H86,0))</f>
        <v>0</v>
      </c>
      <c r="BH86" s="214">
        <f>IF(AND(($D86+$C$1)&gt;AM$3,AM$3&gt;=$C$1),'General Inputs'!K$10*$I86,IF(AND(($C86+$C$1)&gt;AM$3,AM$3&gt;=$C$1),'General Inputs'!K$10*$H86,0))</f>
        <v>0</v>
      </c>
      <c r="BI86" s="214">
        <f>IF(AND(($D86+$C$1)&gt;AN$3,AN$3&gt;=$C$1),'General Inputs'!L$10*$I86,IF(AND(($C86+$C$1)&gt;AN$3,AN$3&gt;=$C$1),'General Inputs'!L$10*$H86,0))</f>
        <v>0</v>
      </c>
      <c r="BJ86" s="214">
        <f>IF(AND(($D86+$C$1)&gt;AO$3,AO$3&gt;=$C$1),'General Inputs'!M$10*$I86,IF(AND(($C86+$C$1)&gt;AO$3,AO$3&gt;=$C$1),'General Inputs'!M$10*$H86,0))</f>
        <v>0</v>
      </c>
      <c r="BK86" s="214">
        <f>IF(AND(($D86+$C$1)&gt;AP$3,AP$3&gt;=$C$1),'General Inputs'!N$10*$I86,IF(AND(($C86+$C$1)&gt;AP$3,AP$3&gt;=$C$1),'General Inputs'!N$10*$H86,0))</f>
        <v>0</v>
      </c>
      <c r="BL86" s="214">
        <f>IF(AND(($D86+$C$1)&gt;AQ$3,AQ$3&gt;=$C$1),'General Inputs'!O$10*$I86,IF(AND(($C86+$C$1)&gt;AQ$3,AQ$3&gt;=$C$1),'General Inputs'!O$10*$H86,0))</f>
        <v>0</v>
      </c>
      <c r="BM86" s="214">
        <f>IF(AND(($D86+$C$1)&gt;AR$3,AR$3&gt;=$C$1),'General Inputs'!P$10*$I86,IF(AND(($C86+$C$1)&gt;AR$3,AR$3&gt;=$C$1),'General Inputs'!P$10*$H86,0))</f>
        <v>0</v>
      </c>
      <c r="BN86" s="214">
        <f>IF(AND(($D86+$C$1)&gt;AS$3,AS$3&gt;=$C$1),'General Inputs'!Q$10*$I86,IF(AND(($C86+$C$1)&gt;AS$3,AS$3&gt;=$C$1),'General Inputs'!Q$10*$H86,0))</f>
        <v>0</v>
      </c>
      <c r="BO86" s="214">
        <f>IF(AND(($D86+$C$1)&gt;AT$3,AT$3&gt;=$C$1),'General Inputs'!R$10*$I86,IF(AND(($C86+$C$1)&gt;AT$3,AT$3&gt;=$C$1),'General Inputs'!R$10*$H86,0))</f>
        <v>0</v>
      </c>
      <c r="BP86" s="214">
        <f>IF(AND(($D86+$C$1)&gt;AU$3,AU$3&gt;=$C$1),'General Inputs'!S$10*$I86,IF(AND(($C86+$C$1)&gt;AU$3,AU$3&gt;=$C$1),'General Inputs'!S$10*$H86,0))</f>
        <v>0</v>
      </c>
      <c r="BQ86" s="214">
        <f>IF(AND(($D86+$C$1)&gt;AV$3,AV$3&gt;=$C$1),'General Inputs'!T$10*$I86,IF(AND(($C86+$C$1)&gt;AV$3,AV$3&gt;=$C$1),'General Inputs'!T$10*$H86,0))</f>
        <v>0</v>
      </c>
      <c r="BR86" s="214">
        <f>IF(AND(($D86+$C$1)&gt;AW$3,AW$3&gt;=$C$1),'General Inputs'!U$10*$I86,IF(AND(($C86+$C$1)&gt;AW$3,AW$3&gt;=$C$1),'General Inputs'!U$10*$H86,0))</f>
        <v>0</v>
      </c>
      <c r="BS86" s="214">
        <f>IF(AND(($D86+$C$1)&gt;AX$3,AX$3&gt;=$C$1),'General Inputs'!V$10*$I86,IF(AND(($C86+$C$1)&gt;AX$3,AX$3&gt;=$C$1),'General Inputs'!V$10*$H86,0))</f>
        <v>0</v>
      </c>
      <c r="BT86" s="214">
        <f>IF(AND(($D86+$C$1)&gt;AY$3,AY$3&gt;=$C$1),'General Inputs'!W$10*$I86,IF(AND(($C86+$C$1)&gt;AY$3,AY$3&gt;=$C$1),'General Inputs'!W$10*$H86,0))</f>
        <v>0</v>
      </c>
    </row>
    <row r="87" spans="1:72">
      <c r="A87" s="342" t="s">
        <v>112</v>
      </c>
      <c r="B87" s="427" t="str">
        <f>Sources!B87</f>
        <v>60≤155 W LED Fixtures (Exterior/Parking Garage)</v>
      </c>
      <c r="C87" s="193">
        <f>Sources!C87</f>
        <v>15</v>
      </c>
      <c r="D87" s="193">
        <f>Sources!D87</f>
        <v>0</v>
      </c>
      <c r="F87" s="429">
        <f>Sources!F87*EnergyLineLoss</f>
        <v>906.58054799999979</v>
      </c>
      <c r="G87" s="429">
        <f>Sources!G87*EnergyLineLoss</f>
        <v>0</v>
      </c>
      <c r="H87" s="477">
        <f>Sources!H87*PeakLineLoss</f>
        <v>0</v>
      </c>
      <c r="I87" s="477">
        <f>Sources!I87*PeakLineLoss</f>
        <v>0</v>
      </c>
      <c r="K87" s="419">
        <f>Sources!J87</f>
        <v>375</v>
      </c>
      <c r="L87" s="419">
        <f>Sources!K87</f>
        <v>0</v>
      </c>
      <c r="N87" s="438">
        <f t="shared" si="32"/>
        <v>0.94031506129851905</v>
      </c>
      <c r="P87" s="215">
        <f t="shared" si="33"/>
        <v>323.97845276272017</v>
      </c>
      <c r="Q87" s="215">
        <f t="shared" si="34"/>
        <v>0</v>
      </c>
      <c r="R87" s="215">
        <f t="shared" si="35"/>
        <v>344.54244762954795</v>
      </c>
      <c r="T87" s="214">
        <f t="shared" si="31"/>
        <v>0</v>
      </c>
      <c r="U87" s="214">
        <f t="shared" si="31"/>
        <v>375</v>
      </c>
      <c r="V87" s="214">
        <f t="shared" si="31"/>
        <v>0</v>
      </c>
      <c r="W87" s="214">
        <f t="shared" si="31"/>
        <v>0</v>
      </c>
      <c r="X87" s="214">
        <f t="shared" si="31"/>
        <v>0</v>
      </c>
      <c r="Y87" s="214">
        <f t="shared" si="31"/>
        <v>0</v>
      </c>
      <c r="Z87" s="214">
        <f t="shared" si="31"/>
        <v>0</v>
      </c>
      <c r="AA87" s="214">
        <f t="shared" si="31"/>
        <v>0</v>
      </c>
      <c r="AB87" s="214">
        <f t="shared" si="31"/>
        <v>0</v>
      </c>
      <c r="AC87" s="214">
        <f t="shared" si="31"/>
        <v>0</v>
      </c>
      <c r="AD87" s="214">
        <f t="shared" si="31"/>
        <v>0</v>
      </c>
      <c r="AF87" s="214">
        <f>IF(AND(($D87+$C$1)&gt;AF$3,AF$3&gt;=$C$1),'General Inputs'!D$9*$G87,IF(AND(($C87+$C$1)&gt;AF$3,AF$3&gt;=$C$1),'General Inputs'!D$9*$F87,0))</f>
        <v>0</v>
      </c>
      <c r="AG87" s="214">
        <f>IF(AND(($D87+$C$1)&gt;AG$3,AG$3&gt;=$C$1),'General Inputs'!E$9*$G87,IF(AND(($C87+$C$1)&gt;AG$3,AG$3&gt;=$C$1),'General Inputs'!E$9*$F87,0))</f>
        <v>36.634424297832986</v>
      </c>
      <c r="AH87" s="214">
        <f>IF(AND(($D87+$C$1)&gt;AH$3,AH$3&gt;=$C$1),'General Inputs'!F$9*$G87,IF(AND(($C87+$C$1)&gt;AH$3,AH$3&gt;=$C$1),'General Inputs'!F$9*$F87,0))</f>
        <v>37.183940662300479</v>
      </c>
      <c r="AI87" s="214">
        <f>IF(AND(($D87+$C$1)&gt;AI$3,AI$3&gt;=$C$1),'General Inputs'!G$9*$G87,IF(AND(($C87+$C$1)&gt;AI$3,AI$3&gt;=$C$1),'General Inputs'!G$9*$F87,0))</f>
        <v>37.741699772234981</v>
      </c>
      <c r="AJ87" s="214">
        <f>IF(AND(($D87+$C$1)&gt;AJ$3,AJ$3&gt;=$C$1),'General Inputs'!H$9*$G87,IF(AND(($C87+$C$1)&gt;AJ$3,AJ$3&gt;=$C$1),'General Inputs'!H$9*$F87,0))</f>
        <v>38.307825268818497</v>
      </c>
      <c r="AK87" s="214">
        <f>IF(AND(($D87+$C$1)&gt;AK$3,AK$3&gt;=$C$1),'General Inputs'!I$9*$G87,IF(AND(($C87+$C$1)&gt;AK$3,AK$3&gt;=$C$1),'General Inputs'!I$9*$F87,0))</f>
        <v>38.882442647850773</v>
      </c>
      <c r="AL87" s="214">
        <f>IF(AND(($D87+$C$1)&gt;AL$3,AL$3&gt;=$C$1),'General Inputs'!J$9*$G87,IF(AND(($C87+$C$1)&gt;AL$3,AL$3&gt;=$C$1),'General Inputs'!J$9*$F87,0))</f>
        <v>39.465679287568527</v>
      </c>
      <c r="AM87" s="214">
        <f>IF(AND(($D87+$C$1)&gt;AM$3,AM$3&gt;=$C$1),'General Inputs'!K$9*$G87,IF(AND(($C87+$C$1)&gt;AM$3,AM$3&gt;=$C$1),'General Inputs'!K$9*$F87,0))</f>
        <v>40.057664476882046</v>
      </c>
      <c r="AN87" s="214">
        <f>IF(AND(($D87+$C$1)&gt;AN$3,AN$3&gt;=$C$1),'General Inputs'!L$9*$G87,IF(AND(($C87+$C$1)&gt;AN$3,AN$3&gt;=$C$1),'General Inputs'!L$9*$F87,0))</f>
        <v>40.658529444035274</v>
      </c>
      <c r="AO87" s="214">
        <f>IF(AND(($D87+$C$1)&gt;AO$3,AO$3&gt;=$C$1),'General Inputs'!M$9*$G87,IF(AND(($C87+$C$1)&gt;AO$3,AO$3&gt;=$C$1),'General Inputs'!M$9*$F87,0))</f>
        <v>41.268407385695802</v>
      </c>
      <c r="AP87" s="214">
        <f>IF(AND(($D87+$C$1)&gt;AP$3,AP$3&gt;=$C$1),'General Inputs'!N$9*$G87,IF(AND(($C87+$C$1)&gt;AP$3,AP$3&gt;=$C$1),'General Inputs'!N$9*$F87,0))</f>
        <v>41.887433496481236</v>
      </c>
      <c r="AQ87" s="214">
        <f>IF(AND(($D87+$C$1)&gt;AQ$3,AQ$3&gt;=$C$1),'General Inputs'!O$9*$G87,IF(AND(($C87+$C$1)&gt;AQ$3,AQ$3&gt;=$C$1),'General Inputs'!O$9*$F87,0))</f>
        <v>42.515744998928447</v>
      </c>
      <c r="AR87" s="214">
        <f>IF(AND(($D87+$C$1)&gt;AR$3,AR$3&gt;=$C$1),'General Inputs'!P$9*$G87,IF(AND(($C87+$C$1)&gt;AR$3,AR$3&gt;=$C$1),'General Inputs'!P$9*$F87,0))</f>
        <v>43.153481173912368</v>
      </c>
      <c r="AS87" s="214">
        <f>IF(AND(($D87+$C$1)&gt;AS$3,AS$3&gt;=$C$1),'General Inputs'!Q$9*$G87,IF(AND(($C87+$C$1)&gt;AS$3,AS$3&gt;=$C$1),'General Inputs'!Q$9*$F87,0))</f>
        <v>43.800783391521051</v>
      </c>
      <c r="AT87" s="214">
        <f>IF(AND(($D87+$C$1)&gt;AT$3,AT$3&gt;=$C$1),'General Inputs'!R$9*$G87,IF(AND(($C87+$C$1)&gt;AT$3,AT$3&gt;=$C$1),'General Inputs'!R$9*$F87,0))</f>
        <v>44.457795142393863</v>
      </c>
      <c r="AU87" s="214">
        <f>IF(AND(($D87+$C$1)&gt;AU$3,AU$3&gt;=$C$1),'General Inputs'!S$9*$G87,IF(AND(($C87+$C$1)&gt;AU$3,AU$3&gt;=$C$1),'General Inputs'!S$9*$F87,0))</f>
        <v>45.124662069529769</v>
      </c>
      <c r="AV87" s="214">
        <f>IF(AND(($D87+$C$1)&gt;AV$3,AV$3&gt;=$C$1),'General Inputs'!T$9*$G87,IF(AND(($C87+$C$1)&gt;AV$3,AV$3&gt;=$C$1),'General Inputs'!T$9*$F87,0))</f>
        <v>0</v>
      </c>
      <c r="AW87" s="214">
        <f>IF(AND(($D87+$C$1)&gt;AW$3,AW$3&gt;=$C$1),'General Inputs'!U$9*$G87,IF(AND(($C87+$C$1)&gt;AW$3,AW$3&gt;=$C$1),'General Inputs'!U$9*$F87,0))</f>
        <v>0</v>
      </c>
      <c r="AX87" s="214">
        <f>IF(AND(($D87+$C$1)&gt;AX$3,AX$3&gt;=$C$1),'General Inputs'!V$9*$G87,IF(AND(($C87+$C$1)&gt;AX$3,AX$3&gt;=$C$1),'General Inputs'!V$9*$F87,0))</f>
        <v>0</v>
      </c>
      <c r="AY87" s="214">
        <f>IF(AND(($D87+$C$1)&gt;AY$3,AY$3&gt;=$C$1),'General Inputs'!W$9*$G87,IF(AND(($C87+$C$1)&gt;AY$3,AY$3&gt;=$C$1),'General Inputs'!W$9*$F87,0))</f>
        <v>0</v>
      </c>
      <c r="BA87" s="214">
        <f>IF(AND(($D87+$C$1)&gt;AF$3,AF$3&gt;=$C$1),'General Inputs'!D$10*$I87,IF(AND(($C87+$C$1)&gt;AF$3,AF$3&gt;=$C$1),'General Inputs'!D$10*$H87,0))</f>
        <v>0</v>
      </c>
      <c r="BB87" s="214">
        <f>IF(AND(($D87+$C$1)&gt;AG$3,AG$3&gt;=$C$1),'General Inputs'!E$10*$I87,IF(AND(($C87+$C$1)&gt;AG$3,AG$3&gt;=$C$1),'General Inputs'!E$10*$H87,0))</f>
        <v>0</v>
      </c>
      <c r="BC87" s="214">
        <f>IF(AND(($D87+$C$1)&gt;AH$3,AH$3&gt;=$C$1),'General Inputs'!F$10*$I87,IF(AND(($C87+$C$1)&gt;AH$3,AH$3&gt;=$C$1),'General Inputs'!F$10*$H87,0))</f>
        <v>0</v>
      </c>
      <c r="BD87" s="214">
        <f>IF(AND(($D87+$C$1)&gt;AI$3,AI$3&gt;=$C$1),'General Inputs'!G$10*$I87,IF(AND(($C87+$C$1)&gt;AI$3,AI$3&gt;=$C$1),'General Inputs'!G$10*$H87,0))</f>
        <v>0</v>
      </c>
      <c r="BE87" s="214">
        <f>IF(AND(($D87+$C$1)&gt;AJ$3,AJ$3&gt;=$C$1),'General Inputs'!H$10*$I87,IF(AND(($C87+$C$1)&gt;AJ$3,AJ$3&gt;=$C$1),'General Inputs'!H$10*$H87,0))</f>
        <v>0</v>
      </c>
      <c r="BF87" s="214">
        <f>IF(AND(($D87+$C$1)&gt;AK$3,AK$3&gt;=$C$1),'General Inputs'!I$10*$I87,IF(AND(($C87+$C$1)&gt;AK$3,AK$3&gt;=$C$1),'General Inputs'!I$10*$H87,0))</f>
        <v>0</v>
      </c>
      <c r="BG87" s="214">
        <f>IF(AND(($D87+$C$1)&gt;AL$3,AL$3&gt;=$C$1),'General Inputs'!J$10*$I87,IF(AND(($C87+$C$1)&gt;AL$3,AL$3&gt;=$C$1),'General Inputs'!J$10*$H87,0))</f>
        <v>0</v>
      </c>
      <c r="BH87" s="214">
        <f>IF(AND(($D87+$C$1)&gt;AM$3,AM$3&gt;=$C$1),'General Inputs'!K$10*$I87,IF(AND(($C87+$C$1)&gt;AM$3,AM$3&gt;=$C$1),'General Inputs'!K$10*$H87,0))</f>
        <v>0</v>
      </c>
      <c r="BI87" s="214">
        <f>IF(AND(($D87+$C$1)&gt;AN$3,AN$3&gt;=$C$1),'General Inputs'!L$10*$I87,IF(AND(($C87+$C$1)&gt;AN$3,AN$3&gt;=$C$1),'General Inputs'!L$10*$H87,0))</f>
        <v>0</v>
      </c>
      <c r="BJ87" s="214">
        <f>IF(AND(($D87+$C$1)&gt;AO$3,AO$3&gt;=$C$1),'General Inputs'!M$10*$I87,IF(AND(($C87+$C$1)&gt;AO$3,AO$3&gt;=$C$1),'General Inputs'!M$10*$H87,0))</f>
        <v>0</v>
      </c>
      <c r="BK87" s="214">
        <f>IF(AND(($D87+$C$1)&gt;AP$3,AP$3&gt;=$C$1),'General Inputs'!N$10*$I87,IF(AND(($C87+$C$1)&gt;AP$3,AP$3&gt;=$C$1),'General Inputs'!N$10*$H87,0))</f>
        <v>0</v>
      </c>
      <c r="BL87" s="214">
        <f>IF(AND(($D87+$C$1)&gt;AQ$3,AQ$3&gt;=$C$1),'General Inputs'!O$10*$I87,IF(AND(($C87+$C$1)&gt;AQ$3,AQ$3&gt;=$C$1),'General Inputs'!O$10*$H87,0))</f>
        <v>0</v>
      </c>
      <c r="BM87" s="214">
        <f>IF(AND(($D87+$C$1)&gt;AR$3,AR$3&gt;=$C$1),'General Inputs'!P$10*$I87,IF(AND(($C87+$C$1)&gt;AR$3,AR$3&gt;=$C$1),'General Inputs'!P$10*$H87,0))</f>
        <v>0</v>
      </c>
      <c r="BN87" s="214">
        <f>IF(AND(($D87+$C$1)&gt;AS$3,AS$3&gt;=$C$1),'General Inputs'!Q$10*$I87,IF(AND(($C87+$C$1)&gt;AS$3,AS$3&gt;=$C$1),'General Inputs'!Q$10*$H87,0))</f>
        <v>0</v>
      </c>
      <c r="BO87" s="214">
        <f>IF(AND(($D87+$C$1)&gt;AT$3,AT$3&gt;=$C$1),'General Inputs'!R$10*$I87,IF(AND(($C87+$C$1)&gt;AT$3,AT$3&gt;=$C$1),'General Inputs'!R$10*$H87,0))</f>
        <v>0</v>
      </c>
      <c r="BP87" s="214">
        <f>IF(AND(($D87+$C$1)&gt;AU$3,AU$3&gt;=$C$1),'General Inputs'!S$10*$I87,IF(AND(($C87+$C$1)&gt;AU$3,AU$3&gt;=$C$1),'General Inputs'!S$10*$H87,0))</f>
        <v>0</v>
      </c>
      <c r="BQ87" s="214">
        <f>IF(AND(($D87+$C$1)&gt;AV$3,AV$3&gt;=$C$1),'General Inputs'!T$10*$I87,IF(AND(($C87+$C$1)&gt;AV$3,AV$3&gt;=$C$1),'General Inputs'!T$10*$H87,0))</f>
        <v>0</v>
      </c>
      <c r="BR87" s="214">
        <f>IF(AND(($D87+$C$1)&gt;AW$3,AW$3&gt;=$C$1),'General Inputs'!U$10*$I87,IF(AND(($C87+$C$1)&gt;AW$3,AW$3&gt;=$C$1),'General Inputs'!U$10*$H87,0))</f>
        <v>0</v>
      </c>
      <c r="BS87" s="214">
        <f>IF(AND(($D87+$C$1)&gt;AX$3,AX$3&gt;=$C$1),'General Inputs'!V$10*$I87,IF(AND(($C87+$C$1)&gt;AX$3,AX$3&gt;=$C$1),'General Inputs'!V$10*$H87,0))</f>
        <v>0</v>
      </c>
      <c r="BT87" s="214">
        <f>IF(AND(($D87+$C$1)&gt;AY$3,AY$3&gt;=$C$1),'General Inputs'!W$10*$I87,IF(AND(($C87+$C$1)&gt;AY$3,AY$3&gt;=$C$1),'General Inputs'!W$10*$H87,0))</f>
        <v>0</v>
      </c>
    </row>
    <row r="88" spans="1:72">
      <c r="A88" s="342" t="s">
        <v>112</v>
      </c>
      <c r="B88" s="427" t="str">
        <f>Sources!B88</f>
        <v>CAC 65 - 135 kBtuh</v>
      </c>
      <c r="C88" s="193">
        <f>Sources!C88</f>
        <v>15</v>
      </c>
      <c r="D88" s="193">
        <f>Sources!D88</f>
        <v>0</v>
      </c>
      <c r="F88" s="429">
        <f>Sources!F88*EnergyLineLoss</f>
        <v>198.99711538461537</v>
      </c>
      <c r="G88" s="429">
        <f>Sources!G88*EnergyLineLoss</f>
        <v>0</v>
      </c>
      <c r="H88" s="477">
        <f>Sources!H88*PeakLineLoss</f>
        <v>0.30638173076923075</v>
      </c>
      <c r="I88" s="477">
        <f>Sources!I88*PeakLineLoss</f>
        <v>0</v>
      </c>
      <c r="K88" s="419">
        <f>Sources!J88</f>
        <v>700</v>
      </c>
      <c r="L88" s="419">
        <f>Sources!K88</f>
        <v>0</v>
      </c>
      <c r="N88" s="438">
        <f t="shared" ref="N88:N104" si="36">IF(R88&gt;0,(P88+Q88)/R88,"n/a")</f>
        <v>0.17460271972213626</v>
      </c>
      <c r="P88" s="215">
        <f t="shared" ref="P88:P104" si="37">AF88+NPV(DiscountRate,AG88:AY88)</f>
        <v>71.114229936634587</v>
      </c>
      <c r="Q88" s="215">
        <f t="shared" ref="Q88:Q104" si="38">BA88+NPV(DiscountRate,BB88:BT88)</f>
        <v>41.180793772934848</v>
      </c>
      <c r="R88" s="215">
        <f t="shared" ref="R88:R104" si="39">T88+NPV(DiscountRate,U88:AD88)</f>
        <v>643.1459022418228</v>
      </c>
      <c r="T88" s="214">
        <f t="shared" ref="T88:AD104" si="40">IF($C$1=T$3,$K88,IF($D88+$C$1=T$3,-$L88,0))</f>
        <v>0</v>
      </c>
      <c r="U88" s="214">
        <f t="shared" si="40"/>
        <v>700</v>
      </c>
      <c r="V88" s="214">
        <f t="shared" si="40"/>
        <v>0</v>
      </c>
      <c r="W88" s="214">
        <f t="shared" si="40"/>
        <v>0</v>
      </c>
      <c r="X88" s="214">
        <f t="shared" si="40"/>
        <v>0</v>
      </c>
      <c r="Y88" s="214">
        <f t="shared" si="40"/>
        <v>0</v>
      </c>
      <c r="Z88" s="214">
        <f t="shared" si="40"/>
        <v>0</v>
      </c>
      <c r="AA88" s="214">
        <f t="shared" si="40"/>
        <v>0</v>
      </c>
      <c r="AB88" s="214">
        <f t="shared" si="40"/>
        <v>0</v>
      </c>
      <c r="AC88" s="214">
        <f t="shared" si="40"/>
        <v>0</v>
      </c>
      <c r="AD88" s="214">
        <f t="shared" si="40"/>
        <v>0</v>
      </c>
      <c r="AF88" s="214">
        <f>IF(AND(($D88+$C$1)&gt;AF$3,AF$3&gt;=$C$1),'General Inputs'!D$9*$G88,IF(AND(($C88+$C$1)&gt;AF$3,AF$3&gt;=$C$1),'General Inputs'!D$9*$F88,0))</f>
        <v>0</v>
      </c>
      <c r="AG88" s="214">
        <f>IF(AND(($D88+$C$1)&gt;AG$3,AG$3&gt;=$C$1),'General Inputs'!E$9*$G88,IF(AND(($C88+$C$1)&gt;AG$3,AG$3&gt;=$C$1),'General Inputs'!E$9*$F88,0))</f>
        <v>8.0413646367413882</v>
      </c>
      <c r="AH88" s="214">
        <f>IF(AND(($D88+$C$1)&gt;AH$3,AH$3&gt;=$C$1),'General Inputs'!F$9*$G88,IF(AND(($C88+$C$1)&gt;AH$3,AH$3&gt;=$C$1),'General Inputs'!F$9*$F88,0))</f>
        <v>8.1619851062925086</v>
      </c>
      <c r="AI88" s="214">
        <f>IF(AND(($D88+$C$1)&gt;AI$3,AI$3&gt;=$C$1),'General Inputs'!G$9*$G88,IF(AND(($C88+$C$1)&gt;AI$3,AI$3&gt;=$C$1),'General Inputs'!G$9*$F88,0))</f>
        <v>8.284414882886896</v>
      </c>
      <c r="AJ88" s="214">
        <f>IF(AND(($D88+$C$1)&gt;AJ$3,AJ$3&gt;=$C$1),'General Inputs'!H$9*$G88,IF(AND(($C88+$C$1)&gt;AJ$3,AJ$3&gt;=$C$1),'General Inputs'!H$9*$F88,0))</f>
        <v>8.4086811061301976</v>
      </c>
      <c r="AK88" s="214">
        <f>IF(AND(($D88+$C$1)&gt;AK$3,AK$3&gt;=$C$1),'General Inputs'!I$9*$G88,IF(AND(($C88+$C$1)&gt;AK$3,AK$3&gt;=$C$1),'General Inputs'!I$9*$F88,0))</f>
        <v>8.5348113227221489</v>
      </c>
      <c r="AL88" s="214">
        <f>IF(AND(($D88+$C$1)&gt;AL$3,AL$3&gt;=$C$1),'General Inputs'!J$9*$G88,IF(AND(($C88+$C$1)&gt;AL$3,AL$3&gt;=$C$1),'General Inputs'!J$9*$F88,0))</f>
        <v>8.6628334925629815</v>
      </c>
      <c r="AM88" s="214">
        <f>IF(AND(($D88+$C$1)&gt;AM$3,AM$3&gt;=$C$1),'General Inputs'!K$9*$G88,IF(AND(($C88+$C$1)&gt;AM$3,AM$3&gt;=$C$1),'General Inputs'!K$9*$F88,0))</f>
        <v>8.7927759949514233</v>
      </c>
      <c r="AN88" s="214">
        <f>IF(AND(($D88+$C$1)&gt;AN$3,AN$3&gt;=$C$1),'General Inputs'!L$9*$G88,IF(AND(($C88+$C$1)&gt;AN$3,AN$3&gt;=$C$1),'General Inputs'!L$9*$F88,0))</f>
        <v>8.9246676348756946</v>
      </c>
      <c r="AO88" s="214">
        <f>IF(AND(($D88+$C$1)&gt;AO$3,AO$3&gt;=$C$1),'General Inputs'!M$9*$G88,IF(AND(($C88+$C$1)&gt;AO$3,AO$3&gt;=$C$1),'General Inputs'!M$9*$F88,0))</f>
        <v>9.0585376493988292</v>
      </c>
      <c r="AP88" s="214">
        <f>IF(AND(($D88+$C$1)&gt;AP$3,AP$3&gt;=$C$1),'General Inputs'!N$9*$G88,IF(AND(($C88+$C$1)&gt;AP$3,AP$3&gt;=$C$1),'General Inputs'!N$9*$F88,0))</f>
        <v>9.1944157141398115</v>
      </c>
      <c r="AQ88" s="214">
        <f>IF(AND(($D88+$C$1)&gt;AQ$3,AQ$3&gt;=$C$1),'General Inputs'!O$9*$G88,IF(AND(($C88+$C$1)&gt;AQ$3,AQ$3&gt;=$C$1),'General Inputs'!O$9*$F88,0))</f>
        <v>9.3323319498519073</v>
      </c>
      <c r="AR88" s="214">
        <f>IF(AND(($D88+$C$1)&gt;AR$3,AR$3&gt;=$C$1),'General Inputs'!P$9*$G88,IF(AND(($C88+$C$1)&gt;AR$3,AR$3&gt;=$C$1),'General Inputs'!P$9*$F88,0))</f>
        <v>9.4723169290996836</v>
      </c>
      <c r="AS88" s="214">
        <f>IF(AND(($D88+$C$1)&gt;AS$3,AS$3&gt;=$C$1),'General Inputs'!Q$9*$G88,IF(AND(($C88+$C$1)&gt;AS$3,AS$3&gt;=$C$1),'General Inputs'!Q$9*$F88,0))</f>
        <v>9.6144016830361796</v>
      </c>
      <c r="AT88" s="214">
        <f>IF(AND(($D88+$C$1)&gt;AT$3,AT$3&gt;=$C$1),'General Inputs'!R$9*$G88,IF(AND(($C88+$C$1)&gt;AT$3,AT$3&gt;=$C$1),'General Inputs'!R$9*$F88,0))</f>
        <v>9.7586177082817205</v>
      </c>
      <c r="AU88" s="214">
        <f>IF(AND(($D88+$C$1)&gt;AU$3,AU$3&gt;=$C$1),'General Inputs'!S$9*$G88,IF(AND(($C88+$C$1)&gt;AU$3,AU$3&gt;=$C$1),'General Inputs'!S$9*$F88,0))</f>
        <v>9.9049969739059467</v>
      </c>
      <c r="AV88" s="214">
        <f>IF(AND(($D88+$C$1)&gt;AV$3,AV$3&gt;=$C$1),'General Inputs'!T$9*$G88,IF(AND(($C88+$C$1)&gt;AV$3,AV$3&gt;=$C$1),'General Inputs'!T$9*$F88,0))</f>
        <v>0</v>
      </c>
      <c r="AW88" s="214">
        <f>IF(AND(($D88+$C$1)&gt;AW$3,AW$3&gt;=$C$1),'General Inputs'!U$9*$G88,IF(AND(($C88+$C$1)&gt;AW$3,AW$3&gt;=$C$1),'General Inputs'!U$9*$F88,0))</f>
        <v>0</v>
      </c>
      <c r="AX88" s="214">
        <f>IF(AND(($D88+$C$1)&gt;AX$3,AX$3&gt;=$C$1),'General Inputs'!V$9*$G88,IF(AND(($C88+$C$1)&gt;AX$3,AX$3&gt;=$C$1),'General Inputs'!V$9*$F88,0))</f>
        <v>0</v>
      </c>
      <c r="AY88" s="214">
        <f>IF(AND(($D88+$C$1)&gt;AY$3,AY$3&gt;=$C$1),'General Inputs'!W$9*$G88,IF(AND(($C88+$C$1)&gt;AY$3,AY$3&gt;=$C$1),'General Inputs'!W$9*$F88,0))</f>
        <v>0</v>
      </c>
      <c r="BA88" s="214">
        <f>IF(AND(($D88+$C$1)&gt;AF$3,AF$3&gt;=$C$1),'General Inputs'!D$10*$I88,IF(AND(($C88+$C$1)&gt;AF$3,AF$3&gt;=$C$1),'General Inputs'!D$10*$H88,0))</f>
        <v>0</v>
      </c>
      <c r="BB88" s="214">
        <f>IF(AND(($D88+$C$1)&gt;AG$3,AG$3&gt;=$C$1),'General Inputs'!E$10*$I88,IF(AND(($C88+$C$1)&gt;AG$3,AG$3&gt;=$C$1),'General Inputs'!E$10*$H88,0))</f>
        <v>4.656589532835901</v>
      </c>
      <c r="BC88" s="214">
        <f>IF(AND(($D88+$C$1)&gt;AH$3,AH$3&gt;=$C$1),'General Inputs'!F$10*$I88,IF(AND(($C88+$C$1)&gt;AH$3,AH$3&gt;=$C$1),'General Inputs'!F$10*$H88,0))</f>
        <v>4.7264383758284394</v>
      </c>
      <c r="BD88" s="214">
        <f>IF(AND(($D88+$C$1)&gt;AI$3,AI$3&gt;=$C$1),'General Inputs'!G$10*$I88,IF(AND(($C88+$C$1)&gt;AI$3,AI$3&gt;=$C$1),'General Inputs'!G$10*$H88,0))</f>
        <v>4.7973349514658654</v>
      </c>
      <c r="BE88" s="214">
        <f>IF(AND(($D88+$C$1)&gt;AJ$3,AJ$3&gt;=$C$1),'General Inputs'!H$10*$I88,IF(AND(($C88+$C$1)&gt;AJ$3,AJ$3&gt;=$C$1),'General Inputs'!H$10*$H88,0))</f>
        <v>4.8692949757378532</v>
      </c>
      <c r="BF88" s="214">
        <f>IF(AND(($D88+$C$1)&gt;AK$3,AK$3&gt;=$C$1),'General Inputs'!I$10*$I88,IF(AND(($C88+$C$1)&gt;AK$3,AK$3&gt;=$C$1),'General Inputs'!I$10*$H88,0))</f>
        <v>4.9423344003739205</v>
      </c>
      <c r="BG88" s="214">
        <f>IF(AND(($D88+$C$1)&gt;AL$3,AL$3&gt;=$C$1),'General Inputs'!J$10*$I88,IF(AND(($C88+$C$1)&gt;AL$3,AL$3&gt;=$C$1),'General Inputs'!J$10*$H88,0))</f>
        <v>5.016469416379528</v>
      </c>
      <c r="BH88" s="214">
        <f>IF(AND(($D88+$C$1)&gt;AM$3,AM$3&gt;=$C$1),'General Inputs'!K$10*$I88,IF(AND(($C88+$C$1)&gt;AM$3,AM$3&gt;=$C$1),'General Inputs'!K$10*$H88,0))</f>
        <v>5.0917164576252212</v>
      </c>
      <c r="BI88" s="214">
        <f>IF(AND(($D88+$C$1)&gt;AN$3,AN$3&gt;=$C$1),'General Inputs'!L$10*$I88,IF(AND(($C88+$C$1)&gt;AN$3,AN$3&gt;=$C$1),'General Inputs'!L$10*$H88,0))</f>
        <v>5.1680922044895992</v>
      </c>
      <c r="BJ88" s="214">
        <f>IF(AND(($D88+$C$1)&gt;AO$3,AO$3&gt;=$C$1),'General Inputs'!M$10*$I88,IF(AND(($C88+$C$1)&gt;AO$3,AO$3&gt;=$C$1),'General Inputs'!M$10*$H88,0))</f>
        <v>5.2456135875569423</v>
      </c>
      <c r="BK88" s="214">
        <f>IF(AND(($D88+$C$1)&gt;AP$3,AP$3&gt;=$C$1),'General Inputs'!N$10*$I88,IF(AND(($C88+$C$1)&gt;AP$3,AP$3&gt;=$C$1),'General Inputs'!N$10*$H88,0))</f>
        <v>5.324297791370296</v>
      </c>
      <c r="BL88" s="214">
        <f>IF(AND(($D88+$C$1)&gt;AQ$3,AQ$3&gt;=$C$1),'General Inputs'!O$10*$I88,IF(AND(($C88+$C$1)&gt;AQ$3,AQ$3&gt;=$C$1),'General Inputs'!O$10*$H88,0))</f>
        <v>5.4041622582408495</v>
      </c>
      <c r="BM88" s="214">
        <f>IF(AND(($D88+$C$1)&gt;AR$3,AR$3&gt;=$C$1),'General Inputs'!P$10*$I88,IF(AND(($C88+$C$1)&gt;AR$3,AR$3&gt;=$C$1),'General Inputs'!P$10*$H88,0))</f>
        <v>5.4852246921144623</v>
      </c>
      <c r="BN88" s="214">
        <f>IF(AND(($D88+$C$1)&gt;AS$3,AS$3&gt;=$C$1),'General Inputs'!Q$10*$I88,IF(AND(($C88+$C$1)&gt;AS$3,AS$3&gt;=$C$1),'General Inputs'!Q$10*$H88,0))</f>
        <v>5.5675030624961783</v>
      </c>
      <c r="BO88" s="214">
        <f>IF(AND(($D88+$C$1)&gt;AT$3,AT$3&gt;=$C$1),'General Inputs'!R$10*$I88,IF(AND(($C88+$C$1)&gt;AT$3,AT$3&gt;=$C$1),'General Inputs'!R$10*$H88,0))</f>
        <v>5.6510156084336201</v>
      </c>
      <c r="BP88" s="214">
        <f>IF(AND(($D88+$C$1)&gt;AU$3,AU$3&gt;=$C$1),'General Inputs'!S$10*$I88,IF(AND(($C88+$C$1)&gt;AU$3,AU$3&gt;=$C$1),'General Inputs'!S$10*$H88,0))</f>
        <v>5.7357808425601249</v>
      </c>
      <c r="BQ88" s="214">
        <f>IF(AND(($D88+$C$1)&gt;AV$3,AV$3&gt;=$C$1),'General Inputs'!T$10*$I88,IF(AND(($C88+$C$1)&gt;AV$3,AV$3&gt;=$C$1),'General Inputs'!T$10*$H88,0))</f>
        <v>0</v>
      </c>
      <c r="BR88" s="214">
        <f>IF(AND(($D88+$C$1)&gt;AW$3,AW$3&gt;=$C$1),'General Inputs'!U$10*$I88,IF(AND(($C88+$C$1)&gt;AW$3,AW$3&gt;=$C$1),'General Inputs'!U$10*$H88,0))</f>
        <v>0</v>
      </c>
      <c r="BS88" s="214">
        <f>IF(AND(($D88+$C$1)&gt;AX$3,AX$3&gt;=$C$1),'General Inputs'!V$10*$I88,IF(AND(($C88+$C$1)&gt;AX$3,AX$3&gt;=$C$1),'General Inputs'!V$10*$H88,0))</f>
        <v>0</v>
      </c>
      <c r="BT88" s="214">
        <f>IF(AND(($D88+$C$1)&gt;AY$3,AY$3&gt;=$C$1),'General Inputs'!W$10*$I88,IF(AND(($C88+$C$1)&gt;AY$3,AY$3&gt;=$C$1),'General Inputs'!W$10*$H88,0))</f>
        <v>0</v>
      </c>
    </row>
    <row r="89" spans="1:72">
      <c r="A89" s="342" t="s">
        <v>112</v>
      </c>
      <c r="B89" s="427" t="str">
        <f>Sources!B89</f>
        <v>CAC 135 - 240 kBtuh</v>
      </c>
      <c r="C89" s="193">
        <f>Sources!C89</f>
        <v>15</v>
      </c>
      <c r="D89" s="193">
        <f>Sources!D89</f>
        <v>0</v>
      </c>
      <c r="F89" s="429">
        <f>Sources!F89*EnergyLineLoss</f>
        <v>405.23048951048952</v>
      </c>
      <c r="G89" s="429">
        <f>Sources!G89*EnergyLineLoss</f>
        <v>0</v>
      </c>
      <c r="H89" s="477">
        <f>Sources!H89*PeakLineLoss</f>
        <v>0.6239046153846155</v>
      </c>
      <c r="I89" s="477">
        <f>Sources!I89*PeakLineLoss</f>
        <v>0</v>
      </c>
      <c r="K89" s="419">
        <f>Sources!J89</f>
        <v>1000</v>
      </c>
      <c r="L89" s="419">
        <f>Sources!K89</f>
        <v>0</v>
      </c>
      <c r="N89" s="438">
        <f t="shared" si="36"/>
        <v>0.24888824047664518</v>
      </c>
      <c r="P89" s="215">
        <f t="shared" si="37"/>
        <v>144.81443187096502</v>
      </c>
      <c r="Q89" s="215">
        <f t="shared" si="38"/>
        <v>83.859070955794607</v>
      </c>
      <c r="R89" s="215">
        <f t="shared" si="39"/>
        <v>918.7798603454612</v>
      </c>
      <c r="T89" s="214">
        <f t="shared" si="40"/>
        <v>0</v>
      </c>
      <c r="U89" s="214">
        <f t="shared" si="40"/>
        <v>1000</v>
      </c>
      <c r="V89" s="214">
        <f t="shared" si="40"/>
        <v>0</v>
      </c>
      <c r="W89" s="214">
        <f t="shared" si="40"/>
        <v>0</v>
      </c>
      <c r="X89" s="214">
        <f t="shared" si="40"/>
        <v>0</v>
      </c>
      <c r="Y89" s="214">
        <f t="shared" si="40"/>
        <v>0</v>
      </c>
      <c r="Z89" s="214">
        <f t="shared" si="40"/>
        <v>0</v>
      </c>
      <c r="AA89" s="214">
        <f t="shared" si="40"/>
        <v>0</v>
      </c>
      <c r="AB89" s="214">
        <f t="shared" si="40"/>
        <v>0</v>
      </c>
      <c r="AC89" s="214">
        <f t="shared" si="40"/>
        <v>0</v>
      </c>
      <c r="AD89" s="214">
        <f t="shared" si="40"/>
        <v>0</v>
      </c>
      <c r="AF89" s="214">
        <f>IF(AND(($D89+$C$1)&gt;AF$3,AF$3&gt;=$C$1),'General Inputs'!D$9*$G89,IF(AND(($C89+$C$1)&gt;AF$3,AF$3&gt;=$C$1),'General Inputs'!D$9*$F89,0))</f>
        <v>0</v>
      </c>
      <c r="AG89" s="214">
        <f>IF(AND(($D89+$C$1)&gt;AG$3,AG$3&gt;=$C$1),'General Inputs'!E$9*$G89,IF(AND(($C89+$C$1)&gt;AG$3,AG$3&gt;=$C$1),'General Inputs'!E$9*$F89,0))</f>
        <v>16.375142533000648</v>
      </c>
      <c r="AH89" s="214">
        <f>IF(AND(($D89+$C$1)&gt;AH$3,AH$3&gt;=$C$1),'General Inputs'!F$9*$G89,IF(AND(($C89+$C$1)&gt;AH$3,AH$3&gt;=$C$1),'General Inputs'!F$9*$F89,0))</f>
        <v>16.620769670995656</v>
      </c>
      <c r="AI89" s="214">
        <f>IF(AND(($D89+$C$1)&gt;AI$3,AI$3&gt;=$C$1),'General Inputs'!G$9*$G89,IF(AND(($C89+$C$1)&gt;AI$3,AI$3&gt;=$C$1),'General Inputs'!G$9*$F89,0))</f>
        <v>16.870081216060591</v>
      </c>
      <c r="AJ89" s="214">
        <f>IF(AND(($D89+$C$1)&gt;AJ$3,AJ$3&gt;=$C$1),'General Inputs'!H$9*$G89,IF(AND(($C89+$C$1)&gt;AJ$3,AJ$3&gt;=$C$1),'General Inputs'!H$9*$F89,0))</f>
        <v>17.123132434301496</v>
      </c>
      <c r="AK89" s="214">
        <f>IF(AND(($D89+$C$1)&gt;AK$3,AK$3&gt;=$C$1),'General Inputs'!I$9*$G89,IF(AND(($C89+$C$1)&gt;AK$3,AK$3&gt;=$C$1),'General Inputs'!I$9*$F89,0))</f>
        <v>17.379979420816017</v>
      </c>
      <c r="AL89" s="214">
        <f>IF(AND(($D89+$C$1)&gt;AL$3,AL$3&gt;=$C$1),'General Inputs'!J$9*$G89,IF(AND(($C89+$C$1)&gt;AL$3,AL$3&gt;=$C$1),'General Inputs'!J$9*$F89,0))</f>
        <v>17.640679112128254</v>
      </c>
      <c r="AM89" s="214">
        <f>IF(AND(($D89+$C$1)&gt;AM$3,AM$3&gt;=$C$1),'General Inputs'!K$9*$G89,IF(AND(($C89+$C$1)&gt;AM$3,AM$3&gt;=$C$1),'General Inputs'!K$9*$F89,0))</f>
        <v>17.905289298810175</v>
      </c>
      <c r="AN89" s="214">
        <f>IF(AND(($D89+$C$1)&gt;AN$3,AN$3&gt;=$C$1),'General Inputs'!L$9*$G89,IF(AND(($C89+$C$1)&gt;AN$3,AN$3&gt;=$C$1),'General Inputs'!L$9*$F89,0))</f>
        <v>18.173868638292326</v>
      </c>
      <c r="AO89" s="214">
        <f>IF(AND(($D89+$C$1)&gt;AO$3,AO$3&gt;=$C$1),'General Inputs'!M$9*$G89,IF(AND(($C89+$C$1)&gt;AO$3,AO$3&gt;=$C$1),'General Inputs'!M$9*$F89,0))</f>
        <v>18.446476667866708</v>
      </c>
      <c r="AP89" s="214">
        <f>IF(AND(($D89+$C$1)&gt;AP$3,AP$3&gt;=$C$1),'General Inputs'!N$9*$G89,IF(AND(($C89+$C$1)&gt;AP$3,AP$3&gt;=$C$1),'General Inputs'!N$9*$F89,0))</f>
        <v>18.723173817884707</v>
      </c>
      <c r="AQ89" s="214">
        <f>IF(AND(($D89+$C$1)&gt;AQ$3,AQ$3&gt;=$C$1),'General Inputs'!O$9*$G89,IF(AND(($C89+$C$1)&gt;AQ$3,AQ$3&gt;=$C$1),'General Inputs'!O$9*$F89,0))</f>
        <v>19.004021425152974</v>
      </c>
      <c r="AR89" s="214">
        <f>IF(AND(($D89+$C$1)&gt;AR$3,AR$3&gt;=$C$1),'General Inputs'!P$9*$G89,IF(AND(($C89+$C$1)&gt;AR$3,AR$3&gt;=$C$1),'General Inputs'!P$9*$F89,0))</f>
        <v>19.289081746530268</v>
      </c>
      <c r="AS89" s="214">
        <f>IF(AND(($D89+$C$1)&gt;AS$3,AS$3&gt;=$C$1),'General Inputs'!Q$9*$G89,IF(AND(($C89+$C$1)&gt;AS$3,AS$3&gt;=$C$1),'General Inputs'!Q$9*$F89,0))</f>
        <v>19.578417972728221</v>
      </c>
      <c r="AT89" s="214">
        <f>IF(AND(($D89+$C$1)&gt;AT$3,AT$3&gt;=$C$1),'General Inputs'!R$9*$G89,IF(AND(($C89+$C$1)&gt;AT$3,AT$3&gt;=$C$1),'General Inputs'!R$9*$F89,0))</f>
        <v>19.872094242319143</v>
      </c>
      <c r="AU89" s="214">
        <f>IF(AND(($D89+$C$1)&gt;AU$3,AU$3&gt;=$C$1),'General Inputs'!S$9*$G89,IF(AND(($C89+$C$1)&gt;AU$3,AU$3&gt;=$C$1),'General Inputs'!S$9*$F89,0))</f>
        <v>20.17017565595393</v>
      </c>
      <c r="AV89" s="214">
        <f>IF(AND(($D89+$C$1)&gt;AV$3,AV$3&gt;=$C$1),'General Inputs'!T$9*$G89,IF(AND(($C89+$C$1)&gt;AV$3,AV$3&gt;=$C$1),'General Inputs'!T$9*$F89,0))</f>
        <v>0</v>
      </c>
      <c r="AW89" s="214">
        <f>IF(AND(($D89+$C$1)&gt;AW$3,AW$3&gt;=$C$1),'General Inputs'!U$9*$G89,IF(AND(($C89+$C$1)&gt;AW$3,AW$3&gt;=$C$1),'General Inputs'!U$9*$F89,0))</f>
        <v>0</v>
      </c>
      <c r="AX89" s="214">
        <f>IF(AND(($D89+$C$1)&gt;AX$3,AX$3&gt;=$C$1),'General Inputs'!V$9*$G89,IF(AND(($C89+$C$1)&gt;AX$3,AX$3&gt;=$C$1),'General Inputs'!V$9*$F89,0))</f>
        <v>0</v>
      </c>
      <c r="AY89" s="214">
        <f>IF(AND(($D89+$C$1)&gt;AY$3,AY$3&gt;=$C$1),'General Inputs'!W$9*$G89,IF(AND(($C89+$C$1)&gt;AY$3,AY$3&gt;=$C$1),'General Inputs'!W$9*$F89,0))</f>
        <v>0</v>
      </c>
      <c r="BA89" s="214">
        <f>IF(AND(($D89+$C$1)&gt;AF$3,AF$3&gt;=$C$1),'General Inputs'!D$10*$I89,IF(AND(($C89+$C$1)&gt;AF$3,AF$3&gt;=$C$1),'General Inputs'!D$10*$H89,0))</f>
        <v>0</v>
      </c>
      <c r="BB89" s="214">
        <f>IF(AND(($D89+$C$1)&gt;AG$3,AG$3&gt;=$C$1),'General Inputs'!E$10*$I89,IF(AND(($C89+$C$1)&gt;AG$3,AG$3&gt;=$C$1),'General Inputs'!E$10*$H89,0))</f>
        <v>9.4825095941385644</v>
      </c>
      <c r="BC89" s="214">
        <f>IF(AND(($D89+$C$1)&gt;AH$3,AH$3&gt;=$C$1),'General Inputs'!F$10*$I89,IF(AND(($C89+$C$1)&gt;AH$3,AH$3&gt;=$C$1),'General Inputs'!F$10*$H89,0))</f>
        <v>9.6247472380506434</v>
      </c>
      <c r="BD89" s="214">
        <f>IF(AND(($D89+$C$1)&gt;AI$3,AI$3&gt;=$C$1),'General Inputs'!G$10*$I89,IF(AND(($C89+$C$1)&gt;AI$3,AI$3&gt;=$C$1),'General Inputs'!G$10*$H89,0))</f>
        <v>9.7691184466214018</v>
      </c>
      <c r="BE89" s="214">
        <f>IF(AND(($D89+$C$1)&gt;AJ$3,AJ$3&gt;=$C$1),'General Inputs'!H$10*$I89,IF(AND(($C89+$C$1)&gt;AJ$3,AJ$3&gt;=$C$1),'General Inputs'!H$10*$H89,0))</f>
        <v>9.9156552233207211</v>
      </c>
      <c r="BF89" s="214">
        <f>IF(AND(($D89+$C$1)&gt;AK$3,AK$3&gt;=$C$1),'General Inputs'!I$10*$I89,IF(AND(($C89+$C$1)&gt;AK$3,AK$3&gt;=$C$1),'General Inputs'!I$10*$H89,0))</f>
        <v>10.06439005167053</v>
      </c>
      <c r="BG89" s="214">
        <f>IF(AND(($D89+$C$1)&gt;AL$3,AL$3&gt;=$C$1),'General Inputs'!J$10*$I89,IF(AND(($C89+$C$1)&gt;AL$3,AL$3&gt;=$C$1),'General Inputs'!J$10*$H89,0))</f>
        <v>10.215355902445587</v>
      </c>
      <c r="BH89" s="214">
        <f>IF(AND(($D89+$C$1)&gt;AM$3,AM$3&gt;=$C$1),'General Inputs'!K$10*$I89,IF(AND(($C89+$C$1)&gt;AM$3,AM$3&gt;=$C$1),'General Inputs'!K$10*$H89,0))</f>
        <v>10.368586240982271</v>
      </c>
      <c r="BI89" s="214">
        <f>IF(AND(($D89+$C$1)&gt;AN$3,AN$3&gt;=$C$1),'General Inputs'!L$10*$I89,IF(AND(($C89+$C$1)&gt;AN$3,AN$3&gt;=$C$1),'General Inputs'!L$10*$H89,0))</f>
        <v>10.524115034597004</v>
      </c>
      <c r="BJ89" s="214">
        <f>IF(AND(($D89+$C$1)&gt;AO$3,AO$3&gt;=$C$1),'General Inputs'!M$10*$I89,IF(AND(($C89+$C$1)&gt;AO$3,AO$3&gt;=$C$1),'General Inputs'!M$10*$H89,0))</f>
        <v>10.681976760115958</v>
      </c>
      <c r="BK89" s="214">
        <f>IF(AND(($D89+$C$1)&gt;AP$3,AP$3&gt;=$C$1),'General Inputs'!N$10*$I89,IF(AND(($C89+$C$1)&gt;AP$3,AP$3&gt;=$C$1),'General Inputs'!N$10*$H89,0))</f>
        <v>10.842206411517695</v>
      </c>
      <c r="BL89" s="214">
        <f>IF(AND(($D89+$C$1)&gt;AQ$3,AQ$3&gt;=$C$1),'General Inputs'!O$10*$I89,IF(AND(($C89+$C$1)&gt;AQ$3,AQ$3&gt;=$C$1),'General Inputs'!O$10*$H89,0))</f>
        <v>11.004839507690461</v>
      </c>
      <c r="BM89" s="214">
        <f>IF(AND(($D89+$C$1)&gt;AR$3,AR$3&gt;=$C$1),'General Inputs'!P$10*$I89,IF(AND(($C89+$C$1)&gt;AR$3,AR$3&gt;=$C$1),'General Inputs'!P$10*$H89,0))</f>
        <v>11.169912100305817</v>
      </c>
      <c r="BN89" s="214">
        <f>IF(AND(($D89+$C$1)&gt;AS$3,AS$3&gt;=$C$1),'General Inputs'!Q$10*$I89,IF(AND(($C89+$C$1)&gt;AS$3,AS$3&gt;=$C$1),'General Inputs'!Q$10*$H89,0))</f>
        <v>11.337460781810403</v>
      </c>
      <c r="BO89" s="214">
        <f>IF(AND(($D89+$C$1)&gt;AT$3,AT$3&gt;=$C$1),'General Inputs'!R$10*$I89,IF(AND(($C89+$C$1)&gt;AT$3,AT$3&gt;=$C$1),'General Inputs'!R$10*$H89,0))</f>
        <v>11.507522693537558</v>
      </c>
      <c r="BP89" s="214">
        <f>IF(AND(($D89+$C$1)&gt;AU$3,AU$3&gt;=$C$1),'General Inputs'!S$10*$I89,IF(AND(($C89+$C$1)&gt;AU$3,AU$3&gt;=$C$1),'General Inputs'!S$10*$H89,0))</f>
        <v>11.68013553394062</v>
      </c>
      <c r="BQ89" s="214">
        <f>IF(AND(($D89+$C$1)&gt;AV$3,AV$3&gt;=$C$1),'General Inputs'!T$10*$I89,IF(AND(($C89+$C$1)&gt;AV$3,AV$3&gt;=$C$1),'General Inputs'!T$10*$H89,0))</f>
        <v>0</v>
      </c>
      <c r="BR89" s="214">
        <f>IF(AND(($D89+$C$1)&gt;AW$3,AW$3&gt;=$C$1),'General Inputs'!U$10*$I89,IF(AND(($C89+$C$1)&gt;AW$3,AW$3&gt;=$C$1),'General Inputs'!U$10*$H89,0))</f>
        <v>0</v>
      </c>
      <c r="BS89" s="214">
        <f>IF(AND(($D89+$C$1)&gt;AX$3,AX$3&gt;=$C$1),'General Inputs'!V$10*$I89,IF(AND(($C89+$C$1)&gt;AX$3,AX$3&gt;=$C$1),'General Inputs'!V$10*$H89,0))</f>
        <v>0</v>
      </c>
      <c r="BT89" s="214">
        <f>IF(AND(($D89+$C$1)&gt;AY$3,AY$3&gt;=$C$1),'General Inputs'!W$10*$I89,IF(AND(($C89+$C$1)&gt;AY$3,AY$3&gt;=$C$1),'General Inputs'!W$10*$H89,0))</f>
        <v>0</v>
      </c>
    </row>
    <row r="90" spans="1:72">
      <c r="A90" s="342" t="s">
        <v>112</v>
      </c>
      <c r="B90" s="427" t="str">
        <f>Sources!B90</f>
        <v>CAC 240 - 760 kBtuh</v>
      </c>
      <c r="C90" s="193">
        <f>Sources!C90</f>
        <v>15</v>
      </c>
      <c r="D90" s="193">
        <f>Sources!D90</f>
        <v>0</v>
      </c>
      <c r="F90" s="429">
        <f>Sources!F90*EnergyLineLoss</f>
        <v>709.56685714285868</v>
      </c>
      <c r="G90" s="429">
        <f>Sources!G90*EnergyLineLoss</f>
        <v>0</v>
      </c>
      <c r="H90" s="477">
        <f>Sources!H90*PeakLineLoss</f>
        <v>1.0924697142857167</v>
      </c>
      <c r="I90" s="477">
        <f>Sources!I90*PeakLineLoss</f>
        <v>0</v>
      </c>
      <c r="K90" s="419">
        <f>Sources!J90</f>
        <v>2000</v>
      </c>
      <c r="L90" s="419">
        <f>Sources!K90</f>
        <v>0</v>
      </c>
      <c r="N90" s="438">
        <f t="shared" si="36"/>
        <v>0.21790419421322657</v>
      </c>
      <c r="P90" s="215">
        <f t="shared" si="37"/>
        <v>253.57302560262912</v>
      </c>
      <c r="Q90" s="215">
        <f t="shared" si="38"/>
        <v>146.83894465320802</v>
      </c>
      <c r="R90" s="215">
        <f t="shared" si="39"/>
        <v>1837.5597206909224</v>
      </c>
      <c r="T90" s="214">
        <f t="shared" si="40"/>
        <v>0</v>
      </c>
      <c r="U90" s="214">
        <f t="shared" si="40"/>
        <v>2000</v>
      </c>
      <c r="V90" s="214">
        <f t="shared" si="40"/>
        <v>0</v>
      </c>
      <c r="W90" s="214">
        <f t="shared" si="40"/>
        <v>0</v>
      </c>
      <c r="X90" s="214">
        <f t="shared" si="40"/>
        <v>0</v>
      </c>
      <c r="Y90" s="214">
        <f t="shared" si="40"/>
        <v>0</v>
      </c>
      <c r="Z90" s="214">
        <f t="shared" si="40"/>
        <v>0</v>
      </c>
      <c r="AA90" s="214">
        <f t="shared" si="40"/>
        <v>0</v>
      </c>
      <c r="AB90" s="214">
        <f t="shared" si="40"/>
        <v>0</v>
      </c>
      <c r="AC90" s="214">
        <f t="shared" si="40"/>
        <v>0</v>
      </c>
      <c r="AD90" s="214">
        <f t="shared" si="40"/>
        <v>0</v>
      </c>
      <c r="AF90" s="214">
        <f>IF(AND(($D90+$C$1)&gt;AF$3,AF$3&gt;=$C$1),'General Inputs'!D$9*$G90,IF(AND(($C90+$C$1)&gt;AF$3,AF$3&gt;=$C$1),'General Inputs'!D$9*$F90,0))</f>
        <v>0</v>
      </c>
      <c r="AG90" s="214">
        <f>IF(AND(($D90+$C$1)&gt;AG$3,AG$3&gt;=$C$1),'General Inputs'!E$9*$G90,IF(AND(($C90+$C$1)&gt;AG$3,AG$3&gt;=$C$1),'General Inputs'!E$9*$F90,0))</f>
        <v>28.673208761866501</v>
      </c>
      <c r="AH90" s="214">
        <f>IF(AND(($D90+$C$1)&gt;AH$3,AH$3&gt;=$C$1),'General Inputs'!F$9*$G90,IF(AND(($C90+$C$1)&gt;AH$3,AH$3&gt;=$C$1),'General Inputs'!F$9*$F90,0))</f>
        <v>29.103306893294498</v>
      </c>
      <c r="AI90" s="214">
        <f>IF(AND(($D90+$C$1)&gt;AI$3,AI$3&gt;=$C$1),'General Inputs'!G$9*$G90,IF(AND(($C90+$C$1)&gt;AI$3,AI$3&gt;=$C$1),'General Inputs'!G$9*$F90,0))</f>
        <v>29.539856496693911</v>
      </c>
      <c r="AJ90" s="214">
        <f>IF(AND(($D90+$C$1)&gt;AJ$3,AJ$3&gt;=$C$1),'General Inputs'!H$9*$G90,IF(AND(($C90+$C$1)&gt;AJ$3,AJ$3&gt;=$C$1),'General Inputs'!H$9*$F90,0))</f>
        <v>29.982954344144318</v>
      </c>
      <c r="AK90" s="214">
        <f>IF(AND(($D90+$C$1)&gt;AK$3,AK$3&gt;=$C$1),'General Inputs'!I$9*$G90,IF(AND(($C90+$C$1)&gt;AK$3,AK$3&gt;=$C$1),'General Inputs'!I$9*$F90,0))</f>
        <v>30.432698659306478</v>
      </c>
      <c r="AL90" s="214">
        <f>IF(AND(($D90+$C$1)&gt;AL$3,AL$3&gt;=$C$1),'General Inputs'!J$9*$G90,IF(AND(($C90+$C$1)&gt;AL$3,AL$3&gt;=$C$1),'General Inputs'!J$9*$F90,0))</f>
        <v>30.88918913919607</v>
      </c>
      <c r="AM90" s="214">
        <f>IF(AND(($D90+$C$1)&gt;AM$3,AM$3&gt;=$C$1),'General Inputs'!K$9*$G90,IF(AND(($C90+$C$1)&gt;AM$3,AM$3&gt;=$C$1),'General Inputs'!K$9*$F90,0))</f>
        <v>31.352526976284004</v>
      </c>
      <c r="AN90" s="214">
        <f>IF(AND(($D90+$C$1)&gt;AN$3,AN$3&gt;=$C$1),'General Inputs'!L$9*$G90,IF(AND(($C90+$C$1)&gt;AN$3,AN$3&gt;=$C$1),'General Inputs'!L$9*$F90,0))</f>
        <v>31.822814880928263</v>
      </c>
      <c r="AO90" s="214">
        <f>IF(AND(($D90+$C$1)&gt;AO$3,AO$3&gt;=$C$1),'General Inputs'!M$9*$G90,IF(AND(($C90+$C$1)&gt;AO$3,AO$3&gt;=$C$1),'General Inputs'!M$9*$F90,0))</f>
        <v>32.30015710414218</v>
      </c>
      <c r="AP90" s="214">
        <f>IF(AND(($D90+$C$1)&gt;AP$3,AP$3&gt;=$C$1),'General Inputs'!N$9*$G90,IF(AND(($C90+$C$1)&gt;AP$3,AP$3&gt;=$C$1),'General Inputs'!N$9*$F90,0))</f>
        <v>32.784659460704312</v>
      </c>
      <c r="AQ90" s="214">
        <f>IF(AND(($D90+$C$1)&gt;AQ$3,AQ$3&gt;=$C$1),'General Inputs'!O$9*$G90,IF(AND(($C90+$C$1)&gt;AQ$3,AQ$3&gt;=$C$1),'General Inputs'!O$9*$F90,0))</f>
        <v>33.276429352614876</v>
      </c>
      <c r="AR90" s="214">
        <f>IF(AND(($D90+$C$1)&gt;AR$3,AR$3&gt;=$C$1),'General Inputs'!P$9*$G90,IF(AND(($C90+$C$1)&gt;AR$3,AR$3&gt;=$C$1),'General Inputs'!P$9*$F90,0))</f>
        <v>33.775575792904093</v>
      </c>
      <c r="AS90" s="214">
        <f>IF(AND(($D90+$C$1)&gt;AS$3,AS$3&gt;=$C$1),'General Inputs'!Q$9*$G90,IF(AND(($C90+$C$1)&gt;AS$3,AS$3&gt;=$C$1),'General Inputs'!Q$9*$F90,0))</f>
        <v>34.282209429797653</v>
      </c>
      <c r="AT90" s="214">
        <f>IF(AND(($D90+$C$1)&gt;AT$3,AT$3&gt;=$C$1),'General Inputs'!R$9*$G90,IF(AND(($C90+$C$1)&gt;AT$3,AT$3&gt;=$C$1),'General Inputs'!R$9*$F90,0))</f>
        <v>34.796442571244611</v>
      </c>
      <c r="AU90" s="214">
        <f>IF(AND(($D90+$C$1)&gt;AU$3,AU$3&gt;=$C$1),'General Inputs'!S$9*$G90,IF(AND(($C90+$C$1)&gt;AU$3,AU$3&gt;=$C$1),'General Inputs'!S$9*$F90,0))</f>
        <v>35.318389209813283</v>
      </c>
      <c r="AV90" s="214">
        <f>IF(AND(($D90+$C$1)&gt;AV$3,AV$3&gt;=$C$1),'General Inputs'!T$9*$G90,IF(AND(($C90+$C$1)&gt;AV$3,AV$3&gt;=$C$1),'General Inputs'!T$9*$F90,0))</f>
        <v>0</v>
      </c>
      <c r="AW90" s="214">
        <f>IF(AND(($D90+$C$1)&gt;AW$3,AW$3&gt;=$C$1),'General Inputs'!U$9*$G90,IF(AND(($C90+$C$1)&gt;AW$3,AW$3&gt;=$C$1),'General Inputs'!U$9*$F90,0))</f>
        <v>0</v>
      </c>
      <c r="AX90" s="214">
        <f>IF(AND(($D90+$C$1)&gt;AX$3,AX$3&gt;=$C$1),'General Inputs'!V$9*$G90,IF(AND(($C90+$C$1)&gt;AX$3,AX$3&gt;=$C$1),'General Inputs'!V$9*$F90,0))</f>
        <v>0</v>
      </c>
      <c r="AY90" s="214">
        <f>IF(AND(($D90+$C$1)&gt;AY$3,AY$3&gt;=$C$1),'General Inputs'!W$9*$G90,IF(AND(($C90+$C$1)&gt;AY$3,AY$3&gt;=$C$1),'General Inputs'!W$9*$F90,0))</f>
        <v>0</v>
      </c>
      <c r="BA90" s="214">
        <f>IF(AND(($D90+$C$1)&gt;AF$3,AF$3&gt;=$C$1),'General Inputs'!D$10*$I90,IF(AND(($C90+$C$1)&gt;AF$3,AF$3&gt;=$C$1),'General Inputs'!D$10*$H90,0))</f>
        <v>0</v>
      </c>
      <c r="BB90" s="214">
        <f>IF(AND(($D90+$C$1)&gt;AG$3,AG$3&gt;=$C$1),'General Inputs'!E$10*$I90,IF(AND(($C90+$C$1)&gt;AG$3,AG$3&gt;=$C$1),'General Inputs'!E$10*$H90,0))</f>
        <v>16.604067819940621</v>
      </c>
      <c r="BC90" s="214">
        <f>IF(AND(($D90+$C$1)&gt;AH$3,AH$3&gt;=$C$1),'General Inputs'!F$10*$I90,IF(AND(($C90+$C$1)&gt;AH$3,AH$3&gt;=$C$1),'General Inputs'!F$10*$H90,0))</f>
        <v>16.85312883723973</v>
      </c>
      <c r="BD90" s="214">
        <f>IF(AND(($D90+$C$1)&gt;AI$3,AI$3&gt;=$C$1),'General Inputs'!G$10*$I90,IF(AND(($C90+$C$1)&gt;AI$3,AI$3&gt;=$C$1),'General Inputs'!G$10*$H90,0))</f>
        <v>17.105925769798326</v>
      </c>
      <c r="BE90" s="214">
        <f>IF(AND(($D90+$C$1)&gt;AJ$3,AJ$3&gt;=$C$1),'General Inputs'!H$10*$I90,IF(AND(($C90+$C$1)&gt;AJ$3,AJ$3&gt;=$C$1),'General Inputs'!H$10*$H90,0))</f>
        <v>17.362514656345297</v>
      </c>
      <c r="BF90" s="214">
        <f>IF(AND(($D90+$C$1)&gt;AK$3,AK$3&gt;=$C$1),'General Inputs'!I$10*$I90,IF(AND(($C90+$C$1)&gt;AK$3,AK$3&gt;=$C$1),'General Inputs'!I$10*$H90,0))</f>
        <v>17.622952376190476</v>
      </c>
      <c r="BG90" s="214">
        <f>IF(AND(($D90+$C$1)&gt;AL$3,AL$3&gt;=$C$1),'General Inputs'!J$10*$I90,IF(AND(($C90+$C$1)&gt;AL$3,AL$3&gt;=$C$1),'General Inputs'!J$10*$H90,0))</f>
        <v>17.887296661833329</v>
      </c>
      <c r="BH90" s="214">
        <f>IF(AND(($D90+$C$1)&gt;AM$3,AM$3&gt;=$C$1),'General Inputs'!K$10*$I90,IF(AND(($C90+$C$1)&gt;AM$3,AM$3&gt;=$C$1),'General Inputs'!K$10*$H90,0))</f>
        <v>18.155606111760829</v>
      </c>
      <c r="BI90" s="214">
        <f>IF(AND(($D90+$C$1)&gt;AN$3,AN$3&gt;=$C$1),'General Inputs'!L$10*$I90,IF(AND(($C90+$C$1)&gt;AN$3,AN$3&gt;=$C$1),'General Inputs'!L$10*$H90,0))</f>
        <v>18.427940203437238</v>
      </c>
      <c r="BJ90" s="214">
        <f>IF(AND(($D90+$C$1)&gt;AO$3,AO$3&gt;=$C$1),'General Inputs'!M$10*$I90,IF(AND(($C90+$C$1)&gt;AO$3,AO$3&gt;=$C$1),'General Inputs'!M$10*$H90,0))</f>
        <v>18.704359306488797</v>
      </c>
      <c r="BK90" s="214">
        <f>IF(AND(($D90+$C$1)&gt;AP$3,AP$3&gt;=$C$1),'General Inputs'!N$10*$I90,IF(AND(($C90+$C$1)&gt;AP$3,AP$3&gt;=$C$1),'General Inputs'!N$10*$H90,0))</f>
        <v>18.984924696086129</v>
      </c>
      <c r="BL90" s="214">
        <f>IF(AND(($D90+$C$1)&gt;AQ$3,AQ$3&gt;=$C$1),'General Inputs'!O$10*$I90,IF(AND(($C90+$C$1)&gt;AQ$3,AQ$3&gt;=$C$1),'General Inputs'!O$10*$H90,0))</f>
        <v>19.269698566527417</v>
      </c>
      <c r="BM90" s="214">
        <f>IF(AND(($D90+$C$1)&gt;AR$3,AR$3&gt;=$C$1),'General Inputs'!P$10*$I90,IF(AND(($C90+$C$1)&gt;AR$3,AR$3&gt;=$C$1),'General Inputs'!P$10*$H90,0))</f>
        <v>19.558744045025328</v>
      </c>
      <c r="BN90" s="214">
        <f>IF(AND(($D90+$C$1)&gt;AS$3,AS$3&gt;=$C$1),'General Inputs'!Q$10*$I90,IF(AND(($C90+$C$1)&gt;AS$3,AS$3&gt;=$C$1),'General Inputs'!Q$10*$H90,0))</f>
        <v>19.852125205700705</v>
      </c>
      <c r="BO90" s="214">
        <f>IF(AND(($D90+$C$1)&gt;AT$3,AT$3&gt;=$C$1),'General Inputs'!R$10*$I90,IF(AND(($C90+$C$1)&gt;AT$3,AT$3&gt;=$C$1),'General Inputs'!R$10*$H90,0))</f>
        <v>20.149907083786214</v>
      </c>
      <c r="BP90" s="214">
        <f>IF(AND(($D90+$C$1)&gt;AU$3,AU$3&gt;=$C$1),'General Inputs'!S$10*$I90,IF(AND(($C90+$C$1)&gt;AU$3,AU$3&gt;=$C$1),'General Inputs'!S$10*$H90,0))</f>
        <v>20.452155690043007</v>
      </c>
      <c r="BQ90" s="214">
        <f>IF(AND(($D90+$C$1)&gt;AV$3,AV$3&gt;=$C$1),'General Inputs'!T$10*$I90,IF(AND(($C90+$C$1)&gt;AV$3,AV$3&gt;=$C$1),'General Inputs'!T$10*$H90,0))</f>
        <v>0</v>
      </c>
      <c r="BR90" s="214">
        <f>IF(AND(($D90+$C$1)&gt;AW$3,AW$3&gt;=$C$1),'General Inputs'!U$10*$I90,IF(AND(($C90+$C$1)&gt;AW$3,AW$3&gt;=$C$1),'General Inputs'!U$10*$H90,0))</f>
        <v>0</v>
      </c>
      <c r="BS90" s="214">
        <f>IF(AND(($D90+$C$1)&gt;AX$3,AX$3&gt;=$C$1),'General Inputs'!V$10*$I90,IF(AND(($C90+$C$1)&gt;AX$3,AX$3&gt;=$C$1),'General Inputs'!V$10*$H90,0))</f>
        <v>0</v>
      </c>
      <c r="BT90" s="214">
        <f>IF(AND(($D90+$C$1)&gt;AY$3,AY$3&gt;=$C$1),'General Inputs'!W$10*$I90,IF(AND(($C90+$C$1)&gt;AY$3,AY$3&gt;=$C$1),'General Inputs'!W$10*$H90,0))</f>
        <v>0</v>
      </c>
    </row>
    <row r="91" spans="1:72">
      <c r="A91" s="342" t="s">
        <v>112</v>
      </c>
      <c r="B91" s="427" t="str">
        <f>Sources!B91</f>
        <v>CAC &gt;760 kBtuh</v>
      </c>
      <c r="C91" s="193">
        <f>Sources!C91</f>
        <v>15</v>
      </c>
      <c r="D91" s="193">
        <f>Sources!D91</f>
        <v>0</v>
      </c>
      <c r="F91" s="429">
        <f>Sources!F91*EnergyLineLoss</f>
        <v>982.73864417370055</v>
      </c>
      <c r="G91" s="429">
        <f>Sources!G91*EnergyLineLoss</f>
        <v>0</v>
      </c>
      <c r="H91" s="477">
        <f>Sources!H91*PeakLineLoss</f>
        <v>1.5130529209622066</v>
      </c>
      <c r="I91" s="477">
        <f>Sources!I91*PeakLineLoss</f>
        <v>0</v>
      </c>
      <c r="K91" s="419">
        <f>Sources!J91</f>
        <v>6333.333333333333</v>
      </c>
      <c r="L91" s="419">
        <f>Sources!K91</f>
        <v>0</v>
      </c>
      <c r="N91" s="438">
        <f t="shared" si="36"/>
        <v>9.5303302686197439E-2</v>
      </c>
      <c r="P91" s="215">
        <f t="shared" si="37"/>
        <v>351.19454759085454</v>
      </c>
      <c r="Q91" s="215">
        <f t="shared" si="38"/>
        <v>203.36956824822153</v>
      </c>
      <c r="R91" s="215">
        <f t="shared" si="39"/>
        <v>5818.9391155212543</v>
      </c>
      <c r="T91" s="214">
        <f t="shared" si="40"/>
        <v>0</v>
      </c>
      <c r="U91" s="214">
        <f t="shared" si="40"/>
        <v>6333.333333333333</v>
      </c>
      <c r="V91" s="214">
        <f t="shared" si="40"/>
        <v>0</v>
      </c>
      <c r="W91" s="214">
        <f t="shared" si="40"/>
        <v>0</v>
      </c>
      <c r="X91" s="214">
        <f t="shared" si="40"/>
        <v>0</v>
      </c>
      <c r="Y91" s="214">
        <f t="shared" si="40"/>
        <v>0</v>
      </c>
      <c r="Z91" s="214">
        <f t="shared" si="40"/>
        <v>0</v>
      </c>
      <c r="AA91" s="214">
        <f t="shared" si="40"/>
        <v>0</v>
      </c>
      <c r="AB91" s="214">
        <f t="shared" si="40"/>
        <v>0</v>
      </c>
      <c r="AC91" s="214">
        <f t="shared" si="40"/>
        <v>0</v>
      </c>
      <c r="AD91" s="214">
        <f t="shared" si="40"/>
        <v>0</v>
      </c>
      <c r="AF91" s="214">
        <f>IF(AND(($D91+$C$1)&gt;AF$3,AF$3&gt;=$C$1),'General Inputs'!D$9*$G91,IF(AND(($C91+$C$1)&gt;AF$3,AF$3&gt;=$C$1),'General Inputs'!D$9*$F91,0))</f>
        <v>0</v>
      </c>
      <c r="AG91" s="214">
        <f>IF(AND(($D91+$C$1)&gt;AG$3,AG$3&gt;=$C$1),'General Inputs'!E$9*$G91,IF(AND(($C91+$C$1)&gt;AG$3,AG$3&gt;=$C$1),'General Inputs'!E$9*$F91,0))</f>
        <v>39.711931326962983</v>
      </c>
      <c r="AH91" s="214">
        <f>IF(AND(($D91+$C$1)&gt;AH$3,AH$3&gt;=$C$1),'General Inputs'!F$9*$G91,IF(AND(($C91+$C$1)&gt;AH$3,AH$3&gt;=$C$1),'General Inputs'!F$9*$F91,0))</f>
        <v>40.307610296867423</v>
      </c>
      <c r="AI91" s="214">
        <f>IF(AND(($D91+$C$1)&gt;AI$3,AI$3&gt;=$C$1),'General Inputs'!G$9*$G91,IF(AND(($C91+$C$1)&gt;AI$3,AI$3&gt;=$C$1),'General Inputs'!G$9*$F91,0))</f>
        <v>40.912224451320434</v>
      </c>
      <c r="AJ91" s="214">
        <f>IF(AND(($D91+$C$1)&gt;AJ$3,AJ$3&gt;=$C$1),'General Inputs'!H$9*$G91,IF(AND(($C91+$C$1)&gt;AJ$3,AJ$3&gt;=$C$1),'General Inputs'!H$9*$F91,0))</f>
        <v>41.525907818090232</v>
      </c>
      <c r="AK91" s="214">
        <f>IF(AND(($D91+$C$1)&gt;AK$3,AK$3&gt;=$C$1),'General Inputs'!I$9*$G91,IF(AND(($C91+$C$1)&gt;AK$3,AK$3&gt;=$C$1),'General Inputs'!I$9*$F91,0))</f>
        <v>42.148796435361582</v>
      </c>
      <c r="AL91" s="214">
        <f>IF(AND(($D91+$C$1)&gt;AL$3,AL$3&gt;=$C$1),'General Inputs'!J$9*$G91,IF(AND(($C91+$C$1)&gt;AL$3,AL$3&gt;=$C$1),'General Inputs'!J$9*$F91,0))</f>
        <v>42.781028381892</v>
      </c>
      <c r="AM91" s="214">
        <f>IF(AND(($D91+$C$1)&gt;AM$3,AM$3&gt;=$C$1),'General Inputs'!K$9*$G91,IF(AND(($C91+$C$1)&gt;AM$3,AM$3&gt;=$C$1),'General Inputs'!K$9*$F91,0))</f>
        <v>43.422743807620371</v>
      </c>
      <c r="AN91" s="214">
        <f>IF(AND(($D91+$C$1)&gt;AN$3,AN$3&gt;=$C$1),'General Inputs'!L$9*$G91,IF(AND(($C91+$C$1)&gt;AN$3,AN$3&gt;=$C$1),'General Inputs'!L$9*$F91,0))</f>
        <v>44.074084964734674</v>
      </c>
      <c r="AO91" s="214">
        <f>IF(AND(($D91+$C$1)&gt;AO$3,AO$3&gt;=$C$1),'General Inputs'!M$9*$G91,IF(AND(($C91+$C$1)&gt;AO$3,AO$3&gt;=$C$1),'General Inputs'!M$9*$F91,0))</f>
        <v>44.735196239205685</v>
      </c>
      <c r="AP91" s="214">
        <f>IF(AND(($D91+$C$1)&gt;AP$3,AP$3&gt;=$C$1),'General Inputs'!N$9*$G91,IF(AND(($C91+$C$1)&gt;AP$3,AP$3&gt;=$C$1),'General Inputs'!N$9*$F91,0))</f>
        <v>45.406224182793771</v>
      </c>
      <c r="AQ91" s="214">
        <f>IF(AND(($D91+$C$1)&gt;AQ$3,AQ$3&gt;=$C$1),'General Inputs'!O$9*$G91,IF(AND(($C91+$C$1)&gt;AQ$3,AQ$3&gt;=$C$1),'General Inputs'!O$9*$F91,0))</f>
        <v>46.087317545535669</v>
      </c>
      <c r="AR91" s="214">
        <f>IF(AND(($D91+$C$1)&gt;AR$3,AR$3&gt;=$C$1),'General Inputs'!P$9*$G91,IF(AND(($C91+$C$1)&gt;AR$3,AR$3&gt;=$C$1),'General Inputs'!P$9*$F91,0))</f>
        <v>46.778627308718697</v>
      </c>
      <c r="AS91" s="214">
        <f>IF(AND(($D91+$C$1)&gt;AS$3,AS$3&gt;=$C$1),'General Inputs'!Q$9*$G91,IF(AND(($C91+$C$1)&gt;AS$3,AS$3&gt;=$C$1),'General Inputs'!Q$9*$F91,0))</f>
        <v>47.480306718349475</v>
      </c>
      <c r="AT91" s="214">
        <f>IF(AND(($D91+$C$1)&gt;AT$3,AT$3&gt;=$C$1),'General Inputs'!R$9*$G91,IF(AND(($C91+$C$1)&gt;AT$3,AT$3&gt;=$C$1),'General Inputs'!R$9*$F91,0))</f>
        <v>48.192511319124719</v>
      </c>
      <c r="AU91" s="214">
        <f>IF(AND(($D91+$C$1)&gt;AU$3,AU$3&gt;=$C$1),'General Inputs'!S$9*$G91,IF(AND(($C91+$C$1)&gt;AU$3,AU$3&gt;=$C$1),'General Inputs'!S$9*$F91,0))</f>
        <v>48.915398988911583</v>
      </c>
      <c r="AV91" s="214">
        <f>IF(AND(($D91+$C$1)&gt;AV$3,AV$3&gt;=$C$1),'General Inputs'!T$9*$G91,IF(AND(($C91+$C$1)&gt;AV$3,AV$3&gt;=$C$1),'General Inputs'!T$9*$F91,0))</f>
        <v>0</v>
      </c>
      <c r="AW91" s="214">
        <f>IF(AND(($D91+$C$1)&gt;AW$3,AW$3&gt;=$C$1),'General Inputs'!U$9*$G91,IF(AND(($C91+$C$1)&gt;AW$3,AW$3&gt;=$C$1),'General Inputs'!U$9*$F91,0))</f>
        <v>0</v>
      </c>
      <c r="AX91" s="214">
        <f>IF(AND(($D91+$C$1)&gt;AX$3,AX$3&gt;=$C$1),'General Inputs'!V$9*$G91,IF(AND(($C91+$C$1)&gt;AX$3,AX$3&gt;=$C$1),'General Inputs'!V$9*$F91,0))</f>
        <v>0</v>
      </c>
      <c r="AY91" s="214">
        <f>IF(AND(($D91+$C$1)&gt;AY$3,AY$3&gt;=$C$1),'General Inputs'!W$9*$G91,IF(AND(($C91+$C$1)&gt;AY$3,AY$3&gt;=$C$1),'General Inputs'!W$9*$F91,0))</f>
        <v>0</v>
      </c>
      <c r="BA91" s="214">
        <f>IF(AND(($D91+$C$1)&gt;AF$3,AF$3&gt;=$C$1),'General Inputs'!D$10*$I91,IF(AND(($C91+$C$1)&gt;AF$3,AF$3&gt;=$C$1),'General Inputs'!D$10*$H91,0))</f>
        <v>0</v>
      </c>
      <c r="BB91" s="214">
        <f>IF(AND(($D91+$C$1)&gt;AG$3,AG$3&gt;=$C$1),'General Inputs'!E$10*$I91,IF(AND(($C91+$C$1)&gt;AG$3,AG$3&gt;=$C$1),'General Inputs'!E$10*$H91,0))</f>
        <v>22.996365927857006</v>
      </c>
      <c r="BC91" s="214">
        <f>IF(AND(($D91+$C$1)&gt;AH$3,AH$3&gt;=$C$1),'General Inputs'!F$10*$I91,IF(AND(($C91+$C$1)&gt;AH$3,AH$3&gt;=$C$1),'General Inputs'!F$10*$H91,0))</f>
        <v>23.341311416774861</v>
      </c>
      <c r="BD91" s="214">
        <f>IF(AND(($D91+$C$1)&gt;AI$3,AI$3&gt;=$C$1),'General Inputs'!G$10*$I91,IF(AND(($C91+$C$1)&gt;AI$3,AI$3&gt;=$C$1),'General Inputs'!G$10*$H91,0))</f>
        <v>23.691431088026484</v>
      </c>
      <c r="BE91" s="214">
        <f>IF(AND(($D91+$C$1)&gt;AJ$3,AJ$3&gt;=$C$1),'General Inputs'!H$10*$I91,IF(AND(($C91+$C$1)&gt;AJ$3,AJ$3&gt;=$C$1),'General Inputs'!H$10*$H91,0))</f>
        <v>24.046802554346879</v>
      </c>
      <c r="BF91" s="214">
        <f>IF(AND(($D91+$C$1)&gt;AK$3,AK$3&gt;=$C$1),'General Inputs'!I$10*$I91,IF(AND(($C91+$C$1)&gt;AK$3,AK$3&gt;=$C$1),'General Inputs'!I$10*$H91,0))</f>
        <v>24.407504592662075</v>
      </c>
      <c r="BG91" s="214">
        <f>IF(AND(($D91+$C$1)&gt;AL$3,AL$3&gt;=$C$1),'General Inputs'!J$10*$I91,IF(AND(($C91+$C$1)&gt;AL$3,AL$3&gt;=$C$1),'General Inputs'!J$10*$H91,0))</f>
        <v>24.773617161552004</v>
      </c>
      <c r="BH91" s="214">
        <f>IF(AND(($D91+$C$1)&gt;AM$3,AM$3&gt;=$C$1),'General Inputs'!K$10*$I91,IF(AND(($C91+$C$1)&gt;AM$3,AM$3&gt;=$C$1),'General Inputs'!K$10*$H91,0))</f>
        <v>25.145221418975282</v>
      </c>
      <c r="BI91" s="214">
        <f>IF(AND(($D91+$C$1)&gt;AN$3,AN$3&gt;=$C$1),'General Inputs'!L$10*$I91,IF(AND(($C91+$C$1)&gt;AN$3,AN$3&gt;=$C$1),'General Inputs'!L$10*$H91,0))</f>
        <v>25.52239974025991</v>
      </c>
      <c r="BJ91" s="214">
        <f>IF(AND(($D91+$C$1)&gt;AO$3,AO$3&gt;=$C$1),'General Inputs'!M$10*$I91,IF(AND(($C91+$C$1)&gt;AO$3,AO$3&gt;=$C$1),'General Inputs'!M$10*$H91,0))</f>
        <v>25.90523573636381</v>
      </c>
      <c r="BK91" s="214">
        <f>IF(AND(($D91+$C$1)&gt;AP$3,AP$3&gt;=$C$1),'General Inputs'!N$10*$I91,IF(AND(($C91+$C$1)&gt;AP$3,AP$3&gt;=$C$1),'General Inputs'!N$10*$H91,0))</f>
        <v>26.293814272409261</v>
      </c>
      <c r="BL91" s="214">
        <f>IF(AND(($D91+$C$1)&gt;AQ$3,AQ$3&gt;=$C$1),'General Inputs'!O$10*$I91,IF(AND(($C91+$C$1)&gt;AQ$3,AQ$3&gt;=$C$1),'General Inputs'!O$10*$H91,0))</f>
        <v>26.688221486495397</v>
      </c>
      <c r="BM91" s="214">
        <f>IF(AND(($D91+$C$1)&gt;AR$3,AR$3&gt;=$C$1),'General Inputs'!P$10*$I91,IF(AND(($C91+$C$1)&gt;AR$3,AR$3&gt;=$C$1),'General Inputs'!P$10*$H91,0))</f>
        <v>27.088544808792829</v>
      </c>
      <c r="BN91" s="214">
        <f>IF(AND(($D91+$C$1)&gt;AS$3,AS$3&gt;=$C$1),'General Inputs'!Q$10*$I91,IF(AND(($C91+$C$1)&gt;AS$3,AS$3&gt;=$C$1),'General Inputs'!Q$10*$H91,0))</f>
        <v>27.494872980924718</v>
      </c>
      <c r="BO91" s="214">
        <f>IF(AND(($D91+$C$1)&gt;AT$3,AT$3&gt;=$C$1),'General Inputs'!R$10*$I91,IF(AND(($C91+$C$1)&gt;AT$3,AT$3&gt;=$C$1),'General Inputs'!R$10*$H91,0))</f>
        <v>27.907296075638584</v>
      </c>
      <c r="BP91" s="214">
        <f>IF(AND(($D91+$C$1)&gt;AU$3,AU$3&gt;=$C$1),'General Inputs'!S$10*$I91,IF(AND(($C91+$C$1)&gt;AU$3,AU$3&gt;=$C$1),'General Inputs'!S$10*$H91,0))</f>
        <v>28.325905516773162</v>
      </c>
      <c r="BQ91" s="214">
        <f>IF(AND(($D91+$C$1)&gt;AV$3,AV$3&gt;=$C$1),'General Inputs'!T$10*$I91,IF(AND(($C91+$C$1)&gt;AV$3,AV$3&gt;=$C$1),'General Inputs'!T$10*$H91,0))</f>
        <v>0</v>
      </c>
      <c r="BR91" s="214">
        <f>IF(AND(($D91+$C$1)&gt;AW$3,AW$3&gt;=$C$1),'General Inputs'!U$10*$I91,IF(AND(($C91+$C$1)&gt;AW$3,AW$3&gt;=$C$1),'General Inputs'!U$10*$H91,0))</f>
        <v>0</v>
      </c>
      <c r="BS91" s="214">
        <f>IF(AND(($D91+$C$1)&gt;AX$3,AX$3&gt;=$C$1),'General Inputs'!V$10*$I91,IF(AND(($C91+$C$1)&gt;AX$3,AX$3&gt;=$C$1),'General Inputs'!V$10*$H91,0))</f>
        <v>0</v>
      </c>
      <c r="BT91" s="214">
        <f>IF(AND(($D91+$C$1)&gt;AY$3,AY$3&gt;=$C$1),'General Inputs'!W$10*$I91,IF(AND(($C91+$C$1)&gt;AY$3,AY$3&gt;=$C$1),'General Inputs'!W$10*$H91,0))</f>
        <v>0</v>
      </c>
    </row>
    <row r="92" spans="1:72">
      <c r="A92" s="342" t="s">
        <v>112</v>
      </c>
      <c r="B92" s="427" t="str">
        <f>Sources!B92</f>
        <v>Split Package Heat Pump</v>
      </c>
      <c r="C92" s="193">
        <f>Sources!C92</f>
        <v>15</v>
      </c>
      <c r="D92" s="193">
        <f>Sources!D92</f>
        <v>0</v>
      </c>
      <c r="F92" s="429">
        <f>Sources!F92*EnergyLineLoss</f>
        <v>2073.6377357936167</v>
      </c>
      <c r="G92" s="429">
        <f>Sources!G92*EnergyLineLoss</f>
        <v>0</v>
      </c>
      <c r="H92" s="477">
        <f>Sources!H92*PeakLineLoss</f>
        <v>0.31513549450549494</v>
      </c>
      <c r="I92" s="477">
        <f>Sources!I92*PeakLineLoss</f>
        <v>0</v>
      </c>
      <c r="K92" s="419">
        <f>Sources!J92</f>
        <v>370</v>
      </c>
      <c r="L92" s="419">
        <f>Sources!K92</f>
        <v>0</v>
      </c>
      <c r="N92" s="438">
        <f t="shared" si="36"/>
        <v>2.3044635484632865</v>
      </c>
      <c r="P92" s="215">
        <f t="shared" si="37"/>
        <v>741.04165009373946</v>
      </c>
      <c r="Q92" s="215">
        <f t="shared" si="38"/>
        <v>42.35738788073305</v>
      </c>
      <c r="R92" s="215">
        <f t="shared" si="39"/>
        <v>339.94854832782062</v>
      </c>
      <c r="T92" s="214">
        <f t="shared" si="40"/>
        <v>0</v>
      </c>
      <c r="U92" s="214">
        <f t="shared" si="40"/>
        <v>370</v>
      </c>
      <c r="V92" s="214">
        <f t="shared" si="40"/>
        <v>0</v>
      </c>
      <c r="W92" s="214">
        <f t="shared" si="40"/>
        <v>0</v>
      </c>
      <c r="X92" s="214">
        <f t="shared" si="40"/>
        <v>0</v>
      </c>
      <c r="Y92" s="214">
        <f t="shared" si="40"/>
        <v>0</v>
      </c>
      <c r="Z92" s="214">
        <f t="shared" si="40"/>
        <v>0</v>
      </c>
      <c r="AA92" s="214">
        <f t="shared" si="40"/>
        <v>0</v>
      </c>
      <c r="AB92" s="214">
        <f t="shared" si="40"/>
        <v>0</v>
      </c>
      <c r="AC92" s="214">
        <f t="shared" si="40"/>
        <v>0</v>
      </c>
      <c r="AD92" s="214">
        <f t="shared" si="40"/>
        <v>0</v>
      </c>
      <c r="AF92" s="214">
        <f>IF(AND(($D92+$C$1)&gt;AF$3,AF$3&gt;=$C$1),'General Inputs'!D$9*$G92,IF(AND(($C92+$C$1)&gt;AF$3,AF$3&gt;=$C$1),'General Inputs'!D$9*$F92,0))</f>
        <v>0</v>
      </c>
      <c r="AG92" s="214">
        <f>IF(AND(($D92+$C$1)&gt;AG$3,AG$3&gt;=$C$1),'General Inputs'!E$9*$G92,IF(AND(($C92+$C$1)&gt;AG$3,AG$3&gt;=$C$1),'General Inputs'!E$9*$F92,0))</f>
        <v>83.794567201612921</v>
      </c>
      <c r="AH92" s="214">
        <f>IF(AND(($D92+$C$1)&gt;AH$3,AH$3&gt;=$C$1),'General Inputs'!F$9*$G92,IF(AND(($C92+$C$1)&gt;AH$3,AH$3&gt;=$C$1),'General Inputs'!F$9*$F92,0))</f>
        <v>85.051485709637106</v>
      </c>
      <c r="AI92" s="214">
        <f>IF(AND(($D92+$C$1)&gt;AI$3,AI$3&gt;=$C$1),'General Inputs'!G$9*$G92,IF(AND(($C92+$C$1)&gt;AI$3,AI$3&gt;=$C$1),'General Inputs'!G$9*$F92,0))</f>
        <v>86.327257995281656</v>
      </c>
      <c r="AJ92" s="214">
        <f>IF(AND(($D92+$C$1)&gt;AJ$3,AJ$3&gt;=$C$1),'General Inputs'!H$9*$G92,IF(AND(($C92+$C$1)&gt;AJ$3,AJ$3&gt;=$C$1),'General Inputs'!H$9*$F92,0))</f>
        <v>87.622166865210858</v>
      </c>
      <c r="AK92" s="214">
        <f>IF(AND(($D92+$C$1)&gt;AK$3,AK$3&gt;=$C$1),'General Inputs'!I$9*$G92,IF(AND(($C92+$C$1)&gt;AK$3,AK$3&gt;=$C$1),'General Inputs'!I$9*$F92,0))</f>
        <v>88.936499368189018</v>
      </c>
      <c r="AL92" s="214">
        <f>IF(AND(($D92+$C$1)&gt;AL$3,AL$3&gt;=$C$1),'General Inputs'!J$9*$G92,IF(AND(($C92+$C$1)&gt;AL$3,AL$3&gt;=$C$1),'General Inputs'!J$9*$F92,0))</f>
        <v>90.270546858711839</v>
      </c>
      <c r="AM92" s="214">
        <f>IF(AND(($D92+$C$1)&gt;AM$3,AM$3&gt;=$C$1),'General Inputs'!K$9*$G92,IF(AND(($C92+$C$1)&gt;AM$3,AM$3&gt;=$C$1),'General Inputs'!K$9*$F92,0))</f>
        <v>91.624605061592504</v>
      </c>
      <c r="AN92" s="214">
        <f>IF(AND(($D92+$C$1)&gt;AN$3,AN$3&gt;=$C$1),'General Inputs'!L$9*$G92,IF(AND(($C92+$C$1)&gt;AN$3,AN$3&gt;=$C$1),'General Inputs'!L$9*$F92,0))</f>
        <v>92.998974137516385</v>
      </c>
      <c r="AO92" s="214">
        <f>IF(AND(($D92+$C$1)&gt;AO$3,AO$3&gt;=$C$1),'General Inputs'!M$9*$G92,IF(AND(($C92+$C$1)&gt;AO$3,AO$3&gt;=$C$1),'General Inputs'!M$9*$F92,0))</f>
        <v>94.393958749579113</v>
      </c>
      <c r="AP92" s="214">
        <f>IF(AND(($D92+$C$1)&gt;AP$3,AP$3&gt;=$C$1),'General Inputs'!N$9*$G92,IF(AND(($C92+$C$1)&gt;AP$3,AP$3&gt;=$C$1),'General Inputs'!N$9*$F92,0))</f>
        <v>95.809868130822792</v>
      </c>
      <c r="AQ92" s="214">
        <f>IF(AND(($D92+$C$1)&gt;AQ$3,AQ$3&gt;=$C$1),'General Inputs'!O$9*$G92,IF(AND(($C92+$C$1)&gt;AQ$3,AQ$3&gt;=$C$1),'General Inputs'!O$9*$F92,0))</f>
        <v>97.247016152785122</v>
      </c>
      <c r="AR92" s="214">
        <f>IF(AND(($D92+$C$1)&gt;AR$3,AR$3&gt;=$C$1),'General Inputs'!P$9*$G92,IF(AND(($C92+$C$1)&gt;AR$3,AR$3&gt;=$C$1),'General Inputs'!P$9*$F92,0))</f>
        <v>98.705721395076893</v>
      </c>
      <c r="AS92" s="214">
        <f>IF(AND(($D92+$C$1)&gt;AS$3,AS$3&gt;=$C$1),'General Inputs'!Q$9*$G92,IF(AND(($C92+$C$1)&gt;AS$3,AS$3&gt;=$C$1),'General Inputs'!Q$9*$F92,0))</f>
        <v>100.18630721600303</v>
      </c>
      <c r="AT92" s="214">
        <f>IF(AND(($D92+$C$1)&gt;AT$3,AT$3&gt;=$C$1),'General Inputs'!R$9*$G92,IF(AND(($C92+$C$1)&gt;AT$3,AT$3&gt;=$C$1),'General Inputs'!R$9*$F92,0))</f>
        <v>101.68910182424308</v>
      </c>
      <c r="AU92" s="214">
        <f>IF(AND(($D92+$C$1)&gt;AU$3,AU$3&gt;=$C$1),'General Inputs'!S$9*$G92,IF(AND(($C92+$C$1)&gt;AU$3,AU$3&gt;=$C$1),'General Inputs'!S$9*$F92,0))</f>
        <v>103.21443835160672</v>
      </c>
      <c r="AV92" s="214">
        <f>IF(AND(($D92+$C$1)&gt;AV$3,AV$3&gt;=$C$1),'General Inputs'!T$9*$G92,IF(AND(($C92+$C$1)&gt;AV$3,AV$3&gt;=$C$1),'General Inputs'!T$9*$F92,0))</f>
        <v>0</v>
      </c>
      <c r="AW92" s="214">
        <f>IF(AND(($D92+$C$1)&gt;AW$3,AW$3&gt;=$C$1),'General Inputs'!U$9*$G92,IF(AND(($C92+$C$1)&gt;AW$3,AW$3&gt;=$C$1),'General Inputs'!U$9*$F92,0))</f>
        <v>0</v>
      </c>
      <c r="AX92" s="214">
        <f>IF(AND(($D92+$C$1)&gt;AX$3,AX$3&gt;=$C$1),'General Inputs'!V$9*$G92,IF(AND(($C92+$C$1)&gt;AX$3,AX$3&gt;=$C$1),'General Inputs'!V$9*$F92,0))</f>
        <v>0</v>
      </c>
      <c r="AY92" s="214">
        <f>IF(AND(($D92+$C$1)&gt;AY$3,AY$3&gt;=$C$1),'General Inputs'!W$9*$G92,IF(AND(($C92+$C$1)&gt;AY$3,AY$3&gt;=$C$1),'General Inputs'!W$9*$F92,0))</f>
        <v>0</v>
      </c>
      <c r="BA92" s="214">
        <f>IF(AND(($D92+$C$1)&gt;AF$3,AF$3&gt;=$C$1),'General Inputs'!D$10*$I92,IF(AND(($C92+$C$1)&gt;AF$3,AF$3&gt;=$C$1),'General Inputs'!D$10*$H92,0))</f>
        <v>0</v>
      </c>
      <c r="BB92" s="214">
        <f>IF(AND(($D92+$C$1)&gt;AG$3,AG$3&gt;=$C$1),'General Inputs'!E$10*$I92,IF(AND(($C92+$C$1)&gt;AG$3,AG$3&gt;=$C$1),'General Inputs'!E$10*$H92,0))</f>
        <v>4.7896349480597911</v>
      </c>
      <c r="BC92" s="214">
        <f>IF(AND(($D92+$C$1)&gt;AH$3,AH$3&gt;=$C$1),'General Inputs'!F$10*$I92,IF(AND(($C92+$C$1)&gt;AH$3,AH$3&gt;=$C$1),'General Inputs'!F$10*$H92,0))</f>
        <v>4.8614794722806876</v>
      </c>
      <c r="BD92" s="214">
        <f>IF(AND(($D92+$C$1)&gt;AI$3,AI$3&gt;=$C$1),'General Inputs'!G$10*$I92,IF(AND(($C92+$C$1)&gt;AI$3,AI$3&gt;=$C$1),'General Inputs'!G$10*$H92,0))</f>
        <v>4.9344016643648976</v>
      </c>
      <c r="BE92" s="214">
        <f>IF(AND(($D92+$C$1)&gt;AJ$3,AJ$3&gt;=$C$1),'General Inputs'!H$10*$I92,IF(AND(($C92+$C$1)&gt;AJ$3,AJ$3&gt;=$C$1),'General Inputs'!H$10*$H92,0))</f>
        <v>5.0084176893303702</v>
      </c>
      <c r="BF92" s="214">
        <f>IF(AND(($D92+$C$1)&gt;AK$3,AK$3&gt;=$C$1),'General Inputs'!I$10*$I92,IF(AND(($C92+$C$1)&gt;AK$3,AK$3&gt;=$C$1),'General Inputs'!I$10*$H92,0))</f>
        <v>5.0835439546703247</v>
      </c>
      <c r="BG92" s="214">
        <f>IF(AND(($D92+$C$1)&gt;AL$3,AL$3&gt;=$C$1),'General Inputs'!J$10*$I92,IF(AND(($C92+$C$1)&gt;AL$3,AL$3&gt;=$C$1),'General Inputs'!J$10*$H92,0))</f>
        <v>5.1597971139903791</v>
      </c>
      <c r="BH92" s="214">
        <f>IF(AND(($D92+$C$1)&gt;AM$3,AM$3&gt;=$C$1),'General Inputs'!K$10*$I92,IF(AND(($C92+$C$1)&gt;AM$3,AM$3&gt;=$C$1),'General Inputs'!K$10*$H92,0))</f>
        <v>5.2371940707002347</v>
      </c>
      <c r="BI92" s="214">
        <f>IF(AND(($D92+$C$1)&gt;AN$3,AN$3&gt;=$C$1),'General Inputs'!L$10*$I92,IF(AND(($C92+$C$1)&gt;AN$3,AN$3&gt;=$C$1),'General Inputs'!L$10*$H92,0))</f>
        <v>5.3157519817607382</v>
      </c>
      <c r="BJ92" s="214">
        <f>IF(AND(($D92+$C$1)&gt;AO$3,AO$3&gt;=$C$1),'General Inputs'!M$10*$I92,IF(AND(($C92+$C$1)&gt;AO$3,AO$3&gt;=$C$1),'General Inputs'!M$10*$H92,0))</f>
        <v>5.3954882614871487</v>
      </c>
      <c r="BK92" s="214">
        <f>IF(AND(($D92+$C$1)&gt;AP$3,AP$3&gt;=$C$1),'General Inputs'!N$10*$I92,IF(AND(($C92+$C$1)&gt;AP$3,AP$3&gt;=$C$1),'General Inputs'!N$10*$H92,0))</f>
        <v>5.4764205854094552</v>
      </c>
      <c r="BL92" s="214">
        <f>IF(AND(($D92+$C$1)&gt;AQ$3,AQ$3&gt;=$C$1),'General Inputs'!O$10*$I92,IF(AND(($C92+$C$1)&gt;AQ$3,AQ$3&gt;=$C$1),'General Inputs'!O$10*$H92,0))</f>
        <v>5.5585668941905961</v>
      </c>
      <c r="BM92" s="214">
        <f>IF(AND(($D92+$C$1)&gt;AR$3,AR$3&gt;=$C$1),'General Inputs'!P$10*$I92,IF(AND(($C92+$C$1)&gt;AR$3,AR$3&gt;=$C$1),'General Inputs'!P$10*$H92,0))</f>
        <v>5.6419453976034548</v>
      </c>
      <c r="BN92" s="214">
        <f>IF(AND(($D92+$C$1)&gt;AS$3,AS$3&gt;=$C$1),'General Inputs'!Q$10*$I92,IF(AND(($C92+$C$1)&gt;AS$3,AS$3&gt;=$C$1),'General Inputs'!Q$10*$H92,0))</f>
        <v>5.7265745785675062</v>
      </c>
      <c r="BO92" s="214">
        <f>IF(AND(($D92+$C$1)&gt;AT$3,AT$3&gt;=$C$1),'General Inputs'!R$10*$I92,IF(AND(($C92+$C$1)&gt;AT$3,AT$3&gt;=$C$1),'General Inputs'!R$10*$H92,0))</f>
        <v>5.8124731972460175</v>
      </c>
      <c r="BP92" s="214">
        <f>IF(AND(($D92+$C$1)&gt;AU$3,AU$3&gt;=$C$1),'General Inputs'!S$10*$I92,IF(AND(($C92+$C$1)&gt;AU$3,AU$3&gt;=$C$1),'General Inputs'!S$10*$H92,0))</f>
        <v>5.8996602952047077</v>
      </c>
      <c r="BQ92" s="214">
        <f>IF(AND(($D92+$C$1)&gt;AV$3,AV$3&gt;=$C$1),'General Inputs'!T$10*$I92,IF(AND(($C92+$C$1)&gt;AV$3,AV$3&gt;=$C$1),'General Inputs'!T$10*$H92,0))</f>
        <v>0</v>
      </c>
      <c r="BR92" s="214">
        <f>IF(AND(($D92+$C$1)&gt;AW$3,AW$3&gt;=$C$1),'General Inputs'!U$10*$I92,IF(AND(($C92+$C$1)&gt;AW$3,AW$3&gt;=$C$1),'General Inputs'!U$10*$H92,0))</f>
        <v>0</v>
      </c>
      <c r="BS92" s="214">
        <f>IF(AND(($D92+$C$1)&gt;AX$3,AX$3&gt;=$C$1),'General Inputs'!V$10*$I92,IF(AND(($C92+$C$1)&gt;AX$3,AX$3&gt;=$C$1),'General Inputs'!V$10*$H92,0))</f>
        <v>0</v>
      </c>
      <c r="BT92" s="214">
        <f>IF(AND(($D92+$C$1)&gt;AY$3,AY$3&gt;=$C$1),'General Inputs'!W$10*$I92,IF(AND(($C92+$C$1)&gt;AY$3,AY$3&gt;=$C$1),'General Inputs'!W$10*$H92,0))</f>
        <v>0</v>
      </c>
    </row>
    <row r="93" spans="1:72">
      <c r="A93" s="342" t="s">
        <v>112</v>
      </c>
      <c r="B93" s="427" t="str">
        <f>Sources!B93</f>
        <v>Single System Heat Pump</v>
      </c>
      <c r="C93" s="193">
        <f>Sources!C93</f>
        <v>15</v>
      </c>
      <c r="D93" s="193">
        <f>Sources!D93</f>
        <v>0</v>
      </c>
      <c r="F93" s="429">
        <f>Sources!F93*EnergyLineLoss</f>
        <v>949.34450049949885</v>
      </c>
      <c r="G93" s="429">
        <f>Sources!G93*EnergyLineLoss</f>
        <v>0</v>
      </c>
      <c r="H93" s="477">
        <f>Sources!H93*PeakLineLoss</f>
        <v>0.31513549450549494</v>
      </c>
      <c r="I93" s="477">
        <f>Sources!I93*PeakLineLoss</f>
        <v>0</v>
      </c>
      <c r="K93" s="419">
        <f>Sources!J93</f>
        <v>370</v>
      </c>
      <c r="L93" s="419">
        <f>Sources!K93</f>
        <v>0</v>
      </c>
      <c r="N93" s="438">
        <f t="shared" si="36"/>
        <v>1.1225760544952996</v>
      </c>
      <c r="P93" s="215">
        <f t="shared" si="37"/>
        <v>339.26071223251654</v>
      </c>
      <c r="Q93" s="215">
        <f t="shared" si="38"/>
        <v>42.35738788073305</v>
      </c>
      <c r="R93" s="215">
        <f t="shared" si="39"/>
        <v>339.94854832782062</v>
      </c>
      <c r="T93" s="214">
        <f t="shared" si="40"/>
        <v>0</v>
      </c>
      <c r="U93" s="214">
        <f t="shared" si="40"/>
        <v>370</v>
      </c>
      <c r="V93" s="214">
        <f t="shared" si="40"/>
        <v>0</v>
      </c>
      <c r="W93" s="214">
        <f t="shared" si="40"/>
        <v>0</v>
      </c>
      <c r="X93" s="214">
        <f t="shared" si="40"/>
        <v>0</v>
      </c>
      <c r="Y93" s="214">
        <f t="shared" si="40"/>
        <v>0</v>
      </c>
      <c r="Z93" s="214">
        <f t="shared" si="40"/>
        <v>0</v>
      </c>
      <c r="AA93" s="214">
        <f t="shared" si="40"/>
        <v>0</v>
      </c>
      <c r="AB93" s="214">
        <f t="shared" si="40"/>
        <v>0</v>
      </c>
      <c r="AC93" s="214">
        <f t="shared" si="40"/>
        <v>0</v>
      </c>
      <c r="AD93" s="214">
        <f t="shared" si="40"/>
        <v>0</v>
      </c>
      <c r="AF93" s="214">
        <f>IF(AND(($D93+$C$1)&gt;AF$3,AF$3&gt;=$C$1),'General Inputs'!D$9*$G93,IF(AND(($C93+$C$1)&gt;AF$3,AF$3&gt;=$C$1),'General Inputs'!D$9*$F93,0))</f>
        <v>0</v>
      </c>
      <c r="AG93" s="214">
        <f>IF(AND(($D93+$C$1)&gt;AG$3,AG$3&gt;=$C$1),'General Inputs'!E$9*$G93,IF(AND(($C93+$C$1)&gt;AG$3,AG$3&gt;=$C$1),'General Inputs'!E$9*$F93,0))</f>
        <v>38.36249223837634</v>
      </c>
      <c r="AH93" s="214">
        <f>IF(AND(($D93+$C$1)&gt;AH$3,AH$3&gt;=$C$1),'General Inputs'!F$9*$G93,IF(AND(($C93+$C$1)&gt;AH$3,AH$3&gt;=$C$1),'General Inputs'!F$9*$F93,0))</f>
        <v>38.93792962195198</v>
      </c>
      <c r="AI93" s="214">
        <f>IF(AND(($D93+$C$1)&gt;AI$3,AI$3&gt;=$C$1),'General Inputs'!G$9*$G93,IF(AND(($C93+$C$1)&gt;AI$3,AI$3&gt;=$C$1),'General Inputs'!G$9*$F93,0))</f>
        <v>39.521998566281255</v>
      </c>
      <c r="AJ93" s="214">
        <f>IF(AND(($D93+$C$1)&gt;AJ$3,AJ$3&gt;=$C$1),'General Inputs'!H$9*$G93,IF(AND(($C93+$C$1)&gt;AJ$3,AJ$3&gt;=$C$1),'General Inputs'!H$9*$F93,0))</f>
        <v>40.11482854477547</v>
      </c>
      <c r="AK93" s="214">
        <f>IF(AND(($D93+$C$1)&gt;AK$3,AK$3&gt;=$C$1),'General Inputs'!I$9*$G93,IF(AND(($C93+$C$1)&gt;AK$3,AK$3&gt;=$C$1),'General Inputs'!I$9*$F93,0))</f>
        <v>40.716550972947097</v>
      </c>
      <c r="AL93" s="214">
        <f>IF(AND(($D93+$C$1)&gt;AL$3,AL$3&gt;=$C$1),'General Inputs'!J$9*$G93,IF(AND(($C93+$C$1)&gt;AL$3,AL$3&gt;=$C$1),'General Inputs'!J$9*$F93,0))</f>
        <v>41.327299237541297</v>
      </c>
      <c r="AM93" s="214">
        <f>IF(AND(($D93+$C$1)&gt;AM$3,AM$3&gt;=$C$1),'General Inputs'!K$9*$G93,IF(AND(($C93+$C$1)&gt;AM$3,AM$3&gt;=$C$1),'General Inputs'!K$9*$F93,0))</f>
        <v>41.947208726104407</v>
      </c>
      <c r="AN93" s="214">
        <f>IF(AND(($D93+$C$1)&gt;AN$3,AN$3&gt;=$C$1),'General Inputs'!L$9*$G93,IF(AND(($C93+$C$1)&gt;AN$3,AN$3&gt;=$C$1),'General Inputs'!L$9*$F93,0))</f>
        <v>42.576416856995969</v>
      </c>
      <c r="AO93" s="214">
        <f>IF(AND(($D93+$C$1)&gt;AO$3,AO$3&gt;=$C$1),'General Inputs'!M$9*$G93,IF(AND(($C93+$C$1)&gt;AO$3,AO$3&gt;=$C$1),'General Inputs'!M$9*$F93,0))</f>
        <v>43.215063109850902</v>
      </c>
      <c r="AP93" s="214">
        <f>IF(AND(($D93+$C$1)&gt;AP$3,AP$3&gt;=$C$1),'General Inputs'!N$9*$G93,IF(AND(($C93+$C$1)&gt;AP$3,AP$3&gt;=$C$1),'General Inputs'!N$9*$F93,0))</f>
        <v>43.863289056498665</v>
      </c>
      <c r="AQ93" s="214">
        <f>IF(AND(($D93+$C$1)&gt;AQ$3,AQ$3&gt;=$C$1),'General Inputs'!O$9*$G93,IF(AND(($C93+$C$1)&gt;AQ$3,AQ$3&gt;=$C$1),'General Inputs'!O$9*$F93,0))</f>
        <v>44.521238392346142</v>
      </c>
      <c r="AR93" s="214">
        <f>IF(AND(($D93+$C$1)&gt;AR$3,AR$3&gt;=$C$1),'General Inputs'!P$9*$G93,IF(AND(($C93+$C$1)&gt;AR$3,AR$3&gt;=$C$1),'General Inputs'!P$9*$F93,0))</f>
        <v>45.189056968231327</v>
      </c>
      <c r="AS93" s="214">
        <f>IF(AND(($D93+$C$1)&gt;AS$3,AS$3&gt;=$C$1),'General Inputs'!Q$9*$G93,IF(AND(($C93+$C$1)&gt;AS$3,AS$3&gt;=$C$1),'General Inputs'!Q$9*$F93,0))</f>
        <v>45.866892822754792</v>
      </c>
      <c r="AT93" s="214">
        <f>IF(AND(($D93+$C$1)&gt;AT$3,AT$3&gt;=$C$1),'General Inputs'!R$9*$G93,IF(AND(($C93+$C$1)&gt;AT$3,AT$3&gt;=$C$1),'General Inputs'!R$9*$F93,0))</f>
        <v>46.554896215096115</v>
      </c>
      <c r="AU93" s="214">
        <f>IF(AND(($D93+$C$1)&gt;AU$3,AU$3&gt;=$C$1),'General Inputs'!S$9*$G93,IF(AND(($C93+$C$1)&gt;AU$3,AU$3&gt;=$C$1),'General Inputs'!S$9*$F93,0))</f>
        <v>47.25321965832255</v>
      </c>
      <c r="AV93" s="214">
        <f>IF(AND(($D93+$C$1)&gt;AV$3,AV$3&gt;=$C$1),'General Inputs'!T$9*$G93,IF(AND(($C93+$C$1)&gt;AV$3,AV$3&gt;=$C$1),'General Inputs'!T$9*$F93,0))</f>
        <v>0</v>
      </c>
      <c r="AW93" s="214">
        <f>IF(AND(($D93+$C$1)&gt;AW$3,AW$3&gt;=$C$1),'General Inputs'!U$9*$G93,IF(AND(($C93+$C$1)&gt;AW$3,AW$3&gt;=$C$1),'General Inputs'!U$9*$F93,0))</f>
        <v>0</v>
      </c>
      <c r="AX93" s="214">
        <f>IF(AND(($D93+$C$1)&gt;AX$3,AX$3&gt;=$C$1),'General Inputs'!V$9*$G93,IF(AND(($C93+$C$1)&gt;AX$3,AX$3&gt;=$C$1),'General Inputs'!V$9*$F93,0))</f>
        <v>0</v>
      </c>
      <c r="AY93" s="214">
        <f>IF(AND(($D93+$C$1)&gt;AY$3,AY$3&gt;=$C$1),'General Inputs'!W$9*$G93,IF(AND(($C93+$C$1)&gt;AY$3,AY$3&gt;=$C$1),'General Inputs'!W$9*$F93,0))</f>
        <v>0</v>
      </c>
      <c r="BA93" s="214">
        <f>IF(AND(($D93+$C$1)&gt;AF$3,AF$3&gt;=$C$1),'General Inputs'!D$10*$I93,IF(AND(($C93+$C$1)&gt;AF$3,AF$3&gt;=$C$1),'General Inputs'!D$10*$H93,0))</f>
        <v>0</v>
      </c>
      <c r="BB93" s="214">
        <f>IF(AND(($D93+$C$1)&gt;AG$3,AG$3&gt;=$C$1),'General Inputs'!E$10*$I93,IF(AND(($C93+$C$1)&gt;AG$3,AG$3&gt;=$C$1),'General Inputs'!E$10*$H93,0))</f>
        <v>4.7896349480597911</v>
      </c>
      <c r="BC93" s="214">
        <f>IF(AND(($D93+$C$1)&gt;AH$3,AH$3&gt;=$C$1),'General Inputs'!F$10*$I93,IF(AND(($C93+$C$1)&gt;AH$3,AH$3&gt;=$C$1),'General Inputs'!F$10*$H93,0))</f>
        <v>4.8614794722806876</v>
      </c>
      <c r="BD93" s="214">
        <f>IF(AND(($D93+$C$1)&gt;AI$3,AI$3&gt;=$C$1),'General Inputs'!G$10*$I93,IF(AND(($C93+$C$1)&gt;AI$3,AI$3&gt;=$C$1),'General Inputs'!G$10*$H93,0))</f>
        <v>4.9344016643648976</v>
      </c>
      <c r="BE93" s="214">
        <f>IF(AND(($D93+$C$1)&gt;AJ$3,AJ$3&gt;=$C$1),'General Inputs'!H$10*$I93,IF(AND(($C93+$C$1)&gt;AJ$3,AJ$3&gt;=$C$1),'General Inputs'!H$10*$H93,0))</f>
        <v>5.0084176893303702</v>
      </c>
      <c r="BF93" s="214">
        <f>IF(AND(($D93+$C$1)&gt;AK$3,AK$3&gt;=$C$1),'General Inputs'!I$10*$I93,IF(AND(($C93+$C$1)&gt;AK$3,AK$3&gt;=$C$1),'General Inputs'!I$10*$H93,0))</f>
        <v>5.0835439546703247</v>
      </c>
      <c r="BG93" s="214">
        <f>IF(AND(($D93+$C$1)&gt;AL$3,AL$3&gt;=$C$1),'General Inputs'!J$10*$I93,IF(AND(($C93+$C$1)&gt;AL$3,AL$3&gt;=$C$1),'General Inputs'!J$10*$H93,0))</f>
        <v>5.1597971139903791</v>
      </c>
      <c r="BH93" s="214">
        <f>IF(AND(($D93+$C$1)&gt;AM$3,AM$3&gt;=$C$1),'General Inputs'!K$10*$I93,IF(AND(($C93+$C$1)&gt;AM$3,AM$3&gt;=$C$1),'General Inputs'!K$10*$H93,0))</f>
        <v>5.2371940707002347</v>
      </c>
      <c r="BI93" s="214">
        <f>IF(AND(($D93+$C$1)&gt;AN$3,AN$3&gt;=$C$1),'General Inputs'!L$10*$I93,IF(AND(($C93+$C$1)&gt;AN$3,AN$3&gt;=$C$1),'General Inputs'!L$10*$H93,0))</f>
        <v>5.3157519817607382</v>
      </c>
      <c r="BJ93" s="214">
        <f>IF(AND(($D93+$C$1)&gt;AO$3,AO$3&gt;=$C$1),'General Inputs'!M$10*$I93,IF(AND(($C93+$C$1)&gt;AO$3,AO$3&gt;=$C$1),'General Inputs'!M$10*$H93,0))</f>
        <v>5.3954882614871487</v>
      </c>
      <c r="BK93" s="214">
        <f>IF(AND(($D93+$C$1)&gt;AP$3,AP$3&gt;=$C$1),'General Inputs'!N$10*$I93,IF(AND(($C93+$C$1)&gt;AP$3,AP$3&gt;=$C$1),'General Inputs'!N$10*$H93,0))</f>
        <v>5.4764205854094552</v>
      </c>
      <c r="BL93" s="214">
        <f>IF(AND(($D93+$C$1)&gt;AQ$3,AQ$3&gt;=$C$1),'General Inputs'!O$10*$I93,IF(AND(($C93+$C$1)&gt;AQ$3,AQ$3&gt;=$C$1),'General Inputs'!O$10*$H93,0))</f>
        <v>5.5585668941905961</v>
      </c>
      <c r="BM93" s="214">
        <f>IF(AND(($D93+$C$1)&gt;AR$3,AR$3&gt;=$C$1),'General Inputs'!P$10*$I93,IF(AND(($C93+$C$1)&gt;AR$3,AR$3&gt;=$C$1),'General Inputs'!P$10*$H93,0))</f>
        <v>5.6419453976034548</v>
      </c>
      <c r="BN93" s="214">
        <f>IF(AND(($D93+$C$1)&gt;AS$3,AS$3&gt;=$C$1),'General Inputs'!Q$10*$I93,IF(AND(($C93+$C$1)&gt;AS$3,AS$3&gt;=$C$1),'General Inputs'!Q$10*$H93,0))</f>
        <v>5.7265745785675062</v>
      </c>
      <c r="BO93" s="214">
        <f>IF(AND(($D93+$C$1)&gt;AT$3,AT$3&gt;=$C$1),'General Inputs'!R$10*$I93,IF(AND(($C93+$C$1)&gt;AT$3,AT$3&gt;=$C$1),'General Inputs'!R$10*$H93,0))</f>
        <v>5.8124731972460175</v>
      </c>
      <c r="BP93" s="214">
        <f>IF(AND(($D93+$C$1)&gt;AU$3,AU$3&gt;=$C$1),'General Inputs'!S$10*$I93,IF(AND(($C93+$C$1)&gt;AU$3,AU$3&gt;=$C$1),'General Inputs'!S$10*$H93,0))</f>
        <v>5.8996602952047077</v>
      </c>
      <c r="BQ93" s="214">
        <f>IF(AND(($D93+$C$1)&gt;AV$3,AV$3&gt;=$C$1),'General Inputs'!T$10*$I93,IF(AND(($C93+$C$1)&gt;AV$3,AV$3&gt;=$C$1),'General Inputs'!T$10*$H93,0))</f>
        <v>0</v>
      </c>
      <c r="BR93" s="214">
        <f>IF(AND(($D93+$C$1)&gt;AW$3,AW$3&gt;=$C$1),'General Inputs'!U$10*$I93,IF(AND(($C93+$C$1)&gt;AW$3,AW$3&gt;=$C$1),'General Inputs'!U$10*$H93,0))</f>
        <v>0</v>
      </c>
      <c r="BS93" s="214">
        <f>IF(AND(($D93+$C$1)&gt;AX$3,AX$3&gt;=$C$1),'General Inputs'!V$10*$I93,IF(AND(($C93+$C$1)&gt;AX$3,AX$3&gt;=$C$1),'General Inputs'!V$10*$H93,0))</f>
        <v>0</v>
      </c>
      <c r="BT93" s="214">
        <f>IF(AND(($D93+$C$1)&gt;AY$3,AY$3&gt;=$C$1),'General Inputs'!W$10*$I93,IF(AND(($C93+$C$1)&gt;AY$3,AY$3&gt;=$C$1),'General Inputs'!W$10*$H93,0))</f>
        <v>0</v>
      </c>
    </row>
    <row r="94" spans="1:72">
      <c r="A94" s="342" t="s">
        <v>112</v>
      </c>
      <c r="B94" s="427" t="str">
        <f>Sources!B94</f>
        <v>Heat Pump 65 &lt; 135 kBtuh</v>
      </c>
      <c r="C94" s="193">
        <f>Sources!C94</f>
        <v>15</v>
      </c>
      <c r="D94" s="193">
        <f>Sources!D94</f>
        <v>0</v>
      </c>
      <c r="F94" s="429">
        <f>Sources!F94*EnergyLineLoss</f>
        <v>1950.6050348316223</v>
      </c>
      <c r="G94" s="429">
        <f>Sources!G94*EnergyLineLoss</f>
        <v>0</v>
      </c>
      <c r="H94" s="477">
        <f>Sources!H94*PeakLineLoss</f>
        <v>6.5762918918918348E-2</v>
      </c>
      <c r="I94" s="477">
        <f>Sources!I94*PeakLineLoss</f>
        <v>0</v>
      </c>
      <c r="K94" s="419">
        <f>Sources!J94</f>
        <v>700</v>
      </c>
      <c r="L94" s="419">
        <f>Sources!K94</f>
        <v>0</v>
      </c>
      <c r="N94" s="438">
        <f t="shared" si="36"/>
        <v>1.0975946471568512</v>
      </c>
      <c r="P94" s="215">
        <f t="shared" si="37"/>
        <v>697.07430027047212</v>
      </c>
      <c r="Q94" s="215">
        <f t="shared" si="38"/>
        <v>8.839199371016111</v>
      </c>
      <c r="R94" s="215">
        <f t="shared" si="39"/>
        <v>643.1459022418228</v>
      </c>
      <c r="T94" s="214">
        <f t="shared" si="40"/>
        <v>0</v>
      </c>
      <c r="U94" s="214">
        <f t="shared" si="40"/>
        <v>700</v>
      </c>
      <c r="V94" s="214">
        <f t="shared" si="40"/>
        <v>0</v>
      </c>
      <c r="W94" s="214">
        <f t="shared" si="40"/>
        <v>0</v>
      </c>
      <c r="X94" s="214">
        <f t="shared" si="40"/>
        <v>0</v>
      </c>
      <c r="Y94" s="214">
        <f t="shared" si="40"/>
        <v>0</v>
      </c>
      <c r="Z94" s="214">
        <f t="shared" si="40"/>
        <v>0</v>
      </c>
      <c r="AA94" s="214">
        <f t="shared" si="40"/>
        <v>0</v>
      </c>
      <c r="AB94" s="214">
        <f t="shared" si="40"/>
        <v>0</v>
      </c>
      <c r="AC94" s="214">
        <f t="shared" si="40"/>
        <v>0</v>
      </c>
      <c r="AD94" s="214">
        <f t="shared" si="40"/>
        <v>0</v>
      </c>
      <c r="AF94" s="214">
        <f>IF(AND(($D94+$C$1)&gt;AF$3,AF$3&gt;=$C$1),'General Inputs'!D$9*$G94,IF(AND(($C94+$C$1)&gt;AF$3,AF$3&gt;=$C$1),'General Inputs'!D$9*$F94,0))</f>
        <v>0</v>
      </c>
      <c r="AG94" s="214">
        <f>IF(AND(($D94+$C$1)&gt;AG$3,AG$3&gt;=$C$1),'General Inputs'!E$9*$G94,IF(AND(($C94+$C$1)&gt;AG$3,AG$3&gt;=$C$1),'General Inputs'!E$9*$F94,0))</f>
        <v>78.822883020330323</v>
      </c>
      <c r="AH94" s="214">
        <f>IF(AND(($D94+$C$1)&gt;AH$3,AH$3&gt;=$C$1),'General Inputs'!F$9*$G94,IF(AND(($C94+$C$1)&gt;AH$3,AH$3&gt;=$C$1),'General Inputs'!F$9*$F94,0))</f>
        <v>80.005226265635272</v>
      </c>
      <c r="AI94" s="214">
        <f>IF(AND(($D94+$C$1)&gt;AI$3,AI$3&gt;=$C$1),'General Inputs'!G$9*$G94,IF(AND(($C94+$C$1)&gt;AI$3,AI$3&gt;=$C$1),'General Inputs'!G$9*$F94,0))</f>
        <v>81.205304659619785</v>
      </c>
      <c r="AJ94" s="214">
        <f>IF(AND(($D94+$C$1)&gt;AJ$3,AJ$3&gt;=$C$1),'General Inputs'!H$9*$G94,IF(AND(($C94+$C$1)&gt;AJ$3,AJ$3&gt;=$C$1),'General Inputs'!H$9*$F94,0))</f>
        <v>82.42338422951407</v>
      </c>
      <c r="AK94" s="214">
        <f>IF(AND(($D94+$C$1)&gt;AK$3,AK$3&gt;=$C$1),'General Inputs'!I$9*$G94,IF(AND(($C94+$C$1)&gt;AK$3,AK$3&gt;=$C$1),'General Inputs'!I$9*$F94,0))</f>
        <v>83.659734992956771</v>
      </c>
      <c r="AL94" s="214">
        <f>IF(AND(($D94+$C$1)&gt;AL$3,AL$3&gt;=$C$1),'General Inputs'!J$9*$G94,IF(AND(($C94+$C$1)&gt;AL$3,AL$3&gt;=$C$1),'General Inputs'!J$9*$F94,0))</f>
        <v>84.914631017851121</v>
      </c>
      <c r="AM94" s="214">
        <f>IF(AND(($D94+$C$1)&gt;AM$3,AM$3&gt;=$C$1),'General Inputs'!K$9*$G94,IF(AND(($C94+$C$1)&gt;AM$3,AM$3&gt;=$C$1),'General Inputs'!K$9*$F94,0))</f>
        <v>86.188350483118867</v>
      </c>
      <c r="AN94" s="214">
        <f>IF(AND(($D94+$C$1)&gt;AN$3,AN$3&gt;=$C$1),'General Inputs'!L$9*$G94,IF(AND(($C94+$C$1)&gt;AN$3,AN$3&gt;=$C$1),'General Inputs'!L$9*$F94,0))</f>
        <v>87.481175740365643</v>
      </c>
      <c r="AO94" s="214">
        <f>IF(AND(($D94+$C$1)&gt;AO$3,AO$3&gt;=$C$1),'General Inputs'!M$9*$G94,IF(AND(($C94+$C$1)&gt;AO$3,AO$3&gt;=$C$1),'General Inputs'!M$9*$F94,0))</f>
        <v>88.793393376471116</v>
      </c>
      <c r="AP94" s="214">
        <f>IF(AND(($D94+$C$1)&gt;AP$3,AP$3&gt;=$C$1),'General Inputs'!N$9*$G94,IF(AND(($C94+$C$1)&gt;AP$3,AP$3&gt;=$C$1),'General Inputs'!N$9*$F94,0))</f>
        <v>90.125294277118172</v>
      </c>
      <c r="AQ94" s="214">
        <f>IF(AND(($D94+$C$1)&gt;AQ$3,AQ$3&gt;=$C$1),'General Inputs'!O$9*$G94,IF(AND(($C94+$C$1)&gt;AQ$3,AQ$3&gt;=$C$1),'General Inputs'!O$9*$F94,0))</f>
        <v>91.477173691274942</v>
      </c>
      <c r="AR94" s="214">
        <f>IF(AND(($D94+$C$1)&gt;AR$3,AR$3&gt;=$C$1),'General Inputs'!P$9*$G94,IF(AND(($C94+$C$1)&gt;AR$3,AR$3&gt;=$C$1),'General Inputs'!P$9*$F94,0))</f>
        <v>92.849331296644053</v>
      </c>
      <c r="AS94" s="214">
        <f>IF(AND(($D94+$C$1)&gt;AS$3,AS$3&gt;=$C$1),'General Inputs'!Q$9*$G94,IF(AND(($C94+$C$1)&gt;AS$3,AS$3&gt;=$C$1),'General Inputs'!Q$9*$F94,0))</f>
        <v>94.242071266093703</v>
      </c>
      <c r="AT94" s="214">
        <f>IF(AND(($D94+$C$1)&gt;AT$3,AT$3&gt;=$C$1),'General Inputs'!R$9*$G94,IF(AND(($C94+$C$1)&gt;AT$3,AT$3&gt;=$C$1),'General Inputs'!R$9*$F94,0))</f>
        <v>95.65570233508511</v>
      </c>
      <c r="AU94" s="214">
        <f>IF(AND(($D94+$C$1)&gt;AU$3,AU$3&gt;=$C$1),'General Inputs'!S$9*$G94,IF(AND(($C94+$C$1)&gt;AU$3,AU$3&gt;=$C$1),'General Inputs'!S$9*$F94,0))</f>
        <v>97.090537870111376</v>
      </c>
      <c r="AV94" s="214">
        <f>IF(AND(($D94+$C$1)&gt;AV$3,AV$3&gt;=$C$1),'General Inputs'!T$9*$G94,IF(AND(($C94+$C$1)&gt;AV$3,AV$3&gt;=$C$1),'General Inputs'!T$9*$F94,0))</f>
        <v>0</v>
      </c>
      <c r="AW94" s="214">
        <f>IF(AND(($D94+$C$1)&gt;AW$3,AW$3&gt;=$C$1),'General Inputs'!U$9*$G94,IF(AND(($C94+$C$1)&gt;AW$3,AW$3&gt;=$C$1),'General Inputs'!U$9*$F94,0))</f>
        <v>0</v>
      </c>
      <c r="AX94" s="214">
        <f>IF(AND(($D94+$C$1)&gt;AX$3,AX$3&gt;=$C$1),'General Inputs'!V$9*$G94,IF(AND(($C94+$C$1)&gt;AX$3,AX$3&gt;=$C$1),'General Inputs'!V$9*$F94,0))</f>
        <v>0</v>
      </c>
      <c r="AY94" s="214">
        <f>IF(AND(($D94+$C$1)&gt;AY$3,AY$3&gt;=$C$1),'General Inputs'!W$9*$G94,IF(AND(($C94+$C$1)&gt;AY$3,AY$3&gt;=$C$1),'General Inputs'!W$9*$F94,0))</f>
        <v>0</v>
      </c>
      <c r="BA94" s="214">
        <f>IF(AND(($D94+$C$1)&gt;AF$3,AF$3&gt;=$C$1),'General Inputs'!D$10*$I94,IF(AND(($C94+$C$1)&gt;AF$3,AF$3&gt;=$C$1),'General Inputs'!D$10*$H94,0))</f>
        <v>0</v>
      </c>
      <c r="BB94" s="214">
        <f>IF(AND(($D94+$C$1)&gt;AG$3,AG$3&gt;=$C$1),'General Inputs'!E$10*$I94,IF(AND(($C94+$C$1)&gt;AG$3,AG$3&gt;=$C$1),'General Inputs'!E$10*$H94,0))</f>
        <v>0.99950776803081276</v>
      </c>
      <c r="BC94" s="214">
        <f>IF(AND(($D94+$C$1)&gt;AH$3,AH$3&gt;=$C$1),'General Inputs'!F$10*$I94,IF(AND(($C94+$C$1)&gt;AH$3,AH$3&gt;=$C$1),'General Inputs'!F$10*$H94,0))</f>
        <v>1.014500384551275</v>
      </c>
      <c r="BD94" s="214">
        <f>IF(AND(($D94+$C$1)&gt;AI$3,AI$3&gt;=$C$1),'General Inputs'!G$10*$I94,IF(AND(($C94+$C$1)&gt;AI$3,AI$3&gt;=$C$1),'General Inputs'!G$10*$H94,0))</f>
        <v>1.0297178903195441</v>
      </c>
      <c r="BE94" s="214">
        <f>IF(AND(($D94+$C$1)&gt;AJ$3,AJ$3&gt;=$C$1),'General Inputs'!H$10*$I94,IF(AND(($C94+$C$1)&gt;AJ$3,AJ$3&gt;=$C$1),'General Inputs'!H$10*$H94,0))</f>
        <v>1.0451636586743371</v>
      </c>
      <c r="BF94" s="214">
        <f>IF(AND(($D94+$C$1)&gt;AK$3,AK$3&gt;=$C$1),'General Inputs'!I$10*$I94,IF(AND(($C94+$C$1)&gt;AK$3,AK$3&gt;=$C$1),'General Inputs'!I$10*$H94,0))</f>
        <v>1.060841113554452</v>
      </c>
      <c r="BG94" s="214">
        <f>IF(AND(($D94+$C$1)&gt;AL$3,AL$3&gt;=$C$1),'General Inputs'!J$10*$I94,IF(AND(($C94+$C$1)&gt;AL$3,AL$3&gt;=$C$1),'General Inputs'!J$10*$H94,0))</f>
        <v>1.0767537302577685</v>
      </c>
      <c r="BH94" s="214">
        <f>IF(AND(($D94+$C$1)&gt;AM$3,AM$3&gt;=$C$1),'General Inputs'!K$10*$I94,IF(AND(($C94+$C$1)&gt;AM$3,AM$3&gt;=$C$1),'General Inputs'!K$10*$H94,0))</f>
        <v>1.092905036211635</v>
      </c>
      <c r="BI94" s="214">
        <f>IF(AND(($D94+$C$1)&gt;AN$3,AN$3&gt;=$C$1),'General Inputs'!L$10*$I94,IF(AND(($C94+$C$1)&gt;AN$3,AN$3&gt;=$C$1),'General Inputs'!L$10*$H94,0))</f>
        <v>1.1092986117548094</v>
      </c>
      <c r="BJ94" s="214">
        <f>IF(AND(($D94+$C$1)&gt;AO$3,AO$3&gt;=$C$1),'General Inputs'!M$10*$I94,IF(AND(($C94+$C$1)&gt;AO$3,AO$3&gt;=$C$1),'General Inputs'!M$10*$H94,0))</f>
        <v>1.1259380909311316</v>
      </c>
      <c r="BK94" s="214">
        <f>IF(AND(($D94+$C$1)&gt;AP$3,AP$3&gt;=$C$1),'General Inputs'!N$10*$I94,IF(AND(($C94+$C$1)&gt;AP$3,AP$3&gt;=$C$1),'General Inputs'!N$10*$H94,0))</f>
        <v>1.1428271622950983</v>
      </c>
      <c r="BL94" s="214">
        <f>IF(AND(($D94+$C$1)&gt;AQ$3,AQ$3&gt;=$C$1),'General Inputs'!O$10*$I94,IF(AND(($C94+$C$1)&gt;AQ$3,AQ$3&gt;=$C$1),'General Inputs'!O$10*$H94,0))</f>
        <v>1.1599695697295247</v>
      </c>
      <c r="BM94" s="214">
        <f>IF(AND(($D94+$C$1)&gt;AR$3,AR$3&gt;=$C$1),'General Inputs'!P$10*$I94,IF(AND(($C94+$C$1)&gt;AR$3,AR$3&gt;=$C$1),'General Inputs'!P$10*$H94,0))</f>
        <v>1.1773691132754676</v>
      </c>
      <c r="BN94" s="214">
        <f>IF(AND(($D94+$C$1)&gt;AS$3,AS$3&gt;=$C$1),'General Inputs'!Q$10*$I94,IF(AND(($C94+$C$1)&gt;AS$3,AS$3&gt;=$C$1),'General Inputs'!Q$10*$H94,0))</f>
        <v>1.1950296499745994</v>
      </c>
      <c r="BO94" s="214">
        <f>IF(AND(($D94+$C$1)&gt;AT$3,AT$3&gt;=$C$1),'General Inputs'!R$10*$I94,IF(AND(($C94+$C$1)&gt;AT$3,AT$3&gt;=$C$1),'General Inputs'!R$10*$H94,0))</f>
        <v>1.2129550947242183</v>
      </c>
      <c r="BP94" s="214">
        <f>IF(AND(($D94+$C$1)&gt;AU$3,AU$3&gt;=$C$1),'General Inputs'!S$10*$I94,IF(AND(($C94+$C$1)&gt;AU$3,AU$3&gt;=$C$1),'General Inputs'!S$10*$H94,0))</f>
        <v>1.2311494211450815</v>
      </c>
      <c r="BQ94" s="214">
        <f>IF(AND(($D94+$C$1)&gt;AV$3,AV$3&gt;=$C$1),'General Inputs'!T$10*$I94,IF(AND(($C94+$C$1)&gt;AV$3,AV$3&gt;=$C$1),'General Inputs'!T$10*$H94,0))</f>
        <v>0</v>
      </c>
      <c r="BR94" s="214">
        <f>IF(AND(($D94+$C$1)&gt;AW$3,AW$3&gt;=$C$1),'General Inputs'!U$10*$I94,IF(AND(($C94+$C$1)&gt;AW$3,AW$3&gt;=$C$1),'General Inputs'!U$10*$H94,0))</f>
        <v>0</v>
      </c>
      <c r="BS94" s="214">
        <f>IF(AND(($D94+$C$1)&gt;AX$3,AX$3&gt;=$C$1),'General Inputs'!V$10*$I94,IF(AND(($C94+$C$1)&gt;AX$3,AX$3&gt;=$C$1),'General Inputs'!V$10*$H94,0))</f>
        <v>0</v>
      </c>
      <c r="BT94" s="214">
        <f>IF(AND(($D94+$C$1)&gt;AY$3,AY$3&gt;=$C$1),'General Inputs'!W$10*$I94,IF(AND(($C94+$C$1)&gt;AY$3,AY$3&gt;=$C$1),'General Inputs'!W$10*$H94,0))</f>
        <v>0</v>
      </c>
    </row>
    <row r="95" spans="1:72">
      <c r="A95" s="342" t="s">
        <v>112</v>
      </c>
      <c r="B95" s="427" t="str">
        <f>Sources!B95</f>
        <v>Heat Pump 135 &lt; 240 kBtuh</v>
      </c>
      <c r="C95" s="193">
        <f>Sources!C95</f>
        <v>15</v>
      </c>
      <c r="D95" s="193">
        <f>Sources!D95</f>
        <v>0</v>
      </c>
      <c r="F95" s="429">
        <f>Sources!F95*EnergyLineLoss</f>
        <v>193.45123766661013</v>
      </c>
      <c r="G95" s="429">
        <f>Sources!G95*EnergyLineLoss</f>
        <v>0</v>
      </c>
      <c r="H95" s="477">
        <f>Sources!H95*PeakLineLoss</f>
        <v>0.2978431365760793</v>
      </c>
      <c r="I95" s="477">
        <f>Sources!I95*PeakLineLoss</f>
        <v>0</v>
      </c>
      <c r="K95" s="419">
        <f>Sources!J95</f>
        <v>1000</v>
      </c>
      <c r="L95" s="419">
        <f>Sources!K95</f>
        <v>0</v>
      </c>
      <c r="N95" s="438">
        <f t="shared" si="36"/>
        <v>0.11881568491806582</v>
      </c>
      <c r="P95" s="215">
        <f t="shared" si="37"/>
        <v>69.13233777464815</v>
      </c>
      <c r="Q95" s="215">
        <f t="shared" si="38"/>
        <v>40.033120621222686</v>
      </c>
      <c r="R95" s="215">
        <f t="shared" si="39"/>
        <v>918.7798603454612</v>
      </c>
      <c r="T95" s="214">
        <f t="shared" si="40"/>
        <v>0</v>
      </c>
      <c r="U95" s="214">
        <f t="shared" si="40"/>
        <v>1000</v>
      </c>
      <c r="V95" s="214">
        <f t="shared" si="40"/>
        <v>0</v>
      </c>
      <c r="W95" s="214">
        <f t="shared" si="40"/>
        <v>0</v>
      </c>
      <c r="X95" s="214">
        <f t="shared" si="40"/>
        <v>0</v>
      </c>
      <c r="Y95" s="214">
        <f t="shared" si="40"/>
        <v>0</v>
      </c>
      <c r="Z95" s="214">
        <f t="shared" si="40"/>
        <v>0</v>
      </c>
      <c r="AA95" s="214">
        <f t="shared" si="40"/>
        <v>0</v>
      </c>
      <c r="AB95" s="214">
        <f t="shared" si="40"/>
        <v>0</v>
      </c>
      <c r="AC95" s="214">
        <f t="shared" si="40"/>
        <v>0</v>
      </c>
      <c r="AD95" s="214">
        <f t="shared" si="40"/>
        <v>0</v>
      </c>
      <c r="AF95" s="214">
        <f>IF(AND(($D95+$C$1)&gt;AF$3,AF$3&gt;=$C$1),'General Inputs'!D$9*$G95,IF(AND(($C95+$C$1)&gt;AF$3,AF$3&gt;=$C$1),'General Inputs'!D$9*$F95,0))</f>
        <v>0</v>
      </c>
      <c r="AG95" s="214">
        <f>IF(AND(($D95+$C$1)&gt;AG$3,AG$3&gt;=$C$1),'General Inputs'!E$9*$G95,IF(AND(($C95+$C$1)&gt;AG$3,AG$3&gt;=$C$1),'General Inputs'!E$9*$F95,0))</f>
        <v>7.8172587502059745</v>
      </c>
      <c r="AH95" s="214">
        <f>IF(AND(($D95+$C$1)&gt;AH$3,AH$3&gt;=$C$1),'General Inputs'!F$9*$G95,IF(AND(($C95+$C$1)&gt;AH$3,AH$3&gt;=$C$1),'General Inputs'!F$9*$F95,0))</f>
        <v>7.9345176314590633</v>
      </c>
      <c r="AI95" s="214">
        <f>IF(AND(($D95+$C$1)&gt;AI$3,AI$3&gt;=$C$1),'General Inputs'!G$9*$G95,IF(AND(($C95+$C$1)&gt;AI$3,AI$3&gt;=$C$1),'General Inputs'!G$9*$F95,0))</f>
        <v>8.0535353959309486</v>
      </c>
      <c r="AJ95" s="214">
        <f>IF(AND(($D95+$C$1)&gt;AJ$3,AJ$3&gt;=$C$1),'General Inputs'!H$9*$G95,IF(AND(($C95+$C$1)&gt;AJ$3,AJ$3&gt;=$C$1),'General Inputs'!H$9*$F95,0))</f>
        <v>8.1743384268699106</v>
      </c>
      <c r="AK95" s="214">
        <f>IF(AND(($D95+$C$1)&gt;AK$3,AK$3&gt;=$C$1),'General Inputs'!I$9*$G95,IF(AND(($C95+$C$1)&gt;AK$3,AK$3&gt;=$C$1),'General Inputs'!I$9*$F95,0))</f>
        <v>8.2969535032729596</v>
      </c>
      <c r="AL95" s="214">
        <f>IF(AND(($D95+$C$1)&gt;AL$3,AL$3&gt;=$C$1),'General Inputs'!J$9*$G95,IF(AND(($C95+$C$1)&gt;AL$3,AL$3&gt;=$C$1),'General Inputs'!J$9*$F95,0))</f>
        <v>8.4214078058220529</v>
      </c>
      <c r="AM95" s="214">
        <f>IF(AND(($D95+$C$1)&gt;AM$3,AM$3&gt;=$C$1),'General Inputs'!K$9*$G95,IF(AND(($C95+$C$1)&gt;AM$3,AM$3&gt;=$C$1),'General Inputs'!K$9*$F95,0))</f>
        <v>8.547728922909382</v>
      </c>
      <c r="AN95" s="214">
        <f>IF(AND(($D95+$C$1)&gt;AN$3,AN$3&gt;=$C$1),'General Inputs'!L$9*$G95,IF(AND(($C95+$C$1)&gt;AN$3,AN$3&gt;=$C$1),'General Inputs'!L$9*$F95,0))</f>
        <v>8.6759448567530217</v>
      </c>
      <c r="AO95" s="214">
        <f>IF(AND(($D95+$C$1)&gt;AO$3,AO$3&gt;=$C$1),'General Inputs'!M$9*$G95,IF(AND(($C95+$C$1)&gt;AO$3,AO$3&gt;=$C$1),'General Inputs'!M$9*$F95,0))</f>
        <v>8.8060840296043157</v>
      </c>
      <c r="AP95" s="214">
        <f>IF(AND(($D95+$C$1)&gt;AP$3,AP$3&gt;=$C$1),'General Inputs'!N$9*$G95,IF(AND(($C95+$C$1)&gt;AP$3,AP$3&gt;=$C$1),'General Inputs'!N$9*$F95,0))</f>
        <v>8.9381752900483793</v>
      </c>
      <c r="AQ95" s="214">
        <f>IF(AND(($D95+$C$1)&gt;AQ$3,AQ$3&gt;=$C$1),'General Inputs'!O$9*$G95,IF(AND(($C95+$C$1)&gt;AQ$3,AQ$3&gt;=$C$1),'General Inputs'!O$9*$F95,0))</f>
        <v>9.0722479193991035</v>
      </c>
      <c r="AR95" s="214">
        <f>IF(AND(($D95+$C$1)&gt;AR$3,AR$3&gt;=$C$1),'General Inputs'!P$9*$G95,IF(AND(($C95+$C$1)&gt;AR$3,AR$3&gt;=$C$1),'General Inputs'!P$9*$F95,0))</f>
        <v>9.2083316381900904</v>
      </c>
      <c r="AS95" s="214">
        <f>IF(AND(($D95+$C$1)&gt;AS$3,AS$3&gt;=$C$1),'General Inputs'!Q$9*$G95,IF(AND(($C95+$C$1)&gt;AS$3,AS$3&gt;=$C$1),'General Inputs'!Q$9*$F95,0))</f>
        <v>9.3464566127629407</v>
      </c>
      <c r="AT95" s="214">
        <f>IF(AND(($D95+$C$1)&gt;AT$3,AT$3&gt;=$C$1),'General Inputs'!R$9*$G95,IF(AND(($C95+$C$1)&gt;AT$3,AT$3&gt;=$C$1),'General Inputs'!R$9*$F95,0))</f>
        <v>9.4866534619543845</v>
      </c>
      <c r="AU95" s="214">
        <f>IF(AND(($D95+$C$1)&gt;AU$3,AU$3&gt;=$C$1),'General Inputs'!S$9*$G95,IF(AND(($C95+$C$1)&gt;AU$3,AU$3&gt;=$C$1),'General Inputs'!S$9*$F95,0))</f>
        <v>9.6289532638836999</v>
      </c>
      <c r="AV95" s="214">
        <f>IF(AND(($D95+$C$1)&gt;AV$3,AV$3&gt;=$C$1),'General Inputs'!T$9*$G95,IF(AND(($C95+$C$1)&gt;AV$3,AV$3&gt;=$C$1),'General Inputs'!T$9*$F95,0))</f>
        <v>0</v>
      </c>
      <c r="AW95" s="214">
        <f>IF(AND(($D95+$C$1)&gt;AW$3,AW$3&gt;=$C$1),'General Inputs'!U$9*$G95,IF(AND(($C95+$C$1)&gt;AW$3,AW$3&gt;=$C$1),'General Inputs'!U$9*$F95,0))</f>
        <v>0</v>
      </c>
      <c r="AX95" s="214">
        <f>IF(AND(($D95+$C$1)&gt;AX$3,AX$3&gt;=$C$1),'General Inputs'!V$9*$G95,IF(AND(($C95+$C$1)&gt;AX$3,AX$3&gt;=$C$1),'General Inputs'!V$9*$F95,0))</f>
        <v>0</v>
      </c>
      <c r="AY95" s="214">
        <f>IF(AND(($D95+$C$1)&gt;AY$3,AY$3&gt;=$C$1),'General Inputs'!W$9*$G95,IF(AND(($C95+$C$1)&gt;AY$3,AY$3&gt;=$C$1),'General Inputs'!W$9*$F95,0))</f>
        <v>0</v>
      </c>
      <c r="BA95" s="214">
        <f>IF(AND(($D95+$C$1)&gt;AF$3,AF$3&gt;=$C$1),'General Inputs'!D$10*$I95,IF(AND(($C95+$C$1)&gt;AF$3,AF$3&gt;=$C$1),'General Inputs'!D$10*$H95,0))</f>
        <v>0</v>
      </c>
      <c r="BB95" s="214">
        <f>IF(AND(($D95+$C$1)&gt;AG$3,AG$3&gt;=$C$1),'General Inputs'!E$10*$I95,IF(AND(($C95+$C$1)&gt;AG$3,AG$3&gt;=$C$1),'General Inputs'!E$10*$H95,0))</f>
        <v>4.5268144047787047</v>
      </c>
      <c r="BC95" s="214">
        <f>IF(AND(($D95+$C$1)&gt;AH$3,AH$3&gt;=$C$1),'General Inputs'!F$10*$I95,IF(AND(($C95+$C$1)&gt;AH$3,AH$3&gt;=$C$1),'General Inputs'!F$10*$H95,0))</f>
        <v>4.5947166208503845</v>
      </c>
      <c r="BD95" s="214">
        <f>IF(AND(($D95+$C$1)&gt;AI$3,AI$3&gt;=$C$1),'General Inputs'!G$10*$I95,IF(AND(($C95+$C$1)&gt;AI$3,AI$3&gt;=$C$1),'General Inputs'!G$10*$H95,0))</f>
        <v>4.6636373701631406</v>
      </c>
      <c r="BE95" s="214">
        <f>IF(AND(($D95+$C$1)&gt;AJ$3,AJ$3&gt;=$C$1),'General Inputs'!H$10*$I95,IF(AND(($C95+$C$1)&gt;AJ$3,AJ$3&gt;=$C$1),'General Inputs'!H$10*$H95,0))</f>
        <v>4.7335919307155869</v>
      </c>
      <c r="BF95" s="214">
        <f>IF(AND(($D95+$C$1)&gt;AK$3,AK$3&gt;=$C$1),'General Inputs'!I$10*$I95,IF(AND(($C95+$C$1)&gt;AK$3,AK$3&gt;=$C$1),'General Inputs'!I$10*$H95,0))</f>
        <v>4.8045958096763197</v>
      </c>
      <c r="BG95" s="214">
        <f>IF(AND(($D95+$C$1)&gt;AL$3,AL$3&gt;=$C$1),'General Inputs'!J$10*$I95,IF(AND(($C95+$C$1)&gt;AL$3,AL$3&gt;=$C$1),'General Inputs'!J$10*$H95,0))</f>
        <v>4.8766647468214641</v>
      </c>
      <c r="BH95" s="214">
        <f>IF(AND(($D95+$C$1)&gt;AM$3,AM$3&gt;=$C$1),'General Inputs'!K$10*$I95,IF(AND(($C95+$C$1)&gt;AM$3,AM$3&gt;=$C$1),'General Inputs'!K$10*$H95,0))</f>
        <v>4.9498147180237861</v>
      </c>
      <c r="BI95" s="214">
        <f>IF(AND(($D95+$C$1)&gt;AN$3,AN$3&gt;=$C$1),'General Inputs'!L$10*$I95,IF(AND(($C95+$C$1)&gt;AN$3,AN$3&gt;=$C$1),'General Inputs'!L$10*$H95,0))</f>
        <v>5.0240619387941425</v>
      </c>
      <c r="BJ95" s="214">
        <f>IF(AND(($D95+$C$1)&gt;AO$3,AO$3&gt;=$C$1),'General Inputs'!M$10*$I95,IF(AND(($C95+$C$1)&gt;AO$3,AO$3&gt;=$C$1),'General Inputs'!M$10*$H95,0))</f>
        <v>5.0994228678760543</v>
      </c>
      <c r="BK95" s="214">
        <f>IF(AND(($D95+$C$1)&gt;AP$3,AP$3&gt;=$C$1),'General Inputs'!N$10*$I95,IF(AND(($C95+$C$1)&gt;AP$3,AP$3&gt;=$C$1),'General Inputs'!N$10*$H95,0))</f>
        <v>5.1759142108941942</v>
      </c>
      <c r="BL95" s="214">
        <f>IF(AND(($D95+$C$1)&gt;AQ$3,AQ$3&gt;=$C$1),'General Inputs'!O$10*$I95,IF(AND(($C95+$C$1)&gt;AQ$3,AQ$3&gt;=$C$1),'General Inputs'!O$10*$H95,0))</f>
        <v>5.2535529240576064</v>
      </c>
      <c r="BM95" s="214">
        <f>IF(AND(($D95+$C$1)&gt;AR$3,AR$3&gt;=$C$1),'General Inputs'!P$10*$I95,IF(AND(($C95+$C$1)&gt;AR$3,AR$3&gt;=$C$1),'General Inputs'!P$10*$H95,0))</f>
        <v>5.3323562179184707</v>
      </c>
      <c r="BN95" s="214">
        <f>IF(AND(($D95+$C$1)&gt;AS$3,AS$3&gt;=$C$1),'General Inputs'!Q$10*$I95,IF(AND(($C95+$C$1)&gt;AS$3,AS$3&gt;=$C$1),'General Inputs'!Q$10*$H95,0))</f>
        <v>5.4123415611872465</v>
      </c>
      <c r="BO95" s="214">
        <f>IF(AND(($D95+$C$1)&gt;AT$3,AT$3&gt;=$C$1),'General Inputs'!R$10*$I95,IF(AND(($C95+$C$1)&gt;AT$3,AT$3&gt;=$C$1),'General Inputs'!R$10*$H95,0))</f>
        <v>5.4935266846050546</v>
      </c>
      <c r="BP95" s="214">
        <f>IF(AND(($D95+$C$1)&gt;AU$3,AU$3&gt;=$C$1),'General Inputs'!S$10*$I95,IF(AND(($C95+$C$1)&gt;AU$3,AU$3&gt;=$C$1),'General Inputs'!S$10*$H95,0))</f>
        <v>5.5759295848741308</v>
      </c>
      <c r="BQ95" s="214">
        <f>IF(AND(($D95+$C$1)&gt;AV$3,AV$3&gt;=$C$1),'General Inputs'!T$10*$I95,IF(AND(($C95+$C$1)&gt;AV$3,AV$3&gt;=$C$1),'General Inputs'!T$10*$H95,0))</f>
        <v>0</v>
      </c>
      <c r="BR95" s="214">
        <f>IF(AND(($D95+$C$1)&gt;AW$3,AW$3&gt;=$C$1),'General Inputs'!U$10*$I95,IF(AND(($C95+$C$1)&gt;AW$3,AW$3&gt;=$C$1),'General Inputs'!U$10*$H95,0))</f>
        <v>0</v>
      </c>
      <c r="BS95" s="214">
        <f>IF(AND(($D95+$C$1)&gt;AX$3,AX$3&gt;=$C$1),'General Inputs'!V$10*$I95,IF(AND(($C95+$C$1)&gt;AX$3,AX$3&gt;=$C$1),'General Inputs'!V$10*$H95,0))</f>
        <v>0</v>
      </c>
      <c r="BT95" s="214">
        <f>IF(AND(($D95+$C$1)&gt;AY$3,AY$3&gt;=$C$1),'General Inputs'!W$10*$I95,IF(AND(($C95+$C$1)&gt;AY$3,AY$3&gt;=$C$1),'General Inputs'!W$10*$H95,0))</f>
        <v>0</v>
      </c>
    </row>
    <row r="96" spans="1:72">
      <c r="A96" s="342" t="s">
        <v>112</v>
      </c>
      <c r="B96" s="427" t="str">
        <f>Sources!B96</f>
        <v>Heat Pump &gt;240 kBtuh</v>
      </c>
      <c r="C96" s="193">
        <f>Sources!C96</f>
        <v>15</v>
      </c>
      <c r="D96" s="193">
        <f>Sources!D96</f>
        <v>0</v>
      </c>
      <c r="F96" s="429">
        <f>Sources!F96*EnergyLineLoss</f>
        <v>931.79180823345325</v>
      </c>
      <c r="G96" s="429">
        <f>Sources!G96*EnergyLineLoss</f>
        <v>0</v>
      </c>
      <c r="H96" s="477">
        <f>Sources!H96*PeakLineLoss</f>
        <v>1.4346136946326187</v>
      </c>
      <c r="I96" s="477">
        <f>Sources!I96*PeakLineLoss</f>
        <v>0</v>
      </c>
      <c r="K96" s="419">
        <f>Sources!J96</f>
        <v>2000</v>
      </c>
      <c r="L96" s="419">
        <f>Sources!K96</f>
        <v>0</v>
      </c>
      <c r="N96" s="438">
        <f t="shared" si="36"/>
        <v>0.28614829047281337</v>
      </c>
      <c r="P96" s="215">
        <f t="shared" si="37"/>
        <v>332.98802736770341</v>
      </c>
      <c r="Q96" s="215">
        <f t="shared" si="38"/>
        <v>192.82654534970436</v>
      </c>
      <c r="R96" s="215">
        <f t="shared" si="39"/>
        <v>1837.5597206909224</v>
      </c>
      <c r="T96" s="214">
        <f t="shared" si="40"/>
        <v>0</v>
      </c>
      <c r="U96" s="214">
        <f t="shared" si="40"/>
        <v>2000</v>
      </c>
      <c r="V96" s="214">
        <f t="shared" si="40"/>
        <v>0</v>
      </c>
      <c r="W96" s="214">
        <f t="shared" si="40"/>
        <v>0</v>
      </c>
      <c r="X96" s="214">
        <f t="shared" si="40"/>
        <v>0</v>
      </c>
      <c r="Y96" s="214">
        <f t="shared" si="40"/>
        <v>0</v>
      </c>
      <c r="Z96" s="214">
        <f t="shared" si="40"/>
        <v>0</v>
      </c>
      <c r="AA96" s="214">
        <f t="shared" si="40"/>
        <v>0</v>
      </c>
      <c r="AB96" s="214">
        <f t="shared" si="40"/>
        <v>0</v>
      </c>
      <c r="AC96" s="214">
        <f t="shared" si="40"/>
        <v>0</v>
      </c>
      <c r="AD96" s="214">
        <f t="shared" si="40"/>
        <v>0</v>
      </c>
      <c r="AF96" s="214">
        <f>IF(AND(($D96+$C$1)&gt;AF$3,AF$3&gt;=$C$1),'General Inputs'!D$9*$G96,IF(AND(($C96+$C$1)&gt;AF$3,AF$3&gt;=$C$1),'General Inputs'!D$9*$F96,0))</f>
        <v>0</v>
      </c>
      <c r="AG96" s="214">
        <f>IF(AND(($D96+$C$1)&gt;AG$3,AG$3&gt;=$C$1),'General Inputs'!E$9*$G96,IF(AND(($C96+$C$1)&gt;AG$3,AG$3&gt;=$C$1),'General Inputs'!E$9*$F96,0))</f>
        <v>37.653197540335228</v>
      </c>
      <c r="AH96" s="214">
        <f>IF(AND(($D96+$C$1)&gt;AH$3,AH$3&gt;=$C$1),'General Inputs'!F$9*$G96,IF(AND(($C96+$C$1)&gt;AH$3,AH$3&gt;=$C$1),'General Inputs'!F$9*$F96,0))</f>
        <v>38.21799550344025</v>
      </c>
      <c r="AI96" s="214">
        <f>IF(AND(($D96+$C$1)&gt;AI$3,AI$3&gt;=$C$1),'General Inputs'!G$9*$G96,IF(AND(($C96+$C$1)&gt;AI$3,AI$3&gt;=$C$1),'General Inputs'!G$9*$F96,0))</f>
        <v>38.791265435991853</v>
      </c>
      <c r="AJ96" s="214">
        <f>IF(AND(($D96+$C$1)&gt;AJ$3,AJ$3&gt;=$C$1),'General Inputs'!H$9*$G96,IF(AND(($C96+$C$1)&gt;AJ$3,AJ$3&gt;=$C$1),'General Inputs'!H$9*$F96,0))</f>
        <v>39.373134417531723</v>
      </c>
      <c r="AK96" s="214">
        <f>IF(AND(($D96+$C$1)&gt;AK$3,AK$3&gt;=$C$1),'General Inputs'!I$9*$G96,IF(AND(($C96+$C$1)&gt;AK$3,AK$3&gt;=$C$1),'General Inputs'!I$9*$F96,0))</f>
        <v>39.963731433794692</v>
      </c>
      <c r="AL96" s="214">
        <f>IF(AND(($D96+$C$1)&gt;AL$3,AL$3&gt;=$C$1),'General Inputs'!J$9*$G96,IF(AND(($C96+$C$1)&gt;AL$3,AL$3&gt;=$C$1),'General Inputs'!J$9*$F96,0))</f>
        <v>40.563187405301605</v>
      </c>
      <c r="AM96" s="214">
        <f>IF(AND(($D96+$C$1)&gt;AM$3,AM$3&gt;=$C$1),'General Inputs'!K$9*$G96,IF(AND(($C96+$C$1)&gt;AM$3,AM$3&gt;=$C$1),'General Inputs'!K$9*$F96,0))</f>
        <v>41.171635216381127</v>
      </c>
      <c r="AN96" s="214">
        <f>IF(AND(($D96+$C$1)&gt;AN$3,AN$3&gt;=$C$1),'General Inputs'!L$9*$G96,IF(AND(($C96+$C$1)&gt;AN$3,AN$3&gt;=$C$1),'General Inputs'!L$9*$F96,0))</f>
        <v>41.789209744626838</v>
      </c>
      <c r="AO96" s="214">
        <f>IF(AND(($D96+$C$1)&gt;AO$3,AO$3&gt;=$C$1),'General Inputs'!M$9*$G96,IF(AND(($C96+$C$1)&gt;AO$3,AO$3&gt;=$C$1),'General Inputs'!M$9*$F96,0))</f>
        <v>42.416047890796236</v>
      </c>
      <c r="AP96" s="214">
        <f>IF(AND(($D96+$C$1)&gt;AP$3,AP$3&gt;=$C$1),'General Inputs'!N$9*$G96,IF(AND(($C96+$C$1)&gt;AP$3,AP$3&gt;=$C$1),'General Inputs'!N$9*$F96,0))</f>
        <v>43.052288609158175</v>
      </c>
      <c r="AQ96" s="214">
        <f>IF(AND(($D96+$C$1)&gt;AQ$3,AQ$3&gt;=$C$1),'General Inputs'!O$9*$G96,IF(AND(($C96+$C$1)&gt;AQ$3,AQ$3&gt;=$C$1),'General Inputs'!O$9*$F96,0))</f>
        <v>43.698072938295546</v>
      </c>
      <c r="AR96" s="214">
        <f>IF(AND(($D96+$C$1)&gt;AR$3,AR$3&gt;=$C$1),'General Inputs'!P$9*$G96,IF(AND(($C96+$C$1)&gt;AR$3,AR$3&gt;=$C$1),'General Inputs'!P$9*$F96,0))</f>
        <v>44.353544032369975</v>
      </c>
      <c r="AS96" s="214">
        <f>IF(AND(($D96+$C$1)&gt;AS$3,AS$3&gt;=$C$1),'General Inputs'!Q$9*$G96,IF(AND(($C96+$C$1)&gt;AS$3,AS$3&gt;=$C$1),'General Inputs'!Q$9*$F96,0))</f>
        <v>45.018847192855517</v>
      </c>
      <c r="AT96" s="214">
        <f>IF(AND(($D96+$C$1)&gt;AT$3,AT$3&gt;=$C$1),'General Inputs'!R$9*$G96,IF(AND(($C96+$C$1)&gt;AT$3,AT$3&gt;=$C$1),'General Inputs'!R$9*$F96,0))</f>
        <v>45.694129900748351</v>
      </c>
      <c r="AU96" s="214">
        <f>IF(AND(($D96+$C$1)&gt;AU$3,AU$3&gt;=$C$1),'General Inputs'!S$9*$G96,IF(AND(($C96+$C$1)&gt;AU$3,AU$3&gt;=$C$1),'General Inputs'!S$9*$F96,0))</f>
        <v>46.379541849259574</v>
      </c>
      <c r="AV96" s="214">
        <f>IF(AND(($D96+$C$1)&gt;AV$3,AV$3&gt;=$C$1),'General Inputs'!T$9*$G96,IF(AND(($C96+$C$1)&gt;AV$3,AV$3&gt;=$C$1),'General Inputs'!T$9*$F96,0))</f>
        <v>0</v>
      </c>
      <c r="AW96" s="214">
        <f>IF(AND(($D96+$C$1)&gt;AW$3,AW$3&gt;=$C$1),'General Inputs'!U$9*$G96,IF(AND(($C96+$C$1)&gt;AW$3,AW$3&gt;=$C$1),'General Inputs'!U$9*$F96,0))</f>
        <v>0</v>
      </c>
      <c r="AX96" s="214">
        <f>IF(AND(($D96+$C$1)&gt;AX$3,AX$3&gt;=$C$1),'General Inputs'!V$9*$G96,IF(AND(($C96+$C$1)&gt;AX$3,AX$3&gt;=$C$1),'General Inputs'!V$9*$F96,0))</f>
        <v>0</v>
      </c>
      <c r="AY96" s="214">
        <f>IF(AND(($D96+$C$1)&gt;AY$3,AY$3&gt;=$C$1),'General Inputs'!W$9*$G96,IF(AND(($C96+$C$1)&gt;AY$3,AY$3&gt;=$C$1),'General Inputs'!W$9*$F96,0))</f>
        <v>0</v>
      </c>
      <c r="BA96" s="214">
        <f>IF(AND(($D96+$C$1)&gt;AF$3,AF$3&gt;=$C$1),'General Inputs'!D$10*$I96,IF(AND(($C96+$C$1)&gt;AF$3,AF$3&gt;=$C$1),'General Inputs'!D$10*$H96,0))</f>
        <v>0</v>
      </c>
      <c r="BB96" s="214">
        <f>IF(AND(($D96+$C$1)&gt;AG$3,AG$3&gt;=$C$1),'General Inputs'!E$10*$I96,IF(AND(($C96+$C$1)&gt;AG$3,AG$3&gt;=$C$1),'General Inputs'!E$10*$H96,0))</f>
        <v>21.804195365424807</v>
      </c>
      <c r="BC96" s="214">
        <f>IF(AND(($D96+$C$1)&gt;AH$3,AH$3&gt;=$C$1),'General Inputs'!F$10*$I96,IF(AND(($C96+$C$1)&gt;AH$3,AH$3&gt;=$C$1),'General Inputs'!F$10*$H96,0))</f>
        <v>22.131258295906179</v>
      </c>
      <c r="BD96" s="214">
        <f>IF(AND(($D96+$C$1)&gt;AI$3,AI$3&gt;=$C$1),'General Inputs'!G$10*$I96,IF(AND(($C96+$C$1)&gt;AI$3,AI$3&gt;=$C$1),'General Inputs'!G$10*$H96,0))</f>
        <v>22.463227170344769</v>
      </c>
      <c r="BE96" s="214">
        <f>IF(AND(($D96+$C$1)&gt;AJ$3,AJ$3&gt;=$C$1),'General Inputs'!H$10*$I96,IF(AND(($C96+$C$1)&gt;AJ$3,AJ$3&gt;=$C$1),'General Inputs'!H$10*$H96,0))</f>
        <v>22.800175577899939</v>
      </c>
      <c r="BF96" s="214">
        <f>IF(AND(($D96+$C$1)&gt;AK$3,AK$3&gt;=$C$1),'General Inputs'!I$10*$I96,IF(AND(($C96+$C$1)&gt;AK$3,AK$3&gt;=$C$1),'General Inputs'!I$10*$H96,0))</f>
        <v>23.142178211568432</v>
      </c>
      <c r="BG96" s="214">
        <f>IF(AND(($D96+$C$1)&gt;AL$3,AL$3&gt;=$C$1),'General Inputs'!J$10*$I96,IF(AND(($C96+$C$1)&gt;AL$3,AL$3&gt;=$C$1),'General Inputs'!J$10*$H96,0))</f>
        <v>23.489310884741958</v>
      </c>
      <c r="BH96" s="214">
        <f>IF(AND(($D96+$C$1)&gt;AM$3,AM$3&gt;=$C$1),'General Inputs'!K$10*$I96,IF(AND(($C96+$C$1)&gt;AM$3,AM$3&gt;=$C$1),'General Inputs'!K$10*$H96,0))</f>
        <v>23.841650548013085</v>
      </c>
      <c r="BI96" s="214">
        <f>IF(AND(($D96+$C$1)&gt;AN$3,AN$3&gt;=$C$1),'General Inputs'!L$10*$I96,IF(AND(($C96+$C$1)&gt;AN$3,AN$3&gt;=$C$1),'General Inputs'!L$10*$H96,0))</f>
        <v>24.199275306233279</v>
      </c>
      <c r="BJ96" s="214">
        <f>IF(AND(($D96+$C$1)&gt;AO$3,AO$3&gt;=$C$1),'General Inputs'!M$10*$I96,IF(AND(($C96+$C$1)&gt;AO$3,AO$3&gt;=$C$1),'General Inputs'!M$10*$H96,0))</f>
        <v>24.562264435826776</v>
      </c>
      <c r="BK96" s="214">
        <f>IF(AND(($D96+$C$1)&gt;AP$3,AP$3&gt;=$C$1),'General Inputs'!N$10*$I96,IF(AND(($C96+$C$1)&gt;AP$3,AP$3&gt;=$C$1),'General Inputs'!N$10*$H96,0))</f>
        <v>24.930698402364175</v>
      </c>
      <c r="BL96" s="214">
        <f>IF(AND(($D96+$C$1)&gt;AQ$3,AQ$3&gt;=$C$1),'General Inputs'!O$10*$I96,IF(AND(($C96+$C$1)&gt;AQ$3,AQ$3&gt;=$C$1),'General Inputs'!O$10*$H96,0))</f>
        <v>25.304658878399636</v>
      </c>
      <c r="BM96" s="214">
        <f>IF(AND(($D96+$C$1)&gt;AR$3,AR$3&gt;=$C$1),'General Inputs'!P$10*$I96,IF(AND(($C96+$C$1)&gt;AR$3,AR$3&gt;=$C$1),'General Inputs'!P$10*$H96,0))</f>
        <v>25.684228761575628</v>
      </c>
      <c r="BN96" s="214">
        <f>IF(AND(($D96+$C$1)&gt;AS$3,AS$3&gt;=$C$1),'General Inputs'!Q$10*$I96,IF(AND(($C96+$C$1)&gt;AS$3,AS$3&gt;=$C$1),'General Inputs'!Q$10*$H96,0))</f>
        <v>26.06949219299926</v>
      </c>
      <c r="BO96" s="214">
        <f>IF(AND(($D96+$C$1)&gt;AT$3,AT$3&gt;=$C$1),'General Inputs'!R$10*$I96,IF(AND(($C96+$C$1)&gt;AT$3,AT$3&gt;=$C$1),'General Inputs'!R$10*$H96,0))</f>
        <v>26.460534575894243</v>
      </c>
      <c r="BP96" s="214">
        <f>IF(AND(($D96+$C$1)&gt;AU$3,AU$3&gt;=$C$1),'General Inputs'!S$10*$I96,IF(AND(($C96+$C$1)&gt;AU$3,AU$3&gt;=$C$1),'General Inputs'!S$10*$H96,0))</f>
        <v>26.857442594532657</v>
      </c>
      <c r="BQ96" s="214">
        <f>IF(AND(($D96+$C$1)&gt;AV$3,AV$3&gt;=$C$1),'General Inputs'!T$10*$I96,IF(AND(($C96+$C$1)&gt;AV$3,AV$3&gt;=$C$1),'General Inputs'!T$10*$H96,0))</f>
        <v>0</v>
      </c>
      <c r="BR96" s="214">
        <f>IF(AND(($D96+$C$1)&gt;AW$3,AW$3&gt;=$C$1),'General Inputs'!U$10*$I96,IF(AND(($C96+$C$1)&gt;AW$3,AW$3&gt;=$C$1),'General Inputs'!U$10*$H96,0))</f>
        <v>0</v>
      </c>
      <c r="BS96" s="214">
        <f>IF(AND(($D96+$C$1)&gt;AX$3,AX$3&gt;=$C$1),'General Inputs'!V$10*$I96,IF(AND(($C96+$C$1)&gt;AX$3,AX$3&gt;=$C$1),'General Inputs'!V$10*$H96,0))</f>
        <v>0</v>
      </c>
      <c r="BT96" s="214">
        <f>IF(AND(($D96+$C$1)&gt;AY$3,AY$3&gt;=$C$1),'General Inputs'!W$10*$I96,IF(AND(($C96+$C$1)&gt;AY$3,AY$3&gt;=$C$1),'General Inputs'!W$10*$H96,0))</f>
        <v>0</v>
      </c>
    </row>
    <row r="97" spans="1:72">
      <c r="A97" s="342" t="s">
        <v>112</v>
      </c>
      <c r="B97" s="427" t="str">
        <f>Sources!B97</f>
        <v>Geothermal Heat Pump</v>
      </c>
      <c r="C97" s="193">
        <f>Sources!C97</f>
        <v>15</v>
      </c>
      <c r="D97" s="193">
        <f>Sources!D97</f>
        <v>0</v>
      </c>
      <c r="F97" s="429">
        <f>Sources!F97*EnergyLineLoss</f>
        <v>23256.790058789316</v>
      </c>
      <c r="G97" s="429">
        <f>Sources!G97*EnergyLineLoss</f>
        <v>0</v>
      </c>
      <c r="H97" s="477">
        <f>Sources!H97*PeakLineLoss</f>
        <v>2.1947909920326034</v>
      </c>
      <c r="I97" s="477">
        <f>Sources!I97*PeakLineLoss</f>
        <v>0</v>
      </c>
      <c r="K97" s="419">
        <f>Sources!J97</f>
        <v>4100</v>
      </c>
      <c r="L97" s="419">
        <f>Sources!K97</f>
        <v>0</v>
      </c>
      <c r="N97" s="438">
        <f t="shared" si="36"/>
        <v>2.2846102899924801</v>
      </c>
      <c r="P97" s="215">
        <f t="shared" si="37"/>
        <v>8311.1190462846516</v>
      </c>
      <c r="Q97" s="215">
        <f t="shared" si="38"/>
        <v>295.0020387660357</v>
      </c>
      <c r="R97" s="215">
        <f t="shared" si="39"/>
        <v>3766.997427416391</v>
      </c>
      <c r="T97" s="214">
        <f t="shared" si="40"/>
        <v>0</v>
      </c>
      <c r="U97" s="214">
        <f t="shared" si="40"/>
        <v>4100</v>
      </c>
      <c r="V97" s="214">
        <f t="shared" si="40"/>
        <v>0</v>
      </c>
      <c r="W97" s="214">
        <f t="shared" si="40"/>
        <v>0</v>
      </c>
      <c r="X97" s="214">
        <f t="shared" si="40"/>
        <v>0</v>
      </c>
      <c r="Y97" s="214">
        <f t="shared" si="40"/>
        <v>0</v>
      </c>
      <c r="Z97" s="214">
        <f t="shared" si="40"/>
        <v>0</v>
      </c>
      <c r="AA97" s="214">
        <f t="shared" si="40"/>
        <v>0</v>
      </c>
      <c r="AB97" s="214">
        <f t="shared" si="40"/>
        <v>0</v>
      </c>
      <c r="AC97" s="214">
        <f t="shared" si="40"/>
        <v>0</v>
      </c>
      <c r="AD97" s="214">
        <f t="shared" si="40"/>
        <v>0</v>
      </c>
      <c r="AF97" s="214">
        <f>IF(AND(($D97+$C$1)&gt;AF$3,AF$3&gt;=$C$1),'General Inputs'!D$9*$G97,IF(AND(($C97+$C$1)&gt;AF$3,AF$3&gt;=$C$1),'General Inputs'!D$9*$F97,0))</f>
        <v>0</v>
      </c>
      <c r="AG97" s="214">
        <f>IF(AND(($D97+$C$1)&gt;AG$3,AG$3&gt;=$C$1),'General Inputs'!E$9*$G97,IF(AND(($C97+$C$1)&gt;AG$3,AG$3&gt;=$C$1),'General Inputs'!E$9*$F97,0))</f>
        <v>939.79417129443209</v>
      </c>
      <c r="AH97" s="214">
        <f>IF(AND(($D97+$C$1)&gt;AH$3,AH$3&gt;=$C$1),'General Inputs'!F$9*$G97,IF(AND(($C97+$C$1)&gt;AH$3,AH$3&gt;=$C$1),'General Inputs'!F$9*$F97,0))</f>
        <v>953.89108386384851</v>
      </c>
      <c r="AI97" s="214">
        <f>IF(AND(($D97+$C$1)&gt;AI$3,AI$3&gt;=$C$1),'General Inputs'!G$9*$G97,IF(AND(($C97+$C$1)&gt;AI$3,AI$3&gt;=$C$1),'General Inputs'!G$9*$F97,0))</f>
        <v>968.19945012180619</v>
      </c>
      <c r="AJ97" s="214">
        <f>IF(AND(($D97+$C$1)&gt;AJ$3,AJ$3&gt;=$C$1),'General Inputs'!H$9*$G97,IF(AND(($C97+$C$1)&gt;AJ$3,AJ$3&gt;=$C$1),'General Inputs'!H$9*$F97,0))</f>
        <v>982.7224418736331</v>
      </c>
      <c r="AK97" s="214">
        <f>IF(AND(($D97+$C$1)&gt;AK$3,AK$3&gt;=$C$1),'General Inputs'!I$9*$G97,IF(AND(($C97+$C$1)&gt;AK$3,AK$3&gt;=$C$1),'General Inputs'!I$9*$F97,0))</f>
        <v>997.46327850173748</v>
      </c>
      <c r="AL97" s="214">
        <f>IF(AND(($D97+$C$1)&gt;AL$3,AL$3&gt;=$C$1),'General Inputs'!J$9*$G97,IF(AND(($C97+$C$1)&gt;AL$3,AL$3&gt;=$C$1),'General Inputs'!J$9*$F97,0))</f>
        <v>1012.4252276792633</v>
      </c>
      <c r="AM97" s="214">
        <f>IF(AND(($D97+$C$1)&gt;AM$3,AM$3&gt;=$C$1),'General Inputs'!K$9*$G97,IF(AND(($C97+$C$1)&gt;AM$3,AM$3&gt;=$C$1),'General Inputs'!K$9*$F97,0))</f>
        <v>1027.6116060944521</v>
      </c>
      <c r="AN97" s="214">
        <f>IF(AND(($D97+$C$1)&gt;AN$3,AN$3&gt;=$C$1),'General Inputs'!L$9*$G97,IF(AND(($C97+$C$1)&gt;AN$3,AN$3&gt;=$C$1),'General Inputs'!L$9*$F97,0))</f>
        <v>1043.0257801858688</v>
      </c>
      <c r="AO97" s="214">
        <f>IF(AND(($D97+$C$1)&gt;AO$3,AO$3&gt;=$C$1),'General Inputs'!M$9*$G97,IF(AND(($C97+$C$1)&gt;AO$3,AO$3&gt;=$C$1),'General Inputs'!M$9*$F97,0))</f>
        <v>1058.6711668886567</v>
      </c>
      <c r="AP97" s="214">
        <f>IF(AND(($D97+$C$1)&gt;AP$3,AP$3&gt;=$C$1),'General Inputs'!N$9*$G97,IF(AND(($C97+$C$1)&gt;AP$3,AP$3&gt;=$C$1),'General Inputs'!N$9*$F97,0))</f>
        <v>1074.5512343919866</v>
      </c>
      <c r="AQ97" s="214">
        <f>IF(AND(($D97+$C$1)&gt;AQ$3,AQ$3&gt;=$C$1),'General Inputs'!O$9*$G97,IF(AND(($C97+$C$1)&gt;AQ$3,AQ$3&gt;=$C$1),'General Inputs'!O$9*$F97,0))</f>
        <v>1090.6695029078662</v>
      </c>
      <c r="AR97" s="214">
        <f>IF(AND(($D97+$C$1)&gt;AR$3,AR$3&gt;=$C$1),'General Inputs'!P$9*$G97,IF(AND(($C97+$C$1)&gt;AR$3,AR$3&gt;=$C$1),'General Inputs'!P$9*$F97,0))</f>
        <v>1107.0295454514842</v>
      </c>
      <c r="AS97" s="214">
        <f>IF(AND(($D97+$C$1)&gt;AS$3,AS$3&gt;=$C$1),'General Inputs'!Q$9*$G97,IF(AND(($C97+$C$1)&gt;AS$3,AS$3&gt;=$C$1),'General Inputs'!Q$9*$F97,0))</f>
        <v>1123.6349886332562</v>
      </c>
      <c r="AT97" s="214">
        <f>IF(AND(($D97+$C$1)&gt;AT$3,AT$3&gt;=$C$1),'General Inputs'!R$9*$G97,IF(AND(($C97+$C$1)&gt;AT$3,AT$3&gt;=$C$1),'General Inputs'!R$9*$F97,0))</f>
        <v>1140.489513462755</v>
      </c>
      <c r="AU97" s="214">
        <f>IF(AND(($D97+$C$1)&gt;AU$3,AU$3&gt;=$C$1),'General Inputs'!S$9*$G97,IF(AND(($C97+$C$1)&gt;AU$3,AU$3&gt;=$C$1),'General Inputs'!S$9*$F97,0))</f>
        <v>1157.5968561646964</v>
      </c>
      <c r="AV97" s="214">
        <f>IF(AND(($D97+$C$1)&gt;AV$3,AV$3&gt;=$C$1),'General Inputs'!T$9*$G97,IF(AND(($C97+$C$1)&gt;AV$3,AV$3&gt;=$C$1),'General Inputs'!T$9*$F97,0))</f>
        <v>0</v>
      </c>
      <c r="AW97" s="214">
        <f>IF(AND(($D97+$C$1)&gt;AW$3,AW$3&gt;=$C$1),'General Inputs'!U$9*$G97,IF(AND(($C97+$C$1)&gt;AW$3,AW$3&gt;=$C$1),'General Inputs'!U$9*$F97,0))</f>
        <v>0</v>
      </c>
      <c r="AX97" s="214">
        <f>IF(AND(($D97+$C$1)&gt;AX$3,AX$3&gt;=$C$1),'General Inputs'!V$9*$G97,IF(AND(($C97+$C$1)&gt;AX$3,AX$3&gt;=$C$1),'General Inputs'!V$9*$F97,0))</f>
        <v>0</v>
      </c>
      <c r="AY97" s="214">
        <f>IF(AND(($D97+$C$1)&gt;AY$3,AY$3&gt;=$C$1),'General Inputs'!W$9*$G97,IF(AND(($C97+$C$1)&gt;AY$3,AY$3&gt;=$C$1),'General Inputs'!W$9*$F97,0))</f>
        <v>0</v>
      </c>
      <c r="BA97" s="214">
        <f>IF(AND(($D97+$C$1)&gt;AF$3,AF$3&gt;=$C$1),'General Inputs'!D$10*$I97,IF(AND(($C97+$C$1)&gt;AF$3,AF$3&gt;=$C$1),'General Inputs'!D$10*$H97,0))</f>
        <v>0</v>
      </c>
      <c r="BB97" s="214">
        <f>IF(AND(($D97+$C$1)&gt;AG$3,AG$3&gt;=$C$1),'General Inputs'!E$10*$I97,IF(AND(($C97+$C$1)&gt;AG$3,AG$3&gt;=$C$1),'General Inputs'!E$10*$H97,0))</f>
        <v>33.35786613190561</v>
      </c>
      <c r="BC97" s="214">
        <f>IF(AND(($D97+$C$1)&gt;AH$3,AH$3&gt;=$C$1),'General Inputs'!F$10*$I97,IF(AND(($C97+$C$1)&gt;AH$3,AH$3&gt;=$C$1),'General Inputs'!F$10*$H97,0))</f>
        <v>33.858234123884188</v>
      </c>
      <c r="BD97" s="214">
        <f>IF(AND(($D97+$C$1)&gt;AI$3,AI$3&gt;=$C$1),'General Inputs'!G$10*$I97,IF(AND(($C97+$C$1)&gt;AI$3,AI$3&gt;=$C$1),'General Inputs'!G$10*$H97,0))</f>
        <v>34.366107635742452</v>
      </c>
      <c r="BE97" s="214">
        <f>IF(AND(($D97+$C$1)&gt;AJ$3,AJ$3&gt;=$C$1),'General Inputs'!H$10*$I97,IF(AND(($C97+$C$1)&gt;AJ$3,AJ$3&gt;=$C$1),'General Inputs'!H$10*$H97,0))</f>
        <v>34.881599250278583</v>
      </c>
      <c r="BF97" s="214">
        <f>IF(AND(($D97+$C$1)&gt;AK$3,AK$3&gt;=$C$1),'General Inputs'!I$10*$I97,IF(AND(($C97+$C$1)&gt;AK$3,AK$3&gt;=$C$1),'General Inputs'!I$10*$H97,0))</f>
        <v>35.404823239032758</v>
      </c>
      <c r="BG97" s="214">
        <f>IF(AND(($D97+$C$1)&gt;AL$3,AL$3&gt;=$C$1),'General Inputs'!J$10*$I97,IF(AND(($C97+$C$1)&gt;AL$3,AL$3&gt;=$C$1),'General Inputs'!J$10*$H97,0))</f>
        <v>35.935895587618241</v>
      </c>
      <c r="BH97" s="214">
        <f>IF(AND(($D97+$C$1)&gt;AM$3,AM$3&gt;=$C$1),'General Inputs'!K$10*$I97,IF(AND(($C97+$C$1)&gt;AM$3,AM$3&gt;=$C$1),'General Inputs'!K$10*$H97,0))</f>
        <v>36.474934021432517</v>
      </c>
      <c r="BI97" s="214">
        <f>IF(AND(($D97+$C$1)&gt;AN$3,AN$3&gt;=$C$1),'General Inputs'!L$10*$I97,IF(AND(($C97+$C$1)&gt;AN$3,AN$3&gt;=$C$1),'General Inputs'!L$10*$H97,0))</f>
        <v>37.022058031754</v>
      </c>
      <c r="BJ97" s="214">
        <f>IF(AND(($D97+$C$1)&gt;AO$3,AO$3&gt;=$C$1),'General Inputs'!M$10*$I97,IF(AND(($C97+$C$1)&gt;AO$3,AO$3&gt;=$C$1),'General Inputs'!M$10*$H97,0))</f>
        <v>37.577388902230311</v>
      </c>
      <c r="BK97" s="214">
        <f>IF(AND(($D97+$C$1)&gt;AP$3,AP$3&gt;=$C$1),'General Inputs'!N$10*$I97,IF(AND(($C97+$C$1)&gt;AP$3,AP$3&gt;=$C$1),'General Inputs'!N$10*$H97,0))</f>
        <v>38.141049735763758</v>
      </c>
      <c r="BL97" s="214">
        <f>IF(AND(($D97+$C$1)&gt;AQ$3,AQ$3&gt;=$C$1),'General Inputs'!O$10*$I97,IF(AND(($C97+$C$1)&gt;AQ$3,AQ$3&gt;=$C$1),'General Inputs'!O$10*$H97,0))</f>
        <v>38.71316548180021</v>
      </c>
      <c r="BM97" s="214">
        <f>IF(AND(($D97+$C$1)&gt;AR$3,AR$3&gt;=$C$1),'General Inputs'!P$10*$I97,IF(AND(($C97+$C$1)&gt;AR$3,AR$3&gt;=$C$1),'General Inputs'!P$10*$H97,0))</f>
        <v>39.293862964027213</v>
      </c>
      <c r="BN97" s="214">
        <f>IF(AND(($D97+$C$1)&gt;AS$3,AS$3&gt;=$C$1),'General Inputs'!Q$10*$I97,IF(AND(($C97+$C$1)&gt;AS$3,AS$3&gt;=$C$1),'General Inputs'!Q$10*$H97,0))</f>
        <v>39.883270908487617</v>
      </c>
      <c r="BO97" s="214">
        <f>IF(AND(($D97+$C$1)&gt;AT$3,AT$3&gt;=$C$1),'General Inputs'!R$10*$I97,IF(AND(($C97+$C$1)&gt;AT$3,AT$3&gt;=$C$1),'General Inputs'!R$10*$H97,0))</f>
        <v>40.481519972114924</v>
      </c>
      <c r="BP97" s="214">
        <f>IF(AND(($D97+$C$1)&gt;AU$3,AU$3&gt;=$C$1),'General Inputs'!S$10*$I97,IF(AND(($C97+$C$1)&gt;AU$3,AU$3&gt;=$C$1),'General Inputs'!S$10*$H97,0))</f>
        <v>41.088742771696644</v>
      </c>
      <c r="BQ97" s="214">
        <f>IF(AND(($D97+$C$1)&gt;AV$3,AV$3&gt;=$C$1),'General Inputs'!T$10*$I97,IF(AND(($C97+$C$1)&gt;AV$3,AV$3&gt;=$C$1),'General Inputs'!T$10*$H97,0))</f>
        <v>0</v>
      </c>
      <c r="BR97" s="214">
        <f>IF(AND(($D97+$C$1)&gt;AW$3,AW$3&gt;=$C$1),'General Inputs'!U$10*$I97,IF(AND(($C97+$C$1)&gt;AW$3,AW$3&gt;=$C$1),'General Inputs'!U$10*$H97,0))</f>
        <v>0</v>
      </c>
      <c r="BS97" s="214">
        <f>IF(AND(($D97+$C$1)&gt;AX$3,AX$3&gt;=$C$1),'General Inputs'!V$10*$I97,IF(AND(($C97+$C$1)&gt;AX$3,AX$3&gt;=$C$1),'General Inputs'!V$10*$H97,0))</f>
        <v>0</v>
      </c>
      <c r="BT97" s="214">
        <f>IF(AND(($D97+$C$1)&gt;AY$3,AY$3&gt;=$C$1),'General Inputs'!W$10*$I97,IF(AND(($C97+$C$1)&gt;AY$3,AY$3&gt;=$C$1),'General Inputs'!W$10*$H97,0))</f>
        <v>0</v>
      </c>
    </row>
    <row r="98" spans="1:72">
      <c r="A98" s="342" t="s">
        <v>112</v>
      </c>
      <c r="B98" s="427" t="str">
        <f>Sources!B98</f>
        <v>Electric Storage Water Heater (&gt;50 gallons)</v>
      </c>
      <c r="C98" s="193">
        <f>Sources!C98</f>
        <v>5</v>
      </c>
      <c r="D98" s="193">
        <f>Sources!D98</f>
        <v>0</v>
      </c>
      <c r="F98" s="429">
        <f>Sources!F98*EnergyLineLoss</f>
        <v>1864.5499499999999</v>
      </c>
      <c r="G98" s="429">
        <f>Sources!G98*EnergyLineLoss</f>
        <v>0</v>
      </c>
      <c r="H98" s="477">
        <f>Sources!H98*PeakLineLoss</f>
        <v>0.2094</v>
      </c>
      <c r="I98" s="477">
        <f>Sources!I98*PeakLineLoss</f>
        <v>0</v>
      </c>
      <c r="K98" s="419">
        <f>Sources!J98</f>
        <v>1050</v>
      </c>
      <c r="L98" s="419">
        <f>Sources!K98</f>
        <v>0</v>
      </c>
      <c r="N98" s="438">
        <f t="shared" si="36"/>
        <v>0.32679498287255437</v>
      </c>
      <c r="P98" s="215">
        <f t="shared" si="37"/>
        <v>302.48815605272239</v>
      </c>
      <c r="Q98" s="215">
        <f t="shared" si="38"/>
        <v>12.7771251087827</v>
      </c>
      <c r="R98" s="215">
        <f t="shared" si="39"/>
        <v>964.71885336273431</v>
      </c>
      <c r="T98" s="214">
        <f t="shared" si="40"/>
        <v>0</v>
      </c>
      <c r="U98" s="214">
        <f t="shared" si="40"/>
        <v>1050</v>
      </c>
      <c r="V98" s="214">
        <f t="shared" si="40"/>
        <v>0</v>
      </c>
      <c r="W98" s="214">
        <f t="shared" si="40"/>
        <v>0</v>
      </c>
      <c r="X98" s="214">
        <f t="shared" si="40"/>
        <v>0</v>
      </c>
      <c r="Y98" s="214">
        <f t="shared" si="40"/>
        <v>0</v>
      </c>
      <c r="Z98" s="214">
        <f t="shared" si="40"/>
        <v>0</v>
      </c>
      <c r="AA98" s="214">
        <f t="shared" si="40"/>
        <v>0</v>
      </c>
      <c r="AB98" s="214">
        <f t="shared" si="40"/>
        <v>0</v>
      </c>
      <c r="AC98" s="214">
        <f t="shared" si="40"/>
        <v>0</v>
      </c>
      <c r="AD98" s="214">
        <f t="shared" si="40"/>
        <v>0</v>
      </c>
      <c r="AF98" s="214">
        <f>IF(AND(($D98+$C$1)&gt;AF$3,AF$3&gt;=$C$1),'General Inputs'!D$9*$G98,IF(AND(($C98+$C$1)&gt;AF$3,AF$3&gt;=$C$1),'General Inputs'!D$9*$F98,0))</f>
        <v>0</v>
      </c>
      <c r="AG98" s="214">
        <f>IF(AND(($D98+$C$1)&gt;AG$3,AG$3&gt;=$C$1),'General Inputs'!E$9*$G98,IF(AND(($C98+$C$1)&gt;AG$3,AG$3&gt;=$C$1),'General Inputs'!E$9*$F98,0))</f>
        <v>75.345444090427677</v>
      </c>
      <c r="AH98" s="214">
        <f>IF(AND(($D98+$C$1)&gt;AH$3,AH$3&gt;=$C$1),'General Inputs'!F$9*$G98,IF(AND(($C98+$C$1)&gt;AH$3,AH$3&gt;=$C$1),'General Inputs'!F$9*$F98,0))</f>
        <v>76.475625751784094</v>
      </c>
      <c r="AI98" s="214">
        <f>IF(AND(($D98+$C$1)&gt;AI$3,AI$3&gt;=$C$1),'General Inputs'!G$9*$G98,IF(AND(($C98+$C$1)&gt;AI$3,AI$3&gt;=$C$1),'General Inputs'!G$9*$F98,0))</f>
        <v>77.622760138060841</v>
      </c>
      <c r="AJ98" s="214">
        <f>IF(AND(($D98+$C$1)&gt;AJ$3,AJ$3&gt;=$C$1),'General Inputs'!H$9*$G98,IF(AND(($C98+$C$1)&gt;AJ$3,AJ$3&gt;=$C$1),'General Inputs'!H$9*$F98,0))</f>
        <v>78.787101540131744</v>
      </c>
      <c r="AK98" s="214">
        <f>IF(AND(($D98+$C$1)&gt;AK$3,AK$3&gt;=$C$1),'General Inputs'!I$9*$G98,IF(AND(($C98+$C$1)&gt;AK$3,AK$3&gt;=$C$1),'General Inputs'!I$9*$F98,0))</f>
        <v>79.968908063233712</v>
      </c>
      <c r="AL98" s="214">
        <f>IF(AND(($D98+$C$1)&gt;AL$3,AL$3&gt;=$C$1),'General Inputs'!J$9*$G98,IF(AND(($C98+$C$1)&gt;AL$3,AL$3&gt;=$C$1),'General Inputs'!J$9*$F98,0))</f>
        <v>0</v>
      </c>
      <c r="AM98" s="214">
        <f>IF(AND(($D98+$C$1)&gt;AM$3,AM$3&gt;=$C$1),'General Inputs'!K$9*$G98,IF(AND(($C98+$C$1)&gt;AM$3,AM$3&gt;=$C$1),'General Inputs'!K$9*$F98,0))</f>
        <v>0</v>
      </c>
      <c r="AN98" s="214">
        <f>IF(AND(($D98+$C$1)&gt;AN$3,AN$3&gt;=$C$1),'General Inputs'!L$9*$G98,IF(AND(($C98+$C$1)&gt;AN$3,AN$3&gt;=$C$1),'General Inputs'!L$9*$F98,0))</f>
        <v>0</v>
      </c>
      <c r="AO98" s="214">
        <f>IF(AND(($D98+$C$1)&gt;AO$3,AO$3&gt;=$C$1),'General Inputs'!M$9*$G98,IF(AND(($C98+$C$1)&gt;AO$3,AO$3&gt;=$C$1),'General Inputs'!M$9*$F98,0))</f>
        <v>0</v>
      </c>
      <c r="AP98" s="214">
        <f>IF(AND(($D98+$C$1)&gt;AP$3,AP$3&gt;=$C$1),'General Inputs'!N$9*$G98,IF(AND(($C98+$C$1)&gt;AP$3,AP$3&gt;=$C$1),'General Inputs'!N$9*$F98,0))</f>
        <v>0</v>
      </c>
      <c r="AQ98" s="214">
        <f>IF(AND(($D98+$C$1)&gt;AQ$3,AQ$3&gt;=$C$1),'General Inputs'!O$9*$G98,IF(AND(($C98+$C$1)&gt;AQ$3,AQ$3&gt;=$C$1),'General Inputs'!O$9*$F98,0))</f>
        <v>0</v>
      </c>
      <c r="AR98" s="214">
        <f>IF(AND(($D98+$C$1)&gt;AR$3,AR$3&gt;=$C$1),'General Inputs'!P$9*$G98,IF(AND(($C98+$C$1)&gt;AR$3,AR$3&gt;=$C$1),'General Inputs'!P$9*$F98,0))</f>
        <v>0</v>
      </c>
      <c r="AS98" s="214">
        <f>IF(AND(($D98+$C$1)&gt;AS$3,AS$3&gt;=$C$1),'General Inputs'!Q$9*$G98,IF(AND(($C98+$C$1)&gt;AS$3,AS$3&gt;=$C$1),'General Inputs'!Q$9*$F98,0))</f>
        <v>0</v>
      </c>
      <c r="AT98" s="214">
        <f>IF(AND(($D98+$C$1)&gt;AT$3,AT$3&gt;=$C$1),'General Inputs'!R$9*$G98,IF(AND(($C98+$C$1)&gt;AT$3,AT$3&gt;=$C$1),'General Inputs'!R$9*$F98,0))</f>
        <v>0</v>
      </c>
      <c r="AU98" s="214">
        <f>IF(AND(($D98+$C$1)&gt;AU$3,AU$3&gt;=$C$1),'General Inputs'!S$9*$G98,IF(AND(($C98+$C$1)&gt;AU$3,AU$3&gt;=$C$1),'General Inputs'!S$9*$F98,0))</f>
        <v>0</v>
      </c>
      <c r="AV98" s="214">
        <f>IF(AND(($D98+$C$1)&gt;AV$3,AV$3&gt;=$C$1),'General Inputs'!T$9*$G98,IF(AND(($C98+$C$1)&gt;AV$3,AV$3&gt;=$C$1),'General Inputs'!T$9*$F98,0))</f>
        <v>0</v>
      </c>
      <c r="AW98" s="214">
        <f>IF(AND(($D98+$C$1)&gt;AW$3,AW$3&gt;=$C$1),'General Inputs'!U$9*$G98,IF(AND(($C98+$C$1)&gt;AW$3,AW$3&gt;=$C$1),'General Inputs'!U$9*$F98,0))</f>
        <v>0</v>
      </c>
      <c r="AX98" s="214">
        <f>IF(AND(($D98+$C$1)&gt;AX$3,AX$3&gt;=$C$1),'General Inputs'!V$9*$G98,IF(AND(($C98+$C$1)&gt;AX$3,AX$3&gt;=$C$1),'General Inputs'!V$9*$F98,0))</f>
        <v>0</v>
      </c>
      <c r="AY98" s="214">
        <f>IF(AND(($D98+$C$1)&gt;AY$3,AY$3&gt;=$C$1),'General Inputs'!W$9*$G98,IF(AND(($C98+$C$1)&gt;AY$3,AY$3&gt;=$C$1),'General Inputs'!W$9*$F98,0))</f>
        <v>0</v>
      </c>
      <c r="BA98" s="214">
        <f>IF(AND(($D98+$C$1)&gt;AF$3,AF$3&gt;=$C$1),'General Inputs'!D$10*$I98,IF(AND(($C98+$C$1)&gt;AF$3,AF$3&gt;=$C$1),'General Inputs'!D$10*$H98,0))</f>
        <v>0</v>
      </c>
      <c r="BB98" s="214">
        <f>IF(AND(($D98+$C$1)&gt;AG$3,AG$3&gt;=$C$1),'General Inputs'!E$10*$I98,IF(AND(($C98+$C$1)&gt;AG$3,AG$3&gt;=$C$1),'General Inputs'!E$10*$H98,0))</f>
        <v>3.1825978844354901</v>
      </c>
      <c r="BC98" s="214">
        <f>IF(AND(($D98+$C$1)&gt;AH$3,AH$3&gt;=$C$1),'General Inputs'!F$10*$I98,IF(AND(($C98+$C$1)&gt;AH$3,AH$3&gt;=$C$1),'General Inputs'!F$10*$H98,0))</f>
        <v>3.2303368527020222</v>
      </c>
      <c r="BD98" s="214">
        <f>IF(AND(($D98+$C$1)&gt;AI$3,AI$3&gt;=$C$1),'General Inputs'!G$10*$I98,IF(AND(($C98+$C$1)&gt;AI$3,AI$3&gt;=$C$1),'General Inputs'!G$10*$H98,0))</f>
        <v>3.2787919054925525</v>
      </c>
      <c r="BE98" s="214">
        <f>IF(AND(($D98+$C$1)&gt;AJ$3,AJ$3&gt;=$C$1),'General Inputs'!H$10*$I98,IF(AND(($C98+$C$1)&gt;AJ$3,AJ$3&gt;=$C$1),'General Inputs'!H$10*$H98,0))</f>
        <v>3.3279737840749406</v>
      </c>
      <c r="BF98" s="214">
        <f>IF(AND(($D98+$C$1)&gt;AK$3,AK$3&gt;=$C$1),'General Inputs'!I$10*$I98,IF(AND(($C98+$C$1)&gt;AK$3,AK$3&gt;=$C$1),'General Inputs'!I$10*$H98,0))</f>
        <v>3.3778933908360638</v>
      </c>
      <c r="BG98" s="214">
        <f>IF(AND(($D98+$C$1)&gt;AL$3,AL$3&gt;=$C$1),'General Inputs'!J$10*$I98,IF(AND(($C98+$C$1)&gt;AL$3,AL$3&gt;=$C$1),'General Inputs'!J$10*$H98,0))</f>
        <v>0</v>
      </c>
      <c r="BH98" s="214">
        <f>IF(AND(($D98+$C$1)&gt;AM$3,AM$3&gt;=$C$1),'General Inputs'!K$10*$I98,IF(AND(($C98+$C$1)&gt;AM$3,AM$3&gt;=$C$1),'General Inputs'!K$10*$H98,0))</f>
        <v>0</v>
      </c>
      <c r="BI98" s="214">
        <f>IF(AND(($D98+$C$1)&gt;AN$3,AN$3&gt;=$C$1),'General Inputs'!L$10*$I98,IF(AND(($C98+$C$1)&gt;AN$3,AN$3&gt;=$C$1),'General Inputs'!L$10*$H98,0))</f>
        <v>0</v>
      </c>
      <c r="BJ98" s="214">
        <f>IF(AND(($D98+$C$1)&gt;AO$3,AO$3&gt;=$C$1),'General Inputs'!M$10*$I98,IF(AND(($C98+$C$1)&gt;AO$3,AO$3&gt;=$C$1),'General Inputs'!M$10*$H98,0))</f>
        <v>0</v>
      </c>
      <c r="BK98" s="214">
        <f>IF(AND(($D98+$C$1)&gt;AP$3,AP$3&gt;=$C$1),'General Inputs'!N$10*$I98,IF(AND(($C98+$C$1)&gt;AP$3,AP$3&gt;=$C$1),'General Inputs'!N$10*$H98,0))</f>
        <v>0</v>
      </c>
      <c r="BL98" s="214">
        <f>IF(AND(($D98+$C$1)&gt;AQ$3,AQ$3&gt;=$C$1),'General Inputs'!O$10*$I98,IF(AND(($C98+$C$1)&gt;AQ$3,AQ$3&gt;=$C$1),'General Inputs'!O$10*$H98,0))</f>
        <v>0</v>
      </c>
      <c r="BM98" s="214">
        <f>IF(AND(($D98+$C$1)&gt;AR$3,AR$3&gt;=$C$1),'General Inputs'!P$10*$I98,IF(AND(($C98+$C$1)&gt;AR$3,AR$3&gt;=$C$1),'General Inputs'!P$10*$H98,0))</f>
        <v>0</v>
      </c>
      <c r="BN98" s="214">
        <f>IF(AND(($D98+$C$1)&gt;AS$3,AS$3&gt;=$C$1),'General Inputs'!Q$10*$I98,IF(AND(($C98+$C$1)&gt;AS$3,AS$3&gt;=$C$1),'General Inputs'!Q$10*$H98,0))</f>
        <v>0</v>
      </c>
      <c r="BO98" s="214">
        <f>IF(AND(($D98+$C$1)&gt;AT$3,AT$3&gt;=$C$1),'General Inputs'!R$10*$I98,IF(AND(($C98+$C$1)&gt;AT$3,AT$3&gt;=$C$1),'General Inputs'!R$10*$H98,0))</f>
        <v>0</v>
      </c>
      <c r="BP98" s="214">
        <f>IF(AND(($D98+$C$1)&gt;AU$3,AU$3&gt;=$C$1),'General Inputs'!S$10*$I98,IF(AND(($C98+$C$1)&gt;AU$3,AU$3&gt;=$C$1),'General Inputs'!S$10*$H98,0))</f>
        <v>0</v>
      </c>
      <c r="BQ98" s="214">
        <f>IF(AND(($D98+$C$1)&gt;AV$3,AV$3&gt;=$C$1),'General Inputs'!T$10*$I98,IF(AND(($C98+$C$1)&gt;AV$3,AV$3&gt;=$C$1),'General Inputs'!T$10*$H98,0))</f>
        <v>0</v>
      </c>
      <c r="BR98" s="214">
        <f>IF(AND(($D98+$C$1)&gt;AW$3,AW$3&gt;=$C$1),'General Inputs'!U$10*$I98,IF(AND(($C98+$C$1)&gt;AW$3,AW$3&gt;=$C$1),'General Inputs'!U$10*$H98,0))</f>
        <v>0</v>
      </c>
      <c r="BS98" s="214">
        <f>IF(AND(($D98+$C$1)&gt;AX$3,AX$3&gt;=$C$1),'General Inputs'!V$10*$I98,IF(AND(($C98+$C$1)&gt;AX$3,AX$3&gt;=$C$1),'General Inputs'!V$10*$H98,0))</f>
        <v>0</v>
      </c>
      <c r="BT98" s="214">
        <f>IF(AND(($D98+$C$1)&gt;AY$3,AY$3&gt;=$C$1),'General Inputs'!W$10*$I98,IF(AND(($C98+$C$1)&gt;AY$3,AY$3&gt;=$C$1),'General Inputs'!W$10*$H98,0))</f>
        <v>0</v>
      </c>
    </row>
    <row r="99" spans="1:72">
      <c r="A99" s="342" t="s">
        <v>112</v>
      </c>
      <c r="B99" s="427" t="str">
        <f>Sources!B99</f>
        <v>Heat Pump Water Heater</v>
      </c>
      <c r="C99" s="193">
        <f>Sources!C99</f>
        <v>15</v>
      </c>
      <c r="D99" s="193">
        <f>Sources!D99</f>
        <v>0</v>
      </c>
      <c r="F99" s="429">
        <f>Sources!F99*EnergyLineLoss</f>
        <v>1815.1933588429342</v>
      </c>
      <c r="G99" s="429">
        <f>Sources!G99*EnergyLineLoss</f>
        <v>0</v>
      </c>
      <c r="H99" s="477">
        <f>Sources!H99*PeakLineLoss</f>
        <v>8.5994158334446152E-2</v>
      </c>
      <c r="I99" s="477">
        <f>Sources!I99*PeakLineLoss</f>
        <v>0</v>
      </c>
      <c r="K99" s="419">
        <f>Sources!J99</f>
        <v>700</v>
      </c>
      <c r="L99" s="419">
        <f>Sources!K99</f>
        <v>0</v>
      </c>
      <c r="N99" s="438">
        <f t="shared" si="36"/>
        <v>1.0265814350172817</v>
      </c>
      <c r="P99" s="215">
        <f t="shared" si="37"/>
        <v>648.68316131475081</v>
      </c>
      <c r="Q99" s="215">
        <f t="shared" si="38"/>
        <v>11.558481934144028</v>
      </c>
      <c r="R99" s="215">
        <f t="shared" si="39"/>
        <v>643.1459022418228</v>
      </c>
      <c r="T99" s="214">
        <f t="shared" si="40"/>
        <v>0</v>
      </c>
      <c r="U99" s="214">
        <f t="shared" si="40"/>
        <v>700</v>
      </c>
      <c r="V99" s="214">
        <f t="shared" si="40"/>
        <v>0</v>
      </c>
      <c r="W99" s="214">
        <f t="shared" si="40"/>
        <v>0</v>
      </c>
      <c r="X99" s="214">
        <f t="shared" si="40"/>
        <v>0</v>
      </c>
      <c r="Y99" s="214">
        <f t="shared" si="40"/>
        <v>0</v>
      </c>
      <c r="Z99" s="214">
        <f t="shared" si="40"/>
        <v>0</v>
      </c>
      <c r="AA99" s="214">
        <f t="shared" si="40"/>
        <v>0</v>
      </c>
      <c r="AB99" s="214">
        <f t="shared" si="40"/>
        <v>0</v>
      </c>
      <c r="AC99" s="214">
        <f t="shared" si="40"/>
        <v>0</v>
      </c>
      <c r="AD99" s="214">
        <f t="shared" si="40"/>
        <v>0</v>
      </c>
      <c r="AF99" s="214">
        <f>IF(AND(($D99+$C$1)&gt;AF$3,AF$3&gt;=$C$1),'General Inputs'!D$9*$G99,IF(AND(($C99+$C$1)&gt;AF$3,AF$3&gt;=$C$1),'General Inputs'!D$9*$F99,0))</f>
        <v>0</v>
      </c>
      <c r="AG99" s="214">
        <f>IF(AND(($D99+$C$1)&gt;AG$3,AG$3&gt;=$C$1),'General Inputs'!E$9*$G99,IF(AND(($C99+$C$1)&gt;AG$3,AG$3&gt;=$C$1),'General Inputs'!E$9*$F99,0))</f>
        <v>73.350971226067685</v>
      </c>
      <c r="AH99" s="214">
        <f>IF(AND(($D99+$C$1)&gt;AH$3,AH$3&gt;=$C$1),'General Inputs'!F$9*$G99,IF(AND(($C99+$C$1)&gt;AH$3,AH$3&gt;=$C$1),'General Inputs'!F$9*$F99,0))</f>
        <v>74.451235794458697</v>
      </c>
      <c r="AI99" s="214">
        <f>IF(AND(($D99+$C$1)&gt;AI$3,AI$3&gt;=$C$1),'General Inputs'!G$9*$G99,IF(AND(($C99+$C$1)&gt;AI$3,AI$3&gt;=$C$1),'General Inputs'!G$9*$F99,0))</f>
        <v>75.568004331375562</v>
      </c>
      <c r="AJ99" s="214">
        <f>IF(AND(($D99+$C$1)&gt;AJ$3,AJ$3&gt;=$C$1),'General Inputs'!H$9*$G99,IF(AND(($C99+$C$1)&gt;AJ$3,AJ$3&gt;=$C$1),'General Inputs'!H$9*$F99,0))</f>
        <v>76.701524396346187</v>
      </c>
      <c r="AK99" s="214">
        <f>IF(AND(($D99+$C$1)&gt;AK$3,AK$3&gt;=$C$1),'General Inputs'!I$9*$G99,IF(AND(($C99+$C$1)&gt;AK$3,AK$3&gt;=$C$1),'General Inputs'!I$9*$F99,0))</f>
        <v>77.852047262291379</v>
      </c>
      <c r="AL99" s="214">
        <f>IF(AND(($D99+$C$1)&gt;AL$3,AL$3&gt;=$C$1),'General Inputs'!J$9*$G99,IF(AND(($C99+$C$1)&gt;AL$3,AL$3&gt;=$C$1),'General Inputs'!J$9*$F99,0))</f>
        <v>79.019827971225737</v>
      </c>
      <c r="AM99" s="214">
        <f>IF(AND(($D99+$C$1)&gt;AM$3,AM$3&gt;=$C$1),'General Inputs'!K$9*$G99,IF(AND(($C99+$C$1)&gt;AM$3,AM$3&gt;=$C$1),'General Inputs'!K$9*$F99,0))</f>
        <v>80.205125390794109</v>
      </c>
      <c r="AN99" s="214">
        <f>IF(AND(($D99+$C$1)&gt;AN$3,AN$3&gt;=$C$1),'General Inputs'!L$9*$G99,IF(AND(($C99+$C$1)&gt;AN$3,AN$3&gt;=$C$1),'General Inputs'!L$9*$F99,0))</f>
        <v>81.408202271656009</v>
      </c>
      <c r="AO99" s="214">
        <f>IF(AND(($D99+$C$1)&gt;AO$3,AO$3&gt;=$C$1),'General Inputs'!M$9*$G99,IF(AND(($C99+$C$1)&gt;AO$3,AO$3&gt;=$C$1),'General Inputs'!M$9*$F99,0))</f>
        <v>82.629325305730831</v>
      </c>
      <c r="AP99" s="214">
        <f>IF(AND(($D99+$C$1)&gt;AP$3,AP$3&gt;=$C$1),'General Inputs'!N$9*$G99,IF(AND(($C99+$C$1)&gt;AP$3,AP$3&gt;=$C$1),'General Inputs'!N$9*$F99,0))</f>
        <v>83.868765185316789</v>
      </c>
      <c r="AQ99" s="214">
        <f>IF(AND(($D99+$C$1)&gt;AQ$3,AQ$3&gt;=$C$1),'General Inputs'!O$9*$G99,IF(AND(($C99+$C$1)&gt;AQ$3,AQ$3&gt;=$C$1),'General Inputs'!O$9*$F99,0))</f>
        <v>85.126796663096542</v>
      </c>
      <c r="AR99" s="214">
        <f>IF(AND(($D99+$C$1)&gt;AR$3,AR$3&gt;=$C$1),'General Inputs'!P$9*$G99,IF(AND(($C99+$C$1)&gt;AR$3,AR$3&gt;=$C$1),'General Inputs'!P$9*$F99,0))</f>
        <v>86.403698613042977</v>
      </c>
      <c r="AS99" s="214">
        <f>IF(AND(($D99+$C$1)&gt;AS$3,AS$3&gt;=$C$1),'General Inputs'!Q$9*$G99,IF(AND(($C99+$C$1)&gt;AS$3,AS$3&gt;=$C$1),'General Inputs'!Q$9*$F99,0))</f>
        <v>87.699754092238621</v>
      </c>
      <c r="AT99" s="214">
        <f>IF(AND(($D99+$C$1)&gt;AT$3,AT$3&gt;=$C$1),'General Inputs'!R$9*$G99,IF(AND(($C99+$C$1)&gt;AT$3,AT$3&gt;=$C$1),'General Inputs'!R$9*$F99,0))</f>
        <v>89.01525040362219</v>
      </c>
      <c r="AU99" s="214">
        <f>IF(AND(($D99+$C$1)&gt;AU$3,AU$3&gt;=$C$1),'General Inputs'!S$9*$G99,IF(AND(($C99+$C$1)&gt;AU$3,AU$3&gt;=$C$1),'General Inputs'!S$9*$F99,0))</f>
        <v>90.35047915967651</v>
      </c>
      <c r="AV99" s="214">
        <f>IF(AND(($D99+$C$1)&gt;AV$3,AV$3&gt;=$C$1),'General Inputs'!T$9*$G99,IF(AND(($C99+$C$1)&gt;AV$3,AV$3&gt;=$C$1),'General Inputs'!T$9*$F99,0))</f>
        <v>0</v>
      </c>
      <c r="AW99" s="214">
        <f>IF(AND(($D99+$C$1)&gt;AW$3,AW$3&gt;=$C$1),'General Inputs'!U$9*$G99,IF(AND(($C99+$C$1)&gt;AW$3,AW$3&gt;=$C$1),'General Inputs'!U$9*$F99,0))</f>
        <v>0</v>
      </c>
      <c r="AX99" s="214">
        <f>IF(AND(($D99+$C$1)&gt;AX$3,AX$3&gt;=$C$1),'General Inputs'!V$9*$G99,IF(AND(($C99+$C$1)&gt;AX$3,AX$3&gt;=$C$1),'General Inputs'!V$9*$F99,0))</f>
        <v>0</v>
      </c>
      <c r="AY99" s="214">
        <f>IF(AND(($D99+$C$1)&gt;AY$3,AY$3&gt;=$C$1),'General Inputs'!W$9*$G99,IF(AND(($C99+$C$1)&gt;AY$3,AY$3&gt;=$C$1),'General Inputs'!W$9*$F99,0))</f>
        <v>0</v>
      </c>
      <c r="BA99" s="214">
        <f>IF(AND(($D99+$C$1)&gt;AF$3,AF$3&gt;=$C$1),'General Inputs'!D$10*$I99,IF(AND(($C99+$C$1)&gt;AF$3,AF$3&gt;=$C$1),'General Inputs'!D$10*$H99,0))</f>
        <v>0</v>
      </c>
      <c r="BB99" s="214">
        <f>IF(AND(($D99+$C$1)&gt;AG$3,AG$3&gt;=$C$1),'General Inputs'!E$10*$I99,IF(AND(($C99+$C$1)&gt;AG$3,AG$3&gt;=$C$1),'General Inputs'!E$10*$H99,0))</f>
        <v>1.3069953504728695</v>
      </c>
      <c r="BC99" s="214">
        <f>IF(AND(($D99+$C$1)&gt;AH$3,AH$3&gt;=$C$1),'General Inputs'!F$10*$I99,IF(AND(($C99+$C$1)&gt;AH$3,AH$3&gt;=$C$1),'General Inputs'!F$10*$H99,0))</f>
        <v>1.3266002807299626</v>
      </c>
      <c r="BD99" s="214">
        <f>IF(AND(($D99+$C$1)&gt;AI$3,AI$3&gt;=$C$1),'General Inputs'!G$10*$I99,IF(AND(($C99+$C$1)&gt;AI$3,AI$3&gt;=$C$1),'General Inputs'!G$10*$H99,0))</f>
        <v>1.3464992849409119</v>
      </c>
      <c r="BE99" s="214">
        <f>IF(AND(($D99+$C$1)&gt;AJ$3,AJ$3&gt;=$C$1),'General Inputs'!H$10*$I99,IF(AND(($C99+$C$1)&gt;AJ$3,AJ$3&gt;=$C$1),'General Inputs'!H$10*$H99,0))</f>
        <v>1.3666967742150256</v>
      </c>
      <c r="BF99" s="214">
        <f>IF(AND(($D99+$C$1)&gt;AK$3,AK$3&gt;=$C$1),'General Inputs'!I$10*$I99,IF(AND(($C99+$C$1)&gt;AK$3,AK$3&gt;=$C$1),'General Inputs'!I$10*$H99,0))</f>
        <v>1.3871972258282506</v>
      </c>
      <c r="BG99" s="214">
        <f>IF(AND(($D99+$C$1)&gt;AL$3,AL$3&gt;=$C$1),'General Inputs'!J$10*$I99,IF(AND(($C99+$C$1)&gt;AL$3,AL$3&gt;=$C$1),'General Inputs'!J$10*$H99,0))</f>
        <v>1.4080051842156742</v>
      </c>
      <c r="BH99" s="214">
        <f>IF(AND(($D99+$C$1)&gt;AM$3,AM$3&gt;=$C$1),'General Inputs'!K$10*$I99,IF(AND(($C99+$C$1)&gt;AM$3,AM$3&gt;=$C$1),'General Inputs'!K$10*$H99,0))</f>
        <v>1.4291252619789092</v>
      </c>
      <c r="BI99" s="214">
        <f>IF(AND(($D99+$C$1)&gt;AN$3,AN$3&gt;=$C$1),'General Inputs'!L$10*$I99,IF(AND(($C99+$C$1)&gt;AN$3,AN$3&gt;=$C$1),'General Inputs'!L$10*$H99,0))</f>
        <v>1.4505621409085927</v>
      </c>
      <c r="BJ99" s="214">
        <f>IF(AND(($D99+$C$1)&gt;AO$3,AO$3&gt;=$C$1),'General Inputs'!M$10*$I99,IF(AND(($C99+$C$1)&gt;AO$3,AO$3&gt;=$C$1),'General Inputs'!M$10*$H99,0))</f>
        <v>1.4723205730222215</v>
      </c>
      <c r="BK99" s="214">
        <f>IF(AND(($D99+$C$1)&gt;AP$3,AP$3&gt;=$C$1),'General Inputs'!N$10*$I99,IF(AND(($C99+$C$1)&gt;AP$3,AP$3&gt;=$C$1),'General Inputs'!N$10*$H99,0))</f>
        <v>1.4944053816175547</v>
      </c>
      <c r="BL99" s="214">
        <f>IF(AND(($D99+$C$1)&gt;AQ$3,AQ$3&gt;=$C$1),'General Inputs'!O$10*$I99,IF(AND(($C99+$C$1)&gt;AQ$3,AQ$3&gt;=$C$1),'General Inputs'!O$10*$H99,0))</f>
        <v>1.5168214623418179</v>
      </c>
      <c r="BM99" s="214">
        <f>IF(AND(($D99+$C$1)&gt;AR$3,AR$3&gt;=$C$1),'General Inputs'!P$10*$I99,IF(AND(($C99+$C$1)&gt;AR$3,AR$3&gt;=$C$1),'General Inputs'!P$10*$H99,0))</f>
        <v>1.539573784276945</v>
      </c>
      <c r="BN99" s="214">
        <f>IF(AND(($D99+$C$1)&gt;AS$3,AS$3&gt;=$C$1),'General Inputs'!Q$10*$I99,IF(AND(($C99+$C$1)&gt;AS$3,AS$3&gt;=$C$1),'General Inputs'!Q$10*$H99,0))</f>
        <v>1.5626673910410991</v>
      </c>
      <c r="BO99" s="214">
        <f>IF(AND(($D99+$C$1)&gt;AT$3,AT$3&gt;=$C$1),'General Inputs'!R$10*$I99,IF(AND(($C99+$C$1)&gt;AT$3,AT$3&gt;=$C$1),'General Inputs'!R$10*$H99,0))</f>
        <v>1.5861074019067152</v>
      </c>
      <c r="BP99" s="214">
        <f>IF(AND(($D99+$C$1)&gt;AU$3,AU$3&gt;=$C$1),'General Inputs'!S$10*$I99,IF(AND(($C99+$C$1)&gt;AU$3,AU$3&gt;=$C$1),'General Inputs'!S$10*$H99,0))</f>
        <v>1.6098990129353159</v>
      </c>
      <c r="BQ99" s="214">
        <f>IF(AND(($D99+$C$1)&gt;AV$3,AV$3&gt;=$C$1),'General Inputs'!T$10*$I99,IF(AND(($C99+$C$1)&gt;AV$3,AV$3&gt;=$C$1),'General Inputs'!T$10*$H99,0))</f>
        <v>0</v>
      </c>
      <c r="BR99" s="214">
        <f>IF(AND(($D99+$C$1)&gt;AW$3,AW$3&gt;=$C$1),'General Inputs'!U$10*$I99,IF(AND(($C99+$C$1)&gt;AW$3,AW$3&gt;=$C$1),'General Inputs'!U$10*$H99,0))</f>
        <v>0</v>
      </c>
      <c r="BS99" s="214">
        <f>IF(AND(($D99+$C$1)&gt;AX$3,AX$3&gt;=$C$1),'General Inputs'!V$10*$I99,IF(AND(($C99+$C$1)&gt;AX$3,AX$3&gt;=$C$1),'General Inputs'!V$10*$H99,0))</f>
        <v>0</v>
      </c>
      <c r="BT99" s="214">
        <f>IF(AND(($D99+$C$1)&gt;AY$3,AY$3&gt;=$C$1),'General Inputs'!W$10*$I99,IF(AND(($C99+$C$1)&gt;AY$3,AY$3&gt;=$C$1),'General Inputs'!W$10*$H99,0))</f>
        <v>0</v>
      </c>
    </row>
    <row r="100" spans="1:72">
      <c r="A100" s="342" t="s">
        <v>112</v>
      </c>
      <c r="B100" s="427" t="str">
        <f>Sources!B100</f>
        <v>VFD Fan</v>
      </c>
      <c r="C100" s="193">
        <f>Sources!C100</f>
        <v>15</v>
      </c>
      <c r="D100" s="193">
        <f>Sources!D100</f>
        <v>0</v>
      </c>
      <c r="F100" s="429">
        <f>Sources!F100*EnergyLineLoss</f>
        <v>18326.59441340782</v>
      </c>
      <c r="G100" s="429">
        <f>Sources!G100*EnergyLineLoss</f>
        <v>0</v>
      </c>
      <c r="H100" s="477">
        <f>Sources!H100*PeakLineLoss</f>
        <v>3.8896887599999999</v>
      </c>
      <c r="I100" s="477">
        <f>Sources!I100*PeakLineLoss</f>
        <v>0</v>
      </c>
      <c r="K100" s="419">
        <f>Sources!J100</f>
        <v>2518</v>
      </c>
      <c r="L100" s="419">
        <f>Sources!K100</f>
        <v>0</v>
      </c>
      <c r="N100" s="438">
        <f t="shared" si="36"/>
        <v>3.0568834984424216</v>
      </c>
      <c r="P100" s="215">
        <f t="shared" si="37"/>
        <v>6549.2489504261648</v>
      </c>
      <c r="Q100" s="215">
        <f t="shared" si="38"/>
        <v>522.81338794026169</v>
      </c>
      <c r="R100" s="215">
        <f t="shared" si="39"/>
        <v>2313.4876883498714</v>
      </c>
      <c r="T100" s="214">
        <f t="shared" si="40"/>
        <v>0</v>
      </c>
      <c r="U100" s="214">
        <f t="shared" si="40"/>
        <v>2518</v>
      </c>
      <c r="V100" s="214">
        <f t="shared" si="40"/>
        <v>0</v>
      </c>
      <c r="W100" s="214">
        <f t="shared" si="40"/>
        <v>0</v>
      </c>
      <c r="X100" s="214">
        <f t="shared" si="40"/>
        <v>0</v>
      </c>
      <c r="Y100" s="214">
        <f t="shared" si="40"/>
        <v>0</v>
      </c>
      <c r="Z100" s="214">
        <f t="shared" si="40"/>
        <v>0</v>
      </c>
      <c r="AA100" s="214">
        <f t="shared" si="40"/>
        <v>0</v>
      </c>
      <c r="AB100" s="214">
        <f t="shared" si="40"/>
        <v>0</v>
      </c>
      <c r="AC100" s="214">
        <f t="shared" si="40"/>
        <v>0</v>
      </c>
      <c r="AD100" s="214">
        <f t="shared" si="40"/>
        <v>0</v>
      </c>
      <c r="AF100" s="214">
        <f>IF(AND(($D100+$C$1)&gt;AF$3,AF$3&gt;=$C$1),'General Inputs'!D$9*$G100,IF(AND(($C100+$C$1)&gt;AF$3,AF$3&gt;=$C$1),'General Inputs'!D$9*$F100,0))</f>
        <v>0</v>
      </c>
      <c r="AG100" s="214">
        <f>IF(AND(($D100+$C$1)&gt;AG$3,AG$3&gt;=$C$1),'General Inputs'!E$9*$G100,IF(AND(($C100+$C$1)&gt;AG$3,AG$3&gt;=$C$1),'General Inputs'!E$9*$F100,0))</f>
        <v>740.56766070727326</v>
      </c>
      <c r="AH100" s="214">
        <f>IF(AND(($D100+$C$1)&gt;AH$3,AH$3&gt;=$C$1),'General Inputs'!F$9*$G100,IF(AND(($C100+$C$1)&gt;AH$3,AH$3&gt;=$C$1),'General Inputs'!F$9*$F100,0))</f>
        <v>751.67617561788222</v>
      </c>
      <c r="AI100" s="214">
        <f>IF(AND(($D100+$C$1)&gt;AI$3,AI$3&gt;=$C$1),'General Inputs'!G$9*$G100,IF(AND(($C100+$C$1)&gt;AI$3,AI$3&gt;=$C$1),'General Inputs'!G$9*$F100,0))</f>
        <v>762.95131825215049</v>
      </c>
      <c r="AJ100" s="214">
        <f>IF(AND(($D100+$C$1)&gt;AJ$3,AJ$3&gt;=$C$1),'General Inputs'!H$9*$G100,IF(AND(($C100+$C$1)&gt;AJ$3,AJ$3&gt;=$C$1),'General Inputs'!H$9*$F100,0))</f>
        <v>774.39558802593262</v>
      </c>
      <c r="AK100" s="214">
        <f>IF(AND(($D100+$C$1)&gt;AK$3,AK$3&gt;=$C$1),'General Inputs'!I$9*$G100,IF(AND(($C100+$C$1)&gt;AK$3,AK$3&gt;=$C$1),'General Inputs'!I$9*$F100,0))</f>
        <v>786.01152184632144</v>
      </c>
      <c r="AL100" s="214">
        <f>IF(AND(($D100+$C$1)&gt;AL$3,AL$3&gt;=$C$1),'General Inputs'!J$9*$G100,IF(AND(($C100+$C$1)&gt;AL$3,AL$3&gt;=$C$1),'General Inputs'!J$9*$F100,0))</f>
        <v>797.80169467401618</v>
      </c>
      <c r="AM100" s="214">
        <f>IF(AND(($D100+$C$1)&gt;AM$3,AM$3&gt;=$C$1),'General Inputs'!K$9*$G100,IF(AND(($C100+$C$1)&gt;AM$3,AM$3&gt;=$C$1),'General Inputs'!K$9*$F100,0))</f>
        <v>809.76872009412625</v>
      </c>
      <c r="AN100" s="214">
        <f>IF(AND(($D100+$C$1)&gt;AN$3,AN$3&gt;=$C$1),'General Inputs'!L$9*$G100,IF(AND(($C100+$C$1)&gt;AN$3,AN$3&gt;=$C$1),'General Inputs'!L$9*$F100,0))</f>
        <v>821.91525089553807</v>
      </c>
      <c r="AO100" s="214">
        <f>IF(AND(($D100+$C$1)&gt;AO$3,AO$3&gt;=$C$1),'General Inputs'!M$9*$G100,IF(AND(($C100+$C$1)&gt;AO$3,AO$3&gt;=$C$1),'General Inputs'!M$9*$F100,0))</f>
        <v>834.24397965897106</v>
      </c>
      <c r="AP100" s="214">
        <f>IF(AND(($D100+$C$1)&gt;AP$3,AP$3&gt;=$C$1),'General Inputs'!N$9*$G100,IF(AND(($C100+$C$1)&gt;AP$3,AP$3&gt;=$C$1),'General Inputs'!N$9*$F100,0))</f>
        <v>846.75763935385555</v>
      </c>
      <c r="AQ100" s="214">
        <f>IF(AND(($D100+$C$1)&gt;AQ$3,AQ$3&gt;=$C$1),'General Inputs'!O$9*$G100,IF(AND(($C100+$C$1)&gt;AQ$3,AQ$3&gt;=$C$1),'General Inputs'!O$9*$F100,0))</f>
        <v>859.45900394416333</v>
      </c>
      <c r="AR100" s="214">
        <f>IF(AND(($D100+$C$1)&gt;AR$3,AR$3&gt;=$C$1),'General Inputs'!P$9*$G100,IF(AND(($C100+$C$1)&gt;AR$3,AR$3&gt;=$C$1),'General Inputs'!P$9*$F100,0))</f>
        <v>872.35088900332562</v>
      </c>
      <c r="AS100" s="214">
        <f>IF(AND(($D100+$C$1)&gt;AS$3,AS$3&gt;=$C$1),'General Inputs'!Q$9*$G100,IF(AND(($C100+$C$1)&gt;AS$3,AS$3&gt;=$C$1),'General Inputs'!Q$9*$F100,0))</f>
        <v>885.43615233837545</v>
      </c>
      <c r="AT100" s="214">
        <f>IF(AND(($D100+$C$1)&gt;AT$3,AT$3&gt;=$C$1),'General Inputs'!R$9*$G100,IF(AND(($C100+$C$1)&gt;AT$3,AT$3&gt;=$C$1),'General Inputs'!R$9*$F100,0))</f>
        <v>898.71769462345105</v>
      </c>
      <c r="AU100" s="214">
        <f>IF(AND(($D100+$C$1)&gt;AU$3,AU$3&gt;=$C$1),'General Inputs'!S$9*$G100,IF(AND(($C100+$C$1)&gt;AU$3,AU$3&gt;=$C$1),'General Inputs'!S$9*$F100,0))</f>
        <v>912.19846004280282</v>
      </c>
      <c r="AV100" s="214">
        <f>IF(AND(($D100+$C$1)&gt;AV$3,AV$3&gt;=$C$1),'General Inputs'!T$9*$G100,IF(AND(($C100+$C$1)&gt;AV$3,AV$3&gt;=$C$1),'General Inputs'!T$9*$F100,0))</f>
        <v>0</v>
      </c>
      <c r="AW100" s="214">
        <f>IF(AND(($D100+$C$1)&gt;AW$3,AW$3&gt;=$C$1),'General Inputs'!U$9*$G100,IF(AND(($C100+$C$1)&gt;AW$3,AW$3&gt;=$C$1),'General Inputs'!U$9*$F100,0))</f>
        <v>0</v>
      </c>
      <c r="AX100" s="214">
        <f>IF(AND(($D100+$C$1)&gt;AX$3,AX$3&gt;=$C$1),'General Inputs'!V$9*$G100,IF(AND(($C100+$C$1)&gt;AX$3,AX$3&gt;=$C$1),'General Inputs'!V$9*$F100,0))</f>
        <v>0</v>
      </c>
      <c r="AY100" s="214">
        <f>IF(AND(($D100+$C$1)&gt;AY$3,AY$3&gt;=$C$1),'General Inputs'!W$9*$G100,IF(AND(($C100+$C$1)&gt;AY$3,AY$3&gt;=$C$1),'General Inputs'!W$9*$F100,0))</f>
        <v>0</v>
      </c>
      <c r="BA100" s="214">
        <f>IF(AND(($D100+$C$1)&gt;AF$3,AF$3&gt;=$C$1),'General Inputs'!D$10*$I100,IF(AND(($C100+$C$1)&gt;AF$3,AF$3&gt;=$C$1),'General Inputs'!D$10*$H100,0))</f>
        <v>0</v>
      </c>
      <c r="BB100" s="214">
        <f>IF(AND(($D100+$C$1)&gt;AG$3,AG$3&gt;=$C$1),'General Inputs'!E$10*$I100,IF(AND(($C100+$C$1)&gt;AG$3,AG$3&gt;=$C$1),'General Inputs'!E$10*$H100,0))</f>
        <v>59.118028742543004</v>
      </c>
      <c r="BC100" s="214">
        <f>IF(AND(($D100+$C$1)&gt;AH$3,AH$3&gt;=$C$1),'General Inputs'!F$10*$I100,IF(AND(($C100+$C$1)&gt;AH$3,AH$3&gt;=$C$1),'General Inputs'!F$10*$H100,0))</f>
        <v>60.004799173681143</v>
      </c>
      <c r="BD100" s="214">
        <f>IF(AND(($D100+$C$1)&gt;AI$3,AI$3&gt;=$C$1),'General Inputs'!G$10*$I100,IF(AND(($C100+$C$1)&gt;AI$3,AI$3&gt;=$C$1),'General Inputs'!G$10*$H100,0))</f>
        <v>60.904871161286358</v>
      </c>
      <c r="BE100" s="214">
        <f>IF(AND(($D100+$C$1)&gt;AJ$3,AJ$3&gt;=$C$1),'General Inputs'!H$10*$I100,IF(AND(($C100+$C$1)&gt;AJ$3,AJ$3&gt;=$C$1),'General Inputs'!H$10*$H100,0))</f>
        <v>61.818444228705644</v>
      </c>
      <c r="BF100" s="214">
        <f>IF(AND(($D100+$C$1)&gt;AK$3,AK$3&gt;=$C$1),'General Inputs'!I$10*$I100,IF(AND(($C100+$C$1)&gt;AK$3,AK$3&gt;=$C$1),'General Inputs'!I$10*$H100,0))</f>
        <v>62.74572089213622</v>
      </c>
      <c r="BG100" s="214">
        <f>IF(AND(($D100+$C$1)&gt;AL$3,AL$3&gt;=$C$1),'General Inputs'!J$10*$I100,IF(AND(($C100+$C$1)&gt;AL$3,AL$3&gt;=$C$1),'General Inputs'!J$10*$H100,0))</f>
        <v>63.686906705518254</v>
      </c>
      <c r="BH100" s="214">
        <f>IF(AND(($D100+$C$1)&gt;AM$3,AM$3&gt;=$C$1),'General Inputs'!K$10*$I100,IF(AND(($C100+$C$1)&gt;AM$3,AM$3&gt;=$C$1),'General Inputs'!K$10*$H100,0))</f>
        <v>64.64221030610102</v>
      </c>
      <c r="BI100" s="214">
        <f>IF(AND(($D100+$C$1)&gt;AN$3,AN$3&gt;=$C$1),'General Inputs'!L$10*$I100,IF(AND(($C100+$C$1)&gt;AN$3,AN$3&gt;=$C$1),'General Inputs'!L$10*$H100,0))</f>
        <v>65.61184346069254</v>
      </c>
      <c r="BJ100" s="214">
        <f>IF(AND(($D100+$C$1)&gt;AO$3,AO$3&gt;=$C$1),'General Inputs'!M$10*$I100,IF(AND(($C100+$C$1)&gt;AO$3,AO$3&gt;=$C$1),'General Inputs'!M$10*$H100,0))</f>
        <v>66.596021112602926</v>
      </c>
      <c r="BK100" s="214">
        <f>IF(AND(($D100+$C$1)&gt;AP$3,AP$3&gt;=$C$1),'General Inputs'!N$10*$I100,IF(AND(($C100+$C$1)&gt;AP$3,AP$3&gt;=$C$1),'General Inputs'!N$10*$H100,0))</f>
        <v>67.594961429291956</v>
      </c>
      <c r="BL100" s="214">
        <f>IF(AND(($D100+$C$1)&gt;AQ$3,AQ$3&gt;=$C$1),'General Inputs'!O$10*$I100,IF(AND(($C100+$C$1)&gt;AQ$3,AQ$3&gt;=$C$1),'General Inputs'!O$10*$H100,0))</f>
        <v>68.608885850731326</v>
      </c>
      <c r="BM100" s="214">
        <f>IF(AND(($D100+$C$1)&gt;AR$3,AR$3&gt;=$C$1),'General Inputs'!P$10*$I100,IF(AND(($C100+$C$1)&gt;AR$3,AR$3&gt;=$C$1),'General Inputs'!P$10*$H100,0))</f>
        <v>69.638019138492297</v>
      </c>
      <c r="BN100" s="214">
        <f>IF(AND(($D100+$C$1)&gt;AS$3,AS$3&gt;=$C$1),'General Inputs'!Q$10*$I100,IF(AND(($C100+$C$1)&gt;AS$3,AS$3&gt;=$C$1),'General Inputs'!Q$10*$H100,0))</f>
        <v>70.682589425569674</v>
      </c>
      <c r="BO100" s="214">
        <f>IF(AND(($D100+$C$1)&gt;AT$3,AT$3&gt;=$C$1),'General Inputs'!R$10*$I100,IF(AND(($C100+$C$1)&gt;AT$3,AT$3&gt;=$C$1),'General Inputs'!R$10*$H100,0))</f>
        <v>71.742828266953197</v>
      </c>
      <c r="BP100" s="214">
        <f>IF(AND(($D100+$C$1)&gt;AU$3,AU$3&gt;=$C$1),'General Inputs'!S$10*$I100,IF(AND(($C100+$C$1)&gt;AU$3,AU$3&gt;=$C$1),'General Inputs'!S$10*$H100,0))</f>
        <v>72.818970690957499</v>
      </c>
      <c r="BQ100" s="214">
        <f>IF(AND(($D100+$C$1)&gt;AV$3,AV$3&gt;=$C$1),'General Inputs'!T$10*$I100,IF(AND(($C100+$C$1)&gt;AV$3,AV$3&gt;=$C$1),'General Inputs'!T$10*$H100,0))</f>
        <v>0</v>
      </c>
      <c r="BR100" s="214">
        <f>IF(AND(($D100+$C$1)&gt;AW$3,AW$3&gt;=$C$1),'General Inputs'!U$10*$I100,IF(AND(($C100+$C$1)&gt;AW$3,AW$3&gt;=$C$1),'General Inputs'!U$10*$H100,0))</f>
        <v>0</v>
      </c>
      <c r="BS100" s="214">
        <f>IF(AND(($D100+$C$1)&gt;AX$3,AX$3&gt;=$C$1),'General Inputs'!V$10*$I100,IF(AND(($C100+$C$1)&gt;AX$3,AX$3&gt;=$C$1),'General Inputs'!V$10*$H100,0))</f>
        <v>0</v>
      </c>
      <c r="BT100" s="214">
        <f>IF(AND(($D100+$C$1)&gt;AY$3,AY$3&gt;=$C$1),'General Inputs'!W$10*$I100,IF(AND(($C100+$C$1)&gt;AY$3,AY$3&gt;=$C$1),'General Inputs'!W$10*$H100,0))</f>
        <v>0</v>
      </c>
    </row>
    <row r="101" spans="1:72">
      <c r="A101" s="342" t="s">
        <v>112</v>
      </c>
      <c r="B101" s="427" t="str">
        <f>Sources!B101</f>
        <v>VFD Pump</v>
      </c>
      <c r="C101" s="193">
        <f>Sources!C101</f>
        <v>15</v>
      </c>
      <c r="D101" s="193">
        <f>Sources!D101</f>
        <v>0</v>
      </c>
      <c r="F101" s="429">
        <f>Sources!F101*EnergyLineLoss</f>
        <v>30201.063999999991</v>
      </c>
      <c r="G101" s="429">
        <f>Sources!G101*EnergyLineLoss</f>
        <v>0</v>
      </c>
      <c r="H101" s="477">
        <f>Sources!H101*PeakLineLoss</f>
        <v>2.35490193</v>
      </c>
      <c r="I101" s="477">
        <f>Sources!I101*PeakLineLoss</f>
        <v>0</v>
      </c>
      <c r="K101" s="419">
        <f>Sources!J101</f>
        <v>2518</v>
      </c>
      <c r="L101" s="419">
        <f>Sources!K101</f>
        <v>0</v>
      </c>
      <c r="N101" s="438">
        <f t="shared" si="36"/>
        <v>4.8019572630951322</v>
      </c>
      <c r="P101" s="215">
        <f t="shared" si="37"/>
        <v>10792.746444972132</v>
      </c>
      <c r="Q101" s="215">
        <f t="shared" si="38"/>
        <v>316.52256318070067</v>
      </c>
      <c r="R101" s="215">
        <f t="shared" si="39"/>
        <v>2313.4876883498714</v>
      </c>
      <c r="T101" s="214">
        <f t="shared" si="40"/>
        <v>0</v>
      </c>
      <c r="U101" s="214">
        <f t="shared" si="40"/>
        <v>2518</v>
      </c>
      <c r="V101" s="214">
        <f t="shared" si="40"/>
        <v>0</v>
      </c>
      <c r="W101" s="214">
        <f t="shared" si="40"/>
        <v>0</v>
      </c>
      <c r="X101" s="214">
        <f t="shared" si="40"/>
        <v>0</v>
      </c>
      <c r="Y101" s="214">
        <f t="shared" si="40"/>
        <v>0</v>
      </c>
      <c r="Z101" s="214">
        <f t="shared" si="40"/>
        <v>0</v>
      </c>
      <c r="AA101" s="214">
        <f t="shared" si="40"/>
        <v>0</v>
      </c>
      <c r="AB101" s="214">
        <f t="shared" si="40"/>
        <v>0</v>
      </c>
      <c r="AC101" s="214">
        <f t="shared" si="40"/>
        <v>0</v>
      </c>
      <c r="AD101" s="214">
        <f t="shared" si="40"/>
        <v>0</v>
      </c>
      <c r="AF101" s="214">
        <f>IF(AND(($D101+$C$1)&gt;AF$3,AF$3&gt;=$C$1),'General Inputs'!D$9*$G101,IF(AND(($C101+$C$1)&gt;AF$3,AF$3&gt;=$C$1),'General Inputs'!D$9*$F101,0))</f>
        <v>0</v>
      </c>
      <c r="AG101" s="214">
        <f>IF(AND(($D101+$C$1)&gt;AG$3,AG$3&gt;=$C$1),'General Inputs'!E$9*$G101,IF(AND(($C101+$C$1)&gt;AG$3,AG$3&gt;=$C$1),'General Inputs'!E$9*$F101,0))</f>
        <v>1220.4084846766523</v>
      </c>
      <c r="AH101" s="214">
        <f>IF(AND(($D101+$C$1)&gt;AH$3,AH$3&gt;=$C$1),'General Inputs'!F$9*$G101,IF(AND(($C101+$C$1)&gt;AH$3,AH$3&gt;=$C$1),'General Inputs'!F$9*$F101,0))</f>
        <v>1238.7146119468018</v>
      </c>
      <c r="AI101" s="214">
        <f>IF(AND(($D101+$C$1)&gt;AI$3,AI$3&gt;=$C$1),'General Inputs'!G$9*$G101,IF(AND(($C101+$C$1)&gt;AI$3,AI$3&gt;=$C$1),'General Inputs'!G$9*$F101,0))</f>
        <v>1257.2953311260039</v>
      </c>
      <c r="AJ101" s="214">
        <f>IF(AND(($D101+$C$1)&gt;AJ$3,AJ$3&gt;=$C$1),'General Inputs'!H$9*$G101,IF(AND(($C101+$C$1)&gt;AJ$3,AJ$3&gt;=$C$1),'General Inputs'!H$9*$F101,0))</f>
        <v>1276.1547610928938</v>
      </c>
      <c r="AK101" s="214">
        <f>IF(AND(($D101+$C$1)&gt;AK$3,AK$3&gt;=$C$1),'General Inputs'!I$9*$G101,IF(AND(($C101+$C$1)&gt;AK$3,AK$3&gt;=$C$1),'General Inputs'!I$9*$F101,0))</f>
        <v>1295.2970825092868</v>
      </c>
      <c r="AL101" s="214">
        <f>IF(AND(($D101+$C$1)&gt;AL$3,AL$3&gt;=$C$1),'General Inputs'!J$9*$G101,IF(AND(($C101+$C$1)&gt;AL$3,AL$3&gt;=$C$1),'General Inputs'!J$9*$F101,0))</f>
        <v>1314.7265387469261</v>
      </c>
      <c r="AM101" s="214">
        <f>IF(AND(($D101+$C$1)&gt;AM$3,AM$3&gt;=$C$1),'General Inputs'!K$9*$G101,IF(AND(($C101+$C$1)&gt;AM$3,AM$3&gt;=$C$1),'General Inputs'!K$9*$F101,0))</f>
        <v>1334.4474368281296</v>
      </c>
      <c r="AN101" s="214">
        <f>IF(AND(($D101+$C$1)&gt;AN$3,AN$3&gt;=$C$1),'General Inputs'!L$9*$G101,IF(AND(($C101+$C$1)&gt;AN$3,AN$3&gt;=$C$1),'General Inputs'!L$9*$F101,0))</f>
        <v>1354.4641483805515</v>
      </c>
      <c r="AO101" s="214">
        <f>IF(AND(($D101+$C$1)&gt;AO$3,AO$3&gt;=$C$1),'General Inputs'!M$9*$G101,IF(AND(($C101+$C$1)&gt;AO$3,AO$3&gt;=$C$1),'General Inputs'!M$9*$F101,0))</f>
        <v>1374.7811106062595</v>
      </c>
      <c r="AP101" s="214">
        <f>IF(AND(($D101+$C$1)&gt;AP$3,AP$3&gt;=$C$1),'General Inputs'!N$9*$G101,IF(AND(($C101+$C$1)&gt;AP$3,AP$3&gt;=$C$1),'General Inputs'!N$9*$F101,0))</f>
        <v>1395.4028272653534</v>
      </c>
      <c r="AQ101" s="214">
        <f>IF(AND(($D101+$C$1)&gt;AQ$3,AQ$3&gt;=$C$1),'General Inputs'!O$9*$G101,IF(AND(($C101+$C$1)&gt;AQ$3,AQ$3&gt;=$C$1),'General Inputs'!O$9*$F101,0))</f>
        <v>1416.3338696743335</v>
      </c>
      <c r="AR101" s="214">
        <f>IF(AND(($D101+$C$1)&gt;AR$3,AR$3&gt;=$C$1),'General Inputs'!P$9*$G101,IF(AND(($C101+$C$1)&gt;AR$3,AR$3&gt;=$C$1),'General Inputs'!P$9*$F101,0))</f>
        <v>1437.5788777194484</v>
      </c>
      <c r="AS101" s="214">
        <f>IF(AND(($D101+$C$1)&gt;AS$3,AS$3&gt;=$C$1),'General Inputs'!Q$9*$G101,IF(AND(($C101+$C$1)&gt;AS$3,AS$3&gt;=$C$1),'General Inputs'!Q$9*$F101,0))</f>
        <v>1459.1425608852401</v>
      </c>
      <c r="AT101" s="214">
        <f>IF(AND(($D101+$C$1)&gt;AT$3,AT$3&gt;=$C$1),'General Inputs'!R$9*$G101,IF(AND(($C101+$C$1)&gt;AT$3,AT$3&gt;=$C$1),'General Inputs'!R$9*$F101,0))</f>
        <v>1481.0296992985186</v>
      </c>
      <c r="AU101" s="214">
        <f>IF(AND(($D101+$C$1)&gt;AU$3,AU$3&gt;=$C$1),'General Inputs'!S$9*$G101,IF(AND(($C101+$C$1)&gt;AU$3,AU$3&gt;=$C$1),'General Inputs'!S$9*$F101,0))</f>
        <v>1503.2451447879962</v>
      </c>
      <c r="AV101" s="214">
        <f>IF(AND(($D101+$C$1)&gt;AV$3,AV$3&gt;=$C$1),'General Inputs'!T$9*$G101,IF(AND(($C101+$C$1)&gt;AV$3,AV$3&gt;=$C$1),'General Inputs'!T$9*$F101,0))</f>
        <v>0</v>
      </c>
      <c r="AW101" s="214">
        <f>IF(AND(($D101+$C$1)&gt;AW$3,AW$3&gt;=$C$1),'General Inputs'!U$9*$G101,IF(AND(($C101+$C$1)&gt;AW$3,AW$3&gt;=$C$1),'General Inputs'!U$9*$F101,0))</f>
        <v>0</v>
      </c>
      <c r="AX101" s="214">
        <f>IF(AND(($D101+$C$1)&gt;AX$3,AX$3&gt;=$C$1),'General Inputs'!V$9*$G101,IF(AND(($C101+$C$1)&gt;AX$3,AX$3&gt;=$C$1),'General Inputs'!V$9*$F101,0))</f>
        <v>0</v>
      </c>
      <c r="AY101" s="214">
        <f>IF(AND(($D101+$C$1)&gt;AY$3,AY$3&gt;=$C$1),'General Inputs'!W$9*$G101,IF(AND(($C101+$C$1)&gt;AY$3,AY$3&gt;=$C$1),'General Inputs'!W$9*$F101,0))</f>
        <v>0</v>
      </c>
      <c r="BA101" s="214">
        <f>IF(AND(($D101+$C$1)&gt;AF$3,AF$3&gt;=$C$1),'General Inputs'!D$10*$I101,IF(AND(($C101+$C$1)&gt;AF$3,AF$3&gt;=$C$1),'General Inputs'!D$10*$H101,0))</f>
        <v>0</v>
      </c>
      <c r="BB101" s="214">
        <f>IF(AND(($D101+$C$1)&gt;AG$3,AG$3&gt;=$C$1),'General Inputs'!E$10*$I101,IF(AND(($C101+$C$1)&gt;AG$3,AG$3&gt;=$C$1),'General Inputs'!E$10*$H101,0))</f>
        <v>35.791336678467303</v>
      </c>
      <c r="BC101" s="214">
        <f>IF(AND(($D101+$C$1)&gt;AH$3,AH$3&gt;=$C$1),'General Inputs'!F$10*$I101,IF(AND(($C101+$C$1)&gt;AH$3,AH$3&gt;=$C$1),'General Inputs'!F$10*$H101,0))</f>
        <v>36.328206728644311</v>
      </c>
      <c r="BD101" s="214">
        <f>IF(AND(($D101+$C$1)&gt;AI$3,AI$3&gt;=$C$1),'General Inputs'!G$10*$I101,IF(AND(($C101+$C$1)&gt;AI$3,AI$3&gt;=$C$1),'General Inputs'!G$10*$H101,0))</f>
        <v>36.873129829573969</v>
      </c>
      <c r="BE101" s="214">
        <f>IF(AND(($D101+$C$1)&gt;AJ$3,AJ$3&gt;=$C$1),'General Inputs'!H$10*$I101,IF(AND(($C101+$C$1)&gt;AJ$3,AJ$3&gt;=$C$1),'General Inputs'!H$10*$H101,0))</f>
        <v>37.426226777017575</v>
      </c>
      <c r="BF101" s="214">
        <f>IF(AND(($D101+$C$1)&gt;AK$3,AK$3&gt;=$C$1),'General Inputs'!I$10*$I101,IF(AND(($C101+$C$1)&gt;AK$3,AK$3&gt;=$C$1),'General Inputs'!I$10*$H101,0))</f>
        <v>37.987620178672834</v>
      </c>
      <c r="BG101" s="214">
        <f>IF(AND(($D101+$C$1)&gt;AL$3,AL$3&gt;=$C$1),'General Inputs'!J$10*$I101,IF(AND(($C101+$C$1)&gt;AL$3,AL$3&gt;=$C$1),'General Inputs'!J$10*$H101,0))</f>
        <v>38.557434481352921</v>
      </c>
      <c r="BH101" s="214">
        <f>IF(AND(($D101+$C$1)&gt;AM$3,AM$3&gt;=$C$1),'General Inputs'!K$10*$I101,IF(AND(($C101+$C$1)&gt;AM$3,AM$3&gt;=$C$1),'General Inputs'!K$10*$H101,0))</f>
        <v>39.135795998573215</v>
      </c>
      <c r="BI101" s="214">
        <f>IF(AND(($D101+$C$1)&gt;AN$3,AN$3&gt;=$C$1),'General Inputs'!L$10*$I101,IF(AND(($C101+$C$1)&gt;AN$3,AN$3&gt;=$C$1),'General Inputs'!L$10*$H101,0))</f>
        <v>39.722832938551804</v>
      </c>
      <c r="BJ101" s="214">
        <f>IF(AND(($D101+$C$1)&gt;AO$3,AO$3&gt;=$C$1),'General Inputs'!M$10*$I101,IF(AND(($C101+$C$1)&gt;AO$3,AO$3&gt;=$C$1),'General Inputs'!M$10*$H101,0))</f>
        <v>40.318675432630087</v>
      </c>
      <c r="BK101" s="214">
        <f>IF(AND(($D101+$C$1)&gt;AP$3,AP$3&gt;=$C$1),'General Inputs'!N$10*$I101,IF(AND(($C101+$C$1)&gt;AP$3,AP$3&gt;=$C$1),'General Inputs'!N$10*$H101,0))</f>
        <v>40.923455564119529</v>
      </c>
      <c r="BL101" s="214">
        <f>IF(AND(($D101+$C$1)&gt;AQ$3,AQ$3&gt;=$C$1),'General Inputs'!O$10*$I101,IF(AND(($C101+$C$1)&gt;AQ$3,AQ$3&gt;=$C$1),'General Inputs'!O$10*$H101,0))</f>
        <v>41.537307397581316</v>
      </c>
      <c r="BM101" s="214">
        <f>IF(AND(($D101+$C$1)&gt;AR$3,AR$3&gt;=$C$1),'General Inputs'!P$10*$I101,IF(AND(($C101+$C$1)&gt;AR$3,AR$3&gt;=$C$1),'General Inputs'!P$10*$H101,0))</f>
        <v>42.160367008545037</v>
      </c>
      <c r="BN101" s="214">
        <f>IF(AND(($D101+$C$1)&gt;AS$3,AS$3&gt;=$C$1),'General Inputs'!Q$10*$I101,IF(AND(($C101+$C$1)&gt;AS$3,AS$3&gt;=$C$1),'General Inputs'!Q$10*$H101,0))</f>
        <v>42.792772513673206</v>
      </c>
      <c r="BO101" s="214">
        <f>IF(AND(($D101+$C$1)&gt;AT$3,AT$3&gt;=$C$1),'General Inputs'!R$10*$I101,IF(AND(($C101+$C$1)&gt;AT$3,AT$3&gt;=$C$1),'General Inputs'!R$10*$H101,0))</f>
        <v>43.434664101378296</v>
      </c>
      <c r="BP101" s="214">
        <f>IF(AND(($D101+$C$1)&gt;AU$3,AU$3&gt;=$C$1),'General Inputs'!S$10*$I101,IF(AND(($C101+$C$1)&gt;AU$3,AU$3&gt;=$C$1),'General Inputs'!S$10*$H101,0))</f>
        <v>44.086184062898973</v>
      </c>
      <c r="BQ101" s="214">
        <f>IF(AND(($D101+$C$1)&gt;AV$3,AV$3&gt;=$C$1),'General Inputs'!T$10*$I101,IF(AND(($C101+$C$1)&gt;AV$3,AV$3&gt;=$C$1),'General Inputs'!T$10*$H101,0))</f>
        <v>0</v>
      </c>
      <c r="BR101" s="214">
        <f>IF(AND(($D101+$C$1)&gt;AW$3,AW$3&gt;=$C$1),'General Inputs'!U$10*$I101,IF(AND(($C101+$C$1)&gt;AW$3,AW$3&gt;=$C$1),'General Inputs'!U$10*$H101,0))</f>
        <v>0</v>
      </c>
      <c r="BS101" s="214">
        <f>IF(AND(($D101+$C$1)&gt;AX$3,AX$3&gt;=$C$1),'General Inputs'!V$10*$I101,IF(AND(($C101+$C$1)&gt;AX$3,AX$3&gt;=$C$1),'General Inputs'!V$10*$H101,0))</f>
        <v>0</v>
      </c>
      <c r="BT101" s="214">
        <f>IF(AND(($D101+$C$1)&gt;AY$3,AY$3&gt;=$C$1),'General Inputs'!W$10*$I101,IF(AND(($C101+$C$1)&gt;AY$3,AY$3&gt;=$C$1),'General Inputs'!W$10*$H101,0))</f>
        <v>0</v>
      </c>
    </row>
    <row r="102" spans="1:72">
      <c r="A102" s="342" t="s">
        <v>112</v>
      </c>
      <c r="B102" s="427" t="str">
        <f>Sources!B102</f>
        <v>ODC Motor</v>
      </c>
      <c r="C102" s="193">
        <f>Sources!C102</f>
        <v>15</v>
      </c>
      <c r="D102" s="193">
        <f>Sources!D102</f>
        <v>0</v>
      </c>
      <c r="F102" s="429">
        <f>Sources!F102*EnergyLineLoss</f>
        <v>370.34687387451163</v>
      </c>
      <c r="G102" s="429">
        <f>Sources!G102*EnergyLineLoss</f>
        <v>0</v>
      </c>
      <c r="H102" s="477">
        <f>Sources!H102*PeakLineLoss</f>
        <v>8.4169744062389001E-2</v>
      </c>
      <c r="I102" s="477">
        <f>Sources!I102*PeakLineLoss</f>
        <v>0</v>
      </c>
      <c r="K102" s="419">
        <f>Sources!J102</f>
        <v>115</v>
      </c>
      <c r="L102" s="419">
        <f>Sources!K102</f>
        <v>0</v>
      </c>
      <c r="N102" s="438">
        <f t="shared" si="36"/>
        <v>1.3596631285473748</v>
      </c>
      <c r="P102" s="215">
        <f t="shared" si="37"/>
        <v>132.3483141658744</v>
      </c>
      <c r="Q102" s="215">
        <f t="shared" si="38"/>
        <v>11.313262260943038</v>
      </c>
      <c r="R102" s="215">
        <f t="shared" si="39"/>
        <v>105.65968393972804</v>
      </c>
      <c r="T102" s="214">
        <f t="shared" si="40"/>
        <v>0</v>
      </c>
      <c r="U102" s="214">
        <f t="shared" si="40"/>
        <v>115</v>
      </c>
      <c r="V102" s="214">
        <f t="shared" si="40"/>
        <v>0</v>
      </c>
      <c r="W102" s="214">
        <f t="shared" si="40"/>
        <v>0</v>
      </c>
      <c r="X102" s="214">
        <f t="shared" si="40"/>
        <v>0</v>
      </c>
      <c r="Y102" s="214">
        <f t="shared" si="40"/>
        <v>0</v>
      </c>
      <c r="Z102" s="214">
        <f t="shared" si="40"/>
        <v>0</v>
      </c>
      <c r="AA102" s="214">
        <f t="shared" si="40"/>
        <v>0</v>
      </c>
      <c r="AB102" s="214">
        <f t="shared" si="40"/>
        <v>0</v>
      </c>
      <c r="AC102" s="214">
        <f t="shared" si="40"/>
        <v>0</v>
      </c>
      <c r="AD102" s="214">
        <f t="shared" si="40"/>
        <v>0</v>
      </c>
      <c r="AF102" s="214">
        <f>IF(AND(($D102+$C$1)&gt;AF$3,AF$3&gt;=$C$1),'General Inputs'!D$9*$G102,IF(AND(($C102+$C$1)&gt;AF$3,AF$3&gt;=$C$1),'General Inputs'!D$9*$F102,0))</f>
        <v>0</v>
      </c>
      <c r="AG102" s="214">
        <f>IF(AND(($D102+$C$1)&gt;AG$3,AG$3&gt;=$C$1),'General Inputs'!E$9*$G102,IF(AND(($C102+$C$1)&gt;AG$3,AG$3&gt;=$C$1),'General Inputs'!E$9*$F102,0))</f>
        <v>14.965514696764595</v>
      </c>
      <c r="AH102" s="214">
        <f>IF(AND(($D102+$C$1)&gt;AH$3,AH$3&gt;=$C$1),'General Inputs'!F$9*$G102,IF(AND(($C102+$C$1)&gt;AH$3,AH$3&gt;=$C$1),'General Inputs'!F$9*$F102,0))</f>
        <v>15.189997417216063</v>
      </c>
      <c r="AI102" s="214">
        <f>IF(AND(($D102+$C$1)&gt;AI$3,AI$3&gt;=$C$1),'General Inputs'!G$9*$G102,IF(AND(($C102+$C$1)&gt;AI$3,AI$3&gt;=$C$1),'General Inputs'!G$9*$F102,0))</f>
        <v>15.417847378474303</v>
      </c>
      <c r="AJ102" s="214">
        <f>IF(AND(($D102+$C$1)&gt;AJ$3,AJ$3&gt;=$C$1),'General Inputs'!H$9*$G102,IF(AND(($C102+$C$1)&gt;AJ$3,AJ$3&gt;=$C$1),'General Inputs'!H$9*$F102,0))</f>
        <v>15.649115089151413</v>
      </c>
      <c r="AK102" s="214">
        <f>IF(AND(($D102+$C$1)&gt;AK$3,AK$3&gt;=$C$1),'General Inputs'!I$9*$G102,IF(AND(($C102+$C$1)&gt;AK$3,AK$3&gt;=$C$1),'General Inputs'!I$9*$F102,0))</f>
        <v>15.883851815488683</v>
      </c>
      <c r="AL102" s="214">
        <f>IF(AND(($D102+$C$1)&gt;AL$3,AL$3&gt;=$C$1),'General Inputs'!J$9*$G102,IF(AND(($C102+$C$1)&gt;AL$3,AL$3&gt;=$C$1),'General Inputs'!J$9*$F102,0))</f>
        <v>16.12210959272101</v>
      </c>
      <c r="AM102" s="214">
        <f>IF(AND(($D102+$C$1)&gt;AM$3,AM$3&gt;=$C$1),'General Inputs'!K$9*$G102,IF(AND(($C102+$C$1)&gt;AM$3,AM$3&gt;=$C$1),'General Inputs'!K$9*$F102,0))</f>
        <v>16.363941236611822</v>
      </c>
      <c r="AN102" s="214">
        <f>IF(AND(($D102+$C$1)&gt;AN$3,AN$3&gt;=$C$1),'General Inputs'!L$9*$G102,IF(AND(($C102+$C$1)&gt;AN$3,AN$3&gt;=$C$1),'General Inputs'!L$9*$F102,0))</f>
        <v>16.609400355161</v>
      </c>
      <c r="AO102" s="214">
        <f>IF(AND(($D102+$C$1)&gt;AO$3,AO$3&gt;=$C$1),'General Inputs'!M$9*$G102,IF(AND(($C102+$C$1)&gt;AO$3,AO$3&gt;=$C$1),'General Inputs'!M$9*$F102,0))</f>
        <v>16.858541360488413</v>
      </c>
      <c r="AP102" s="214">
        <f>IF(AND(($D102+$C$1)&gt;AP$3,AP$3&gt;=$C$1),'General Inputs'!N$9*$G102,IF(AND(($C102+$C$1)&gt;AP$3,AP$3&gt;=$C$1),'General Inputs'!N$9*$F102,0))</f>
        <v>17.111419480895737</v>
      </c>
      <c r="AQ102" s="214">
        <f>IF(AND(($D102+$C$1)&gt;AQ$3,AQ$3&gt;=$C$1),'General Inputs'!O$9*$G102,IF(AND(($C102+$C$1)&gt;AQ$3,AQ$3&gt;=$C$1),'General Inputs'!O$9*$F102,0))</f>
        <v>17.36809077310917</v>
      </c>
      <c r="AR102" s="214">
        <f>IF(AND(($D102+$C$1)&gt;AR$3,AR$3&gt;=$C$1),'General Inputs'!P$9*$G102,IF(AND(($C102+$C$1)&gt;AR$3,AR$3&gt;=$C$1),'General Inputs'!P$9*$F102,0))</f>
        <v>17.628612134705808</v>
      </c>
      <c r="AS102" s="214">
        <f>IF(AND(($D102+$C$1)&gt;AS$3,AS$3&gt;=$C$1),'General Inputs'!Q$9*$G102,IF(AND(($C102+$C$1)&gt;AS$3,AS$3&gt;=$C$1),'General Inputs'!Q$9*$F102,0))</f>
        <v>17.893041316726393</v>
      </c>
      <c r="AT102" s="214">
        <f>IF(AND(($D102+$C$1)&gt;AT$3,AT$3&gt;=$C$1),'General Inputs'!R$9*$G102,IF(AND(($C102+$C$1)&gt;AT$3,AT$3&gt;=$C$1),'General Inputs'!R$9*$F102,0))</f>
        <v>18.161436936477287</v>
      </c>
      <c r="AU102" s="214">
        <f>IF(AND(($D102+$C$1)&gt;AU$3,AU$3&gt;=$C$1),'General Inputs'!S$9*$G102,IF(AND(($C102+$C$1)&gt;AU$3,AU$3&gt;=$C$1),'General Inputs'!S$9*$F102,0))</f>
        <v>18.433858490524447</v>
      </c>
      <c r="AV102" s="214">
        <f>IF(AND(($D102+$C$1)&gt;AV$3,AV$3&gt;=$C$1),'General Inputs'!T$9*$G102,IF(AND(($C102+$C$1)&gt;AV$3,AV$3&gt;=$C$1),'General Inputs'!T$9*$F102,0))</f>
        <v>0</v>
      </c>
      <c r="AW102" s="214">
        <f>IF(AND(($D102+$C$1)&gt;AW$3,AW$3&gt;=$C$1),'General Inputs'!U$9*$G102,IF(AND(($C102+$C$1)&gt;AW$3,AW$3&gt;=$C$1),'General Inputs'!U$9*$F102,0))</f>
        <v>0</v>
      </c>
      <c r="AX102" s="214">
        <f>IF(AND(($D102+$C$1)&gt;AX$3,AX$3&gt;=$C$1),'General Inputs'!V$9*$G102,IF(AND(($C102+$C$1)&gt;AX$3,AX$3&gt;=$C$1),'General Inputs'!V$9*$F102,0))</f>
        <v>0</v>
      </c>
      <c r="AY102" s="214">
        <f>IF(AND(($D102+$C$1)&gt;AY$3,AY$3&gt;=$C$1),'General Inputs'!W$9*$G102,IF(AND(($C102+$C$1)&gt;AY$3,AY$3&gt;=$C$1),'General Inputs'!W$9*$F102,0))</f>
        <v>0</v>
      </c>
      <c r="BA102" s="214">
        <f>IF(AND(($D102+$C$1)&gt;AF$3,AF$3&gt;=$C$1),'General Inputs'!D$10*$I102,IF(AND(($C102+$C$1)&gt;AF$3,AF$3&gt;=$C$1),'General Inputs'!D$10*$H102,0))</f>
        <v>0</v>
      </c>
      <c r="BB102" s="214">
        <f>IF(AND(($D102+$C$1)&gt;AG$3,AG$3&gt;=$C$1),'General Inputs'!E$10*$I102,IF(AND(($C102+$C$1)&gt;AG$3,AG$3&gt;=$C$1),'General Inputs'!E$10*$H102,0))</f>
        <v>1.2792667114920531</v>
      </c>
      <c r="BC102" s="214">
        <f>IF(AND(($D102+$C$1)&gt;AH$3,AH$3&gt;=$C$1),'General Inputs'!F$10*$I102,IF(AND(($C102+$C$1)&gt;AH$3,AH$3&gt;=$C$1),'General Inputs'!F$10*$H102,0))</f>
        <v>1.2984557121644338</v>
      </c>
      <c r="BD102" s="214">
        <f>IF(AND(($D102+$C$1)&gt;AI$3,AI$3&gt;=$C$1),'General Inputs'!G$10*$I102,IF(AND(($C102+$C$1)&gt;AI$3,AI$3&gt;=$C$1),'General Inputs'!G$10*$H102,0))</f>
        <v>1.3179325478469002</v>
      </c>
      <c r="BE102" s="214">
        <f>IF(AND(($D102+$C$1)&gt;AJ$3,AJ$3&gt;=$C$1),'General Inputs'!H$10*$I102,IF(AND(($C102+$C$1)&gt;AJ$3,AJ$3&gt;=$C$1),'General Inputs'!H$10*$H102,0))</f>
        <v>1.3377015360646034</v>
      </c>
      <c r="BF102" s="214">
        <f>IF(AND(($D102+$C$1)&gt;AK$3,AK$3&gt;=$C$1),'General Inputs'!I$10*$I102,IF(AND(($C102+$C$1)&gt;AK$3,AK$3&gt;=$C$1),'General Inputs'!I$10*$H102,0))</f>
        <v>1.3577670591055722</v>
      </c>
      <c r="BG102" s="214">
        <f>IF(AND(($D102+$C$1)&gt;AL$3,AL$3&gt;=$C$1),'General Inputs'!J$10*$I102,IF(AND(($C102+$C$1)&gt;AL$3,AL$3&gt;=$C$1),'General Inputs'!J$10*$H102,0))</f>
        <v>1.3781335649921558</v>
      </c>
      <c r="BH102" s="214">
        <f>IF(AND(($D102+$C$1)&gt;AM$3,AM$3&gt;=$C$1),'General Inputs'!K$10*$I102,IF(AND(($C102+$C$1)&gt;AM$3,AM$3&gt;=$C$1),'General Inputs'!K$10*$H102,0))</f>
        <v>1.398805568467038</v>
      </c>
      <c r="BI102" s="214">
        <f>IF(AND(($D102+$C$1)&gt;AN$3,AN$3&gt;=$C$1),'General Inputs'!L$10*$I102,IF(AND(($C102+$C$1)&gt;AN$3,AN$3&gt;=$C$1),'General Inputs'!L$10*$H102,0))</f>
        <v>1.4197876519940433</v>
      </c>
      <c r="BJ102" s="214">
        <f>IF(AND(($D102+$C$1)&gt;AO$3,AO$3&gt;=$C$1),'General Inputs'!M$10*$I102,IF(AND(($C102+$C$1)&gt;AO$3,AO$3&gt;=$C$1),'General Inputs'!M$10*$H102,0))</f>
        <v>1.441084466773954</v>
      </c>
      <c r="BK102" s="214">
        <f>IF(AND(($D102+$C$1)&gt;AP$3,AP$3&gt;=$C$1),'General Inputs'!N$10*$I102,IF(AND(($C102+$C$1)&gt;AP$3,AP$3&gt;=$C$1),'General Inputs'!N$10*$H102,0))</f>
        <v>1.4627007337755631</v>
      </c>
      <c r="BL102" s="214">
        <f>IF(AND(($D102+$C$1)&gt;AQ$3,AQ$3&gt;=$C$1),'General Inputs'!O$10*$I102,IF(AND(($C102+$C$1)&gt;AQ$3,AQ$3&gt;=$C$1),'General Inputs'!O$10*$H102,0))</f>
        <v>1.4846412447821964</v>
      </c>
      <c r="BM102" s="214">
        <f>IF(AND(($D102+$C$1)&gt;AR$3,AR$3&gt;=$C$1),'General Inputs'!P$10*$I102,IF(AND(($C102+$C$1)&gt;AR$3,AR$3&gt;=$C$1),'General Inputs'!P$10*$H102,0))</f>
        <v>1.5069108634539292</v>
      </c>
      <c r="BN102" s="214">
        <f>IF(AND(($D102+$C$1)&gt;AS$3,AS$3&gt;=$C$1),'General Inputs'!Q$10*$I102,IF(AND(($C102+$C$1)&gt;AS$3,AS$3&gt;=$C$1),'General Inputs'!Q$10*$H102,0))</f>
        <v>1.5295145264057382</v>
      </c>
      <c r="BO102" s="214">
        <f>IF(AND(($D102+$C$1)&gt;AT$3,AT$3&gt;=$C$1),'General Inputs'!R$10*$I102,IF(AND(($C102+$C$1)&gt;AT$3,AT$3&gt;=$C$1),'General Inputs'!R$10*$H102,0))</f>
        <v>1.5524572443018239</v>
      </c>
      <c r="BP102" s="214">
        <f>IF(AND(($D102+$C$1)&gt;AU$3,AU$3&gt;=$C$1),'General Inputs'!S$10*$I102,IF(AND(($C102+$C$1)&gt;AU$3,AU$3&gt;=$C$1),'General Inputs'!S$10*$H102,0))</f>
        <v>1.5757441029663513</v>
      </c>
      <c r="BQ102" s="214">
        <f>IF(AND(($D102+$C$1)&gt;AV$3,AV$3&gt;=$C$1),'General Inputs'!T$10*$I102,IF(AND(($C102+$C$1)&gt;AV$3,AV$3&gt;=$C$1),'General Inputs'!T$10*$H102,0))</f>
        <v>0</v>
      </c>
      <c r="BR102" s="214">
        <f>IF(AND(($D102+$C$1)&gt;AW$3,AW$3&gt;=$C$1),'General Inputs'!U$10*$I102,IF(AND(($C102+$C$1)&gt;AW$3,AW$3&gt;=$C$1),'General Inputs'!U$10*$H102,0))</f>
        <v>0</v>
      </c>
      <c r="BS102" s="214">
        <f>IF(AND(($D102+$C$1)&gt;AX$3,AX$3&gt;=$C$1),'General Inputs'!V$10*$I102,IF(AND(($C102+$C$1)&gt;AX$3,AX$3&gt;=$C$1),'General Inputs'!V$10*$H102,0))</f>
        <v>0</v>
      </c>
      <c r="BT102" s="214">
        <f>IF(AND(($D102+$C$1)&gt;AY$3,AY$3&gt;=$C$1),'General Inputs'!W$10*$I102,IF(AND(($C102+$C$1)&gt;AY$3,AY$3&gt;=$C$1),'General Inputs'!W$10*$H102,0))</f>
        <v>0</v>
      </c>
    </row>
    <row r="103" spans="1:72">
      <c r="A103" s="342" t="s">
        <v>112</v>
      </c>
      <c r="B103" s="427" t="str">
        <f>Sources!B103</f>
        <v>TEFC Motor</v>
      </c>
      <c r="C103" s="193">
        <f>Sources!C103</f>
        <v>15</v>
      </c>
      <c r="D103" s="193">
        <f>Sources!D103</f>
        <v>0</v>
      </c>
      <c r="F103" s="429">
        <f>Sources!F103*EnergyLineLoss</f>
        <v>260.92620659340469</v>
      </c>
      <c r="G103" s="429">
        <f>Sources!G103*EnergyLineLoss</f>
        <v>0</v>
      </c>
      <c r="H103" s="477">
        <f>Sources!H103*PeakLineLoss</f>
        <v>5.9301410589410158E-2</v>
      </c>
      <c r="I103" s="477">
        <f>Sources!I103*PeakLineLoss</f>
        <v>0</v>
      </c>
      <c r="K103" s="419">
        <f>Sources!J103</f>
        <v>115</v>
      </c>
      <c r="L103" s="419">
        <f>Sources!K103</f>
        <v>0</v>
      </c>
      <c r="N103" s="438">
        <f t="shared" si="36"/>
        <v>0.95794447693110052</v>
      </c>
      <c r="P103" s="215">
        <f t="shared" si="37"/>
        <v>93.245403162320159</v>
      </c>
      <c r="Q103" s="215">
        <f t="shared" si="38"/>
        <v>7.9707075020280129</v>
      </c>
      <c r="R103" s="215">
        <f t="shared" si="39"/>
        <v>105.65968393972804</v>
      </c>
      <c r="T103" s="214">
        <f t="shared" si="40"/>
        <v>0</v>
      </c>
      <c r="U103" s="214">
        <f t="shared" si="40"/>
        <v>115</v>
      </c>
      <c r="V103" s="214">
        <f t="shared" si="40"/>
        <v>0</v>
      </c>
      <c r="W103" s="214">
        <f t="shared" si="40"/>
        <v>0</v>
      </c>
      <c r="X103" s="214">
        <f t="shared" si="40"/>
        <v>0</v>
      </c>
      <c r="Y103" s="214">
        <f t="shared" si="40"/>
        <v>0</v>
      </c>
      <c r="Z103" s="214">
        <f t="shared" si="40"/>
        <v>0</v>
      </c>
      <c r="AA103" s="214">
        <f t="shared" si="40"/>
        <v>0</v>
      </c>
      <c r="AB103" s="214">
        <f t="shared" si="40"/>
        <v>0</v>
      </c>
      <c r="AC103" s="214">
        <f t="shared" si="40"/>
        <v>0</v>
      </c>
      <c r="AD103" s="214">
        <f t="shared" si="40"/>
        <v>0</v>
      </c>
      <c r="AF103" s="214">
        <f>IF(AND(($D103+$C$1)&gt;AF$3,AF$3&gt;=$C$1),'General Inputs'!D$9*$G103,IF(AND(($C103+$C$1)&gt;AF$3,AF$3&gt;=$C$1),'General Inputs'!D$9*$F103,0))</f>
        <v>0</v>
      </c>
      <c r="AG103" s="214">
        <f>IF(AND(($D103+$C$1)&gt;AG$3,AG$3&gt;=$C$1),'General Inputs'!E$9*$G103,IF(AND(($C103+$C$1)&gt;AG$3,AG$3&gt;=$C$1),'General Inputs'!E$9*$F103,0))</f>
        <v>10.543885354538642</v>
      </c>
      <c r="AH103" s="214">
        <f>IF(AND(($D103+$C$1)&gt;AH$3,AH$3&gt;=$C$1),'General Inputs'!F$9*$G103,IF(AND(($C103+$C$1)&gt;AH$3,AH$3&gt;=$C$1),'General Inputs'!F$9*$F103,0))</f>
        <v>10.70204363485672</v>
      </c>
      <c r="AI103" s="214">
        <f>IF(AND(($D103+$C$1)&gt;AI$3,AI$3&gt;=$C$1),'General Inputs'!G$9*$G103,IF(AND(($C103+$C$1)&gt;AI$3,AI$3&gt;=$C$1),'General Inputs'!G$9*$F103,0))</f>
        <v>10.86257428937957</v>
      </c>
      <c r="AJ103" s="214">
        <f>IF(AND(($D103+$C$1)&gt;AJ$3,AJ$3&gt;=$C$1),'General Inputs'!H$9*$G103,IF(AND(($C103+$C$1)&gt;AJ$3,AJ$3&gt;=$C$1),'General Inputs'!H$9*$F103,0))</f>
        <v>11.025512903720262</v>
      </c>
      <c r="AK103" s="214">
        <f>IF(AND(($D103+$C$1)&gt;AK$3,AK$3&gt;=$C$1),'General Inputs'!I$9*$G103,IF(AND(($C103+$C$1)&gt;AK$3,AK$3&gt;=$C$1),'General Inputs'!I$9*$F103,0))</f>
        <v>11.190895597276064</v>
      </c>
      <c r="AL103" s="214">
        <f>IF(AND(($D103+$C$1)&gt;AL$3,AL$3&gt;=$C$1),'General Inputs'!J$9*$G103,IF(AND(($C103+$C$1)&gt;AL$3,AL$3&gt;=$C$1),'General Inputs'!J$9*$F103,0))</f>
        <v>11.358759031235204</v>
      </c>
      <c r="AM103" s="214">
        <f>IF(AND(($D103+$C$1)&gt;AM$3,AM$3&gt;=$C$1),'General Inputs'!K$9*$G103,IF(AND(($C103+$C$1)&gt;AM$3,AM$3&gt;=$C$1),'General Inputs'!K$9*$F103,0))</f>
        <v>11.529140416703729</v>
      </c>
      <c r="AN103" s="214">
        <f>IF(AND(($D103+$C$1)&gt;AN$3,AN$3&gt;=$C$1),'General Inputs'!L$9*$G103,IF(AND(($C103+$C$1)&gt;AN$3,AN$3&gt;=$C$1),'General Inputs'!L$9*$F103,0))</f>
        <v>11.702077522954285</v>
      </c>
      <c r="AO103" s="214">
        <f>IF(AND(($D103+$C$1)&gt;AO$3,AO$3&gt;=$C$1),'General Inputs'!M$9*$G103,IF(AND(($C103+$C$1)&gt;AO$3,AO$3&gt;=$C$1),'General Inputs'!M$9*$F103,0))</f>
        <v>11.877608685798597</v>
      </c>
      <c r="AP103" s="214">
        <f>IF(AND(($D103+$C$1)&gt;AP$3,AP$3&gt;=$C$1),'General Inputs'!N$9*$G103,IF(AND(($C103+$C$1)&gt;AP$3,AP$3&gt;=$C$1),'General Inputs'!N$9*$F103,0))</f>
        <v>12.055772816085575</v>
      </c>
      <c r="AQ103" s="214">
        <f>IF(AND(($D103+$C$1)&gt;AQ$3,AQ$3&gt;=$C$1),'General Inputs'!O$9*$G103,IF(AND(($C103+$C$1)&gt;AQ$3,AQ$3&gt;=$C$1),'General Inputs'!O$9*$F103,0))</f>
        <v>12.236609408326858</v>
      </c>
      <c r="AR103" s="214">
        <f>IF(AND(($D103+$C$1)&gt;AR$3,AR$3&gt;=$C$1),'General Inputs'!P$9*$G103,IF(AND(($C103+$C$1)&gt;AR$3,AR$3&gt;=$C$1),'General Inputs'!P$9*$F103,0))</f>
        <v>12.420158549451759</v>
      </c>
      <c r="AS103" s="214">
        <f>IF(AND(($D103+$C$1)&gt;AS$3,AS$3&gt;=$C$1),'General Inputs'!Q$9*$G103,IF(AND(($C103+$C$1)&gt;AS$3,AS$3&gt;=$C$1),'General Inputs'!Q$9*$F103,0))</f>
        <v>12.606460927693535</v>
      </c>
      <c r="AT103" s="214">
        <f>IF(AND(($D103+$C$1)&gt;AT$3,AT$3&gt;=$C$1),'General Inputs'!R$9*$G103,IF(AND(($C103+$C$1)&gt;AT$3,AT$3&gt;=$C$1),'General Inputs'!R$9*$F103,0))</f>
        <v>12.795557841608938</v>
      </c>
      <c r="AU103" s="214">
        <f>IF(AND(($D103+$C$1)&gt;AU$3,AU$3&gt;=$C$1),'General Inputs'!S$9*$G103,IF(AND(($C103+$C$1)&gt;AU$3,AU$3&gt;=$C$1),'General Inputs'!S$9*$F103,0))</f>
        <v>12.98749120923307</v>
      </c>
      <c r="AV103" s="214">
        <f>IF(AND(($D103+$C$1)&gt;AV$3,AV$3&gt;=$C$1),'General Inputs'!T$9*$G103,IF(AND(($C103+$C$1)&gt;AV$3,AV$3&gt;=$C$1),'General Inputs'!T$9*$F103,0))</f>
        <v>0</v>
      </c>
      <c r="AW103" s="214">
        <f>IF(AND(($D103+$C$1)&gt;AW$3,AW$3&gt;=$C$1),'General Inputs'!U$9*$G103,IF(AND(($C103+$C$1)&gt;AW$3,AW$3&gt;=$C$1),'General Inputs'!U$9*$F103,0))</f>
        <v>0</v>
      </c>
      <c r="AX103" s="214">
        <f>IF(AND(($D103+$C$1)&gt;AX$3,AX$3&gt;=$C$1),'General Inputs'!V$9*$G103,IF(AND(($C103+$C$1)&gt;AX$3,AX$3&gt;=$C$1),'General Inputs'!V$9*$F103,0))</f>
        <v>0</v>
      </c>
      <c r="AY103" s="214">
        <f>IF(AND(($D103+$C$1)&gt;AY$3,AY$3&gt;=$C$1),'General Inputs'!W$9*$G103,IF(AND(($C103+$C$1)&gt;AY$3,AY$3&gt;=$C$1),'General Inputs'!W$9*$F103,0))</f>
        <v>0</v>
      </c>
      <c r="BA103" s="214">
        <f>IF(AND(($D103+$C$1)&gt;AF$3,AF$3&gt;=$C$1),'General Inputs'!D$10*$I103,IF(AND(($C103+$C$1)&gt;AF$3,AF$3&gt;=$C$1),'General Inputs'!D$10*$H103,0))</f>
        <v>0</v>
      </c>
      <c r="BB103" s="214">
        <f>IF(AND(($D103+$C$1)&gt;AG$3,AG$3&gt;=$C$1),'General Inputs'!E$10*$I103,IF(AND(($C103+$C$1)&gt;AG$3,AG$3&gt;=$C$1),'General Inputs'!E$10*$H103,0))</f>
        <v>0.9013015467330332</v>
      </c>
      <c r="BC103" s="214">
        <f>IF(AND(($D103+$C$1)&gt;AH$3,AH$3&gt;=$C$1),'General Inputs'!F$10*$I103,IF(AND(($C103+$C$1)&gt;AH$3,AH$3&gt;=$C$1),'General Inputs'!F$10*$H103,0))</f>
        <v>0.91482106993402856</v>
      </c>
      <c r="BD103" s="214">
        <f>IF(AND(($D103+$C$1)&gt;AI$3,AI$3&gt;=$C$1),'General Inputs'!G$10*$I103,IF(AND(($C103+$C$1)&gt;AI$3,AI$3&gt;=$C$1),'General Inputs'!G$10*$H103,0))</f>
        <v>0.92854338598303898</v>
      </c>
      <c r="BE103" s="214">
        <f>IF(AND(($D103+$C$1)&gt;AJ$3,AJ$3&gt;=$C$1),'General Inputs'!H$10*$I103,IF(AND(($C103+$C$1)&gt;AJ$3,AJ$3&gt;=$C$1),'General Inputs'!H$10*$H103,0))</f>
        <v>0.9424715367727845</v>
      </c>
      <c r="BF103" s="214">
        <f>IF(AND(($D103+$C$1)&gt;AK$3,AK$3&gt;=$C$1),'General Inputs'!I$10*$I103,IF(AND(($C103+$C$1)&gt;AK$3,AK$3&gt;=$C$1),'General Inputs'!I$10*$H103,0))</f>
        <v>0.95660860982437601</v>
      </c>
      <c r="BG103" s="214">
        <f>IF(AND(($D103+$C$1)&gt;AL$3,AL$3&gt;=$C$1),'General Inputs'!J$10*$I103,IF(AND(($C103+$C$1)&gt;AL$3,AL$3&gt;=$C$1),'General Inputs'!J$10*$H103,0))</f>
        <v>0.97095773897174154</v>
      </c>
      <c r="BH103" s="214">
        <f>IF(AND(($D103+$C$1)&gt;AM$3,AM$3&gt;=$C$1),'General Inputs'!K$10*$I103,IF(AND(($C103+$C$1)&gt;AM$3,AM$3&gt;=$C$1),'General Inputs'!K$10*$H103,0))</f>
        <v>0.98552210505631765</v>
      </c>
      <c r="BI103" s="214">
        <f>IF(AND(($D103+$C$1)&gt;AN$3,AN$3&gt;=$C$1),'General Inputs'!L$10*$I103,IF(AND(($C103+$C$1)&gt;AN$3,AN$3&gt;=$C$1),'General Inputs'!L$10*$H103,0))</f>
        <v>1.0003049366321624</v>
      </c>
      <c r="BJ103" s="214">
        <f>IF(AND(($D103+$C$1)&gt;AO$3,AO$3&gt;=$C$1),'General Inputs'!M$10*$I103,IF(AND(($C103+$C$1)&gt;AO$3,AO$3&gt;=$C$1),'General Inputs'!M$10*$H103,0))</f>
        <v>1.0153095106816448</v>
      </c>
      <c r="BK103" s="214">
        <f>IF(AND(($D103+$C$1)&gt;AP$3,AP$3&gt;=$C$1),'General Inputs'!N$10*$I103,IF(AND(($C103+$C$1)&gt;AP$3,AP$3&gt;=$C$1),'General Inputs'!N$10*$H103,0))</f>
        <v>1.0305391533418693</v>
      </c>
      <c r="BL103" s="214">
        <f>IF(AND(($D103+$C$1)&gt;AQ$3,AQ$3&gt;=$C$1),'General Inputs'!O$10*$I103,IF(AND(($C103+$C$1)&gt;AQ$3,AQ$3&gt;=$C$1),'General Inputs'!O$10*$H103,0))</f>
        <v>1.0459972406419973</v>
      </c>
      <c r="BM103" s="214">
        <f>IF(AND(($D103+$C$1)&gt;AR$3,AR$3&gt;=$C$1),'General Inputs'!P$10*$I103,IF(AND(($C103+$C$1)&gt;AR$3,AR$3&gt;=$C$1),'General Inputs'!P$10*$H103,0))</f>
        <v>1.061687199251627</v>
      </c>
      <c r="BN103" s="214">
        <f>IF(AND(($D103+$C$1)&gt;AS$3,AS$3&gt;=$C$1),'General Inputs'!Q$10*$I103,IF(AND(($C103+$C$1)&gt;AS$3,AS$3&gt;=$C$1),'General Inputs'!Q$10*$H103,0))</f>
        <v>1.0776125072404015</v>
      </c>
      <c r="BO103" s="214">
        <f>IF(AND(($D103+$C$1)&gt;AT$3,AT$3&gt;=$C$1),'General Inputs'!R$10*$I103,IF(AND(($C103+$C$1)&gt;AT$3,AT$3&gt;=$C$1),'General Inputs'!R$10*$H103,0))</f>
        <v>1.0937766948490073</v>
      </c>
      <c r="BP103" s="214">
        <f>IF(AND(($D103+$C$1)&gt;AU$3,AU$3&gt;=$C$1),'General Inputs'!S$10*$I103,IF(AND(($C103+$C$1)&gt;AU$3,AU$3&gt;=$C$1),'General Inputs'!S$10*$H103,0))</f>
        <v>1.1101833452717422</v>
      </c>
      <c r="BQ103" s="214">
        <f>IF(AND(($D103+$C$1)&gt;AV$3,AV$3&gt;=$C$1),'General Inputs'!T$10*$I103,IF(AND(($C103+$C$1)&gt;AV$3,AV$3&gt;=$C$1),'General Inputs'!T$10*$H103,0))</f>
        <v>0</v>
      </c>
      <c r="BR103" s="214">
        <f>IF(AND(($D103+$C$1)&gt;AW$3,AW$3&gt;=$C$1),'General Inputs'!U$10*$I103,IF(AND(($C103+$C$1)&gt;AW$3,AW$3&gt;=$C$1),'General Inputs'!U$10*$H103,0))</f>
        <v>0</v>
      </c>
      <c r="BS103" s="214">
        <f>IF(AND(($D103+$C$1)&gt;AX$3,AX$3&gt;=$C$1),'General Inputs'!V$10*$I103,IF(AND(($C103+$C$1)&gt;AX$3,AX$3&gt;=$C$1),'General Inputs'!V$10*$H103,0))</f>
        <v>0</v>
      </c>
      <c r="BT103" s="214">
        <f>IF(AND(($D103+$C$1)&gt;AY$3,AY$3&gt;=$C$1),'General Inputs'!W$10*$I103,IF(AND(($C103+$C$1)&gt;AY$3,AY$3&gt;=$C$1),'General Inputs'!W$10*$H103,0))</f>
        <v>0</v>
      </c>
    </row>
    <row r="104" spans="1:72">
      <c r="A104" s="342" t="s">
        <v>112</v>
      </c>
      <c r="B104" s="427" t="str">
        <f>Sources!B104</f>
        <v>Chiller</v>
      </c>
      <c r="C104" s="193">
        <f>Sources!C104</f>
        <v>20</v>
      </c>
      <c r="D104" s="193">
        <f>Sources!D104</f>
        <v>0</v>
      </c>
      <c r="F104" s="429">
        <f>Sources!F104*EnergyLineLoss</f>
        <v>2805.6139928885227</v>
      </c>
      <c r="G104" s="429">
        <f>Sources!G104*EnergyLineLoss</f>
        <v>0</v>
      </c>
      <c r="H104" s="477">
        <f>Sources!H104*PeakLineLoss</f>
        <v>1.9279603848567284</v>
      </c>
      <c r="I104" s="477">
        <f>Sources!I104*PeakLineLoss</f>
        <v>0</v>
      </c>
      <c r="K104" s="419">
        <f>Sources!J104</f>
        <v>6350</v>
      </c>
      <c r="L104" s="419">
        <f>Sources!K104</f>
        <v>0</v>
      </c>
      <c r="N104" s="438">
        <f t="shared" si="36"/>
        <v>0.24475409850319896</v>
      </c>
      <c r="P104" s="215">
        <f t="shared" si="37"/>
        <v>1134.6866928566051</v>
      </c>
      <c r="Q104" s="215">
        <f t="shared" si="38"/>
        <v>293.27042354849715</v>
      </c>
      <c r="R104" s="215">
        <f t="shared" si="39"/>
        <v>5834.2521131936783</v>
      </c>
      <c r="T104" s="214">
        <f t="shared" si="40"/>
        <v>0</v>
      </c>
      <c r="U104" s="214">
        <f t="shared" si="40"/>
        <v>6350</v>
      </c>
      <c r="V104" s="214">
        <f t="shared" si="40"/>
        <v>0</v>
      </c>
      <c r="W104" s="214">
        <f t="shared" si="40"/>
        <v>0</v>
      </c>
      <c r="X104" s="214">
        <f t="shared" si="40"/>
        <v>0</v>
      </c>
      <c r="Y104" s="214">
        <f t="shared" si="40"/>
        <v>0</v>
      </c>
      <c r="Z104" s="214">
        <f t="shared" si="40"/>
        <v>0</v>
      </c>
      <c r="AA104" s="214">
        <f t="shared" si="40"/>
        <v>0</v>
      </c>
      <c r="AB104" s="214">
        <f t="shared" si="40"/>
        <v>0</v>
      </c>
      <c r="AC104" s="214">
        <f t="shared" si="40"/>
        <v>0</v>
      </c>
      <c r="AD104" s="214">
        <f t="shared" si="40"/>
        <v>0</v>
      </c>
      <c r="AF104" s="214">
        <f>IF(AND(($D104+$C$1)&gt;AF$3,AF$3&gt;=$C$1),'General Inputs'!D$9*$G104,IF(AND(($C104+$C$1)&gt;AF$3,AF$3&gt;=$C$1),'General Inputs'!D$9*$F104,0))</f>
        <v>0</v>
      </c>
      <c r="AG104" s="214">
        <f>IF(AND(($D104+$C$1)&gt;AG$3,AG$3&gt;=$C$1),'General Inputs'!E$9*$G104,IF(AND(($C104+$C$1)&gt;AG$3,AG$3&gt;=$C$1),'General Inputs'!E$9*$F104,0))</f>
        <v>113.37332756384659</v>
      </c>
      <c r="AH104" s="214">
        <f>IF(AND(($D104+$C$1)&gt;AH$3,AH$3&gt;=$C$1),'General Inputs'!F$9*$G104,IF(AND(($C104+$C$1)&gt;AH$3,AH$3&gt;=$C$1),'General Inputs'!F$9*$F104,0))</f>
        <v>115.07392747730427</v>
      </c>
      <c r="AI104" s="214">
        <f>IF(AND(($D104+$C$1)&gt;AI$3,AI$3&gt;=$C$1),'General Inputs'!G$9*$G104,IF(AND(($C104+$C$1)&gt;AI$3,AI$3&gt;=$C$1),'General Inputs'!G$9*$F104,0))</f>
        <v>116.80003638946383</v>
      </c>
      <c r="AJ104" s="214">
        <f>IF(AND(($D104+$C$1)&gt;AJ$3,AJ$3&gt;=$C$1),'General Inputs'!H$9*$G104,IF(AND(($C104+$C$1)&gt;AJ$3,AJ$3&gt;=$C$1),'General Inputs'!H$9*$F104,0))</f>
        <v>118.55203693530576</v>
      </c>
      <c r="AK104" s="214">
        <f>IF(AND(($D104+$C$1)&gt;AK$3,AK$3&gt;=$C$1),'General Inputs'!I$9*$G104,IF(AND(($C104+$C$1)&gt;AK$3,AK$3&gt;=$C$1),'General Inputs'!I$9*$F104,0))</f>
        <v>120.33031748933533</v>
      </c>
      <c r="AL104" s="214">
        <f>IF(AND(($D104+$C$1)&gt;AL$3,AL$3&gt;=$C$1),'General Inputs'!J$9*$G104,IF(AND(($C104+$C$1)&gt;AL$3,AL$3&gt;=$C$1),'General Inputs'!J$9*$F104,0))</f>
        <v>122.13527225167535</v>
      </c>
      <c r="AM104" s="214">
        <f>IF(AND(($D104+$C$1)&gt;AM$3,AM$3&gt;=$C$1),'General Inputs'!K$9*$G104,IF(AND(($C104+$C$1)&gt;AM$3,AM$3&gt;=$C$1),'General Inputs'!K$9*$F104,0))</f>
        <v>123.96730133545046</v>
      </c>
      <c r="AN104" s="214">
        <f>IF(AND(($D104+$C$1)&gt;AN$3,AN$3&gt;=$C$1),'General Inputs'!L$9*$G104,IF(AND(($C104+$C$1)&gt;AN$3,AN$3&gt;=$C$1),'General Inputs'!L$9*$F104,0))</f>
        <v>125.82681085548221</v>
      </c>
      <c r="AO104" s="214">
        <f>IF(AND(($D104+$C$1)&gt;AO$3,AO$3&gt;=$C$1),'General Inputs'!M$9*$G104,IF(AND(($C104+$C$1)&gt;AO$3,AO$3&gt;=$C$1),'General Inputs'!M$9*$F104,0))</f>
        <v>127.71421301831441</v>
      </c>
      <c r="AP104" s="214">
        <f>IF(AND(($D104+$C$1)&gt;AP$3,AP$3&gt;=$C$1),'General Inputs'!N$9*$G104,IF(AND(($C104+$C$1)&gt;AP$3,AP$3&gt;=$C$1),'General Inputs'!N$9*$F104,0))</f>
        <v>129.62992621358913</v>
      </c>
      <c r="AQ104" s="214">
        <f>IF(AND(($D104+$C$1)&gt;AQ$3,AQ$3&gt;=$C$1),'General Inputs'!O$9*$G104,IF(AND(($C104+$C$1)&gt;AQ$3,AQ$3&gt;=$C$1),'General Inputs'!O$9*$F104,0))</f>
        <v>131.57437510679296</v>
      </c>
      <c r="AR104" s="214">
        <f>IF(AND(($D104+$C$1)&gt;AR$3,AR$3&gt;=$C$1),'General Inputs'!P$9*$G104,IF(AND(($C104+$C$1)&gt;AR$3,AR$3&gt;=$C$1),'General Inputs'!P$9*$F104,0))</f>
        <v>133.54799073339484</v>
      </c>
      <c r="AS104" s="214">
        <f>IF(AND(($D104+$C$1)&gt;AS$3,AS$3&gt;=$C$1),'General Inputs'!Q$9*$G104,IF(AND(($C104+$C$1)&gt;AS$3,AS$3&gt;=$C$1),'General Inputs'!Q$9*$F104,0))</f>
        <v>135.55121059439574</v>
      </c>
      <c r="AT104" s="214">
        <f>IF(AND(($D104+$C$1)&gt;AT$3,AT$3&gt;=$C$1),'General Inputs'!R$9*$G104,IF(AND(($C104+$C$1)&gt;AT$3,AT$3&gt;=$C$1),'General Inputs'!R$9*$F104,0))</f>
        <v>137.58447875331169</v>
      </c>
      <c r="AU104" s="214">
        <f>IF(AND(($D104+$C$1)&gt;AU$3,AU$3&gt;=$C$1),'General Inputs'!S$9*$G104,IF(AND(($C104+$C$1)&gt;AU$3,AU$3&gt;=$C$1),'General Inputs'!S$9*$F104,0))</f>
        <v>139.64824593461134</v>
      </c>
      <c r="AV104" s="214">
        <f>IF(AND(($D104+$C$1)&gt;AV$3,AV$3&gt;=$C$1),'General Inputs'!T$9*$G104,IF(AND(($C104+$C$1)&gt;AV$3,AV$3&gt;=$C$1),'General Inputs'!T$9*$F104,0))</f>
        <v>141.7429696236305</v>
      </c>
      <c r="AW104" s="214">
        <f>IF(AND(($D104+$C$1)&gt;AW$3,AW$3&gt;=$C$1),'General Inputs'!U$9*$G104,IF(AND(($C104+$C$1)&gt;AW$3,AW$3&gt;=$C$1),'General Inputs'!U$9*$F104,0))</f>
        <v>143.86911416798495</v>
      </c>
      <c r="AX104" s="214">
        <f>IF(AND(($D104+$C$1)&gt;AX$3,AX$3&gt;=$C$1),'General Inputs'!V$9*$G104,IF(AND(($C104+$C$1)&gt;AX$3,AX$3&gt;=$C$1),'General Inputs'!V$9*$F104,0))</f>
        <v>146.02715088050471</v>
      </c>
      <c r="AY104" s="214">
        <f>IF(AND(($D104+$C$1)&gt;AY$3,AY$3&gt;=$C$1),'General Inputs'!W$9*$G104,IF(AND(($C104+$C$1)&gt;AY$3,AY$3&gt;=$C$1),'General Inputs'!W$9*$F104,0))</f>
        <v>148.21755814371227</v>
      </c>
      <c r="BA104" s="214">
        <f>IF(AND(($D104+$C$1)&gt;AF$3,AF$3&gt;=$C$1),'General Inputs'!D$10*$I104,IF(AND(($C104+$C$1)&gt;AF$3,AF$3&gt;=$C$1),'General Inputs'!D$10*$H104,0))</f>
        <v>0</v>
      </c>
      <c r="BB104" s="214">
        <f>IF(AND(($D104+$C$1)&gt;AG$3,AG$3&gt;=$C$1),'General Inputs'!E$10*$I104,IF(AND(($C104+$C$1)&gt;AG$3,AG$3&gt;=$C$1),'General Inputs'!E$10*$H104,0))</f>
        <v>29.302400392170281</v>
      </c>
      <c r="BC104" s="214">
        <f>IF(AND(($D104+$C$1)&gt;AH$3,AH$3&gt;=$C$1),'General Inputs'!F$10*$I104,IF(AND(($C104+$C$1)&gt;AH$3,AH$3&gt;=$C$1),'General Inputs'!F$10*$H104,0))</f>
        <v>29.741936398052836</v>
      </c>
      <c r="BD104" s="214">
        <f>IF(AND(($D104+$C$1)&gt;AI$3,AI$3&gt;=$C$1),'General Inputs'!G$10*$I104,IF(AND(($C104+$C$1)&gt;AI$3,AI$3&gt;=$C$1),'General Inputs'!G$10*$H104,0))</f>
        <v>30.188065444023625</v>
      </c>
      <c r="BE104" s="214">
        <f>IF(AND(($D104+$C$1)&gt;AJ$3,AJ$3&gt;=$C$1),'General Inputs'!H$10*$I104,IF(AND(($C104+$C$1)&gt;AJ$3,AJ$3&gt;=$C$1),'General Inputs'!H$10*$H104,0))</f>
        <v>30.640886425683977</v>
      </c>
      <c r="BF104" s="214">
        <f>IF(AND(($D104+$C$1)&gt;AK$3,AK$3&gt;=$C$1),'General Inputs'!I$10*$I104,IF(AND(($C104+$C$1)&gt;AK$3,AK$3&gt;=$C$1),'General Inputs'!I$10*$H104,0))</f>
        <v>31.10049972206923</v>
      </c>
      <c r="BG104" s="214">
        <f>IF(AND(($D104+$C$1)&gt;AL$3,AL$3&gt;=$C$1),'General Inputs'!J$10*$I104,IF(AND(($C104+$C$1)&gt;AL$3,AL$3&gt;=$C$1),'General Inputs'!J$10*$H104,0))</f>
        <v>31.567007217900265</v>
      </c>
      <c r="BH104" s="214">
        <f>IF(AND(($D104+$C$1)&gt;AM$3,AM$3&gt;=$C$1),'General Inputs'!K$10*$I104,IF(AND(($C104+$C$1)&gt;AM$3,AM$3&gt;=$C$1),'General Inputs'!K$10*$H104,0))</f>
        <v>32.040512326168766</v>
      </c>
      <c r="BI104" s="214">
        <f>IF(AND(($D104+$C$1)&gt;AN$3,AN$3&gt;=$C$1),'General Inputs'!L$10*$I104,IF(AND(($C104+$C$1)&gt;AN$3,AN$3&gt;=$C$1),'General Inputs'!L$10*$H104,0))</f>
        <v>32.521120011061299</v>
      </c>
      <c r="BJ104" s="214">
        <f>IF(AND(($D104+$C$1)&gt;AO$3,AO$3&gt;=$C$1),'General Inputs'!M$10*$I104,IF(AND(($C104+$C$1)&gt;AO$3,AO$3&gt;=$C$1),'General Inputs'!M$10*$H104,0))</f>
        <v>33.008936811227215</v>
      </c>
      <c r="BK104" s="214">
        <f>IF(AND(($D104+$C$1)&gt;AP$3,AP$3&gt;=$C$1),'General Inputs'!N$10*$I104,IF(AND(($C104+$C$1)&gt;AP$3,AP$3&gt;=$C$1),'General Inputs'!N$10*$H104,0))</f>
        <v>33.504070863395619</v>
      </c>
      <c r="BL104" s="214">
        <f>IF(AND(($D104+$C$1)&gt;AQ$3,AQ$3&gt;=$C$1),'General Inputs'!O$10*$I104,IF(AND(($C104+$C$1)&gt;AQ$3,AQ$3&gt;=$C$1),'General Inputs'!O$10*$H104,0))</f>
        <v>34.00663192634655</v>
      </c>
      <c r="BM104" s="214">
        <f>IF(AND(($D104+$C$1)&gt;AR$3,AR$3&gt;=$C$1),'General Inputs'!P$10*$I104,IF(AND(($C104+$C$1)&gt;AR$3,AR$3&gt;=$C$1),'General Inputs'!P$10*$H104,0))</f>
        <v>34.516731405241742</v>
      </c>
      <c r="BN104" s="214">
        <f>IF(AND(($D104+$C$1)&gt;AS$3,AS$3&gt;=$C$1),'General Inputs'!Q$10*$I104,IF(AND(($C104+$C$1)&gt;AS$3,AS$3&gt;=$C$1),'General Inputs'!Q$10*$H104,0))</f>
        <v>35.034482376320369</v>
      </c>
      <c r="BO104" s="214">
        <f>IF(AND(($D104+$C$1)&gt;AT$3,AT$3&gt;=$C$1),'General Inputs'!R$10*$I104,IF(AND(($C104+$C$1)&gt;AT$3,AT$3&gt;=$C$1),'General Inputs'!R$10*$H104,0))</f>
        <v>35.559999611965168</v>
      </c>
      <c r="BP104" s="214">
        <f>IF(AND(($D104+$C$1)&gt;AU$3,AU$3&gt;=$C$1),'General Inputs'!S$10*$I104,IF(AND(($C104+$C$1)&gt;AU$3,AU$3&gt;=$C$1),'General Inputs'!S$10*$H104,0))</f>
        <v>36.093399606144644</v>
      </c>
      <c r="BQ104" s="214">
        <f>IF(AND(($D104+$C$1)&gt;AV$3,AV$3&gt;=$C$1),'General Inputs'!T$10*$I104,IF(AND(($C104+$C$1)&gt;AV$3,AV$3&gt;=$C$1),'General Inputs'!T$10*$H104,0))</f>
        <v>36.634800600236808</v>
      </c>
      <c r="BR104" s="214">
        <f>IF(AND(($D104+$C$1)&gt;AW$3,AW$3&gt;=$C$1),'General Inputs'!U$10*$I104,IF(AND(($C104+$C$1)&gt;AW$3,AW$3&gt;=$C$1),'General Inputs'!U$10*$H104,0))</f>
        <v>37.184322609240361</v>
      </c>
      <c r="BS104" s="214">
        <f>IF(AND(($D104+$C$1)&gt;AX$3,AX$3&gt;=$C$1),'General Inputs'!V$10*$I104,IF(AND(($C104+$C$1)&gt;AX$3,AX$3&gt;=$C$1),'General Inputs'!V$10*$H104,0))</f>
        <v>37.74208744837896</v>
      </c>
      <c r="BT104" s="214">
        <f>IF(AND(($D104+$C$1)&gt;AY$3,AY$3&gt;=$C$1),'General Inputs'!W$10*$I104,IF(AND(($C104+$C$1)&gt;AY$3,AY$3&gt;=$C$1),'General Inputs'!W$10*$H104,0))</f>
        <v>38.308218760104637</v>
      </c>
    </row>
  </sheetData>
  <mergeCells count="5">
    <mergeCell ref="BA2:BT2"/>
    <mergeCell ref="F2:I2"/>
    <mergeCell ref="P2:R2"/>
    <mergeCell ref="T2:AD2"/>
    <mergeCell ref="AF2:AY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U104"/>
  <sheetViews>
    <sheetView showGridLines="0" workbookViewId="0">
      <pane xSplit="2" ySplit="3" topLeftCell="C25" activePane="bottomRight" state="frozen"/>
      <selection activeCell="C3" sqref="C3"/>
      <selection pane="topRight" activeCell="C3" sqref="C3"/>
      <selection pane="bottomLeft" activeCell="C3" sqref="C3"/>
      <selection pane="bottomRight" activeCell="A39" sqref="A39:XFD39"/>
    </sheetView>
  </sheetViews>
  <sheetFormatPr defaultColWidth="9.109375" defaultRowHeight="10.199999999999999"/>
  <cols>
    <col min="1" max="1" width="9.6640625" style="211" bestFit="1" customWidth="1"/>
    <col min="2" max="2" width="36.88671875" style="1" bestFit="1" customWidth="1"/>
    <col min="3" max="3" width="8.44140625" style="195" bestFit="1" customWidth="1"/>
    <col min="4" max="4" width="9.6640625" style="195" bestFit="1" customWidth="1"/>
    <col min="5" max="5" width="1.88671875" style="2" customWidth="1"/>
    <col min="6" max="7" width="6.88671875" style="195" bestFit="1" customWidth="1"/>
    <col min="8" max="8" width="6" style="345" bestFit="1" customWidth="1"/>
    <col min="9" max="9" width="5.109375" style="195" bestFit="1" customWidth="1"/>
    <col min="10" max="10" width="1.88671875" style="2" customWidth="1"/>
    <col min="11" max="11" width="12.33203125" style="210" bestFit="1" customWidth="1"/>
    <col min="12" max="12" width="12.33203125" style="210" customWidth="1"/>
    <col min="13" max="13" width="1.88671875" style="2" customWidth="1"/>
    <col min="14" max="14" width="12.5546875" style="195" bestFit="1" customWidth="1"/>
    <col min="15" max="15" width="3.6640625" style="2" customWidth="1"/>
    <col min="16" max="16" width="11.5546875" style="210" hidden="1" customWidth="1"/>
    <col min="17" max="17" width="12.5546875" style="209" hidden="1" customWidth="1"/>
    <col min="18" max="18" width="11.6640625" style="209" hidden="1" customWidth="1"/>
    <col min="19" max="19" width="3.6640625" style="2" hidden="1" customWidth="1"/>
    <col min="20" max="20" width="5.6640625" style="2" hidden="1" customWidth="1"/>
    <col min="21" max="27" width="4.44140625" style="2" hidden="1" customWidth="1"/>
    <col min="28" max="28" width="6.33203125" style="2" hidden="1" customWidth="1"/>
    <col min="29" max="30" width="4.44140625" style="2" hidden="1" customWidth="1"/>
    <col min="31" max="31" width="3.6640625" style="2" hidden="1" customWidth="1"/>
    <col min="32" max="32" width="5.6640625" style="195" hidden="1" customWidth="1"/>
    <col min="33" max="46" width="5.6640625" style="194" hidden="1" customWidth="1"/>
    <col min="47" max="51" width="4.44140625" style="194" hidden="1" customWidth="1"/>
    <col min="52" max="52" width="3.6640625" style="2" hidden="1" customWidth="1"/>
    <col min="53" max="53" width="4.44140625" style="195" hidden="1" customWidth="1"/>
    <col min="54" max="72" width="4.44140625" style="194" hidden="1" customWidth="1"/>
    <col min="73" max="73" width="3.6640625" style="2" customWidth="1"/>
    <col min="74" max="16384" width="9.109375" style="195"/>
  </cols>
  <sheetData>
    <row r="1" spans="1:73">
      <c r="B1" s="225" t="s">
        <v>225</v>
      </c>
      <c r="C1" s="224">
        <v>2016</v>
      </c>
      <c r="F1" s="209"/>
      <c r="G1" s="209"/>
      <c r="I1" s="209"/>
      <c r="N1" s="209"/>
      <c r="Q1" s="195"/>
      <c r="R1" s="195"/>
      <c r="AF1" s="209"/>
      <c r="AG1" s="223"/>
      <c r="BA1" s="209"/>
      <c r="BB1" s="223"/>
    </row>
    <row r="2" spans="1:73" ht="11.25" customHeight="1">
      <c r="C2" s="196"/>
      <c r="D2" s="196"/>
      <c r="F2" s="778" t="s">
        <v>432</v>
      </c>
      <c r="G2" s="779"/>
      <c r="H2" s="779"/>
      <c r="I2" s="780"/>
      <c r="N2" s="209"/>
      <c r="P2" s="786" t="s">
        <v>445</v>
      </c>
      <c r="Q2" s="786"/>
      <c r="R2" s="786"/>
      <c r="T2" s="784" t="s">
        <v>7</v>
      </c>
      <c r="U2" s="785"/>
      <c r="V2" s="785"/>
      <c r="W2" s="785"/>
      <c r="X2" s="785"/>
      <c r="Y2" s="785"/>
      <c r="Z2" s="785"/>
      <c r="AA2" s="785"/>
      <c r="AB2" s="785"/>
      <c r="AC2" s="785"/>
      <c r="AD2" s="800"/>
      <c r="AF2" s="775" t="s">
        <v>448</v>
      </c>
      <c r="AG2" s="776"/>
      <c r="AH2" s="776"/>
      <c r="AI2" s="776"/>
      <c r="AJ2" s="776"/>
      <c r="AK2" s="776"/>
      <c r="AL2" s="776"/>
      <c r="AM2" s="776"/>
      <c r="AN2" s="776"/>
      <c r="AO2" s="776"/>
      <c r="AP2" s="776"/>
      <c r="AQ2" s="776"/>
      <c r="AR2" s="776"/>
      <c r="AS2" s="776"/>
      <c r="AT2" s="776"/>
      <c r="AU2" s="776"/>
      <c r="AV2" s="776"/>
      <c r="AW2" s="776"/>
      <c r="AX2" s="776"/>
      <c r="AY2" s="801"/>
      <c r="BA2" s="775" t="s">
        <v>449</v>
      </c>
      <c r="BB2" s="776"/>
      <c r="BC2" s="776"/>
      <c r="BD2" s="776"/>
      <c r="BE2" s="776"/>
      <c r="BF2" s="776"/>
      <c r="BG2" s="776"/>
      <c r="BH2" s="776"/>
      <c r="BI2" s="776"/>
      <c r="BJ2" s="776"/>
      <c r="BK2" s="776"/>
      <c r="BL2" s="776"/>
      <c r="BM2" s="776"/>
      <c r="BN2" s="776"/>
      <c r="BO2" s="776"/>
      <c r="BP2" s="776"/>
      <c r="BQ2" s="776"/>
      <c r="BR2" s="776"/>
      <c r="BS2" s="776"/>
      <c r="BT2" s="801"/>
    </row>
    <row r="3" spans="1:73" s="218" customFormat="1" ht="22.5" customHeight="1">
      <c r="A3" s="344" t="s">
        <v>90</v>
      </c>
      <c r="B3" s="222" t="s">
        <v>212</v>
      </c>
      <c r="C3" s="220" t="s">
        <v>2</v>
      </c>
      <c r="D3" s="220" t="s">
        <v>427</v>
      </c>
      <c r="E3" s="219"/>
      <c r="F3" s="220" t="s">
        <v>240</v>
      </c>
      <c r="G3" s="220" t="s">
        <v>429</v>
      </c>
      <c r="H3" s="346" t="s">
        <v>282</v>
      </c>
      <c r="I3" s="220" t="s">
        <v>431</v>
      </c>
      <c r="J3" s="219"/>
      <c r="K3" s="347" t="s">
        <v>415</v>
      </c>
      <c r="L3" s="347" t="s">
        <v>426</v>
      </c>
      <c r="M3" s="219"/>
      <c r="N3" s="528" t="s">
        <v>210</v>
      </c>
      <c r="O3" s="219"/>
      <c r="P3" s="499" t="s">
        <v>447</v>
      </c>
      <c r="Q3" s="499" t="s">
        <v>446</v>
      </c>
      <c r="R3" s="484" t="s">
        <v>7</v>
      </c>
      <c r="S3" s="219"/>
      <c r="T3" s="483">
        <v>2014</v>
      </c>
      <c r="U3" s="483">
        <v>2015</v>
      </c>
      <c r="V3" s="483">
        <v>2016</v>
      </c>
      <c r="W3" s="483">
        <v>2017</v>
      </c>
      <c r="X3" s="483">
        <v>2018</v>
      </c>
      <c r="Y3" s="483">
        <v>2019</v>
      </c>
      <c r="Z3" s="483">
        <v>2020</v>
      </c>
      <c r="AA3" s="483">
        <v>2021</v>
      </c>
      <c r="AB3" s="483">
        <v>2022</v>
      </c>
      <c r="AC3" s="483">
        <v>2023</v>
      </c>
      <c r="AD3" s="483">
        <v>2024</v>
      </c>
      <c r="AE3" s="219"/>
      <c r="AF3" s="483">
        <v>2014</v>
      </c>
      <c r="AG3" s="483">
        <v>2015</v>
      </c>
      <c r="AH3" s="483">
        <v>2016</v>
      </c>
      <c r="AI3" s="483">
        <v>2017</v>
      </c>
      <c r="AJ3" s="483">
        <v>2018</v>
      </c>
      <c r="AK3" s="483">
        <v>2019</v>
      </c>
      <c r="AL3" s="483">
        <v>2020</v>
      </c>
      <c r="AM3" s="483">
        <v>2021</v>
      </c>
      <c r="AN3" s="483">
        <v>2022</v>
      </c>
      <c r="AO3" s="483">
        <v>2023</v>
      </c>
      <c r="AP3" s="483">
        <v>2024</v>
      </c>
      <c r="AQ3" s="483">
        <v>2025</v>
      </c>
      <c r="AR3" s="483">
        <v>2026</v>
      </c>
      <c r="AS3" s="483">
        <v>2027</v>
      </c>
      <c r="AT3" s="483">
        <v>2028</v>
      </c>
      <c r="AU3" s="483">
        <v>2029</v>
      </c>
      <c r="AV3" s="483">
        <v>2030</v>
      </c>
      <c r="AW3" s="483">
        <v>2031</v>
      </c>
      <c r="AX3" s="483">
        <v>2032</v>
      </c>
      <c r="AY3" s="483">
        <v>2033</v>
      </c>
      <c r="AZ3" s="219"/>
      <c r="BA3" s="483">
        <v>2014</v>
      </c>
      <c r="BB3" s="483">
        <v>2015</v>
      </c>
      <c r="BC3" s="483">
        <v>2016</v>
      </c>
      <c r="BD3" s="483">
        <v>2017</v>
      </c>
      <c r="BE3" s="483">
        <v>2018</v>
      </c>
      <c r="BF3" s="483">
        <v>2019</v>
      </c>
      <c r="BG3" s="483">
        <v>2020</v>
      </c>
      <c r="BH3" s="483">
        <v>2021</v>
      </c>
      <c r="BI3" s="483">
        <v>2022</v>
      </c>
      <c r="BJ3" s="483">
        <v>2023</v>
      </c>
      <c r="BK3" s="483">
        <v>2024</v>
      </c>
      <c r="BL3" s="483">
        <v>2025</v>
      </c>
      <c r="BM3" s="483">
        <v>2026</v>
      </c>
      <c r="BN3" s="483">
        <v>2027</v>
      </c>
      <c r="BO3" s="483">
        <v>2028</v>
      </c>
      <c r="BP3" s="483">
        <v>2029</v>
      </c>
      <c r="BQ3" s="483">
        <v>2030</v>
      </c>
      <c r="BR3" s="483">
        <v>2031</v>
      </c>
      <c r="BS3" s="483">
        <v>2032</v>
      </c>
      <c r="BT3" s="483">
        <v>2033</v>
      </c>
      <c r="BU3" s="219"/>
    </row>
    <row r="4" spans="1:73">
      <c r="A4" s="341" t="s">
        <v>12</v>
      </c>
      <c r="B4" s="427" t="str">
        <f>Sources!B4</f>
        <v>CFL</v>
      </c>
      <c r="C4" s="193">
        <f>Sources!C4</f>
        <v>5</v>
      </c>
      <c r="D4" s="193">
        <f>Sources!D4</f>
        <v>0</v>
      </c>
      <c r="F4" s="429">
        <f>Sources!F4*EnergyLineLoss</f>
        <v>32.094829089000001</v>
      </c>
      <c r="G4" s="429">
        <f>Sources!G4*EnergyLineLoss</f>
        <v>0</v>
      </c>
      <c r="H4" s="477">
        <f>Sources!H4*PeakLineLoss</f>
        <v>2.9158264214999997E-3</v>
      </c>
      <c r="I4" s="477">
        <f>Sources!I4*PeakLineLoss</f>
        <v>0</v>
      </c>
      <c r="K4" s="419">
        <f>Sources!J4</f>
        <v>1.5</v>
      </c>
      <c r="L4" s="419">
        <f>Sources!K4</f>
        <v>0</v>
      </c>
      <c r="N4" s="438">
        <f>IF(R4&gt;0,(P4+Q4)/R4,"n/a")</f>
        <v>3.9657450845837352</v>
      </c>
      <c r="P4" s="215">
        <f t="shared" ref="P4:P48" si="0">AF4+NPV(DiscountRate,AG4:AY4)</f>
        <v>4.8556450115752652</v>
      </c>
      <c r="Q4" s="215">
        <f t="shared" ref="Q4:Q48" si="1">BA4+NPV(DiscountRate,BB4:BT4)</f>
        <v>0.16591881833038941</v>
      </c>
      <c r="R4" s="215">
        <f t="shared" ref="R4:R48" si="2">T4+NPV(DiscountRate,U4:AD4)</f>
        <v>1.2662346476646378</v>
      </c>
      <c r="T4" s="214">
        <f t="shared" ref="T4:AD19" si="3">IF($C$1=T$3,$K4,IF($D4+$C$1=T$3,-$L4,0))</f>
        <v>0</v>
      </c>
      <c r="U4" s="214">
        <f t="shared" si="3"/>
        <v>0</v>
      </c>
      <c r="V4" s="214">
        <f t="shared" si="3"/>
        <v>1.5</v>
      </c>
      <c r="W4" s="214">
        <f t="shared" si="3"/>
        <v>0</v>
      </c>
      <c r="X4" s="214">
        <f t="shared" si="3"/>
        <v>0</v>
      </c>
      <c r="Y4" s="214">
        <f t="shared" si="3"/>
        <v>0</v>
      </c>
      <c r="Z4" s="214">
        <f t="shared" si="3"/>
        <v>0</v>
      </c>
      <c r="AA4" s="214">
        <f t="shared" si="3"/>
        <v>0</v>
      </c>
      <c r="AB4" s="214">
        <f t="shared" si="3"/>
        <v>0</v>
      </c>
      <c r="AC4" s="214">
        <f t="shared" si="3"/>
        <v>0</v>
      </c>
      <c r="AD4" s="214">
        <f t="shared" si="3"/>
        <v>0</v>
      </c>
      <c r="AF4" s="214">
        <f>IF(AND(($D4+$C$1)&gt;AF$3,AF$3&gt;=$C$1),'General Inputs'!D$9*$G4,IF(AND(($C4+$C$1)&gt;AF$3,AF$3&gt;=$C$1),'General Inputs'!D$9*$F4,0))</f>
        <v>0</v>
      </c>
      <c r="AG4" s="214">
        <f>IF(AND(($D4+$C$1)&gt;AG$3,AG$3&gt;=$C$1),'General Inputs'!E$9*$G4,IF(AND(($C4+$C$1)&gt;AG$3,AG$3&gt;=$C$1),'General Inputs'!E$9*$F4,0))</f>
        <v>0</v>
      </c>
      <c r="AH4" s="214">
        <f>IF(AND(($D4+$C$1)&gt;AH$3,AH$3&gt;=$C$1),'General Inputs'!F$9*$G4,IF(AND(($C4+$C$1)&gt;AH$3,AH$3&gt;=$C$1),'General Inputs'!F$9*$F4,0))</f>
        <v>1.316388514009956</v>
      </c>
      <c r="AI4" s="214">
        <f>IF(AND(($D4+$C$1)&gt;AI$3,AI$3&gt;=$C$1),'General Inputs'!G$9*$G4,IF(AND(($C4+$C$1)&gt;AI$3,AI$3&gt;=$C$1),'General Inputs'!G$9*$F4,0))</f>
        <v>1.3361343417201053</v>
      </c>
      <c r="AJ4" s="214">
        <f>IF(AND(($D4+$C$1)&gt;AJ$3,AJ$3&gt;=$C$1),'General Inputs'!H$9*$G4,IF(AND(($C4+$C$1)&gt;AJ$3,AJ$3&gt;=$C$1),'General Inputs'!H$9*$F4,0))</f>
        <v>1.3561763568459066</v>
      </c>
      <c r="AK4" s="214">
        <f>IF(AND(($D4+$C$1)&gt;AK$3,AK$3&gt;=$C$1),'General Inputs'!I$9*$G4,IF(AND(($C4+$C$1)&gt;AK$3,AK$3&gt;=$C$1),'General Inputs'!I$9*$F4,0))</f>
        <v>1.3765190021985949</v>
      </c>
      <c r="AL4" s="214">
        <f>IF(AND(($D4+$C$1)&gt;AL$3,AL$3&gt;=$C$1),'General Inputs'!J$9*$G4,IF(AND(($C4+$C$1)&gt;AL$3,AL$3&gt;=$C$1),'General Inputs'!J$9*$F4,0))</f>
        <v>1.3971667872315736</v>
      </c>
      <c r="AM4" s="214">
        <f>IF(AND(($D4+$C$1)&gt;AM$3,AM$3&gt;=$C$1),'General Inputs'!K$9*$G4,IF(AND(($C4+$C$1)&gt;AM$3,AM$3&gt;=$C$1),'General Inputs'!K$9*$F4,0))</f>
        <v>0</v>
      </c>
      <c r="AN4" s="214">
        <f>IF(AND(($D4+$C$1)&gt;AN$3,AN$3&gt;=$C$1),'General Inputs'!L$9*$G4,IF(AND(($C4+$C$1)&gt;AN$3,AN$3&gt;=$C$1),'General Inputs'!L$9*$F4,0))</f>
        <v>0</v>
      </c>
      <c r="AO4" s="214">
        <f>IF(AND(($D4+$C$1)&gt;AO$3,AO$3&gt;=$C$1),'General Inputs'!M$9*$G4,IF(AND(($C4+$C$1)&gt;AO$3,AO$3&gt;=$C$1),'General Inputs'!M$9*$F4,0))</f>
        <v>0</v>
      </c>
      <c r="AP4" s="214">
        <f>IF(AND(($D4+$C$1)&gt;AP$3,AP$3&gt;=$C$1),'General Inputs'!N$9*$G4,IF(AND(($C4+$C$1)&gt;AP$3,AP$3&gt;=$C$1),'General Inputs'!N$9*$F4,0))</f>
        <v>0</v>
      </c>
      <c r="AQ4" s="214">
        <f>IF(AND(($D4+$C$1)&gt;AQ$3,AQ$3&gt;=$C$1),'General Inputs'!O$9*$G4,IF(AND(($C4+$C$1)&gt;AQ$3,AQ$3&gt;=$C$1),'General Inputs'!O$9*$F4,0))</f>
        <v>0</v>
      </c>
      <c r="AR4" s="214">
        <f>IF(AND(($D4+$C$1)&gt;AR$3,AR$3&gt;=$C$1),'General Inputs'!P$9*$G4,IF(AND(($C4+$C$1)&gt;AR$3,AR$3&gt;=$C$1),'General Inputs'!P$9*$F4,0))</f>
        <v>0</v>
      </c>
      <c r="AS4" s="214">
        <f>IF(AND(($D4+$C$1)&gt;AS$3,AS$3&gt;=$C$1),'General Inputs'!Q$9*$G4,IF(AND(($C4+$C$1)&gt;AS$3,AS$3&gt;=$C$1),'General Inputs'!Q$9*$F4,0))</f>
        <v>0</v>
      </c>
      <c r="AT4" s="214">
        <f>IF(AND(($D4+$C$1)&gt;AT$3,AT$3&gt;=$C$1),'General Inputs'!R$9*$G4,IF(AND(($C4+$C$1)&gt;AT$3,AT$3&gt;=$C$1),'General Inputs'!R$9*$F4,0))</f>
        <v>0</v>
      </c>
      <c r="AU4" s="214">
        <f>IF(AND(($D4+$C$1)&gt;AU$3,AU$3&gt;=$C$1),'General Inputs'!S$9*$G4,IF(AND(($C4+$C$1)&gt;AU$3,AU$3&gt;=$C$1),'General Inputs'!S$9*$F4,0))</f>
        <v>0</v>
      </c>
      <c r="AV4" s="214">
        <f>IF(AND(($D4+$C$1)&gt;AV$3,AV$3&gt;=$C$1),'General Inputs'!T$9*$G4,IF(AND(($C4+$C$1)&gt;AV$3,AV$3&gt;=$C$1),'General Inputs'!T$9*$F4,0))</f>
        <v>0</v>
      </c>
      <c r="AW4" s="214">
        <f>IF(AND(($D4+$C$1)&gt;AW$3,AW$3&gt;=$C$1),'General Inputs'!U$9*$G4,IF(AND(($C4+$C$1)&gt;AW$3,AW$3&gt;=$C$1),'General Inputs'!U$9*$F4,0))</f>
        <v>0</v>
      </c>
      <c r="AX4" s="214">
        <f>IF(AND(($D4+$C$1)&gt;AX$3,AX$3&gt;=$C$1),'General Inputs'!V$9*$G4,IF(AND(($C4+$C$1)&gt;AX$3,AX$3&gt;=$C$1),'General Inputs'!V$9*$F4,0))</f>
        <v>0</v>
      </c>
      <c r="AY4" s="214">
        <f>IF(AND(($D4+$C$1)&gt;AY$3,AY$3&gt;=$C$1),'General Inputs'!W$9*$G4,IF(AND(($C4+$C$1)&gt;AY$3,AY$3&gt;=$C$1),'General Inputs'!W$9*$F4,0))</f>
        <v>0</v>
      </c>
      <c r="BA4" s="214">
        <f>IF(AND(($D4+$C$1)&gt;AF$3,AF$3&gt;=$C$1),'General Inputs'!D$10*$I4,IF(AND(($C4+$C$1)&gt;AF$3,AF$3&gt;=$C$1),'General Inputs'!D$10*$H4,0))</f>
        <v>0</v>
      </c>
      <c r="BB4" s="214">
        <f>IF(AND(($D4+$C$1)&gt;AG$3,AG$3&gt;=$C$1),'General Inputs'!E$10*$I4,IF(AND(($C4+$C$1)&gt;AG$3,AG$3&gt;=$C$1),'General Inputs'!E$10*$H4,0))</f>
        <v>0</v>
      </c>
      <c r="BC4" s="214">
        <f>IF(AND(($D4+$C$1)&gt;AH$3,AH$3&gt;=$C$1),'General Inputs'!F$10*$I4,IF(AND(($C4+$C$1)&gt;AH$3,AH$3&gt;=$C$1),'General Inputs'!F$10*$H4,0))</f>
        <v>4.4981382738556397E-2</v>
      </c>
      <c r="BD4" s="214">
        <f>IF(AND(($D4+$C$1)&gt;AI$3,AI$3&gt;=$C$1),'General Inputs'!G$10*$I4,IF(AND(($C4+$C$1)&gt;AI$3,AI$3&gt;=$C$1),'General Inputs'!G$10*$H4,0))</f>
        <v>4.5656103479634738E-2</v>
      </c>
      <c r="BE4" s="214">
        <f>IF(AND(($D4+$C$1)&gt;AJ$3,AJ$3&gt;=$C$1),'General Inputs'!H$10*$I4,IF(AND(($C4+$C$1)&gt;AJ$3,AJ$3&gt;=$C$1),'General Inputs'!H$10*$H4,0))</f>
        <v>4.6340945031829256E-2</v>
      </c>
      <c r="BF4" s="214">
        <f>IF(AND(($D4+$C$1)&gt;AK$3,AK$3&gt;=$C$1),'General Inputs'!I$10*$I4,IF(AND(($C4+$C$1)&gt;AK$3,AK$3&gt;=$C$1),'General Inputs'!I$10*$H4,0))</f>
        <v>4.7036059207306684E-2</v>
      </c>
      <c r="BG4" s="214">
        <f>IF(AND(($D4+$C$1)&gt;AL$3,AL$3&gt;=$C$1),'General Inputs'!J$10*$I4,IF(AND(($C4+$C$1)&gt;AL$3,AL$3&gt;=$C$1),'General Inputs'!J$10*$H4,0))</f>
        <v>4.7741600095416281E-2</v>
      </c>
      <c r="BH4" s="214">
        <f>IF(AND(($D4+$C$1)&gt;AM$3,AM$3&gt;=$C$1),'General Inputs'!K$10*$I4,IF(AND(($C4+$C$1)&gt;AM$3,AM$3&gt;=$C$1),'General Inputs'!K$10*$H4,0))</f>
        <v>0</v>
      </c>
      <c r="BI4" s="214">
        <f>IF(AND(($D4+$C$1)&gt;AN$3,AN$3&gt;=$C$1),'General Inputs'!L$10*$I4,IF(AND(($C4+$C$1)&gt;AN$3,AN$3&gt;=$C$1),'General Inputs'!L$10*$H4,0))</f>
        <v>0</v>
      </c>
      <c r="BJ4" s="214">
        <f>IF(AND(($D4+$C$1)&gt;AO$3,AO$3&gt;=$C$1),'General Inputs'!M$10*$I4,IF(AND(($C4+$C$1)&gt;AO$3,AO$3&gt;=$C$1),'General Inputs'!M$10*$H4,0))</f>
        <v>0</v>
      </c>
      <c r="BK4" s="214">
        <f>IF(AND(($D4+$C$1)&gt;AP$3,AP$3&gt;=$C$1),'General Inputs'!N$10*$I4,IF(AND(($C4+$C$1)&gt;AP$3,AP$3&gt;=$C$1),'General Inputs'!N$10*$H4,0))</f>
        <v>0</v>
      </c>
      <c r="BL4" s="214">
        <f>IF(AND(($D4+$C$1)&gt;AQ$3,AQ$3&gt;=$C$1),'General Inputs'!O$10*$I4,IF(AND(($C4+$C$1)&gt;AQ$3,AQ$3&gt;=$C$1),'General Inputs'!O$10*$H4,0))</f>
        <v>0</v>
      </c>
      <c r="BM4" s="214">
        <f>IF(AND(($D4+$C$1)&gt;AR$3,AR$3&gt;=$C$1),'General Inputs'!P$10*$I4,IF(AND(($C4+$C$1)&gt;AR$3,AR$3&gt;=$C$1),'General Inputs'!P$10*$H4,0))</f>
        <v>0</v>
      </c>
      <c r="BN4" s="214">
        <f>IF(AND(($D4+$C$1)&gt;AS$3,AS$3&gt;=$C$1),'General Inputs'!Q$10*$I4,IF(AND(($C4+$C$1)&gt;AS$3,AS$3&gt;=$C$1),'General Inputs'!Q$10*$H4,0))</f>
        <v>0</v>
      </c>
      <c r="BO4" s="214">
        <f>IF(AND(($D4+$C$1)&gt;AT$3,AT$3&gt;=$C$1),'General Inputs'!R$10*$I4,IF(AND(($C4+$C$1)&gt;AT$3,AT$3&gt;=$C$1),'General Inputs'!R$10*$H4,0))</f>
        <v>0</v>
      </c>
      <c r="BP4" s="214">
        <f>IF(AND(($D4+$C$1)&gt;AU$3,AU$3&gt;=$C$1),'General Inputs'!S$10*$I4,IF(AND(($C4+$C$1)&gt;AU$3,AU$3&gt;=$C$1),'General Inputs'!S$10*$H4,0))</f>
        <v>0</v>
      </c>
      <c r="BQ4" s="214">
        <f>IF(AND(($D4+$C$1)&gt;AV$3,AV$3&gt;=$C$1),'General Inputs'!T$10*$I4,IF(AND(($C4+$C$1)&gt;AV$3,AV$3&gt;=$C$1),'General Inputs'!T$10*$H4,0))</f>
        <v>0</v>
      </c>
      <c r="BR4" s="214">
        <f>IF(AND(($D4+$C$1)&gt;AW$3,AW$3&gt;=$C$1),'General Inputs'!U$10*$I4,IF(AND(($C4+$C$1)&gt;AW$3,AW$3&gt;=$C$1),'General Inputs'!U$10*$H4,0))</f>
        <v>0</v>
      </c>
      <c r="BS4" s="214">
        <f>IF(AND(($D4+$C$1)&gt;AX$3,AX$3&gt;=$C$1),'General Inputs'!V$10*$I4,IF(AND(($C4+$C$1)&gt;AX$3,AX$3&gt;=$C$1),'General Inputs'!V$10*$H4,0))</f>
        <v>0</v>
      </c>
      <c r="BT4" s="214">
        <f>IF(AND(($D4+$C$1)&gt;AY$3,AY$3&gt;=$C$1),'General Inputs'!W$10*$I4,IF(AND(($C4+$C$1)&gt;AY$3,AY$3&gt;=$C$1),'General Inputs'!W$10*$H4,0))</f>
        <v>0</v>
      </c>
    </row>
    <row r="5" spans="1:73">
      <c r="A5" s="342" t="s">
        <v>12</v>
      </c>
      <c r="B5" s="427" t="str">
        <f>Sources!B5</f>
        <v>LED</v>
      </c>
      <c r="C5" s="193">
        <f>Sources!C5</f>
        <v>10</v>
      </c>
      <c r="D5" s="193">
        <f>Sources!D5</f>
        <v>0</v>
      </c>
      <c r="F5" s="429">
        <f>Sources!F5*EnergyLineLoss</f>
        <v>41.561649179999996</v>
      </c>
      <c r="G5" s="429">
        <f>Sources!G5*EnergyLineLoss</f>
        <v>0</v>
      </c>
      <c r="H5" s="477">
        <f>Sources!H5*PeakLineLoss</f>
        <v>3.7758903299999996E-3</v>
      </c>
      <c r="I5" s="477">
        <f>Sources!I5*PeakLineLoss</f>
        <v>0</v>
      </c>
      <c r="K5" s="419">
        <f>Sources!J5</f>
        <v>20</v>
      </c>
      <c r="L5" s="419">
        <f>Sources!K5</f>
        <v>0</v>
      </c>
      <c r="N5" s="438">
        <f t="shared" ref="N5:N48" si="4">IF(R5&gt;0,(P5+Q5)/R5,"n/a")</f>
        <v>0.65682580295679793</v>
      </c>
      <c r="P5" s="215">
        <f t="shared" si="0"/>
        <v>10.722870870677292</v>
      </c>
      <c r="Q5" s="215">
        <f t="shared" si="1"/>
        <v>0.36640365177662504</v>
      </c>
      <c r="R5" s="215">
        <f t="shared" si="2"/>
        <v>16.883128635528504</v>
      </c>
      <c r="T5" s="214">
        <f t="shared" si="3"/>
        <v>0</v>
      </c>
      <c r="U5" s="214">
        <f t="shared" si="3"/>
        <v>0</v>
      </c>
      <c r="V5" s="214">
        <f t="shared" si="3"/>
        <v>20</v>
      </c>
      <c r="W5" s="214">
        <f t="shared" si="3"/>
        <v>0</v>
      </c>
      <c r="X5" s="214">
        <f t="shared" si="3"/>
        <v>0</v>
      </c>
      <c r="Y5" s="214">
        <f t="shared" si="3"/>
        <v>0</v>
      </c>
      <c r="Z5" s="214">
        <f t="shared" si="3"/>
        <v>0</v>
      </c>
      <c r="AA5" s="214">
        <f t="shared" si="3"/>
        <v>0</v>
      </c>
      <c r="AB5" s="214">
        <f t="shared" si="3"/>
        <v>0</v>
      </c>
      <c r="AC5" s="214">
        <f t="shared" si="3"/>
        <v>0</v>
      </c>
      <c r="AD5" s="214">
        <f t="shared" si="3"/>
        <v>0</v>
      </c>
      <c r="AF5" s="214">
        <f>IF(AND(($D5+$C$1)&gt;AF$3,AF$3&gt;=$C$1),'General Inputs'!D$9*$G5,IF(AND(($C5+$C$1)&gt;AF$3,AF$3&gt;=$C$1),'General Inputs'!D$9*$F5,0))</f>
        <v>0</v>
      </c>
      <c r="AG5" s="214">
        <f>IF(AND(($D5+$C$1)&gt;AG$3,AG$3&gt;=$C$1),'General Inputs'!E$9*$G5,IF(AND(($C5+$C$1)&gt;AG$3,AG$3&gt;=$C$1),'General Inputs'!E$9*$F5,0))</f>
        <v>0</v>
      </c>
      <c r="AH5" s="214">
        <f>IF(AND(($D5+$C$1)&gt;AH$3,AH$3&gt;=$C$1),'General Inputs'!F$9*$G5,IF(AND(($C5+$C$1)&gt;AH$3,AH$3&gt;=$C$1),'General Inputs'!F$9*$F5,0))</f>
        <v>1.7046757735380722</v>
      </c>
      <c r="AI5" s="214">
        <f>IF(AND(($D5+$C$1)&gt;AI$3,AI$3&gt;=$C$1),'General Inputs'!G$9*$G5,IF(AND(($C5+$C$1)&gt;AI$3,AI$3&gt;=$C$1),'General Inputs'!G$9*$F5,0))</f>
        <v>1.7302459101411432</v>
      </c>
      <c r="AJ5" s="214">
        <f>IF(AND(($D5+$C$1)&gt;AJ$3,AJ$3&gt;=$C$1),'General Inputs'!H$9*$G5,IF(AND(($C5+$C$1)&gt;AJ$3,AJ$3&gt;=$C$1),'General Inputs'!H$9*$F5,0))</f>
        <v>1.7561995987932602</v>
      </c>
      <c r="AK5" s="214">
        <f>IF(AND(($D5+$C$1)&gt;AK$3,AK$3&gt;=$C$1),'General Inputs'!I$9*$G5,IF(AND(($C5+$C$1)&gt;AK$3,AK$3&gt;=$C$1),'General Inputs'!I$9*$F5,0))</f>
        <v>1.7825425927751588</v>
      </c>
      <c r="AL5" s="214">
        <f>IF(AND(($D5+$C$1)&gt;AL$3,AL$3&gt;=$C$1),'General Inputs'!J$9*$G5,IF(AND(($C5+$C$1)&gt;AL$3,AL$3&gt;=$C$1),'General Inputs'!J$9*$F5,0))</f>
        <v>1.8092807316667858</v>
      </c>
      <c r="AM5" s="214">
        <f>IF(AND(($D5+$C$1)&gt;AM$3,AM$3&gt;=$C$1),'General Inputs'!K$9*$G5,IF(AND(($C5+$C$1)&gt;AM$3,AM$3&gt;=$C$1),'General Inputs'!K$9*$F5,0))</f>
        <v>1.8364199426417873</v>
      </c>
      <c r="AN5" s="214">
        <f>IF(AND(($D5+$C$1)&gt;AN$3,AN$3&gt;=$C$1),'General Inputs'!L$9*$G5,IF(AND(($C5+$C$1)&gt;AN$3,AN$3&gt;=$C$1),'General Inputs'!L$9*$F5,0))</f>
        <v>1.863966241781414</v>
      </c>
      <c r="AO5" s="214">
        <f>IF(AND(($D5+$C$1)&gt;AO$3,AO$3&gt;=$C$1),'General Inputs'!M$9*$G5,IF(AND(($C5+$C$1)&gt;AO$3,AO$3&gt;=$C$1),'General Inputs'!M$9*$F5,0))</f>
        <v>1.8919257354081349</v>
      </c>
      <c r="AP5" s="214">
        <f>IF(AND(($D5+$C$1)&gt;AP$3,AP$3&gt;=$C$1),'General Inputs'!N$9*$G5,IF(AND(($C5+$C$1)&gt;AP$3,AP$3&gt;=$C$1),'General Inputs'!N$9*$F5,0))</f>
        <v>1.920304621439257</v>
      </c>
      <c r="AQ5" s="214">
        <f>IF(AND(($D5+$C$1)&gt;AQ$3,AQ$3&gt;=$C$1),'General Inputs'!O$9*$G5,IF(AND(($C5+$C$1)&gt;AQ$3,AQ$3&gt;=$C$1),'General Inputs'!O$9*$F5,0))</f>
        <v>1.9491091907608455</v>
      </c>
      <c r="AR5" s="214">
        <f>IF(AND(($D5+$C$1)&gt;AR$3,AR$3&gt;=$C$1),'General Inputs'!P$9*$G5,IF(AND(($C5+$C$1)&gt;AR$3,AR$3&gt;=$C$1),'General Inputs'!P$9*$F5,0))</f>
        <v>0</v>
      </c>
      <c r="AS5" s="214">
        <f>IF(AND(($D5+$C$1)&gt;AS$3,AS$3&gt;=$C$1),'General Inputs'!Q$9*$G5,IF(AND(($C5+$C$1)&gt;AS$3,AS$3&gt;=$C$1),'General Inputs'!Q$9*$F5,0))</f>
        <v>0</v>
      </c>
      <c r="AT5" s="214">
        <f>IF(AND(($D5+$C$1)&gt;AT$3,AT$3&gt;=$C$1),'General Inputs'!R$9*$G5,IF(AND(($C5+$C$1)&gt;AT$3,AT$3&gt;=$C$1),'General Inputs'!R$9*$F5,0))</f>
        <v>0</v>
      </c>
      <c r="AU5" s="214">
        <f>IF(AND(($D5+$C$1)&gt;AU$3,AU$3&gt;=$C$1),'General Inputs'!S$9*$G5,IF(AND(($C5+$C$1)&gt;AU$3,AU$3&gt;=$C$1),'General Inputs'!S$9*$F5,0))</f>
        <v>0</v>
      </c>
      <c r="AV5" s="214">
        <f>IF(AND(($D5+$C$1)&gt;AV$3,AV$3&gt;=$C$1),'General Inputs'!T$9*$G5,IF(AND(($C5+$C$1)&gt;AV$3,AV$3&gt;=$C$1),'General Inputs'!T$9*$F5,0))</f>
        <v>0</v>
      </c>
      <c r="AW5" s="214">
        <f>IF(AND(($D5+$C$1)&gt;AW$3,AW$3&gt;=$C$1),'General Inputs'!U$9*$G5,IF(AND(($C5+$C$1)&gt;AW$3,AW$3&gt;=$C$1),'General Inputs'!U$9*$F5,0))</f>
        <v>0</v>
      </c>
      <c r="AX5" s="214">
        <f>IF(AND(($D5+$C$1)&gt;AX$3,AX$3&gt;=$C$1),'General Inputs'!V$9*$G5,IF(AND(($C5+$C$1)&gt;AX$3,AX$3&gt;=$C$1),'General Inputs'!V$9*$F5,0))</f>
        <v>0</v>
      </c>
      <c r="AY5" s="214">
        <f>IF(AND(($D5+$C$1)&gt;AY$3,AY$3&gt;=$C$1),'General Inputs'!W$9*$G5,IF(AND(($C5+$C$1)&gt;AY$3,AY$3&gt;=$C$1),'General Inputs'!W$9*$F5,0))</f>
        <v>0</v>
      </c>
      <c r="BA5" s="214">
        <f>IF(AND(($D5+$C$1)&gt;AF$3,AF$3&gt;=$C$1),'General Inputs'!D$10*$I5,IF(AND(($C5+$C$1)&gt;AF$3,AF$3&gt;=$C$1),'General Inputs'!D$10*$H5,0))</f>
        <v>0</v>
      </c>
      <c r="BB5" s="214">
        <f>IF(AND(($D5+$C$1)&gt;AG$3,AG$3&gt;=$C$1),'General Inputs'!E$10*$I5,IF(AND(($C5+$C$1)&gt;AG$3,AG$3&gt;=$C$1),'General Inputs'!E$10*$H5,0))</f>
        <v>0</v>
      </c>
      <c r="BC5" s="214">
        <f>IF(AND(($D5+$C$1)&gt;AH$3,AH$3&gt;=$C$1),'General Inputs'!F$10*$I5,IF(AND(($C5+$C$1)&gt;AH$3,AH$3&gt;=$C$1),'General Inputs'!F$10*$H5,0))</f>
        <v>5.8249272611080226E-2</v>
      </c>
      <c r="BD5" s="214">
        <f>IF(AND(($D5+$C$1)&gt;AI$3,AI$3&gt;=$C$1),'General Inputs'!G$10*$I5,IF(AND(($C5+$C$1)&gt;AI$3,AI$3&gt;=$C$1),'General Inputs'!G$10*$H5,0))</f>
        <v>5.9123011700246426E-2</v>
      </c>
      <c r="BE5" s="214">
        <f>IF(AND(($D5+$C$1)&gt;AJ$3,AJ$3&gt;=$C$1),'General Inputs'!H$10*$I5,IF(AND(($C5+$C$1)&gt;AJ$3,AJ$3&gt;=$C$1),'General Inputs'!H$10*$H5,0))</f>
        <v>6.0009856875750112E-2</v>
      </c>
      <c r="BF5" s="214">
        <f>IF(AND(($D5+$C$1)&gt;AK$3,AK$3&gt;=$C$1),'General Inputs'!I$10*$I5,IF(AND(($C5+$C$1)&gt;AK$3,AK$3&gt;=$C$1),'General Inputs'!I$10*$H5,0))</f>
        <v>6.0910004728886358E-2</v>
      </c>
      <c r="BG5" s="214">
        <f>IF(AND(($D5+$C$1)&gt;AL$3,AL$3&gt;=$C$1),'General Inputs'!J$10*$I5,IF(AND(($C5+$C$1)&gt;AL$3,AL$3&gt;=$C$1),'General Inputs'!J$10*$H5,0))</f>
        <v>6.182365479981964E-2</v>
      </c>
      <c r="BH5" s="214">
        <f>IF(AND(($D5+$C$1)&gt;AM$3,AM$3&gt;=$C$1),'General Inputs'!K$10*$I5,IF(AND(($C5+$C$1)&gt;AM$3,AM$3&gt;=$C$1),'General Inputs'!K$10*$H5,0))</f>
        <v>6.2751009621816928E-2</v>
      </c>
      <c r="BI5" s="214">
        <f>IF(AND(($D5+$C$1)&gt;AN$3,AN$3&gt;=$C$1),'General Inputs'!L$10*$I5,IF(AND(($C5+$C$1)&gt;AN$3,AN$3&gt;=$C$1),'General Inputs'!L$10*$H5,0))</f>
        <v>6.3692274766144183E-2</v>
      </c>
      <c r="BJ5" s="214">
        <f>IF(AND(($D5+$C$1)&gt;AO$3,AO$3&gt;=$C$1),'General Inputs'!M$10*$I5,IF(AND(($C5+$C$1)&gt;AO$3,AO$3&gt;=$C$1),'General Inputs'!M$10*$H5,0))</f>
        <v>6.464765888763635E-2</v>
      </c>
      <c r="BK5" s="214">
        <f>IF(AND(($D5+$C$1)&gt;AP$3,AP$3&gt;=$C$1),'General Inputs'!N$10*$I5,IF(AND(($C5+$C$1)&gt;AP$3,AP$3&gt;=$C$1),'General Inputs'!N$10*$H5,0))</f>
        <v>6.5617373770950879E-2</v>
      </c>
      <c r="BL5" s="214">
        <f>IF(AND(($D5+$C$1)&gt;AQ$3,AQ$3&gt;=$C$1),'General Inputs'!O$10*$I5,IF(AND(($C5+$C$1)&gt;AQ$3,AQ$3&gt;=$C$1),'General Inputs'!O$10*$H5,0))</f>
        <v>6.6601634377515137E-2</v>
      </c>
      <c r="BM5" s="214">
        <f>IF(AND(($D5+$C$1)&gt;AR$3,AR$3&gt;=$C$1),'General Inputs'!P$10*$I5,IF(AND(($C5+$C$1)&gt;AR$3,AR$3&gt;=$C$1),'General Inputs'!P$10*$H5,0))</f>
        <v>0</v>
      </c>
      <c r="BN5" s="214">
        <f>IF(AND(($D5+$C$1)&gt;AS$3,AS$3&gt;=$C$1),'General Inputs'!Q$10*$I5,IF(AND(($C5+$C$1)&gt;AS$3,AS$3&gt;=$C$1),'General Inputs'!Q$10*$H5,0))</f>
        <v>0</v>
      </c>
      <c r="BO5" s="214">
        <f>IF(AND(($D5+$C$1)&gt;AT$3,AT$3&gt;=$C$1),'General Inputs'!R$10*$I5,IF(AND(($C5+$C$1)&gt;AT$3,AT$3&gt;=$C$1),'General Inputs'!R$10*$H5,0))</f>
        <v>0</v>
      </c>
      <c r="BP5" s="214">
        <f>IF(AND(($D5+$C$1)&gt;AU$3,AU$3&gt;=$C$1),'General Inputs'!S$10*$I5,IF(AND(($C5+$C$1)&gt;AU$3,AU$3&gt;=$C$1),'General Inputs'!S$10*$H5,0))</f>
        <v>0</v>
      </c>
      <c r="BQ5" s="214">
        <f>IF(AND(($D5+$C$1)&gt;AV$3,AV$3&gt;=$C$1),'General Inputs'!T$10*$I5,IF(AND(($C5+$C$1)&gt;AV$3,AV$3&gt;=$C$1),'General Inputs'!T$10*$H5,0))</f>
        <v>0</v>
      </c>
      <c r="BR5" s="214">
        <f>IF(AND(($D5+$C$1)&gt;AW$3,AW$3&gt;=$C$1),'General Inputs'!U$10*$I5,IF(AND(($C5+$C$1)&gt;AW$3,AW$3&gt;=$C$1),'General Inputs'!U$10*$H5,0))</f>
        <v>0</v>
      </c>
      <c r="BS5" s="214">
        <f>IF(AND(($D5+$C$1)&gt;AX$3,AX$3&gt;=$C$1),'General Inputs'!V$10*$I5,IF(AND(($C5+$C$1)&gt;AX$3,AX$3&gt;=$C$1),'General Inputs'!V$10*$H5,0))</f>
        <v>0</v>
      </c>
      <c r="BT5" s="214">
        <f>IF(AND(($D5+$C$1)&gt;AY$3,AY$3&gt;=$C$1),'General Inputs'!W$10*$I5,IF(AND(($C5+$C$1)&gt;AY$3,AY$3&gt;=$C$1),'General Inputs'!W$10*$H5,0))</f>
        <v>0</v>
      </c>
    </row>
    <row r="6" spans="1:73">
      <c r="A6" s="342" t="s">
        <v>12</v>
      </c>
      <c r="B6" s="427" t="str">
        <f>Sources!B6</f>
        <v>ENERGY STAR Fixture</v>
      </c>
      <c r="C6" s="193">
        <f>Sources!C6</f>
        <v>8</v>
      </c>
      <c r="D6" s="193">
        <f>Sources!D6</f>
        <v>0</v>
      </c>
      <c r="F6" s="429">
        <f>Sources!F6*EnergyLineLoss</f>
        <v>90.28411874999999</v>
      </c>
      <c r="G6" s="429">
        <f>Sources!G6*EnergyLineLoss</f>
        <v>0</v>
      </c>
      <c r="H6" s="477">
        <f>Sources!H6*PeakLineLoss</f>
        <v>1.9788299999999999E-4</v>
      </c>
      <c r="I6" s="477">
        <f>Sources!I6*PeakLineLoss</f>
        <v>0</v>
      </c>
      <c r="K6" s="419">
        <f>Sources!J6</f>
        <v>17</v>
      </c>
      <c r="L6" s="419">
        <f>Sources!K6</f>
        <v>0</v>
      </c>
      <c r="N6" s="438">
        <f t="shared" si="4"/>
        <v>1.3834817494264682</v>
      </c>
      <c r="P6" s="215">
        <f t="shared" si="0"/>
        <v>19.837521942089388</v>
      </c>
      <c r="Q6" s="215">
        <f t="shared" si="1"/>
        <v>1.6353347312725332E-2</v>
      </c>
      <c r="R6" s="215">
        <f t="shared" si="2"/>
        <v>14.350659340199229</v>
      </c>
      <c r="T6" s="214">
        <f t="shared" si="3"/>
        <v>0</v>
      </c>
      <c r="U6" s="214">
        <f t="shared" si="3"/>
        <v>0</v>
      </c>
      <c r="V6" s="214">
        <f t="shared" si="3"/>
        <v>17</v>
      </c>
      <c r="W6" s="214">
        <f t="shared" si="3"/>
        <v>0</v>
      </c>
      <c r="X6" s="214">
        <f t="shared" si="3"/>
        <v>0</v>
      </c>
      <c r="Y6" s="214">
        <f t="shared" si="3"/>
        <v>0</v>
      </c>
      <c r="Z6" s="214">
        <f t="shared" si="3"/>
        <v>0</v>
      </c>
      <c r="AA6" s="214">
        <f t="shared" si="3"/>
        <v>0</v>
      </c>
      <c r="AB6" s="214">
        <f t="shared" si="3"/>
        <v>0</v>
      </c>
      <c r="AC6" s="214">
        <f t="shared" si="3"/>
        <v>0</v>
      </c>
      <c r="AD6" s="214">
        <f t="shared" si="3"/>
        <v>0</v>
      </c>
      <c r="AF6" s="214">
        <f>IF(AND(($D6+$C$1)&gt;AF$3,AF$3&gt;=$C$1),'General Inputs'!D$9*$G6,IF(AND(($C6+$C$1)&gt;AF$3,AF$3&gt;=$C$1),'General Inputs'!D$9*$F6,0))</f>
        <v>0</v>
      </c>
      <c r="AG6" s="214">
        <f>IF(AND(($D6+$C$1)&gt;AG$3,AG$3&gt;=$C$1),'General Inputs'!E$9*$G6,IF(AND(($C6+$C$1)&gt;AG$3,AG$3&gt;=$C$1),'General Inputs'!E$9*$F6,0))</f>
        <v>0</v>
      </c>
      <c r="AH6" s="214">
        <f>IF(AND(($D6+$C$1)&gt;AH$3,AH$3&gt;=$C$1),'General Inputs'!F$9*$G6,IF(AND(($C6+$C$1)&gt;AH$3,AH$3&gt;=$C$1),'General Inputs'!F$9*$F6,0))</f>
        <v>3.7030568566182054</v>
      </c>
      <c r="AI6" s="214">
        <f>IF(AND(($D6+$C$1)&gt;AI$3,AI$3&gt;=$C$1),'General Inputs'!G$9*$G6,IF(AND(($C6+$C$1)&gt;AI$3,AI$3&gt;=$C$1),'General Inputs'!G$9*$F6,0))</f>
        <v>3.7586027094674783</v>
      </c>
      <c r="AJ6" s="214">
        <f>IF(AND(($D6+$C$1)&gt;AJ$3,AJ$3&gt;=$C$1),'General Inputs'!H$9*$G6,IF(AND(($C6+$C$1)&gt;AJ$3,AJ$3&gt;=$C$1),'General Inputs'!H$9*$F6,0))</f>
        <v>3.81498175010949</v>
      </c>
      <c r="AK6" s="214">
        <f>IF(AND(($D6+$C$1)&gt;AK$3,AK$3&gt;=$C$1),'General Inputs'!I$9*$G6,IF(AND(($C6+$C$1)&gt;AK$3,AK$3&gt;=$C$1),'General Inputs'!I$9*$F6,0))</f>
        <v>3.8722064763611317</v>
      </c>
      <c r="AL6" s="214">
        <f>IF(AND(($D6+$C$1)&gt;AL$3,AL$3&gt;=$C$1),'General Inputs'!J$9*$G6,IF(AND(($C6+$C$1)&gt;AL$3,AL$3&gt;=$C$1),'General Inputs'!J$9*$F6,0))</f>
        <v>3.9302895735065482</v>
      </c>
      <c r="AM6" s="214">
        <f>IF(AND(($D6+$C$1)&gt;AM$3,AM$3&gt;=$C$1),'General Inputs'!K$9*$G6,IF(AND(($C6+$C$1)&gt;AM$3,AM$3&gt;=$C$1),'General Inputs'!K$9*$F6,0))</f>
        <v>3.9892439171091456</v>
      </c>
      <c r="AN6" s="214">
        <f>IF(AND(($D6+$C$1)&gt;AN$3,AN$3&gt;=$C$1),'General Inputs'!L$9*$G6,IF(AND(($C6+$C$1)&gt;AN$3,AN$3&gt;=$C$1),'General Inputs'!L$9*$F6,0))</f>
        <v>4.0490825758657829</v>
      </c>
      <c r="AO6" s="214">
        <f>IF(AND(($D6+$C$1)&gt;AO$3,AO$3&gt;=$C$1),'General Inputs'!M$9*$G6,IF(AND(($C6+$C$1)&gt;AO$3,AO$3&gt;=$C$1),'General Inputs'!M$9*$F6,0))</f>
        <v>4.1098188145037691</v>
      </c>
      <c r="AP6" s="214">
        <f>IF(AND(($D6+$C$1)&gt;AP$3,AP$3&gt;=$C$1),'General Inputs'!N$9*$G6,IF(AND(($C6+$C$1)&gt;AP$3,AP$3&gt;=$C$1),'General Inputs'!N$9*$F6,0))</f>
        <v>0</v>
      </c>
      <c r="AQ6" s="214">
        <f>IF(AND(($D6+$C$1)&gt;AQ$3,AQ$3&gt;=$C$1),'General Inputs'!O$9*$G6,IF(AND(($C6+$C$1)&gt;AQ$3,AQ$3&gt;=$C$1),'General Inputs'!O$9*$F6,0))</f>
        <v>0</v>
      </c>
      <c r="AR6" s="214">
        <f>IF(AND(($D6+$C$1)&gt;AR$3,AR$3&gt;=$C$1),'General Inputs'!P$9*$G6,IF(AND(($C6+$C$1)&gt;AR$3,AR$3&gt;=$C$1),'General Inputs'!P$9*$F6,0))</f>
        <v>0</v>
      </c>
      <c r="AS6" s="214">
        <f>IF(AND(($D6+$C$1)&gt;AS$3,AS$3&gt;=$C$1),'General Inputs'!Q$9*$G6,IF(AND(($C6+$C$1)&gt;AS$3,AS$3&gt;=$C$1),'General Inputs'!Q$9*$F6,0))</f>
        <v>0</v>
      </c>
      <c r="AT6" s="214">
        <f>IF(AND(($D6+$C$1)&gt;AT$3,AT$3&gt;=$C$1),'General Inputs'!R$9*$G6,IF(AND(($C6+$C$1)&gt;AT$3,AT$3&gt;=$C$1),'General Inputs'!R$9*$F6,0))</f>
        <v>0</v>
      </c>
      <c r="AU6" s="214">
        <f>IF(AND(($D6+$C$1)&gt;AU$3,AU$3&gt;=$C$1),'General Inputs'!S$9*$G6,IF(AND(($C6+$C$1)&gt;AU$3,AU$3&gt;=$C$1),'General Inputs'!S$9*$F6,0))</f>
        <v>0</v>
      </c>
      <c r="AV6" s="214">
        <f>IF(AND(($D6+$C$1)&gt;AV$3,AV$3&gt;=$C$1),'General Inputs'!T$9*$G6,IF(AND(($C6+$C$1)&gt;AV$3,AV$3&gt;=$C$1),'General Inputs'!T$9*$F6,0))</f>
        <v>0</v>
      </c>
      <c r="AW6" s="214">
        <f>IF(AND(($D6+$C$1)&gt;AW$3,AW$3&gt;=$C$1),'General Inputs'!U$9*$G6,IF(AND(($C6+$C$1)&gt;AW$3,AW$3&gt;=$C$1),'General Inputs'!U$9*$F6,0))</f>
        <v>0</v>
      </c>
      <c r="AX6" s="214">
        <f>IF(AND(($D6+$C$1)&gt;AX$3,AX$3&gt;=$C$1),'General Inputs'!V$9*$G6,IF(AND(($C6+$C$1)&gt;AX$3,AX$3&gt;=$C$1),'General Inputs'!V$9*$F6,0))</f>
        <v>0</v>
      </c>
      <c r="AY6" s="214">
        <f>IF(AND(($D6+$C$1)&gt;AY$3,AY$3&gt;=$C$1),'General Inputs'!W$9*$G6,IF(AND(($C6+$C$1)&gt;AY$3,AY$3&gt;=$C$1),'General Inputs'!W$9*$F6,0))</f>
        <v>0</v>
      </c>
      <c r="BA6" s="214">
        <f>IF(AND(($D6+$C$1)&gt;AF$3,AF$3&gt;=$C$1),'General Inputs'!D$10*$I6,IF(AND(($C6+$C$1)&gt;AF$3,AF$3&gt;=$C$1),'General Inputs'!D$10*$H6,0))</f>
        <v>0</v>
      </c>
      <c r="BB6" s="214">
        <f>IF(AND(($D6+$C$1)&gt;AG$3,AG$3&gt;=$C$1),'General Inputs'!E$10*$I6,IF(AND(($C6+$C$1)&gt;AG$3,AG$3&gt;=$C$1),'General Inputs'!E$10*$H6,0))</f>
        <v>0</v>
      </c>
      <c r="BC6" s="214">
        <f>IF(AND(($D6+$C$1)&gt;AH$3,AH$3&gt;=$C$1),'General Inputs'!F$10*$I6,IF(AND(($C6+$C$1)&gt;AH$3,AH$3&gt;=$C$1),'General Inputs'!F$10*$H6,0))</f>
        <v>3.0526683258034109E-3</v>
      </c>
      <c r="BD6" s="214">
        <f>IF(AND(($D6+$C$1)&gt;AI$3,AI$3&gt;=$C$1),'General Inputs'!G$10*$I6,IF(AND(($C6+$C$1)&gt;AI$3,AI$3&gt;=$C$1),'General Inputs'!G$10*$H6,0))</f>
        <v>3.098458350690462E-3</v>
      </c>
      <c r="BE6" s="214">
        <f>IF(AND(($D6+$C$1)&gt;AJ$3,AJ$3&gt;=$C$1),'General Inputs'!H$10*$I6,IF(AND(($C6+$C$1)&gt;AJ$3,AJ$3&gt;=$C$1),'General Inputs'!H$10*$H6,0))</f>
        <v>3.1449352259508186E-3</v>
      </c>
      <c r="BF6" s="214">
        <f>IF(AND(($D6+$C$1)&gt;AK$3,AK$3&gt;=$C$1),'General Inputs'!I$10*$I6,IF(AND(($C6+$C$1)&gt;AK$3,AK$3&gt;=$C$1),'General Inputs'!I$10*$H6,0))</f>
        <v>3.1921092543400801E-3</v>
      </c>
      <c r="BG6" s="214">
        <f>IF(AND(($D6+$C$1)&gt;AL$3,AL$3&gt;=$C$1),'General Inputs'!J$10*$I6,IF(AND(($C6+$C$1)&gt;AL$3,AL$3&gt;=$C$1),'General Inputs'!J$10*$H6,0))</f>
        <v>3.2399908931551808E-3</v>
      </c>
      <c r="BH6" s="214">
        <f>IF(AND(($D6+$C$1)&gt;AM$3,AM$3&gt;=$C$1),'General Inputs'!K$10*$I6,IF(AND(($C6+$C$1)&gt;AM$3,AM$3&gt;=$C$1),'General Inputs'!K$10*$H6,0))</f>
        <v>3.2885907565525087E-3</v>
      </c>
      <c r="BI6" s="214">
        <f>IF(AND(($D6+$C$1)&gt;AN$3,AN$3&gt;=$C$1),'General Inputs'!L$10*$I6,IF(AND(($C6+$C$1)&gt;AN$3,AN$3&gt;=$C$1),'General Inputs'!L$10*$H6,0))</f>
        <v>3.337919617900796E-3</v>
      </c>
      <c r="BJ6" s="214">
        <f>IF(AND(($D6+$C$1)&gt;AO$3,AO$3&gt;=$C$1),'General Inputs'!M$10*$I6,IF(AND(($C6+$C$1)&gt;AO$3,AO$3&gt;=$C$1),'General Inputs'!M$10*$H6,0))</f>
        <v>3.3879884121693076E-3</v>
      </c>
      <c r="BK6" s="214">
        <f>IF(AND(($D6+$C$1)&gt;AP$3,AP$3&gt;=$C$1),'General Inputs'!N$10*$I6,IF(AND(($C6+$C$1)&gt;AP$3,AP$3&gt;=$C$1),'General Inputs'!N$10*$H6,0))</f>
        <v>0</v>
      </c>
      <c r="BL6" s="214">
        <f>IF(AND(($D6+$C$1)&gt;AQ$3,AQ$3&gt;=$C$1),'General Inputs'!O$10*$I6,IF(AND(($C6+$C$1)&gt;AQ$3,AQ$3&gt;=$C$1),'General Inputs'!O$10*$H6,0))</f>
        <v>0</v>
      </c>
      <c r="BM6" s="214">
        <f>IF(AND(($D6+$C$1)&gt;AR$3,AR$3&gt;=$C$1),'General Inputs'!P$10*$I6,IF(AND(($C6+$C$1)&gt;AR$3,AR$3&gt;=$C$1),'General Inputs'!P$10*$H6,0))</f>
        <v>0</v>
      </c>
      <c r="BN6" s="214">
        <f>IF(AND(($D6+$C$1)&gt;AS$3,AS$3&gt;=$C$1),'General Inputs'!Q$10*$I6,IF(AND(($C6+$C$1)&gt;AS$3,AS$3&gt;=$C$1),'General Inputs'!Q$10*$H6,0))</f>
        <v>0</v>
      </c>
      <c r="BO6" s="214">
        <f>IF(AND(($D6+$C$1)&gt;AT$3,AT$3&gt;=$C$1),'General Inputs'!R$10*$I6,IF(AND(($C6+$C$1)&gt;AT$3,AT$3&gt;=$C$1),'General Inputs'!R$10*$H6,0))</f>
        <v>0</v>
      </c>
      <c r="BP6" s="214">
        <f>IF(AND(($D6+$C$1)&gt;AU$3,AU$3&gt;=$C$1),'General Inputs'!S$10*$I6,IF(AND(($C6+$C$1)&gt;AU$3,AU$3&gt;=$C$1),'General Inputs'!S$10*$H6,0))</f>
        <v>0</v>
      </c>
      <c r="BQ6" s="214">
        <f>IF(AND(($D6+$C$1)&gt;AV$3,AV$3&gt;=$C$1),'General Inputs'!T$10*$I6,IF(AND(($C6+$C$1)&gt;AV$3,AV$3&gt;=$C$1),'General Inputs'!T$10*$H6,0))</f>
        <v>0</v>
      </c>
      <c r="BR6" s="214">
        <f>IF(AND(($D6+$C$1)&gt;AW$3,AW$3&gt;=$C$1),'General Inputs'!U$10*$I6,IF(AND(($C6+$C$1)&gt;AW$3,AW$3&gt;=$C$1),'General Inputs'!U$10*$H6,0))</f>
        <v>0</v>
      </c>
      <c r="BS6" s="214">
        <f>IF(AND(($D6+$C$1)&gt;AX$3,AX$3&gt;=$C$1),'General Inputs'!V$10*$I6,IF(AND(($C6+$C$1)&gt;AX$3,AX$3&gt;=$C$1),'General Inputs'!V$10*$H6,0))</f>
        <v>0</v>
      </c>
      <c r="BT6" s="214">
        <f>IF(AND(($D6+$C$1)&gt;AY$3,AY$3&gt;=$C$1),'General Inputs'!W$10*$I6,IF(AND(($C6+$C$1)&gt;AY$3,AY$3&gt;=$C$1),'General Inputs'!W$10*$H6,0))</f>
        <v>0</v>
      </c>
    </row>
    <row r="7" spans="1:73">
      <c r="A7" s="341" t="s">
        <v>12</v>
      </c>
      <c r="B7" s="427" t="str">
        <f>Sources!B7</f>
        <v>ENERGY STAR Dehumidifier</v>
      </c>
      <c r="C7" s="193">
        <f>Sources!C7</f>
        <v>12</v>
      </c>
      <c r="D7" s="193">
        <f>Sources!D7</f>
        <v>0</v>
      </c>
      <c r="F7" s="429">
        <f>Sources!F7*EnergyLineLoss</f>
        <v>168.64623243243258</v>
      </c>
      <c r="G7" s="429">
        <f>Sources!G7*EnergyLineLoss</f>
        <v>0</v>
      </c>
      <c r="H7" s="477">
        <f>Sources!H7*PeakLineLoss</f>
        <v>3.8517966666666695E-2</v>
      </c>
      <c r="I7" s="477">
        <f>Sources!I7*PeakLineLoss</f>
        <v>0</v>
      </c>
      <c r="K7" s="419">
        <f>Sources!J7</f>
        <v>45</v>
      </c>
      <c r="L7" s="419">
        <f>Sources!K7</f>
        <v>0</v>
      </c>
      <c r="N7" s="438">
        <f t="shared" si="4"/>
        <v>1.4042770003925604</v>
      </c>
      <c r="P7" s="215">
        <f t="shared" si="0"/>
        <v>49.124388607968186</v>
      </c>
      <c r="Q7" s="215">
        <f t="shared" si="1"/>
        <v>4.2199371765006575</v>
      </c>
      <c r="R7" s="215">
        <f t="shared" si="2"/>
        <v>37.987039429939131</v>
      </c>
      <c r="T7" s="214">
        <f t="shared" si="3"/>
        <v>0</v>
      </c>
      <c r="U7" s="214">
        <f t="shared" si="3"/>
        <v>0</v>
      </c>
      <c r="V7" s="214">
        <f t="shared" si="3"/>
        <v>45</v>
      </c>
      <c r="W7" s="214">
        <f t="shared" si="3"/>
        <v>0</v>
      </c>
      <c r="X7" s="214">
        <f t="shared" si="3"/>
        <v>0</v>
      </c>
      <c r="Y7" s="214">
        <f t="shared" si="3"/>
        <v>0</v>
      </c>
      <c r="Z7" s="214">
        <f t="shared" si="3"/>
        <v>0</v>
      </c>
      <c r="AA7" s="214">
        <f t="shared" si="3"/>
        <v>0</v>
      </c>
      <c r="AB7" s="214">
        <f t="shared" si="3"/>
        <v>0</v>
      </c>
      <c r="AC7" s="214">
        <f t="shared" si="3"/>
        <v>0</v>
      </c>
      <c r="AD7" s="214">
        <f t="shared" si="3"/>
        <v>0</v>
      </c>
      <c r="AF7" s="214">
        <f>IF(AND(($D7+$C$1)&gt;AF$3,AF$3&gt;=$C$1),'General Inputs'!D$9*$G7,IF(AND(($C7+$C$1)&gt;AF$3,AF$3&gt;=$C$1),'General Inputs'!D$9*$F7,0))</f>
        <v>0</v>
      </c>
      <c r="AG7" s="214">
        <f>IF(AND(($D7+$C$1)&gt;AG$3,AG$3&gt;=$C$1),'General Inputs'!E$9*$G7,IF(AND(($C7+$C$1)&gt;AG$3,AG$3&gt;=$C$1),'General Inputs'!E$9*$F7,0))</f>
        <v>0</v>
      </c>
      <c r="AH7" s="214">
        <f>IF(AND(($D7+$C$1)&gt;AH$3,AH$3&gt;=$C$1),'General Inputs'!F$9*$G7,IF(AND(($C7+$C$1)&gt;AH$3,AH$3&gt;=$C$1),'General Inputs'!F$9*$F7,0))</f>
        <v>6.9171255808679772</v>
      </c>
      <c r="AI7" s="214">
        <f>IF(AND(($D7+$C$1)&gt;AI$3,AI$3&gt;=$C$1),'General Inputs'!G$9*$G7,IF(AND(($C7+$C$1)&gt;AI$3,AI$3&gt;=$C$1),'General Inputs'!G$9*$F7,0))</f>
        <v>7.0208824645809962</v>
      </c>
      <c r="AJ7" s="214">
        <f>IF(AND(($D7+$C$1)&gt;AJ$3,AJ$3&gt;=$C$1),'General Inputs'!H$9*$G7,IF(AND(($C7+$C$1)&gt;AJ$3,AJ$3&gt;=$C$1),'General Inputs'!H$9*$F7,0))</f>
        <v>7.1261957015497099</v>
      </c>
      <c r="AK7" s="214">
        <f>IF(AND(($D7+$C$1)&gt;AK$3,AK$3&gt;=$C$1),'General Inputs'!I$9*$G7,IF(AND(($C7+$C$1)&gt;AK$3,AK$3&gt;=$C$1),'General Inputs'!I$9*$F7,0))</f>
        <v>7.2330886370729548</v>
      </c>
      <c r="AL7" s="214">
        <f>IF(AND(($D7+$C$1)&gt;AL$3,AL$3&gt;=$C$1),'General Inputs'!J$9*$G7,IF(AND(($C7+$C$1)&gt;AL$3,AL$3&gt;=$C$1),'General Inputs'!J$9*$F7,0))</f>
        <v>7.341584966629048</v>
      </c>
      <c r="AM7" s="214">
        <f>IF(AND(($D7+$C$1)&gt;AM$3,AM$3&gt;=$C$1),'General Inputs'!K$9*$G7,IF(AND(($C7+$C$1)&gt;AM$3,AM$3&gt;=$C$1),'General Inputs'!K$9*$F7,0))</f>
        <v>7.4517087411284821</v>
      </c>
      <c r="AN7" s="214">
        <f>IF(AND(($D7+$C$1)&gt;AN$3,AN$3&gt;=$C$1),'General Inputs'!L$9*$G7,IF(AND(($C7+$C$1)&gt;AN$3,AN$3&gt;=$C$1),'General Inputs'!L$9*$F7,0))</f>
        <v>7.5634843722454086</v>
      </c>
      <c r="AO7" s="214">
        <f>IF(AND(($D7+$C$1)&gt;AO$3,AO$3&gt;=$C$1),'General Inputs'!M$9*$G7,IF(AND(($C7+$C$1)&gt;AO$3,AO$3&gt;=$C$1),'General Inputs'!M$9*$F7,0))</f>
        <v>7.6769366378290886</v>
      </c>
      <c r="AP7" s="214">
        <f>IF(AND(($D7+$C$1)&gt;AP$3,AP$3&gt;=$C$1),'General Inputs'!N$9*$G7,IF(AND(($C7+$C$1)&gt;AP$3,AP$3&gt;=$C$1),'General Inputs'!N$9*$F7,0))</f>
        <v>7.7920906873965246</v>
      </c>
      <c r="AQ7" s="214">
        <f>IF(AND(($D7+$C$1)&gt;AQ$3,AQ$3&gt;=$C$1),'General Inputs'!O$9*$G7,IF(AND(($C7+$C$1)&gt;AQ$3,AQ$3&gt;=$C$1),'General Inputs'!O$9*$F7,0))</f>
        <v>7.9089720477074712</v>
      </c>
      <c r="AR7" s="214">
        <f>IF(AND(($D7+$C$1)&gt;AR$3,AR$3&gt;=$C$1),'General Inputs'!P$9*$G7,IF(AND(($C7+$C$1)&gt;AR$3,AR$3&gt;=$C$1),'General Inputs'!P$9*$F7,0))</f>
        <v>8.0276066284230829</v>
      </c>
      <c r="AS7" s="214">
        <f>IF(AND(($D7+$C$1)&gt;AS$3,AS$3&gt;=$C$1),'General Inputs'!Q$9*$G7,IF(AND(($C7+$C$1)&gt;AS$3,AS$3&gt;=$C$1),'General Inputs'!Q$9*$F7,0))</f>
        <v>8.1480207278494294</v>
      </c>
      <c r="AT7" s="214">
        <f>IF(AND(($D7+$C$1)&gt;AT$3,AT$3&gt;=$C$1),'General Inputs'!R$9*$G7,IF(AND(($C7+$C$1)&gt;AT$3,AT$3&gt;=$C$1),'General Inputs'!R$9*$F7,0))</f>
        <v>0</v>
      </c>
      <c r="AU7" s="214">
        <f>IF(AND(($D7+$C$1)&gt;AU$3,AU$3&gt;=$C$1),'General Inputs'!S$9*$G7,IF(AND(($C7+$C$1)&gt;AU$3,AU$3&gt;=$C$1),'General Inputs'!S$9*$F7,0))</f>
        <v>0</v>
      </c>
      <c r="AV7" s="214">
        <f>IF(AND(($D7+$C$1)&gt;AV$3,AV$3&gt;=$C$1),'General Inputs'!T$9*$G7,IF(AND(($C7+$C$1)&gt;AV$3,AV$3&gt;=$C$1),'General Inputs'!T$9*$F7,0))</f>
        <v>0</v>
      </c>
      <c r="AW7" s="214">
        <f>IF(AND(($D7+$C$1)&gt;AW$3,AW$3&gt;=$C$1),'General Inputs'!U$9*$G7,IF(AND(($C7+$C$1)&gt;AW$3,AW$3&gt;=$C$1),'General Inputs'!U$9*$F7,0))</f>
        <v>0</v>
      </c>
      <c r="AX7" s="214">
        <f>IF(AND(($D7+$C$1)&gt;AX$3,AX$3&gt;=$C$1),'General Inputs'!V$9*$G7,IF(AND(($C7+$C$1)&gt;AX$3,AX$3&gt;=$C$1),'General Inputs'!V$9*$F7,0))</f>
        <v>0</v>
      </c>
      <c r="AY7" s="214">
        <f>IF(AND(($D7+$C$1)&gt;AY$3,AY$3&gt;=$C$1),'General Inputs'!W$9*$G7,IF(AND(($C7+$C$1)&gt;AY$3,AY$3&gt;=$C$1),'General Inputs'!W$9*$F7,0))</f>
        <v>0</v>
      </c>
      <c r="BA7" s="214">
        <f>IF(AND(($D7+$C$1)&gt;AF$3,AF$3&gt;=$C$1),'General Inputs'!D$10*$I7,IF(AND(($C7+$C$1)&gt;AF$3,AF$3&gt;=$C$1),'General Inputs'!D$10*$H7,0))</f>
        <v>0</v>
      </c>
      <c r="BB7" s="214">
        <f>IF(AND(($D7+$C$1)&gt;AG$3,AG$3&gt;=$C$1),'General Inputs'!E$10*$I7,IF(AND(($C7+$C$1)&gt;AG$3,AG$3&gt;=$C$1),'General Inputs'!E$10*$H7,0))</f>
        <v>0</v>
      </c>
      <c r="BC7" s="214">
        <f>IF(AND(($D7+$C$1)&gt;AH$3,AH$3&gt;=$C$1),'General Inputs'!F$10*$I7,IF(AND(($C7+$C$1)&gt;AH$3,AH$3&gt;=$C$1),'General Inputs'!F$10*$H7,0))</f>
        <v>0.59420251773868904</v>
      </c>
      <c r="BD7" s="214">
        <f>IF(AND(($D7+$C$1)&gt;AI$3,AI$3&gt;=$C$1),'General Inputs'!G$10*$I7,IF(AND(($C7+$C$1)&gt;AI$3,AI$3&gt;=$C$1),'General Inputs'!G$10*$H7,0))</f>
        <v>0.60311555550476936</v>
      </c>
      <c r="BE7" s="214">
        <f>IF(AND(($D7+$C$1)&gt;AJ$3,AJ$3&gt;=$C$1),'General Inputs'!H$10*$I7,IF(AND(($C7+$C$1)&gt;AJ$3,AJ$3&gt;=$C$1),'General Inputs'!H$10*$H7,0))</f>
        <v>0.61216228883734092</v>
      </c>
      <c r="BF7" s="214">
        <f>IF(AND(($D7+$C$1)&gt;AK$3,AK$3&gt;=$C$1),'General Inputs'!I$10*$I7,IF(AND(($C7+$C$1)&gt;AK$3,AK$3&gt;=$C$1),'General Inputs'!I$10*$H7,0))</f>
        <v>0.62134472316990086</v>
      </c>
      <c r="BG7" s="214">
        <f>IF(AND(($D7+$C$1)&gt;AL$3,AL$3&gt;=$C$1),'General Inputs'!J$10*$I7,IF(AND(($C7+$C$1)&gt;AL$3,AL$3&gt;=$C$1),'General Inputs'!J$10*$H7,0))</f>
        <v>0.6306648940174493</v>
      </c>
      <c r="BH7" s="214">
        <f>IF(AND(($D7+$C$1)&gt;AM$3,AM$3&gt;=$C$1),'General Inputs'!K$10*$I7,IF(AND(($C7+$C$1)&gt;AM$3,AM$3&gt;=$C$1),'General Inputs'!K$10*$H7,0))</f>
        <v>0.64012486742771102</v>
      </c>
      <c r="BI7" s="214">
        <f>IF(AND(($D7+$C$1)&gt;AN$3,AN$3&gt;=$C$1),'General Inputs'!L$10*$I7,IF(AND(($C7+$C$1)&gt;AN$3,AN$3&gt;=$C$1),'General Inputs'!L$10*$H7,0))</f>
        <v>0.64972674043912659</v>
      </c>
      <c r="BJ7" s="214">
        <f>IF(AND(($D7+$C$1)&gt;AO$3,AO$3&gt;=$C$1),'General Inputs'!M$10*$I7,IF(AND(($C7+$C$1)&gt;AO$3,AO$3&gt;=$C$1),'General Inputs'!M$10*$H7,0))</f>
        <v>0.6594726415457135</v>
      </c>
      <c r="BK7" s="214">
        <f>IF(AND(($D7+$C$1)&gt;AP$3,AP$3&gt;=$C$1),'General Inputs'!N$10*$I7,IF(AND(($C7+$C$1)&gt;AP$3,AP$3&gt;=$C$1),'General Inputs'!N$10*$H7,0))</f>
        <v>0.66936473116889905</v>
      </c>
      <c r="BL7" s="214">
        <f>IF(AND(($D7+$C$1)&gt;AQ$3,AQ$3&gt;=$C$1),'General Inputs'!O$10*$I7,IF(AND(($C7+$C$1)&gt;AQ$3,AQ$3&gt;=$C$1),'General Inputs'!O$10*$H7,0))</f>
        <v>0.67940520213643252</v>
      </c>
      <c r="BM7" s="214">
        <f>IF(AND(($D7+$C$1)&gt;AR$3,AR$3&gt;=$C$1),'General Inputs'!P$10*$I7,IF(AND(($C7+$C$1)&gt;AR$3,AR$3&gt;=$C$1),'General Inputs'!P$10*$H7,0))</f>
        <v>0.68959628016847896</v>
      </c>
      <c r="BN7" s="214">
        <f>IF(AND(($D7+$C$1)&gt;AS$3,AS$3&gt;=$C$1),'General Inputs'!Q$10*$I7,IF(AND(($C7+$C$1)&gt;AS$3,AS$3&gt;=$C$1),'General Inputs'!Q$10*$H7,0))</f>
        <v>0.69994022437100611</v>
      </c>
      <c r="BO7" s="214">
        <f>IF(AND(($D7+$C$1)&gt;AT$3,AT$3&gt;=$C$1),'General Inputs'!R$10*$I7,IF(AND(($C7+$C$1)&gt;AT$3,AT$3&gt;=$C$1),'General Inputs'!R$10*$H7,0))</f>
        <v>0</v>
      </c>
      <c r="BP7" s="214">
        <f>IF(AND(($D7+$C$1)&gt;AU$3,AU$3&gt;=$C$1),'General Inputs'!S$10*$I7,IF(AND(($C7+$C$1)&gt;AU$3,AU$3&gt;=$C$1),'General Inputs'!S$10*$H7,0))</f>
        <v>0</v>
      </c>
      <c r="BQ7" s="214">
        <f>IF(AND(($D7+$C$1)&gt;AV$3,AV$3&gt;=$C$1),'General Inputs'!T$10*$I7,IF(AND(($C7+$C$1)&gt;AV$3,AV$3&gt;=$C$1),'General Inputs'!T$10*$H7,0))</f>
        <v>0</v>
      </c>
      <c r="BR7" s="214">
        <f>IF(AND(($D7+$C$1)&gt;AW$3,AW$3&gt;=$C$1),'General Inputs'!U$10*$I7,IF(AND(($C7+$C$1)&gt;AW$3,AW$3&gt;=$C$1),'General Inputs'!U$10*$H7,0))</f>
        <v>0</v>
      </c>
      <c r="BS7" s="214">
        <f>IF(AND(($D7+$C$1)&gt;AX$3,AX$3&gt;=$C$1),'General Inputs'!V$10*$I7,IF(AND(($C7+$C$1)&gt;AX$3,AX$3&gt;=$C$1),'General Inputs'!V$10*$H7,0))</f>
        <v>0</v>
      </c>
      <c r="BT7" s="214">
        <f>IF(AND(($D7+$C$1)&gt;AY$3,AY$3&gt;=$C$1),'General Inputs'!W$10*$I7,IF(AND(($C7+$C$1)&gt;AY$3,AY$3&gt;=$C$1),'General Inputs'!W$10*$H7,0))</f>
        <v>0</v>
      </c>
    </row>
    <row r="8" spans="1:73">
      <c r="A8" s="342" t="s">
        <v>12</v>
      </c>
      <c r="B8" s="427" t="str">
        <f>Sources!B8</f>
        <v>ENERGY STAR Clothes Washer</v>
      </c>
      <c r="C8" s="193">
        <f>Sources!C8</f>
        <v>14</v>
      </c>
      <c r="D8" s="193">
        <f>Sources!D8</f>
        <v>0</v>
      </c>
      <c r="F8" s="429">
        <f>Sources!F8*EnergyLineLoss</f>
        <v>285.67811583631482</v>
      </c>
      <c r="G8" s="429">
        <f>Sources!G8*EnergyLineLoss</f>
        <v>0</v>
      </c>
      <c r="H8" s="477">
        <f>Sources!H8*PeakLineLoss</f>
        <v>3.6799214921288008E-2</v>
      </c>
      <c r="I8" s="477">
        <f>Sources!I8*PeakLineLoss</f>
        <v>0</v>
      </c>
      <c r="K8" s="419">
        <f>Sources!J8</f>
        <v>450</v>
      </c>
      <c r="L8" s="419">
        <f>Sources!K8</f>
        <v>0</v>
      </c>
      <c r="N8" s="438">
        <f t="shared" si="4"/>
        <v>0.25249836283814681</v>
      </c>
      <c r="P8" s="215">
        <f t="shared" si="0"/>
        <v>91.484339317557897</v>
      </c>
      <c r="Q8" s="215">
        <f t="shared" si="1"/>
        <v>4.4323133337197191</v>
      </c>
      <c r="R8" s="215">
        <f t="shared" si="2"/>
        <v>379.87039429939136</v>
      </c>
      <c r="T8" s="214">
        <f t="shared" si="3"/>
        <v>0</v>
      </c>
      <c r="U8" s="214">
        <f t="shared" si="3"/>
        <v>0</v>
      </c>
      <c r="V8" s="214">
        <f t="shared" si="3"/>
        <v>450</v>
      </c>
      <c r="W8" s="214">
        <f t="shared" si="3"/>
        <v>0</v>
      </c>
      <c r="X8" s="214">
        <f t="shared" si="3"/>
        <v>0</v>
      </c>
      <c r="Y8" s="214">
        <f t="shared" si="3"/>
        <v>0</v>
      </c>
      <c r="Z8" s="214">
        <f t="shared" si="3"/>
        <v>0</v>
      </c>
      <c r="AA8" s="214">
        <f t="shared" si="3"/>
        <v>0</v>
      </c>
      <c r="AB8" s="214">
        <f t="shared" si="3"/>
        <v>0</v>
      </c>
      <c r="AC8" s="214">
        <f t="shared" si="3"/>
        <v>0</v>
      </c>
      <c r="AD8" s="214">
        <f t="shared" si="3"/>
        <v>0</v>
      </c>
      <c r="AF8" s="214">
        <f>IF(AND(($D8+$C$1)&gt;AF$3,AF$3&gt;=$C$1),'General Inputs'!D$9*$G8,IF(AND(($C8+$C$1)&gt;AF$3,AF$3&gt;=$C$1),'General Inputs'!D$9*$F8,0))</f>
        <v>0</v>
      </c>
      <c r="AG8" s="214">
        <f>IF(AND(($D8+$C$1)&gt;AG$3,AG$3&gt;=$C$1),'General Inputs'!E$9*$G8,IF(AND(($C8+$C$1)&gt;AG$3,AG$3&gt;=$C$1),'General Inputs'!E$9*$F8,0))</f>
        <v>0</v>
      </c>
      <c r="AH8" s="214">
        <f>IF(AND(($D8+$C$1)&gt;AH$3,AH$3&gt;=$C$1),'General Inputs'!F$9*$G8,IF(AND(($C8+$C$1)&gt;AH$3,AH$3&gt;=$C$1),'General Inputs'!F$9*$F8,0))</f>
        <v>11.71725792176972</v>
      </c>
      <c r="AI8" s="214">
        <f>IF(AND(($D8+$C$1)&gt;AI$3,AI$3&gt;=$C$1),'General Inputs'!G$9*$G8,IF(AND(($C8+$C$1)&gt;AI$3,AI$3&gt;=$C$1),'General Inputs'!G$9*$F8,0))</f>
        <v>11.893016790596265</v>
      </c>
      <c r="AJ8" s="214">
        <f>IF(AND(($D8+$C$1)&gt;AJ$3,AJ$3&gt;=$C$1),'General Inputs'!H$9*$G8,IF(AND(($C8+$C$1)&gt;AJ$3,AJ$3&gt;=$C$1),'General Inputs'!H$9*$F8,0))</f>
        <v>12.071412042455208</v>
      </c>
      <c r="AK8" s="214">
        <f>IF(AND(($D8+$C$1)&gt;AK$3,AK$3&gt;=$C$1),'General Inputs'!I$9*$G8,IF(AND(($C8+$C$1)&gt;AK$3,AK$3&gt;=$C$1),'General Inputs'!I$9*$F8,0))</f>
        <v>12.252483223092034</v>
      </c>
      <c r="AL8" s="214">
        <f>IF(AND(($D8+$C$1)&gt;AL$3,AL$3&gt;=$C$1),'General Inputs'!J$9*$G8,IF(AND(($C8+$C$1)&gt;AL$3,AL$3&gt;=$C$1),'General Inputs'!J$9*$F8,0))</f>
        <v>12.436270471438412</v>
      </c>
      <c r="AM8" s="214">
        <f>IF(AND(($D8+$C$1)&gt;AM$3,AM$3&gt;=$C$1),'General Inputs'!K$9*$G8,IF(AND(($C8+$C$1)&gt;AM$3,AM$3&gt;=$C$1),'General Inputs'!K$9*$F8,0))</f>
        <v>12.622814528509988</v>
      </c>
      <c r="AN8" s="214">
        <f>IF(AND(($D8+$C$1)&gt;AN$3,AN$3&gt;=$C$1),'General Inputs'!L$9*$G8,IF(AND(($C8+$C$1)&gt;AN$3,AN$3&gt;=$C$1),'General Inputs'!L$9*$F8,0))</f>
        <v>12.812156746437637</v>
      </c>
      <c r="AO8" s="214">
        <f>IF(AND(($D8+$C$1)&gt;AO$3,AO$3&gt;=$C$1),'General Inputs'!M$9*$G8,IF(AND(($C8+$C$1)&gt;AO$3,AO$3&gt;=$C$1),'General Inputs'!M$9*$F8,0))</f>
        <v>13.004339097634199</v>
      </c>
      <c r="AP8" s="214">
        <f>IF(AND(($D8+$C$1)&gt;AP$3,AP$3&gt;=$C$1),'General Inputs'!N$9*$G8,IF(AND(($C8+$C$1)&gt;AP$3,AP$3&gt;=$C$1),'General Inputs'!N$9*$F8,0))</f>
        <v>13.199404184098711</v>
      </c>
      <c r="AQ8" s="214">
        <f>IF(AND(($D8+$C$1)&gt;AQ$3,AQ$3&gt;=$C$1),'General Inputs'!O$9*$G8,IF(AND(($C8+$C$1)&gt;AQ$3,AQ$3&gt;=$C$1),'General Inputs'!O$9*$F8,0))</f>
        <v>13.39739524686019</v>
      </c>
      <c r="AR8" s="214">
        <f>IF(AND(($D8+$C$1)&gt;AR$3,AR$3&gt;=$C$1),'General Inputs'!P$9*$G8,IF(AND(($C8+$C$1)&gt;AR$3,AR$3&gt;=$C$1),'General Inputs'!P$9*$F8,0))</f>
        <v>13.598356175563092</v>
      </c>
      <c r="AS8" s="214">
        <f>IF(AND(($D8+$C$1)&gt;AS$3,AS$3&gt;=$C$1),'General Inputs'!Q$9*$G8,IF(AND(($C8+$C$1)&gt;AS$3,AS$3&gt;=$C$1),'General Inputs'!Q$9*$F8,0))</f>
        <v>13.802331518196537</v>
      </c>
      <c r="AT8" s="214">
        <f>IF(AND(($D8+$C$1)&gt;AT$3,AT$3&gt;=$C$1),'General Inputs'!R$9*$G8,IF(AND(($C8+$C$1)&gt;AT$3,AT$3&gt;=$C$1),'General Inputs'!R$9*$F8,0))</f>
        <v>14.009366490969484</v>
      </c>
      <c r="AU8" s="214">
        <f>IF(AND(($D8+$C$1)&gt;AU$3,AU$3&gt;=$C$1),'General Inputs'!S$9*$G8,IF(AND(($C8+$C$1)&gt;AU$3,AU$3&gt;=$C$1),'General Inputs'!S$9*$F8,0))</f>
        <v>14.219506988334025</v>
      </c>
      <c r="AV8" s="214">
        <f>IF(AND(($D8+$C$1)&gt;AV$3,AV$3&gt;=$C$1),'General Inputs'!T$9*$G8,IF(AND(($C8+$C$1)&gt;AV$3,AV$3&gt;=$C$1),'General Inputs'!T$9*$F8,0))</f>
        <v>0</v>
      </c>
      <c r="AW8" s="214">
        <f>IF(AND(($D8+$C$1)&gt;AW$3,AW$3&gt;=$C$1),'General Inputs'!U$9*$G8,IF(AND(($C8+$C$1)&gt;AW$3,AW$3&gt;=$C$1),'General Inputs'!U$9*$F8,0))</f>
        <v>0</v>
      </c>
      <c r="AX8" s="214">
        <f>IF(AND(($D8+$C$1)&gt;AX$3,AX$3&gt;=$C$1),'General Inputs'!V$9*$G8,IF(AND(($C8+$C$1)&gt;AX$3,AX$3&gt;=$C$1),'General Inputs'!V$9*$F8,0))</f>
        <v>0</v>
      </c>
      <c r="AY8" s="214">
        <f>IF(AND(($D8+$C$1)&gt;AY$3,AY$3&gt;=$C$1),'General Inputs'!W$9*$G8,IF(AND(($C8+$C$1)&gt;AY$3,AY$3&gt;=$C$1),'General Inputs'!W$9*$F8,0))</f>
        <v>0</v>
      </c>
      <c r="BA8" s="214">
        <f>IF(AND(($D8+$C$1)&gt;AF$3,AF$3&gt;=$C$1),'General Inputs'!D$10*$I8,IF(AND(($C8+$C$1)&gt;AF$3,AF$3&gt;=$C$1),'General Inputs'!D$10*$H8,0))</f>
        <v>0</v>
      </c>
      <c r="BB8" s="214">
        <f>IF(AND(($D8+$C$1)&gt;AG$3,AG$3&gt;=$C$1),'General Inputs'!E$10*$I8,IF(AND(($C8+$C$1)&gt;AG$3,AG$3&gt;=$C$1),'General Inputs'!E$10*$H8,0))</f>
        <v>0</v>
      </c>
      <c r="BC8" s="214">
        <f>IF(AND(($D8+$C$1)&gt;AH$3,AH$3&gt;=$C$1),'General Inputs'!F$10*$I8,IF(AND(($C8+$C$1)&gt;AH$3,AH$3&gt;=$C$1),'General Inputs'!F$10*$H8,0))</f>
        <v>0.56768796614488448</v>
      </c>
      <c r="BD8" s="214">
        <f>IF(AND(($D8+$C$1)&gt;AI$3,AI$3&gt;=$C$1),'General Inputs'!G$10*$I8,IF(AND(($C8+$C$1)&gt;AI$3,AI$3&gt;=$C$1),'General Inputs'!G$10*$H8,0))</f>
        <v>0.57620328563705769</v>
      </c>
      <c r="BE8" s="214">
        <f>IF(AND(($D8+$C$1)&gt;AJ$3,AJ$3&gt;=$C$1),'General Inputs'!H$10*$I8,IF(AND(($C8+$C$1)&gt;AJ$3,AJ$3&gt;=$C$1),'General Inputs'!H$10*$H8,0))</f>
        <v>0.58484633492161342</v>
      </c>
      <c r="BF8" s="214">
        <f>IF(AND(($D8+$C$1)&gt;AK$3,AK$3&gt;=$C$1),'General Inputs'!I$10*$I8,IF(AND(($C8+$C$1)&gt;AK$3,AK$3&gt;=$C$1),'General Inputs'!I$10*$H8,0))</f>
        <v>0.59361902994543758</v>
      </c>
      <c r="BG8" s="214">
        <f>IF(AND(($D8+$C$1)&gt;AL$3,AL$3&gt;=$C$1),'General Inputs'!J$10*$I8,IF(AND(($C8+$C$1)&gt;AL$3,AL$3&gt;=$C$1),'General Inputs'!J$10*$H8,0))</f>
        <v>0.60252331539461901</v>
      </c>
      <c r="BH8" s="214">
        <f>IF(AND(($D8+$C$1)&gt;AM$3,AM$3&gt;=$C$1),'General Inputs'!K$10*$I8,IF(AND(($C8+$C$1)&gt;AM$3,AM$3&gt;=$C$1),'General Inputs'!K$10*$H8,0))</f>
        <v>0.61156116512553826</v>
      </c>
      <c r="BI8" s="214">
        <f>IF(AND(($D8+$C$1)&gt;AN$3,AN$3&gt;=$C$1),'General Inputs'!L$10*$I8,IF(AND(($C8+$C$1)&gt;AN$3,AN$3&gt;=$C$1),'General Inputs'!L$10*$H8,0))</f>
        <v>0.62073458260242131</v>
      </c>
      <c r="BJ8" s="214">
        <f>IF(AND(($D8+$C$1)&gt;AO$3,AO$3&gt;=$C$1),'General Inputs'!M$10*$I8,IF(AND(($C8+$C$1)&gt;AO$3,AO$3&gt;=$C$1),'General Inputs'!M$10*$H8,0))</f>
        <v>0.6300456013414576</v>
      </c>
      <c r="BK8" s="214">
        <f>IF(AND(($D8+$C$1)&gt;AP$3,AP$3&gt;=$C$1),'General Inputs'!N$10*$I8,IF(AND(($C8+$C$1)&gt;AP$3,AP$3&gt;=$C$1),'General Inputs'!N$10*$H8,0))</f>
        <v>0.63949628536157943</v>
      </c>
      <c r="BL8" s="214">
        <f>IF(AND(($D8+$C$1)&gt;AQ$3,AQ$3&gt;=$C$1),'General Inputs'!O$10*$I8,IF(AND(($C8+$C$1)&gt;AQ$3,AQ$3&gt;=$C$1),'General Inputs'!O$10*$H8,0))</f>
        <v>0.64908872964200304</v>
      </c>
      <c r="BM8" s="214">
        <f>IF(AND(($D8+$C$1)&gt;AR$3,AR$3&gt;=$C$1),'General Inputs'!P$10*$I8,IF(AND(($C8+$C$1)&gt;AR$3,AR$3&gt;=$C$1),'General Inputs'!P$10*$H8,0))</f>
        <v>0.65882506058663304</v>
      </c>
      <c r="BN8" s="214">
        <f>IF(AND(($D8+$C$1)&gt;AS$3,AS$3&gt;=$C$1),'General Inputs'!Q$10*$I8,IF(AND(($C8+$C$1)&gt;AS$3,AS$3&gt;=$C$1),'General Inputs'!Q$10*$H8,0))</f>
        <v>0.66870743649543252</v>
      </c>
      <c r="BO8" s="214">
        <f>IF(AND(($D8+$C$1)&gt;AT$3,AT$3&gt;=$C$1),'General Inputs'!R$10*$I8,IF(AND(($C8+$C$1)&gt;AT$3,AT$3&gt;=$C$1),'General Inputs'!R$10*$H8,0))</f>
        <v>0.67873804804286386</v>
      </c>
      <c r="BP8" s="214">
        <f>IF(AND(($D8+$C$1)&gt;AU$3,AU$3&gt;=$C$1),'General Inputs'!S$10*$I8,IF(AND(($C8+$C$1)&gt;AU$3,AU$3&gt;=$C$1),'General Inputs'!S$10*$H8,0))</f>
        <v>0.68891911876350675</v>
      </c>
      <c r="BQ8" s="214">
        <f>IF(AND(($D8+$C$1)&gt;AV$3,AV$3&gt;=$C$1),'General Inputs'!T$10*$I8,IF(AND(($C8+$C$1)&gt;AV$3,AV$3&gt;=$C$1),'General Inputs'!T$10*$H8,0))</f>
        <v>0</v>
      </c>
      <c r="BR8" s="214">
        <f>IF(AND(($D8+$C$1)&gt;AW$3,AW$3&gt;=$C$1),'General Inputs'!U$10*$I8,IF(AND(($C8+$C$1)&gt;AW$3,AW$3&gt;=$C$1),'General Inputs'!U$10*$H8,0))</f>
        <v>0</v>
      </c>
      <c r="BS8" s="214">
        <f>IF(AND(($D8+$C$1)&gt;AX$3,AX$3&gt;=$C$1),'General Inputs'!V$10*$I8,IF(AND(($C8+$C$1)&gt;AX$3,AX$3&gt;=$C$1),'General Inputs'!V$10*$H8,0))</f>
        <v>0</v>
      </c>
      <c r="BT8" s="214">
        <f>IF(AND(($D8+$C$1)&gt;AY$3,AY$3&gt;=$C$1),'General Inputs'!W$10*$I8,IF(AND(($C8+$C$1)&gt;AY$3,AY$3&gt;=$C$1),'General Inputs'!W$10*$H8,0))</f>
        <v>0</v>
      </c>
    </row>
    <row r="9" spans="1:73">
      <c r="A9" s="342" t="s">
        <v>12</v>
      </c>
      <c r="B9" s="427" t="str">
        <f>Sources!B9</f>
        <v>ENERGY STAR Refrigerator</v>
      </c>
      <c r="C9" s="193">
        <f>Sources!C9</f>
        <v>14</v>
      </c>
      <c r="D9" s="193">
        <f>Sources!D9</f>
        <v>0</v>
      </c>
      <c r="F9" s="429">
        <f>Sources!F9*EnergyLineLoss</f>
        <v>108.22001400000002</v>
      </c>
      <c r="G9" s="429">
        <f>Sources!G9*EnergyLineLoss</f>
        <v>0</v>
      </c>
      <c r="H9" s="477">
        <f>Sources!H9*PeakLineLoss</f>
        <v>1.2353882876712331E-2</v>
      </c>
      <c r="I9" s="477">
        <f>Sources!I9*PeakLineLoss</f>
        <v>0</v>
      </c>
      <c r="K9" s="419">
        <f>Sources!J9</f>
        <v>40</v>
      </c>
      <c r="L9" s="419">
        <f>Sources!K9</f>
        <v>0</v>
      </c>
      <c r="N9" s="438">
        <f t="shared" si="4"/>
        <v>1.0704144310810566</v>
      </c>
      <c r="P9" s="215">
        <f t="shared" si="0"/>
        <v>34.655914936793856</v>
      </c>
      <c r="Q9" s="215">
        <f t="shared" si="1"/>
        <v>1.4879741297412239</v>
      </c>
      <c r="R9" s="215">
        <f t="shared" si="2"/>
        <v>33.766257271057007</v>
      </c>
      <c r="T9" s="214">
        <f t="shared" si="3"/>
        <v>0</v>
      </c>
      <c r="U9" s="214">
        <f t="shared" si="3"/>
        <v>0</v>
      </c>
      <c r="V9" s="214">
        <f t="shared" si="3"/>
        <v>40</v>
      </c>
      <c r="W9" s="214">
        <f t="shared" si="3"/>
        <v>0</v>
      </c>
      <c r="X9" s="214">
        <f t="shared" si="3"/>
        <v>0</v>
      </c>
      <c r="Y9" s="214">
        <f t="shared" si="3"/>
        <v>0</v>
      </c>
      <c r="Z9" s="214">
        <f t="shared" si="3"/>
        <v>0</v>
      </c>
      <c r="AA9" s="214">
        <f t="shared" si="3"/>
        <v>0</v>
      </c>
      <c r="AB9" s="214">
        <f t="shared" si="3"/>
        <v>0</v>
      </c>
      <c r="AC9" s="214">
        <f t="shared" si="3"/>
        <v>0</v>
      </c>
      <c r="AD9" s="214">
        <f t="shared" si="3"/>
        <v>0</v>
      </c>
      <c r="AF9" s="214">
        <f>IF(AND(($D9+$C$1)&gt;AF$3,AF$3&gt;=$C$1),'General Inputs'!D$9*$G9,IF(AND(($C9+$C$1)&gt;AF$3,AF$3&gt;=$C$1),'General Inputs'!D$9*$F9,0))</f>
        <v>0</v>
      </c>
      <c r="AG9" s="214">
        <f>IF(AND(($D9+$C$1)&gt;AG$3,AG$3&gt;=$C$1),'General Inputs'!E$9*$G9,IF(AND(($C9+$C$1)&gt;AG$3,AG$3&gt;=$C$1),'General Inputs'!E$9*$F9,0))</f>
        <v>0</v>
      </c>
      <c r="AH9" s="214">
        <f>IF(AND(($D9+$C$1)&gt;AH$3,AH$3&gt;=$C$1),'General Inputs'!F$9*$G9,IF(AND(($C9+$C$1)&gt;AH$3,AH$3&gt;=$C$1),'General Inputs'!F$9*$F9,0))</f>
        <v>4.4387082735524661</v>
      </c>
      <c r="AI9" s="214">
        <f>IF(AND(($D9+$C$1)&gt;AI$3,AI$3&gt;=$C$1),'General Inputs'!G$9*$G9,IF(AND(($C9+$C$1)&gt;AI$3,AI$3&gt;=$C$1),'General Inputs'!G$9*$F9,0))</f>
        <v>4.5052888976557526</v>
      </c>
      <c r="AJ9" s="214">
        <f>IF(AND(($D9+$C$1)&gt;AJ$3,AJ$3&gt;=$C$1),'General Inputs'!H$9*$G9,IF(AND(($C9+$C$1)&gt;AJ$3,AJ$3&gt;=$C$1),'General Inputs'!H$9*$F9,0))</f>
        <v>4.5728682311205882</v>
      </c>
      <c r="AK9" s="214">
        <f>IF(AND(($D9+$C$1)&gt;AK$3,AK$3&gt;=$C$1),'General Inputs'!I$9*$G9,IF(AND(($C9+$C$1)&gt;AK$3,AK$3&gt;=$C$1),'General Inputs'!I$9*$F9,0))</f>
        <v>4.6414612545873961</v>
      </c>
      <c r="AL9" s="214">
        <f>IF(AND(($D9+$C$1)&gt;AL$3,AL$3&gt;=$C$1),'General Inputs'!J$9*$G9,IF(AND(($C9+$C$1)&gt;AL$3,AL$3&gt;=$C$1),'General Inputs'!J$9*$F9,0))</f>
        <v>4.7110831734062071</v>
      </c>
      <c r="AM9" s="214">
        <f>IF(AND(($D9+$C$1)&gt;AM$3,AM$3&gt;=$C$1),'General Inputs'!K$9*$G9,IF(AND(($C9+$C$1)&gt;AM$3,AM$3&gt;=$C$1),'General Inputs'!K$9*$F9,0))</f>
        <v>4.7817494210072988</v>
      </c>
      <c r="AN9" s="214">
        <f>IF(AND(($D9+$C$1)&gt;AN$3,AN$3&gt;=$C$1),'General Inputs'!L$9*$G9,IF(AND(($C9+$C$1)&gt;AN$3,AN$3&gt;=$C$1),'General Inputs'!L$9*$F9,0))</f>
        <v>4.853475662322408</v>
      </c>
      <c r="AO9" s="214">
        <f>IF(AND(($D9+$C$1)&gt;AO$3,AO$3&gt;=$C$1),'General Inputs'!M$9*$G9,IF(AND(($C9+$C$1)&gt;AO$3,AO$3&gt;=$C$1),'General Inputs'!M$9*$F9,0))</f>
        <v>4.9262777972572431</v>
      </c>
      <c r="AP9" s="214">
        <f>IF(AND(($D9+$C$1)&gt;AP$3,AP$3&gt;=$C$1),'General Inputs'!N$9*$G9,IF(AND(($C9+$C$1)&gt;AP$3,AP$3&gt;=$C$1),'General Inputs'!N$9*$F9,0))</f>
        <v>5.0001719642161015</v>
      </c>
      <c r="AQ9" s="214">
        <f>IF(AND(($D9+$C$1)&gt;AQ$3,AQ$3&gt;=$C$1),'General Inputs'!O$9*$G9,IF(AND(($C9+$C$1)&gt;AQ$3,AQ$3&gt;=$C$1),'General Inputs'!O$9*$F9,0))</f>
        <v>5.075174543679343</v>
      </c>
      <c r="AR9" s="214">
        <f>IF(AND(($D9+$C$1)&gt;AR$3,AR$3&gt;=$C$1),'General Inputs'!P$9*$G9,IF(AND(($C9+$C$1)&gt;AR$3,AR$3&gt;=$C$1),'General Inputs'!P$9*$F9,0))</f>
        <v>5.1513021618345327</v>
      </c>
      <c r="AS9" s="214">
        <f>IF(AND(($D9+$C$1)&gt;AS$3,AS$3&gt;=$C$1),'General Inputs'!Q$9*$G9,IF(AND(($C9+$C$1)&gt;AS$3,AS$3&gt;=$C$1),'General Inputs'!Q$9*$F9,0))</f>
        <v>5.2285716942620502</v>
      </c>
      <c r="AT9" s="214">
        <f>IF(AND(($D9+$C$1)&gt;AT$3,AT$3&gt;=$C$1),'General Inputs'!R$9*$G9,IF(AND(($C9+$C$1)&gt;AT$3,AT$3&gt;=$C$1),'General Inputs'!R$9*$F9,0))</f>
        <v>5.3070002696759806</v>
      </c>
      <c r="AU9" s="214">
        <f>IF(AND(($D9+$C$1)&gt;AU$3,AU$3&gt;=$C$1),'General Inputs'!S$9*$G9,IF(AND(($C9+$C$1)&gt;AU$3,AU$3&gt;=$C$1),'General Inputs'!S$9*$F9,0))</f>
        <v>5.3866052737211199</v>
      </c>
      <c r="AV9" s="214">
        <f>IF(AND(($D9+$C$1)&gt;AV$3,AV$3&gt;=$C$1),'General Inputs'!T$9*$G9,IF(AND(($C9+$C$1)&gt;AV$3,AV$3&gt;=$C$1),'General Inputs'!T$9*$F9,0))</f>
        <v>0</v>
      </c>
      <c r="AW9" s="214">
        <f>IF(AND(($D9+$C$1)&gt;AW$3,AW$3&gt;=$C$1),'General Inputs'!U$9*$G9,IF(AND(($C9+$C$1)&gt;AW$3,AW$3&gt;=$C$1),'General Inputs'!U$9*$F9,0))</f>
        <v>0</v>
      </c>
      <c r="AX9" s="214">
        <f>IF(AND(($D9+$C$1)&gt;AX$3,AX$3&gt;=$C$1),'General Inputs'!V$9*$G9,IF(AND(($C9+$C$1)&gt;AX$3,AX$3&gt;=$C$1),'General Inputs'!V$9*$F9,0))</f>
        <v>0</v>
      </c>
      <c r="AY9" s="214">
        <f>IF(AND(($D9+$C$1)&gt;AY$3,AY$3&gt;=$C$1),'General Inputs'!W$9*$G9,IF(AND(($C9+$C$1)&gt;AY$3,AY$3&gt;=$C$1),'General Inputs'!W$9*$F9,0))</f>
        <v>0</v>
      </c>
      <c r="BA9" s="214">
        <f>IF(AND(($D9+$C$1)&gt;AF$3,AF$3&gt;=$C$1),'General Inputs'!D$10*$I9,IF(AND(($C9+$C$1)&gt;AF$3,AF$3&gt;=$C$1),'General Inputs'!D$10*$H9,0))</f>
        <v>0</v>
      </c>
      <c r="BB9" s="214">
        <f>IF(AND(($D9+$C$1)&gt;AG$3,AG$3&gt;=$C$1),'General Inputs'!E$10*$I9,IF(AND(($C9+$C$1)&gt;AG$3,AG$3&gt;=$C$1),'General Inputs'!E$10*$H9,0))</f>
        <v>0</v>
      </c>
      <c r="BC9" s="214">
        <f>IF(AND(($D9+$C$1)&gt;AH$3,AH$3&gt;=$C$1),'General Inputs'!F$10*$I9,IF(AND(($C9+$C$1)&gt;AH$3,AH$3&gt;=$C$1),'General Inputs'!F$10*$H9,0))</f>
        <v>0.19057881151197859</v>
      </c>
      <c r="BD9" s="214">
        <f>IF(AND(($D9+$C$1)&gt;AI$3,AI$3&gt;=$C$1),'General Inputs'!G$10*$I9,IF(AND(($C9+$C$1)&gt;AI$3,AI$3&gt;=$C$1),'General Inputs'!G$10*$H9,0))</f>
        <v>0.19343749368465826</v>
      </c>
      <c r="BE9" s="214">
        <f>IF(AND(($D9+$C$1)&gt;AJ$3,AJ$3&gt;=$C$1),'General Inputs'!H$10*$I9,IF(AND(($C9+$C$1)&gt;AJ$3,AJ$3&gt;=$C$1),'General Inputs'!H$10*$H9,0))</f>
        <v>0.1963390560899281</v>
      </c>
      <c r="BF9" s="214">
        <f>IF(AND(($D9+$C$1)&gt;AK$3,AK$3&gt;=$C$1),'General Inputs'!I$10*$I9,IF(AND(($C9+$C$1)&gt;AK$3,AK$3&gt;=$C$1),'General Inputs'!I$10*$H9,0))</f>
        <v>0.199284141931277</v>
      </c>
      <c r="BG9" s="214">
        <f>IF(AND(($D9+$C$1)&gt;AL$3,AL$3&gt;=$C$1),'General Inputs'!J$10*$I9,IF(AND(($C9+$C$1)&gt;AL$3,AL$3&gt;=$C$1),'General Inputs'!J$10*$H9,0))</f>
        <v>0.20227340406024613</v>
      </c>
      <c r="BH9" s="214">
        <f>IF(AND(($D9+$C$1)&gt;AM$3,AM$3&gt;=$C$1),'General Inputs'!K$10*$I9,IF(AND(($C9+$C$1)&gt;AM$3,AM$3&gt;=$C$1),'General Inputs'!K$10*$H9,0))</f>
        <v>0.20530750512114981</v>
      </c>
      <c r="BI9" s="214">
        <f>IF(AND(($D9+$C$1)&gt;AN$3,AN$3&gt;=$C$1),'General Inputs'!L$10*$I9,IF(AND(($C9+$C$1)&gt;AN$3,AN$3&gt;=$C$1),'General Inputs'!L$10*$H9,0))</f>
        <v>0.20838711769796703</v>
      </c>
      <c r="BJ9" s="214">
        <f>IF(AND(($D9+$C$1)&gt;AO$3,AO$3&gt;=$C$1),'General Inputs'!M$10*$I9,IF(AND(($C9+$C$1)&gt;AO$3,AO$3&gt;=$C$1),'General Inputs'!M$10*$H9,0))</f>
        <v>0.21151292446343653</v>
      </c>
      <c r="BK9" s="214">
        <f>IF(AND(($D9+$C$1)&gt;AP$3,AP$3&gt;=$C$1),'General Inputs'!N$10*$I9,IF(AND(($C9+$C$1)&gt;AP$3,AP$3&gt;=$C$1),'General Inputs'!N$10*$H9,0))</f>
        <v>0.21468561833038804</v>
      </c>
      <c r="BL9" s="214">
        <f>IF(AND(($D9+$C$1)&gt;AQ$3,AQ$3&gt;=$C$1),'General Inputs'!O$10*$I9,IF(AND(($C9+$C$1)&gt;AQ$3,AQ$3&gt;=$C$1),'General Inputs'!O$10*$H9,0))</f>
        <v>0.21790590260534384</v>
      </c>
      <c r="BM9" s="214">
        <f>IF(AND(($D9+$C$1)&gt;AR$3,AR$3&gt;=$C$1),'General Inputs'!P$10*$I9,IF(AND(($C9+$C$1)&gt;AR$3,AR$3&gt;=$C$1),'General Inputs'!P$10*$H9,0))</f>
        <v>0.221174491144424</v>
      </c>
      <c r="BN9" s="214">
        <f>IF(AND(($D9+$C$1)&gt;AS$3,AS$3&gt;=$C$1),'General Inputs'!Q$10*$I9,IF(AND(($C9+$C$1)&gt;AS$3,AS$3&gt;=$C$1),'General Inputs'!Q$10*$H9,0))</f>
        <v>0.22449210851159035</v>
      </c>
      <c r="BO9" s="214">
        <f>IF(AND(($D9+$C$1)&gt;AT$3,AT$3&gt;=$C$1),'General Inputs'!R$10*$I9,IF(AND(($C9+$C$1)&gt;AT$3,AT$3&gt;=$C$1),'General Inputs'!R$10*$H9,0))</f>
        <v>0.22785949013926415</v>
      </c>
      <c r="BP9" s="214">
        <f>IF(AND(($D9+$C$1)&gt;AU$3,AU$3&gt;=$C$1),'General Inputs'!S$10*$I9,IF(AND(($C9+$C$1)&gt;AU$3,AU$3&gt;=$C$1),'General Inputs'!S$10*$H9,0))</f>
        <v>0.2312773824913531</v>
      </c>
      <c r="BQ9" s="214">
        <f>IF(AND(($D9+$C$1)&gt;AV$3,AV$3&gt;=$C$1),'General Inputs'!T$10*$I9,IF(AND(($C9+$C$1)&gt;AV$3,AV$3&gt;=$C$1),'General Inputs'!T$10*$H9,0))</f>
        <v>0</v>
      </c>
      <c r="BR9" s="214">
        <f>IF(AND(($D9+$C$1)&gt;AW$3,AW$3&gt;=$C$1),'General Inputs'!U$10*$I9,IF(AND(($C9+$C$1)&gt;AW$3,AW$3&gt;=$C$1),'General Inputs'!U$10*$H9,0))</f>
        <v>0</v>
      </c>
      <c r="BS9" s="214">
        <f>IF(AND(($D9+$C$1)&gt;AX$3,AX$3&gt;=$C$1),'General Inputs'!V$10*$I9,IF(AND(($C9+$C$1)&gt;AX$3,AX$3&gt;=$C$1),'General Inputs'!V$10*$H9,0))</f>
        <v>0</v>
      </c>
      <c r="BT9" s="214">
        <f>IF(AND(($D9+$C$1)&gt;AY$3,AY$3&gt;=$C$1),'General Inputs'!W$10*$I9,IF(AND(($C9+$C$1)&gt;AY$3,AY$3&gt;=$C$1),'General Inputs'!W$10*$H9,0))</f>
        <v>0</v>
      </c>
    </row>
    <row r="10" spans="1:73">
      <c r="A10" s="342" t="s">
        <v>12</v>
      </c>
      <c r="B10" s="427" t="str">
        <f>Sources!B10</f>
        <v>ENERGY STAR Freezer</v>
      </c>
      <c r="C10" s="193">
        <f>Sources!C10</f>
        <v>11</v>
      </c>
      <c r="D10" s="193">
        <f>Sources!D10</f>
        <v>0</v>
      </c>
      <c r="F10" s="429">
        <f>Sources!F10*EnergyLineLoss</f>
        <v>31.668818400000021</v>
      </c>
      <c r="G10" s="429">
        <f>Sources!G10*EnergyLineLoss</f>
        <v>0</v>
      </c>
      <c r="H10" s="477">
        <f>Sources!H10*PeakLineLoss</f>
        <v>3.6151619178082213E-3</v>
      </c>
      <c r="I10" s="477">
        <f>Sources!I10*PeakLineLoss</f>
        <v>0</v>
      </c>
      <c r="K10" s="419">
        <f>Sources!J10</f>
        <v>40</v>
      </c>
      <c r="L10" s="419">
        <f>Sources!K10</f>
        <v>0</v>
      </c>
      <c r="N10" s="438">
        <f t="shared" si="4"/>
        <v>0.26921065795790339</v>
      </c>
      <c r="P10" s="215">
        <f t="shared" si="0"/>
        <v>8.7160088572842813</v>
      </c>
      <c r="Q10" s="215">
        <f t="shared" si="1"/>
        <v>0.37422747943281398</v>
      </c>
      <c r="R10" s="215">
        <f t="shared" si="2"/>
        <v>33.766257271057007</v>
      </c>
      <c r="T10" s="214">
        <f t="shared" si="3"/>
        <v>0</v>
      </c>
      <c r="U10" s="214">
        <f t="shared" si="3"/>
        <v>0</v>
      </c>
      <c r="V10" s="214">
        <f t="shared" si="3"/>
        <v>40</v>
      </c>
      <c r="W10" s="214">
        <f t="shared" si="3"/>
        <v>0</v>
      </c>
      <c r="X10" s="214">
        <f t="shared" si="3"/>
        <v>0</v>
      </c>
      <c r="Y10" s="214">
        <f t="shared" si="3"/>
        <v>0</v>
      </c>
      <c r="Z10" s="214">
        <f t="shared" si="3"/>
        <v>0</v>
      </c>
      <c r="AA10" s="214">
        <f t="shared" si="3"/>
        <v>0</v>
      </c>
      <c r="AB10" s="214">
        <f t="shared" si="3"/>
        <v>0</v>
      </c>
      <c r="AC10" s="214">
        <f t="shared" si="3"/>
        <v>0</v>
      </c>
      <c r="AD10" s="214">
        <f t="shared" si="3"/>
        <v>0</v>
      </c>
      <c r="AF10" s="214">
        <f>IF(AND(($D10+$C$1)&gt;AF$3,AF$3&gt;=$C$1),'General Inputs'!D$9*$G10,IF(AND(($C10+$C$1)&gt;AF$3,AF$3&gt;=$C$1),'General Inputs'!D$9*$F10,0))</f>
        <v>0</v>
      </c>
      <c r="AG10" s="214">
        <f>IF(AND(($D10+$C$1)&gt;AG$3,AG$3&gt;=$C$1),'General Inputs'!E$9*$G10,IF(AND(($C10+$C$1)&gt;AG$3,AG$3&gt;=$C$1),'General Inputs'!E$9*$F10,0))</f>
        <v>0</v>
      </c>
      <c r="AH10" s="214">
        <f>IF(AND(($D10+$C$1)&gt;AH$3,AH$3&gt;=$C$1),'General Inputs'!F$9*$G10,IF(AND(($C10+$C$1)&gt;AH$3,AH$3&gt;=$C$1),'General Inputs'!F$9*$F10,0))</f>
        <v>1.2989154320910608</v>
      </c>
      <c r="AI10" s="214">
        <f>IF(AND(($D10+$C$1)&gt;AI$3,AI$3&gt;=$C$1),'General Inputs'!G$9*$G10,IF(AND(($C10+$C$1)&gt;AI$3,AI$3&gt;=$C$1),'General Inputs'!G$9*$F10,0))</f>
        <v>1.3183991635724264</v>
      </c>
      <c r="AJ10" s="214">
        <f>IF(AND(($D10+$C$1)&gt;AJ$3,AJ$3&gt;=$C$1),'General Inputs'!H$9*$G10,IF(AND(($C10+$C$1)&gt;AJ$3,AJ$3&gt;=$C$1),'General Inputs'!H$9*$F10,0))</f>
        <v>1.3381751510260127</v>
      </c>
      <c r="AK10" s="214">
        <f>IF(AND(($D10+$C$1)&gt;AK$3,AK$3&gt;=$C$1),'General Inputs'!I$9*$G10,IF(AND(($C10+$C$1)&gt;AK$3,AK$3&gt;=$C$1),'General Inputs'!I$9*$F10,0))</f>
        <v>1.3582477782914026</v>
      </c>
      <c r="AL10" s="214">
        <f>IF(AND(($D10+$C$1)&gt;AL$3,AL$3&gt;=$C$1),'General Inputs'!J$9*$G10,IF(AND(($C10+$C$1)&gt;AL$3,AL$3&gt;=$C$1),'General Inputs'!J$9*$F10,0))</f>
        <v>1.3786214949657736</v>
      </c>
      <c r="AM10" s="214">
        <f>IF(AND(($D10+$C$1)&gt;AM$3,AM$3&gt;=$C$1),'General Inputs'!K$9*$G10,IF(AND(($C10+$C$1)&gt;AM$3,AM$3&gt;=$C$1),'General Inputs'!K$9*$F10,0))</f>
        <v>1.3993008173902599</v>
      </c>
      <c r="AN10" s="214">
        <f>IF(AND(($D10+$C$1)&gt;AN$3,AN$3&gt;=$C$1),'General Inputs'!L$9*$G10,IF(AND(($C10+$C$1)&gt;AN$3,AN$3&gt;=$C$1),'General Inputs'!L$9*$F10,0))</f>
        <v>1.4202903296511136</v>
      </c>
      <c r="AO10" s="214">
        <f>IF(AND(($D10+$C$1)&gt;AO$3,AO$3&gt;=$C$1),'General Inputs'!M$9*$G10,IF(AND(($C10+$C$1)&gt;AO$3,AO$3&gt;=$C$1),'General Inputs'!M$9*$F10,0))</f>
        <v>1.44159468459588</v>
      </c>
      <c r="AP10" s="214">
        <f>IF(AND(($D10+$C$1)&gt;AP$3,AP$3&gt;=$C$1),'General Inputs'!N$9*$G10,IF(AND(($C10+$C$1)&gt;AP$3,AP$3&gt;=$C$1),'General Inputs'!N$9*$F10,0))</f>
        <v>1.4632186048648184</v>
      </c>
      <c r="AQ10" s="214">
        <f>IF(AND(($D10+$C$1)&gt;AQ$3,AQ$3&gt;=$C$1),'General Inputs'!O$9*$G10,IF(AND(($C10+$C$1)&gt;AQ$3,AQ$3&gt;=$C$1),'General Inputs'!O$9*$F10,0))</f>
        <v>1.4851668839377903</v>
      </c>
      <c r="AR10" s="214">
        <f>IF(AND(($D10+$C$1)&gt;AR$3,AR$3&gt;=$C$1),'General Inputs'!P$9*$G10,IF(AND(($C10+$C$1)&gt;AR$3,AR$3&gt;=$C$1),'General Inputs'!P$9*$F10,0))</f>
        <v>1.507444387196857</v>
      </c>
      <c r="AS10" s="214">
        <f>IF(AND(($D10+$C$1)&gt;AS$3,AS$3&gt;=$C$1),'General Inputs'!Q$9*$G10,IF(AND(($C10+$C$1)&gt;AS$3,AS$3&gt;=$C$1),'General Inputs'!Q$9*$F10,0))</f>
        <v>0</v>
      </c>
      <c r="AT10" s="214">
        <f>IF(AND(($D10+$C$1)&gt;AT$3,AT$3&gt;=$C$1),'General Inputs'!R$9*$G10,IF(AND(($C10+$C$1)&gt;AT$3,AT$3&gt;=$C$1),'General Inputs'!R$9*$F10,0))</f>
        <v>0</v>
      </c>
      <c r="AU10" s="214">
        <f>IF(AND(($D10+$C$1)&gt;AU$3,AU$3&gt;=$C$1),'General Inputs'!S$9*$G10,IF(AND(($C10+$C$1)&gt;AU$3,AU$3&gt;=$C$1),'General Inputs'!S$9*$F10,0))</f>
        <v>0</v>
      </c>
      <c r="AV10" s="214">
        <f>IF(AND(($D10+$C$1)&gt;AV$3,AV$3&gt;=$C$1),'General Inputs'!T$9*$G10,IF(AND(($C10+$C$1)&gt;AV$3,AV$3&gt;=$C$1),'General Inputs'!T$9*$F10,0))</f>
        <v>0</v>
      </c>
      <c r="AW10" s="214">
        <f>IF(AND(($D10+$C$1)&gt;AW$3,AW$3&gt;=$C$1),'General Inputs'!U$9*$G10,IF(AND(($C10+$C$1)&gt;AW$3,AW$3&gt;=$C$1),'General Inputs'!U$9*$F10,0))</f>
        <v>0</v>
      </c>
      <c r="AX10" s="214">
        <f>IF(AND(($D10+$C$1)&gt;AX$3,AX$3&gt;=$C$1),'General Inputs'!V$9*$G10,IF(AND(($C10+$C$1)&gt;AX$3,AX$3&gt;=$C$1),'General Inputs'!V$9*$F10,0))</f>
        <v>0</v>
      </c>
      <c r="AY10" s="214">
        <f>IF(AND(($D10+$C$1)&gt;AY$3,AY$3&gt;=$C$1),'General Inputs'!W$9*$G10,IF(AND(($C10+$C$1)&gt;AY$3,AY$3&gt;=$C$1),'General Inputs'!W$9*$F10,0))</f>
        <v>0</v>
      </c>
      <c r="BA10" s="214">
        <f>IF(AND(($D10+$C$1)&gt;AF$3,AF$3&gt;=$C$1),'General Inputs'!D$10*$I10,IF(AND(($C10+$C$1)&gt;AF$3,AF$3&gt;=$C$1),'General Inputs'!D$10*$H10,0))</f>
        <v>0</v>
      </c>
      <c r="BB10" s="214">
        <f>IF(AND(($D10+$C$1)&gt;AG$3,AG$3&gt;=$C$1),'General Inputs'!E$10*$I10,IF(AND(($C10+$C$1)&gt;AG$3,AG$3&gt;=$C$1),'General Inputs'!E$10*$H10,0))</f>
        <v>0</v>
      </c>
      <c r="BC10" s="214">
        <f>IF(AND(($D10+$C$1)&gt;AH$3,AH$3&gt;=$C$1),'General Inputs'!F$10*$I10,IF(AND(($C10+$C$1)&gt;AH$3,AH$3&gt;=$C$1),'General Inputs'!F$10*$H10,0))</f>
        <v>5.5769774458361114E-2</v>
      </c>
      <c r="BD10" s="214">
        <f>IF(AND(($D10+$C$1)&gt;AI$3,AI$3&gt;=$C$1),'General Inputs'!G$10*$I10,IF(AND(($C10+$C$1)&gt;AI$3,AI$3&gt;=$C$1),'General Inputs'!G$10*$H10,0))</f>
        <v>5.6606321075236526E-2</v>
      </c>
      <c r="BE10" s="214">
        <f>IF(AND(($D10+$C$1)&gt;AJ$3,AJ$3&gt;=$C$1),'General Inputs'!H$10*$I10,IF(AND(($C10+$C$1)&gt;AJ$3,AJ$3&gt;=$C$1),'General Inputs'!H$10*$H10,0))</f>
        <v>5.7455415891365068E-2</v>
      </c>
      <c r="BF10" s="214">
        <f>IF(AND(($D10+$C$1)&gt;AK$3,AK$3&gt;=$C$1),'General Inputs'!I$10*$I10,IF(AND(($C10+$C$1)&gt;AK$3,AK$3&gt;=$C$1),'General Inputs'!I$10*$H10,0))</f>
        <v>5.831724712973553E-2</v>
      </c>
      <c r="BG10" s="214">
        <f>IF(AND(($D10+$C$1)&gt;AL$3,AL$3&gt;=$C$1),'General Inputs'!J$10*$I10,IF(AND(($C10+$C$1)&gt;AL$3,AL$3&gt;=$C$1),'General Inputs'!J$10*$H10,0))</f>
        <v>5.9192005836681556E-2</v>
      </c>
      <c r="BH10" s="214">
        <f>IF(AND(($D10+$C$1)&gt;AM$3,AM$3&gt;=$C$1),'General Inputs'!K$10*$I10,IF(AND(($C10+$C$1)&gt;AM$3,AM$3&gt;=$C$1),'General Inputs'!K$10*$H10,0))</f>
        <v>6.0079885924231774E-2</v>
      </c>
      <c r="BI10" s="214">
        <f>IF(AND(($D10+$C$1)&gt;AN$3,AN$3&gt;=$C$1),'General Inputs'!L$10*$I10,IF(AND(($C10+$C$1)&gt;AN$3,AN$3&gt;=$C$1),'General Inputs'!L$10*$H10,0))</f>
        <v>6.0981084213095248E-2</v>
      </c>
      <c r="BJ10" s="214">
        <f>IF(AND(($D10+$C$1)&gt;AO$3,AO$3&gt;=$C$1),'General Inputs'!M$10*$I10,IF(AND(($C10+$C$1)&gt;AO$3,AO$3&gt;=$C$1),'General Inputs'!M$10*$H10,0))</f>
        <v>6.1895800476291674E-2</v>
      </c>
      <c r="BK10" s="214">
        <f>IF(AND(($D10+$C$1)&gt;AP$3,AP$3&gt;=$C$1),'General Inputs'!N$10*$I10,IF(AND(($C10+$C$1)&gt;AP$3,AP$3&gt;=$C$1),'General Inputs'!N$10*$H10,0))</f>
        <v>6.2824237483436046E-2</v>
      </c>
      <c r="BL10" s="214">
        <f>IF(AND(($D10+$C$1)&gt;AQ$3,AQ$3&gt;=$C$1),'General Inputs'!O$10*$I10,IF(AND(($C10+$C$1)&gt;AQ$3,AQ$3&gt;=$C$1),'General Inputs'!O$10*$H10,0))</f>
        <v>6.3766601045687571E-2</v>
      </c>
      <c r="BM10" s="214">
        <f>IF(AND(($D10+$C$1)&gt;AR$3,AR$3&gt;=$C$1),'General Inputs'!P$10*$I10,IF(AND(($C10+$C$1)&gt;AR$3,AR$3&gt;=$C$1),'General Inputs'!P$10*$H10,0))</f>
        <v>6.4723100061372885E-2</v>
      </c>
      <c r="BN10" s="214">
        <f>IF(AND(($D10+$C$1)&gt;AS$3,AS$3&gt;=$C$1),'General Inputs'!Q$10*$I10,IF(AND(($C10+$C$1)&gt;AS$3,AS$3&gt;=$C$1),'General Inputs'!Q$10*$H10,0))</f>
        <v>0</v>
      </c>
      <c r="BO10" s="214">
        <f>IF(AND(($D10+$C$1)&gt;AT$3,AT$3&gt;=$C$1),'General Inputs'!R$10*$I10,IF(AND(($C10+$C$1)&gt;AT$3,AT$3&gt;=$C$1),'General Inputs'!R$10*$H10,0))</f>
        <v>0</v>
      </c>
      <c r="BP10" s="214">
        <f>IF(AND(($D10+$C$1)&gt;AU$3,AU$3&gt;=$C$1),'General Inputs'!S$10*$I10,IF(AND(($C10+$C$1)&gt;AU$3,AU$3&gt;=$C$1),'General Inputs'!S$10*$H10,0))</f>
        <v>0</v>
      </c>
      <c r="BQ10" s="214">
        <f>IF(AND(($D10+$C$1)&gt;AV$3,AV$3&gt;=$C$1),'General Inputs'!T$10*$I10,IF(AND(($C10+$C$1)&gt;AV$3,AV$3&gt;=$C$1),'General Inputs'!T$10*$H10,0))</f>
        <v>0</v>
      </c>
      <c r="BR10" s="214">
        <f>IF(AND(($D10+$C$1)&gt;AW$3,AW$3&gt;=$C$1),'General Inputs'!U$10*$I10,IF(AND(($C10+$C$1)&gt;AW$3,AW$3&gt;=$C$1),'General Inputs'!U$10*$H10,0))</f>
        <v>0</v>
      </c>
      <c r="BS10" s="214">
        <f>IF(AND(($D10+$C$1)&gt;AX$3,AX$3&gt;=$C$1),'General Inputs'!V$10*$I10,IF(AND(($C10+$C$1)&gt;AX$3,AX$3&gt;=$C$1),'General Inputs'!V$10*$H10,0))</f>
        <v>0</v>
      </c>
      <c r="BT10" s="214">
        <f>IF(AND(($D10+$C$1)&gt;AY$3,AY$3&gt;=$C$1),'General Inputs'!W$10*$I10,IF(AND(($C10+$C$1)&gt;AY$3,AY$3&gt;=$C$1),'General Inputs'!W$10*$H10,0))</f>
        <v>0</v>
      </c>
    </row>
    <row r="11" spans="1:73">
      <c r="A11" s="342" t="s">
        <v>12</v>
      </c>
      <c r="B11" s="427" t="str">
        <f>Sources!B11</f>
        <v>ES Dishwasher (Electric DHW)</v>
      </c>
      <c r="C11" s="193">
        <f>Sources!C11</f>
        <v>10</v>
      </c>
      <c r="D11" s="193">
        <f>Sources!D11</f>
        <v>0</v>
      </c>
      <c r="F11" s="429">
        <f>Sources!F11*EnergyLineLoss</f>
        <v>12.564</v>
      </c>
      <c r="G11" s="429">
        <f>Sources!G11*EnergyLineLoss</f>
        <v>0</v>
      </c>
      <c r="H11" s="477">
        <f>Sources!H11*PeakLineLoss</f>
        <v>6.040384615384615E-3</v>
      </c>
      <c r="I11" s="477">
        <f>Sources!I11*PeakLineLoss</f>
        <v>0</v>
      </c>
      <c r="K11" s="419">
        <f>Sources!J11</f>
        <v>50</v>
      </c>
      <c r="L11" s="419">
        <f>Sources!K11</f>
        <v>0</v>
      </c>
      <c r="N11" s="438">
        <f t="shared" si="4"/>
        <v>9.0685714712821316E-2</v>
      </c>
      <c r="P11" s="215">
        <f t="shared" si="0"/>
        <v>3.241501535122421</v>
      </c>
      <c r="Q11" s="215">
        <f t="shared" si="1"/>
        <v>0.58614493213108443</v>
      </c>
      <c r="R11" s="215">
        <f t="shared" si="2"/>
        <v>42.207821588821261</v>
      </c>
      <c r="T11" s="214">
        <f t="shared" si="3"/>
        <v>0</v>
      </c>
      <c r="U11" s="214">
        <f t="shared" si="3"/>
        <v>0</v>
      </c>
      <c r="V11" s="214">
        <f t="shared" si="3"/>
        <v>50</v>
      </c>
      <c r="W11" s="214">
        <f t="shared" si="3"/>
        <v>0</v>
      </c>
      <c r="X11" s="214">
        <f t="shared" si="3"/>
        <v>0</v>
      </c>
      <c r="Y11" s="214">
        <f t="shared" si="3"/>
        <v>0</v>
      </c>
      <c r="Z11" s="214">
        <f t="shared" si="3"/>
        <v>0</v>
      </c>
      <c r="AA11" s="214">
        <f t="shared" si="3"/>
        <v>0</v>
      </c>
      <c r="AB11" s="214">
        <f t="shared" si="3"/>
        <v>0</v>
      </c>
      <c r="AC11" s="214">
        <f t="shared" si="3"/>
        <v>0</v>
      </c>
      <c r="AD11" s="214">
        <f t="shared" si="3"/>
        <v>0</v>
      </c>
      <c r="AF11" s="214">
        <f>IF(AND(($D11+$C$1)&gt;AF$3,AF$3&gt;=$C$1),'General Inputs'!D$9*$G11,IF(AND(($C11+$C$1)&gt;AF$3,AF$3&gt;=$C$1),'General Inputs'!D$9*$F11,0))</f>
        <v>0</v>
      </c>
      <c r="AG11" s="214">
        <f>IF(AND(($D11+$C$1)&gt;AG$3,AG$3&gt;=$C$1),'General Inputs'!E$9*$G11,IF(AND(($C11+$C$1)&gt;AG$3,AG$3&gt;=$C$1),'General Inputs'!E$9*$F11,0))</f>
        <v>0</v>
      </c>
      <c r="AH11" s="214">
        <f>IF(AND(($D11+$C$1)&gt;AH$3,AH$3&gt;=$C$1),'General Inputs'!F$9*$G11,IF(AND(($C11+$C$1)&gt;AH$3,AH$3&gt;=$C$1),'General Inputs'!F$9*$F11,0))</f>
        <v>0.51531993655917629</v>
      </c>
      <c r="AI11" s="214">
        <f>IF(AND(($D11+$C$1)&gt;AI$3,AI$3&gt;=$C$1),'General Inputs'!G$9*$G11,IF(AND(($C11+$C$1)&gt;AI$3,AI$3&gt;=$C$1),'General Inputs'!G$9*$F11,0))</f>
        <v>0.52304973560756396</v>
      </c>
      <c r="AJ11" s="214">
        <f>IF(AND(($D11+$C$1)&gt;AJ$3,AJ$3&gt;=$C$1),'General Inputs'!H$9*$G11,IF(AND(($C11+$C$1)&gt;AJ$3,AJ$3&gt;=$C$1),'General Inputs'!H$9*$F11,0))</f>
        <v>0.53089548164167732</v>
      </c>
      <c r="AK11" s="214">
        <f>IF(AND(($D11+$C$1)&gt;AK$3,AK$3&gt;=$C$1),'General Inputs'!I$9*$G11,IF(AND(($C11+$C$1)&gt;AK$3,AK$3&gt;=$C$1),'General Inputs'!I$9*$F11,0))</f>
        <v>0.53885891386630236</v>
      </c>
      <c r="AL11" s="214">
        <f>IF(AND(($D11+$C$1)&gt;AL$3,AL$3&gt;=$C$1),'General Inputs'!J$9*$G11,IF(AND(($C11+$C$1)&gt;AL$3,AL$3&gt;=$C$1),'General Inputs'!J$9*$F11,0))</f>
        <v>0.54694179757429684</v>
      </c>
      <c r="AM11" s="214">
        <f>IF(AND(($D11+$C$1)&gt;AM$3,AM$3&gt;=$C$1),'General Inputs'!K$9*$G11,IF(AND(($C11+$C$1)&gt;AM$3,AM$3&gt;=$C$1),'General Inputs'!K$9*$F11,0))</f>
        <v>0.55514592453791123</v>
      </c>
      <c r="AN11" s="214">
        <f>IF(AND(($D11+$C$1)&gt;AN$3,AN$3&gt;=$C$1),'General Inputs'!L$9*$G11,IF(AND(($C11+$C$1)&gt;AN$3,AN$3&gt;=$C$1),'General Inputs'!L$9*$F11,0))</f>
        <v>0.56347311340597983</v>
      </c>
      <c r="AO11" s="214">
        <f>IF(AND(($D11+$C$1)&gt;AO$3,AO$3&gt;=$C$1),'General Inputs'!M$9*$G11,IF(AND(($C11+$C$1)&gt;AO$3,AO$3&gt;=$C$1),'General Inputs'!M$9*$F11,0))</f>
        <v>0.57192521010706943</v>
      </c>
      <c r="AP11" s="214">
        <f>IF(AND(($D11+$C$1)&gt;AP$3,AP$3&gt;=$C$1),'General Inputs'!N$9*$G11,IF(AND(($C11+$C$1)&gt;AP$3,AP$3&gt;=$C$1),'General Inputs'!N$9*$F11,0))</f>
        <v>0.5805040882586755</v>
      </c>
      <c r="AQ11" s="214">
        <f>IF(AND(($D11+$C$1)&gt;AQ$3,AQ$3&gt;=$C$1),'General Inputs'!O$9*$G11,IF(AND(($C11+$C$1)&gt;AQ$3,AQ$3&gt;=$C$1),'General Inputs'!O$9*$F11,0))</f>
        <v>0.58921164958255545</v>
      </c>
      <c r="AR11" s="214">
        <f>IF(AND(($D11+$C$1)&gt;AR$3,AR$3&gt;=$C$1),'General Inputs'!P$9*$G11,IF(AND(($C11+$C$1)&gt;AR$3,AR$3&gt;=$C$1),'General Inputs'!P$9*$F11,0))</f>
        <v>0</v>
      </c>
      <c r="AS11" s="214">
        <f>IF(AND(($D11+$C$1)&gt;AS$3,AS$3&gt;=$C$1),'General Inputs'!Q$9*$G11,IF(AND(($C11+$C$1)&gt;AS$3,AS$3&gt;=$C$1),'General Inputs'!Q$9*$F11,0))</f>
        <v>0</v>
      </c>
      <c r="AT11" s="214">
        <f>IF(AND(($D11+$C$1)&gt;AT$3,AT$3&gt;=$C$1),'General Inputs'!R$9*$G11,IF(AND(($C11+$C$1)&gt;AT$3,AT$3&gt;=$C$1),'General Inputs'!R$9*$F11,0))</f>
        <v>0</v>
      </c>
      <c r="AU11" s="214">
        <f>IF(AND(($D11+$C$1)&gt;AU$3,AU$3&gt;=$C$1),'General Inputs'!S$9*$G11,IF(AND(($C11+$C$1)&gt;AU$3,AU$3&gt;=$C$1),'General Inputs'!S$9*$F11,0))</f>
        <v>0</v>
      </c>
      <c r="AV11" s="214">
        <f>IF(AND(($D11+$C$1)&gt;AV$3,AV$3&gt;=$C$1),'General Inputs'!T$9*$G11,IF(AND(($C11+$C$1)&gt;AV$3,AV$3&gt;=$C$1),'General Inputs'!T$9*$F11,0))</f>
        <v>0</v>
      </c>
      <c r="AW11" s="214">
        <f>IF(AND(($D11+$C$1)&gt;AW$3,AW$3&gt;=$C$1),'General Inputs'!U$9*$G11,IF(AND(($C11+$C$1)&gt;AW$3,AW$3&gt;=$C$1),'General Inputs'!U$9*$F11,0))</f>
        <v>0</v>
      </c>
      <c r="AX11" s="214">
        <f>IF(AND(($D11+$C$1)&gt;AX$3,AX$3&gt;=$C$1),'General Inputs'!V$9*$G11,IF(AND(($C11+$C$1)&gt;AX$3,AX$3&gt;=$C$1),'General Inputs'!V$9*$F11,0))</f>
        <v>0</v>
      </c>
      <c r="AY11" s="214">
        <f>IF(AND(($D11+$C$1)&gt;AY$3,AY$3&gt;=$C$1),'General Inputs'!W$9*$G11,IF(AND(($C11+$C$1)&gt;AY$3,AY$3&gt;=$C$1),'General Inputs'!W$9*$F11,0))</f>
        <v>0</v>
      </c>
      <c r="BA11" s="214">
        <f>IF(AND(($D11+$C$1)&gt;AF$3,AF$3&gt;=$C$1),'General Inputs'!D$10*$I11,IF(AND(($C11+$C$1)&gt;AF$3,AF$3&gt;=$C$1),'General Inputs'!D$10*$H11,0))</f>
        <v>0</v>
      </c>
      <c r="BB11" s="214">
        <f>IF(AND(($D11+$C$1)&gt;AG$3,AG$3&gt;=$C$1),'General Inputs'!E$10*$I11,IF(AND(($C11+$C$1)&gt;AG$3,AG$3&gt;=$C$1),'General Inputs'!E$10*$H11,0))</f>
        <v>0</v>
      </c>
      <c r="BC11" s="214">
        <f>IF(AND(($D11+$C$1)&gt;AH$3,AH$3&gt;=$C$1),'General Inputs'!F$10*$I11,IF(AND(($C11+$C$1)&gt;AH$3,AH$3&gt;=$C$1),'General Inputs'!F$10*$H11,0))</f>
        <v>9.318279382794295E-2</v>
      </c>
      <c r="BD11" s="214">
        <f>IF(AND(($D11+$C$1)&gt;AI$3,AI$3&gt;=$C$1),'General Inputs'!G$10*$I11,IF(AND(($C11+$C$1)&gt;AI$3,AI$3&gt;=$C$1),'General Inputs'!G$10*$H11,0))</f>
        <v>9.4580535735362084E-2</v>
      </c>
      <c r="BE11" s="214">
        <f>IF(AND(($D11+$C$1)&gt;AJ$3,AJ$3&gt;=$C$1),'General Inputs'!H$10*$I11,IF(AND(($C11+$C$1)&gt;AJ$3,AJ$3&gt;=$C$1),'General Inputs'!H$10*$H11,0))</f>
        <v>9.5999243771392503E-2</v>
      </c>
      <c r="BF11" s="214">
        <f>IF(AND(($D11+$C$1)&gt;AK$3,AK$3&gt;=$C$1),'General Inputs'!I$10*$I11,IF(AND(($C11+$C$1)&gt;AK$3,AK$3&gt;=$C$1),'General Inputs'!I$10*$H11,0))</f>
        <v>9.7439232427963374E-2</v>
      </c>
      <c r="BG11" s="214">
        <f>IF(AND(($D11+$C$1)&gt;AL$3,AL$3&gt;=$C$1),'General Inputs'!J$10*$I11,IF(AND(($C11+$C$1)&gt;AL$3,AL$3&gt;=$C$1),'General Inputs'!J$10*$H11,0))</f>
        <v>9.8900820914382806E-2</v>
      </c>
      <c r="BH11" s="214">
        <f>IF(AND(($D11+$C$1)&gt;AM$3,AM$3&gt;=$C$1),'General Inputs'!K$10*$I11,IF(AND(($C11+$C$1)&gt;AM$3,AM$3&gt;=$C$1),'General Inputs'!K$10*$H11,0))</f>
        <v>0.10038433322809855</v>
      </c>
      <c r="BI11" s="214">
        <f>IF(AND(($D11+$C$1)&gt;AN$3,AN$3&gt;=$C$1),'General Inputs'!L$10*$I11,IF(AND(($C11+$C$1)&gt;AN$3,AN$3&gt;=$C$1),'General Inputs'!L$10*$H11,0))</f>
        <v>0.10189009822652002</v>
      </c>
      <c r="BJ11" s="214">
        <f>IF(AND(($D11+$C$1)&gt;AO$3,AO$3&gt;=$C$1),'General Inputs'!M$10*$I11,IF(AND(($C11+$C$1)&gt;AO$3,AO$3&gt;=$C$1),'General Inputs'!M$10*$H11,0))</f>
        <v>0.10341844969991781</v>
      </c>
      <c r="BK11" s="214">
        <f>IF(AND(($D11+$C$1)&gt;AP$3,AP$3&gt;=$C$1),'General Inputs'!N$10*$I11,IF(AND(($C11+$C$1)&gt;AP$3,AP$3&gt;=$C$1),'General Inputs'!N$10*$H11,0))</f>
        <v>0.10496972644541656</v>
      </c>
      <c r="BL11" s="214">
        <f>IF(AND(($D11+$C$1)&gt;AQ$3,AQ$3&gt;=$C$1),'General Inputs'!O$10*$I11,IF(AND(($C11+$C$1)&gt;AQ$3,AQ$3&gt;=$C$1),'General Inputs'!O$10*$H11,0))</f>
        <v>0.1065442723420978</v>
      </c>
      <c r="BM11" s="214">
        <f>IF(AND(($D11+$C$1)&gt;AR$3,AR$3&gt;=$C$1),'General Inputs'!P$10*$I11,IF(AND(($C11+$C$1)&gt;AR$3,AR$3&gt;=$C$1),'General Inputs'!P$10*$H11,0))</f>
        <v>0</v>
      </c>
      <c r="BN11" s="214">
        <f>IF(AND(($D11+$C$1)&gt;AS$3,AS$3&gt;=$C$1),'General Inputs'!Q$10*$I11,IF(AND(($C11+$C$1)&gt;AS$3,AS$3&gt;=$C$1),'General Inputs'!Q$10*$H11,0))</f>
        <v>0</v>
      </c>
      <c r="BO11" s="214">
        <f>IF(AND(($D11+$C$1)&gt;AT$3,AT$3&gt;=$C$1),'General Inputs'!R$10*$I11,IF(AND(($C11+$C$1)&gt;AT$3,AT$3&gt;=$C$1),'General Inputs'!R$10*$H11,0))</f>
        <v>0</v>
      </c>
      <c r="BP11" s="214">
        <f>IF(AND(($D11+$C$1)&gt;AU$3,AU$3&gt;=$C$1),'General Inputs'!S$10*$I11,IF(AND(($C11+$C$1)&gt;AU$3,AU$3&gt;=$C$1),'General Inputs'!S$10*$H11,0))</f>
        <v>0</v>
      </c>
      <c r="BQ11" s="214">
        <f>IF(AND(($D11+$C$1)&gt;AV$3,AV$3&gt;=$C$1),'General Inputs'!T$10*$I11,IF(AND(($C11+$C$1)&gt;AV$3,AV$3&gt;=$C$1),'General Inputs'!T$10*$H11,0))</f>
        <v>0</v>
      </c>
      <c r="BR11" s="214">
        <f>IF(AND(($D11+$C$1)&gt;AW$3,AW$3&gt;=$C$1),'General Inputs'!U$10*$I11,IF(AND(($C11+$C$1)&gt;AW$3,AW$3&gt;=$C$1),'General Inputs'!U$10*$H11,0))</f>
        <v>0</v>
      </c>
      <c r="BS11" s="214">
        <f>IF(AND(($D11+$C$1)&gt;AX$3,AX$3&gt;=$C$1),'General Inputs'!V$10*$I11,IF(AND(($C11+$C$1)&gt;AX$3,AX$3&gt;=$C$1),'General Inputs'!V$10*$H11,0))</f>
        <v>0</v>
      </c>
      <c r="BT11" s="214">
        <f>IF(AND(($D11+$C$1)&gt;AY$3,AY$3&gt;=$C$1),'General Inputs'!W$10*$I11,IF(AND(($C11+$C$1)&gt;AY$3,AY$3&gt;=$C$1),'General Inputs'!W$10*$H11,0))</f>
        <v>0</v>
      </c>
    </row>
    <row r="12" spans="1:73">
      <c r="A12" s="341" t="s">
        <v>12</v>
      </c>
      <c r="B12" s="427" t="str">
        <f>Sources!B12</f>
        <v>ES Dishwasher (Gas DHW)</v>
      </c>
      <c r="C12" s="193">
        <f>Sources!C12</f>
        <v>10</v>
      </c>
      <c r="D12" s="193">
        <f>Sources!D12</f>
        <v>0</v>
      </c>
      <c r="F12" s="429">
        <f>Sources!F12*EnergyLineLoss</f>
        <v>5.5281600000000006</v>
      </c>
      <c r="G12" s="429">
        <f>Sources!G12*EnergyLineLoss</f>
        <v>0</v>
      </c>
      <c r="H12" s="477">
        <f>Sources!H12*PeakLineLoss</f>
        <v>2.6577692307692313E-3</v>
      </c>
      <c r="I12" s="477">
        <f>Sources!I12*PeakLineLoss</f>
        <v>0</v>
      </c>
      <c r="K12" s="419">
        <f>Sources!J12</f>
        <v>50</v>
      </c>
      <c r="L12" s="419">
        <f>Sources!K12</f>
        <v>0</v>
      </c>
      <c r="N12" s="438">
        <f t="shared" si="4"/>
        <v>3.9901714473641381E-2</v>
      </c>
      <c r="P12" s="215">
        <f t="shared" si="0"/>
        <v>1.4262606754538651</v>
      </c>
      <c r="Q12" s="215">
        <f t="shared" si="1"/>
        <v>0.25790377013767718</v>
      </c>
      <c r="R12" s="215">
        <f t="shared" si="2"/>
        <v>42.207821588821261</v>
      </c>
      <c r="T12" s="214">
        <f t="shared" si="3"/>
        <v>0</v>
      </c>
      <c r="U12" s="214">
        <f t="shared" si="3"/>
        <v>0</v>
      </c>
      <c r="V12" s="214">
        <f t="shared" si="3"/>
        <v>50</v>
      </c>
      <c r="W12" s="214">
        <f t="shared" si="3"/>
        <v>0</v>
      </c>
      <c r="X12" s="214">
        <f t="shared" si="3"/>
        <v>0</v>
      </c>
      <c r="Y12" s="214">
        <f t="shared" si="3"/>
        <v>0</v>
      </c>
      <c r="Z12" s="214">
        <f t="shared" si="3"/>
        <v>0</v>
      </c>
      <c r="AA12" s="214">
        <f t="shared" si="3"/>
        <v>0</v>
      </c>
      <c r="AB12" s="214">
        <f t="shared" si="3"/>
        <v>0</v>
      </c>
      <c r="AC12" s="214">
        <f t="shared" si="3"/>
        <v>0</v>
      </c>
      <c r="AD12" s="214">
        <f t="shared" si="3"/>
        <v>0</v>
      </c>
      <c r="AF12" s="214">
        <f>IF(AND(($D12+$C$1)&gt;AF$3,AF$3&gt;=$C$1),'General Inputs'!D$9*$G12,IF(AND(($C12+$C$1)&gt;AF$3,AF$3&gt;=$C$1),'General Inputs'!D$9*$F12,0))</f>
        <v>0</v>
      </c>
      <c r="AG12" s="214">
        <f>IF(AND(($D12+$C$1)&gt;AG$3,AG$3&gt;=$C$1),'General Inputs'!E$9*$G12,IF(AND(($C12+$C$1)&gt;AG$3,AG$3&gt;=$C$1),'General Inputs'!E$9*$F12,0))</f>
        <v>0</v>
      </c>
      <c r="AH12" s="214">
        <f>IF(AND(($D12+$C$1)&gt;AH$3,AH$3&gt;=$C$1),'General Inputs'!F$9*$G12,IF(AND(($C12+$C$1)&gt;AH$3,AH$3&gt;=$C$1),'General Inputs'!F$9*$F12,0))</f>
        <v>0.2267407720860376</v>
      </c>
      <c r="AI12" s="214">
        <f>IF(AND(($D12+$C$1)&gt;AI$3,AI$3&gt;=$C$1),'General Inputs'!G$9*$G12,IF(AND(($C12+$C$1)&gt;AI$3,AI$3&gt;=$C$1),'General Inputs'!G$9*$F12,0))</f>
        <v>0.23014188366732816</v>
      </c>
      <c r="AJ12" s="214">
        <f>IF(AND(($D12+$C$1)&gt;AJ$3,AJ$3&gt;=$C$1),'General Inputs'!H$9*$G12,IF(AND(($C12+$C$1)&gt;AJ$3,AJ$3&gt;=$C$1),'General Inputs'!H$9*$F12,0))</f>
        <v>0.23359401192233803</v>
      </c>
      <c r="AK12" s="214">
        <f>IF(AND(($D12+$C$1)&gt;AK$3,AK$3&gt;=$C$1),'General Inputs'!I$9*$G12,IF(AND(($C12+$C$1)&gt;AK$3,AK$3&gt;=$C$1),'General Inputs'!I$9*$F12,0))</f>
        <v>0.23709792210117309</v>
      </c>
      <c r="AL12" s="214">
        <f>IF(AND(($D12+$C$1)&gt;AL$3,AL$3&gt;=$C$1),'General Inputs'!J$9*$G12,IF(AND(($C12+$C$1)&gt;AL$3,AL$3&gt;=$C$1),'General Inputs'!J$9*$F12,0))</f>
        <v>0.24065439093269064</v>
      </c>
      <c r="AM12" s="214">
        <f>IF(AND(($D12+$C$1)&gt;AM$3,AM$3&gt;=$C$1),'General Inputs'!K$9*$G12,IF(AND(($C12+$C$1)&gt;AM$3,AM$3&gt;=$C$1),'General Inputs'!K$9*$F12,0))</f>
        <v>0.24426420679668095</v>
      </c>
      <c r="AN12" s="214">
        <f>IF(AND(($D12+$C$1)&gt;AN$3,AN$3&gt;=$C$1),'General Inputs'!L$9*$G12,IF(AND(($C12+$C$1)&gt;AN$3,AN$3&gt;=$C$1),'General Inputs'!L$9*$F12,0))</f>
        <v>0.24792816989863115</v>
      </c>
      <c r="AO12" s="214">
        <f>IF(AND(($D12+$C$1)&gt;AO$3,AO$3&gt;=$C$1),'General Inputs'!M$9*$G12,IF(AND(($C12+$C$1)&gt;AO$3,AO$3&gt;=$C$1),'General Inputs'!M$9*$F12,0))</f>
        <v>0.25164709244711059</v>
      </c>
      <c r="AP12" s="214">
        <f>IF(AND(($D12+$C$1)&gt;AP$3,AP$3&gt;=$C$1),'General Inputs'!N$9*$G12,IF(AND(($C12+$C$1)&gt;AP$3,AP$3&gt;=$C$1),'General Inputs'!N$9*$F12,0))</f>
        <v>0.25542179883381722</v>
      </c>
      <c r="AQ12" s="214">
        <f>IF(AND(($D12+$C$1)&gt;AQ$3,AQ$3&gt;=$C$1),'General Inputs'!O$9*$G12,IF(AND(($C12+$C$1)&gt;AQ$3,AQ$3&gt;=$C$1),'General Inputs'!O$9*$F12,0))</f>
        <v>0.25925312581632443</v>
      </c>
      <c r="AR12" s="214">
        <f>IF(AND(($D12+$C$1)&gt;AR$3,AR$3&gt;=$C$1),'General Inputs'!P$9*$G12,IF(AND(($C12+$C$1)&gt;AR$3,AR$3&gt;=$C$1),'General Inputs'!P$9*$F12,0))</f>
        <v>0</v>
      </c>
      <c r="AS12" s="214">
        <f>IF(AND(($D12+$C$1)&gt;AS$3,AS$3&gt;=$C$1),'General Inputs'!Q$9*$G12,IF(AND(($C12+$C$1)&gt;AS$3,AS$3&gt;=$C$1),'General Inputs'!Q$9*$F12,0))</f>
        <v>0</v>
      </c>
      <c r="AT12" s="214">
        <f>IF(AND(($D12+$C$1)&gt;AT$3,AT$3&gt;=$C$1),'General Inputs'!R$9*$G12,IF(AND(($C12+$C$1)&gt;AT$3,AT$3&gt;=$C$1),'General Inputs'!R$9*$F12,0))</f>
        <v>0</v>
      </c>
      <c r="AU12" s="214">
        <f>IF(AND(($D12+$C$1)&gt;AU$3,AU$3&gt;=$C$1),'General Inputs'!S$9*$G12,IF(AND(($C12+$C$1)&gt;AU$3,AU$3&gt;=$C$1),'General Inputs'!S$9*$F12,0))</f>
        <v>0</v>
      </c>
      <c r="AV12" s="214">
        <f>IF(AND(($D12+$C$1)&gt;AV$3,AV$3&gt;=$C$1),'General Inputs'!T$9*$G12,IF(AND(($C12+$C$1)&gt;AV$3,AV$3&gt;=$C$1),'General Inputs'!T$9*$F12,0))</f>
        <v>0</v>
      </c>
      <c r="AW12" s="214">
        <f>IF(AND(($D12+$C$1)&gt;AW$3,AW$3&gt;=$C$1),'General Inputs'!U$9*$G12,IF(AND(($C12+$C$1)&gt;AW$3,AW$3&gt;=$C$1),'General Inputs'!U$9*$F12,0))</f>
        <v>0</v>
      </c>
      <c r="AX12" s="214">
        <f>IF(AND(($D12+$C$1)&gt;AX$3,AX$3&gt;=$C$1),'General Inputs'!V$9*$G12,IF(AND(($C12+$C$1)&gt;AX$3,AX$3&gt;=$C$1),'General Inputs'!V$9*$F12,0))</f>
        <v>0</v>
      </c>
      <c r="AY12" s="214">
        <f>IF(AND(($D12+$C$1)&gt;AY$3,AY$3&gt;=$C$1),'General Inputs'!W$9*$G12,IF(AND(($C12+$C$1)&gt;AY$3,AY$3&gt;=$C$1),'General Inputs'!W$9*$F12,0))</f>
        <v>0</v>
      </c>
      <c r="BA12" s="214">
        <f>IF(AND(($D12+$C$1)&gt;AF$3,AF$3&gt;=$C$1),'General Inputs'!D$10*$I12,IF(AND(($C12+$C$1)&gt;AF$3,AF$3&gt;=$C$1),'General Inputs'!D$10*$H12,0))</f>
        <v>0</v>
      </c>
      <c r="BB12" s="214">
        <f>IF(AND(($D12+$C$1)&gt;AG$3,AG$3&gt;=$C$1),'General Inputs'!E$10*$I12,IF(AND(($C12+$C$1)&gt;AG$3,AG$3&gt;=$C$1),'General Inputs'!E$10*$H12,0))</f>
        <v>0</v>
      </c>
      <c r="BC12" s="214">
        <f>IF(AND(($D12+$C$1)&gt;AH$3,AH$3&gt;=$C$1),'General Inputs'!F$10*$I12,IF(AND(($C12+$C$1)&gt;AH$3,AH$3&gt;=$C$1),'General Inputs'!F$10*$H12,0))</f>
        <v>4.1000429284294905E-2</v>
      </c>
      <c r="BD12" s="214">
        <f>IF(AND(($D12+$C$1)&gt;AI$3,AI$3&gt;=$C$1),'General Inputs'!G$10*$I12,IF(AND(($C12+$C$1)&gt;AI$3,AI$3&gt;=$C$1),'General Inputs'!G$10*$H12,0))</f>
        <v>4.161543572355933E-2</v>
      </c>
      <c r="BE12" s="214">
        <f>IF(AND(($D12+$C$1)&gt;AJ$3,AJ$3&gt;=$C$1),'General Inputs'!H$10*$I12,IF(AND(($C12+$C$1)&gt;AJ$3,AJ$3&gt;=$C$1),'General Inputs'!H$10*$H12,0))</f>
        <v>4.2239667259412715E-2</v>
      </c>
      <c r="BF12" s="214">
        <f>IF(AND(($D12+$C$1)&gt;AK$3,AK$3&gt;=$C$1),'General Inputs'!I$10*$I12,IF(AND(($C12+$C$1)&gt;AK$3,AK$3&gt;=$C$1),'General Inputs'!I$10*$H12,0))</f>
        <v>4.2873262268303895E-2</v>
      </c>
      <c r="BG12" s="214">
        <f>IF(AND(($D12+$C$1)&gt;AL$3,AL$3&gt;=$C$1),'General Inputs'!J$10*$I12,IF(AND(($C12+$C$1)&gt;AL$3,AL$3&gt;=$C$1),'General Inputs'!J$10*$H12,0))</f>
        <v>4.3516361202328449E-2</v>
      </c>
      <c r="BH12" s="214">
        <f>IF(AND(($D12+$C$1)&gt;AM$3,AM$3&gt;=$C$1),'General Inputs'!K$10*$I12,IF(AND(($C12+$C$1)&gt;AM$3,AM$3&gt;=$C$1),'General Inputs'!K$10*$H12,0))</f>
        <v>4.4169106620363371E-2</v>
      </c>
      <c r="BI12" s="214">
        <f>IF(AND(($D12+$C$1)&gt;AN$3,AN$3&gt;=$C$1),'General Inputs'!L$10*$I12,IF(AND(($C12+$C$1)&gt;AN$3,AN$3&gt;=$C$1),'General Inputs'!L$10*$H12,0))</f>
        <v>4.4831643219668822E-2</v>
      </c>
      <c r="BJ12" s="214">
        <f>IF(AND(($D12+$C$1)&gt;AO$3,AO$3&gt;=$C$1),'General Inputs'!M$10*$I12,IF(AND(($C12+$C$1)&gt;AO$3,AO$3&gt;=$C$1),'General Inputs'!M$10*$H12,0))</f>
        <v>4.550411786796385E-2</v>
      </c>
      <c r="BK12" s="214">
        <f>IF(AND(($D12+$C$1)&gt;AP$3,AP$3&gt;=$C$1),'General Inputs'!N$10*$I12,IF(AND(($C12+$C$1)&gt;AP$3,AP$3&gt;=$C$1),'General Inputs'!N$10*$H12,0))</f>
        <v>4.6186679635983302E-2</v>
      </c>
      <c r="BL12" s="214">
        <f>IF(AND(($D12+$C$1)&gt;AQ$3,AQ$3&gt;=$C$1),'General Inputs'!O$10*$I12,IF(AND(($C12+$C$1)&gt;AQ$3,AQ$3&gt;=$C$1),'General Inputs'!O$10*$H12,0))</f>
        <v>4.6879479830523048E-2</v>
      </c>
      <c r="BM12" s="214">
        <f>IF(AND(($D12+$C$1)&gt;AR$3,AR$3&gt;=$C$1),'General Inputs'!P$10*$I12,IF(AND(($C12+$C$1)&gt;AR$3,AR$3&gt;=$C$1),'General Inputs'!P$10*$H12,0))</f>
        <v>0</v>
      </c>
      <c r="BN12" s="214">
        <f>IF(AND(($D12+$C$1)&gt;AS$3,AS$3&gt;=$C$1),'General Inputs'!Q$10*$I12,IF(AND(($C12+$C$1)&gt;AS$3,AS$3&gt;=$C$1),'General Inputs'!Q$10*$H12,0))</f>
        <v>0</v>
      </c>
      <c r="BO12" s="214">
        <f>IF(AND(($D12+$C$1)&gt;AT$3,AT$3&gt;=$C$1),'General Inputs'!R$10*$I12,IF(AND(($C12+$C$1)&gt;AT$3,AT$3&gt;=$C$1),'General Inputs'!R$10*$H12,0))</f>
        <v>0</v>
      </c>
      <c r="BP12" s="214">
        <f>IF(AND(($D12+$C$1)&gt;AU$3,AU$3&gt;=$C$1),'General Inputs'!S$10*$I12,IF(AND(($C12+$C$1)&gt;AU$3,AU$3&gt;=$C$1),'General Inputs'!S$10*$H12,0))</f>
        <v>0</v>
      </c>
      <c r="BQ12" s="214">
        <f>IF(AND(($D12+$C$1)&gt;AV$3,AV$3&gt;=$C$1),'General Inputs'!T$10*$I12,IF(AND(($C12+$C$1)&gt;AV$3,AV$3&gt;=$C$1),'General Inputs'!T$10*$H12,0))</f>
        <v>0</v>
      </c>
      <c r="BR12" s="214">
        <f>IF(AND(($D12+$C$1)&gt;AW$3,AW$3&gt;=$C$1),'General Inputs'!U$10*$I12,IF(AND(($C12+$C$1)&gt;AW$3,AW$3&gt;=$C$1),'General Inputs'!U$10*$H12,0))</f>
        <v>0</v>
      </c>
      <c r="BS12" s="214">
        <f>IF(AND(($D12+$C$1)&gt;AX$3,AX$3&gt;=$C$1),'General Inputs'!V$10*$I12,IF(AND(($C12+$C$1)&gt;AX$3,AX$3&gt;=$C$1),'General Inputs'!V$10*$H12,0))</f>
        <v>0</v>
      </c>
      <c r="BT12" s="214">
        <f>IF(AND(($D12+$C$1)&gt;AY$3,AY$3&gt;=$C$1),'General Inputs'!W$10*$I12,IF(AND(($C12+$C$1)&gt;AY$3,AY$3&gt;=$C$1),'General Inputs'!W$10*$H12,0))</f>
        <v>0</v>
      </c>
    </row>
    <row r="13" spans="1:73">
      <c r="A13" s="341" t="s">
        <v>12</v>
      </c>
      <c r="B13" s="427" t="str">
        <f>Sources!B13</f>
        <v>ENERGY STAR Room Air Conditioner</v>
      </c>
      <c r="C13" s="193">
        <f>Sources!C13</f>
        <v>9</v>
      </c>
      <c r="D13" s="193">
        <f>Sources!D13</f>
        <v>0</v>
      </c>
      <c r="F13" s="429">
        <f>Sources!F13*EnergyLineLoss</f>
        <v>40.054104083786541</v>
      </c>
      <c r="G13" s="429">
        <f>Sources!G13*EnergyLineLoss</f>
        <v>0</v>
      </c>
      <c r="H13" s="477">
        <f>Sources!H13*PeakLineLoss</f>
        <v>3.0601607534302112E-2</v>
      </c>
      <c r="I13" s="477">
        <f>Sources!I13*PeakLineLoss</f>
        <v>0</v>
      </c>
      <c r="K13" s="419">
        <f>Sources!J13</f>
        <v>200</v>
      </c>
      <c r="L13" s="419">
        <f>Sources!K13</f>
        <v>0</v>
      </c>
      <c r="N13" s="438">
        <f t="shared" si="4"/>
        <v>7.3156134000211703E-2</v>
      </c>
      <c r="P13" s="215">
        <f t="shared" si="0"/>
        <v>9.594121696156499</v>
      </c>
      <c r="Q13" s="215">
        <f t="shared" si="1"/>
        <v>2.7569225118788481</v>
      </c>
      <c r="R13" s="215">
        <f t="shared" si="2"/>
        <v>168.83128635528504</v>
      </c>
      <c r="T13" s="214">
        <f t="shared" si="3"/>
        <v>0</v>
      </c>
      <c r="U13" s="214">
        <f t="shared" si="3"/>
        <v>0</v>
      </c>
      <c r="V13" s="214">
        <f t="shared" si="3"/>
        <v>200</v>
      </c>
      <c r="W13" s="214">
        <f t="shared" si="3"/>
        <v>0</v>
      </c>
      <c r="X13" s="214">
        <f t="shared" si="3"/>
        <v>0</v>
      </c>
      <c r="Y13" s="214">
        <f t="shared" si="3"/>
        <v>0</v>
      </c>
      <c r="Z13" s="214">
        <f t="shared" si="3"/>
        <v>0</v>
      </c>
      <c r="AA13" s="214">
        <f t="shared" si="3"/>
        <v>0</v>
      </c>
      <c r="AB13" s="214">
        <f t="shared" si="3"/>
        <v>0</v>
      </c>
      <c r="AC13" s="214">
        <f t="shared" si="3"/>
        <v>0</v>
      </c>
      <c r="AD13" s="214">
        <f t="shared" si="3"/>
        <v>0</v>
      </c>
      <c r="AF13" s="214">
        <f>IF(AND(($D13+$C$1)&gt;AF$3,AF$3&gt;=$C$1),'General Inputs'!D$9*$G13,IF(AND(($C13+$C$1)&gt;AF$3,AF$3&gt;=$C$1),'General Inputs'!D$9*$F13,0))</f>
        <v>0</v>
      </c>
      <c r="AG13" s="214">
        <f>IF(AND(($D13+$C$1)&gt;AG$3,AG$3&gt;=$C$1),'General Inputs'!E$9*$G13,IF(AND(($C13+$C$1)&gt;AG$3,AG$3&gt;=$C$1),'General Inputs'!E$9*$F13,0))</f>
        <v>0</v>
      </c>
      <c r="AH13" s="214">
        <f>IF(AND(($D13+$C$1)&gt;AH$3,AH$3&gt;=$C$1),'General Inputs'!F$9*$G13,IF(AND(($C13+$C$1)&gt;AH$3,AH$3&gt;=$C$1),'General Inputs'!F$9*$F13,0))</f>
        <v>1.6428429143100545</v>
      </c>
      <c r="AI13" s="214">
        <f>IF(AND(($D13+$C$1)&gt;AI$3,AI$3&gt;=$C$1),'General Inputs'!G$9*$G13,IF(AND(($C13+$C$1)&gt;AI$3,AI$3&gt;=$C$1),'General Inputs'!G$9*$F13,0))</f>
        <v>1.6674855580247052</v>
      </c>
      <c r="AJ13" s="214">
        <f>IF(AND(($D13+$C$1)&gt;AJ$3,AJ$3&gt;=$C$1),'General Inputs'!H$9*$G13,IF(AND(($C13+$C$1)&gt;AJ$3,AJ$3&gt;=$C$1),'General Inputs'!H$9*$F13,0))</f>
        <v>1.6924978413950755</v>
      </c>
      <c r="AK13" s="214">
        <f>IF(AND(($D13+$C$1)&gt;AK$3,AK$3&gt;=$C$1),'General Inputs'!I$9*$G13,IF(AND(($C13+$C$1)&gt;AK$3,AK$3&gt;=$C$1),'General Inputs'!I$9*$F13,0))</f>
        <v>1.7178853090160013</v>
      </c>
      <c r="AL13" s="214">
        <f>IF(AND(($D13+$C$1)&gt;AL$3,AL$3&gt;=$C$1),'General Inputs'!J$9*$G13,IF(AND(($C13+$C$1)&gt;AL$3,AL$3&gt;=$C$1),'General Inputs'!J$9*$F13,0))</f>
        <v>1.7436535886512412</v>
      </c>
      <c r="AM13" s="214">
        <f>IF(AND(($D13+$C$1)&gt;AM$3,AM$3&gt;=$C$1),'General Inputs'!K$9*$G13,IF(AND(($C13+$C$1)&gt;AM$3,AM$3&gt;=$C$1),'General Inputs'!K$9*$F13,0))</f>
        <v>1.7698083924810095</v>
      </c>
      <c r="AN13" s="214">
        <f>IF(AND(($D13+$C$1)&gt;AN$3,AN$3&gt;=$C$1),'General Inputs'!L$9*$G13,IF(AND(($C13+$C$1)&gt;AN$3,AN$3&gt;=$C$1),'General Inputs'!L$9*$F13,0))</f>
        <v>1.7963555183682245</v>
      </c>
      <c r="AO13" s="214">
        <f>IF(AND(($D13+$C$1)&gt;AO$3,AO$3&gt;=$C$1),'General Inputs'!M$9*$G13,IF(AND(($C13+$C$1)&gt;AO$3,AO$3&gt;=$C$1),'General Inputs'!M$9*$F13,0))</f>
        <v>1.8233008511437476</v>
      </c>
      <c r="AP13" s="214">
        <f>IF(AND(($D13+$C$1)&gt;AP$3,AP$3&gt;=$C$1),'General Inputs'!N$9*$G13,IF(AND(($C13+$C$1)&gt;AP$3,AP$3&gt;=$C$1),'General Inputs'!N$9*$F13,0))</f>
        <v>1.8506503639109038</v>
      </c>
      <c r="AQ13" s="214">
        <f>IF(AND(($D13+$C$1)&gt;AQ$3,AQ$3&gt;=$C$1),'General Inputs'!O$9*$G13,IF(AND(($C13+$C$1)&gt;AQ$3,AQ$3&gt;=$C$1),'General Inputs'!O$9*$F13,0))</f>
        <v>0</v>
      </c>
      <c r="AR13" s="214">
        <f>IF(AND(($D13+$C$1)&gt;AR$3,AR$3&gt;=$C$1),'General Inputs'!P$9*$G13,IF(AND(($C13+$C$1)&gt;AR$3,AR$3&gt;=$C$1),'General Inputs'!P$9*$F13,0))</f>
        <v>0</v>
      </c>
      <c r="AS13" s="214">
        <f>IF(AND(($D13+$C$1)&gt;AS$3,AS$3&gt;=$C$1),'General Inputs'!Q$9*$G13,IF(AND(($C13+$C$1)&gt;AS$3,AS$3&gt;=$C$1),'General Inputs'!Q$9*$F13,0))</f>
        <v>0</v>
      </c>
      <c r="AT13" s="214">
        <f>IF(AND(($D13+$C$1)&gt;AT$3,AT$3&gt;=$C$1),'General Inputs'!R$9*$G13,IF(AND(($C13+$C$1)&gt;AT$3,AT$3&gt;=$C$1),'General Inputs'!R$9*$F13,0))</f>
        <v>0</v>
      </c>
      <c r="AU13" s="214">
        <f>IF(AND(($D13+$C$1)&gt;AU$3,AU$3&gt;=$C$1),'General Inputs'!S$9*$G13,IF(AND(($C13+$C$1)&gt;AU$3,AU$3&gt;=$C$1),'General Inputs'!S$9*$F13,0))</f>
        <v>0</v>
      </c>
      <c r="AV13" s="214">
        <f>IF(AND(($D13+$C$1)&gt;AV$3,AV$3&gt;=$C$1),'General Inputs'!T$9*$G13,IF(AND(($C13+$C$1)&gt;AV$3,AV$3&gt;=$C$1),'General Inputs'!T$9*$F13,0))</f>
        <v>0</v>
      </c>
      <c r="AW13" s="214">
        <f>IF(AND(($D13+$C$1)&gt;AW$3,AW$3&gt;=$C$1),'General Inputs'!U$9*$G13,IF(AND(($C13+$C$1)&gt;AW$3,AW$3&gt;=$C$1),'General Inputs'!U$9*$F13,0))</f>
        <v>0</v>
      </c>
      <c r="AX13" s="214">
        <f>IF(AND(($D13+$C$1)&gt;AX$3,AX$3&gt;=$C$1),'General Inputs'!V$9*$G13,IF(AND(($C13+$C$1)&gt;AX$3,AX$3&gt;=$C$1),'General Inputs'!V$9*$F13,0))</f>
        <v>0</v>
      </c>
      <c r="AY13" s="214">
        <f>IF(AND(($D13+$C$1)&gt;AY$3,AY$3&gt;=$C$1),'General Inputs'!W$9*$G13,IF(AND(($C13+$C$1)&gt;AY$3,AY$3&gt;=$C$1),'General Inputs'!W$9*$F13,0))</f>
        <v>0</v>
      </c>
      <c r="BA13" s="214">
        <f>IF(AND(($D13+$C$1)&gt;AF$3,AF$3&gt;=$C$1),'General Inputs'!D$10*$I13,IF(AND(($C13+$C$1)&gt;AF$3,AF$3&gt;=$C$1),'General Inputs'!D$10*$H13,0))</f>
        <v>0</v>
      </c>
      <c r="BB13" s="214">
        <f>IF(AND(($D13+$C$1)&gt;AG$3,AG$3&gt;=$C$1),'General Inputs'!E$10*$I13,IF(AND(($C13+$C$1)&gt;AG$3,AG$3&gt;=$C$1),'General Inputs'!E$10*$H13,0))</f>
        <v>0</v>
      </c>
      <c r="BC13" s="214">
        <f>IF(AND(($D13+$C$1)&gt;AH$3,AH$3&gt;=$C$1),'General Inputs'!F$10*$I13,IF(AND(($C13+$C$1)&gt;AH$3,AH$3&gt;=$C$1),'General Inputs'!F$10*$H13,0))</f>
        <v>0.47207975439340966</v>
      </c>
      <c r="BD13" s="214">
        <f>IF(AND(($D13+$C$1)&gt;AI$3,AI$3&gt;=$C$1),'General Inputs'!G$10*$I13,IF(AND(($C13+$C$1)&gt;AI$3,AI$3&gt;=$C$1),'General Inputs'!G$10*$H13,0))</f>
        <v>0.47916095070931075</v>
      </c>
      <c r="BE13" s="214">
        <f>IF(AND(($D13+$C$1)&gt;AJ$3,AJ$3&gt;=$C$1),'General Inputs'!H$10*$I13,IF(AND(($C13+$C$1)&gt;AJ$3,AJ$3&gt;=$C$1),'General Inputs'!H$10*$H13,0))</f>
        <v>0.48634836496995038</v>
      </c>
      <c r="BF13" s="214">
        <f>IF(AND(($D13+$C$1)&gt;AK$3,AK$3&gt;=$C$1),'General Inputs'!I$10*$I13,IF(AND(($C13+$C$1)&gt;AK$3,AK$3&gt;=$C$1),'General Inputs'!I$10*$H13,0))</f>
        <v>0.49364359044449951</v>
      </c>
      <c r="BG13" s="214">
        <f>IF(AND(($D13+$C$1)&gt;AL$3,AL$3&gt;=$C$1),'General Inputs'!J$10*$I13,IF(AND(($C13+$C$1)&gt;AL$3,AL$3&gt;=$C$1),'General Inputs'!J$10*$H13,0))</f>
        <v>0.50104824430116701</v>
      </c>
      <c r="BH13" s="214">
        <f>IF(AND(($D13+$C$1)&gt;AM$3,AM$3&gt;=$C$1),'General Inputs'!K$10*$I13,IF(AND(($C13+$C$1)&gt;AM$3,AM$3&gt;=$C$1),'General Inputs'!K$10*$H13,0))</f>
        <v>0.50856396796568448</v>
      </c>
      <c r="BI13" s="214">
        <f>IF(AND(($D13+$C$1)&gt;AN$3,AN$3&gt;=$C$1),'General Inputs'!L$10*$I13,IF(AND(($C13+$C$1)&gt;AN$3,AN$3&gt;=$C$1),'General Inputs'!L$10*$H13,0))</f>
        <v>0.51619242748516969</v>
      </c>
      <c r="BJ13" s="214">
        <f>IF(AND(($D13+$C$1)&gt;AO$3,AO$3&gt;=$C$1),'General Inputs'!M$10*$I13,IF(AND(($C13+$C$1)&gt;AO$3,AO$3&gt;=$C$1),'General Inputs'!M$10*$H13,0))</f>
        <v>0.52393531389744719</v>
      </c>
      <c r="BK13" s="214">
        <f>IF(AND(($D13+$C$1)&gt;AP$3,AP$3&gt;=$C$1),'General Inputs'!N$10*$I13,IF(AND(($C13+$C$1)&gt;AP$3,AP$3&gt;=$C$1),'General Inputs'!N$10*$H13,0))</f>
        <v>0.53179434360590883</v>
      </c>
      <c r="BL13" s="214">
        <f>IF(AND(($D13+$C$1)&gt;AQ$3,AQ$3&gt;=$C$1),'General Inputs'!O$10*$I13,IF(AND(($C13+$C$1)&gt;AQ$3,AQ$3&gt;=$C$1),'General Inputs'!O$10*$H13,0))</f>
        <v>0</v>
      </c>
      <c r="BM13" s="214">
        <f>IF(AND(($D13+$C$1)&gt;AR$3,AR$3&gt;=$C$1),'General Inputs'!P$10*$I13,IF(AND(($C13+$C$1)&gt;AR$3,AR$3&gt;=$C$1),'General Inputs'!P$10*$H13,0))</f>
        <v>0</v>
      </c>
      <c r="BN13" s="214">
        <f>IF(AND(($D13+$C$1)&gt;AS$3,AS$3&gt;=$C$1),'General Inputs'!Q$10*$I13,IF(AND(($C13+$C$1)&gt;AS$3,AS$3&gt;=$C$1),'General Inputs'!Q$10*$H13,0))</f>
        <v>0</v>
      </c>
      <c r="BO13" s="214">
        <f>IF(AND(($D13+$C$1)&gt;AT$3,AT$3&gt;=$C$1),'General Inputs'!R$10*$I13,IF(AND(($C13+$C$1)&gt;AT$3,AT$3&gt;=$C$1),'General Inputs'!R$10*$H13,0))</f>
        <v>0</v>
      </c>
      <c r="BP13" s="214">
        <f>IF(AND(($D13+$C$1)&gt;AU$3,AU$3&gt;=$C$1),'General Inputs'!S$10*$I13,IF(AND(($C13+$C$1)&gt;AU$3,AU$3&gt;=$C$1),'General Inputs'!S$10*$H13,0))</f>
        <v>0</v>
      </c>
      <c r="BQ13" s="214">
        <f>IF(AND(($D13+$C$1)&gt;AV$3,AV$3&gt;=$C$1),'General Inputs'!T$10*$I13,IF(AND(($C13+$C$1)&gt;AV$3,AV$3&gt;=$C$1),'General Inputs'!T$10*$H13,0))</f>
        <v>0</v>
      </c>
      <c r="BR13" s="214">
        <f>IF(AND(($D13+$C$1)&gt;AW$3,AW$3&gt;=$C$1),'General Inputs'!U$10*$I13,IF(AND(($C13+$C$1)&gt;AW$3,AW$3&gt;=$C$1),'General Inputs'!U$10*$H13,0))</f>
        <v>0</v>
      </c>
      <c r="BS13" s="214">
        <f>IF(AND(($D13+$C$1)&gt;AX$3,AX$3&gt;=$C$1),'General Inputs'!V$10*$I13,IF(AND(($C13+$C$1)&gt;AX$3,AX$3&gt;=$C$1),'General Inputs'!V$10*$H13,0))</f>
        <v>0</v>
      </c>
      <c r="BT13" s="214">
        <f>IF(AND(($D13+$C$1)&gt;AY$3,AY$3&gt;=$C$1),'General Inputs'!W$10*$I13,IF(AND(($C13+$C$1)&gt;AY$3,AY$3&gt;=$C$1),'General Inputs'!W$10*$H13,0))</f>
        <v>0</v>
      </c>
    </row>
    <row r="14" spans="1:73">
      <c r="A14" s="341" t="s">
        <v>12</v>
      </c>
      <c r="B14" s="427" t="str">
        <f>Sources!B14</f>
        <v>Advanced Power Strip</v>
      </c>
      <c r="C14" s="193">
        <f>Sources!C14</f>
        <v>10</v>
      </c>
      <c r="D14" s="193">
        <f>Sources!D14</f>
        <v>0</v>
      </c>
      <c r="F14" s="429">
        <f>Sources!F14*EnergyLineLoss</f>
        <v>78.629699999999985</v>
      </c>
      <c r="G14" s="429">
        <f>Sources!G14*EnergyLineLoss</f>
        <v>0</v>
      </c>
      <c r="H14" s="477">
        <f>Sources!H14*PeakLineLoss</f>
        <v>1.1029555337354465E-2</v>
      </c>
      <c r="I14" s="477">
        <f>Sources!I14*PeakLineLoss</f>
        <v>0</v>
      </c>
      <c r="K14" s="419">
        <f>Sources!J14</f>
        <v>20</v>
      </c>
      <c r="L14" s="419">
        <f>Sources!K14</f>
        <v>0</v>
      </c>
      <c r="N14" s="438">
        <f t="shared" si="4"/>
        <v>1.2649716809755334</v>
      </c>
      <c r="P14" s="215">
        <f t="shared" si="0"/>
        <v>20.286397107307813</v>
      </c>
      <c r="Q14" s="215">
        <f t="shared" si="1"/>
        <v>1.0702825029028429</v>
      </c>
      <c r="R14" s="215">
        <f t="shared" si="2"/>
        <v>16.883128635528504</v>
      </c>
      <c r="T14" s="214">
        <f t="shared" si="3"/>
        <v>0</v>
      </c>
      <c r="U14" s="214">
        <f t="shared" si="3"/>
        <v>0</v>
      </c>
      <c r="V14" s="214">
        <f t="shared" si="3"/>
        <v>20</v>
      </c>
      <c r="W14" s="214">
        <f t="shared" si="3"/>
        <v>0</v>
      </c>
      <c r="X14" s="214">
        <f t="shared" si="3"/>
        <v>0</v>
      </c>
      <c r="Y14" s="214">
        <f t="shared" si="3"/>
        <v>0</v>
      </c>
      <c r="Z14" s="214">
        <f t="shared" si="3"/>
        <v>0</v>
      </c>
      <c r="AA14" s="214">
        <f t="shared" si="3"/>
        <v>0</v>
      </c>
      <c r="AB14" s="214">
        <f t="shared" si="3"/>
        <v>0</v>
      </c>
      <c r="AC14" s="214">
        <f t="shared" si="3"/>
        <v>0</v>
      </c>
      <c r="AD14" s="214">
        <f t="shared" si="3"/>
        <v>0</v>
      </c>
      <c r="AF14" s="214">
        <f>IF(AND(($D14+$C$1)&gt;AF$3,AF$3&gt;=$C$1),'General Inputs'!D$9*$G14,IF(AND(($C14+$C$1)&gt;AF$3,AF$3&gt;=$C$1),'General Inputs'!D$9*$F14,0))</f>
        <v>0</v>
      </c>
      <c r="AG14" s="214">
        <f>IF(AND(($D14+$C$1)&gt;AG$3,AG$3&gt;=$C$1),'General Inputs'!E$9*$G14,IF(AND(($C14+$C$1)&gt;AG$3,AG$3&gt;=$C$1),'General Inputs'!E$9*$F14,0))</f>
        <v>0</v>
      </c>
      <c r="AH14" s="214">
        <f>IF(AND(($D14+$C$1)&gt;AH$3,AH$3&gt;=$C$1),'General Inputs'!F$9*$G14,IF(AND(($C14+$C$1)&gt;AH$3,AH$3&gt;=$C$1),'General Inputs'!F$9*$F14,0))</f>
        <v>3.2250439362995111</v>
      </c>
      <c r="AI14" s="214">
        <f>IF(AND(($D14+$C$1)&gt;AI$3,AI$3&gt;=$C$1),'General Inputs'!G$9*$G14,IF(AND(($C14+$C$1)&gt;AI$3,AI$3&gt;=$C$1),'General Inputs'!G$9*$F14,0))</f>
        <v>3.2734195953440035</v>
      </c>
      <c r="AJ14" s="214">
        <f>IF(AND(($D14+$C$1)&gt;AJ$3,AJ$3&gt;=$C$1),'General Inputs'!H$9*$G14,IF(AND(($C14+$C$1)&gt;AJ$3,AJ$3&gt;=$C$1),'General Inputs'!H$9*$F14,0))</f>
        <v>3.3225208892741631</v>
      </c>
      <c r="AK14" s="214">
        <f>IF(AND(($D14+$C$1)&gt;AK$3,AK$3&gt;=$C$1),'General Inputs'!I$9*$G14,IF(AND(($C14+$C$1)&gt;AK$3,AK$3&gt;=$C$1),'General Inputs'!I$9*$F14,0))</f>
        <v>3.3723587026132753</v>
      </c>
      <c r="AL14" s="214">
        <f>IF(AND(($D14+$C$1)&gt;AL$3,AL$3&gt;=$C$1),'General Inputs'!J$9*$G14,IF(AND(($C14+$C$1)&gt;AL$3,AL$3&gt;=$C$1),'General Inputs'!J$9*$F14,0))</f>
        <v>3.4229440831524736</v>
      </c>
      <c r="AM14" s="214">
        <f>IF(AND(($D14+$C$1)&gt;AM$3,AM$3&gt;=$C$1),'General Inputs'!K$9*$G14,IF(AND(($C14+$C$1)&gt;AM$3,AM$3&gt;=$C$1),'General Inputs'!K$9*$F14,0))</f>
        <v>3.4742882443997605</v>
      </c>
      <c r="AN14" s="214">
        <f>IF(AND(($D14+$C$1)&gt;AN$3,AN$3&gt;=$C$1),'General Inputs'!L$9*$G14,IF(AND(($C14+$C$1)&gt;AN$3,AN$3&gt;=$C$1),'General Inputs'!L$9*$F14,0))</f>
        <v>3.5264025680657562</v>
      </c>
      <c r="AO14" s="214">
        <f>IF(AND(($D14+$C$1)&gt;AO$3,AO$3&gt;=$C$1),'General Inputs'!M$9*$G14,IF(AND(($C14+$C$1)&gt;AO$3,AO$3&gt;=$C$1),'General Inputs'!M$9*$F14,0))</f>
        <v>3.5792986065867423</v>
      </c>
      <c r="AP14" s="214">
        <f>IF(AND(($D14+$C$1)&gt;AP$3,AP$3&gt;=$C$1),'General Inputs'!N$9*$G14,IF(AND(($C14+$C$1)&gt;AP$3,AP$3&gt;=$C$1),'General Inputs'!N$9*$F14,0))</f>
        <v>3.6329880856855432</v>
      </c>
      <c r="AQ14" s="214">
        <f>IF(AND(($D14+$C$1)&gt;AQ$3,AQ$3&gt;=$C$1),'General Inputs'!O$9*$G14,IF(AND(($C14+$C$1)&gt;AQ$3,AQ$3&gt;=$C$1),'General Inputs'!O$9*$F14,0))</f>
        <v>3.6874829069708257</v>
      </c>
      <c r="AR14" s="214">
        <f>IF(AND(($D14+$C$1)&gt;AR$3,AR$3&gt;=$C$1),'General Inputs'!P$9*$G14,IF(AND(($C14+$C$1)&gt;AR$3,AR$3&gt;=$C$1),'General Inputs'!P$9*$F14,0))</f>
        <v>0</v>
      </c>
      <c r="AS14" s="214">
        <f>IF(AND(($D14+$C$1)&gt;AS$3,AS$3&gt;=$C$1),'General Inputs'!Q$9*$G14,IF(AND(($C14+$C$1)&gt;AS$3,AS$3&gt;=$C$1),'General Inputs'!Q$9*$F14,0))</f>
        <v>0</v>
      </c>
      <c r="AT14" s="214">
        <f>IF(AND(($D14+$C$1)&gt;AT$3,AT$3&gt;=$C$1),'General Inputs'!R$9*$G14,IF(AND(($C14+$C$1)&gt;AT$3,AT$3&gt;=$C$1),'General Inputs'!R$9*$F14,0))</f>
        <v>0</v>
      </c>
      <c r="AU14" s="214">
        <f>IF(AND(($D14+$C$1)&gt;AU$3,AU$3&gt;=$C$1),'General Inputs'!S$9*$G14,IF(AND(($C14+$C$1)&gt;AU$3,AU$3&gt;=$C$1),'General Inputs'!S$9*$F14,0))</f>
        <v>0</v>
      </c>
      <c r="AV14" s="214">
        <f>IF(AND(($D14+$C$1)&gt;AV$3,AV$3&gt;=$C$1),'General Inputs'!T$9*$G14,IF(AND(($C14+$C$1)&gt;AV$3,AV$3&gt;=$C$1),'General Inputs'!T$9*$F14,0))</f>
        <v>0</v>
      </c>
      <c r="AW14" s="214">
        <f>IF(AND(($D14+$C$1)&gt;AW$3,AW$3&gt;=$C$1),'General Inputs'!U$9*$G14,IF(AND(($C14+$C$1)&gt;AW$3,AW$3&gt;=$C$1),'General Inputs'!U$9*$F14,0))</f>
        <v>0</v>
      </c>
      <c r="AX14" s="214">
        <f>IF(AND(($D14+$C$1)&gt;AX$3,AX$3&gt;=$C$1),'General Inputs'!V$9*$G14,IF(AND(($C14+$C$1)&gt;AX$3,AX$3&gt;=$C$1),'General Inputs'!V$9*$F14,0))</f>
        <v>0</v>
      </c>
      <c r="AY14" s="214">
        <f>IF(AND(($D14+$C$1)&gt;AY$3,AY$3&gt;=$C$1),'General Inputs'!W$9*$G14,IF(AND(($C14+$C$1)&gt;AY$3,AY$3&gt;=$C$1),'General Inputs'!W$9*$F14,0))</f>
        <v>0</v>
      </c>
      <c r="BA14" s="214">
        <f>IF(AND(($D14+$C$1)&gt;AF$3,AF$3&gt;=$C$1),'General Inputs'!D$10*$I14,IF(AND(($C14+$C$1)&gt;AF$3,AF$3&gt;=$C$1),'General Inputs'!D$10*$H14,0))</f>
        <v>0</v>
      </c>
      <c r="BB14" s="214">
        <f>IF(AND(($D14+$C$1)&gt;AG$3,AG$3&gt;=$C$1),'General Inputs'!E$10*$I14,IF(AND(($C14+$C$1)&gt;AG$3,AG$3&gt;=$C$1),'General Inputs'!E$10*$H14,0))</f>
        <v>0</v>
      </c>
      <c r="BC14" s="214">
        <f>IF(AND(($D14+$C$1)&gt;AH$3,AH$3&gt;=$C$1),'General Inputs'!F$10*$I14,IF(AND(($C14+$C$1)&gt;AH$3,AH$3&gt;=$C$1),'General Inputs'!F$10*$H14,0))</f>
        <v>0.17014889720712711</v>
      </c>
      <c r="BD14" s="214">
        <f>IF(AND(($D14+$C$1)&gt;AI$3,AI$3&gt;=$C$1),'General Inputs'!G$10*$I14,IF(AND(($C14+$C$1)&gt;AI$3,AI$3&gt;=$C$1),'General Inputs'!G$10*$H14,0))</f>
        <v>0.17270113066523399</v>
      </c>
      <c r="BE14" s="214">
        <f>IF(AND(($D14+$C$1)&gt;AJ$3,AJ$3&gt;=$C$1),'General Inputs'!H$10*$I14,IF(AND(($C14+$C$1)&gt;AJ$3,AJ$3&gt;=$C$1),'General Inputs'!H$10*$H14,0))</f>
        <v>0.17529164762521249</v>
      </c>
      <c r="BF14" s="214">
        <f>IF(AND(($D14+$C$1)&gt;AK$3,AK$3&gt;=$C$1),'General Inputs'!I$10*$I14,IF(AND(($C14+$C$1)&gt;AK$3,AK$3&gt;=$C$1),'General Inputs'!I$10*$H14,0))</f>
        <v>0.17792102233959065</v>
      </c>
      <c r="BG14" s="214">
        <f>IF(AND(($D14+$C$1)&gt;AL$3,AL$3&gt;=$C$1),'General Inputs'!J$10*$I14,IF(AND(($C14+$C$1)&gt;AL$3,AL$3&gt;=$C$1),'General Inputs'!J$10*$H14,0))</f>
        <v>0.18058983767468448</v>
      </c>
      <c r="BH14" s="214">
        <f>IF(AND(($D14+$C$1)&gt;AM$3,AM$3&gt;=$C$1),'General Inputs'!K$10*$I14,IF(AND(($C14+$C$1)&gt;AM$3,AM$3&gt;=$C$1),'General Inputs'!K$10*$H14,0))</f>
        <v>0.18329868523980475</v>
      </c>
      <c r="BI14" s="214">
        <f>IF(AND(($D14+$C$1)&gt;AN$3,AN$3&gt;=$C$1),'General Inputs'!L$10*$I14,IF(AND(($C14+$C$1)&gt;AN$3,AN$3&gt;=$C$1),'General Inputs'!L$10*$H14,0))</f>
        <v>0.18604816551840181</v>
      </c>
      <c r="BJ14" s="214">
        <f>IF(AND(($D14+$C$1)&gt;AO$3,AO$3&gt;=$C$1),'General Inputs'!M$10*$I14,IF(AND(($C14+$C$1)&gt;AO$3,AO$3&gt;=$C$1),'General Inputs'!M$10*$H14,0))</f>
        <v>0.18883888800117782</v>
      </c>
      <c r="BK14" s="214">
        <f>IF(AND(($D14+$C$1)&gt;AP$3,AP$3&gt;=$C$1),'General Inputs'!N$10*$I14,IF(AND(($C14+$C$1)&gt;AP$3,AP$3&gt;=$C$1),'General Inputs'!N$10*$H14,0))</f>
        <v>0.19167147132119547</v>
      </c>
      <c r="BL14" s="214">
        <f>IF(AND(($D14+$C$1)&gt;AQ$3,AQ$3&gt;=$C$1),'General Inputs'!O$10*$I14,IF(AND(($C14+$C$1)&gt;AQ$3,AQ$3&gt;=$C$1),'General Inputs'!O$10*$H14,0))</f>
        <v>0.19454654339101338</v>
      </c>
      <c r="BM14" s="214">
        <f>IF(AND(($D14+$C$1)&gt;AR$3,AR$3&gt;=$C$1),'General Inputs'!P$10*$I14,IF(AND(($C14+$C$1)&gt;AR$3,AR$3&gt;=$C$1),'General Inputs'!P$10*$H14,0))</f>
        <v>0</v>
      </c>
      <c r="BN14" s="214">
        <f>IF(AND(($D14+$C$1)&gt;AS$3,AS$3&gt;=$C$1),'General Inputs'!Q$10*$I14,IF(AND(($C14+$C$1)&gt;AS$3,AS$3&gt;=$C$1),'General Inputs'!Q$10*$H14,0))</f>
        <v>0</v>
      </c>
      <c r="BO14" s="214">
        <f>IF(AND(($D14+$C$1)&gt;AT$3,AT$3&gt;=$C$1),'General Inputs'!R$10*$I14,IF(AND(($C14+$C$1)&gt;AT$3,AT$3&gt;=$C$1),'General Inputs'!R$10*$H14,0))</f>
        <v>0</v>
      </c>
      <c r="BP14" s="214">
        <f>IF(AND(($D14+$C$1)&gt;AU$3,AU$3&gt;=$C$1),'General Inputs'!S$10*$I14,IF(AND(($C14+$C$1)&gt;AU$3,AU$3&gt;=$C$1),'General Inputs'!S$10*$H14,0))</f>
        <v>0</v>
      </c>
      <c r="BQ14" s="214">
        <f>IF(AND(($D14+$C$1)&gt;AV$3,AV$3&gt;=$C$1),'General Inputs'!T$10*$I14,IF(AND(($C14+$C$1)&gt;AV$3,AV$3&gt;=$C$1),'General Inputs'!T$10*$H14,0))</f>
        <v>0</v>
      </c>
      <c r="BR14" s="214">
        <f>IF(AND(($D14+$C$1)&gt;AW$3,AW$3&gt;=$C$1),'General Inputs'!U$10*$I14,IF(AND(($C14+$C$1)&gt;AW$3,AW$3&gt;=$C$1),'General Inputs'!U$10*$H14,0))</f>
        <v>0</v>
      </c>
      <c r="BS14" s="214">
        <f>IF(AND(($D14+$C$1)&gt;AX$3,AX$3&gt;=$C$1),'General Inputs'!V$10*$I14,IF(AND(($C14+$C$1)&gt;AX$3,AX$3&gt;=$C$1),'General Inputs'!V$10*$H14,0))</f>
        <v>0</v>
      </c>
      <c r="BT14" s="214">
        <f>IF(AND(($D14+$C$1)&gt;AY$3,AY$3&gt;=$C$1),'General Inputs'!W$10*$I14,IF(AND(($C14+$C$1)&gt;AY$3,AY$3&gt;=$C$1),'General Inputs'!W$10*$H14,0))</f>
        <v>0</v>
      </c>
    </row>
    <row r="15" spans="1:73">
      <c r="A15" s="341" t="s">
        <v>12</v>
      </c>
      <c r="B15" s="427" t="str">
        <f>Sources!B15</f>
        <v>Refrigerator Recycle</v>
      </c>
      <c r="C15" s="193">
        <f>Sources!C15</f>
        <v>8</v>
      </c>
      <c r="D15" s="193">
        <f>Sources!D15</f>
        <v>0</v>
      </c>
      <c r="F15" s="429">
        <f>Sources!F15*EnergyLineLoss</f>
        <v>1349.5829999999999</v>
      </c>
      <c r="G15" s="429">
        <f>Sources!G15*EnergyLineLoss</f>
        <v>0</v>
      </c>
      <c r="H15" s="477">
        <f>Sources!H15*PeakLineLoss</f>
        <v>0.15406198630136986</v>
      </c>
      <c r="I15" s="477">
        <f>Sources!I15*PeakLineLoss</f>
        <v>0</v>
      </c>
      <c r="K15" s="419">
        <f>Sources!J15</f>
        <v>93</v>
      </c>
      <c r="L15" s="419">
        <f>Sources!K15</f>
        <v>0</v>
      </c>
      <c r="N15" s="438">
        <f t="shared" si="4"/>
        <v>3.9393746435748307</v>
      </c>
      <c r="P15" s="215">
        <f t="shared" si="0"/>
        <v>296.53479200815508</v>
      </c>
      <c r="Q15" s="215">
        <f t="shared" si="1"/>
        <v>12.731913149055924</v>
      </c>
      <c r="R15" s="215">
        <f t="shared" si="2"/>
        <v>78.50654815520754</v>
      </c>
      <c r="T15" s="214">
        <f t="shared" si="3"/>
        <v>0</v>
      </c>
      <c r="U15" s="214">
        <f t="shared" si="3"/>
        <v>0</v>
      </c>
      <c r="V15" s="214">
        <f t="shared" si="3"/>
        <v>93</v>
      </c>
      <c r="W15" s="214">
        <f t="shared" si="3"/>
        <v>0</v>
      </c>
      <c r="X15" s="214">
        <f t="shared" si="3"/>
        <v>0</v>
      </c>
      <c r="Y15" s="214">
        <f t="shared" si="3"/>
        <v>0</v>
      </c>
      <c r="Z15" s="214">
        <f t="shared" si="3"/>
        <v>0</v>
      </c>
      <c r="AA15" s="214">
        <f t="shared" si="3"/>
        <v>0</v>
      </c>
      <c r="AB15" s="214">
        <f t="shared" si="3"/>
        <v>0</v>
      </c>
      <c r="AC15" s="214">
        <f t="shared" si="3"/>
        <v>0</v>
      </c>
      <c r="AD15" s="214">
        <f t="shared" si="3"/>
        <v>0</v>
      </c>
      <c r="AF15" s="214">
        <f>IF(AND(($D15+$C$1)&gt;AF$3,AF$3&gt;=$C$1),'General Inputs'!D$9*$G15,IF(AND(($C15+$C$1)&gt;AF$3,AF$3&gt;=$C$1),'General Inputs'!D$9*$F15,0))</f>
        <v>0</v>
      </c>
      <c r="AG15" s="214">
        <f>IF(AND(($D15+$C$1)&gt;AG$3,AG$3&gt;=$C$1),'General Inputs'!E$9*$G15,IF(AND(($C15+$C$1)&gt;AG$3,AG$3&gt;=$C$1),'General Inputs'!E$9*$F15,0))</f>
        <v>0</v>
      </c>
      <c r="AH15" s="214">
        <f>IF(AND(($D15+$C$1)&gt;AH$3,AH$3&gt;=$C$1),'General Inputs'!F$9*$G15,IF(AND(($C15+$C$1)&gt;AH$3,AH$3&gt;=$C$1),'General Inputs'!F$9*$F15,0))</f>
        <v>55.353949852064851</v>
      </c>
      <c r="AI15" s="214">
        <f>IF(AND(($D15+$C$1)&gt;AI$3,AI$3&gt;=$C$1),'General Inputs'!G$9*$G15,IF(AND(($C15+$C$1)&gt;AI$3,AI$3&gt;=$C$1),'General Inputs'!G$9*$F15,0))</f>
        <v>56.184259099845818</v>
      </c>
      <c r="AJ15" s="214">
        <f>IF(AND(($D15+$C$1)&gt;AJ$3,AJ$3&gt;=$C$1),'General Inputs'!H$9*$G15,IF(AND(($C15+$C$1)&gt;AJ$3,AJ$3&gt;=$C$1),'General Inputs'!H$9*$F15,0))</f>
        <v>57.027022986343496</v>
      </c>
      <c r="AK15" s="214">
        <f>IF(AND(($D15+$C$1)&gt;AK$3,AK$3&gt;=$C$1),'General Inputs'!I$9*$G15,IF(AND(($C15+$C$1)&gt;AK$3,AK$3&gt;=$C$1),'General Inputs'!I$9*$F15,0))</f>
        <v>57.882428331138641</v>
      </c>
      <c r="AL15" s="214">
        <f>IF(AND(($D15+$C$1)&gt;AL$3,AL$3&gt;=$C$1),'General Inputs'!J$9*$G15,IF(AND(($C15+$C$1)&gt;AL$3,AL$3&gt;=$C$1),'General Inputs'!J$9*$F15,0))</f>
        <v>58.750664756105714</v>
      </c>
      <c r="AM15" s="214">
        <f>IF(AND(($D15+$C$1)&gt;AM$3,AM$3&gt;=$C$1),'General Inputs'!K$9*$G15,IF(AND(($C15+$C$1)&gt;AM$3,AM$3&gt;=$C$1),'General Inputs'!K$9*$F15,0))</f>
        <v>59.631924727447284</v>
      </c>
      <c r="AN15" s="214">
        <f>IF(AND(($D15+$C$1)&gt;AN$3,AN$3&gt;=$C$1),'General Inputs'!L$9*$G15,IF(AND(($C15+$C$1)&gt;AN$3,AN$3&gt;=$C$1),'General Inputs'!L$9*$F15,0))</f>
        <v>60.526403598358996</v>
      </c>
      <c r="AO15" s="214">
        <f>IF(AND(($D15+$C$1)&gt;AO$3,AO$3&gt;=$C$1),'General Inputs'!M$9*$G15,IF(AND(($C15+$C$1)&gt;AO$3,AO$3&gt;=$C$1),'General Inputs'!M$9*$F15,0))</f>
        <v>61.434299652334367</v>
      </c>
      <c r="AP15" s="214">
        <f>IF(AND(($D15+$C$1)&gt;AP$3,AP$3&gt;=$C$1),'General Inputs'!N$9*$G15,IF(AND(($C15+$C$1)&gt;AP$3,AP$3&gt;=$C$1),'General Inputs'!N$9*$F15,0))</f>
        <v>0</v>
      </c>
      <c r="AQ15" s="214">
        <f>IF(AND(($D15+$C$1)&gt;AQ$3,AQ$3&gt;=$C$1),'General Inputs'!O$9*$G15,IF(AND(($C15+$C$1)&gt;AQ$3,AQ$3&gt;=$C$1),'General Inputs'!O$9*$F15,0))</f>
        <v>0</v>
      </c>
      <c r="AR15" s="214">
        <f>IF(AND(($D15+$C$1)&gt;AR$3,AR$3&gt;=$C$1),'General Inputs'!P$9*$G15,IF(AND(($C15+$C$1)&gt;AR$3,AR$3&gt;=$C$1),'General Inputs'!P$9*$F15,0))</f>
        <v>0</v>
      </c>
      <c r="AS15" s="214">
        <f>IF(AND(($D15+$C$1)&gt;AS$3,AS$3&gt;=$C$1),'General Inputs'!Q$9*$G15,IF(AND(($C15+$C$1)&gt;AS$3,AS$3&gt;=$C$1),'General Inputs'!Q$9*$F15,0))</f>
        <v>0</v>
      </c>
      <c r="AT15" s="214">
        <f>IF(AND(($D15+$C$1)&gt;AT$3,AT$3&gt;=$C$1),'General Inputs'!R$9*$G15,IF(AND(($C15+$C$1)&gt;AT$3,AT$3&gt;=$C$1),'General Inputs'!R$9*$F15,0))</f>
        <v>0</v>
      </c>
      <c r="AU15" s="214">
        <f>IF(AND(($D15+$C$1)&gt;AU$3,AU$3&gt;=$C$1),'General Inputs'!S$9*$G15,IF(AND(($C15+$C$1)&gt;AU$3,AU$3&gt;=$C$1),'General Inputs'!S$9*$F15,0))</f>
        <v>0</v>
      </c>
      <c r="AV15" s="214">
        <f>IF(AND(($D15+$C$1)&gt;AV$3,AV$3&gt;=$C$1),'General Inputs'!T$9*$G15,IF(AND(($C15+$C$1)&gt;AV$3,AV$3&gt;=$C$1),'General Inputs'!T$9*$F15,0))</f>
        <v>0</v>
      </c>
      <c r="AW15" s="214">
        <f>IF(AND(($D15+$C$1)&gt;AW$3,AW$3&gt;=$C$1),'General Inputs'!U$9*$G15,IF(AND(($C15+$C$1)&gt;AW$3,AW$3&gt;=$C$1),'General Inputs'!U$9*$F15,0))</f>
        <v>0</v>
      </c>
      <c r="AX15" s="214">
        <f>IF(AND(($D15+$C$1)&gt;AX$3,AX$3&gt;=$C$1),'General Inputs'!V$9*$G15,IF(AND(($C15+$C$1)&gt;AX$3,AX$3&gt;=$C$1),'General Inputs'!V$9*$F15,0))</f>
        <v>0</v>
      </c>
      <c r="AY15" s="214">
        <f>IF(AND(($D15+$C$1)&gt;AY$3,AY$3&gt;=$C$1),'General Inputs'!W$9*$G15,IF(AND(($C15+$C$1)&gt;AY$3,AY$3&gt;=$C$1),'General Inputs'!W$9*$F15,0))</f>
        <v>0</v>
      </c>
      <c r="BA15" s="214">
        <f>IF(AND(($D15+$C$1)&gt;AF$3,AF$3&gt;=$C$1),'General Inputs'!D$10*$I15,IF(AND(($C15+$C$1)&gt;AF$3,AF$3&gt;=$C$1),'General Inputs'!D$10*$H15,0))</f>
        <v>0</v>
      </c>
      <c r="BB15" s="214">
        <f>IF(AND(($D15+$C$1)&gt;AG$3,AG$3&gt;=$C$1),'General Inputs'!E$10*$I15,IF(AND(($C15+$C$1)&gt;AG$3,AG$3&gt;=$C$1),'General Inputs'!E$10*$H15,0))</f>
        <v>0</v>
      </c>
      <c r="BC15" s="214">
        <f>IF(AND(($D15+$C$1)&gt;AH$3,AH$3&gt;=$C$1),'General Inputs'!F$10*$I15,IF(AND(($C15+$C$1)&gt;AH$3,AH$3&gt;=$C$1),'General Inputs'!F$10*$H15,0))</f>
        <v>2.376657650190015</v>
      </c>
      <c r="BD15" s="214">
        <f>IF(AND(($D15+$C$1)&gt;AI$3,AI$3&gt;=$C$1),'General Inputs'!G$10*$I15,IF(AND(($C15+$C$1)&gt;AI$3,AI$3&gt;=$C$1),'General Inputs'!G$10*$H15,0))</f>
        <v>2.412307514942865</v>
      </c>
      <c r="BE15" s="214">
        <f>IF(AND(($D15+$C$1)&gt;AJ$3,AJ$3&gt;=$C$1),'General Inputs'!H$10*$I15,IF(AND(($C15+$C$1)&gt;AJ$3,AJ$3&gt;=$C$1),'General Inputs'!H$10*$H15,0))</f>
        <v>2.448492127667008</v>
      </c>
      <c r="BF15" s="214">
        <f>IF(AND(($D15+$C$1)&gt;AK$3,AK$3&gt;=$C$1),'General Inputs'!I$10*$I15,IF(AND(($C15+$C$1)&gt;AK$3,AK$3&gt;=$C$1),'General Inputs'!I$10*$H15,0))</f>
        <v>2.4852195095820124</v>
      </c>
      <c r="BG15" s="214">
        <f>IF(AND(($D15+$C$1)&gt;AL$3,AL$3&gt;=$C$1),'General Inputs'!J$10*$I15,IF(AND(($C15+$C$1)&gt;AL$3,AL$3&gt;=$C$1),'General Inputs'!J$10*$H15,0))</f>
        <v>2.5224978022257427</v>
      </c>
      <c r="BH15" s="214">
        <f>IF(AND(($D15+$C$1)&gt;AM$3,AM$3&gt;=$C$1),'General Inputs'!K$10*$I15,IF(AND(($C15+$C$1)&gt;AM$3,AM$3&gt;=$C$1),'General Inputs'!K$10*$H15,0))</f>
        <v>2.5603352692591286</v>
      </c>
      <c r="BI15" s="214">
        <f>IF(AND(($D15+$C$1)&gt;AN$3,AN$3&gt;=$C$1),'General Inputs'!L$10*$I15,IF(AND(($C15+$C$1)&gt;AN$3,AN$3&gt;=$C$1),'General Inputs'!L$10*$H15,0))</f>
        <v>2.5987402982980154</v>
      </c>
      <c r="BJ15" s="214">
        <f>IF(AND(($D15+$C$1)&gt;AO$3,AO$3&gt;=$C$1),'General Inputs'!M$10*$I15,IF(AND(($C15+$C$1)&gt;AO$3,AO$3&gt;=$C$1),'General Inputs'!M$10*$H15,0))</f>
        <v>2.6377214027724856</v>
      </c>
      <c r="BK15" s="214">
        <f>IF(AND(($D15+$C$1)&gt;AP$3,AP$3&gt;=$C$1),'General Inputs'!N$10*$I15,IF(AND(($C15+$C$1)&gt;AP$3,AP$3&gt;=$C$1),'General Inputs'!N$10*$H15,0))</f>
        <v>0</v>
      </c>
      <c r="BL15" s="214">
        <f>IF(AND(($D15+$C$1)&gt;AQ$3,AQ$3&gt;=$C$1),'General Inputs'!O$10*$I15,IF(AND(($C15+$C$1)&gt;AQ$3,AQ$3&gt;=$C$1),'General Inputs'!O$10*$H15,0))</f>
        <v>0</v>
      </c>
      <c r="BM15" s="214">
        <f>IF(AND(($D15+$C$1)&gt;AR$3,AR$3&gt;=$C$1),'General Inputs'!P$10*$I15,IF(AND(($C15+$C$1)&gt;AR$3,AR$3&gt;=$C$1),'General Inputs'!P$10*$H15,0))</f>
        <v>0</v>
      </c>
      <c r="BN15" s="214">
        <f>IF(AND(($D15+$C$1)&gt;AS$3,AS$3&gt;=$C$1),'General Inputs'!Q$10*$I15,IF(AND(($C15+$C$1)&gt;AS$3,AS$3&gt;=$C$1),'General Inputs'!Q$10*$H15,0))</f>
        <v>0</v>
      </c>
      <c r="BO15" s="214">
        <f>IF(AND(($D15+$C$1)&gt;AT$3,AT$3&gt;=$C$1),'General Inputs'!R$10*$I15,IF(AND(($C15+$C$1)&gt;AT$3,AT$3&gt;=$C$1),'General Inputs'!R$10*$H15,0))</f>
        <v>0</v>
      </c>
      <c r="BP15" s="214">
        <f>IF(AND(($D15+$C$1)&gt;AU$3,AU$3&gt;=$C$1),'General Inputs'!S$10*$I15,IF(AND(($C15+$C$1)&gt;AU$3,AU$3&gt;=$C$1),'General Inputs'!S$10*$H15,0))</f>
        <v>0</v>
      </c>
      <c r="BQ15" s="214">
        <f>IF(AND(($D15+$C$1)&gt;AV$3,AV$3&gt;=$C$1),'General Inputs'!T$10*$I15,IF(AND(($C15+$C$1)&gt;AV$3,AV$3&gt;=$C$1),'General Inputs'!T$10*$H15,0))</f>
        <v>0</v>
      </c>
      <c r="BR15" s="214">
        <f>IF(AND(($D15+$C$1)&gt;AW$3,AW$3&gt;=$C$1),'General Inputs'!U$10*$I15,IF(AND(($C15+$C$1)&gt;AW$3,AW$3&gt;=$C$1),'General Inputs'!U$10*$H15,0))</f>
        <v>0</v>
      </c>
      <c r="BS15" s="214">
        <f>IF(AND(($D15+$C$1)&gt;AX$3,AX$3&gt;=$C$1),'General Inputs'!V$10*$I15,IF(AND(($C15+$C$1)&gt;AX$3,AX$3&gt;=$C$1),'General Inputs'!V$10*$H15,0))</f>
        <v>0</v>
      </c>
      <c r="BT15" s="214">
        <f>IF(AND(($D15+$C$1)&gt;AY$3,AY$3&gt;=$C$1),'General Inputs'!W$10*$I15,IF(AND(($C15+$C$1)&gt;AY$3,AY$3&gt;=$C$1),'General Inputs'!W$10*$H15,0))</f>
        <v>0</v>
      </c>
    </row>
    <row r="16" spans="1:73">
      <c r="A16" s="341" t="s">
        <v>12</v>
      </c>
      <c r="B16" s="427" t="str">
        <f>Sources!B16</f>
        <v>Freezer Recycle</v>
      </c>
      <c r="C16" s="193">
        <f>Sources!C16</f>
        <v>8</v>
      </c>
      <c r="D16" s="193">
        <f>Sources!D16</f>
        <v>0</v>
      </c>
      <c r="F16" s="429">
        <f>Sources!F16*EnergyLineLoss</f>
        <v>1156.9349999999999</v>
      </c>
      <c r="G16" s="429">
        <f>Sources!G16*EnergyLineLoss</f>
        <v>0</v>
      </c>
      <c r="H16" s="477">
        <f>Sources!H16*PeakLineLoss</f>
        <v>0.13207020547945206</v>
      </c>
      <c r="I16" s="477">
        <f>Sources!I16*PeakLineLoss</f>
        <v>0</v>
      </c>
      <c r="K16" s="419">
        <f>Sources!J16</f>
        <v>93</v>
      </c>
      <c r="L16" s="419">
        <f>Sources!K16</f>
        <v>0</v>
      </c>
      <c r="N16" s="438">
        <f t="shared" si="4"/>
        <v>3.3770434299070504</v>
      </c>
      <c r="P16" s="215">
        <f t="shared" si="0"/>
        <v>254.20554318775123</v>
      </c>
      <c r="Q16" s="215">
        <f t="shared" si="1"/>
        <v>10.914479464473853</v>
      </c>
      <c r="R16" s="215">
        <f t="shared" si="2"/>
        <v>78.50654815520754</v>
      </c>
      <c r="T16" s="214">
        <f t="shared" si="3"/>
        <v>0</v>
      </c>
      <c r="U16" s="214">
        <f t="shared" si="3"/>
        <v>0</v>
      </c>
      <c r="V16" s="214">
        <f t="shared" si="3"/>
        <v>93</v>
      </c>
      <c r="W16" s="214">
        <f t="shared" si="3"/>
        <v>0</v>
      </c>
      <c r="X16" s="214">
        <f t="shared" si="3"/>
        <v>0</v>
      </c>
      <c r="Y16" s="214">
        <f t="shared" si="3"/>
        <v>0</v>
      </c>
      <c r="Z16" s="214">
        <f t="shared" si="3"/>
        <v>0</v>
      </c>
      <c r="AA16" s="214">
        <f t="shared" si="3"/>
        <v>0</v>
      </c>
      <c r="AB16" s="214">
        <f t="shared" si="3"/>
        <v>0</v>
      </c>
      <c r="AC16" s="214">
        <f t="shared" si="3"/>
        <v>0</v>
      </c>
      <c r="AD16" s="214">
        <f t="shared" si="3"/>
        <v>0</v>
      </c>
      <c r="AF16" s="214">
        <f>IF(AND(($D16+$C$1)&gt;AF$3,AF$3&gt;=$C$1),'General Inputs'!D$9*$G16,IF(AND(($C16+$C$1)&gt;AF$3,AF$3&gt;=$C$1),'General Inputs'!D$9*$F16,0))</f>
        <v>0</v>
      </c>
      <c r="AG16" s="214">
        <f>IF(AND(($D16+$C$1)&gt;AG$3,AG$3&gt;=$C$1),'General Inputs'!E$9*$G16,IF(AND(($C16+$C$1)&gt;AG$3,AG$3&gt;=$C$1),'General Inputs'!E$9*$F16,0))</f>
        <v>0</v>
      </c>
      <c r="AH16" s="214">
        <f>IF(AND(($D16+$C$1)&gt;AH$3,AH$3&gt;=$C$1),'General Inputs'!F$9*$G16,IF(AND(($C16+$C$1)&gt;AH$3,AH$3&gt;=$C$1),'General Inputs'!F$9*$F16,0))</f>
        <v>47.452377491490815</v>
      </c>
      <c r="AI16" s="214">
        <f>IF(AND(($D16+$C$1)&gt;AI$3,AI$3&gt;=$C$1),'General Inputs'!G$9*$G16,IF(AND(($C16+$C$1)&gt;AI$3,AI$3&gt;=$C$1),'General Inputs'!G$9*$F16,0))</f>
        <v>48.164163153863171</v>
      </c>
      <c r="AJ16" s="214">
        <f>IF(AND(($D16+$C$1)&gt;AJ$3,AJ$3&gt;=$C$1),'General Inputs'!H$9*$G16,IF(AND(($C16+$C$1)&gt;AJ$3,AJ$3&gt;=$C$1),'General Inputs'!H$9*$F16,0))</f>
        <v>48.886625601171119</v>
      </c>
      <c r="AK16" s="214">
        <f>IF(AND(($D16+$C$1)&gt;AK$3,AK$3&gt;=$C$1),'General Inputs'!I$9*$G16,IF(AND(($C16+$C$1)&gt;AK$3,AK$3&gt;=$C$1),'General Inputs'!I$9*$F16,0))</f>
        <v>49.619924985188675</v>
      </c>
      <c r="AL16" s="214">
        <f>IF(AND(($D16+$C$1)&gt;AL$3,AL$3&gt;=$C$1),'General Inputs'!J$9*$G16,IF(AND(($C16+$C$1)&gt;AL$3,AL$3&gt;=$C$1),'General Inputs'!J$9*$F16,0))</f>
        <v>50.364223859966501</v>
      </c>
      <c r="AM16" s="214">
        <f>IF(AND(($D16+$C$1)&gt;AM$3,AM$3&gt;=$C$1),'General Inputs'!K$9*$G16,IF(AND(($C16+$C$1)&gt;AM$3,AM$3&gt;=$C$1),'General Inputs'!K$9*$F16,0))</f>
        <v>51.119687217865987</v>
      </c>
      <c r="AN16" s="214">
        <f>IF(AND(($D16+$C$1)&gt;AN$3,AN$3&gt;=$C$1),'General Inputs'!L$9*$G16,IF(AND(($C16+$C$1)&gt;AN$3,AN$3&gt;=$C$1),'General Inputs'!L$9*$F16,0))</f>
        <v>51.886482526133975</v>
      </c>
      <c r="AO16" s="214">
        <f>IF(AND(($D16+$C$1)&gt;AO$3,AO$3&gt;=$C$1),'General Inputs'!M$9*$G16,IF(AND(($C16+$C$1)&gt;AO$3,AO$3&gt;=$C$1),'General Inputs'!M$9*$F16,0))</f>
        <v>52.664779764025972</v>
      </c>
      <c r="AP16" s="214">
        <f>IF(AND(($D16+$C$1)&gt;AP$3,AP$3&gt;=$C$1),'General Inputs'!N$9*$G16,IF(AND(($C16+$C$1)&gt;AP$3,AP$3&gt;=$C$1),'General Inputs'!N$9*$F16,0))</f>
        <v>0</v>
      </c>
      <c r="AQ16" s="214">
        <f>IF(AND(($D16+$C$1)&gt;AQ$3,AQ$3&gt;=$C$1),'General Inputs'!O$9*$G16,IF(AND(($C16+$C$1)&gt;AQ$3,AQ$3&gt;=$C$1),'General Inputs'!O$9*$F16,0))</f>
        <v>0</v>
      </c>
      <c r="AR16" s="214">
        <f>IF(AND(($D16+$C$1)&gt;AR$3,AR$3&gt;=$C$1),'General Inputs'!P$9*$G16,IF(AND(($C16+$C$1)&gt;AR$3,AR$3&gt;=$C$1),'General Inputs'!P$9*$F16,0))</f>
        <v>0</v>
      </c>
      <c r="AS16" s="214">
        <f>IF(AND(($D16+$C$1)&gt;AS$3,AS$3&gt;=$C$1),'General Inputs'!Q$9*$G16,IF(AND(($C16+$C$1)&gt;AS$3,AS$3&gt;=$C$1),'General Inputs'!Q$9*$F16,0))</f>
        <v>0</v>
      </c>
      <c r="AT16" s="214">
        <f>IF(AND(($D16+$C$1)&gt;AT$3,AT$3&gt;=$C$1),'General Inputs'!R$9*$G16,IF(AND(($C16+$C$1)&gt;AT$3,AT$3&gt;=$C$1),'General Inputs'!R$9*$F16,0))</f>
        <v>0</v>
      </c>
      <c r="AU16" s="214">
        <f>IF(AND(($D16+$C$1)&gt;AU$3,AU$3&gt;=$C$1),'General Inputs'!S$9*$G16,IF(AND(($C16+$C$1)&gt;AU$3,AU$3&gt;=$C$1),'General Inputs'!S$9*$F16,0))</f>
        <v>0</v>
      </c>
      <c r="AV16" s="214">
        <f>IF(AND(($D16+$C$1)&gt;AV$3,AV$3&gt;=$C$1),'General Inputs'!T$9*$G16,IF(AND(($C16+$C$1)&gt;AV$3,AV$3&gt;=$C$1),'General Inputs'!T$9*$F16,0))</f>
        <v>0</v>
      </c>
      <c r="AW16" s="214">
        <f>IF(AND(($D16+$C$1)&gt;AW$3,AW$3&gt;=$C$1),'General Inputs'!U$9*$G16,IF(AND(($C16+$C$1)&gt;AW$3,AW$3&gt;=$C$1),'General Inputs'!U$9*$F16,0))</f>
        <v>0</v>
      </c>
      <c r="AX16" s="214">
        <f>IF(AND(($D16+$C$1)&gt;AX$3,AX$3&gt;=$C$1),'General Inputs'!V$9*$G16,IF(AND(($C16+$C$1)&gt;AX$3,AX$3&gt;=$C$1),'General Inputs'!V$9*$F16,0))</f>
        <v>0</v>
      </c>
      <c r="AY16" s="214">
        <f>IF(AND(($D16+$C$1)&gt;AY$3,AY$3&gt;=$C$1),'General Inputs'!W$9*$G16,IF(AND(($C16+$C$1)&gt;AY$3,AY$3&gt;=$C$1),'General Inputs'!W$9*$F16,0))</f>
        <v>0</v>
      </c>
      <c r="BA16" s="214">
        <f>IF(AND(($D16+$C$1)&gt;AF$3,AF$3&gt;=$C$1),'General Inputs'!D$10*$I16,IF(AND(($C16+$C$1)&gt;AF$3,AF$3&gt;=$C$1),'General Inputs'!D$10*$H16,0))</f>
        <v>0</v>
      </c>
      <c r="BB16" s="214">
        <f>IF(AND(($D16+$C$1)&gt;AG$3,AG$3&gt;=$C$1),'General Inputs'!E$10*$I16,IF(AND(($C16+$C$1)&gt;AG$3,AG$3&gt;=$C$1),'General Inputs'!E$10*$H16,0))</f>
        <v>0</v>
      </c>
      <c r="BC16" s="214">
        <f>IF(AND(($D16+$C$1)&gt;AH$3,AH$3&gt;=$C$1),'General Inputs'!F$10*$I16,IF(AND(($C16+$C$1)&gt;AH$3,AH$3&gt;=$C$1),'General Inputs'!F$10*$H16,0))</f>
        <v>2.0373985286733647</v>
      </c>
      <c r="BD16" s="214">
        <f>IF(AND(($D16+$C$1)&gt;AI$3,AI$3&gt;=$C$1),'General Inputs'!G$10*$I16,IF(AND(($C16+$C$1)&gt;AI$3,AI$3&gt;=$C$1),'General Inputs'!G$10*$H16,0))</f>
        <v>2.0679595066034651</v>
      </c>
      <c r="BE16" s="214">
        <f>IF(AND(($D16+$C$1)&gt;AJ$3,AJ$3&gt;=$C$1),'General Inputs'!H$10*$I16,IF(AND(($C16+$C$1)&gt;AJ$3,AJ$3&gt;=$C$1),'General Inputs'!H$10*$H16,0))</f>
        <v>2.0989788992025167</v>
      </c>
      <c r="BF16" s="214">
        <f>IF(AND(($D16+$C$1)&gt;AK$3,AK$3&gt;=$C$1),'General Inputs'!I$10*$I16,IF(AND(($C16+$C$1)&gt;AK$3,AK$3&gt;=$C$1),'General Inputs'!I$10*$H16,0))</f>
        <v>2.1304635826905538</v>
      </c>
      <c r="BG16" s="214">
        <f>IF(AND(($D16+$C$1)&gt;AL$3,AL$3&gt;=$C$1),'General Inputs'!J$10*$I16,IF(AND(($C16+$C$1)&gt;AL$3,AL$3&gt;=$C$1),'General Inputs'!J$10*$H16,0))</f>
        <v>2.1624205364309121</v>
      </c>
      <c r="BH16" s="214">
        <f>IF(AND(($D16+$C$1)&gt;AM$3,AM$3&gt;=$C$1),'General Inputs'!K$10*$I16,IF(AND(($C16+$C$1)&gt;AM$3,AM$3&gt;=$C$1),'General Inputs'!K$10*$H16,0))</f>
        <v>2.1948568444773757</v>
      </c>
      <c r="BI16" s="214">
        <f>IF(AND(($D16+$C$1)&gt;AN$3,AN$3&gt;=$C$1),'General Inputs'!L$10*$I16,IF(AND(($C16+$C$1)&gt;AN$3,AN$3&gt;=$C$1),'General Inputs'!L$10*$H16,0))</f>
        <v>2.2277796971445363</v>
      </c>
      <c r="BJ16" s="214">
        <f>IF(AND(($D16+$C$1)&gt;AO$3,AO$3&gt;=$C$1),'General Inputs'!M$10*$I16,IF(AND(($C16+$C$1)&gt;AO$3,AO$3&gt;=$C$1),'General Inputs'!M$10*$H16,0))</f>
        <v>2.261196392601704</v>
      </c>
      <c r="BK16" s="214">
        <f>IF(AND(($D16+$C$1)&gt;AP$3,AP$3&gt;=$C$1),'General Inputs'!N$10*$I16,IF(AND(($C16+$C$1)&gt;AP$3,AP$3&gt;=$C$1),'General Inputs'!N$10*$H16,0))</f>
        <v>0</v>
      </c>
      <c r="BL16" s="214">
        <f>IF(AND(($D16+$C$1)&gt;AQ$3,AQ$3&gt;=$C$1),'General Inputs'!O$10*$I16,IF(AND(($C16+$C$1)&gt;AQ$3,AQ$3&gt;=$C$1),'General Inputs'!O$10*$H16,0))</f>
        <v>0</v>
      </c>
      <c r="BM16" s="214">
        <f>IF(AND(($D16+$C$1)&gt;AR$3,AR$3&gt;=$C$1),'General Inputs'!P$10*$I16,IF(AND(($C16+$C$1)&gt;AR$3,AR$3&gt;=$C$1),'General Inputs'!P$10*$H16,0))</f>
        <v>0</v>
      </c>
      <c r="BN16" s="214">
        <f>IF(AND(($D16+$C$1)&gt;AS$3,AS$3&gt;=$C$1),'General Inputs'!Q$10*$I16,IF(AND(($C16+$C$1)&gt;AS$3,AS$3&gt;=$C$1),'General Inputs'!Q$10*$H16,0))</f>
        <v>0</v>
      </c>
      <c r="BO16" s="214">
        <f>IF(AND(($D16+$C$1)&gt;AT$3,AT$3&gt;=$C$1),'General Inputs'!R$10*$I16,IF(AND(($C16+$C$1)&gt;AT$3,AT$3&gt;=$C$1),'General Inputs'!R$10*$H16,0))</f>
        <v>0</v>
      </c>
      <c r="BP16" s="214">
        <f>IF(AND(($D16+$C$1)&gt;AU$3,AU$3&gt;=$C$1),'General Inputs'!S$10*$I16,IF(AND(($C16+$C$1)&gt;AU$3,AU$3&gt;=$C$1),'General Inputs'!S$10*$H16,0))</f>
        <v>0</v>
      </c>
      <c r="BQ16" s="214">
        <f>IF(AND(($D16+$C$1)&gt;AV$3,AV$3&gt;=$C$1),'General Inputs'!T$10*$I16,IF(AND(($C16+$C$1)&gt;AV$3,AV$3&gt;=$C$1),'General Inputs'!T$10*$H16,0))</f>
        <v>0</v>
      </c>
      <c r="BR16" s="214">
        <f>IF(AND(($D16+$C$1)&gt;AW$3,AW$3&gt;=$C$1),'General Inputs'!U$10*$I16,IF(AND(($C16+$C$1)&gt;AW$3,AW$3&gt;=$C$1),'General Inputs'!U$10*$H16,0))</f>
        <v>0</v>
      </c>
      <c r="BS16" s="214">
        <f>IF(AND(($D16+$C$1)&gt;AX$3,AX$3&gt;=$C$1),'General Inputs'!V$10*$I16,IF(AND(($C16+$C$1)&gt;AX$3,AX$3&gt;=$C$1),'General Inputs'!V$10*$H16,0))</f>
        <v>0</v>
      </c>
      <c r="BT16" s="214">
        <f>IF(AND(($D16+$C$1)&gt;AY$3,AY$3&gt;=$C$1),'General Inputs'!W$10*$I16,IF(AND(($C16+$C$1)&gt;AY$3,AY$3&gt;=$C$1),'General Inputs'!W$10*$H16,0))</f>
        <v>0</v>
      </c>
    </row>
    <row r="17" spans="1:72">
      <c r="A17" s="341" t="s">
        <v>12</v>
      </c>
      <c r="B17" s="427" t="str">
        <f>Sources!B17</f>
        <v>Air Sealing (Electric Heat)</v>
      </c>
      <c r="C17" s="193">
        <f>Sources!C17</f>
        <v>15</v>
      </c>
      <c r="D17" s="193">
        <f>Sources!D17</f>
        <v>0</v>
      </c>
      <c r="F17" s="429">
        <f>Sources!F17*EnergyLineLoss</f>
        <v>1407.4859889169311</v>
      </c>
      <c r="G17" s="429">
        <f>Sources!G17*EnergyLineLoss</f>
        <v>0</v>
      </c>
      <c r="H17" s="477">
        <f>Sources!H17*PeakLineLoss</f>
        <v>0.59892676519981936</v>
      </c>
      <c r="I17" s="477">
        <f>Sources!I17*PeakLineLoss</f>
        <v>0</v>
      </c>
      <c r="K17" s="419">
        <f>Sources!J17</f>
        <v>272</v>
      </c>
      <c r="L17" s="419">
        <f>Sources!K17</f>
        <v>0</v>
      </c>
      <c r="N17" s="438">
        <f t="shared" si="4"/>
        <v>2.3698215796359521</v>
      </c>
      <c r="P17" s="215">
        <f t="shared" si="0"/>
        <v>469.0631546193539</v>
      </c>
      <c r="Q17" s="215">
        <f t="shared" si="1"/>
        <v>75.072880363179976</v>
      </c>
      <c r="R17" s="215">
        <f t="shared" si="2"/>
        <v>229.61054944318767</v>
      </c>
      <c r="T17" s="214">
        <f t="shared" si="3"/>
        <v>0</v>
      </c>
      <c r="U17" s="214">
        <f t="shared" si="3"/>
        <v>0</v>
      </c>
      <c r="V17" s="214">
        <f t="shared" si="3"/>
        <v>272</v>
      </c>
      <c r="W17" s="214">
        <f t="shared" si="3"/>
        <v>0</v>
      </c>
      <c r="X17" s="214">
        <f t="shared" si="3"/>
        <v>0</v>
      </c>
      <c r="Y17" s="214">
        <f t="shared" si="3"/>
        <v>0</v>
      </c>
      <c r="Z17" s="214">
        <f t="shared" si="3"/>
        <v>0</v>
      </c>
      <c r="AA17" s="214">
        <f t="shared" si="3"/>
        <v>0</v>
      </c>
      <c r="AB17" s="214">
        <f t="shared" si="3"/>
        <v>0</v>
      </c>
      <c r="AC17" s="214">
        <f t="shared" si="3"/>
        <v>0</v>
      </c>
      <c r="AD17" s="214">
        <f t="shared" si="3"/>
        <v>0</v>
      </c>
      <c r="AF17" s="214">
        <f>IF(AND(($D17+$C$1)&gt;AF$3,AF$3&gt;=$C$1),'General Inputs'!D$9*$G17,IF(AND(($C17+$C$1)&gt;AF$3,AF$3&gt;=$C$1),'General Inputs'!D$9*$F17,0))</f>
        <v>0</v>
      </c>
      <c r="AG17" s="214">
        <f>IF(AND(($D17+$C$1)&gt;AG$3,AG$3&gt;=$C$1),'General Inputs'!E$9*$G17,IF(AND(($C17+$C$1)&gt;AG$3,AG$3&gt;=$C$1),'General Inputs'!E$9*$F17,0))</f>
        <v>0</v>
      </c>
      <c r="AH17" s="214">
        <f>IF(AND(($D17+$C$1)&gt;AH$3,AH$3&gt;=$C$1),'General Inputs'!F$9*$G17,IF(AND(($C17+$C$1)&gt;AH$3,AH$3&gt;=$C$1),'General Inputs'!F$9*$F17,0))</f>
        <v>57.728875399283865</v>
      </c>
      <c r="AI17" s="214">
        <f>IF(AND(($D17+$C$1)&gt;AI$3,AI$3&gt;=$C$1),'General Inputs'!G$9*$G17,IF(AND(($C17+$C$1)&gt;AI$3,AI$3&gt;=$C$1),'General Inputs'!G$9*$F17,0))</f>
        <v>58.59480853027312</v>
      </c>
      <c r="AJ17" s="214">
        <f>IF(AND(($D17+$C$1)&gt;AJ$3,AJ$3&gt;=$C$1),'General Inputs'!H$9*$G17,IF(AND(($C17+$C$1)&gt;AJ$3,AJ$3&gt;=$C$1),'General Inputs'!H$9*$F17,0))</f>
        <v>59.473730658227204</v>
      </c>
      <c r="AK17" s="214">
        <f>IF(AND(($D17+$C$1)&gt;AK$3,AK$3&gt;=$C$1),'General Inputs'!I$9*$G17,IF(AND(($C17+$C$1)&gt;AK$3,AK$3&gt;=$C$1),'General Inputs'!I$9*$F17,0))</f>
        <v>60.365836618100602</v>
      </c>
      <c r="AL17" s="214">
        <f>IF(AND(($D17+$C$1)&gt;AL$3,AL$3&gt;=$C$1),'General Inputs'!J$9*$G17,IF(AND(($C17+$C$1)&gt;AL$3,AL$3&gt;=$C$1),'General Inputs'!J$9*$F17,0))</f>
        <v>61.271324167372107</v>
      </c>
      <c r="AM17" s="214">
        <f>IF(AND(($D17+$C$1)&gt;AM$3,AM$3&gt;=$C$1),'General Inputs'!K$9*$G17,IF(AND(($C17+$C$1)&gt;AM$3,AM$3&gt;=$C$1),'General Inputs'!K$9*$F17,0))</f>
        <v>62.190394029882675</v>
      </c>
      <c r="AN17" s="214">
        <f>IF(AND(($D17+$C$1)&gt;AN$3,AN$3&gt;=$C$1),'General Inputs'!L$9*$G17,IF(AND(($C17+$C$1)&gt;AN$3,AN$3&gt;=$C$1),'General Inputs'!L$9*$F17,0))</f>
        <v>63.123249940330915</v>
      </c>
      <c r="AO17" s="214">
        <f>IF(AND(($D17+$C$1)&gt;AO$3,AO$3&gt;=$C$1),'General Inputs'!M$9*$G17,IF(AND(($C17+$C$1)&gt;AO$3,AO$3&gt;=$C$1),'General Inputs'!M$9*$F17,0))</f>
        <v>64.070098689435866</v>
      </c>
      <c r="AP17" s="214">
        <f>IF(AND(($D17+$C$1)&gt;AP$3,AP$3&gt;=$C$1),'General Inputs'!N$9*$G17,IF(AND(($C17+$C$1)&gt;AP$3,AP$3&gt;=$C$1),'General Inputs'!N$9*$F17,0))</f>
        <v>65.031150169777405</v>
      </c>
      <c r="AQ17" s="214">
        <f>IF(AND(($D17+$C$1)&gt;AQ$3,AQ$3&gt;=$C$1),'General Inputs'!O$9*$G17,IF(AND(($C17+$C$1)&gt;AQ$3,AQ$3&gt;=$C$1),'General Inputs'!O$9*$F17,0))</f>
        <v>66.006617422324055</v>
      </c>
      <c r="AR17" s="214">
        <f>IF(AND(($D17+$C$1)&gt;AR$3,AR$3&gt;=$C$1),'General Inputs'!P$9*$G17,IF(AND(($C17+$C$1)&gt;AR$3,AR$3&gt;=$C$1),'General Inputs'!P$9*$F17,0))</f>
        <v>66.996716683658903</v>
      </c>
      <c r="AS17" s="214">
        <f>IF(AND(($D17+$C$1)&gt;AS$3,AS$3&gt;=$C$1),'General Inputs'!Q$9*$G17,IF(AND(($C17+$C$1)&gt;AS$3,AS$3&gt;=$C$1),'General Inputs'!Q$9*$F17,0))</f>
        <v>68.001667433913781</v>
      </c>
      <c r="AT17" s="214">
        <f>IF(AND(($D17+$C$1)&gt;AT$3,AT$3&gt;=$C$1),'General Inputs'!R$9*$G17,IF(AND(($C17+$C$1)&gt;AT$3,AT$3&gt;=$C$1),'General Inputs'!R$9*$F17,0))</f>
        <v>69.021692445422488</v>
      </c>
      <c r="AU17" s="214">
        <f>IF(AND(($D17+$C$1)&gt;AU$3,AU$3&gt;=$C$1),'General Inputs'!S$9*$G17,IF(AND(($C17+$C$1)&gt;AU$3,AU$3&gt;=$C$1),'General Inputs'!S$9*$F17,0))</f>
        <v>70.057017832103824</v>
      </c>
      <c r="AV17" s="214">
        <f>IF(AND(($D17+$C$1)&gt;AV$3,AV$3&gt;=$C$1),'General Inputs'!T$9*$G17,IF(AND(($C17+$C$1)&gt;AV$3,AV$3&gt;=$C$1),'General Inputs'!T$9*$F17,0))</f>
        <v>71.107873099585376</v>
      </c>
      <c r="AW17" s="214">
        <f>IF(AND(($D17+$C$1)&gt;AW$3,AW$3&gt;=$C$1),'General Inputs'!U$9*$G17,IF(AND(($C17+$C$1)&gt;AW$3,AW$3&gt;=$C$1),'General Inputs'!U$9*$F17,0))</f>
        <v>0</v>
      </c>
      <c r="AX17" s="214">
        <f>IF(AND(($D17+$C$1)&gt;AX$3,AX$3&gt;=$C$1),'General Inputs'!V$9*$G17,IF(AND(($C17+$C$1)&gt;AX$3,AX$3&gt;=$C$1),'General Inputs'!V$9*$F17,0))</f>
        <v>0</v>
      </c>
      <c r="AY17" s="214">
        <f>IF(AND(($D17+$C$1)&gt;AY$3,AY$3&gt;=$C$1),'General Inputs'!W$9*$G17,IF(AND(($C17+$C$1)&gt;AY$3,AY$3&gt;=$C$1),'General Inputs'!W$9*$F17,0))</f>
        <v>0</v>
      </c>
      <c r="BA17" s="214">
        <f>IF(AND(($D17+$C$1)&gt;AF$3,AF$3&gt;=$C$1),'General Inputs'!D$10*$I17,IF(AND(($C17+$C$1)&gt;AF$3,AF$3&gt;=$C$1),'General Inputs'!D$10*$H17,0))</f>
        <v>0</v>
      </c>
      <c r="BB17" s="214">
        <f>IF(AND(($D17+$C$1)&gt;AG$3,AG$3&gt;=$C$1),'General Inputs'!E$10*$I17,IF(AND(($C17+$C$1)&gt;AG$3,AG$3&gt;=$C$1),'General Inputs'!E$10*$H17,0))</f>
        <v>0</v>
      </c>
      <c r="BC17" s="214">
        <f>IF(AND(($D17+$C$1)&gt;AH$3,AH$3&gt;=$C$1),'General Inputs'!F$10*$I17,IF(AND(($C17+$C$1)&gt;AH$3,AH$3&gt;=$C$1),'General Inputs'!F$10*$H17,0))</f>
        <v>9.2394231217506562</v>
      </c>
      <c r="BD17" s="214">
        <f>IF(AND(($D17+$C$1)&gt;AI$3,AI$3&gt;=$C$1),'General Inputs'!G$10*$I17,IF(AND(($C17+$C$1)&gt;AI$3,AI$3&gt;=$C$1),'General Inputs'!G$10*$H17,0))</f>
        <v>9.3780144685769162</v>
      </c>
      <c r="BE17" s="214">
        <f>IF(AND(($D17+$C$1)&gt;AJ$3,AJ$3&gt;=$C$1),'General Inputs'!H$10*$I17,IF(AND(($C17+$C$1)&gt;AJ$3,AJ$3&gt;=$C$1),'General Inputs'!H$10*$H17,0))</f>
        <v>9.5186846856055691</v>
      </c>
      <c r="BF17" s="214">
        <f>IF(AND(($D17+$C$1)&gt;AK$3,AK$3&gt;=$C$1),'General Inputs'!I$10*$I17,IF(AND(($C17+$C$1)&gt;AK$3,AK$3&gt;=$C$1),'General Inputs'!I$10*$H17,0))</f>
        <v>9.6614649558896506</v>
      </c>
      <c r="BG17" s="214">
        <f>IF(AND(($D17+$C$1)&gt;AL$3,AL$3&gt;=$C$1),'General Inputs'!J$10*$I17,IF(AND(($C17+$C$1)&gt;AL$3,AL$3&gt;=$C$1),'General Inputs'!J$10*$H17,0))</f>
        <v>9.806386930227994</v>
      </c>
      <c r="BH17" s="214">
        <f>IF(AND(($D17+$C$1)&gt;AM$3,AM$3&gt;=$C$1),'General Inputs'!K$10*$I17,IF(AND(($C17+$C$1)&gt;AM$3,AM$3&gt;=$C$1),'General Inputs'!K$10*$H17,0))</f>
        <v>9.9534827341814136</v>
      </c>
      <c r="BI17" s="214">
        <f>IF(AND(($D17+$C$1)&gt;AN$3,AN$3&gt;=$C$1),'General Inputs'!L$10*$I17,IF(AND(($C17+$C$1)&gt;AN$3,AN$3&gt;=$C$1),'General Inputs'!L$10*$H17,0))</f>
        <v>10.102784975194133</v>
      </c>
      <c r="BJ17" s="214">
        <f>IF(AND(($D17+$C$1)&gt;AO$3,AO$3&gt;=$C$1),'General Inputs'!M$10*$I17,IF(AND(($C17+$C$1)&gt;AO$3,AO$3&gt;=$C$1),'General Inputs'!M$10*$H17,0))</f>
        <v>10.254326749822045</v>
      </c>
      <c r="BK17" s="214">
        <f>IF(AND(($D17+$C$1)&gt;AP$3,AP$3&gt;=$C$1),'General Inputs'!N$10*$I17,IF(AND(($C17+$C$1)&gt;AP$3,AP$3&gt;=$C$1),'General Inputs'!N$10*$H17,0))</f>
        <v>10.408141651069375</v>
      </c>
      <c r="BL17" s="214">
        <f>IF(AND(($D17+$C$1)&gt;AQ$3,AQ$3&gt;=$C$1),'General Inputs'!O$10*$I17,IF(AND(($C17+$C$1)&gt;AQ$3,AQ$3&gt;=$C$1),'General Inputs'!O$10*$H17,0))</f>
        <v>10.564263775835414</v>
      </c>
      <c r="BM17" s="214">
        <f>IF(AND(($D17+$C$1)&gt;AR$3,AR$3&gt;=$C$1),'General Inputs'!P$10*$I17,IF(AND(($C17+$C$1)&gt;AR$3,AR$3&gt;=$C$1),'General Inputs'!P$10*$H17,0))</f>
        <v>10.722727732472945</v>
      </c>
      <c r="BN17" s="214">
        <f>IF(AND(($D17+$C$1)&gt;AS$3,AS$3&gt;=$C$1),'General Inputs'!Q$10*$I17,IF(AND(($C17+$C$1)&gt;AS$3,AS$3&gt;=$C$1),'General Inputs'!Q$10*$H17,0))</f>
        <v>10.883568648460038</v>
      </c>
      <c r="BO17" s="214">
        <f>IF(AND(($D17+$C$1)&gt;AT$3,AT$3&gt;=$C$1),'General Inputs'!R$10*$I17,IF(AND(($C17+$C$1)&gt;AT$3,AT$3&gt;=$C$1),'General Inputs'!R$10*$H17,0))</f>
        <v>11.046822178186936</v>
      </c>
      <c r="BP17" s="214">
        <f>IF(AND(($D17+$C$1)&gt;AU$3,AU$3&gt;=$C$1),'General Inputs'!S$10*$I17,IF(AND(($C17+$C$1)&gt;AU$3,AU$3&gt;=$C$1),'General Inputs'!S$10*$H17,0))</f>
        <v>11.21252451085974</v>
      </c>
      <c r="BQ17" s="214">
        <f>IF(AND(($D17+$C$1)&gt;AV$3,AV$3&gt;=$C$1),'General Inputs'!T$10*$I17,IF(AND(($C17+$C$1)&gt;AV$3,AV$3&gt;=$C$1),'General Inputs'!T$10*$H17,0))</f>
        <v>11.380712378522636</v>
      </c>
      <c r="BR17" s="214">
        <f>IF(AND(($D17+$C$1)&gt;AW$3,AW$3&gt;=$C$1),'General Inputs'!U$10*$I17,IF(AND(($C17+$C$1)&gt;AW$3,AW$3&gt;=$C$1),'General Inputs'!U$10*$H17,0))</f>
        <v>0</v>
      </c>
      <c r="BS17" s="214">
        <f>IF(AND(($D17+$C$1)&gt;AX$3,AX$3&gt;=$C$1),'General Inputs'!V$10*$I17,IF(AND(($C17+$C$1)&gt;AX$3,AX$3&gt;=$C$1),'General Inputs'!V$10*$H17,0))</f>
        <v>0</v>
      </c>
      <c r="BT17" s="214">
        <f>IF(AND(($D17+$C$1)&gt;AY$3,AY$3&gt;=$C$1),'General Inputs'!W$10*$I17,IF(AND(($C17+$C$1)&gt;AY$3,AY$3&gt;=$C$1),'General Inputs'!W$10*$H17,0))</f>
        <v>0</v>
      </c>
    </row>
    <row r="18" spans="1:72">
      <c r="A18" s="341" t="s">
        <v>12</v>
      </c>
      <c r="B18" s="427" t="str">
        <f>Sources!B18</f>
        <v>Air Sealing (Gas Heat)</v>
      </c>
      <c r="C18" s="193">
        <f>Sources!C18</f>
        <v>15</v>
      </c>
      <c r="D18" s="193">
        <f>Sources!D18</f>
        <v>0</v>
      </c>
      <c r="F18" s="429">
        <f>Sources!F18*EnergyLineLoss</f>
        <v>59.823316216216213</v>
      </c>
      <c r="G18" s="429">
        <f>Sources!G18*EnergyLineLoss</f>
        <v>0</v>
      </c>
      <c r="H18" s="477">
        <f>Sources!H18*PeakLineLoss</f>
        <v>9.2307477804111013E-2</v>
      </c>
      <c r="I18" s="477">
        <f>Sources!I18*PeakLineLoss</f>
        <v>0</v>
      </c>
      <c r="K18" s="419">
        <f>Sources!J18</f>
        <v>272</v>
      </c>
      <c r="L18" s="419">
        <f>Sources!K18</f>
        <v>0</v>
      </c>
      <c r="N18" s="438">
        <f t="shared" ref="N18" si="5">IF(R18&gt;0,(P18+Q18)/R18,"n/a")</f>
        <v>0.13722038281346904</v>
      </c>
      <c r="P18" s="215">
        <f t="shared" ref="P18" si="6">AF18+NPV(DiscountRate,AG18:AY18)</f>
        <v>19.936904271254996</v>
      </c>
      <c r="Q18" s="215">
        <f t="shared" ref="Q18" si="7">BA18+NPV(DiscountRate,BB18:BT18)</f>
        <v>11.570343221350175</v>
      </c>
      <c r="R18" s="215">
        <f t="shared" ref="R18" si="8">T18+NPV(DiscountRate,U18:AD18)</f>
        <v>229.61054944318767</v>
      </c>
      <c r="T18" s="214">
        <f t="shared" si="3"/>
        <v>0</v>
      </c>
      <c r="U18" s="214">
        <f t="shared" si="3"/>
        <v>0</v>
      </c>
      <c r="V18" s="214">
        <f t="shared" si="3"/>
        <v>272</v>
      </c>
      <c r="W18" s="214">
        <f t="shared" si="3"/>
        <v>0</v>
      </c>
      <c r="X18" s="214">
        <f t="shared" si="3"/>
        <v>0</v>
      </c>
      <c r="Y18" s="214">
        <f t="shared" si="3"/>
        <v>0</v>
      </c>
      <c r="Z18" s="214">
        <f t="shared" si="3"/>
        <v>0</v>
      </c>
      <c r="AA18" s="214">
        <f t="shared" si="3"/>
        <v>0</v>
      </c>
      <c r="AB18" s="214">
        <f t="shared" si="3"/>
        <v>0</v>
      </c>
      <c r="AC18" s="214">
        <f t="shared" si="3"/>
        <v>0</v>
      </c>
      <c r="AD18" s="214">
        <f t="shared" si="3"/>
        <v>0</v>
      </c>
      <c r="AF18" s="214">
        <f>IF(AND(($D18+$C$1)&gt;AF$3,AF$3&gt;=$C$1),'General Inputs'!D$9*$G18,IF(AND(($C18+$C$1)&gt;AF$3,AF$3&gt;=$C$1),'General Inputs'!D$9*$F18,0))</f>
        <v>0</v>
      </c>
      <c r="AG18" s="214">
        <f>IF(AND(($D18+$C$1)&gt;AG$3,AG$3&gt;=$C$1),'General Inputs'!E$9*$G18,IF(AND(($C18+$C$1)&gt;AG$3,AG$3&gt;=$C$1),'General Inputs'!E$9*$F18,0))</f>
        <v>0</v>
      </c>
      <c r="AH18" s="214">
        <f>IF(AND(($D18+$C$1)&gt;AH$3,AH$3&gt;=$C$1),'General Inputs'!F$9*$G18,IF(AND(($C18+$C$1)&gt;AH$3,AH$3&gt;=$C$1),'General Inputs'!F$9*$F18,0))</f>
        <v>2.4536889141435916</v>
      </c>
      <c r="AI18" s="214">
        <f>IF(AND(($D18+$C$1)&gt;AI$3,AI$3&gt;=$C$1),'General Inputs'!G$9*$G18,IF(AND(($C18+$C$1)&gt;AI$3,AI$3&gt;=$C$1),'General Inputs'!G$9*$F18,0))</f>
        <v>2.4904942478557452</v>
      </c>
      <c r="AJ18" s="214">
        <f>IF(AND(($D18+$C$1)&gt;AJ$3,AJ$3&gt;=$C$1),'General Inputs'!H$9*$G18,IF(AND(($C18+$C$1)&gt;AJ$3,AJ$3&gt;=$C$1),'General Inputs'!H$9*$F18,0))</f>
        <v>2.5278516615735809</v>
      </c>
      <c r="AK18" s="214">
        <f>IF(AND(($D18+$C$1)&gt;AK$3,AK$3&gt;=$C$1),'General Inputs'!I$9*$G18,IF(AND(($C18+$C$1)&gt;AK$3,AK$3&gt;=$C$1),'General Inputs'!I$9*$F18,0))</f>
        <v>2.5657694364971841</v>
      </c>
      <c r="AL18" s="214">
        <f>IF(AND(($D18+$C$1)&gt;AL$3,AL$3&gt;=$C$1),'General Inputs'!J$9*$G18,IF(AND(($C18+$C$1)&gt;AL$3,AL$3&gt;=$C$1),'General Inputs'!J$9*$F18,0))</f>
        <v>2.6042559780446415</v>
      </c>
      <c r="AM18" s="214">
        <f>IF(AND(($D18+$C$1)&gt;AM$3,AM$3&gt;=$C$1),'General Inputs'!K$9*$G18,IF(AND(($C18+$C$1)&gt;AM$3,AM$3&gt;=$C$1),'General Inputs'!K$9*$F18,0))</f>
        <v>2.643319817715311</v>
      </c>
      <c r="AN18" s="214">
        <f>IF(AND(($D18+$C$1)&gt;AN$3,AN$3&gt;=$C$1),'General Inputs'!L$9*$G18,IF(AND(($C18+$C$1)&gt;AN$3,AN$3&gt;=$C$1),'General Inputs'!L$9*$F18,0))</f>
        <v>2.6829696149810403</v>
      </c>
      <c r="AO18" s="214">
        <f>IF(AND(($D18+$C$1)&gt;AO$3,AO$3&gt;=$C$1),'General Inputs'!M$9*$G18,IF(AND(($C18+$C$1)&gt;AO$3,AO$3&gt;=$C$1),'General Inputs'!M$9*$F18,0))</f>
        <v>2.7232141592057553</v>
      </c>
      <c r="AP18" s="214">
        <f>IF(AND(($D18+$C$1)&gt;AP$3,AP$3&gt;=$C$1),'General Inputs'!N$9*$G18,IF(AND(($C18+$C$1)&gt;AP$3,AP$3&gt;=$C$1),'General Inputs'!N$9*$F18,0))</f>
        <v>2.7640623715938415</v>
      </c>
      <c r="AQ18" s="214">
        <f>IF(AND(($D18+$C$1)&gt;AQ$3,AQ$3&gt;=$C$1),'General Inputs'!O$9*$G18,IF(AND(($C18+$C$1)&gt;AQ$3,AQ$3&gt;=$C$1),'General Inputs'!O$9*$F18,0))</f>
        <v>2.805523307167749</v>
      </c>
      <c r="AR18" s="214">
        <f>IF(AND(($D18+$C$1)&gt;AR$3,AR$3&gt;=$C$1),'General Inputs'!P$9*$G18,IF(AND(($C18+$C$1)&gt;AR$3,AR$3&gt;=$C$1),'General Inputs'!P$9*$F18,0))</f>
        <v>2.8476061567752646</v>
      </c>
      <c r="AS18" s="214">
        <f>IF(AND(($D18+$C$1)&gt;AS$3,AS$3&gt;=$C$1),'General Inputs'!Q$9*$G18,IF(AND(($C18+$C$1)&gt;AS$3,AS$3&gt;=$C$1),'General Inputs'!Q$9*$F18,0))</f>
        <v>2.8903202491268938</v>
      </c>
      <c r="AT18" s="214">
        <f>IF(AND(($D18+$C$1)&gt;AT$3,AT$3&gt;=$C$1),'General Inputs'!R$9*$G18,IF(AND(($C18+$C$1)&gt;AT$3,AT$3&gt;=$C$1),'General Inputs'!R$9*$F18,0))</f>
        <v>2.9336750528637969</v>
      </c>
      <c r="AU18" s="214">
        <f>IF(AND(($D18+$C$1)&gt;AU$3,AU$3&gt;=$C$1),'General Inputs'!S$9*$G18,IF(AND(($C18+$C$1)&gt;AU$3,AU$3&gt;=$C$1),'General Inputs'!S$9*$F18,0))</f>
        <v>2.9776801786567537</v>
      </c>
      <c r="AV18" s="214">
        <f>IF(AND(($D18+$C$1)&gt;AV$3,AV$3&gt;=$C$1),'General Inputs'!T$9*$G18,IF(AND(($C18+$C$1)&gt;AV$3,AV$3&gt;=$C$1),'General Inputs'!T$9*$F18,0))</f>
        <v>3.022345381336605</v>
      </c>
      <c r="AW18" s="214">
        <f>IF(AND(($D18+$C$1)&gt;AW$3,AW$3&gt;=$C$1),'General Inputs'!U$9*$G18,IF(AND(($C18+$C$1)&gt;AW$3,AW$3&gt;=$C$1),'General Inputs'!U$9*$F18,0))</f>
        <v>0</v>
      </c>
      <c r="AX18" s="214">
        <f>IF(AND(($D18+$C$1)&gt;AX$3,AX$3&gt;=$C$1),'General Inputs'!V$9*$G18,IF(AND(($C18+$C$1)&gt;AX$3,AX$3&gt;=$C$1),'General Inputs'!V$9*$F18,0))</f>
        <v>0</v>
      </c>
      <c r="AY18" s="214">
        <f>IF(AND(($D18+$C$1)&gt;AY$3,AY$3&gt;=$C$1),'General Inputs'!W$9*$G18,IF(AND(($C18+$C$1)&gt;AY$3,AY$3&gt;=$C$1),'General Inputs'!W$9*$F18,0))</f>
        <v>0</v>
      </c>
      <c r="BA18" s="214">
        <f>IF(AND(($D18+$C$1)&gt;AF$3,AF$3&gt;=$C$1),'General Inputs'!D$10*$I18,IF(AND(($C18+$C$1)&gt;AF$3,AF$3&gt;=$C$1),'General Inputs'!D$10*$H18,0))</f>
        <v>0</v>
      </c>
      <c r="BB18" s="214">
        <f>IF(AND(($D18+$C$1)&gt;AG$3,AG$3&gt;=$C$1),'General Inputs'!E$10*$I18,IF(AND(($C18+$C$1)&gt;AG$3,AG$3&gt;=$C$1),'General Inputs'!E$10*$H18,0))</f>
        <v>0</v>
      </c>
      <c r="BC18" s="214">
        <f>IF(AND(($D18+$C$1)&gt;AH$3,AH$3&gt;=$C$1),'General Inputs'!F$10*$I18,IF(AND(($C18+$C$1)&gt;AH$3,AH$3&gt;=$C$1),'General Inputs'!F$10*$H18,0))</f>
        <v>1.4239935402607151</v>
      </c>
      <c r="BD18" s="214">
        <f>IF(AND(($D18+$C$1)&gt;AI$3,AI$3&gt;=$C$1),'General Inputs'!G$10*$I18,IF(AND(($C18+$C$1)&gt;AI$3,AI$3&gt;=$C$1),'General Inputs'!G$10*$H18,0))</f>
        <v>1.4453534433646258</v>
      </c>
      <c r="BE18" s="214">
        <f>IF(AND(($D18+$C$1)&gt;AJ$3,AJ$3&gt;=$C$1),'General Inputs'!H$10*$I18,IF(AND(($C18+$C$1)&gt;AJ$3,AJ$3&gt;=$C$1),'General Inputs'!H$10*$H18,0))</f>
        <v>1.467033745015095</v>
      </c>
      <c r="BF18" s="214">
        <f>IF(AND(($D18+$C$1)&gt;AK$3,AK$3&gt;=$C$1),'General Inputs'!I$10*$I18,IF(AND(($C18+$C$1)&gt;AK$3,AK$3&gt;=$C$1),'General Inputs'!I$10*$H18,0))</f>
        <v>1.4890392511903212</v>
      </c>
      <c r="BG18" s="214">
        <f>IF(AND(($D18+$C$1)&gt;AL$3,AL$3&gt;=$C$1),'General Inputs'!J$10*$I18,IF(AND(($C18+$C$1)&gt;AL$3,AL$3&gt;=$C$1),'General Inputs'!J$10*$H18,0))</f>
        <v>1.5113748399581759</v>
      </c>
      <c r="BH18" s="214">
        <f>IF(AND(($D18+$C$1)&gt;AM$3,AM$3&gt;=$C$1),'General Inputs'!K$10*$I18,IF(AND(($C18+$C$1)&gt;AM$3,AM$3&gt;=$C$1),'General Inputs'!K$10*$H18,0))</f>
        <v>1.5340454625575484</v>
      </c>
      <c r="BI18" s="214">
        <f>IF(AND(($D18+$C$1)&gt;AN$3,AN$3&gt;=$C$1),'General Inputs'!L$10*$I18,IF(AND(($C18+$C$1)&gt;AN$3,AN$3&gt;=$C$1),'General Inputs'!L$10*$H18,0))</f>
        <v>1.5570561444959115</v>
      </c>
      <c r="BJ18" s="214">
        <f>IF(AND(($D18+$C$1)&gt;AO$3,AO$3&gt;=$C$1),'General Inputs'!M$10*$I18,IF(AND(($C18+$C$1)&gt;AO$3,AO$3&gt;=$C$1),'General Inputs'!M$10*$H18,0))</f>
        <v>1.5804119866633501</v>
      </c>
      <c r="BK18" s="214">
        <f>IF(AND(($D18+$C$1)&gt;AP$3,AP$3&gt;=$C$1),'General Inputs'!N$10*$I18,IF(AND(($C18+$C$1)&gt;AP$3,AP$3&gt;=$C$1),'General Inputs'!N$10*$H18,0))</f>
        <v>1.6041181664633002</v>
      </c>
      <c r="BL18" s="214">
        <f>IF(AND(($D18+$C$1)&gt;AQ$3,AQ$3&gt;=$C$1),'General Inputs'!O$10*$I18,IF(AND(($C18+$C$1)&gt;AQ$3,AQ$3&gt;=$C$1),'General Inputs'!O$10*$H18,0))</f>
        <v>1.6281799389602494</v>
      </c>
      <c r="BM18" s="214">
        <f>IF(AND(($D18+$C$1)&gt;AR$3,AR$3&gt;=$C$1),'General Inputs'!P$10*$I18,IF(AND(($C18+$C$1)&gt;AR$3,AR$3&gt;=$C$1),'General Inputs'!P$10*$H18,0))</f>
        <v>1.652602638044653</v>
      </c>
      <c r="BN18" s="214">
        <f>IF(AND(($D18+$C$1)&gt;AS$3,AS$3&gt;=$C$1),'General Inputs'!Q$10*$I18,IF(AND(($C18+$C$1)&gt;AS$3,AS$3&gt;=$C$1),'General Inputs'!Q$10*$H18,0))</f>
        <v>1.6773916776153226</v>
      </c>
      <c r="BO18" s="214">
        <f>IF(AND(($D18+$C$1)&gt;AT$3,AT$3&gt;=$C$1),'General Inputs'!R$10*$I18,IF(AND(($C18+$C$1)&gt;AT$3,AT$3&gt;=$C$1),'General Inputs'!R$10*$H18,0))</f>
        <v>1.7025525527795522</v>
      </c>
      <c r="BP18" s="214">
        <f>IF(AND(($D18+$C$1)&gt;AU$3,AU$3&gt;=$C$1),'General Inputs'!S$10*$I18,IF(AND(($C18+$C$1)&gt;AU$3,AU$3&gt;=$C$1),'General Inputs'!S$10*$H18,0))</f>
        <v>1.7280908410712454</v>
      </c>
      <c r="BQ18" s="214">
        <f>IF(AND(($D18+$C$1)&gt;AV$3,AV$3&gt;=$C$1),'General Inputs'!T$10*$I18,IF(AND(($C18+$C$1)&gt;AV$3,AV$3&gt;=$C$1),'General Inputs'!T$10*$H18,0))</f>
        <v>1.754012203687314</v>
      </c>
      <c r="BR18" s="214">
        <f>IF(AND(($D18+$C$1)&gt;AW$3,AW$3&gt;=$C$1),'General Inputs'!U$10*$I18,IF(AND(($C18+$C$1)&gt;AW$3,AW$3&gt;=$C$1),'General Inputs'!U$10*$H18,0))</f>
        <v>0</v>
      </c>
      <c r="BS18" s="214">
        <f>IF(AND(($D18+$C$1)&gt;AX$3,AX$3&gt;=$C$1),'General Inputs'!V$10*$I18,IF(AND(($C18+$C$1)&gt;AX$3,AX$3&gt;=$C$1),'General Inputs'!V$10*$H18,0))</f>
        <v>0</v>
      </c>
      <c r="BT18" s="214">
        <f>IF(AND(($D18+$C$1)&gt;AY$3,AY$3&gt;=$C$1),'General Inputs'!W$10*$I18,IF(AND(($C18+$C$1)&gt;AY$3,AY$3&gt;=$C$1),'General Inputs'!W$10*$H18,0))</f>
        <v>0</v>
      </c>
    </row>
    <row r="19" spans="1:72">
      <c r="A19" s="341" t="s">
        <v>12</v>
      </c>
      <c r="B19" s="427" t="str">
        <f>Sources!B19</f>
        <v>Attic Insulation</v>
      </c>
      <c r="C19" s="193">
        <f>Sources!C19</f>
        <v>20</v>
      </c>
      <c r="D19" s="193">
        <f>Sources!D19</f>
        <v>0</v>
      </c>
      <c r="F19" s="429">
        <f>Sources!F19*EnergyLineLoss</f>
        <v>539.29622747852682</v>
      </c>
      <c r="G19" s="429">
        <f>Sources!G19*EnergyLineLoss</f>
        <v>0</v>
      </c>
      <c r="H19" s="477">
        <f>Sources!H19*PeakLineLoss</f>
        <v>0.22948643720192885</v>
      </c>
      <c r="I19" s="477">
        <f>Sources!I19*PeakLineLoss</f>
        <v>0</v>
      </c>
      <c r="K19" s="419">
        <f>Sources!J19</f>
        <v>575.25</v>
      </c>
      <c r="L19" s="419">
        <f>Sources!K19</f>
        <v>0</v>
      </c>
      <c r="N19" s="438">
        <f t="shared" si="4"/>
        <v>0.47320917155817094</v>
      </c>
      <c r="P19" s="215">
        <f t="shared" si="0"/>
        <v>198.08726095497673</v>
      </c>
      <c r="Q19" s="215">
        <f t="shared" si="1"/>
        <v>31.703579990653562</v>
      </c>
      <c r="R19" s="215">
        <f t="shared" si="2"/>
        <v>485.60098737938858</v>
      </c>
      <c r="T19" s="214">
        <f t="shared" si="3"/>
        <v>0</v>
      </c>
      <c r="U19" s="214">
        <f t="shared" si="3"/>
        <v>0</v>
      </c>
      <c r="V19" s="214">
        <f t="shared" si="3"/>
        <v>575.25</v>
      </c>
      <c r="W19" s="214">
        <f t="shared" si="3"/>
        <v>0</v>
      </c>
      <c r="X19" s="214">
        <f t="shared" si="3"/>
        <v>0</v>
      </c>
      <c r="Y19" s="214">
        <f t="shared" si="3"/>
        <v>0</v>
      </c>
      <c r="Z19" s="214">
        <f t="shared" si="3"/>
        <v>0</v>
      </c>
      <c r="AA19" s="214">
        <f t="shared" si="3"/>
        <v>0</v>
      </c>
      <c r="AB19" s="214">
        <f t="shared" si="3"/>
        <v>0</v>
      </c>
      <c r="AC19" s="214">
        <f t="shared" si="3"/>
        <v>0</v>
      </c>
      <c r="AD19" s="214">
        <f t="shared" si="3"/>
        <v>0</v>
      </c>
      <c r="AF19" s="214">
        <f>IF(AND(($D19+$C$1)&gt;AF$3,AF$3&gt;=$C$1),'General Inputs'!D$9*$G19,IF(AND(($C19+$C$1)&gt;AF$3,AF$3&gt;=$C$1),'General Inputs'!D$9*$F19,0))</f>
        <v>0</v>
      </c>
      <c r="AG19" s="214">
        <f>IF(AND(($D19+$C$1)&gt;AG$3,AG$3&gt;=$C$1),'General Inputs'!E$9*$G19,IF(AND(($C19+$C$1)&gt;AG$3,AG$3&gt;=$C$1),'General Inputs'!E$9*$F19,0))</f>
        <v>0</v>
      </c>
      <c r="AH19" s="214">
        <f>IF(AND(($D19+$C$1)&gt;AH$3,AH$3&gt;=$C$1),'General Inputs'!F$9*$G19,IF(AND(($C19+$C$1)&gt;AH$3,AH$3&gt;=$C$1),'General Inputs'!F$9*$F19,0))</f>
        <v>22.119555693317221</v>
      </c>
      <c r="AI19" s="214">
        <f>IF(AND(($D19+$C$1)&gt;AI$3,AI$3&gt;=$C$1),'General Inputs'!G$9*$G19,IF(AND(($C19+$C$1)&gt;AI$3,AI$3&gt;=$C$1),'General Inputs'!G$9*$F19,0))</f>
        <v>22.451349028716976</v>
      </c>
      <c r="AJ19" s="214">
        <f>IF(AND(($D19+$C$1)&gt;AJ$3,AJ$3&gt;=$C$1),'General Inputs'!H$9*$G19,IF(AND(($C19+$C$1)&gt;AJ$3,AJ$3&gt;=$C$1),'General Inputs'!H$9*$F19,0))</f>
        <v>22.788119264147728</v>
      </c>
      <c r="AK19" s="214">
        <f>IF(AND(($D19+$C$1)&gt;AK$3,AK$3&gt;=$C$1),'General Inputs'!I$9*$G19,IF(AND(($C19+$C$1)&gt;AK$3,AK$3&gt;=$C$1),'General Inputs'!I$9*$F19,0))</f>
        <v>23.129941053109942</v>
      </c>
      <c r="AL19" s="214">
        <f>IF(AND(($D19+$C$1)&gt;AL$3,AL$3&gt;=$C$1),'General Inputs'!J$9*$G19,IF(AND(($C19+$C$1)&gt;AL$3,AL$3&gt;=$C$1),'General Inputs'!J$9*$F19,0))</f>
        <v>23.476890168906586</v>
      </c>
      <c r="AM19" s="214">
        <f>IF(AND(($D19+$C$1)&gt;AM$3,AM$3&gt;=$C$1),'General Inputs'!K$9*$G19,IF(AND(($C19+$C$1)&gt;AM$3,AM$3&gt;=$C$1),'General Inputs'!K$9*$F19,0))</f>
        <v>23.82904352144018</v>
      </c>
      <c r="AN19" s="214">
        <f>IF(AND(($D19+$C$1)&gt;AN$3,AN$3&gt;=$C$1),'General Inputs'!L$9*$G19,IF(AND(($C19+$C$1)&gt;AN$3,AN$3&gt;=$C$1),'General Inputs'!L$9*$F19,0))</f>
        <v>24.186479174261784</v>
      </c>
      <c r="AO19" s="214">
        <f>IF(AND(($D19+$C$1)&gt;AO$3,AO$3&gt;=$C$1),'General Inputs'!M$9*$G19,IF(AND(($C19+$C$1)&gt;AO$3,AO$3&gt;=$C$1),'General Inputs'!M$9*$F19,0))</f>
        <v>24.549276361875705</v>
      </c>
      <c r="AP19" s="214">
        <f>IF(AND(($D19+$C$1)&gt;AP$3,AP$3&gt;=$C$1),'General Inputs'!N$9*$G19,IF(AND(($C19+$C$1)&gt;AP$3,AP$3&gt;=$C$1),'General Inputs'!N$9*$F19,0))</f>
        <v>24.91751550730384</v>
      </c>
      <c r="AQ19" s="214">
        <f>IF(AND(($D19+$C$1)&gt;AQ$3,AQ$3&gt;=$C$1),'General Inputs'!O$9*$G19,IF(AND(($C19+$C$1)&gt;AQ$3,AQ$3&gt;=$C$1),'General Inputs'!O$9*$F19,0))</f>
        <v>25.291278239913392</v>
      </c>
      <c r="AR19" s="214">
        <f>IF(AND(($D19+$C$1)&gt;AR$3,AR$3&gt;=$C$1),'General Inputs'!P$9*$G19,IF(AND(($C19+$C$1)&gt;AR$3,AR$3&gt;=$C$1),'General Inputs'!P$9*$F19,0))</f>
        <v>25.670647413512093</v>
      </c>
      <c r="AS19" s="214">
        <f>IF(AND(($D19+$C$1)&gt;AS$3,AS$3&gt;=$C$1),'General Inputs'!Q$9*$G19,IF(AND(($C19+$C$1)&gt;AS$3,AS$3&gt;=$C$1),'General Inputs'!Q$9*$F19,0))</f>
        <v>26.055707124714772</v>
      </c>
      <c r="AT19" s="214">
        <f>IF(AND(($D19+$C$1)&gt;AT$3,AT$3&gt;=$C$1),'General Inputs'!R$9*$G19,IF(AND(($C19+$C$1)&gt;AT$3,AT$3&gt;=$C$1),'General Inputs'!R$9*$F19,0))</f>
        <v>26.446542731585492</v>
      </c>
      <c r="AU19" s="214">
        <f>IF(AND(($D19+$C$1)&gt;AU$3,AU$3&gt;=$C$1),'General Inputs'!S$9*$G19,IF(AND(($C19+$C$1)&gt;AU$3,AU$3&gt;=$C$1),'General Inputs'!S$9*$F19,0))</f>
        <v>26.843240872559274</v>
      </c>
      <c r="AV19" s="214">
        <f>IF(AND(($D19+$C$1)&gt;AV$3,AV$3&gt;=$C$1),'General Inputs'!T$9*$G19,IF(AND(($C19+$C$1)&gt;AV$3,AV$3&gt;=$C$1),'General Inputs'!T$9*$F19,0))</f>
        <v>27.245889485647659</v>
      </c>
      <c r="AW19" s="214">
        <f>IF(AND(($D19+$C$1)&gt;AW$3,AW$3&gt;=$C$1),'General Inputs'!U$9*$G19,IF(AND(($C19+$C$1)&gt;AW$3,AW$3&gt;=$C$1),'General Inputs'!U$9*$F19,0))</f>
        <v>27.654577827932375</v>
      </c>
      <c r="AX19" s="214">
        <f>IF(AND(($D19+$C$1)&gt;AX$3,AX$3&gt;=$C$1),'General Inputs'!V$9*$G19,IF(AND(($C19+$C$1)&gt;AX$3,AX$3&gt;=$C$1),'General Inputs'!V$9*$F19,0))</f>
        <v>28.069396495351356</v>
      </c>
      <c r="AY19" s="214">
        <f>IF(AND(($D19+$C$1)&gt;AY$3,AY$3&gt;=$C$1),'General Inputs'!W$9*$G19,IF(AND(($C19+$C$1)&gt;AY$3,AY$3&gt;=$C$1),'General Inputs'!W$9*$F19,0))</f>
        <v>28.490437442781623</v>
      </c>
      <c r="BA19" s="214">
        <f>IF(AND(($D19+$C$1)&gt;AF$3,AF$3&gt;=$C$1),'General Inputs'!D$10*$I19,IF(AND(($C19+$C$1)&gt;AF$3,AF$3&gt;=$C$1),'General Inputs'!D$10*$H19,0))</f>
        <v>0</v>
      </c>
      <c r="BB19" s="214">
        <f>IF(AND(($D19+$C$1)&gt;AG$3,AG$3&gt;=$C$1),'General Inputs'!E$10*$I19,IF(AND(($C19+$C$1)&gt;AG$3,AG$3&gt;=$C$1),'General Inputs'!E$10*$H19,0))</f>
        <v>0</v>
      </c>
      <c r="BC19" s="214">
        <f>IF(AND(($D19+$C$1)&gt;AH$3,AH$3&gt;=$C$1),'General Inputs'!F$10*$I19,IF(AND(($C19+$C$1)&gt;AH$3,AH$3&gt;=$C$1),'General Inputs'!F$10*$H19,0))</f>
        <v>3.540202938341352</v>
      </c>
      <c r="BD19" s="214">
        <f>IF(AND(($D19+$C$1)&gt;AI$3,AI$3&gt;=$C$1),'General Inputs'!G$10*$I19,IF(AND(($C19+$C$1)&gt;AI$3,AI$3&gt;=$C$1),'General Inputs'!G$10*$H19,0))</f>
        <v>3.5933059824164721</v>
      </c>
      <c r="BE19" s="214">
        <f>IF(AND(($D19+$C$1)&gt;AJ$3,AJ$3&gt;=$C$1),'General Inputs'!H$10*$I19,IF(AND(($C19+$C$1)&gt;AJ$3,AJ$3&gt;=$C$1),'General Inputs'!H$10*$H19,0))</f>
        <v>3.647205572152719</v>
      </c>
      <c r="BF19" s="214">
        <f>IF(AND(($D19+$C$1)&gt;AK$3,AK$3&gt;=$C$1),'General Inputs'!I$10*$I19,IF(AND(($C19+$C$1)&gt;AK$3,AK$3&gt;=$C$1),'General Inputs'!I$10*$H19,0))</f>
        <v>3.7019136557350087</v>
      </c>
      <c r="BG19" s="214">
        <f>IF(AND(($D19+$C$1)&gt;AL$3,AL$3&gt;=$C$1),'General Inputs'!J$10*$I19,IF(AND(($C19+$C$1)&gt;AL$3,AL$3&gt;=$C$1),'General Inputs'!J$10*$H19,0))</f>
        <v>3.7574423605710336</v>
      </c>
      <c r="BH19" s="214">
        <f>IF(AND(($D19+$C$1)&gt;AM$3,AM$3&gt;=$C$1),'General Inputs'!K$10*$I19,IF(AND(($C19+$C$1)&gt;AM$3,AM$3&gt;=$C$1),'General Inputs'!K$10*$H19,0))</f>
        <v>3.8138039959795988</v>
      </c>
      <c r="BI19" s="214">
        <f>IF(AND(($D19+$C$1)&gt;AN$3,AN$3&gt;=$C$1),'General Inputs'!L$10*$I19,IF(AND(($C19+$C$1)&gt;AN$3,AN$3&gt;=$C$1),'General Inputs'!L$10*$H19,0))</f>
        <v>3.8710110559192925</v>
      </c>
      <c r="BJ19" s="214">
        <f>IF(AND(($D19+$C$1)&gt;AO$3,AO$3&gt;=$C$1),'General Inputs'!M$10*$I19,IF(AND(($C19+$C$1)&gt;AO$3,AO$3&gt;=$C$1),'General Inputs'!M$10*$H19,0))</f>
        <v>3.9290762217580819</v>
      </c>
      <c r="BK19" s="214">
        <f>IF(AND(($D19+$C$1)&gt;AP$3,AP$3&gt;=$C$1),'General Inputs'!N$10*$I19,IF(AND(($C19+$C$1)&gt;AP$3,AP$3&gt;=$C$1),'General Inputs'!N$10*$H19,0))</f>
        <v>3.9880123650844523</v>
      </c>
      <c r="BL19" s="214">
        <f>IF(AND(($D19+$C$1)&gt;AQ$3,AQ$3&gt;=$C$1),'General Inputs'!O$10*$I19,IF(AND(($C19+$C$1)&gt;AQ$3,AQ$3&gt;=$C$1),'General Inputs'!O$10*$H19,0))</f>
        <v>4.0478325505607184</v>
      </c>
      <c r="BM19" s="214">
        <f>IF(AND(($D19+$C$1)&gt;AR$3,AR$3&gt;=$C$1),'General Inputs'!P$10*$I19,IF(AND(($C19+$C$1)&gt;AR$3,AR$3&gt;=$C$1),'General Inputs'!P$10*$H19,0))</f>
        <v>4.1085500388191294</v>
      </c>
      <c r="BN19" s="214">
        <f>IF(AND(($D19+$C$1)&gt;AS$3,AS$3&gt;=$C$1),'General Inputs'!Q$10*$I19,IF(AND(($C19+$C$1)&gt;AS$3,AS$3&gt;=$C$1),'General Inputs'!Q$10*$H19,0))</f>
        <v>4.1701782894014157</v>
      </c>
      <c r="BO19" s="214">
        <f>IF(AND(($D19+$C$1)&gt;AT$3,AT$3&gt;=$C$1),'General Inputs'!R$10*$I19,IF(AND(($C19+$C$1)&gt;AT$3,AT$3&gt;=$C$1),'General Inputs'!R$10*$H19,0))</f>
        <v>4.2327309637424362</v>
      </c>
      <c r="BP19" s="214">
        <f>IF(AND(($D19+$C$1)&gt;AU$3,AU$3&gt;=$C$1),'General Inputs'!S$10*$I19,IF(AND(($C19+$C$1)&gt;AU$3,AU$3&gt;=$C$1),'General Inputs'!S$10*$H19,0))</f>
        <v>4.2962219281985732</v>
      </c>
      <c r="BQ19" s="214">
        <f>IF(AND(($D19+$C$1)&gt;AV$3,AV$3&gt;=$C$1),'General Inputs'!T$10*$I19,IF(AND(($C19+$C$1)&gt;AV$3,AV$3&gt;=$C$1),'General Inputs'!T$10*$H19,0))</f>
        <v>4.3606652571215507</v>
      </c>
      <c r="BR19" s="214">
        <f>IF(AND(($D19+$C$1)&gt;AW$3,AW$3&gt;=$C$1),'General Inputs'!U$10*$I19,IF(AND(($C19+$C$1)&gt;AW$3,AW$3&gt;=$C$1),'General Inputs'!U$10*$H19,0))</f>
        <v>4.4260752359783737</v>
      </c>
      <c r="BS19" s="214">
        <f>IF(AND(($D19+$C$1)&gt;AX$3,AX$3&gt;=$C$1),'General Inputs'!V$10*$I19,IF(AND(($C19+$C$1)&gt;AX$3,AX$3&gt;=$C$1),'General Inputs'!V$10*$H19,0))</f>
        <v>4.4924663645180489</v>
      </c>
      <c r="BT19" s="214">
        <f>IF(AND(($D19+$C$1)&gt;AY$3,AY$3&gt;=$C$1),'General Inputs'!W$10*$I19,IF(AND(($C19+$C$1)&gt;AY$3,AY$3&gt;=$C$1),'General Inputs'!W$10*$H19,0))</f>
        <v>4.5598533599858193</v>
      </c>
    </row>
    <row r="20" spans="1:72">
      <c r="A20" s="341" t="s">
        <v>12</v>
      </c>
      <c r="B20" s="427" t="str">
        <f>Sources!B20</f>
        <v>Wall Insulation</v>
      </c>
      <c r="C20" s="193">
        <f>Sources!C20</f>
        <v>20</v>
      </c>
      <c r="D20" s="193">
        <f>Sources!D20</f>
        <v>0</v>
      </c>
      <c r="F20" s="429">
        <f>Sources!F20*EnergyLineLoss</f>
        <v>5069.631488759218</v>
      </c>
      <c r="G20" s="429">
        <f>Sources!G20*EnergyLineLoss</f>
        <v>0</v>
      </c>
      <c r="H20" s="477">
        <f>Sources!H20*PeakLineLoss</f>
        <v>2.1572775943966476</v>
      </c>
      <c r="I20" s="477">
        <f>Sources!I20*PeakLineLoss</f>
        <v>0</v>
      </c>
      <c r="K20" s="419">
        <f>Sources!J20</f>
        <v>1011.7706666666668</v>
      </c>
      <c r="L20" s="419">
        <f>Sources!K20</f>
        <v>0</v>
      </c>
      <c r="N20" s="438">
        <f t="shared" si="4"/>
        <v>2.5291623369980187</v>
      </c>
      <c r="P20" s="215">
        <f t="shared" si="0"/>
        <v>1862.1109596013259</v>
      </c>
      <c r="Q20" s="215">
        <f t="shared" si="1"/>
        <v>298.02816937638164</v>
      </c>
      <c r="R20" s="215">
        <f t="shared" si="2"/>
        <v>854.09271574938828</v>
      </c>
      <c r="T20" s="214">
        <f t="shared" ref="T20:AD44" si="9">IF($C$1=T$3,$K20,IF($D20+$C$1=T$3,-$L20,0))</f>
        <v>0</v>
      </c>
      <c r="U20" s="214">
        <f t="shared" si="9"/>
        <v>0</v>
      </c>
      <c r="V20" s="214">
        <f t="shared" si="9"/>
        <v>1011.7706666666668</v>
      </c>
      <c r="W20" s="214">
        <f t="shared" si="9"/>
        <v>0</v>
      </c>
      <c r="X20" s="214">
        <f t="shared" si="9"/>
        <v>0</v>
      </c>
      <c r="Y20" s="214">
        <f t="shared" si="9"/>
        <v>0</v>
      </c>
      <c r="Z20" s="214">
        <f t="shared" si="9"/>
        <v>0</v>
      </c>
      <c r="AA20" s="214">
        <f t="shared" si="9"/>
        <v>0</v>
      </c>
      <c r="AB20" s="214">
        <f t="shared" si="9"/>
        <v>0</v>
      </c>
      <c r="AC20" s="214">
        <f t="shared" si="9"/>
        <v>0</v>
      </c>
      <c r="AD20" s="214">
        <f t="shared" si="9"/>
        <v>0</v>
      </c>
      <c r="AF20" s="214">
        <f>IF(AND(($D20+$C$1)&gt;AF$3,AF$3&gt;=$C$1),'General Inputs'!D$9*$G20,IF(AND(($C20+$C$1)&gt;AF$3,AF$3&gt;=$C$1),'General Inputs'!D$9*$F20,0))</f>
        <v>0</v>
      </c>
      <c r="AG20" s="214">
        <f>IF(AND(($D20+$C$1)&gt;AG$3,AG$3&gt;=$C$1),'General Inputs'!E$9*$G20,IF(AND(($C20+$C$1)&gt;AG$3,AG$3&gt;=$C$1),'General Inputs'!E$9*$F20,0))</f>
        <v>0</v>
      </c>
      <c r="AH20" s="214">
        <f>IF(AND(($D20+$C$1)&gt;AH$3,AH$3&gt;=$C$1),'General Inputs'!F$9*$G20,IF(AND(($C20+$C$1)&gt;AH$3,AH$3&gt;=$C$1),'General Inputs'!F$9*$F20,0))</f>
        <v>207.93395233729726</v>
      </c>
      <c r="AI20" s="214">
        <f>IF(AND(($D20+$C$1)&gt;AI$3,AI$3&gt;=$C$1),'General Inputs'!G$9*$G20,IF(AND(($C20+$C$1)&gt;AI$3,AI$3&gt;=$C$1),'General Inputs'!G$9*$F20,0))</f>
        <v>211.05296162235669</v>
      </c>
      <c r="AJ20" s="214">
        <f>IF(AND(($D20+$C$1)&gt;AJ$3,AJ$3&gt;=$C$1),'General Inputs'!H$9*$G20,IF(AND(($C20+$C$1)&gt;AJ$3,AJ$3&gt;=$C$1),'General Inputs'!H$9*$F20,0))</f>
        <v>214.21875604669202</v>
      </c>
      <c r="AK20" s="214">
        <f>IF(AND(($D20+$C$1)&gt;AK$3,AK$3&gt;=$C$1),'General Inputs'!I$9*$G20,IF(AND(($C20+$C$1)&gt;AK$3,AK$3&gt;=$C$1),'General Inputs'!I$9*$F20,0))</f>
        <v>217.43203738739237</v>
      </c>
      <c r="AL20" s="214">
        <f>IF(AND(($D20+$C$1)&gt;AL$3,AL$3&gt;=$C$1),'General Inputs'!J$9*$G20,IF(AND(($C20+$C$1)&gt;AL$3,AL$3&gt;=$C$1),'General Inputs'!J$9*$F20,0))</f>
        <v>220.69351794820324</v>
      </c>
      <c r="AM20" s="214">
        <f>IF(AND(($D20+$C$1)&gt;AM$3,AM$3&gt;=$C$1),'General Inputs'!K$9*$G20,IF(AND(($C20+$C$1)&gt;AM$3,AM$3&gt;=$C$1),'General Inputs'!K$9*$F20,0))</f>
        <v>224.00392071742624</v>
      </c>
      <c r="AN20" s="214">
        <f>IF(AND(($D20+$C$1)&gt;AN$3,AN$3&gt;=$C$1),'General Inputs'!L$9*$G20,IF(AND(($C20+$C$1)&gt;AN$3,AN$3&gt;=$C$1),'General Inputs'!L$9*$F20,0))</f>
        <v>227.3639795281876</v>
      </c>
      <c r="AO20" s="214">
        <f>IF(AND(($D20+$C$1)&gt;AO$3,AO$3&gt;=$C$1),'General Inputs'!M$9*$G20,IF(AND(($C20+$C$1)&gt;AO$3,AO$3&gt;=$C$1),'General Inputs'!M$9*$F20,0))</f>
        <v>230.77443922111038</v>
      </c>
      <c r="AP20" s="214">
        <f>IF(AND(($D20+$C$1)&gt;AP$3,AP$3&gt;=$C$1),'General Inputs'!N$9*$G20,IF(AND(($C20+$C$1)&gt;AP$3,AP$3&gt;=$C$1),'General Inputs'!N$9*$F20,0))</f>
        <v>234.23605580942703</v>
      </c>
      <c r="AQ20" s="214">
        <f>IF(AND(($D20+$C$1)&gt;AQ$3,AQ$3&gt;=$C$1),'General Inputs'!O$9*$G20,IF(AND(($C20+$C$1)&gt;AQ$3,AQ$3&gt;=$C$1),'General Inputs'!O$9*$F20,0))</f>
        <v>237.74959664656839</v>
      </c>
      <c r="AR20" s="214">
        <f>IF(AND(($D20+$C$1)&gt;AR$3,AR$3&gt;=$C$1),'General Inputs'!P$9*$G20,IF(AND(($C20+$C$1)&gt;AR$3,AR$3&gt;=$C$1),'General Inputs'!P$9*$F20,0))</f>
        <v>241.3158405962669</v>
      </c>
      <c r="AS20" s="214">
        <f>IF(AND(($D20+$C$1)&gt;AS$3,AS$3&gt;=$C$1),'General Inputs'!Q$9*$G20,IF(AND(($C20+$C$1)&gt;AS$3,AS$3&gt;=$C$1),'General Inputs'!Q$9*$F20,0))</f>
        <v>244.9355782052109</v>
      </c>
      <c r="AT20" s="214">
        <f>IF(AND(($D20+$C$1)&gt;AT$3,AT$3&gt;=$C$1),'General Inputs'!R$9*$G20,IF(AND(($C20+$C$1)&gt;AT$3,AT$3&gt;=$C$1),'General Inputs'!R$9*$F20,0))</f>
        <v>248.60961187828906</v>
      </c>
      <c r="AU20" s="214">
        <f>IF(AND(($D20+$C$1)&gt;AU$3,AU$3&gt;=$C$1),'General Inputs'!S$9*$G20,IF(AND(($C20+$C$1)&gt;AU$3,AU$3&gt;=$C$1),'General Inputs'!S$9*$F20,0))</f>
        <v>252.33875605646338</v>
      </c>
      <c r="AV20" s="214">
        <f>IF(AND(($D20+$C$1)&gt;AV$3,AV$3&gt;=$C$1),'General Inputs'!T$9*$G20,IF(AND(($C20+$C$1)&gt;AV$3,AV$3&gt;=$C$1),'General Inputs'!T$9*$F20,0))</f>
        <v>256.1238373973103</v>
      </c>
      <c r="AW20" s="214">
        <f>IF(AND(($D20+$C$1)&gt;AW$3,AW$3&gt;=$C$1),'General Inputs'!U$9*$G20,IF(AND(($C20+$C$1)&gt;AW$3,AW$3&gt;=$C$1),'General Inputs'!U$9*$F20,0))</f>
        <v>259.96569495826992</v>
      </c>
      <c r="AX20" s="214">
        <f>IF(AND(($D20+$C$1)&gt;AX$3,AX$3&gt;=$C$1),'General Inputs'!V$9*$G20,IF(AND(($C20+$C$1)&gt;AX$3,AX$3&gt;=$C$1),'General Inputs'!V$9*$F20,0))</f>
        <v>263.86518038264398</v>
      </c>
      <c r="AY20" s="214">
        <f>IF(AND(($D20+$C$1)&gt;AY$3,AY$3&gt;=$C$1),'General Inputs'!W$9*$G20,IF(AND(($C20+$C$1)&gt;AY$3,AY$3&gt;=$C$1),'General Inputs'!W$9*$F20,0))</f>
        <v>267.82315808838359</v>
      </c>
      <c r="BA20" s="214">
        <f>IF(AND(($D20+$C$1)&gt;AF$3,AF$3&gt;=$C$1),'General Inputs'!D$10*$I20,IF(AND(($C20+$C$1)&gt;AF$3,AF$3&gt;=$C$1),'General Inputs'!D$10*$H20,0))</f>
        <v>0</v>
      </c>
      <c r="BB20" s="214">
        <f>IF(AND(($D20+$C$1)&gt;AG$3,AG$3&gt;=$C$1),'General Inputs'!E$10*$I20,IF(AND(($C20+$C$1)&gt;AG$3,AG$3&gt;=$C$1),'General Inputs'!E$10*$H20,0))</f>
        <v>0</v>
      </c>
      <c r="BC20" s="214">
        <f>IF(AND(($D20+$C$1)&gt;AH$3,AH$3&gt;=$C$1),'General Inputs'!F$10*$I20,IF(AND(($C20+$C$1)&gt;AH$3,AH$3&gt;=$C$1),'General Inputs'!F$10*$H20,0))</f>
        <v>33.279528723437707</v>
      </c>
      <c r="BD20" s="214">
        <f>IF(AND(($D20+$C$1)&gt;AI$3,AI$3&gt;=$C$1),'General Inputs'!G$10*$I20,IF(AND(($C20+$C$1)&gt;AI$3,AI$3&gt;=$C$1),'General Inputs'!G$10*$H20,0))</f>
        <v>33.778721654289271</v>
      </c>
      <c r="BE20" s="214">
        <f>IF(AND(($D20+$C$1)&gt;AJ$3,AJ$3&gt;=$C$1),'General Inputs'!H$10*$I20,IF(AND(($C20+$C$1)&gt;AJ$3,AJ$3&gt;=$C$1),'General Inputs'!H$10*$H20,0))</f>
        <v>34.28540247910361</v>
      </c>
      <c r="BF20" s="214">
        <f>IF(AND(($D20+$C$1)&gt;AK$3,AK$3&gt;=$C$1),'General Inputs'!I$10*$I20,IF(AND(($C20+$C$1)&gt;AK$3,AK$3&gt;=$C$1),'General Inputs'!I$10*$H20,0))</f>
        <v>34.799683516290159</v>
      </c>
      <c r="BG20" s="214">
        <f>IF(AND(($D20+$C$1)&gt;AL$3,AL$3&gt;=$C$1),'General Inputs'!J$10*$I20,IF(AND(($C20+$C$1)&gt;AL$3,AL$3&gt;=$C$1),'General Inputs'!J$10*$H20,0))</f>
        <v>35.321678769034506</v>
      </c>
      <c r="BH20" s="214">
        <f>IF(AND(($D20+$C$1)&gt;AM$3,AM$3&gt;=$C$1),'General Inputs'!K$10*$I20,IF(AND(($C20+$C$1)&gt;AM$3,AM$3&gt;=$C$1),'General Inputs'!K$10*$H20,0))</f>
        <v>35.85150395057002</v>
      </c>
      <c r="BI20" s="214">
        <f>IF(AND(($D20+$C$1)&gt;AN$3,AN$3&gt;=$C$1),'General Inputs'!L$10*$I20,IF(AND(($C20+$C$1)&gt;AN$3,AN$3&gt;=$C$1),'General Inputs'!L$10*$H20,0))</f>
        <v>36.389276509828569</v>
      </c>
      <c r="BJ20" s="214">
        <f>IF(AND(($D20+$C$1)&gt;AO$3,AO$3&gt;=$C$1),'General Inputs'!M$10*$I20,IF(AND(($C20+$C$1)&gt;AO$3,AO$3&gt;=$C$1),'General Inputs'!M$10*$H20,0))</f>
        <v>36.935115657475997</v>
      </c>
      <c r="BK20" s="214">
        <f>IF(AND(($D20+$C$1)&gt;AP$3,AP$3&gt;=$C$1),'General Inputs'!N$10*$I20,IF(AND(($C20+$C$1)&gt;AP$3,AP$3&gt;=$C$1),'General Inputs'!N$10*$H20,0))</f>
        <v>37.489142392338131</v>
      </c>
      <c r="BL20" s="214">
        <f>IF(AND(($D20+$C$1)&gt;AQ$3,AQ$3&gt;=$C$1),'General Inputs'!O$10*$I20,IF(AND(($C20+$C$1)&gt;AQ$3,AQ$3&gt;=$C$1),'General Inputs'!O$10*$H20,0))</f>
        <v>38.051479528223197</v>
      </c>
      <c r="BM20" s="214">
        <f>IF(AND(($D20+$C$1)&gt;AR$3,AR$3&gt;=$C$1),'General Inputs'!P$10*$I20,IF(AND(($C20+$C$1)&gt;AR$3,AR$3&gt;=$C$1),'General Inputs'!P$10*$H20,0))</f>
        <v>38.62225172114654</v>
      </c>
      <c r="BN20" s="214">
        <f>IF(AND(($D20+$C$1)&gt;AS$3,AS$3&gt;=$C$1),'General Inputs'!Q$10*$I20,IF(AND(($C20+$C$1)&gt;AS$3,AS$3&gt;=$C$1),'General Inputs'!Q$10*$H20,0))</f>
        <v>39.201585496963737</v>
      </c>
      <c r="BO20" s="214">
        <f>IF(AND(($D20+$C$1)&gt;AT$3,AT$3&gt;=$C$1),'General Inputs'!R$10*$I20,IF(AND(($C20+$C$1)&gt;AT$3,AT$3&gt;=$C$1),'General Inputs'!R$10*$H20,0))</f>
        <v>39.789609279418187</v>
      </c>
      <c r="BP20" s="214">
        <f>IF(AND(($D20+$C$1)&gt;AU$3,AU$3&gt;=$C$1),'General Inputs'!S$10*$I20,IF(AND(($C20+$C$1)&gt;AU$3,AU$3&gt;=$C$1),'General Inputs'!S$10*$H20,0))</f>
        <v>40.386453418609456</v>
      </c>
      <c r="BQ20" s="214">
        <f>IF(AND(($D20+$C$1)&gt;AV$3,AV$3&gt;=$C$1),'General Inputs'!T$10*$I20,IF(AND(($C20+$C$1)&gt;AV$3,AV$3&gt;=$C$1),'General Inputs'!T$10*$H20,0))</f>
        <v>40.992250219888597</v>
      </c>
      <c r="BR20" s="214">
        <f>IF(AND(($D20+$C$1)&gt;AW$3,AW$3&gt;=$C$1),'General Inputs'!U$10*$I20,IF(AND(($C20+$C$1)&gt;AW$3,AW$3&gt;=$C$1),'General Inputs'!U$10*$H20,0))</f>
        <v>41.607133973186919</v>
      </c>
      <c r="BS20" s="214">
        <f>IF(AND(($D20+$C$1)&gt;AX$3,AX$3&gt;=$C$1),'General Inputs'!V$10*$I20,IF(AND(($C20+$C$1)&gt;AX$3,AX$3&gt;=$C$1),'General Inputs'!V$10*$H20,0))</f>
        <v>42.231240982784719</v>
      </c>
      <c r="BT20" s="214">
        <f>IF(AND(($D20+$C$1)&gt;AY$3,AY$3&gt;=$C$1),'General Inputs'!W$10*$I20,IF(AND(($C20+$C$1)&gt;AY$3,AY$3&gt;=$C$1),'General Inputs'!W$10*$H20,0))</f>
        <v>42.864709597526485</v>
      </c>
    </row>
    <row r="21" spans="1:72">
      <c r="A21" s="341" t="s">
        <v>12</v>
      </c>
      <c r="B21" s="427" t="str">
        <f>Sources!B21</f>
        <v>Faucet Aerator - Kitchen</v>
      </c>
      <c r="C21" s="193">
        <f>Sources!C21</f>
        <v>9</v>
      </c>
      <c r="D21" s="193">
        <f>Sources!D21</f>
        <v>0</v>
      </c>
      <c r="F21" s="429">
        <f>Sources!F21*EnergyLineLoss</f>
        <v>168.52438746822975</v>
      </c>
      <c r="G21" s="429">
        <f>Sources!G21*EnergyLineLoss</f>
        <v>0</v>
      </c>
      <c r="H21" s="477">
        <f>Sources!H21*PeakLineLoss</f>
        <v>1.8819982356858139E-2</v>
      </c>
      <c r="I21" s="477">
        <f>Sources!I21*PeakLineLoss</f>
        <v>0</v>
      </c>
      <c r="K21" s="419">
        <f>Sources!J21</f>
        <v>8</v>
      </c>
      <c r="L21" s="419">
        <f>Sources!K21</f>
        <v>0</v>
      </c>
      <c r="N21" s="438">
        <f t="shared" si="4"/>
        <v>6.2284063199497659</v>
      </c>
      <c r="P21" s="215">
        <f t="shared" si="0"/>
        <v>40.366487258290903</v>
      </c>
      <c r="Q21" s="215">
        <f t="shared" si="1"/>
        <v>1.6955067793293368</v>
      </c>
      <c r="R21" s="215">
        <f t="shared" si="2"/>
        <v>6.7532514542114015</v>
      </c>
      <c r="T21" s="214">
        <f t="shared" si="9"/>
        <v>0</v>
      </c>
      <c r="U21" s="214">
        <f t="shared" si="9"/>
        <v>0</v>
      </c>
      <c r="V21" s="214">
        <f t="shared" si="9"/>
        <v>8</v>
      </c>
      <c r="W21" s="214">
        <f t="shared" si="9"/>
        <v>0</v>
      </c>
      <c r="X21" s="214">
        <f t="shared" si="9"/>
        <v>0</v>
      </c>
      <c r="Y21" s="214">
        <f t="shared" si="9"/>
        <v>0</v>
      </c>
      <c r="Z21" s="214">
        <f t="shared" si="9"/>
        <v>0</v>
      </c>
      <c r="AA21" s="214">
        <f t="shared" si="9"/>
        <v>0</v>
      </c>
      <c r="AB21" s="214">
        <f t="shared" si="9"/>
        <v>0</v>
      </c>
      <c r="AC21" s="214">
        <f t="shared" si="9"/>
        <v>0</v>
      </c>
      <c r="AD21" s="214">
        <f t="shared" si="9"/>
        <v>0</v>
      </c>
      <c r="AF21" s="214">
        <f>IF(AND(($D21+$C$1)&gt;AF$3,AF$3&gt;=$C$1),'General Inputs'!D$9*$G21,IF(AND(($C21+$C$1)&gt;AF$3,AF$3&gt;=$C$1),'General Inputs'!D$9*$F21,0))</f>
        <v>0</v>
      </c>
      <c r="AG21" s="214">
        <f>IF(AND(($D21+$C$1)&gt;AG$3,AG$3&gt;=$C$1),'General Inputs'!E$9*$G21,IF(AND(($C21+$C$1)&gt;AG$3,AG$3&gt;=$C$1),'General Inputs'!E$9*$F21,0))</f>
        <v>0</v>
      </c>
      <c r="AH21" s="214">
        <f>IF(AND(($D21+$C$1)&gt;AH$3,AH$3&gt;=$C$1),'General Inputs'!F$9*$G21,IF(AND(($C21+$C$1)&gt;AH$3,AH$3&gt;=$C$1),'General Inputs'!F$9*$F21,0))</f>
        <v>6.9121280371539475</v>
      </c>
      <c r="AI21" s="214">
        <f>IF(AND(($D21+$C$1)&gt;AI$3,AI$3&gt;=$C$1),'General Inputs'!G$9*$G21,IF(AND(($C21+$C$1)&gt;AI$3,AI$3&gt;=$C$1),'General Inputs'!G$9*$F21,0))</f>
        <v>7.0158099577112569</v>
      </c>
      <c r="AJ21" s="214">
        <f>IF(AND(($D21+$C$1)&gt;AJ$3,AJ$3&gt;=$C$1),'General Inputs'!H$9*$G21,IF(AND(($C21+$C$1)&gt;AJ$3,AJ$3&gt;=$C$1),'General Inputs'!H$9*$F21,0))</f>
        <v>7.1210471070769241</v>
      </c>
      <c r="AK21" s="214">
        <f>IF(AND(($D21+$C$1)&gt;AK$3,AK$3&gt;=$C$1),'General Inputs'!I$9*$G21,IF(AND(($C21+$C$1)&gt;AK$3,AK$3&gt;=$C$1),'General Inputs'!I$9*$F21,0))</f>
        <v>7.2278628136830774</v>
      </c>
      <c r="AL21" s="214">
        <f>IF(AND(($D21+$C$1)&gt;AL$3,AL$3&gt;=$C$1),'General Inputs'!J$9*$G21,IF(AND(($C21+$C$1)&gt;AL$3,AL$3&gt;=$C$1),'General Inputs'!J$9*$F21,0))</f>
        <v>7.3362807558883221</v>
      </c>
      <c r="AM21" s="214">
        <f>IF(AND(($D21+$C$1)&gt;AM$3,AM$3&gt;=$C$1),'General Inputs'!K$9*$G21,IF(AND(($C21+$C$1)&gt;AM$3,AM$3&gt;=$C$1),'General Inputs'!K$9*$F21,0))</f>
        <v>7.4463249672266461</v>
      </c>
      <c r="AN21" s="214">
        <f>IF(AND(($D21+$C$1)&gt;AN$3,AN$3&gt;=$C$1),'General Inputs'!L$9*$G21,IF(AND(($C21+$C$1)&gt;AN$3,AN$3&gt;=$C$1),'General Inputs'!L$9*$F21,0))</f>
        <v>7.558019841735045</v>
      </c>
      <c r="AO21" s="214">
        <f>IF(AND(($D21+$C$1)&gt;AO$3,AO$3&gt;=$C$1),'General Inputs'!M$9*$G21,IF(AND(($C21+$C$1)&gt;AO$3,AO$3&gt;=$C$1),'General Inputs'!M$9*$F21,0))</f>
        <v>7.6713901393610691</v>
      </c>
      <c r="AP21" s="214">
        <f>IF(AND(($D21+$C$1)&gt;AP$3,AP$3&gt;=$C$1),'General Inputs'!N$9*$G21,IF(AND(($C21+$C$1)&gt;AP$3,AP$3&gt;=$C$1),'General Inputs'!N$9*$F21,0))</f>
        <v>7.7864609914514853</v>
      </c>
      <c r="AQ21" s="214">
        <f>IF(AND(($D21+$C$1)&gt;AQ$3,AQ$3&gt;=$C$1),'General Inputs'!O$9*$G21,IF(AND(($C21+$C$1)&gt;AQ$3,AQ$3&gt;=$C$1),'General Inputs'!O$9*$F21,0))</f>
        <v>0</v>
      </c>
      <c r="AR21" s="214">
        <f>IF(AND(($D21+$C$1)&gt;AR$3,AR$3&gt;=$C$1),'General Inputs'!P$9*$G21,IF(AND(($C21+$C$1)&gt;AR$3,AR$3&gt;=$C$1),'General Inputs'!P$9*$F21,0))</f>
        <v>0</v>
      </c>
      <c r="AS21" s="214">
        <f>IF(AND(($D21+$C$1)&gt;AS$3,AS$3&gt;=$C$1),'General Inputs'!Q$9*$G21,IF(AND(($C21+$C$1)&gt;AS$3,AS$3&gt;=$C$1),'General Inputs'!Q$9*$F21,0))</f>
        <v>0</v>
      </c>
      <c r="AT21" s="214">
        <f>IF(AND(($D21+$C$1)&gt;AT$3,AT$3&gt;=$C$1),'General Inputs'!R$9*$G21,IF(AND(($C21+$C$1)&gt;AT$3,AT$3&gt;=$C$1),'General Inputs'!R$9*$F21,0))</f>
        <v>0</v>
      </c>
      <c r="AU21" s="214">
        <f>IF(AND(($D21+$C$1)&gt;AU$3,AU$3&gt;=$C$1),'General Inputs'!S$9*$G21,IF(AND(($C21+$C$1)&gt;AU$3,AU$3&gt;=$C$1),'General Inputs'!S$9*$F21,0))</f>
        <v>0</v>
      </c>
      <c r="AV21" s="214">
        <f>IF(AND(($D21+$C$1)&gt;AV$3,AV$3&gt;=$C$1),'General Inputs'!T$9*$G21,IF(AND(($C21+$C$1)&gt;AV$3,AV$3&gt;=$C$1),'General Inputs'!T$9*$F21,0))</f>
        <v>0</v>
      </c>
      <c r="AW21" s="214">
        <f>IF(AND(($D21+$C$1)&gt;AW$3,AW$3&gt;=$C$1),'General Inputs'!U$9*$G21,IF(AND(($C21+$C$1)&gt;AW$3,AW$3&gt;=$C$1),'General Inputs'!U$9*$F21,0))</f>
        <v>0</v>
      </c>
      <c r="AX21" s="214">
        <f>IF(AND(($D21+$C$1)&gt;AX$3,AX$3&gt;=$C$1),'General Inputs'!V$9*$G21,IF(AND(($C21+$C$1)&gt;AX$3,AX$3&gt;=$C$1),'General Inputs'!V$9*$F21,0))</f>
        <v>0</v>
      </c>
      <c r="AY21" s="214">
        <f>IF(AND(($D21+$C$1)&gt;AY$3,AY$3&gt;=$C$1),'General Inputs'!W$9*$G21,IF(AND(($C21+$C$1)&gt;AY$3,AY$3&gt;=$C$1),'General Inputs'!W$9*$F21,0))</f>
        <v>0</v>
      </c>
      <c r="BA21" s="214">
        <f>IF(AND(($D21+$C$1)&gt;AF$3,AF$3&gt;=$C$1),'General Inputs'!D$10*$I21,IF(AND(($C21+$C$1)&gt;AF$3,AF$3&gt;=$C$1),'General Inputs'!D$10*$H21,0))</f>
        <v>0</v>
      </c>
      <c r="BB21" s="214">
        <f>IF(AND(($D21+$C$1)&gt;AG$3,AG$3&gt;=$C$1),'General Inputs'!E$10*$I21,IF(AND(($C21+$C$1)&gt;AG$3,AG$3&gt;=$C$1),'General Inputs'!E$10*$H21,0))</f>
        <v>0</v>
      </c>
      <c r="BC21" s="214">
        <f>IF(AND(($D21+$C$1)&gt;AH$3,AH$3&gt;=$C$1),'General Inputs'!F$10*$I21,IF(AND(($C21+$C$1)&gt;AH$3,AH$3&gt;=$C$1),'General Inputs'!F$10*$H21,0))</f>
        <v>0.29032895212302151</v>
      </c>
      <c r="BD21" s="214">
        <f>IF(AND(($D21+$C$1)&gt;AI$3,AI$3&gt;=$C$1),'General Inputs'!G$10*$I21,IF(AND(($C21+$C$1)&gt;AI$3,AI$3&gt;=$C$1),'General Inputs'!G$10*$H21,0))</f>
        <v>0.29468388640486681</v>
      </c>
      <c r="BE21" s="214">
        <f>IF(AND(($D21+$C$1)&gt;AJ$3,AJ$3&gt;=$C$1),'General Inputs'!H$10*$I21,IF(AND(($C21+$C$1)&gt;AJ$3,AJ$3&gt;=$C$1),'General Inputs'!H$10*$H21,0))</f>
        <v>0.29910414470093982</v>
      </c>
      <c r="BF21" s="214">
        <f>IF(AND(($D21+$C$1)&gt;AK$3,AK$3&gt;=$C$1),'General Inputs'!I$10*$I21,IF(AND(($C21+$C$1)&gt;AK$3,AK$3&gt;=$C$1),'General Inputs'!I$10*$H21,0))</f>
        <v>0.30359070687145384</v>
      </c>
      <c r="BG21" s="214">
        <f>IF(AND(($D21+$C$1)&gt;AL$3,AL$3&gt;=$C$1),'General Inputs'!J$10*$I21,IF(AND(($C21+$C$1)&gt;AL$3,AL$3&gt;=$C$1),'General Inputs'!J$10*$H21,0))</f>
        <v>0.30814456747452562</v>
      </c>
      <c r="BH21" s="214">
        <f>IF(AND(($D21+$C$1)&gt;AM$3,AM$3&gt;=$C$1),'General Inputs'!K$10*$I21,IF(AND(($C21+$C$1)&gt;AM$3,AM$3&gt;=$C$1),'General Inputs'!K$10*$H21,0))</f>
        <v>0.31276673598664351</v>
      </c>
      <c r="BI21" s="214">
        <f>IF(AND(($D21+$C$1)&gt;AN$3,AN$3&gt;=$C$1),'General Inputs'!L$10*$I21,IF(AND(($C21+$C$1)&gt;AN$3,AN$3&gt;=$C$1),'General Inputs'!L$10*$H21,0))</f>
        <v>0.3174582370264431</v>
      </c>
      <c r="BJ21" s="214">
        <f>IF(AND(($D21+$C$1)&gt;AO$3,AO$3&gt;=$C$1),'General Inputs'!M$10*$I21,IF(AND(($C21+$C$1)&gt;AO$3,AO$3&gt;=$C$1),'General Inputs'!M$10*$H21,0))</f>
        <v>0.32222011058183975</v>
      </c>
      <c r="BK21" s="214">
        <f>IF(AND(($D21+$C$1)&gt;AP$3,AP$3&gt;=$C$1),'General Inputs'!N$10*$I21,IF(AND(($C21+$C$1)&gt;AP$3,AP$3&gt;=$C$1),'General Inputs'!N$10*$H21,0))</f>
        <v>0.32705341224056728</v>
      </c>
      <c r="BL21" s="214">
        <f>IF(AND(($D21+$C$1)&gt;AQ$3,AQ$3&gt;=$C$1),'General Inputs'!O$10*$I21,IF(AND(($C21+$C$1)&gt;AQ$3,AQ$3&gt;=$C$1),'General Inputs'!O$10*$H21,0))</f>
        <v>0</v>
      </c>
      <c r="BM21" s="214">
        <f>IF(AND(($D21+$C$1)&gt;AR$3,AR$3&gt;=$C$1),'General Inputs'!P$10*$I21,IF(AND(($C21+$C$1)&gt;AR$3,AR$3&gt;=$C$1),'General Inputs'!P$10*$H21,0))</f>
        <v>0</v>
      </c>
      <c r="BN21" s="214">
        <f>IF(AND(($D21+$C$1)&gt;AS$3,AS$3&gt;=$C$1),'General Inputs'!Q$10*$I21,IF(AND(($C21+$C$1)&gt;AS$3,AS$3&gt;=$C$1),'General Inputs'!Q$10*$H21,0))</f>
        <v>0</v>
      </c>
      <c r="BO21" s="214">
        <f>IF(AND(($D21+$C$1)&gt;AT$3,AT$3&gt;=$C$1),'General Inputs'!R$10*$I21,IF(AND(($C21+$C$1)&gt;AT$3,AT$3&gt;=$C$1),'General Inputs'!R$10*$H21,0))</f>
        <v>0</v>
      </c>
      <c r="BP21" s="214">
        <f>IF(AND(($D21+$C$1)&gt;AU$3,AU$3&gt;=$C$1),'General Inputs'!S$10*$I21,IF(AND(($C21+$C$1)&gt;AU$3,AU$3&gt;=$C$1),'General Inputs'!S$10*$H21,0))</f>
        <v>0</v>
      </c>
      <c r="BQ21" s="214">
        <f>IF(AND(($D21+$C$1)&gt;AV$3,AV$3&gt;=$C$1),'General Inputs'!T$10*$I21,IF(AND(($C21+$C$1)&gt;AV$3,AV$3&gt;=$C$1),'General Inputs'!T$10*$H21,0))</f>
        <v>0</v>
      </c>
      <c r="BR21" s="214">
        <f>IF(AND(($D21+$C$1)&gt;AW$3,AW$3&gt;=$C$1),'General Inputs'!U$10*$I21,IF(AND(($C21+$C$1)&gt;AW$3,AW$3&gt;=$C$1),'General Inputs'!U$10*$H21,0))</f>
        <v>0</v>
      </c>
      <c r="BS21" s="214">
        <f>IF(AND(($D21+$C$1)&gt;AX$3,AX$3&gt;=$C$1),'General Inputs'!V$10*$I21,IF(AND(($C21+$C$1)&gt;AX$3,AX$3&gt;=$C$1),'General Inputs'!V$10*$H21,0))</f>
        <v>0</v>
      </c>
      <c r="BT21" s="214">
        <f>IF(AND(($D21+$C$1)&gt;AY$3,AY$3&gt;=$C$1),'General Inputs'!W$10*$I21,IF(AND(($C21+$C$1)&gt;AY$3,AY$3&gt;=$C$1),'General Inputs'!W$10*$H21,0))</f>
        <v>0</v>
      </c>
    </row>
    <row r="22" spans="1:72">
      <c r="A22" s="341" t="s">
        <v>12</v>
      </c>
      <c r="B22" s="427" t="str">
        <f>Sources!B22</f>
        <v>Faucet Aerator - Bathroom</v>
      </c>
      <c r="C22" s="193">
        <f>Sources!C22</f>
        <v>9</v>
      </c>
      <c r="D22" s="193">
        <f>Sources!D22</f>
        <v>0</v>
      </c>
      <c r="F22" s="429">
        <f>Sources!F22*EnergyLineLoss</f>
        <v>71.459104226811206</v>
      </c>
      <c r="G22" s="429">
        <f>Sources!G22*EnergyLineLoss</f>
        <v>0</v>
      </c>
      <c r="H22" s="477">
        <f>Sources!H22*PeakLineLoss</f>
        <v>7.9802045329433833E-3</v>
      </c>
      <c r="I22" s="477">
        <f>Sources!I22*PeakLineLoss</f>
        <v>0</v>
      </c>
      <c r="K22" s="419">
        <f>Sources!J22</f>
        <v>8</v>
      </c>
      <c r="L22" s="419">
        <f>Sources!K22</f>
        <v>0</v>
      </c>
      <c r="N22" s="438">
        <f t="shared" si="4"/>
        <v>2.6410203476818799</v>
      </c>
      <c r="P22" s="215">
        <f t="shared" si="0"/>
        <v>17.116531699628656</v>
      </c>
      <c r="Q22" s="215">
        <f t="shared" si="1"/>
        <v>0.71894280395590271</v>
      </c>
      <c r="R22" s="215">
        <f t="shared" si="2"/>
        <v>6.7532514542114015</v>
      </c>
      <c r="T22" s="214">
        <f t="shared" si="9"/>
        <v>0</v>
      </c>
      <c r="U22" s="214">
        <f t="shared" si="9"/>
        <v>0</v>
      </c>
      <c r="V22" s="214">
        <f t="shared" si="9"/>
        <v>8</v>
      </c>
      <c r="W22" s="214">
        <f t="shared" si="9"/>
        <v>0</v>
      </c>
      <c r="X22" s="214">
        <f t="shared" si="9"/>
        <v>0</v>
      </c>
      <c r="Y22" s="214">
        <f t="shared" si="9"/>
        <v>0</v>
      </c>
      <c r="Z22" s="214">
        <f t="shared" si="9"/>
        <v>0</v>
      </c>
      <c r="AA22" s="214">
        <f t="shared" si="9"/>
        <v>0</v>
      </c>
      <c r="AB22" s="214">
        <f t="shared" si="9"/>
        <v>0</v>
      </c>
      <c r="AC22" s="214">
        <f t="shared" si="9"/>
        <v>0</v>
      </c>
      <c r="AD22" s="214">
        <f t="shared" si="9"/>
        <v>0</v>
      </c>
      <c r="AF22" s="214">
        <f>IF(AND(($D22+$C$1)&gt;AF$3,AF$3&gt;=$C$1),'General Inputs'!D$9*$G22,IF(AND(($C22+$C$1)&gt;AF$3,AF$3&gt;=$C$1),'General Inputs'!D$9*$F22,0))</f>
        <v>0</v>
      </c>
      <c r="AG22" s="214">
        <f>IF(AND(($D22+$C$1)&gt;AG$3,AG$3&gt;=$C$1),'General Inputs'!E$9*$G22,IF(AND(($C22+$C$1)&gt;AG$3,AG$3&gt;=$C$1),'General Inputs'!E$9*$F22,0))</f>
        <v>0</v>
      </c>
      <c r="AH22" s="214">
        <f>IF(AND(($D22+$C$1)&gt;AH$3,AH$3&gt;=$C$1),'General Inputs'!F$9*$G22,IF(AND(($C22+$C$1)&gt;AH$3,AH$3&gt;=$C$1),'General Inputs'!F$9*$F22,0))</f>
        <v>2.9309376835988474</v>
      </c>
      <c r="AI22" s="214">
        <f>IF(AND(($D22+$C$1)&gt;AI$3,AI$3&gt;=$C$1),'General Inputs'!G$9*$G22,IF(AND(($C22+$C$1)&gt;AI$3,AI$3&gt;=$C$1),'General Inputs'!G$9*$F22,0))</f>
        <v>2.97490174885283</v>
      </c>
      <c r="AJ22" s="214">
        <f>IF(AND(($D22+$C$1)&gt;AJ$3,AJ$3&gt;=$C$1),'General Inputs'!H$9*$G22,IF(AND(($C22+$C$1)&gt;AJ$3,AJ$3&gt;=$C$1),'General Inputs'!H$9*$F22,0))</f>
        <v>3.0195252750856221</v>
      </c>
      <c r="AK22" s="214">
        <f>IF(AND(($D22+$C$1)&gt;AK$3,AK$3&gt;=$C$1),'General Inputs'!I$9*$G22,IF(AND(($C22+$C$1)&gt;AK$3,AK$3&gt;=$C$1),'General Inputs'!I$9*$F22,0))</f>
        <v>3.0648181542119057</v>
      </c>
      <c r="AL22" s="214">
        <f>IF(AND(($D22+$C$1)&gt;AL$3,AL$3&gt;=$C$1),'General Inputs'!J$9*$G22,IF(AND(($C22+$C$1)&gt;AL$3,AL$3&gt;=$C$1),'General Inputs'!J$9*$F22,0))</f>
        <v>3.1107904265250839</v>
      </c>
      <c r="AM22" s="214">
        <f>IF(AND(($D22+$C$1)&gt;AM$3,AM$3&gt;=$C$1),'General Inputs'!K$9*$G22,IF(AND(($C22+$C$1)&gt;AM$3,AM$3&gt;=$C$1),'General Inputs'!K$9*$F22,0))</f>
        <v>3.1574522829229594</v>
      </c>
      <c r="AN22" s="214">
        <f>IF(AND(($D22+$C$1)&gt;AN$3,AN$3&gt;=$C$1),'General Inputs'!L$9*$G22,IF(AND(($C22+$C$1)&gt;AN$3,AN$3&gt;=$C$1),'General Inputs'!L$9*$F22,0))</f>
        <v>3.2048140671668039</v>
      </c>
      <c r="AO22" s="214">
        <f>IF(AND(($D22+$C$1)&gt;AO$3,AO$3&gt;=$C$1),'General Inputs'!M$9*$G22,IF(AND(($C22+$C$1)&gt;AO$3,AO$3&gt;=$C$1),'General Inputs'!M$9*$F22,0))</f>
        <v>3.2528862781743051</v>
      </c>
      <c r="AP22" s="214">
        <f>IF(AND(($D22+$C$1)&gt;AP$3,AP$3&gt;=$C$1),'General Inputs'!N$9*$G22,IF(AND(($C22+$C$1)&gt;AP$3,AP$3&gt;=$C$1),'General Inputs'!N$9*$F22,0))</f>
        <v>3.3016795723469197</v>
      </c>
      <c r="AQ22" s="214">
        <f>IF(AND(($D22+$C$1)&gt;AQ$3,AQ$3&gt;=$C$1),'General Inputs'!O$9*$G22,IF(AND(($C22+$C$1)&gt;AQ$3,AQ$3&gt;=$C$1),'General Inputs'!O$9*$F22,0))</f>
        <v>0</v>
      </c>
      <c r="AR22" s="214">
        <f>IF(AND(($D22+$C$1)&gt;AR$3,AR$3&gt;=$C$1),'General Inputs'!P$9*$G22,IF(AND(($C22+$C$1)&gt;AR$3,AR$3&gt;=$C$1),'General Inputs'!P$9*$F22,0))</f>
        <v>0</v>
      </c>
      <c r="AS22" s="214">
        <f>IF(AND(($D22+$C$1)&gt;AS$3,AS$3&gt;=$C$1),'General Inputs'!Q$9*$G22,IF(AND(($C22+$C$1)&gt;AS$3,AS$3&gt;=$C$1),'General Inputs'!Q$9*$F22,0))</f>
        <v>0</v>
      </c>
      <c r="AT22" s="214">
        <f>IF(AND(($D22+$C$1)&gt;AT$3,AT$3&gt;=$C$1),'General Inputs'!R$9*$G22,IF(AND(($C22+$C$1)&gt;AT$3,AT$3&gt;=$C$1),'General Inputs'!R$9*$F22,0))</f>
        <v>0</v>
      </c>
      <c r="AU22" s="214">
        <f>IF(AND(($D22+$C$1)&gt;AU$3,AU$3&gt;=$C$1),'General Inputs'!S$9*$G22,IF(AND(($C22+$C$1)&gt;AU$3,AU$3&gt;=$C$1),'General Inputs'!S$9*$F22,0))</f>
        <v>0</v>
      </c>
      <c r="AV22" s="214">
        <f>IF(AND(($D22+$C$1)&gt;AV$3,AV$3&gt;=$C$1),'General Inputs'!T$9*$G22,IF(AND(($C22+$C$1)&gt;AV$3,AV$3&gt;=$C$1),'General Inputs'!T$9*$F22,0))</f>
        <v>0</v>
      </c>
      <c r="AW22" s="214">
        <f>IF(AND(($D22+$C$1)&gt;AW$3,AW$3&gt;=$C$1),'General Inputs'!U$9*$G22,IF(AND(($C22+$C$1)&gt;AW$3,AW$3&gt;=$C$1),'General Inputs'!U$9*$F22,0))</f>
        <v>0</v>
      </c>
      <c r="AX22" s="214">
        <f>IF(AND(($D22+$C$1)&gt;AX$3,AX$3&gt;=$C$1),'General Inputs'!V$9*$G22,IF(AND(($C22+$C$1)&gt;AX$3,AX$3&gt;=$C$1),'General Inputs'!V$9*$F22,0))</f>
        <v>0</v>
      </c>
      <c r="AY22" s="214">
        <f>IF(AND(($D22+$C$1)&gt;AY$3,AY$3&gt;=$C$1),'General Inputs'!W$9*$G22,IF(AND(($C22+$C$1)&gt;AY$3,AY$3&gt;=$C$1),'General Inputs'!W$9*$F22,0))</f>
        <v>0</v>
      </c>
      <c r="BA22" s="214">
        <f>IF(AND(($D22+$C$1)&gt;AF$3,AF$3&gt;=$C$1),'General Inputs'!D$10*$I22,IF(AND(($C22+$C$1)&gt;AF$3,AF$3&gt;=$C$1),'General Inputs'!D$10*$H22,0))</f>
        <v>0</v>
      </c>
      <c r="BB22" s="214">
        <f>IF(AND(($D22+$C$1)&gt;AG$3,AG$3&gt;=$C$1),'General Inputs'!E$10*$I22,IF(AND(($C22+$C$1)&gt;AG$3,AG$3&gt;=$C$1),'General Inputs'!E$10*$H22,0))</f>
        <v>0</v>
      </c>
      <c r="BC22" s="214">
        <f>IF(AND(($D22+$C$1)&gt;AH$3,AH$3&gt;=$C$1),'General Inputs'!F$10*$I22,IF(AND(($C22+$C$1)&gt;AH$3,AH$3&gt;=$C$1),'General Inputs'!F$10*$H22,0))</f>
        <v>0.12310768287901977</v>
      </c>
      <c r="BD22" s="214">
        <f>IF(AND(($D22+$C$1)&gt;AI$3,AI$3&gt;=$C$1),'General Inputs'!G$10*$I22,IF(AND(($C22+$C$1)&gt;AI$3,AI$3&gt;=$C$1),'General Inputs'!G$10*$H22,0))</f>
        <v>0.12495429812220506</v>
      </c>
      <c r="BE22" s="214">
        <f>IF(AND(($D22+$C$1)&gt;AJ$3,AJ$3&gt;=$C$1),'General Inputs'!H$10*$I22,IF(AND(($C22+$C$1)&gt;AJ$3,AJ$3&gt;=$C$1),'General Inputs'!H$10*$H22,0))</f>
        <v>0.12682861259403813</v>
      </c>
      <c r="BF22" s="214">
        <f>IF(AND(($D22+$C$1)&gt;AK$3,AK$3&gt;=$C$1),'General Inputs'!I$10*$I22,IF(AND(($C22+$C$1)&gt;AK$3,AK$3&gt;=$C$1),'General Inputs'!I$10*$H22,0))</f>
        <v>0.12873104178294867</v>
      </c>
      <c r="BG22" s="214">
        <f>IF(AND(($D22+$C$1)&gt;AL$3,AL$3&gt;=$C$1),'General Inputs'!J$10*$I22,IF(AND(($C22+$C$1)&gt;AL$3,AL$3&gt;=$C$1),'General Inputs'!J$10*$H22,0))</f>
        <v>0.13066200740969289</v>
      </c>
      <c r="BH22" s="214">
        <f>IF(AND(($D22+$C$1)&gt;AM$3,AM$3&gt;=$C$1),'General Inputs'!K$10*$I22,IF(AND(($C22+$C$1)&gt;AM$3,AM$3&gt;=$C$1),'General Inputs'!K$10*$H22,0))</f>
        <v>0.13262193752083828</v>
      </c>
      <c r="BI22" s="214">
        <f>IF(AND(($D22+$C$1)&gt;AN$3,AN$3&gt;=$C$1),'General Inputs'!L$10*$I22,IF(AND(($C22+$C$1)&gt;AN$3,AN$3&gt;=$C$1),'General Inputs'!L$10*$H22,0))</f>
        <v>0.13461126658365083</v>
      </c>
      <c r="BJ22" s="214">
        <f>IF(AND(($D22+$C$1)&gt;AO$3,AO$3&gt;=$C$1),'General Inputs'!M$10*$I22,IF(AND(($C22+$C$1)&gt;AO$3,AO$3&gt;=$C$1),'General Inputs'!M$10*$H22,0))</f>
        <v>0.13663043558240559</v>
      </c>
      <c r="BK22" s="214">
        <f>IF(AND(($D22+$C$1)&gt;AP$3,AP$3&gt;=$C$1),'General Inputs'!N$10*$I22,IF(AND(($C22+$C$1)&gt;AP$3,AP$3&gt;=$C$1),'General Inputs'!N$10*$H22,0))</f>
        <v>0.13867989211614165</v>
      </c>
      <c r="BL22" s="214">
        <f>IF(AND(($D22+$C$1)&gt;AQ$3,AQ$3&gt;=$C$1),'General Inputs'!O$10*$I22,IF(AND(($C22+$C$1)&gt;AQ$3,AQ$3&gt;=$C$1),'General Inputs'!O$10*$H22,0))</f>
        <v>0</v>
      </c>
      <c r="BM22" s="214">
        <f>IF(AND(($D22+$C$1)&gt;AR$3,AR$3&gt;=$C$1),'General Inputs'!P$10*$I22,IF(AND(($C22+$C$1)&gt;AR$3,AR$3&gt;=$C$1),'General Inputs'!P$10*$H22,0))</f>
        <v>0</v>
      </c>
      <c r="BN22" s="214">
        <f>IF(AND(($D22+$C$1)&gt;AS$3,AS$3&gt;=$C$1),'General Inputs'!Q$10*$I22,IF(AND(($C22+$C$1)&gt;AS$3,AS$3&gt;=$C$1),'General Inputs'!Q$10*$H22,0))</f>
        <v>0</v>
      </c>
      <c r="BO22" s="214">
        <f>IF(AND(($D22+$C$1)&gt;AT$3,AT$3&gt;=$C$1),'General Inputs'!R$10*$I22,IF(AND(($C22+$C$1)&gt;AT$3,AT$3&gt;=$C$1),'General Inputs'!R$10*$H22,0))</f>
        <v>0</v>
      </c>
      <c r="BP22" s="214">
        <f>IF(AND(($D22+$C$1)&gt;AU$3,AU$3&gt;=$C$1),'General Inputs'!S$10*$I22,IF(AND(($C22+$C$1)&gt;AU$3,AU$3&gt;=$C$1),'General Inputs'!S$10*$H22,0))</f>
        <v>0</v>
      </c>
      <c r="BQ22" s="214">
        <f>IF(AND(($D22+$C$1)&gt;AV$3,AV$3&gt;=$C$1),'General Inputs'!T$10*$I22,IF(AND(($C22+$C$1)&gt;AV$3,AV$3&gt;=$C$1),'General Inputs'!T$10*$H22,0))</f>
        <v>0</v>
      </c>
      <c r="BR22" s="214">
        <f>IF(AND(($D22+$C$1)&gt;AW$3,AW$3&gt;=$C$1),'General Inputs'!U$10*$I22,IF(AND(($C22+$C$1)&gt;AW$3,AW$3&gt;=$C$1),'General Inputs'!U$10*$H22,0))</f>
        <v>0</v>
      </c>
      <c r="BS22" s="214">
        <f>IF(AND(($D22+$C$1)&gt;AX$3,AX$3&gt;=$C$1),'General Inputs'!V$10*$I22,IF(AND(($C22+$C$1)&gt;AX$3,AX$3&gt;=$C$1),'General Inputs'!V$10*$H22,0))</f>
        <v>0</v>
      </c>
      <c r="BT22" s="214">
        <f>IF(AND(($D22+$C$1)&gt;AY$3,AY$3&gt;=$C$1),'General Inputs'!W$10*$I22,IF(AND(($C22+$C$1)&gt;AY$3,AY$3&gt;=$C$1),'General Inputs'!W$10*$H22,0))</f>
        <v>0</v>
      </c>
    </row>
    <row r="23" spans="1:72">
      <c r="A23" s="341" t="s">
        <v>12</v>
      </c>
      <c r="B23" s="427" t="str">
        <f>Sources!B23</f>
        <v>Low Flow Showerhead</v>
      </c>
      <c r="C23" s="193">
        <f>Sources!C23</f>
        <v>10</v>
      </c>
      <c r="D23" s="193">
        <f>Sources!D23</f>
        <v>0</v>
      </c>
      <c r="F23" s="429">
        <f>Sources!F23*EnergyLineLoss</f>
        <v>149.46851505891138</v>
      </c>
      <c r="G23" s="429">
        <f>Sources!G23*EnergyLineLoss</f>
        <v>0</v>
      </c>
      <c r="H23" s="477">
        <f>Sources!H23*PeakLineLoss</f>
        <v>1.0934801891151938E-2</v>
      </c>
      <c r="I23" s="477">
        <f>Sources!I23*PeakLineLoss</f>
        <v>0</v>
      </c>
      <c r="K23" s="419">
        <f>Sources!J23</f>
        <v>12</v>
      </c>
      <c r="L23" s="419">
        <f>Sources!K23</f>
        <v>0</v>
      </c>
      <c r="N23" s="438">
        <f t="shared" si="4"/>
        <v>3.911581505655044</v>
      </c>
      <c r="P23" s="215">
        <f t="shared" si="0"/>
        <v>38.562752389042494</v>
      </c>
      <c r="Q23" s="215">
        <f t="shared" si="1"/>
        <v>1.0610878479545289</v>
      </c>
      <c r="R23" s="215">
        <f t="shared" si="2"/>
        <v>10.129877181317102</v>
      </c>
      <c r="T23" s="214">
        <f t="shared" si="9"/>
        <v>0</v>
      </c>
      <c r="U23" s="214">
        <f t="shared" si="9"/>
        <v>0</v>
      </c>
      <c r="V23" s="214">
        <f t="shared" si="9"/>
        <v>12</v>
      </c>
      <c r="W23" s="214">
        <f t="shared" si="9"/>
        <v>0</v>
      </c>
      <c r="X23" s="214">
        <f t="shared" si="9"/>
        <v>0</v>
      </c>
      <c r="Y23" s="214">
        <f t="shared" si="9"/>
        <v>0</v>
      </c>
      <c r="Z23" s="214">
        <f t="shared" si="9"/>
        <v>0</v>
      </c>
      <c r="AA23" s="214">
        <f t="shared" si="9"/>
        <v>0</v>
      </c>
      <c r="AB23" s="214">
        <f t="shared" si="9"/>
        <v>0</v>
      </c>
      <c r="AC23" s="214">
        <f t="shared" si="9"/>
        <v>0</v>
      </c>
      <c r="AD23" s="214">
        <f t="shared" si="9"/>
        <v>0</v>
      </c>
      <c r="AF23" s="214">
        <f>IF(AND(($D23+$C$1)&gt;AF$3,AF$3&gt;=$C$1),'General Inputs'!D$9*$G23,IF(AND(($C23+$C$1)&gt;AF$3,AF$3&gt;=$C$1),'General Inputs'!D$9*$F23,0))</f>
        <v>0</v>
      </c>
      <c r="AG23" s="214">
        <f>IF(AND(($D23+$C$1)&gt;AG$3,AG$3&gt;=$C$1),'General Inputs'!E$9*$G23,IF(AND(($C23+$C$1)&gt;AG$3,AG$3&gt;=$C$1),'General Inputs'!E$9*$F23,0))</f>
        <v>0</v>
      </c>
      <c r="AH23" s="214">
        <f>IF(AND(($D23+$C$1)&gt;AH$3,AH$3&gt;=$C$1),'General Inputs'!F$9*$G23,IF(AND(($C23+$C$1)&gt;AH$3,AH$3&gt;=$C$1),'General Inputs'!F$9*$F23,0))</f>
        <v>6.1305400905565506</v>
      </c>
      <c r="AI23" s="214">
        <f>IF(AND(($D23+$C$1)&gt;AI$3,AI$3&gt;=$C$1),'General Inputs'!G$9*$G23,IF(AND(($C23+$C$1)&gt;AI$3,AI$3&gt;=$C$1),'General Inputs'!G$9*$F23,0))</f>
        <v>6.2224981919148981</v>
      </c>
      <c r="AJ23" s="214">
        <f>IF(AND(($D23+$C$1)&gt;AJ$3,AJ$3&gt;=$C$1),'General Inputs'!H$9*$G23,IF(AND(($C23+$C$1)&gt;AJ$3,AJ$3&gt;=$C$1),'General Inputs'!H$9*$F23,0))</f>
        <v>6.3158356647936209</v>
      </c>
      <c r="AK23" s="214">
        <f>IF(AND(($D23+$C$1)&gt;AK$3,AK$3&gt;=$C$1),'General Inputs'!I$9*$G23,IF(AND(($C23+$C$1)&gt;AK$3,AK$3&gt;=$C$1),'General Inputs'!I$9*$F23,0))</f>
        <v>6.4105731997655244</v>
      </c>
      <c r="AL23" s="214">
        <f>IF(AND(($D23+$C$1)&gt;AL$3,AL$3&gt;=$C$1),'General Inputs'!J$9*$G23,IF(AND(($C23+$C$1)&gt;AL$3,AL$3&gt;=$C$1),'General Inputs'!J$9*$F23,0))</f>
        <v>6.5067317977620061</v>
      </c>
      <c r="AM23" s="214">
        <f>IF(AND(($D23+$C$1)&gt;AM$3,AM$3&gt;=$C$1),'General Inputs'!K$9*$G23,IF(AND(($C23+$C$1)&gt;AM$3,AM$3&gt;=$C$1),'General Inputs'!K$9*$F23,0))</f>
        <v>6.6043327747284355</v>
      </c>
      <c r="AN23" s="214">
        <f>IF(AND(($D23+$C$1)&gt;AN$3,AN$3&gt;=$C$1),'General Inputs'!L$9*$G23,IF(AND(($C23+$C$1)&gt;AN$3,AN$3&gt;=$C$1),'General Inputs'!L$9*$F23,0))</f>
        <v>6.7033977663493616</v>
      </c>
      <c r="AO23" s="214">
        <f>IF(AND(($D23+$C$1)&gt;AO$3,AO$3&gt;=$C$1),'General Inputs'!M$9*$G23,IF(AND(($C23+$C$1)&gt;AO$3,AO$3&gt;=$C$1),'General Inputs'!M$9*$F23,0))</f>
        <v>6.8039487328446002</v>
      </c>
      <c r="AP23" s="214">
        <f>IF(AND(($D23+$C$1)&gt;AP$3,AP$3&gt;=$C$1),'General Inputs'!N$9*$G23,IF(AND(($C23+$C$1)&gt;AP$3,AP$3&gt;=$C$1),'General Inputs'!N$9*$F23,0))</f>
        <v>6.9060079638372693</v>
      </c>
      <c r="AQ23" s="214">
        <f>IF(AND(($D23+$C$1)&gt;AQ$3,AQ$3&gt;=$C$1),'General Inputs'!O$9*$G23,IF(AND(($C23+$C$1)&gt;AQ$3,AQ$3&gt;=$C$1),'General Inputs'!O$9*$F23,0))</f>
        <v>7.0095980832948275</v>
      </c>
      <c r="AR23" s="214">
        <f>IF(AND(($D23+$C$1)&gt;AR$3,AR$3&gt;=$C$1),'General Inputs'!P$9*$G23,IF(AND(($C23+$C$1)&gt;AR$3,AR$3&gt;=$C$1),'General Inputs'!P$9*$F23,0))</f>
        <v>0</v>
      </c>
      <c r="AS23" s="214">
        <f>IF(AND(($D23+$C$1)&gt;AS$3,AS$3&gt;=$C$1),'General Inputs'!Q$9*$G23,IF(AND(($C23+$C$1)&gt;AS$3,AS$3&gt;=$C$1),'General Inputs'!Q$9*$F23,0))</f>
        <v>0</v>
      </c>
      <c r="AT23" s="214">
        <f>IF(AND(($D23+$C$1)&gt;AT$3,AT$3&gt;=$C$1),'General Inputs'!R$9*$G23,IF(AND(($C23+$C$1)&gt;AT$3,AT$3&gt;=$C$1),'General Inputs'!R$9*$F23,0))</f>
        <v>0</v>
      </c>
      <c r="AU23" s="214">
        <f>IF(AND(($D23+$C$1)&gt;AU$3,AU$3&gt;=$C$1),'General Inputs'!S$9*$G23,IF(AND(($C23+$C$1)&gt;AU$3,AU$3&gt;=$C$1),'General Inputs'!S$9*$F23,0))</f>
        <v>0</v>
      </c>
      <c r="AV23" s="214">
        <f>IF(AND(($D23+$C$1)&gt;AV$3,AV$3&gt;=$C$1),'General Inputs'!T$9*$G23,IF(AND(($C23+$C$1)&gt;AV$3,AV$3&gt;=$C$1),'General Inputs'!T$9*$F23,0))</f>
        <v>0</v>
      </c>
      <c r="AW23" s="214">
        <f>IF(AND(($D23+$C$1)&gt;AW$3,AW$3&gt;=$C$1),'General Inputs'!U$9*$G23,IF(AND(($C23+$C$1)&gt;AW$3,AW$3&gt;=$C$1),'General Inputs'!U$9*$F23,0))</f>
        <v>0</v>
      </c>
      <c r="AX23" s="214">
        <f>IF(AND(($D23+$C$1)&gt;AX$3,AX$3&gt;=$C$1),'General Inputs'!V$9*$G23,IF(AND(($C23+$C$1)&gt;AX$3,AX$3&gt;=$C$1),'General Inputs'!V$9*$F23,0))</f>
        <v>0</v>
      </c>
      <c r="AY23" s="214">
        <f>IF(AND(($D23+$C$1)&gt;AY$3,AY$3&gt;=$C$1),'General Inputs'!W$9*$G23,IF(AND(($C23+$C$1)&gt;AY$3,AY$3&gt;=$C$1),'General Inputs'!W$9*$F23,0))</f>
        <v>0</v>
      </c>
      <c r="BA23" s="214">
        <f>IF(AND(($D23+$C$1)&gt;AF$3,AF$3&gt;=$C$1),'General Inputs'!D$10*$I23,IF(AND(($C23+$C$1)&gt;AF$3,AF$3&gt;=$C$1),'General Inputs'!D$10*$H23,0))</f>
        <v>0</v>
      </c>
      <c r="BB23" s="214">
        <f>IF(AND(($D23+$C$1)&gt;AG$3,AG$3&gt;=$C$1),'General Inputs'!E$10*$I23,IF(AND(($C23+$C$1)&gt;AG$3,AG$3&gt;=$C$1),'General Inputs'!E$10*$H23,0))</f>
        <v>0</v>
      </c>
      <c r="BC23" s="214">
        <f>IF(AND(($D23+$C$1)&gt;AH$3,AH$3&gt;=$C$1),'General Inputs'!F$10*$I23,IF(AND(($C23+$C$1)&gt;AH$3,AH$3&gt;=$C$1),'General Inputs'!F$10*$H23,0))</f>
        <v>0.16868717061119329</v>
      </c>
      <c r="BD23" s="214">
        <f>IF(AND(($D23+$C$1)&gt;AI$3,AI$3&gt;=$C$1),'General Inputs'!G$10*$I23,IF(AND(($C23+$C$1)&gt;AI$3,AI$3&gt;=$C$1),'General Inputs'!G$10*$H23,0))</f>
        <v>0.17121747817036118</v>
      </c>
      <c r="BE23" s="214">
        <f>IF(AND(($D23+$C$1)&gt;AJ$3,AJ$3&gt;=$C$1),'General Inputs'!H$10*$I23,IF(AND(($C23+$C$1)&gt;AJ$3,AJ$3&gt;=$C$1),'General Inputs'!H$10*$H23,0))</f>
        <v>0.17378574034291658</v>
      </c>
      <c r="BF23" s="214">
        <f>IF(AND(($D23+$C$1)&gt;AK$3,AK$3&gt;=$C$1),'General Inputs'!I$10*$I23,IF(AND(($C23+$C$1)&gt;AK$3,AK$3&gt;=$C$1),'General Inputs'!I$10*$H23,0))</f>
        <v>0.17639252644806028</v>
      </c>
      <c r="BG23" s="214">
        <f>IF(AND(($D23+$C$1)&gt;AL$3,AL$3&gt;=$C$1),'General Inputs'!J$10*$I23,IF(AND(($C23+$C$1)&gt;AL$3,AL$3&gt;=$C$1),'General Inputs'!J$10*$H23,0))</f>
        <v>0.17903841434478115</v>
      </c>
      <c r="BH23" s="214">
        <f>IF(AND(($D23+$C$1)&gt;AM$3,AM$3&gt;=$C$1),'General Inputs'!K$10*$I23,IF(AND(($C23+$C$1)&gt;AM$3,AM$3&gt;=$C$1),'General Inputs'!K$10*$H23,0))</f>
        <v>0.18172399055995286</v>
      </c>
      <c r="BI23" s="214">
        <f>IF(AND(($D23+$C$1)&gt;AN$3,AN$3&gt;=$C$1),'General Inputs'!L$10*$I23,IF(AND(($C23+$C$1)&gt;AN$3,AN$3&gt;=$C$1),'General Inputs'!L$10*$H23,0))</f>
        <v>0.18444985041835216</v>
      </c>
      <c r="BJ23" s="214">
        <f>IF(AND(($D23+$C$1)&gt;AO$3,AO$3&gt;=$C$1),'General Inputs'!M$10*$I23,IF(AND(($C23+$C$1)&gt;AO$3,AO$3&gt;=$C$1),'General Inputs'!M$10*$H23,0))</f>
        <v>0.18721659817462744</v>
      </c>
      <c r="BK23" s="214">
        <f>IF(AND(($D23+$C$1)&gt;AP$3,AP$3&gt;=$C$1),'General Inputs'!N$10*$I23,IF(AND(($C23+$C$1)&gt;AP$3,AP$3&gt;=$C$1),'General Inputs'!N$10*$H23,0))</f>
        <v>0.19002484714724682</v>
      </c>
      <c r="BL23" s="214">
        <f>IF(AND(($D23+$C$1)&gt;AQ$3,AQ$3&gt;=$C$1),'General Inputs'!O$10*$I23,IF(AND(($C23+$C$1)&gt;AQ$3,AQ$3&gt;=$C$1),'General Inputs'!O$10*$H23,0))</f>
        <v>0.19287521985445549</v>
      </c>
      <c r="BM23" s="214">
        <f>IF(AND(($D23+$C$1)&gt;AR$3,AR$3&gt;=$C$1),'General Inputs'!P$10*$I23,IF(AND(($C23+$C$1)&gt;AR$3,AR$3&gt;=$C$1),'General Inputs'!P$10*$H23,0))</f>
        <v>0</v>
      </c>
      <c r="BN23" s="214">
        <f>IF(AND(($D23+$C$1)&gt;AS$3,AS$3&gt;=$C$1),'General Inputs'!Q$10*$I23,IF(AND(($C23+$C$1)&gt;AS$3,AS$3&gt;=$C$1),'General Inputs'!Q$10*$H23,0))</f>
        <v>0</v>
      </c>
      <c r="BO23" s="214">
        <f>IF(AND(($D23+$C$1)&gt;AT$3,AT$3&gt;=$C$1),'General Inputs'!R$10*$I23,IF(AND(($C23+$C$1)&gt;AT$3,AT$3&gt;=$C$1),'General Inputs'!R$10*$H23,0))</f>
        <v>0</v>
      </c>
      <c r="BP23" s="214">
        <f>IF(AND(($D23+$C$1)&gt;AU$3,AU$3&gt;=$C$1),'General Inputs'!S$10*$I23,IF(AND(($C23+$C$1)&gt;AU$3,AU$3&gt;=$C$1),'General Inputs'!S$10*$H23,0))</f>
        <v>0</v>
      </c>
      <c r="BQ23" s="214">
        <f>IF(AND(($D23+$C$1)&gt;AV$3,AV$3&gt;=$C$1),'General Inputs'!T$10*$I23,IF(AND(($C23+$C$1)&gt;AV$3,AV$3&gt;=$C$1),'General Inputs'!T$10*$H23,0))</f>
        <v>0</v>
      </c>
      <c r="BR23" s="214">
        <f>IF(AND(($D23+$C$1)&gt;AW$3,AW$3&gt;=$C$1),'General Inputs'!U$10*$I23,IF(AND(($C23+$C$1)&gt;AW$3,AW$3&gt;=$C$1),'General Inputs'!U$10*$H23,0))</f>
        <v>0</v>
      </c>
      <c r="BS23" s="214">
        <f>IF(AND(($D23+$C$1)&gt;AX$3,AX$3&gt;=$C$1),'General Inputs'!V$10*$I23,IF(AND(($C23+$C$1)&gt;AX$3,AX$3&gt;=$C$1),'General Inputs'!V$10*$H23,0))</f>
        <v>0</v>
      </c>
      <c r="BT23" s="214">
        <f>IF(AND(($D23+$C$1)&gt;AY$3,AY$3&gt;=$C$1),'General Inputs'!W$10*$I23,IF(AND(($C23+$C$1)&gt;AY$3,AY$3&gt;=$C$1),'General Inputs'!W$10*$H23,0))</f>
        <v>0</v>
      </c>
    </row>
    <row r="24" spans="1:72">
      <c r="A24" s="341" t="s">
        <v>12</v>
      </c>
      <c r="B24" s="427" t="str">
        <f>Sources!B24</f>
        <v>Water Heater Tank Wrap</v>
      </c>
      <c r="C24" s="193">
        <f>Sources!C24</f>
        <v>5</v>
      </c>
      <c r="D24" s="193">
        <f>Sources!D24</f>
        <v>0</v>
      </c>
      <c r="F24" s="429">
        <f>Sources!F24*EnergyLineLoss</f>
        <v>82.712999999999994</v>
      </c>
      <c r="G24" s="429">
        <f>Sources!G24*EnergyLineLoss</f>
        <v>0</v>
      </c>
      <c r="H24" s="477">
        <f>Sources!H24*PeakLineLoss</f>
        <v>9.4229999999999991E-3</v>
      </c>
      <c r="I24" s="477">
        <f>Sources!I24*PeakLineLoss</f>
        <v>0</v>
      </c>
      <c r="K24" s="419">
        <f>Sources!J24</f>
        <v>10</v>
      </c>
      <c r="L24" s="419">
        <f>Sources!K24</f>
        <v>0</v>
      </c>
      <c r="N24" s="438">
        <f t="shared" si="4"/>
        <v>1.5459092645936066</v>
      </c>
      <c r="P24" s="215">
        <f t="shared" si="0"/>
        <v>12.513696979931124</v>
      </c>
      <c r="Q24" s="215">
        <f t="shared" si="1"/>
        <v>0.53619550656344139</v>
      </c>
      <c r="R24" s="215">
        <f t="shared" si="2"/>
        <v>8.4415643177642519</v>
      </c>
      <c r="T24" s="214">
        <f t="shared" si="9"/>
        <v>0</v>
      </c>
      <c r="U24" s="214">
        <f t="shared" si="9"/>
        <v>0</v>
      </c>
      <c r="V24" s="214">
        <f t="shared" si="9"/>
        <v>10</v>
      </c>
      <c r="W24" s="214">
        <f t="shared" si="9"/>
        <v>0</v>
      </c>
      <c r="X24" s="214">
        <f t="shared" si="9"/>
        <v>0</v>
      </c>
      <c r="Y24" s="214">
        <f t="shared" si="9"/>
        <v>0</v>
      </c>
      <c r="Z24" s="214">
        <f t="shared" si="9"/>
        <v>0</v>
      </c>
      <c r="AA24" s="214">
        <f t="shared" si="9"/>
        <v>0</v>
      </c>
      <c r="AB24" s="214">
        <f t="shared" si="9"/>
        <v>0</v>
      </c>
      <c r="AC24" s="214">
        <f t="shared" si="9"/>
        <v>0</v>
      </c>
      <c r="AD24" s="214">
        <f t="shared" si="9"/>
        <v>0</v>
      </c>
      <c r="AF24" s="214">
        <f>IF(AND(($D24+$C$1)&gt;AF$3,AF$3&gt;=$C$1),'General Inputs'!D$9*$G24,IF(AND(($C24+$C$1)&gt;AF$3,AF$3&gt;=$C$1),'General Inputs'!D$9*$F24,0))</f>
        <v>0</v>
      </c>
      <c r="AG24" s="214">
        <f>IF(AND(($D24+$C$1)&gt;AG$3,AG$3&gt;=$C$1),'General Inputs'!E$9*$G24,IF(AND(($C24+$C$1)&gt;AG$3,AG$3&gt;=$C$1),'General Inputs'!E$9*$F24,0))</f>
        <v>0</v>
      </c>
      <c r="AH24" s="214">
        <f>IF(AND(($D24+$C$1)&gt;AH$3,AH$3&gt;=$C$1),'General Inputs'!F$9*$G24,IF(AND(($C24+$C$1)&gt;AH$3,AH$3&gt;=$C$1),'General Inputs'!F$9*$F24,0))</f>
        <v>3.3925229156812438</v>
      </c>
      <c r="AI24" s="214">
        <f>IF(AND(($D24+$C$1)&gt;AI$3,AI$3&gt;=$C$1),'General Inputs'!G$9*$G24,IF(AND(($C24+$C$1)&gt;AI$3,AI$3&gt;=$C$1),'General Inputs'!G$9*$F24,0))</f>
        <v>3.4434107594164622</v>
      </c>
      <c r="AJ24" s="214">
        <f>IF(AND(($D24+$C$1)&gt;AJ$3,AJ$3&gt;=$C$1),'General Inputs'!H$9*$G24,IF(AND(($C24+$C$1)&gt;AJ$3,AJ$3&gt;=$C$1),'General Inputs'!H$9*$F24,0))</f>
        <v>3.4950619208077085</v>
      </c>
      <c r="AK24" s="214">
        <f>IF(AND(($D24+$C$1)&gt;AK$3,AK$3&gt;=$C$1),'General Inputs'!I$9*$G24,IF(AND(($C24+$C$1)&gt;AK$3,AK$3&gt;=$C$1),'General Inputs'!I$9*$F24,0))</f>
        <v>3.5474878496198237</v>
      </c>
      <c r="AL24" s="214">
        <f>IF(AND(($D24+$C$1)&gt;AL$3,AL$3&gt;=$C$1),'General Inputs'!J$9*$G24,IF(AND(($C24+$C$1)&gt;AL$3,AL$3&gt;=$C$1),'General Inputs'!J$9*$F24,0))</f>
        <v>3.6007001673641206</v>
      </c>
      <c r="AM24" s="214">
        <f>IF(AND(($D24+$C$1)&gt;AM$3,AM$3&gt;=$C$1),'General Inputs'!K$9*$G24,IF(AND(($C24+$C$1)&gt;AM$3,AM$3&gt;=$C$1),'General Inputs'!K$9*$F24,0))</f>
        <v>0</v>
      </c>
      <c r="AN24" s="214">
        <f>IF(AND(($D24+$C$1)&gt;AN$3,AN$3&gt;=$C$1),'General Inputs'!L$9*$G24,IF(AND(($C24+$C$1)&gt;AN$3,AN$3&gt;=$C$1),'General Inputs'!L$9*$F24,0))</f>
        <v>0</v>
      </c>
      <c r="AO24" s="214">
        <f>IF(AND(($D24+$C$1)&gt;AO$3,AO$3&gt;=$C$1),'General Inputs'!M$9*$G24,IF(AND(($C24+$C$1)&gt;AO$3,AO$3&gt;=$C$1),'General Inputs'!M$9*$F24,0))</f>
        <v>0</v>
      </c>
      <c r="AP24" s="214">
        <f>IF(AND(($D24+$C$1)&gt;AP$3,AP$3&gt;=$C$1),'General Inputs'!N$9*$G24,IF(AND(($C24+$C$1)&gt;AP$3,AP$3&gt;=$C$1),'General Inputs'!N$9*$F24,0))</f>
        <v>0</v>
      </c>
      <c r="AQ24" s="214">
        <f>IF(AND(($D24+$C$1)&gt;AQ$3,AQ$3&gt;=$C$1),'General Inputs'!O$9*$G24,IF(AND(($C24+$C$1)&gt;AQ$3,AQ$3&gt;=$C$1),'General Inputs'!O$9*$F24,0))</f>
        <v>0</v>
      </c>
      <c r="AR24" s="214">
        <f>IF(AND(($D24+$C$1)&gt;AR$3,AR$3&gt;=$C$1),'General Inputs'!P$9*$G24,IF(AND(($C24+$C$1)&gt;AR$3,AR$3&gt;=$C$1),'General Inputs'!P$9*$F24,0))</f>
        <v>0</v>
      </c>
      <c r="AS24" s="214">
        <f>IF(AND(($D24+$C$1)&gt;AS$3,AS$3&gt;=$C$1),'General Inputs'!Q$9*$G24,IF(AND(($C24+$C$1)&gt;AS$3,AS$3&gt;=$C$1),'General Inputs'!Q$9*$F24,0))</f>
        <v>0</v>
      </c>
      <c r="AT24" s="214">
        <f>IF(AND(($D24+$C$1)&gt;AT$3,AT$3&gt;=$C$1),'General Inputs'!R$9*$G24,IF(AND(($C24+$C$1)&gt;AT$3,AT$3&gt;=$C$1),'General Inputs'!R$9*$F24,0))</f>
        <v>0</v>
      </c>
      <c r="AU24" s="214">
        <f>IF(AND(($D24+$C$1)&gt;AU$3,AU$3&gt;=$C$1),'General Inputs'!S$9*$G24,IF(AND(($C24+$C$1)&gt;AU$3,AU$3&gt;=$C$1),'General Inputs'!S$9*$F24,0))</f>
        <v>0</v>
      </c>
      <c r="AV24" s="214">
        <f>IF(AND(($D24+$C$1)&gt;AV$3,AV$3&gt;=$C$1),'General Inputs'!T$9*$G24,IF(AND(($C24+$C$1)&gt;AV$3,AV$3&gt;=$C$1),'General Inputs'!T$9*$F24,0))</f>
        <v>0</v>
      </c>
      <c r="AW24" s="214">
        <f>IF(AND(($D24+$C$1)&gt;AW$3,AW$3&gt;=$C$1),'General Inputs'!U$9*$G24,IF(AND(($C24+$C$1)&gt;AW$3,AW$3&gt;=$C$1),'General Inputs'!U$9*$F24,0))</f>
        <v>0</v>
      </c>
      <c r="AX24" s="214">
        <f>IF(AND(($D24+$C$1)&gt;AX$3,AX$3&gt;=$C$1),'General Inputs'!V$9*$G24,IF(AND(($C24+$C$1)&gt;AX$3,AX$3&gt;=$C$1),'General Inputs'!V$9*$F24,0))</f>
        <v>0</v>
      </c>
      <c r="AY24" s="214">
        <f>IF(AND(($D24+$C$1)&gt;AY$3,AY$3&gt;=$C$1),'General Inputs'!W$9*$G24,IF(AND(($C24+$C$1)&gt;AY$3,AY$3&gt;=$C$1),'General Inputs'!W$9*$F24,0))</f>
        <v>0</v>
      </c>
      <c r="BA24" s="214">
        <f>IF(AND(($D24+$C$1)&gt;AF$3,AF$3&gt;=$C$1),'General Inputs'!D$10*$I24,IF(AND(($C24+$C$1)&gt;AF$3,AF$3&gt;=$C$1),'General Inputs'!D$10*$H24,0))</f>
        <v>0</v>
      </c>
      <c r="BB24" s="214">
        <f>IF(AND(($D24+$C$1)&gt;AG$3,AG$3&gt;=$C$1),'General Inputs'!E$10*$I24,IF(AND(($C24+$C$1)&gt;AG$3,AG$3&gt;=$C$1),'General Inputs'!E$10*$H24,0))</f>
        <v>0</v>
      </c>
      <c r="BC24" s="214">
        <f>IF(AND(($D24+$C$1)&gt;AH$3,AH$3&gt;=$C$1),'General Inputs'!F$10*$I24,IF(AND(($C24+$C$1)&gt;AH$3,AH$3&gt;=$C$1),'General Inputs'!F$10*$H24,0))</f>
        <v>0.145365158371591</v>
      </c>
      <c r="BD24" s="214">
        <f>IF(AND(($D24+$C$1)&gt;AI$3,AI$3&gt;=$C$1),'General Inputs'!G$10*$I24,IF(AND(($C24+$C$1)&gt;AI$3,AI$3&gt;=$C$1),'General Inputs'!G$10*$H24,0))</f>
        <v>0.14754563574716484</v>
      </c>
      <c r="BE24" s="214">
        <f>IF(AND(($D24+$C$1)&gt;AJ$3,AJ$3&gt;=$C$1),'General Inputs'!H$10*$I24,IF(AND(($C24+$C$1)&gt;AJ$3,AJ$3&gt;=$C$1),'General Inputs'!H$10*$H24,0))</f>
        <v>0.14975882028337231</v>
      </c>
      <c r="BF24" s="214">
        <f>IF(AND(($D24+$C$1)&gt;AK$3,AK$3&gt;=$C$1),'General Inputs'!I$10*$I24,IF(AND(($C24+$C$1)&gt;AK$3,AK$3&gt;=$C$1),'General Inputs'!I$10*$H24,0))</f>
        <v>0.15200520258762285</v>
      </c>
      <c r="BG24" s="214">
        <f>IF(AND(($D24+$C$1)&gt;AL$3,AL$3&gt;=$C$1),'General Inputs'!J$10*$I24,IF(AND(($C24+$C$1)&gt;AL$3,AL$3&gt;=$C$1),'General Inputs'!J$10*$H24,0))</f>
        <v>0.15428528062643718</v>
      </c>
      <c r="BH24" s="214">
        <f>IF(AND(($D24+$C$1)&gt;AM$3,AM$3&gt;=$C$1),'General Inputs'!K$10*$I24,IF(AND(($C24+$C$1)&gt;AM$3,AM$3&gt;=$C$1),'General Inputs'!K$10*$H24,0))</f>
        <v>0</v>
      </c>
      <c r="BI24" s="214">
        <f>IF(AND(($D24+$C$1)&gt;AN$3,AN$3&gt;=$C$1),'General Inputs'!L$10*$I24,IF(AND(($C24+$C$1)&gt;AN$3,AN$3&gt;=$C$1),'General Inputs'!L$10*$H24,0))</f>
        <v>0</v>
      </c>
      <c r="BJ24" s="214">
        <f>IF(AND(($D24+$C$1)&gt;AO$3,AO$3&gt;=$C$1),'General Inputs'!M$10*$I24,IF(AND(($C24+$C$1)&gt;AO$3,AO$3&gt;=$C$1),'General Inputs'!M$10*$H24,0))</f>
        <v>0</v>
      </c>
      <c r="BK24" s="214">
        <f>IF(AND(($D24+$C$1)&gt;AP$3,AP$3&gt;=$C$1),'General Inputs'!N$10*$I24,IF(AND(($C24+$C$1)&gt;AP$3,AP$3&gt;=$C$1),'General Inputs'!N$10*$H24,0))</f>
        <v>0</v>
      </c>
      <c r="BL24" s="214">
        <f>IF(AND(($D24+$C$1)&gt;AQ$3,AQ$3&gt;=$C$1),'General Inputs'!O$10*$I24,IF(AND(($C24+$C$1)&gt;AQ$3,AQ$3&gt;=$C$1),'General Inputs'!O$10*$H24,0))</f>
        <v>0</v>
      </c>
      <c r="BM24" s="214">
        <f>IF(AND(($D24+$C$1)&gt;AR$3,AR$3&gt;=$C$1),'General Inputs'!P$10*$I24,IF(AND(($C24+$C$1)&gt;AR$3,AR$3&gt;=$C$1),'General Inputs'!P$10*$H24,0))</f>
        <v>0</v>
      </c>
      <c r="BN24" s="214">
        <f>IF(AND(($D24+$C$1)&gt;AS$3,AS$3&gt;=$C$1),'General Inputs'!Q$10*$I24,IF(AND(($C24+$C$1)&gt;AS$3,AS$3&gt;=$C$1),'General Inputs'!Q$10*$H24,0))</f>
        <v>0</v>
      </c>
      <c r="BO24" s="214">
        <f>IF(AND(($D24+$C$1)&gt;AT$3,AT$3&gt;=$C$1),'General Inputs'!R$10*$I24,IF(AND(($C24+$C$1)&gt;AT$3,AT$3&gt;=$C$1),'General Inputs'!R$10*$H24,0))</f>
        <v>0</v>
      </c>
      <c r="BP24" s="214">
        <f>IF(AND(($D24+$C$1)&gt;AU$3,AU$3&gt;=$C$1),'General Inputs'!S$10*$I24,IF(AND(($C24+$C$1)&gt;AU$3,AU$3&gt;=$C$1),'General Inputs'!S$10*$H24,0))</f>
        <v>0</v>
      </c>
      <c r="BQ24" s="214">
        <f>IF(AND(($D24+$C$1)&gt;AV$3,AV$3&gt;=$C$1),'General Inputs'!T$10*$I24,IF(AND(($C24+$C$1)&gt;AV$3,AV$3&gt;=$C$1),'General Inputs'!T$10*$H24,0))</f>
        <v>0</v>
      </c>
      <c r="BR24" s="214">
        <f>IF(AND(($D24+$C$1)&gt;AW$3,AW$3&gt;=$C$1),'General Inputs'!U$10*$I24,IF(AND(($C24+$C$1)&gt;AW$3,AW$3&gt;=$C$1),'General Inputs'!U$10*$H24,0))</f>
        <v>0</v>
      </c>
      <c r="BS24" s="214">
        <f>IF(AND(($D24+$C$1)&gt;AX$3,AX$3&gt;=$C$1),'General Inputs'!V$10*$I24,IF(AND(($C24+$C$1)&gt;AX$3,AX$3&gt;=$C$1),'General Inputs'!V$10*$H24,0))</f>
        <v>0</v>
      </c>
      <c r="BT24" s="214">
        <f>IF(AND(($D24+$C$1)&gt;AY$3,AY$3&gt;=$C$1),'General Inputs'!W$10*$I24,IF(AND(($C24+$C$1)&gt;AY$3,AY$3&gt;=$C$1),'General Inputs'!W$10*$H24,0))</f>
        <v>0</v>
      </c>
    </row>
    <row r="25" spans="1:72">
      <c r="A25" s="341" t="s">
        <v>12</v>
      </c>
      <c r="B25" s="427" t="str">
        <f>Sources!B25</f>
        <v>Hot Water Pipe Insulation</v>
      </c>
      <c r="C25" s="193">
        <f>Sources!C25</f>
        <v>15</v>
      </c>
      <c r="D25" s="193">
        <f>Sources!D25</f>
        <v>0</v>
      </c>
      <c r="F25" s="429">
        <f>Sources!F25*EnergyLineLoss</f>
        <v>141.8889000878992</v>
      </c>
      <c r="G25" s="429">
        <f>Sources!G25*EnergyLineLoss</f>
        <v>0</v>
      </c>
      <c r="H25" s="477">
        <f>Sources!H25*PeakLineLoss</f>
        <v>1.6197363023732782E-2</v>
      </c>
      <c r="I25" s="477">
        <f>Sources!I25*PeakLineLoss</f>
        <v>0</v>
      </c>
      <c r="K25" s="419">
        <f>Sources!J25</f>
        <v>15</v>
      </c>
      <c r="L25" s="419">
        <f>Sources!K25</f>
        <v>0</v>
      </c>
      <c r="N25" s="438">
        <f t="shared" si="4"/>
        <v>3.8947445715246038</v>
      </c>
      <c r="P25" s="215">
        <f t="shared" si="0"/>
        <v>47.28633578222307</v>
      </c>
      <c r="Q25" s="215">
        <f t="shared" si="1"/>
        <v>2.0302694204591094</v>
      </c>
      <c r="R25" s="215">
        <f t="shared" si="2"/>
        <v>12.662346476646379</v>
      </c>
      <c r="T25" s="214">
        <f t="shared" si="9"/>
        <v>0</v>
      </c>
      <c r="U25" s="214">
        <f t="shared" si="9"/>
        <v>0</v>
      </c>
      <c r="V25" s="214">
        <f t="shared" si="9"/>
        <v>15</v>
      </c>
      <c r="W25" s="214">
        <f t="shared" si="9"/>
        <v>0</v>
      </c>
      <c r="X25" s="214">
        <f t="shared" si="9"/>
        <v>0</v>
      </c>
      <c r="Y25" s="214">
        <f t="shared" si="9"/>
        <v>0</v>
      </c>
      <c r="Z25" s="214">
        <f t="shared" si="9"/>
        <v>0</v>
      </c>
      <c r="AA25" s="214">
        <f t="shared" si="9"/>
        <v>0</v>
      </c>
      <c r="AB25" s="214">
        <f t="shared" si="9"/>
        <v>0</v>
      </c>
      <c r="AC25" s="214">
        <f t="shared" si="9"/>
        <v>0</v>
      </c>
      <c r="AD25" s="214">
        <f t="shared" si="9"/>
        <v>0</v>
      </c>
      <c r="AF25" s="214">
        <f>IF(AND(($D25+$C$1)&gt;AF$3,AF$3&gt;=$C$1),'General Inputs'!D$9*$G25,IF(AND(($C25+$C$1)&gt;AF$3,AF$3&gt;=$C$1),'General Inputs'!D$9*$F25,0))</f>
        <v>0</v>
      </c>
      <c r="AG25" s="214">
        <f>IF(AND(($D25+$C$1)&gt;AG$3,AG$3&gt;=$C$1),'General Inputs'!E$9*$G25,IF(AND(($C25+$C$1)&gt;AG$3,AG$3&gt;=$C$1),'General Inputs'!E$9*$F25,0))</f>
        <v>0</v>
      </c>
      <c r="AH25" s="214">
        <f>IF(AND(($D25+$C$1)&gt;AH$3,AH$3&gt;=$C$1),'General Inputs'!F$9*$G25,IF(AND(($C25+$C$1)&gt;AH$3,AH$3&gt;=$C$1),'General Inputs'!F$9*$F25,0))</f>
        <v>5.8196576720588604</v>
      </c>
      <c r="AI25" s="214">
        <f>IF(AND(($D25+$C$1)&gt;AI$3,AI$3&gt;=$C$1),'General Inputs'!G$9*$G25,IF(AND(($C25+$C$1)&gt;AI$3,AI$3&gt;=$C$1),'General Inputs'!G$9*$F25,0))</f>
        <v>5.9069525371397429</v>
      </c>
      <c r="AJ25" s="214">
        <f>IF(AND(($D25+$C$1)&gt;AJ$3,AJ$3&gt;=$C$1),'General Inputs'!H$9*$G25,IF(AND(($C25+$C$1)&gt;AJ$3,AJ$3&gt;=$C$1),'General Inputs'!H$9*$F25,0))</f>
        <v>5.9955568251968385</v>
      </c>
      <c r="AK25" s="214">
        <f>IF(AND(($D25+$C$1)&gt;AK$3,AK$3&gt;=$C$1),'General Inputs'!I$9*$G25,IF(AND(($C25+$C$1)&gt;AK$3,AK$3&gt;=$C$1),'General Inputs'!I$9*$F25,0))</f>
        <v>6.0854901775747896</v>
      </c>
      <c r="AL25" s="214">
        <f>IF(AND(($D25+$C$1)&gt;AL$3,AL$3&gt;=$C$1),'General Inputs'!J$9*$G25,IF(AND(($C25+$C$1)&gt;AL$3,AL$3&gt;=$C$1),'General Inputs'!J$9*$F25,0))</f>
        <v>6.1767725302384111</v>
      </c>
      <c r="AM25" s="214">
        <f>IF(AND(($D25+$C$1)&gt;AM$3,AM$3&gt;=$C$1),'General Inputs'!K$9*$G25,IF(AND(($C25+$C$1)&gt;AM$3,AM$3&gt;=$C$1),'General Inputs'!K$9*$F25,0))</f>
        <v>6.2694241181919859</v>
      </c>
      <c r="AN25" s="214">
        <f>IF(AND(($D25+$C$1)&gt;AN$3,AN$3&gt;=$C$1),'General Inputs'!L$9*$G25,IF(AND(($C25+$C$1)&gt;AN$3,AN$3&gt;=$C$1),'General Inputs'!L$9*$F25,0))</f>
        <v>6.3634654799648649</v>
      </c>
      <c r="AO25" s="214">
        <f>IF(AND(($D25+$C$1)&gt;AO$3,AO$3&gt;=$C$1),'General Inputs'!M$9*$G25,IF(AND(($C25+$C$1)&gt;AO$3,AO$3&gt;=$C$1),'General Inputs'!M$9*$F25,0))</f>
        <v>6.4589174621643375</v>
      </c>
      <c r="AP25" s="214">
        <f>IF(AND(($D25+$C$1)&gt;AP$3,AP$3&gt;=$C$1),'General Inputs'!N$9*$G25,IF(AND(($C25+$C$1)&gt;AP$3,AP$3&gt;=$C$1),'General Inputs'!N$9*$F25,0))</f>
        <v>6.5558012240968022</v>
      </c>
      <c r="AQ25" s="214">
        <f>IF(AND(($D25+$C$1)&gt;AQ$3,AQ$3&gt;=$C$1),'General Inputs'!O$9*$G25,IF(AND(($C25+$C$1)&gt;AQ$3,AQ$3&gt;=$C$1),'General Inputs'!O$9*$F25,0))</f>
        <v>6.6541382424582531</v>
      </c>
      <c r="AR25" s="214">
        <f>IF(AND(($D25+$C$1)&gt;AR$3,AR$3&gt;=$C$1),'General Inputs'!P$9*$G25,IF(AND(($C25+$C$1)&gt;AR$3,AR$3&gt;=$C$1),'General Inputs'!P$9*$F25,0))</f>
        <v>6.7539503160951266</v>
      </c>
      <c r="AS25" s="214">
        <f>IF(AND(($D25+$C$1)&gt;AS$3,AS$3&gt;=$C$1),'General Inputs'!Q$9*$G25,IF(AND(($C25+$C$1)&gt;AS$3,AS$3&gt;=$C$1),'General Inputs'!Q$9*$F25,0))</f>
        <v>6.8552595708365525</v>
      </c>
      <c r="AT25" s="214">
        <f>IF(AND(($D25+$C$1)&gt;AT$3,AT$3&gt;=$C$1),'General Inputs'!R$9*$G25,IF(AND(($C25+$C$1)&gt;AT$3,AT$3&gt;=$C$1),'General Inputs'!R$9*$F25,0))</f>
        <v>6.9580884643991006</v>
      </c>
      <c r="AU25" s="214">
        <f>IF(AND(($D25+$C$1)&gt;AU$3,AU$3&gt;=$C$1),'General Inputs'!S$9*$G25,IF(AND(($C25+$C$1)&gt;AU$3,AU$3&gt;=$C$1),'General Inputs'!S$9*$F25,0))</f>
        <v>7.0624597913650868</v>
      </c>
      <c r="AV25" s="214">
        <f>IF(AND(($D25+$C$1)&gt;AV$3,AV$3&gt;=$C$1),'General Inputs'!T$9*$G25,IF(AND(($C25+$C$1)&gt;AV$3,AV$3&gt;=$C$1),'General Inputs'!T$9*$F25,0))</f>
        <v>7.1683966882355623</v>
      </c>
      <c r="AW25" s="214">
        <f>IF(AND(($D25+$C$1)&gt;AW$3,AW$3&gt;=$C$1),'General Inputs'!U$9*$G25,IF(AND(($C25+$C$1)&gt;AW$3,AW$3&gt;=$C$1),'General Inputs'!U$9*$F25,0))</f>
        <v>0</v>
      </c>
      <c r="AX25" s="214">
        <f>IF(AND(($D25+$C$1)&gt;AX$3,AX$3&gt;=$C$1),'General Inputs'!V$9*$G25,IF(AND(($C25+$C$1)&gt;AX$3,AX$3&gt;=$C$1),'General Inputs'!V$9*$F25,0))</f>
        <v>0</v>
      </c>
      <c r="AY25" s="214">
        <f>IF(AND(($D25+$C$1)&gt;AY$3,AY$3&gt;=$C$1),'General Inputs'!W$9*$G25,IF(AND(($C25+$C$1)&gt;AY$3,AY$3&gt;=$C$1),'General Inputs'!W$9*$F25,0))</f>
        <v>0</v>
      </c>
      <c r="BA25" s="214">
        <f>IF(AND(($D25+$C$1)&gt;AF$3,AF$3&gt;=$C$1),'General Inputs'!D$10*$I25,IF(AND(($C25+$C$1)&gt;AF$3,AF$3&gt;=$C$1),'General Inputs'!D$10*$H25,0))</f>
        <v>0</v>
      </c>
      <c r="BB25" s="214">
        <f>IF(AND(($D25+$C$1)&gt;AG$3,AG$3&gt;=$C$1),'General Inputs'!E$10*$I25,IF(AND(($C25+$C$1)&gt;AG$3,AG$3&gt;=$C$1),'General Inputs'!E$10*$H25,0))</f>
        <v>0</v>
      </c>
      <c r="BC25" s="214">
        <f>IF(AND(($D25+$C$1)&gt;AH$3,AH$3&gt;=$C$1),'General Inputs'!F$10*$I25,IF(AND(($C25+$C$1)&gt;AH$3,AH$3&gt;=$C$1),'General Inputs'!F$10*$H25,0))</f>
        <v>0.24987076739330022</v>
      </c>
      <c r="BD25" s="214">
        <f>IF(AND(($D25+$C$1)&gt;AI$3,AI$3&gt;=$C$1),'General Inputs'!G$10*$I25,IF(AND(($C25+$C$1)&gt;AI$3,AI$3&gt;=$C$1),'General Inputs'!G$10*$H25,0))</f>
        <v>0.25361882890419973</v>
      </c>
      <c r="BE25" s="214">
        <f>IF(AND(($D25+$C$1)&gt;AJ$3,AJ$3&gt;=$C$1),'General Inputs'!H$10*$I25,IF(AND(($C25+$C$1)&gt;AJ$3,AJ$3&gt;=$C$1),'General Inputs'!H$10*$H25,0))</f>
        <v>0.25742311133776269</v>
      </c>
      <c r="BF25" s="214">
        <f>IF(AND(($D25+$C$1)&gt;AK$3,AK$3&gt;=$C$1),'General Inputs'!I$10*$I25,IF(AND(($C25+$C$1)&gt;AK$3,AK$3&gt;=$C$1),'General Inputs'!I$10*$H25,0))</f>
        <v>0.26128445800782907</v>
      </c>
      <c r="BG25" s="214">
        <f>IF(AND(($D25+$C$1)&gt;AL$3,AL$3&gt;=$C$1),'General Inputs'!J$10*$I25,IF(AND(($C25+$C$1)&gt;AL$3,AL$3&gt;=$C$1),'General Inputs'!J$10*$H25,0))</f>
        <v>0.26520372487794647</v>
      </c>
      <c r="BH25" s="214">
        <f>IF(AND(($D25+$C$1)&gt;AM$3,AM$3&gt;=$C$1),'General Inputs'!K$10*$I25,IF(AND(($C25+$C$1)&gt;AM$3,AM$3&gt;=$C$1),'General Inputs'!K$10*$H25,0))</f>
        <v>0.26918178075111565</v>
      </c>
      <c r="BI25" s="214">
        <f>IF(AND(($D25+$C$1)&gt;AN$3,AN$3&gt;=$C$1),'General Inputs'!L$10*$I25,IF(AND(($C25+$C$1)&gt;AN$3,AN$3&gt;=$C$1),'General Inputs'!L$10*$H25,0))</f>
        <v>0.27321950746238238</v>
      </c>
      <c r="BJ25" s="214">
        <f>IF(AND(($D25+$C$1)&gt;AO$3,AO$3&gt;=$C$1),'General Inputs'!M$10*$I25,IF(AND(($C25+$C$1)&gt;AO$3,AO$3&gt;=$C$1),'General Inputs'!M$10*$H25,0))</f>
        <v>0.27731780007431811</v>
      </c>
      <c r="BK25" s="214">
        <f>IF(AND(($D25+$C$1)&gt;AP$3,AP$3&gt;=$C$1),'General Inputs'!N$10*$I25,IF(AND(($C25+$C$1)&gt;AP$3,AP$3&gt;=$C$1),'General Inputs'!N$10*$H25,0))</f>
        <v>0.28147756707543281</v>
      </c>
      <c r="BL25" s="214">
        <f>IF(AND(($D25+$C$1)&gt;AQ$3,AQ$3&gt;=$C$1),'General Inputs'!O$10*$I25,IF(AND(($C25+$C$1)&gt;AQ$3,AQ$3&gt;=$C$1),'General Inputs'!O$10*$H25,0))</f>
        <v>0.28569973058156428</v>
      </c>
      <c r="BM25" s="214">
        <f>IF(AND(($D25+$C$1)&gt;AR$3,AR$3&gt;=$C$1),'General Inputs'!P$10*$I25,IF(AND(($C25+$C$1)&gt;AR$3,AR$3&gt;=$C$1),'General Inputs'!P$10*$H25,0))</f>
        <v>0.28998522654028774</v>
      </c>
      <c r="BN25" s="214">
        <f>IF(AND(($D25+$C$1)&gt;AS$3,AS$3&gt;=$C$1),'General Inputs'!Q$10*$I25,IF(AND(($C25+$C$1)&gt;AS$3,AS$3&gt;=$C$1),'General Inputs'!Q$10*$H25,0))</f>
        <v>0.29433500493839204</v>
      </c>
      <c r="BO25" s="214">
        <f>IF(AND(($D25+$C$1)&gt;AT$3,AT$3&gt;=$C$1),'General Inputs'!R$10*$I25,IF(AND(($C25+$C$1)&gt;AT$3,AT$3&gt;=$C$1),'General Inputs'!R$10*$H25,0))</f>
        <v>0.29875003001246786</v>
      </c>
      <c r="BP25" s="214">
        <f>IF(AND(($D25+$C$1)&gt;AU$3,AU$3&gt;=$C$1),'General Inputs'!S$10*$I25,IF(AND(($C25+$C$1)&gt;AU$3,AU$3&gt;=$C$1),'General Inputs'!S$10*$H25,0))</f>
        <v>0.30323128046265485</v>
      </c>
      <c r="BQ25" s="214">
        <f>IF(AND(($D25+$C$1)&gt;AV$3,AV$3&gt;=$C$1),'General Inputs'!T$10*$I25,IF(AND(($C25+$C$1)&gt;AV$3,AV$3&gt;=$C$1),'General Inputs'!T$10*$H25,0))</f>
        <v>0.30777974966959465</v>
      </c>
      <c r="BR25" s="214">
        <f>IF(AND(($D25+$C$1)&gt;AW$3,AW$3&gt;=$C$1),'General Inputs'!U$10*$I25,IF(AND(($C25+$C$1)&gt;AW$3,AW$3&gt;=$C$1),'General Inputs'!U$10*$H25,0))</f>
        <v>0</v>
      </c>
      <c r="BS25" s="214">
        <f>IF(AND(($D25+$C$1)&gt;AX$3,AX$3&gt;=$C$1),'General Inputs'!V$10*$I25,IF(AND(($C25+$C$1)&gt;AX$3,AX$3&gt;=$C$1),'General Inputs'!V$10*$H25,0))</f>
        <v>0</v>
      </c>
      <c r="BT25" s="214">
        <f>IF(AND(($D25+$C$1)&gt;AY$3,AY$3&gt;=$C$1),'General Inputs'!W$10*$I25,IF(AND(($C25+$C$1)&gt;AY$3,AY$3&gt;=$C$1),'General Inputs'!W$10*$H25,0))</f>
        <v>0</v>
      </c>
    </row>
    <row r="26" spans="1:72">
      <c r="A26" s="341" t="s">
        <v>12</v>
      </c>
      <c r="B26" s="427" t="str">
        <f>Sources!B26</f>
        <v>CAC/ASHP Tune-Up</v>
      </c>
      <c r="C26" s="193">
        <f>Sources!C26</f>
        <v>2</v>
      </c>
      <c r="D26" s="193">
        <f>Sources!D26</f>
        <v>0</v>
      </c>
      <c r="F26" s="429">
        <f>Sources!F26*EnergyLineLoss</f>
        <v>111.75678000000001</v>
      </c>
      <c r="G26" s="429">
        <f>Sources!G26*EnergyLineLoss</f>
        <v>0</v>
      </c>
      <c r="H26" s="477">
        <f>Sources!H26*PeakLineLoss</f>
        <v>7.3745217391304352E-2</v>
      </c>
      <c r="I26" s="477">
        <f>Sources!I26*PeakLineLoss</f>
        <v>0</v>
      </c>
      <c r="K26" s="419">
        <f>Sources!J26</f>
        <v>175</v>
      </c>
      <c r="L26" s="419">
        <f>Sources!K26</f>
        <v>0</v>
      </c>
      <c r="N26" s="438">
        <f t="shared" si="4"/>
        <v>6.31827391703247E-2</v>
      </c>
      <c r="P26" s="215">
        <f t="shared" si="0"/>
        <v>7.4778916349739983</v>
      </c>
      <c r="Q26" s="215">
        <f t="shared" si="1"/>
        <v>1.8559286034053288</v>
      </c>
      <c r="R26" s="215">
        <f t="shared" si="2"/>
        <v>147.72737556087441</v>
      </c>
      <c r="T26" s="214">
        <f t="shared" si="9"/>
        <v>0</v>
      </c>
      <c r="U26" s="214">
        <f t="shared" si="9"/>
        <v>0</v>
      </c>
      <c r="V26" s="214">
        <f t="shared" si="9"/>
        <v>175</v>
      </c>
      <c r="W26" s="214">
        <f t="shared" si="9"/>
        <v>0</v>
      </c>
      <c r="X26" s="214">
        <f t="shared" si="9"/>
        <v>0</v>
      </c>
      <c r="Y26" s="214">
        <f t="shared" si="9"/>
        <v>0</v>
      </c>
      <c r="Z26" s="214">
        <f t="shared" si="9"/>
        <v>0</v>
      </c>
      <c r="AA26" s="214">
        <f t="shared" si="9"/>
        <v>0</v>
      </c>
      <c r="AB26" s="214">
        <f t="shared" si="9"/>
        <v>0</v>
      </c>
      <c r="AC26" s="214">
        <f t="shared" si="9"/>
        <v>0</v>
      </c>
      <c r="AD26" s="214">
        <f t="shared" si="9"/>
        <v>0</v>
      </c>
      <c r="AF26" s="214">
        <f>IF(AND(($D26+$C$1)&gt;AF$3,AF$3&gt;=$C$1),'General Inputs'!D$9*$G26,IF(AND(($C26+$C$1)&gt;AF$3,AF$3&gt;=$C$1),'General Inputs'!D$9*$F26,0))</f>
        <v>0</v>
      </c>
      <c r="AG26" s="214">
        <f>IF(AND(($D26+$C$1)&gt;AG$3,AG$3&gt;=$C$1),'General Inputs'!E$9*$G26,IF(AND(($C26+$C$1)&gt;AG$3,AG$3&gt;=$C$1),'General Inputs'!E$9*$F26,0))</f>
        <v>0</v>
      </c>
      <c r="AH26" s="214">
        <f>IF(AND(($D26+$C$1)&gt;AH$3,AH$3&gt;=$C$1),'General Inputs'!F$9*$G26,IF(AND(($C26+$C$1)&gt;AH$3,AH$3&gt;=$C$1),'General Inputs'!F$9*$F26,0))</f>
        <v>4.5837708356938736</v>
      </c>
      <c r="AI26" s="214">
        <f>IF(AND(($D26+$C$1)&gt;AI$3,AI$3&gt;=$C$1),'General Inputs'!G$9*$G26,IF(AND(($C26+$C$1)&gt;AI$3,AI$3&gt;=$C$1),'General Inputs'!G$9*$F26,0))</f>
        <v>4.6525273982292816</v>
      </c>
      <c r="AJ26" s="214">
        <f>IF(AND(($D26+$C$1)&gt;AJ$3,AJ$3&gt;=$C$1),'General Inputs'!H$9*$G26,IF(AND(($C26+$C$1)&gt;AJ$3,AJ$3&gt;=$C$1),'General Inputs'!H$9*$F26,0))</f>
        <v>0</v>
      </c>
      <c r="AK26" s="214">
        <f>IF(AND(($D26+$C$1)&gt;AK$3,AK$3&gt;=$C$1),'General Inputs'!I$9*$G26,IF(AND(($C26+$C$1)&gt;AK$3,AK$3&gt;=$C$1),'General Inputs'!I$9*$F26,0))</f>
        <v>0</v>
      </c>
      <c r="AL26" s="214">
        <f>IF(AND(($D26+$C$1)&gt;AL$3,AL$3&gt;=$C$1),'General Inputs'!J$9*$G26,IF(AND(($C26+$C$1)&gt;AL$3,AL$3&gt;=$C$1),'General Inputs'!J$9*$F26,0))</f>
        <v>0</v>
      </c>
      <c r="AM26" s="214">
        <f>IF(AND(($D26+$C$1)&gt;AM$3,AM$3&gt;=$C$1),'General Inputs'!K$9*$G26,IF(AND(($C26+$C$1)&gt;AM$3,AM$3&gt;=$C$1),'General Inputs'!K$9*$F26,0))</f>
        <v>0</v>
      </c>
      <c r="AN26" s="214">
        <f>IF(AND(($D26+$C$1)&gt;AN$3,AN$3&gt;=$C$1),'General Inputs'!L$9*$G26,IF(AND(($C26+$C$1)&gt;AN$3,AN$3&gt;=$C$1),'General Inputs'!L$9*$F26,0))</f>
        <v>0</v>
      </c>
      <c r="AO26" s="214">
        <f>IF(AND(($D26+$C$1)&gt;AO$3,AO$3&gt;=$C$1),'General Inputs'!M$9*$G26,IF(AND(($C26+$C$1)&gt;AO$3,AO$3&gt;=$C$1),'General Inputs'!M$9*$F26,0))</f>
        <v>0</v>
      </c>
      <c r="AP26" s="214">
        <f>IF(AND(($D26+$C$1)&gt;AP$3,AP$3&gt;=$C$1),'General Inputs'!N$9*$G26,IF(AND(($C26+$C$1)&gt;AP$3,AP$3&gt;=$C$1),'General Inputs'!N$9*$F26,0))</f>
        <v>0</v>
      </c>
      <c r="AQ26" s="214">
        <f>IF(AND(($D26+$C$1)&gt;AQ$3,AQ$3&gt;=$C$1),'General Inputs'!O$9*$G26,IF(AND(($C26+$C$1)&gt;AQ$3,AQ$3&gt;=$C$1),'General Inputs'!O$9*$F26,0))</f>
        <v>0</v>
      </c>
      <c r="AR26" s="214">
        <f>IF(AND(($D26+$C$1)&gt;AR$3,AR$3&gt;=$C$1),'General Inputs'!P$9*$G26,IF(AND(($C26+$C$1)&gt;AR$3,AR$3&gt;=$C$1),'General Inputs'!P$9*$F26,0))</f>
        <v>0</v>
      </c>
      <c r="AS26" s="214">
        <f>IF(AND(($D26+$C$1)&gt;AS$3,AS$3&gt;=$C$1),'General Inputs'!Q$9*$G26,IF(AND(($C26+$C$1)&gt;AS$3,AS$3&gt;=$C$1),'General Inputs'!Q$9*$F26,0))</f>
        <v>0</v>
      </c>
      <c r="AT26" s="214">
        <f>IF(AND(($D26+$C$1)&gt;AT$3,AT$3&gt;=$C$1),'General Inputs'!R$9*$G26,IF(AND(($C26+$C$1)&gt;AT$3,AT$3&gt;=$C$1),'General Inputs'!R$9*$F26,0))</f>
        <v>0</v>
      </c>
      <c r="AU26" s="214">
        <f>IF(AND(($D26+$C$1)&gt;AU$3,AU$3&gt;=$C$1),'General Inputs'!S$9*$G26,IF(AND(($C26+$C$1)&gt;AU$3,AU$3&gt;=$C$1),'General Inputs'!S$9*$F26,0))</f>
        <v>0</v>
      </c>
      <c r="AV26" s="214">
        <f>IF(AND(($D26+$C$1)&gt;AV$3,AV$3&gt;=$C$1),'General Inputs'!T$9*$G26,IF(AND(($C26+$C$1)&gt;AV$3,AV$3&gt;=$C$1),'General Inputs'!T$9*$F26,0))</f>
        <v>0</v>
      </c>
      <c r="AW26" s="214">
        <f>IF(AND(($D26+$C$1)&gt;AW$3,AW$3&gt;=$C$1),'General Inputs'!U$9*$G26,IF(AND(($C26+$C$1)&gt;AW$3,AW$3&gt;=$C$1),'General Inputs'!U$9*$F26,0))</f>
        <v>0</v>
      </c>
      <c r="AX26" s="214">
        <f>IF(AND(($D26+$C$1)&gt;AX$3,AX$3&gt;=$C$1),'General Inputs'!V$9*$G26,IF(AND(($C26+$C$1)&gt;AX$3,AX$3&gt;=$C$1),'General Inputs'!V$9*$F26,0))</f>
        <v>0</v>
      </c>
      <c r="AY26" s="214">
        <f>IF(AND(($D26+$C$1)&gt;AY$3,AY$3&gt;=$C$1),'General Inputs'!W$9*$G26,IF(AND(($C26+$C$1)&gt;AY$3,AY$3&gt;=$C$1),'General Inputs'!W$9*$F26,0))</f>
        <v>0</v>
      </c>
      <c r="BA26" s="214">
        <f>IF(AND(($D26+$C$1)&gt;AF$3,AF$3&gt;=$C$1),'General Inputs'!D$10*$I26,IF(AND(($C26+$C$1)&gt;AF$3,AF$3&gt;=$C$1),'General Inputs'!D$10*$H26,0))</f>
        <v>0</v>
      </c>
      <c r="BB26" s="214">
        <f>IF(AND(($D26+$C$1)&gt;AG$3,AG$3&gt;=$C$1),'General Inputs'!E$10*$I26,IF(AND(($C26+$C$1)&gt;AG$3,AG$3&gt;=$C$1),'General Inputs'!E$10*$H26,0))</f>
        <v>0</v>
      </c>
      <c r="BC26" s="214">
        <f>IF(AND(($D26+$C$1)&gt;AH$3,AH$3&gt;=$C$1),'General Inputs'!F$10*$I26,IF(AND(($C26+$C$1)&gt;AH$3,AH$3&gt;=$C$1),'General Inputs'!F$10*$H26,0))</f>
        <v>1.1376403698646254</v>
      </c>
      <c r="BD26" s="214">
        <f>IF(AND(($D26+$C$1)&gt;AI$3,AI$3&gt;=$C$1),'General Inputs'!G$10*$I26,IF(AND(($C26+$C$1)&gt;AI$3,AI$3&gt;=$C$1),'General Inputs'!G$10*$H26,0))</f>
        <v>1.1547049754125946</v>
      </c>
      <c r="BE26" s="214">
        <f>IF(AND(($D26+$C$1)&gt;AJ$3,AJ$3&gt;=$C$1),'General Inputs'!H$10*$I26,IF(AND(($C26+$C$1)&gt;AJ$3,AJ$3&gt;=$C$1),'General Inputs'!H$10*$H26,0))</f>
        <v>0</v>
      </c>
      <c r="BF26" s="214">
        <f>IF(AND(($D26+$C$1)&gt;AK$3,AK$3&gt;=$C$1),'General Inputs'!I$10*$I26,IF(AND(($C26+$C$1)&gt;AK$3,AK$3&gt;=$C$1),'General Inputs'!I$10*$H26,0))</f>
        <v>0</v>
      </c>
      <c r="BG26" s="214">
        <f>IF(AND(($D26+$C$1)&gt;AL$3,AL$3&gt;=$C$1),'General Inputs'!J$10*$I26,IF(AND(($C26+$C$1)&gt;AL$3,AL$3&gt;=$C$1),'General Inputs'!J$10*$H26,0))</f>
        <v>0</v>
      </c>
      <c r="BH26" s="214">
        <f>IF(AND(($D26+$C$1)&gt;AM$3,AM$3&gt;=$C$1),'General Inputs'!K$10*$I26,IF(AND(($C26+$C$1)&gt;AM$3,AM$3&gt;=$C$1),'General Inputs'!K$10*$H26,0))</f>
        <v>0</v>
      </c>
      <c r="BI26" s="214">
        <f>IF(AND(($D26+$C$1)&gt;AN$3,AN$3&gt;=$C$1),'General Inputs'!L$10*$I26,IF(AND(($C26+$C$1)&gt;AN$3,AN$3&gt;=$C$1),'General Inputs'!L$10*$H26,0))</f>
        <v>0</v>
      </c>
      <c r="BJ26" s="214">
        <f>IF(AND(($D26+$C$1)&gt;AO$3,AO$3&gt;=$C$1),'General Inputs'!M$10*$I26,IF(AND(($C26+$C$1)&gt;AO$3,AO$3&gt;=$C$1),'General Inputs'!M$10*$H26,0))</f>
        <v>0</v>
      </c>
      <c r="BK26" s="214">
        <f>IF(AND(($D26+$C$1)&gt;AP$3,AP$3&gt;=$C$1),'General Inputs'!N$10*$I26,IF(AND(($C26+$C$1)&gt;AP$3,AP$3&gt;=$C$1),'General Inputs'!N$10*$H26,0))</f>
        <v>0</v>
      </c>
      <c r="BL26" s="214">
        <f>IF(AND(($D26+$C$1)&gt;AQ$3,AQ$3&gt;=$C$1),'General Inputs'!O$10*$I26,IF(AND(($C26+$C$1)&gt;AQ$3,AQ$3&gt;=$C$1),'General Inputs'!O$10*$H26,0))</f>
        <v>0</v>
      </c>
      <c r="BM26" s="214">
        <f>IF(AND(($D26+$C$1)&gt;AR$3,AR$3&gt;=$C$1),'General Inputs'!P$10*$I26,IF(AND(($C26+$C$1)&gt;AR$3,AR$3&gt;=$C$1),'General Inputs'!P$10*$H26,0))</f>
        <v>0</v>
      </c>
      <c r="BN26" s="214">
        <f>IF(AND(($D26+$C$1)&gt;AS$3,AS$3&gt;=$C$1),'General Inputs'!Q$10*$I26,IF(AND(($C26+$C$1)&gt;AS$3,AS$3&gt;=$C$1),'General Inputs'!Q$10*$H26,0))</f>
        <v>0</v>
      </c>
      <c r="BO26" s="214">
        <f>IF(AND(($D26+$C$1)&gt;AT$3,AT$3&gt;=$C$1),'General Inputs'!R$10*$I26,IF(AND(($C26+$C$1)&gt;AT$3,AT$3&gt;=$C$1),'General Inputs'!R$10*$H26,0))</f>
        <v>0</v>
      </c>
      <c r="BP26" s="214">
        <f>IF(AND(($D26+$C$1)&gt;AU$3,AU$3&gt;=$C$1),'General Inputs'!S$10*$I26,IF(AND(($C26+$C$1)&gt;AU$3,AU$3&gt;=$C$1),'General Inputs'!S$10*$H26,0))</f>
        <v>0</v>
      </c>
      <c r="BQ26" s="214">
        <f>IF(AND(($D26+$C$1)&gt;AV$3,AV$3&gt;=$C$1),'General Inputs'!T$10*$I26,IF(AND(($C26+$C$1)&gt;AV$3,AV$3&gt;=$C$1),'General Inputs'!T$10*$H26,0))</f>
        <v>0</v>
      </c>
      <c r="BR26" s="214">
        <f>IF(AND(($D26+$C$1)&gt;AW$3,AW$3&gt;=$C$1),'General Inputs'!U$10*$I26,IF(AND(($C26+$C$1)&gt;AW$3,AW$3&gt;=$C$1),'General Inputs'!U$10*$H26,0))</f>
        <v>0</v>
      </c>
      <c r="BS26" s="214">
        <f>IF(AND(($D26+$C$1)&gt;AX$3,AX$3&gt;=$C$1),'General Inputs'!V$10*$I26,IF(AND(($C26+$C$1)&gt;AX$3,AX$3&gt;=$C$1),'General Inputs'!V$10*$H26,0))</f>
        <v>0</v>
      </c>
      <c r="BT26" s="214">
        <f>IF(AND(($D26+$C$1)&gt;AY$3,AY$3&gt;=$C$1),'General Inputs'!W$10*$I26,IF(AND(($C26+$C$1)&gt;AY$3,AY$3&gt;=$C$1),'General Inputs'!W$10*$H26,0))</f>
        <v>0</v>
      </c>
    </row>
    <row r="27" spans="1:72">
      <c r="A27" s="341" t="s">
        <v>12</v>
      </c>
      <c r="B27" s="427" t="str">
        <f>Sources!B27</f>
        <v>CAC SEER 14</v>
      </c>
      <c r="C27" s="193">
        <f>Sources!C27</f>
        <v>18</v>
      </c>
      <c r="D27" s="193">
        <f>Sources!D27</f>
        <v>0</v>
      </c>
      <c r="F27" s="429">
        <f>Sources!F27*EnergyLineLoss</f>
        <v>177.86224933687009</v>
      </c>
      <c r="G27" s="429">
        <f>Sources!G27*EnergyLineLoss</f>
        <v>0</v>
      </c>
      <c r="H27" s="477">
        <f>Sources!H27*PeakLineLoss</f>
        <v>0.26127409090909115</v>
      </c>
      <c r="I27" s="477">
        <f>Sources!I27*PeakLineLoss</f>
        <v>0</v>
      </c>
      <c r="K27" s="419">
        <f>Sources!J27</f>
        <v>416.78421295927956</v>
      </c>
      <c r="L27" s="419">
        <f>Sources!K27</f>
        <v>0</v>
      </c>
      <c r="N27" s="438">
        <f t="shared" si="4"/>
        <v>0.28827780982288009</v>
      </c>
      <c r="P27" s="215">
        <f t="shared" si="0"/>
        <v>65.330043125203531</v>
      </c>
      <c r="Q27" s="215">
        <f t="shared" si="1"/>
        <v>36.095048324503082</v>
      </c>
      <c r="R27" s="215">
        <f t="shared" si="2"/>
        <v>351.83107403245117</v>
      </c>
      <c r="T27" s="214">
        <f t="shared" si="9"/>
        <v>0</v>
      </c>
      <c r="U27" s="214">
        <f t="shared" si="9"/>
        <v>0</v>
      </c>
      <c r="V27" s="214">
        <f t="shared" si="9"/>
        <v>416.78421295927956</v>
      </c>
      <c r="W27" s="214">
        <f t="shared" si="9"/>
        <v>0</v>
      </c>
      <c r="X27" s="214">
        <f t="shared" si="9"/>
        <v>0</v>
      </c>
      <c r="Y27" s="214">
        <f t="shared" si="9"/>
        <v>0</v>
      </c>
      <c r="Z27" s="214">
        <f t="shared" si="9"/>
        <v>0</v>
      </c>
      <c r="AA27" s="214">
        <f t="shared" si="9"/>
        <v>0</v>
      </c>
      <c r="AB27" s="214">
        <f t="shared" si="9"/>
        <v>0</v>
      </c>
      <c r="AC27" s="214">
        <f t="shared" si="9"/>
        <v>0</v>
      </c>
      <c r="AD27" s="214">
        <f t="shared" si="9"/>
        <v>0</v>
      </c>
      <c r="AF27" s="214">
        <f>IF(AND(($D27+$C$1)&gt;AF$3,AF$3&gt;=$C$1),'General Inputs'!D$9*$G27,IF(AND(($C27+$C$1)&gt;AF$3,AF$3&gt;=$C$1),'General Inputs'!D$9*$F27,0))</f>
        <v>0</v>
      </c>
      <c r="AG27" s="214">
        <f>IF(AND(($D27+$C$1)&gt;AG$3,AG$3&gt;=$C$1),'General Inputs'!E$9*$G27,IF(AND(($C27+$C$1)&gt;AG$3,AG$3&gt;=$C$1),'General Inputs'!E$9*$F27,0))</f>
        <v>0</v>
      </c>
      <c r="AH27" s="214">
        <f>IF(AND(($D27+$C$1)&gt;AH$3,AH$3&gt;=$C$1),'General Inputs'!F$9*$G27,IF(AND(($C27+$C$1)&gt;AH$3,AH$3&gt;=$C$1),'General Inputs'!F$9*$F27,0))</f>
        <v>7.2951259984517902</v>
      </c>
      <c r="AI27" s="214">
        <f>IF(AND(($D27+$C$1)&gt;AI$3,AI$3&gt;=$C$1),'General Inputs'!G$9*$G27,IF(AND(($C27+$C$1)&gt;AI$3,AI$3&gt;=$C$1),'General Inputs'!G$9*$F27,0))</f>
        <v>7.404552888428567</v>
      </c>
      <c r="AJ27" s="214">
        <f>IF(AND(($D27+$C$1)&gt;AJ$3,AJ$3&gt;=$C$1),'General Inputs'!H$9*$G27,IF(AND(($C27+$C$1)&gt;AJ$3,AJ$3&gt;=$C$1),'General Inputs'!H$9*$F27,0))</f>
        <v>7.5156211817549945</v>
      </c>
      <c r="AK27" s="214">
        <f>IF(AND(($D27+$C$1)&gt;AK$3,AK$3&gt;=$C$1),'General Inputs'!I$9*$G27,IF(AND(($C27+$C$1)&gt;AK$3,AK$3&gt;=$C$1),'General Inputs'!I$9*$F27,0))</f>
        <v>7.6283554994813176</v>
      </c>
      <c r="AL27" s="214">
        <f>IF(AND(($D27+$C$1)&gt;AL$3,AL$3&gt;=$C$1),'General Inputs'!J$9*$G27,IF(AND(($C27+$C$1)&gt;AL$3,AL$3&gt;=$C$1),'General Inputs'!J$9*$F27,0))</f>
        <v>7.7427808319735369</v>
      </c>
      <c r="AM27" s="214">
        <f>IF(AND(($D27+$C$1)&gt;AM$3,AM$3&gt;=$C$1),'General Inputs'!K$9*$G27,IF(AND(($C27+$C$1)&gt;AM$3,AM$3&gt;=$C$1),'General Inputs'!K$9*$F27,0))</f>
        <v>7.8589225444531383</v>
      </c>
      <c r="AN27" s="214">
        <f>IF(AND(($D27+$C$1)&gt;AN$3,AN$3&gt;=$C$1),'General Inputs'!L$9*$G27,IF(AND(($C27+$C$1)&gt;AN$3,AN$3&gt;=$C$1),'General Inputs'!L$9*$F27,0))</f>
        <v>7.9768063826199347</v>
      </c>
      <c r="AO27" s="214">
        <f>IF(AND(($D27+$C$1)&gt;AO$3,AO$3&gt;=$C$1),'General Inputs'!M$9*$G27,IF(AND(($C27+$C$1)&gt;AO$3,AO$3&gt;=$C$1),'General Inputs'!M$9*$F27,0))</f>
        <v>8.0964584783592333</v>
      </c>
      <c r="AP27" s="214">
        <f>IF(AND(($D27+$C$1)&gt;AP$3,AP$3&gt;=$C$1),'General Inputs'!N$9*$G27,IF(AND(($C27+$C$1)&gt;AP$3,AP$3&gt;=$C$1),'General Inputs'!N$9*$F27,0))</f>
        <v>8.2179053555346204</v>
      </c>
      <c r="AQ27" s="214">
        <f>IF(AND(($D27+$C$1)&gt;AQ$3,AQ$3&gt;=$C$1),'General Inputs'!O$9*$G27,IF(AND(($C27+$C$1)&gt;AQ$3,AQ$3&gt;=$C$1),'General Inputs'!O$9*$F27,0))</f>
        <v>8.3411739358676389</v>
      </c>
      <c r="AR27" s="214">
        <f>IF(AND(($D27+$C$1)&gt;AR$3,AR$3&gt;=$C$1),'General Inputs'!P$9*$G27,IF(AND(($C27+$C$1)&gt;AR$3,AR$3&gt;=$C$1),'General Inputs'!P$9*$F27,0))</f>
        <v>8.4662915449056531</v>
      </c>
      <c r="AS27" s="214">
        <f>IF(AND(($D27+$C$1)&gt;AS$3,AS$3&gt;=$C$1),'General Inputs'!Q$9*$G27,IF(AND(($C27+$C$1)&gt;AS$3,AS$3&gt;=$C$1),'General Inputs'!Q$9*$F27,0))</f>
        <v>8.5932859180792374</v>
      </c>
      <c r="AT27" s="214">
        <f>IF(AND(($D27+$C$1)&gt;AT$3,AT$3&gt;=$C$1),'General Inputs'!R$9*$G27,IF(AND(($C27+$C$1)&gt;AT$3,AT$3&gt;=$C$1),'General Inputs'!R$9*$F27,0))</f>
        <v>8.7221852068504244</v>
      </c>
      <c r="AU27" s="214">
        <f>IF(AND(($D27+$C$1)&gt;AU$3,AU$3&gt;=$C$1),'General Inputs'!S$9*$G27,IF(AND(($C27+$C$1)&gt;AU$3,AU$3&gt;=$C$1),'General Inputs'!S$9*$F27,0))</f>
        <v>8.8530179849531816</v>
      </c>
      <c r="AV27" s="214">
        <f>IF(AND(($D27+$C$1)&gt;AV$3,AV$3&gt;=$C$1),'General Inputs'!T$9*$G27,IF(AND(($C27+$C$1)&gt;AV$3,AV$3&gt;=$C$1),'General Inputs'!T$9*$F27,0))</f>
        <v>8.9858132547274785</v>
      </c>
      <c r="AW27" s="214">
        <f>IF(AND(($D27+$C$1)&gt;AW$3,AW$3&gt;=$C$1),'General Inputs'!U$9*$G27,IF(AND(($C27+$C$1)&gt;AW$3,AW$3&gt;=$C$1),'General Inputs'!U$9*$F27,0))</f>
        <v>9.1206004535483896</v>
      </c>
      <c r="AX27" s="214">
        <f>IF(AND(($D27+$C$1)&gt;AX$3,AX$3&gt;=$C$1),'General Inputs'!V$9*$G27,IF(AND(($C27+$C$1)&gt;AX$3,AX$3&gt;=$C$1),'General Inputs'!V$9*$F27,0))</f>
        <v>9.2574094603516137</v>
      </c>
      <c r="AY27" s="214">
        <f>IF(AND(($D27+$C$1)&gt;AY$3,AY$3&gt;=$C$1),'General Inputs'!W$9*$G27,IF(AND(($C27+$C$1)&gt;AY$3,AY$3&gt;=$C$1),'General Inputs'!W$9*$F27,0))</f>
        <v>9.3962706022568874</v>
      </c>
      <c r="BA27" s="214">
        <f>IF(AND(($D27+$C$1)&gt;AF$3,AF$3&gt;=$C$1),'General Inputs'!D$10*$I27,IF(AND(($C27+$C$1)&gt;AF$3,AF$3&gt;=$C$1),'General Inputs'!D$10*$H27,0))</f>
        <v>0</v>
      </c>
      <c r="BB27" s="214">
        <f>IF(AND(($D27+$C$1)&gt;AG$3,AG$3&gt;=$C$1),'General Inputs'!E$10*$I27,IF(AND(($C27+$C$1)&gt;AG$3,AG$3&gt;=$C$1),'General Inputs'!E$10*$H27,0))</f>
        <v>0</v>
      </c>
      <c r="BC27" s="214">
        <f>IF(AND(($D27+$C$1)&gt;AH$3,AH$3&gt;=$C$1),'General Inputs'!F$10*$I27,IF(AND(($C27+$C$1)&gt;AH$3,AH$3&gt;=$C$1),'General Inputs'!F$10*$H27,0))</f>
        <v>4.0305793912122994</v>
      </c>
      <c r="BD27" s="214">
        <f>IF(AND(($D27+$C$1)&gt;AI$3,AI$3&gt;=$C$1),'General Inputs'!G$10*$I27,IF(AND(($C27+$C$1)&gt;AI$3,AI$3&gt;=$C$1),'General Inputs'!G$10*$H27,0))</f>
        <v>4.0910380820804839</v>
      </c>
      <c r="BE27" s="214">
        <f>IF(AND(($D27+$C$1)&gt;AJ$3,AJ$3&gt;=$C$1),'General Inputs'!H$10*$I27,IF(AND(($C27+$C$1)&gt;AJ$3,AJ$3&gt;=$C$1),'General Inputs'!H$10*$H27,0))</f>
        <v>4.1524036533116906</v>
      </c>
      <c r="BF27" s="214">
        <f>IF(AND(($D27+$C$1)&gt;AK$3,AK$3&gt;=$C$1),'General Inputs'!I$10*$I27,IF(AND(($C27+$C$1)&gt;AK$3,AK$3&gt;=$C$1),'General Inputs'!I$10*$H27,0))</f>
        <v>4.214689708111365</v>
      </c>
      <c r="BG27" s="214">
        <f>IF(AND(($D27+$C$1)&gt;AL$3,AL$3&gt;=$C$1),'General Inputs'!J$10*$I27,IF(AND(($C27+$C$1)&gt;AL$3,AL$3&gt;=$C$1),'General Inputs'!J$10*$H27,0))</f>
        <v>4.2779100537330352</v>
      </c>
      <c r="BH27" s="214">
        <f>IF(AND(($D27+$C$1)&gt;AM$3,AM$3&gt;=$C$1),'General Inputs'!K$10*$I27,IF(AND(($C27+$C$1)&gt;AM$3,AM$3&gt;=$C$1),'General Inputs'!K$10*$H27,0))</f>
        <v>4.3420787045390306</v>
      </c>
      <c r="BI27" s="214">
        <f>IF(AND(($D27+$C$1)&gt;AN$3,AN$3&gt;=$C$1),'General Inputs'!L$10*$I27,IF(AND(($C27+$C$1)&gt;AN$3,AN$3&gt;=$C$1),'General Inputs'!L$10*$H27,0))</f>
        <v>4.4072098851071155</v>
      </c>
      <c r="BJ27" s="214">
        <f>IF(AND(($D27+$C$1)&gt;AO$3,AO$3&gt;=$C$1),'General Inputs'!M$10*$I27,IF(AND(($C27+$C$1)&gt;AO$3,AO$3&gt;=$C$1),'General Inputs'!M$10*$H27,0))</f>
        <v>4.4733180333837224</v>
      </c>
      <c r="BK27" s="214">
        <f>IF(AND(($D27+$C$1)&gt;AP$3,AP$3&gt;=$C$1),'General Inputs'!N$10*$I27,IF(AND(($C27+$C$1)&gt;AP$3,AP$3&gt;=$C$1),'General Inputs'!N$10*$H27,0))</f>
        <v>4.5404178038844778</v>
      </c>
      <c r="BL27" s="214">
        <f>IF(AND(($D27+$C$1)&gt;AQ$3,AQ$3&gt;=$C$1),'General Inputs'!O$10*$I27,IF(AND(($C27+$C$1)&gt;AQ$3,AQ$3&gt;=$C$1),'General Inputs'!O$10*$H27,0))</f>
        <v>4.6085240709427442</v>
      </c>
      <c r="BM27" s="214">
        <f>IF(AND(($D27+$C$1)&gt;AR$3,AR$3&gt;=$C$1),'General Inputs'!P$10*$I27,IF(AND(($C27+$C$1)&gt;AR$3,AR$3&gt;=$C$1),'General Inputs'!P$10*$H27,0))</f>
        <v>4.677651932006885</v>
      </c>
      <c r="BN27" s="214">
        <f>IF(AND(($D27+$C$1)&gt;AS$3,AS$3&gt;=$C$1),'General Inputs'!Q$10*$I27,IF(AND(($C27+$C$1)&gt;AS$3,AS$3&gt;=$C$1),'General Inputs'!Q$10*$H27,0))</f>
        <v>4.7478167109869878</v>
      </c>
      <c r="BO27" s="214">
        <f>IF(AND(($D27+$C$1)&gt;AT$3,AT$3&gt;=$C$1),'General Inputs'!R$10*$I27,IF(AND(($C27+$C$1)&gt;AT$3,AT$3&gt;=$C$1),'General Inputs'!R$10*$H27,0))</f>
        <v>4.8190339616517921</v>
      </c>
      <c r="BP27" s="214">
        <f>IF(AND(($D27+$C$1)&gt;AU$3,AU$3&gt;=$C$1),'General Inputs'!S$10*$I27,IF(AND(($C27+$C$1)&gt;AU$3,AU$3&gt;=$C$1),'General Inputs'!S$10*$H27,0))</f>
        <v>4.8913194710765691</v>
      </c>
      <c r="BQ27" s="214">
        <f>IF(AND(($D27+$C$1)&gt;AV$3,AV$3&gt;=$C$1),'General Inputs'!T$10*$I27,IF(AND(($C27+$C$1)&gt;AV$3,AV$3&gt;=$C$1),'General Inputs'!T$10*$H27,0))</f>
        <v>4.9646892631427164</v>
      </c>
      <c r="BR27" s="214">
        <f>IF(AND(($D27+$C$1)&gt;AW$3,AW$3&gt;=$C$1),'General Inputs'!U$10*$I27,IF(AND(($C27+$C$1)&gt;AW$3,AW$3&gt;=$C$1),'General Inputs'!U$10*$H27,0))</f>
        <v>5.0391596020898568</v>
      </c>
      <c r="BS27" s="214">
        <f>IF(AND(($D27+$C$1)&gt;AX$3,AX$3&gt;=$C$1),'General Inputs'!V$10*$I27,IF(AND(($C27+$C$1)&gt;AX$3,AX$3&gt;=$C$1),'General Inputs'!V$10*$H27,0))</f>
        <v>5.1147469961212035</v>
      </c>
      <c r="BT27" s="214">
        <f>IF(AND(($D27+$C$1)&gt;AY$3,AY$3&gt;=$C$1),'General Inputs'!W$10*$I27,IF(AND(($C27+$C$1)&gt;AY$3,AY$3&gt;=$C$1),'General Inputs'!W$10*$H27,0))</f>
        <v>5.1914682010630218</v>
      </c>
    </row>
    <row r="28" spans="1:72">
      <c r="A28" s="341" t="s">
        <v>12</v>
      </c>
      <c r="B28" s="427" t="str">
        <f>Sources!B28</f>
        <v>CAC SEER 15</v>
      </c>
      <c r="C28" s="193">
        <f>Sources!C28</f>
        <v>18</v>
      </c>
      <c r="D28" s="193">
        <f>Sources!D28</f>
        <v>0</v>
      </c>
      <c r="F28" s="429">
        <f>Sources!F28*EnergyLineLoss</f>
        <v>229.24467692307704</v>
      </c>
      <c r="G28" s="429">
        <f>Sources!G28*EnergyLineLoss</f>
        <v>0</v>
      </c>
      <c r="H28" s="477">
        <f>Sources!H28*PeakLineLoss</f>
        <v>0.42395418524871376</v>
      </c>
      <c r="I28" s="477">
        <f>Sources!I28*PeakLineLoss</f>
        <v>0</v>
      </c>
      <c r="K28" s="419">
        <f>Sources!J28</f>
        <v>555.7122839457063</v>
      </c>
      <c r="L28" s="419">
        <f>Sources!K28</f>
        <v>0</v>
      </c>
      <c r="N28" s="438">
        <f t="shared" si="4"/>
        <v>0.30434880741496462</v>
      </c>
      <c r="P28" s="215">
        <f t="shared" si="0"/>
        <v>84.203166694706781</v>
      </c>
      <c r="Q28" s="215">
        <f t="shared" si="1"/>
        <v>58.569323696363462</v>
      </c>
      <c r="R28" s="215">
        <f t="shared" si="2"/>
        <v>469.10809870993506</v>
      </c>
      <c r="T28" s="214">
        <f t="shared" si="9"/>
        <v>0</v>
      </c>
      <c r="U28" s="214">
        <f t="shared" si="9"/>
        <v>0</v>
      </c>
      <c r="V28" s="214">
        <f t="shared" si="9"/>
        <v>555.7122839457063</v>
      </c>
      <c r="W28" s="214">
        <f t="shared" si="9"/>
        <v>0</v>
      </c>
      <c r="X28" s="214">
        <f t="shared" si="9"/>
        <v>0</v>
      </c>
      <c r="Y28" s="214">
        <f t="shared" si="9"/>
        <v>0</v>
      </c>
      <c r="Z28" s="214">
        <f t="shared" si="9"/>
        <v>0</v>
      </c>
      <c r="AA28" s="214">
        <f t="shared" si="9"/>
        <v>0</v>
      </c>
      <c r="AB28" s="214">
        <f t="shared" si="9"/>
        <v>0</v>
      </c>
      <c r="AC28" s="214">
        <f t="shared" si="9"/>
        <v>0</v>
      </c>
      <c r="AD28" s="214">
        <f t="shared" si="9"/>
        <v>0</v>
      </c>
      <c r="AF28" s="214">
        <f>IF(AND(($D28+$C$1)&gt;AF$3,AF$3&gt;=$C$1),'General Inputs'!D$9*$G28,IF(AND(($C28+$C$1)&gt;AF$3,AF$3&gt;=$C$1),'General Inputs'!D$9*$F28,0))</f>
        <v>0</v>
      </c>
      <c r="AG28" s="214">
        <f>IF(AND(($D28+$C$1)&gt;AG$3,AG$3&gt;=$C$1),'General Inputs'!E$9*$G28,IF(AND(($C28+$C$1)&gt;AG$3,AG$3&gt;=$C$1),'General Inputs'!E$9*$F28,0))</f>
        <v>0</v>
      </c>
      <c r="AH28" s="214">
        <f>IF(AND(($D28+$C$1)&gt;AH$3,AH$3&gt;=$C$1),'General Inputs'!F$9*$G28,IF(AND(($C28+$C$1)&gt;AH$3,AH$3&gt;=$C$1),'General Inputs'!F$9*$F28,0))</f>
        <v>9.402606842448975</v>
      </c>
      <c r="AI28" s="214">
        <f>IF(AND(($D28+$C$1)&gt;AI$3,AI$3&gt;=$C$1),'General Inputs'!G$9*$G28,IF(AND(($C28+$C$1)&gt;AI$3,AI$3&gt;=$C$1),'General Inputs'!G$9*$F28,0))</f>
        <v>9.543645945085709</v>
      </c>
      <c r="AJ28" s="214">
        <f>IF(AND(($D28+$C$1)&gt;AJ$3,AJ$3&gt;=$C$1),'General Inputs'!H$9*$G28,IF(AND(($C28+$C$1)&gt;AJ$3,AJ$3&gt;=$C$1),'General Inputs'!H$9*$F28,0))</f>
        <v>9.6868006342619939</v>
      </c>
      <c r="AK28" s="214">
        <f>IF(AND(($D28+$C$1)&gt;AK$3,AK$3&gt;=$C$1),'General Inputs'!I$9*$G28,IF(AND(($C28+$C$1)&gt;AK$3,AK$3&gt;=$C$1),'General Inputs'!I$9*$F28,0))</f>
        <v>9.8321026437759222</v>
      </c>
      <c r="AL28" s="214">
        <f>IF(AND(($D28+$C$1)&gt;AL$3,AL$3&gt;=$C$1),'General Inputs'!J$9*$G28,IF(AND(($C28+$C$1)&gt;AL$3,AL$3&gt;=$C$1),'General Inputs'!J$9*$F28,0))</f>
        <v>9.9795841834325589</v>
      </c>
      <c r="AM28" s="214">
        <f>IF(AND(($D28+$C$1)&gt;AM$3,AM$3&gt;=$C$1),'General Inputs'!K$9*$G28,IF(AND(($C28+$C$1)&gt;AM$3,AM$3&gt;=$C$1),'General Inputs'!K$9*$F28,0))</f>
        <v>10.129277946184047</v>
      </c>
      <c r="AN28" s="214">
        <f>IF(AND(($D28+$C$1)&gt;AN$3,AN$3&gt;=$C$1),'General Inputs'!L$9*$G28,IF(AND(($C28+$C$1)&gt;AN$3,AN$3&gt;=$C$1),'General Inputs'!L$9*$F28,0))</f>
        <v>10.281217115376807</v>
      </c>
      <c r="AO28" s="214">
        <f>IF(AND(($D28+$C$1)&gt;AO$3,AO$3&gt;=$C$1),'General Inputs'!M$9*$G28,IF(AND(($C28+$C$1)&gt;AO$3,AO$3&gt;=$C$1),'General Inputs'!M$9*$F28,0))</f>
        <v>10.435435372107456</v>
      </c>
      <c r="AP28" s="214">
        <f>IF(AND(($D28+$C$1)&gt;AP$3,AP$3&gt;=$C$1),'General Inputs'!N$9*$G28,IF(AND(($C28+$C$1)&gt;AP$3,AP$3&gt;=$C$1),'General Inputs'!N$9*$F28,0))</f>
        <v>10.591966902689068</v>
      </c>
      <c r="AQ28" s="214">
        <f>IF(AND(($D28+$C$1)&gt;AQ$3,AQ$3&gt;=$C$1),'General Inputs'!O$9*$G28,IF(AND(($C28+$C$1)&gt;AQ$3,AQ$3&gt;=$C$1),'General Inputs'!O$9*$F28,0))</f>
        <v>10.750846406229403</v>
      </c>
      <c r="AR28" s="214">
        <f>IF(AND(($D28+$C$1)&gt;AR$3,AR$3&gt;=$C$1),'General Inputs'!P$9*$G28,IF(AND(($C28+$C$1)&gt;AR$3,AR$3&gt;=$C$1),'General Inputs'!P$9*$F28,0))</f>
        <v>10.912109102322843</v>
      </c>
      <c r="AS28" s="214">
        <f>IF(AND(($D28+$C$1)&gt;AS$3,AS$3&gt;=$C$1),'General Inputs'!Q$9*$G28,IF(AND(($C28+$C$1)&gt;AS$3,AS$3&gt;=$C$1),'General Inputs'!Q$9*$F28,0))</f>
        <v>11.075790738857684</v>
      </c>
      <c r="AT28" s="214">
        <f>IF(AND(($D28+$C$1)&gt;AT$3,AT$3&gt;=$C$1),'General Inputs'!R$9*$G28,IF(AND(($C28+$C$1)&gt;AT$3,AT$3&gt;=$C$1),'General Inputs'!R$9*$F28,0))</f>
        <v>11.241927599940549</v>
      </c>
      <c r="AU28" s="214">
        <f>IF(AND(($D28+$C$1)&gt;AU$3,AU$3&gt;=$C$1),'General Inputs'!S$9*$G28,IF(AND(($C28+$C$1)&gt;AU$3,AU$3&gt;=$C$1),'General Inputs'!S$9*$F28,0))</f>
        <v>11.410556513939657</v>
      </c>
      <c r="AV28" s="214">
        <f>IF(AND(($D28+$C$1)&gt;AV$3,AV$3&gt;=$C$1),'General Inputs'!T$9*$G28,IF(AND(($C28+$C$1)&gt;AV$3,AV$3&gt;=$C$1),'General Inputs'!T$9*$F28,0))</f>
        <v>11.58171486164875</v>
      </c>
      <c r="AW28" s="214">
        <f>IF(AND(($D28+$C$1)&gt;AW$3,AW$3&gt;=$C$1),'General Inputs'!U$9*$G28,IF(AND(($C28+$C$1)&gt;AW$3,AW$3&gt;=$C$1),'General Inputs'!U$9*$F28,0))</f>
        <v>11.755440584573481</v>
      </c>
      <c r="AX28" s="214">
        <f>IF(AND(($D28+$C$1)&gt;AX$3,AX$3&gt;=$C$1),'General Inputs'!V$9*$G28,IF(AND(($C28+$C$1)&gt;AX$3,AX$3&gt;=$C$1),'General Inputs'!V$9*$F28,0))</f>
        <v>11.931772193342082</v>
      </c>
      <c r="AY28" s="214">
        <f>IF(AND(($D28+$C$1)&gt;AY$3,AY$3&gt;=$C$1),'General Inputs'!W$9*$G28,IF(AND(($C28+$C$1)&gt;AY$3,AY$3&gt;=$C$1),'General Inputs'!W$9*$F28,0))</f>
        <v>12.110748776242213</v>
      </c>
      <c r="BA28" s="214">
        <f>IF(AND(($D28+$C$1)&gt;AF$3,AF$3&gt;=$C$1),'General Inputs'!D$10*$I28,IF(AND(($C28+$C$1)&gt;AF$3,AF$3&gt;=$C$1),'General Inputs'!D$10*$H28,0))</f>
        <v>0</v>
      </c>
      <c r="BB28" s="214">
        <f>IF(AND(($D28+$C$1)&gt;AG$3,AG$3&gt;=$C$1),'General Inputs'!E$10*$I28,IF(AND(($C28+$C$1)&gt;AG$3,AG$3&gt;=$C$1),'General Inputs'!E$10*$H28,0))</f>
        <v>0</v>
      </c>
      <c r="BC28" s="214">
        <f>IF(AND(($D28+$C$1)&gt;AH$3,AH$3&gt;=$C$1),'General Inputs'!F$10*$I28,IF(AND(($C28+$C$1)&gt;AH$3,AH$3&gt;=$C$1),'General Inputs'!F$10*$H28,0))</f>
        <v>6.5401854272501438</v>
      </c>
      <c r="BD28" s="214">
        <f>IF(AND(($D28+$C$1)&gt;AI$3,AI$3&gt;=$C$1),'General Inputs'!G$10*$I28,IF(AND(($C28+$C$1)&gt;AI$3,AI$3&gt;=$C$1),'General Inputs'!G$10*$H28,0))</f>
        <v>6.6382882086588957</v>
      </c>
      <c r="BE28" s="214">
        <f>IF(AND(($D28+$C$1)&gt;AJ$3,AJ$3&gt;=$C$1),'General Inputs'!H$10*$I28,IF(AND(($C28+$C$1)&gt;AJ$3,AJ$3&gt;=$C$1),'General Inputs'!H$10*$H28,0))</f>
        <v>6.7378625317887781</v>
      </c>
      <c r="BF28" s="214">
        <f>IF(AND(($D28+$C$1)&gt;AK$3,AK$3&gt;=$C$1),'General Inputs'!I$10*$I28,IF(AND(($C28+$C$1)&gt;AK$3,AK$3&gt;=$C$1),'General Inputs'!I$10*$H28,0))</f>
        <v>6.838930469765609</v>
      </c>
      <c r="BG28" s="214">
        <f>IF(AND(($D28+$C$1)&gt;AL$3,AL$3&gt;=$C$1),'General Inputs'!J$10*$I28,IF(AND(($C28+$C$1)&gt;AL$3,AL$3&gt;=$C$1),'General Inputs'!J$10*$H28,0))</f>
        <v>6.9415144268120921</v>
      </c>
      <c r="BH28" s="214">
        <f>IF(AND(($D28+$C$1)&gt;AM$3,AM$3&gt;=$C$1),'General Inputs'!K$10*$I28,IF(AND(($C28+$C$1)&gt;AM$3,AM$3&gt;=$C$1),'General Inputs'!K$10*$H28,0))</f>
        <v>7.0456371432142726</v>
      </c>
      <c r="BI28" s="214">
        <f>IF(AND(($D28+$C$1)&gt;AN$3,AN$3&gt;=$C$1),'General Inputs'!L$10*$I28,IF(AND(($C28+$C$1)&gt;AN$3,AN$3&gt;=$C$1),'General Inputs'!L$10*$H28,0))</f>
        <v>7.1513217003624865</v>
      </c>
      <c r="BJ28" s="214">
        <f>IF(AND(($D28+$C$1)&gt;AO$3,AO$3&gt;=$C$1),'General Inputs'!M$10*$I28,IF(AND(($C28+$C$1)&gt;AO$3,AO$3&gt;=$C$1),'General Inputs'!M$10*$H28,0))</f>
        <v>7.2585915258679234</v>
      </c>
      <c r="BK28" s="214">
        <f>IF(AND(($D28+$C$1)&gt;AP$3,AP$3&gt;=$C$1),'General Inputs'!N$10*$I28,IF(AND(($C28+$C$1)&gt;AP$3,AP$3&gt;=$C$1),'General Inputs'!N$10*$H28,0))</f>
        <v>7.3674703987559411</v>
      </c>
      <c r="BL28" s="214">
        <f>IF(AND(($D28+$C$1)&gt;AQ$3,AQ$3&gt;=$C$1),'General Inputs'!O$10*$I28,IF(AND(($C28+$C$1)&gt;AQ$3,AQ$3&gt;=$C$1),'General Inputs'!O$10*$H28,0))</f>
        <v>7.4779824547372797</v>
      </c>
      <c r="BM28" s="214">
        <f>IF(AND(($D28+$C$1)&gt;AR$3,AR$3&gt;=$C$1),'General Inputs'!P$10*$I28,IF(AND(($C28+$C$1)&gt;AR$3,AR$3&gt;=$C$1),'General Inputs'!P$10*$H28,0))</f>
        <v>7.5901521915583388</v>
      </c>
      <c r="BN28" s="214">
        <f>IF(AND(($D28+$C$1)&gt;AS$3,AS$3&gt;=$C$1),'General Inputs'!Q$10*$I28,IF(AND(($C28+$C$1)&gt;AS$3,AS$3&gt;=$C$1),'General Inputs'!Q$10*$H28,0))</f>
        <v>7.7040044744317129</v>
      </c>
      <c r="BO28" s="214">
        <f>IF(AND(($D28+$C$1)&gt;AT$3,AT$3&gt;=$C$1),'General Inputs'!R$10*$I28,IF(AND(($C28+$C$1)&gt;AT$3,AT$3&gt;=$C$1),'General Inputs'!R$10*$H28,0))</f>
        <v>7.8195645415481874</v>
      </c>
      <c r="BP28" s="214">
        <f>IF(AND(($D28+$C$1)&gt;AU$3,AU$3&gt;=$C$1),'General Inputs'!S$10*$I28,IF(AND(($C28+$C$1)&gt;AU$3,AU$3&gt;=$C$1),'General Inputs'!S$10*$H28,0))</f>
        <v>7.9368580096714103</v>
      </c>
      <c r="BQ28" s="214">
        <f>IF(AND(($D28+$C$1)&gt;AV$3,AV$3&gt;=$C$1),'General Inputs'!T$10*$I28,IF(AND(($C28+$C$1)&gt;AV$3,AV$3&gt;=$C$1),'General Inputs'!T$10*$H28,0))</f>
        <v>8.05591087981648</v>
      </c>
      <c r="BR28" s="214">
        <f>IF(AND(($D28+$C$1)&gt;AW$3,AW$3&gt;=$C$1),'General Inputs'!U$10*$I28,IF(AND(($C28+$C$1)&gt;AW$3,AW$3&gt;=$C$1),'General Inputs'!U$10*$H28,0))</f>
        <v>8.1767495430137274</v>
      </c>
      <c r="BS28" s="214">
        <f>IF(AND(($D28+$C$1)&gt;AX$3,AX$3&gt;=$C$1),'General Inputs'!V$10*$I28,IF(AND(($C28+$C$1)&gt;AX$3,AX$3&gt;=$C$1),'General Inputs'!V$10*$H28,0))</f>
        <v>8.2994007861589303</v>
      </c>
      <c r="BT28" s="214">
        <f>IF(AND(($D28+$C$1)&gt;AY$3,AY$3&gt;=$C$1),'General Inputs'!W$10*$I28,IF(AND(($C28+$C$1)&gt;AY$3,AY$3&gt;=$C$1),'General Inputs'!W$10*$H28,0))</f>
        <v>8.4238917979513133</v>
      </c>
    </row>
    <row r="29" spans="1:72">
      <c r="A29" s="341" t="s">
        <v>12</v>
      </c>
      <c r="B29" s="427" t="str">
        <f>Sources!B29</f>
        <v>CAC SEER 16</v>
      </c>
      <c r="C29" s="193">
        <f>Sources!C29</f>
        <v>18</v>
      </c>
      <c r="D29" s="193">
        <f>Sources!D29</f>
        <v>0</v>
      </c>
      <c r="F29" s="429">
        <f>Sources!F29*EnergyLineLoss</f>
        <v>322.37532692307701</v>
      </c>
      <c r="G29" s="429">
        <f>Sources!G29*EnergyLineLoss</f>
        <v>0</v>
      </c>
      <c r="H29" s="477">
        <f>Sources!H29*PeakLineLoss</f>
        <v>0.48235216783216778</v>
      </c>
      <c r="I29" s="477">
        <f>Sources!I29*PeakLineLoss</f>
        <v>0</v>
      </c>
      <c r="K29" s="419">
        <f>Sources!J29</f>
        <v>833.56842591855946</v>
      </c>
      <c r="L29" s="419">
        <f>Sources!K29</f>
        <v>0</v>
      </c>
      <c r="N29" s="438">
        <f t="shared" si="4"/>
        <v>0.26297807259451111</v>
      </c>
      <c r="P29" s="215">
        <f t="shared" si="0"/>
        <v>118.41070316443137</v>
      </c>
      <c r="Q29" s="215">
        <f t="shared" si="1"/>
        <v>66.637012291390207</v>
      </c>
      <c r="R29" s="215">
        <f t="shared" si="2"/>
        <v>703.66214806490257</v>
      </c>
      <c r="T29" s="214">
        <f t="shared" si="9"/>
        <v>0</v>
      </c>
      <c r="U29" s="214">
        <f t="shared" si="9"/>
        <v>0</v>
      </c>
      <c r="V29" s="214">
        <f t="shared" si="9"/>
        <v>833.56842591855946</v>
      </c>
      <c r="W29" s="214">
        <f t="shared" si="9"/>
        <v>0</v>
      </c>
      <c r="X29" s="214">
        <f t="shared" si="9"/>
        <v>0</v>
      </c>
      <c r="Y29" s="214">
        <f t="shared" si="9"/>
        <v>0</v>
      </c>
      <c r="Z29" s="214">
        <f t="shared" si="9"/>
        <v>0</v>
      </c>
      <c r="AA29" s="214">
        <f t="shared" si="9"/>
        <v>0</v>
      </c>
      <c r="AB29" s="214">
        <f t="shared" si="9"/>
        <v>0</v>
      </c>
      <c r="AC29" s="214">
        <f t="shared" si="9"/>
        <v>0</v>
      </c>
      <c r="AD29" s="214">
        <f t="shared" si="9"/>
        <v>0</v>
      </c>
      <c r="AF29" s="214">
        <f>IF(AND(($D29+$C$1)&gt;AF$3,AF$3&gt;=$C$1),'General Inputs'!D$9*$G29,IF(AND(($C29+$C$1)&gt;AF$3,AF$3&gt;=$C$1),'General Inputs'!D$9*$F29,0))</f>
        <v>0</v>
      </c>
      <c r="AG29" s="214">
        <f>IF(AND(($D29+$C$1)&gt;AG$3,AG$3&gt;=$C$1),'General Inputs'!E$9*$G29,IF(AND(($C29+$C$1)&gt;AG$3,AG$3&gt;=$C$1),'General Inputs'!E$9*$F29,0))</f>
        <v>0</v>
      </c>
      <c r="AH29" s="214">
        <f>IF(AND(($D29+$C$1)&gt;AH$3,AH$3&gt;=$C$1),'General Inputs'!F$9*$G29,IF(AND(($C29+$C$1)&gt;AH$3,AH$3&gt;=$C$1),'General Inputs'!F$9*$F29,0))</f>
        <v>13.222415872193869</v>
      </c>
      <c r="AI29" s="214">
        <f>IF(AND(($D29+$C$1)&gt;AI$3,AI$3&gt;=$C$1),'General Inputs'!G$9*$G29,IF(AND(($C29+$C$1)&gt;AI$3,AI$3&gt;=$C$1),'General Inputs'!G$9*$F29,0))</f>
        <v>13.420752110276776</v>
      </c>
      <c r="AJ29" s="214">
        <f>IF(AND(($D29+$C$1)&gt;AJ$3,AJ$3&gt;=$C$1),'General Inputs'!H$9*$G29,IF(AND(($C29+$C$1)&gt;AJ$3,AJ$3&gt;=$C$1),'General Inputs'!H$9*$F29,0))</f>
        <v>13.622063391930926</v>
      </c>
      <c r="AK29" s="214">
        <f>IF(AND(($D29+$C$1)&gt;AK$3,AK$3&gt;=$C$1),'General Inputs'!I$9*$G29,IF(AND(($C29+$C$1)&gt;AK$3,AK$3&gt;=$C$1),'General Inputs'!I$9*$F29,0))</f>
        <v>13.826394342809888</v>
      </c>
      <c r="AL29" s="214">
        <f>IF(AND(($D29+$C$1)&gt;AL$3,AL$3&gt;=$C$1),'General Inputs'!J$9*$G29,IF(AND(($C29+$C$1)&gt;AL$3,AL$3&gt;=$C$1),'General Inputs'!J$9*$F29,0))</f>
        <v>14.033790257952033</v>
      </c>
      <c r="AM29" s="214">
        <f>IF(AND(($D29+$C$1)&gt;AM$3,AM$3&gt;=$C$1),'General Inputs'!K$9*$G29,IF(AND(($C29+$C$1)&gt;AM$3,AM$3&gt;=$C$1),'General Inputs'!K$9*$F29,0))</f>
        <v>14.244297111821313</v>
      </c>
      <c r="AN29" s="214">
        <f>IF(AND(($D29+$C$1)&gt;AN$3,AN$3&gt;=$C$1),'General Inputs'!L$9*$G29,IF(AND(($C29+$C$1)&gt;AN$3,AN$3&gt;=$C$1),'General Inputs'!L$9*$F29,0))</f>
        <v>14.45796156849863</v>
      </c>
      <c r="AO29" s="214">
        <f>IF(AND(($D29+$C$1)&gt;AO$3,AO$3&gt;=$C$1),'General Inputs'!M$9*$G29,IF(AND(($C29+$C$1)&gt;AO$3,AO$3&gt;=$C$1),'General Inputs'!M$9*$F29,0))</f>
        <v>14.674830992026108</v>
      </c>
      <c r="AP29" s="214">
        <f>IF(AND(($D29+$C$1)&gt;AP$3,AP$3&gt;=$C$1),'General Inputs'!N$9*$G29,IF(AND(($C29+$C$1)&gt;AP$3,AP$3&gt;=$C$1),'General Inputs'!N$9*$F29,0))</f>
        <v>14.894953456906499</v>
      </c>
      <c r="AQ29" s="214">
        <f>IF(AND(($D29+$C$1)&gt;AQ$3,AQ$3&gt;=$C$1),'General Inputs'!O$9*$G29,IF(AND(($C29+$C$1)&gt;AQ$3,AQ$3&gt;=$C$1),'General Inputs'!O$9*$F29,0))</f>
        <v>15.118377758760094</v>
      </c>
      <c r="AR29" s="214">
        <f>IF(AND(($D29+$C$1)&gt;AR$3,AR$3&gt;=$C$1),'General Inputs'!P$9*$G29,IF(AND(($C29+$C$1)&gt;AR$3,AR$3&gt;=$C$1),'General Inputs'!P$9*$F29,0))</f>
        <v>15.345153425141493</v>
      </c>
      <c r="AS29" s="214">
        <f>IF(AND(($D29+$C$1)&gt;AS$3,AS$3&gt;=$C$1),'General Inputs'!Q$9*$G29,IF(AND(($C29+$C$1)&gt;AS$3,AS$3&gt;=$C$1),'General Inputs'!Q$9*$F29,0))</f>
        <v>15.575330726518615</v>
      </c>
      <c r="AT29" s="214">
        <f>IF(AND(($D29+$C$1)&gt;AT$3,AT$3&gt;=$C$1),'General Inputs'!R$9*$G29,IF(AND(($C29+$C$1)&gt;AT$3,AT$3&gt;=$C$1),'General Inputs'!R$9*$F29,0))</f>
        <v>15.808960687416393</v>
      </c>
      <c r="AU29" s="214">
        <f>IF(AND(($D29+$C$1)&gt;AU$3,AU$3&gt;=$C$1),'General Inputs'!S$9*$G29,IF(AND(($C29+$C$1)&gt;AU$3,AU$3&gt;=$C$1),'General Inputs'!S$9*$F29,0))</f>
        <v>16.04609509772764</v>
      </c>
      <c r="AV29" s="214">
        <f>IF(AND(($D29+$C$1)&gt;AV$3,AV$3&gt;=$C$1),'General Inputs'!T$9*$G29,IF(AND(($C29+$C$1)&gt;AV$3,AV$3&gt;=$C$1),'General Inputs'!T$9*$F29,0))</f>
        <v>16.286786524193552</v>
      </c>
      <c r="AW29" s="214">
        <f>IF(AND(($D29+$C$1)&gt;AW$3,AW$3&gt;=$C$1),'General Inputs'!U$9*$G29,IF(AND(($C29+$C$1)&gt;AW$3,AW$3&gt;=$C$1),'General Inputs'!U$9*$F29,0))</f>
        <v>16.531088322056455</v>
      </c>
      <c r="AX29" s="214">
        <f>IF(AND(($D29+$C$1)&gt;AX$3,AX$3&gt;=$C$1),'General Inputs'!V$9*$G29,IF(AND(($C29+$C$1)&gt;AX$3,AX$3&gt;=$C$1),'General Inputs'!V$9*$F29,0))</f>
        <v>16.7790546468873</v>
      </c>
      <c r="AY29" s="214">
        <f>IF(AND(($D29+$C$1)&gt;AY$3,AY$3&gt;=$C$1),'General Inputs'!W$9*$G29,IF(AND(($C29+$C$1)&gt;AY$3,AY$3&gt;=$C$1),'General Inputs'!W$9*$F29,0))</f>
        <v>17.030740466590608</v>
      </c>
      <c r="BA29" s="214">
        <f>IF(AND(($D29+$C$1)&gt;AF$3,AF$3&gt;=$C$1),'General Inputs'!D$10*$I29,IF(AND(($C29+$C$1)&gt;AF$3,AF$3&gt;=$C$1),'General Inputs'!D$10*$H29,0))</f>
        <v>0</v>
      </c>
      <c r="BB29" s="214">
        <f>IF(AND(($D29+$C$1)&gt;AG$3,AG$3&gt;=$C$1),'General Inputs'!E$10*$I29,IF(AND(($C29+$C$1)&gt;AG$3,AG$3&gt;=$C$1),'General Inputs'!E$10*$H29,0))</f>
        <v>0</v>
      </c>
      <c r="BC29" s="214">
        <f>IF(AND(($D29+$C$1)&gt;AH$3,AH$3&gt;=$C$1),'General Inputs'!F$10*$I29,IF(AND(($C29+$C$1)&gt;AH$3,AH$3&gt;=$C$1),'General Inputs'!F$10*$H29,0))</f>
        <v>7.4410696453150074</v>
      </c>
      <c r="BD29" s="214">
        <f>IF(AND(($D29+$C$1)&gt;AI$3,AI$3&gt;=$C$1),'General Inputs'!G$10*$I29,IF(AND(($C29+$C$1)&gt;AI$3,AI$3&gt;=$C$1),'General Inputs'!G$10*$H29,0))</f>
        <v>7.5526856899947319</v>
      </c>
      <c r="BE29" s="214">
        <f>IF(AND(($D29+$C$1)&gt;AJ$3,AJ$3&gt;=$C$1),'General Inputs'!H$10*$I29,IF(AND(($C29+$C$1)&gt;AJ$3,AJ$3&gt;=$C$1),'General Inputs'!H$10*$H29,0))</f>
        <v>7.6659759753446517</v>
      </c>
      <c r="BF29" s="214">
        <f>IF(AND(($D29+$C$1)&gt;AK$3,AK$3&gt;=$C$1),'General Inputs'!I$10*$I29,IF(AND(($C29+$C$1)&gt;AK$3,AK$3&gt;=$C$1),'General Inputs'!I$10*$H29,0))</f>
        <v>7.7809656149748205</v>
      </c>
      <c r="BG29" s="214">
        <f>IF(AND(($D29+$C$1)&gt;AL$3,AL$3&gt;=$C$1),'General Inputs'!J$10*$I29,IF(AND(($C29+$C$1)&gt;AL$3,AL$3&gt;=$C$1),'General Inputs'!J$10*$H29,0))</f>
        <v>7.8976800991994418</v>
      </c>
      <c r="BH29" s="214">
        <f>IF(AND(($D29+$C$1)&gt;AM$3,AM$3&gt;=$C$1),'General Inputs'!K$10*$I29,IF(AND(($C29+$C$1)&gt;AM$3,AM$3&gt;=$C$1),'General Inputs'!K$10*$H29,0))</f>
        <v>8.0161453006874321</v>
      </c>
      <c r="BI29" s="214">
        <f>IF(AND(($D29+$C$1)&gt;AN$3,AN$3&gt;=$C$1),'General Inputs'!L$10*$I29,IF(AND(($C29+$C$1)&gt;AN$3,AN$3&gt;=$C$1),'General Inputs'!L$10*$H29,0))</f>
        <v>8.1363874801977438</v>
      </c>
      <c r="BJ29" s="214">
        <f>IF(AND(($D29+$C$1)&gt;AO$3,AO$3&gt;=$C$1),'General Inputs'!M$10*$I29,IF(AND(($C29+$C$1)&gt;AO$3,AO$3&gt;=$C$1),'General Inputs'!M$10*$H29,0))</f>
        <v>8.25843329240071</v>
      </c>
      <c r="BK29" s="214">
        <f>IF(AND(($D29+$C$1)&gt;AP$3,AP$3&gt;=$C$1),'General Inputs'!N$10*$I29,IF(AND(($C29+$C$1)&gt;AP$3,AP$3&gt;=$C$1),'General Inputs'!N$10*$H29,0))</f>
        <v>8.3823097917867191</v>
      </c>
      <c r="BL29" s="214">
        <f>IF(AND(($D29+$C$1)&gt;AQ$3,AQ$3&gt;=$C$1),'General Inputs'!O$10*$I29,IF(AND(($C29+$C$1)&gt;AQ$3,AQ$3&gt;=$C$1),'General Inputs'!O$10*$H29,0))</f>
        <v>8.5080444386635197</v>
      </c>
      <c r="BM29" s="214">
        <f>IF(AND(($D29+$C$1)&gt;AR$3,AR$3&gt;=$C$1),'General Inputs'!P$10*$I29,IF(AND(($C29+$C$1)&gt;AR$3,AR$3&gt;=$C$1),'General Inputs'!P$10*$H29,0))</f>
        <v>8.6356651052434721</v>
      </c>
      <c r="BN29" s="214">
        <f>IF(AND(($D29+$C$1)&gt;AS$3,AS$3&gt;=$C$1),'General Inputs'!Q$10*$I29,IF(AND(($C29+$C$1)&gt;AS$3,AS$3&gt;=$C$1),'General Inputs'!Q$10*$H29,0))</f>
        <v>8.7652000818221225</v>
      </c>
      <c r="BO29" s="214">
        <f>IF(AND(($D29+$C$1)&gt;AT$3,AT$3&gt;=$C$1),'General Inputs'!R$10*$I29,IF(AND(($C29+$C$1)&gt;AT$3,AT$3&gt;=$C$1),'General Inputs'!R$10*$H29,0))</f>
        <v>8.8966780830494532</v>
      </c>
      <c r="BP29" s="214">
        <f>IF(AND(($D29+$C$1)&gt;AU$3,AU$3&gt;=$C$1),'General Inputs'!S$10*$I29,IF(AND(($C29+$C$1)&gt;AU$3,AU$3&gt;=$C$1),'General Inputs'!S$10*$H29,0))</f>
        <v>9.0301282542951942</v>
      </c>
      <c r="BQ29" s="214">
        <f>IF(AND(($D29+$C$1)&gt;AV$3,AV$3&gt;=$C$1),'General Inputs'!T$10*$I29,IF(AND(($C29+$C$1)&gt;AV$3,AV$3&gt;=$C$1),'General Inputs'!T$10*$H29,0))</f>
        <v>9.1655801781096216</v>
      </c>
      <c r="BR29" s="214">
        <f>IF(AND(($D29+$C$1)&gt;AW$3,AW$3&gt;=$C$1),'General Inputs'!U$10*$I29,IF(AND(($C29+$C$1)&gt;AW$3,AW$3&gt;=$C$1),'General Inputs'!U$10*$H29,0))</f>
        <v>9.3030638807812647</v>
      </c>
      <c r="BS29" s="214">
        <f>IF(AND(($D29+$C$1)&gt;AX$3,AX$3&gt;=$C$1),'General Inputs'!V$10*$I29,IF(AND(($C29+$C$1)&gt;AX$3,AX$3&gt;=$C$1),'General Inputs'!V$10*$H29,0))</f>
        <v>9.4426098389929827</v>
      </c>
      <c r="BT29" s="214">
        <f>IF(AND(($D29+$C$1)&gt;AY$3,AY$3&gt;=$C$1),'General Inputs'!W$10*$I29,IF(AND(($C29+$C$1)&gt;AY$3,AY$3&gt;=$C$1),'General Inputs'!W$10*$H29,0))</f>
        <v>9.5842489865778759</v>
      </c>
    </row>
    <row r="30" spans="1:72">
      <c r="A30" s="341" t="s">
        <v>12</v>
      </c>
      <c r="B30" s="427" t="str">
        <f>Sources!B30</f>
        <v>Early Retirement CAC SEER 14</v>
      </c>
      <c r="C30" s="193">
        <f>Sources!C30</f>
        <v>18</v>
      </c>
      <c r="D30" s="193">
        <f>Sources!D30</f>
        <v>8</v>
      </c>
      <c r="F30" s="429">
        <f>Sources!F30*EnergyLineLoss</f>
        <v>177.86224933687009</v>
      </c>
      <c r="G30" s="429">
        <f>Sources!G30*EnergyLineLoss</f>
        <v>693.66277241379328</v>
      </c>
      <c r="H30" s="477">
        <f>Sources!H30*PeakLineLoss</f>
        <v>0.26127409090909115</v>
      </c>
      <c r="I30" s="477">
        <f>Sources!I30*PeakLineLoss</f>
        <v>0.87470021739130488</v>
      </c>
      <c r="K30" s="419">
        <f>Sources!J30</f>
        <v>2065.4366584381551</v>
      </c>
      <c r="L30" s="419">
        <f>Sources!K30</f>
        <v>1648.6524454788757</v>
      </c>
      <c r="N30" s="438">
        <f t="shared" si="4"/>
        <v>0.25602172269174045</v>
      </c>
      <c r="P30" s="215">
        <f t="shared" si="0"/>
        <v>178.66342153046875</v>
      </c>
      <c r="Q30" s="215">
        <f t="shared" si="1"/>
        <v>86.789501597717148</v>
      </c>
      <c r="R30" s="215">
        <f t="shared" si="2"/>
        <v>1036.8375008858172</v>
      </c>
      <c r="T30" s="214">
        <f t="shared" si="9"/>
        <v>0</v>
      </c>
      <c r="U30" s="214">
        <f t="shared" si="9"/>
        <v>0</v>
      </c>
      <c r="V30" s="214">
        <f t="shared" si="9"/>
        <v>2065.4366584381551</v>
      </c>
      <c r="W30" s="214">
        <f t="shared" si="9"/>
        <v>0</v>
      </c>
      <c r="X30" s="214">
        <f t="shared" si="9"/>
        <v>0</v>
      </c>
      <c r="Y30" s="214">
        <f t="shared" si="9"/>
        <v>0</v>
      </c>
      <c r="Z30" s="214">
        <f t="shared" si="9"/>
        <v>0</v>
      </c>
      <c r="AA30" s="214">
        <f t="shared" si="9"/>
        <v>0</v>
      </c>
      <c r="AB30" s="214">
        <f t="shared" si="9"/>
        <v>0</v>
      </c>
      <c r="AC30" s="214">
        <f t="shared" si="9"/>
        <v>0</v>
      </c>
      <c r="AD30" s="214">
        <f t="shared" si="9"/>
        <v>-1648.6524454788757</v>
      </c>
      <c r="AF30" s="214">
        <f>IF(AND(($D30+$C$1)&gt;AF$3,AF$3&gt;=$C$1),'General Inputs'!D$9*$G30,IF(AND(($C30+$C$1)&gt;AF$3,AF$3&gt;=$C$1),'General Inputs'!D$9*$F30,0))</f>
        <v>0</v>
      </c>
      <c r="AG30" s="214">
        <f>IF(AND(($D30+$C$1)&gt;AG$3,AG$3&gt;=$C$1),'General Inputs'!E$9*$G30,IF(AND(($C30+$C$1)&gt;AG$3,AG$3&gt;=$C$1),'General Inputs'!E$9*$F30,0))</f>
        <v>0</v>
      </c>
      <c r="AH30" s="214">
        <f>IF(AND(($D30+$C$1)&gt;AH$3,AH$3&gt;=$C$1),'General Inputs'!F$9*$G30,IF(AND(($C30+$C$1)&gt;AH$3,AH$3&gt;=$C$1),'General Inputs'!F$9*$F30,0))</f>
        <v>28.450991393961978</v>
      </c>
      <c r="AI30" s="214">
        <f>IF(AND(($D30+$C$1)&gt;AI$3,AI$3&gt;=$C$1),'General Inputs'!G$9*$G30,IF(AND(($C30+$C$1)&gt;AI$3,AI$3&gt;=$C$1),'General Inputs'!G$9*$F30,0))</f>
        <v>28.877756264871408</v>
      </c>
      <c r="AJ30" s="214">
        <f>IF(AND(($D30+$C$1)&gt;AJ$3,AJ$3&gt;=$C$1),'General Inputs'!H$9*$G30,IF(AND(($C30+$C$1)&gt;AJ$3,AJ$3&gt;=$C$1),'General Inputs'!H$9*$F30,0))</f>
        <v>29.310922608844475</v>
      </c>
      <c r="AK30" s="214">
        <f>IF(AND(($D30+$C$1)&gt;AK$3,AK$3&gt;=$C$1),'General Inputs'!I$9*$G30,IF(AND(($C30+$C$1)&gt;AK$3,AK$3&gt;=$C$1),'General Inputs'!I$9*$F30,0))</f>
        <v>29.750586447977135</v>
      </c>
      <c r="AL30" s="214">
        <f>IF(AND(($D30+$C$1)&gt;AL$3,AL$3&gt;=$C$1),'General Inputs'!J$9*$G30,IF(AND(($C30+$C$1)&gt;AL$3,AL$3&gt;=$C$1),'General Inputs'!J$9*$F30,0))</f>
        <v>30.196845244696789</v>
      </c>
      <c r="AM30" s="214">
        <f>IF(AND(($D30+$C$1)&gt;AM$3,AM$3&gt;=$C$1),'General Inputs'!K$9*$G30,IF(AND(($C30+$C$1)&gt;AM$3,AM$3&gt;=$C$1),'General Inputs'!K$9*$F30,0))</f>
        <v>30.649797923367235</v>
      </c>
      <c r="AN30" s="214">
        <f>IF(AND(($D30+$C$1)&gt;AN$3,AN$3&gt;=$C$1),'General Inputs'!L$9*$G30,IF(AND(($C30+$C$1)&gt;AN$3,AN$3&gt;=$C$1),'General Inputs'!L$9*$F30,0))</f>
        <v>31.109544892217741</v>
      </c>
      <c r="AO30" s="214">
        <f>IF(AND(($D30+$C$1)&gt;AO$3,AO$3&gt;=$C$1),'General Inputs'!M$9*$G30,IF(AND(($C30+$C$1)&gt;AO$3,AO$3&gt;=$C$1),'General Inputs'!M$9*$F30,0))</f>
        <v>31.576188065601002</v>
      </c>
      <c r="AP30" s="214">
        <f>IF(AND(($D30+$C$1)&gt;AP$3,AP$3&gt;=$C$1),'General Inputs'!N$9*$G30,IF(AND(($C30+$C$1)&gt;AP$3,AP$3&gt;=$C$1),'General Inputs'!N$9*$F30,0))</f>
        <v>8.2179053555346204</v>
      </c>
      <c r="AQ30" s="214">
        <f>IF(AND(($D30+$C$1)&gt;AQ$3,AQ$3&gt;=$C$1),'General Inputs'!O$9*$G30,IF(AND(($C30+$C$1)&gt;AQ$3,AQ$3&gt;=$C$1),'General Inputs'!O$9*$F30,0))</f>
        <v>8.3411739358676389</v>
      </c>
      <c r="AR30" s="214">
        <f>IF(AND(($D30+$C$1)&gt;AR$3,AR$3&gt;=$C$1),'General Inputs'!P$9*$G30,IF(AND(($C30+$C$1)&gt;AR$3,AR$3&gt;=$C$1),'General Inputs'!P$9*$F30,0))</f>
        <v>8.4662915449056531</v>
      </c>
      <c r="AS30" s="214">
        <f>IF(AND(($D30+$C$1)&gt;AS$3,AS$3&gt;=$C$1),'General Inputs'!Q$9*$G30,IF(AND(($C30+$C$1)&gt;AS$3,AS$3&gt;=$C$1),'General Inputs'!Q$9*$F30,0))</f>
        <v>8.5932859180792374</v>
      </c>
      <c r="AT30" s="214">
        <f>IF(AND(($D30+$C$1)&gt;AT$3,AT$3&gt;=$C$1),'General Inputs'!R$9*$G30,IF(AND(($C30+$C$1)&gt;AT$3,AT$3&gt;=$C$1),'General Inputs'!R$9*$F30,0))</f>
        <v>8.7221852068504244</v>
      </c>
      <c r="AU30" s="214">
        <f>IF(AND(($D30+$C$1)&gt;AU$3,AU$3&gt;=$C$1),'General Inputs'!S$9*$G30,IF(AND(($C30+$C$1)&gt;AU$3,AU$3&gt;=$C$1),'General Inputs'!S$9*$F30,0))</f>
        <v>8.8530179849531816</v>
      </c>
      <c r="AV30" s="214">
        <f>IF(AND(($D30+$C$1)&gt;AV$3,AV$3&gt;=$C$1),'General Inputs'!T$9*$G30,IF(AND(($C30+$C$1)&gt;AV$3,AV$3&gt;=$C$1),'General Inputs'!T$9*$F30,0))</f>
        <v>8.9858132547274785</v>
      </c>
      <c r="AW30" s="214">
        <f>IF(AND(($D30+$C$1)&gt;AW$3,AW$3&gt;=$C$1),'General Inputs'!U$9*$G30,IF(AND(($C30+$C$1)&gt;AW$3,AW$3&gt;=$C$1),'General Inputs'!U$9*$F30,0))</f>
        <v>9.1206004535483896</v>
      </c>
      <c r="AX30" s="214">
        <f>IF(AND(($D30+$C$1)&gt;AX$3,AX$3&gt;=$C$1),'General Inputs'!V$9*$G30,IF(AND(($C30+$C$1)&gt;AX$3,AX$3&gt;=$C$1),'General Inputs'!V$9*$F30,0))</f>
        <v>9.2574094603516137</v>
      </c>
      <c r="AY30" s="214">
        <f>IF(AND(($D30+$C$1)&gt;AY$3,AY$3&gt;=$C$1),'General Inputs'!W$9*$G30,IF(AND(($C30+$C$1)&gt;AY$3,AY$3&gt;=$C$1),'General Inputs'!W$9*$F30,0))</f>
        <v>9.3962706022568874</v>
      </c>
      <c r="BA30" s="214">
        <f>IF(AND(($D30+$C$1)&gt;AF$3,AF$3&gt;=$C$1),'General Inputs'!D$10*$I30,IF(AND(($C30+$C$1)&gt;AF$3,AF$3&gt;=$C$1),'General Inputs'!D$10*$H30,0))</f>
        <v>0</v>
      </c>
      <c r="BB30" s="214">
        <f>IF(AND(($D30+$C$1)&gt;AG$3,AG$3&gt;=$C$1),'General Inputs'!E$10*$I30,IF(AND(($C30+$C$1)&gt;AG$3,AG$3&gt;=$C$1),'General Inputs'!E$10*$H30,0))</f>
        <v>0</v>
      </c>
      <c r="BC30" s="214">
        <f>IF(AND(($D30+$C$1)&gt;AH$3,AH$3&gt;=$C$1),'General Inputs'!F$10*$I30,IF(AND(($C30+$C$1)&gt;AH$3,AH$3&gt;=$C$1),'General Inputs'!F$10*$H30,0))</f>
        <v>13.493678831449868</v>
      </c>
      <c r="BD30" s="214">
        <f>IF(AND(($D30+$C$1)&gt;AI$3,AI$3&gt;=$C$1),'General Inputs'!G$10*$I30,IF(AND(($C30+$C$1)&gt;AI$3,AI$3&gt;=$C$1),'General Inputs'!G$10*$H30,0))</f>
        <v>13.696084013921615</v>
      </c>
      <c r="BE30" s="214">
        <f>IF(AND(($D30+$C$1)&gt;AJ$3,AJ$3&gt;=$C$1),'General Inputs'!H$10*$I30,IF(AND(($C30+$C$1)&gt;AJ$3,AJ$3&gt;=$C$1),'General Inputs'!H$10*$H30,0))</f>
        <v>13.901525274130439</v>
      </c>
      <c r="BF30" s="214">
        <f>IF(AND(($D30+$C$1)&gt;AK$3,AK$3&gt;=$C$1),'General Inputs'!I$10*$I30,IF(AND(($C30+$C$1)&gt;AK$3,AK$3&gt;=$C$1),'General Inputs'!I$10*$H30,0))</f>
        <v>14.110048153242392</v>
      </c>
      <c r="BG30" s="214">
        <f>IF(AND(($D30+$C$1)&gt;AL$3,AL$3&gt;=$C$1),'General Inputs'!J$10*$I30,IF(AND(($C30+$C$1)&gt;AL$3,AL$3&gt;=$C$1),'General Inputs'!J$10*$H30,0))</f>
        <v>14.321698875541026</v>
      </c>
      <c r="BH30" s="214">
        <f>IF(AND(($D30+$C$1)&gt;AM$3,AM$3&gt;=$C$1),'General Inputs'!K$10*$I30,IF(AND(($C30+$C$1)&gt;AM$3,AM$3&gt;=$C$1),'General Inputs'!K$10*$H30,0))</f>
        <v>14.536524358674141</v>
      </c>
      <c r="BI30" s="214">
        <f>IF(AND(($D30+$C$1)&gt;AN$3,AN$3&gt;=$C$1),'General Inputs'!L$10*$I30,IF(AND(($C30+$C$1)&gt;AN$3,AN$3&gt;=$C$1),'General Inputs'!L$10*$H30,0))</f>
        <v>14.754572224054252</v>
      </c>
      <c r="BJ30" s="214">
        <f>IF(AND(($D30+$C$1)&gt;AO$3,AO$3&gt;=$C$1),'General Inputs'!M$10*$I30,IF(AND(($C30+$C$1)&gt;AO$3,AO$3&gt;=$C$1),'General Inputs'!M$10*$H30,0))</f>
        <v>14.975890807415066</v>
      </c>
      <c r="BK30" s="214">
        <f>IF(AND(($D30+$C$1)&gt;AP$3,AP$3&gt;=$C$1),'General Inputs'!N$10*$I30,IF(AND(($C30+$C$1)&gt;AP$3,AP$3&gt;=$C$1),'General Inputs'!N$10*$H30,0))</f>
        <v>4.5404178038844778</v>
      </c>
      <c r="BL30" s="214">
        <f>IF(AND(($D30+$C$1)&gt;AQ$3,AQ$3&gt;=$C$1),'General Inputs'!O$10*$I30,IF(AND(($C30+$C$1)&gt;AQ$3,AQ$3&gt;=$C$1),'General Inputs'!O$10*$H30,0))</f>
        <v>4.6085240709427442</v>
      </c>
      <c r="BM30" s="214">
        <f>IF(AND(($D30+$C$1)&gt;AR$3,AR$3&gt;=$C$1),'General Inputs'!P$10*$I30,IF(AND(($C30+$C$1)&gt;AR$3,AR$3&gt;=$C$1),'General Inputs'!P$10*$H30,0))</f>
        <v>4.677651932006885</v>
      </c>
      <c r="BN30" s="214">
        <f>IF(AND(($D30+$C$1)&gt;AS$3,AS$3&gt;=$C$1),'General Inputs'!Q$10*$I30,IF(AND(($C30+$C$1)&gt;AS$3,AS$3&gt;=$C$1),'General Inputs'!Q$10*$H30,0))</f>
        <v>4.7478167109869878</v>
      </c>
      <c r="BO30" s="214">
        <f>IF(AND(($D30+$C$1)&gt;AT$3,AT$3&gt;=$C$1),'General Inputs'!R$10*$I30,IF(AND(($C30+$C$1)&gt;AT$3,AT$3&gt;=$C$1),'General Inputs'!R$10*$H30,0))</f>
        <v>4.8190339616517921</v>
      </c>
      <c r="BP30" s="214">
        <f>IF(AND(($D30+$C$1)&gt;AU$3,AU$3&gt;=$C$1),'General Inputs'!S$10*$I30,IF(AND(($C30+$C$1)&gt;AU$3,AU$3&gt;=$C$1),'General Inputs'!S$10*$H30,0))</f>
        <v>4.8913194710765691</v>
      </c>
      <c r="BQ30" s="214">
        <f>IF(AND(($D30+$C$1)&gt;AV$3,AV$3&gt;=$C$1),'General Inputs'!T$10*$I30,IF(AND(($C30+$C$1)&gt;AV$3,AV$3&gt;=$C$1),'General Inputs'!T$10*$H30,0))</f>
        <v>4.9646892631427164</v>
      </c>
      <c r="BR30" s="214">
        <f>IF(AND(($D30+$C$1)&gt;AW$3,AW$3&gt;=$C$1),'General Inputs'!U$10*$I30,IF(AND(($C30+$C$1)&gt;AW$3,AW$3&gt;=$C$1),'General Inputs'!U$10*$H30,0))</f>
        <v>5.0391596020898568</v>
      </c>
      <c r="BS30" s="214">
        <f>IF(AND(($D30+$C$1)&gt;AX$3,AX$3&gt;=$C$1),'General Inputs'!V$10*$I30,IF(AND(($C30+$C$1)&gt;AX$3,AX$3&gt;=$C$1),'General Inputs'!V$10*$H30,0))</f>
        <v>5.1147469961212035</v>
      </c>
      <c r="BT30" s="214">
        <f>IF(AND(($D30+$C$1)&gt;AY$3,AY$3&gt;=$C$1),'General Inputs'!W$10*$I30,IF(AND(($C30+$C$1)&gt;AY$3,AY$3&gt;=$C$1),'General Inputs'!W$10*$H30,0))</f>
        <v>5.1914682010630218</v>
      </c>
    </row>
    <row r="31" spans="1:72">
      <c r="A31" s="341" t="s">
        <v>12</v>
      </c>
      <c r="B31" s="427" t="str">
        <f>Sources!B31</f>
        <v>Early Retirement CAC SEER 15</v>
      </c>
      <c r="C31" s="193">
        <f>Sources!C31</f>
        <v>18</v>
      </c>
      <c r="D31" s="193">
        <f>Sources!D31</f>
        <v>8</v>
      </c>
      <c r="F31" s="429">
        <f>Sources!F31*EnergyLineLoss</f>
        <v>229.24467692307704</v>
      </c>
      <c r="G31" s="429">
        <f>Sources!G31*EnergyLineLoss</f>
        <v>745.04520000000014</v>
      </c>
      <c r="H31" s="477">
        <f>Sources!H31*PeakLineLoss</f>
        <v>0.42395418524871376</v>
      </c>
      <c r="I31" s="477">
        <f>Sources!I31*PeakLineLoss</f>
        <v>1.0373803117309275</v>
      </c>
      <c r="K31" s="419">
        <f>Sources!J31</f>
        <v>2204.364729424582</v>
      </c>
      <c r="L31" s="419">
        <f>Sources!K31</f>
        <v>1648.6524454788757</v>
      </c>
      <c r="N31" s="438">
        <f t="shared" si="4"/>
        <v>0.26583178295915311</v>
      </c>
      <c r="P31" s="215">
        <f t="shared" si="0"/>
        <v>197.53654509997196</v>
      </c>
      <c r="Q31" s="215">
        <f t="shared" si="1"/>
        <v>109.26377696957753</v>
      </c>
      <c r="R31" s="215">
        <f t="shared" si="2"/>
        <v>1154.1145255633014</v>
      </c>
      <c r="T31" s="214">
        <f t="shared" si="9"/>
        <v>0</v>
      </c>
      <c r="U31" s="214">
        <f t="shared" si="9"/>
        <v>0</v>
      </c>
      <c r="V31" s="214">
        <f t="shared" si="9"/>
        <v>2204.364729424582</v>
      </c>
      <c r="W31" s="214">
        <f t="shared" si="9"/>
        <v>0</v>
      </c>
      <c r="X31" s="214">
        <f t="shared" si="9"/>
        <v>0</v>
      </c>
      <c r="Y31" s="214">
        <f t="shared" si="9"/>
        <v>0</v>
      </c>
      <c r="Z31" s="214">
        <f t="shared" si="9"/>
        <v>0</v>
      </c>
      <c r="AA31" s="214">
        <f t="shared" si="9"/>
        <v>0</v>
      </c>
      <c r="AB31" s="214">
        <f t="shared" si="9"/>
        <v>0</v>
      </c>
      <c r="AC31" s="214">
        <f t="shared" si="9"/>
        <v>0</v>
      </c>
      <c r="AD31" s="214">
        <f t="shared" si="9"/>
        <v>-1648.6524454788757</v>
      </c>
      <c r="AF31" s="214">
        <f>IF(AND(($D31+$C$1)&gt;AF$3,AF$3&gt;=$C$1),'General Inputs'!D$9*$G31,IF(AND(($C31+$C$1)&gt;AF$3,AF$3&gt;=$C$1),'General Inputs'!D$9*$F31,0))</f>
        <v>0</v>
      </c>
      <c r="AG31" s="214">
        <f>IF(AND(($D31+$C$1)&gt;AG$3,AG$3&gt;=$C$1),'General Inputs'!E$9*$G31,IF(AND(($C31+$C$1)&gt;AG$3,AG$3&gt;=$C$1),'General Inputs'!E$9*$F31,0))</f>
        <v>0</v>
      </c>
      <c r="AH31" s="214">
        <f>IF(AND(($D31+$C$1)&gt;AH$3,AH$3&gt;=$C$1),'General Inputs'!F$9*$G31,IF(AND(($C31+$C$1)&gt;AH$3,AH$3&gt;=$C$1),'General Inputs'!F$9*$F31,0))</f>
        <v>30.558472237959162</v>
      </c>
      <c r="AI31" s="214">
        <f>IF(AND(($D31+$C$1)&gt;AI$3,AI$3&gt;=$C$1),'General Inputs'!G$9*$G31,IF(AND(($C31+$C$1)&gt;AI$3,AI$3&gt;=$C$1),'General Inputs'!G$9*$F31,0))</f>
        <v>31.016849321528547</v>
      </c>
      <c r="AJ31" s="214">
        <f>IF(AND(($D31+$C$1)&gt;AJ$3,AJ$3&gt;=$C$1),'General Inputs'!H$9*$G31,IF(AND(($C31+$C$1)&gt;AJ$3,AJ$3&gt;=$C$1),'General Inputs'!H$9*$F31,0))</f>
        <v>31.482102061351469</v>
      </c>
      <c r="AK31" s="214">
        <f>IF(AND(($D31+$C$1)&gt;AK$3,AK$3&gt;=$C$1),'General Inputs'!I$9*$G31,IF(AND(($C31+$C$1)&gt;AK$3,AK$3&gt;=$C$1),'General Inputs'!I$9*$F31,0))</f>
        <v>31.954333592271738</v>
      </c>
      <c r="AL31" s="214">
        <f>IF(AND(($D31+$C$1)&gt;AL$3,AL$3&gt;=$C$1),'General Inputs'!J$9*$G31,IF(AND(($C31+$C$1)&gt;AL$3,AL$3&gt;=$C$1),'General Inputs'!J$9*$F31,0))</f>
        <v>32.433648596155805</v>
      </c>
      <c r="AM31" s="214">
        <f>IF(AND(($D31+$C$1)&gt;AM$3,AM$3&gt;=$C$1),'General Inputs'!K$9*$G31,IF(AND(($C31+$C$1)&gt;AM$3,AM$3&gt;=$C$1),'General Inputs'!K$9*$F31,0))</f>
        <v>32.920153325098141</v>
      </c>
      <c r="AN31" s="214">
        <f>IF(AND(($D31+$C$1)&gt;AN$3,AN$3&gt;=$C$1),'General Inputs'!L$9*$G31,IF(AND(($C31+$C$1)&gt;AN$3,AN$3&gt;=$C$1),'General Inputs'!L$9*$F31,0))</f>
        <v>33.413955624974612</v>
      </c>
      <c r="AO31" s="214">
        <f>IF(AND(($D31+$C$1)&gt;AO$3,AO$3&gt;=$C$1),'General Inputs'!M$9*$G31,IF(AND(($C31+$C$1)&gt;AO$3,AO$3&gt;=$C$1),'General Inputs'!M$9*$F31,0))</f>
        <v>33.915164959349227</v>
      </c>
      <c r="AP31" s="214">
        <f>IF(AND(($D31+$C$1)&gt;AP$3,AP$3&gt;=$C$1),'General Inputs'!N$9*$G31,IF(AND(($C31+$C$1)&gt;AP$3,AP$3&gt;=$C$1),'General Inputs'!N$9*$F31,0))</f>
        <v>10.591966902689068</v>
      </c>
      <c r="AQ31" s="214">
        <f>IF(AND(($D31+$C$1)&gt;AQ$3,AQ$3&gt;=$C$1),'General Inputs'!O$9*$G31,IF(AND(($C31+$C$1)&gt;AQ$3,AQ$3&gt;=$C$1),'General Inputs'!O$9*$F31,0))</f>
        <v>10.750846406229403</v>
      </c>
      <c r="AR31" s="214">
        <f>IF(AND(($D31+$C$1)&gt;AR$3,AR$3&gt;=$C$1),'General Inputs'!P$9*$G31,IF(AND(($C31+$C$1)&gt;AR$3,AR$3&gt;=$C$1),'General Inputs'!P$9*$F31,0))</f>
        <v>10.912109102322843</v>
      </c>
      <c r="AS31" s="214">
        <f>IF(AND(($D31+$C$1)&gt;AS$3,AS$3&gt;=$C$1),'General Inputs'!Q$9*$G31,IF(AND(($C31+$C$1)&gt;AS$3,AS$3&gt;=$C$1),'General Inputs'!Q$9*$F31,0))</f>
        <v>11.075790738857684</v>
      </c>
      <c r="AT31" s="214">
        <f>IF(AND(($D31+$C$1)&gt;AT$3,AT$3&gt;=$C$1),'General Inputs'!R$9*$G31,IF(AND(($C31+$C$1)&gt;AT$3,AT$3&gt;=$C$1),'General Inputs'!R$9*$F31,0))</f>
        <v>11.241927599940549</v>
      </c>
      <c r="AU31" s="214">
        <f>IF(AND(($D31+$C$1)&gt;AU$3,AU$3&gt;=$C$1),'General Inputs'!S$9*$G31,IF(AND(($C31+$C$1)&gt;AU$3,AU$3&gt;=$C$1),'General Inputs'!S$9*$F31,0))</f>
        <v>11.410556513939657</v>
      </c>
      <c r="AV31" s="214">
        <f>IF(AND(($D31+$C$1)&gt;AV$3,AV$3&gt;=$C$1),'General Inputs'!T$9*$G31,IF(AND(($C31+$C$1)&gt;AV$3,AV$3&gt;=$C$1),'General Inputs'!T$9*$F31,0))</f>
        <v>11.58171486164875</v>
      </c>
      <c r="AW31" s="214">
        <f>IF(AND(($D31+$C$1)&gt;AW$3,AW$3&gt;=$C$1),'General Inputs'!U$9*$G31,IF(AND(($C31+$C$1)&gt;AW$3,AW$3&gt;=$C$1),'General Inputs'!U$9*$F31,0))</f>
        <v>11.755440584573481</v>
      </c>
      <c r="AX31" s="214">
        <f>IF(AND(($D31+$C$1)&gt;AX$3,AX$3&gt;=$C$1),'General Inputs'!V$9*$G31,IF(AND(($C31+$C$1)&gt;AX$3,AX$3&gt;=$C$1),'General Inputs'!V$9*$F31,0))</f>
        <v>11.931772193342082</v>
      </c>
      <c r="AY31" s="214">
        <f>IF(AND(($D31+$C$1)&gt;AY$3,AY$3&gt;=$C$1),'General Inputs'!W$9*$G31,IF(AND(($C31+$C$1)&gt;AY$3,AY$3&gt;=$C$1),'General Inputs'!W$9*$F31,0))</f>
        <v>12.110748776242213</v>
      </c>
      <c r="BA31" s="214">
        <f>IF(AND(($D31+$C$1)&gt;AF$3,AF$3&gt;=$C$1),'General Inputs'!D$10*$I31,IF(AND(($C31+$C$1)&gt;AF$3,AF$3&gt;=$C$1),'General Inputs'!D$10*$H31,0))</f>
        <v>0</v>
      </c>
      <c r="BB31" s="214">
        <f>IF(AND(($D31+$C$1)&gt;AG$3,AG$3&gt;=$C$1),'General Inputs'!E$10*$I31,IF(AND(($C31+$C$1)&gt;AG$3,AG$3&gt;=$C$1),'General Inputs'!E$10*$H31,0))</f>
        <v>0</v>
      </c>
      <c r="BC31" s="214">
        <f>IF(AND(($D31+$C$1)&gt;AH$3,AH$3&gt;=$C$1),'General Inputs'!F$10*$I31,IF(AND(($C31+$C$1)&gt;AH$3,AH$3&gt;=$C$1),'General Inputs'!F$10*$H31,0))</f>
        <v>16.003284867487714</v>
      </c>
      <c r="BD31" s="214">
        <f>IF(AND(($D31+$C$1)&gt;AI$3,AI$3&gt;=$C$1),'General Inputs'!G$10*$I31,IF(AND(($C31+$C$1)&gt;AI$3,AI$3&gt;=$C$1),'General Inputs'!G$10*$H31,0))</f>
        <v>16.243334140500028</v>
      </c>
      <c r="BE31" s="214">
        <f>IF(AND(($D31+$C$1)&gt;AJ$3,AJ$3&gt;=$C$1),'General Inputs'!H$10*$I31,IF(AND(($C31+$C$1)&gt;AJ$3,AJ$3&gt;=$C$1),'General Inputs'!H$10*$H31,0))</f>
        <v>16.486984152607526</v>
      </c>
      <c r="BF31" s="214">
        <f>IF(AND(($D31+$C$1)&gt;AK$3,AK$3&gt;=$C$1),'General Inputs'!I$10*$I31,IF(AND(($C31+$C$1)&gt;AK$3,AK$3&gt;=$C$1),'General Inputs'!I$10*$H31,0))</f>
        <v>16.734288914896634</v>
      </c>
      <c r="BG31" s="214">
        <f>IF(AND(($D31+$C$1)&gt;AL$3,AL$3&gt;=$C$1),'General Inputs'!J$10*$I31,IF(AND(($C31+$C$1)&gt;AL$3,AL$3&gt;=$C$1),'General Inputs'!J$10*$H31,0))</f>
        <v>16.985303248620085</v>
      </c>
      <c r="BH31" s="214">
        <f>IF(AND(($D31+$C$1)&gt;AM$3,AM$3&gt;=$C$1),'General Inputs'!K$10*$I31,IF(AND(($C31+$C$1)&gt;AM$3,AM$3&gt;=$C$1),'General Inputs'!K$10*$H31,0))</f>
        <v>17.240082797349384</v>
      </c>
      <c r="BI31" s="214">
        <f>IF(AND(($D31+$C$1)&gt;AN$3,AN$3&gt;=$C$1),'General Inputs'!L$10*$I31,IF(AND(($C31+$C$1)&gt;AN$3,AN$3&gt;=$C$1),'General Inputs'!L$10*$H31,0))</f>
        <v>17.498684039309623</v>
      </c>
      <c r="BJ31" s="214">
        <f>IF(AND(($D31+$C$1)&gt;AO$3,AO$3&gt;=$C$1),'General Inputs'!M$10*$I31,IF(AND(($C31+$C$1)&gt;AO$3,AO$3&gt;=$C$1),'General Inputs'!M$10*$H31,0))</f>
        <v>17.761164299899267</v>
      </c>
      <c r="BK31" s="214">
        <f>IF(AND(($D31+$C$1)&gt;AP$3,AP$3&gt;=$C$1),'General Inputs'!N$10*$I31,IF(AND(($C31+$C$1)&gt;AP$3,AP$3&gt;=$C$1),'General Inputs'!N$10*$H31,0))</f>
        <v>7.3674703987559411</v>
      </c>
      <c r="BL31" s="214">
        <f>IF(AND(($D31+$C$1)&gt;AQ$3,AQ$3&gt;=$C$1),'General Inputs'!O$10*$I31,IF(AND(($C31+$C$1)&gt;AQ$3,AQ$3&gt;=$C$1),'General Inputs'!O$10*$H31,0))</f>
        <v>7.4779824547372797</v>
      </c>
      <c r="BM31" s="214">
        <f>IF(AND(($D31+$C$1)&gt;AR$3,AR$3&gt;=$C$1),'General Inputs'!P$10*$I31,IF(AND(($C31+$C$1)&gt;AR$3,AR$3&gt;=$C$1),'General Inputs'!P$10*$H31,0))</f>
        <v>7.5901521915583388</v>
      </c>
      <c r="BN31" s="214">
        <f>IF(AND(($D31+$C$1)&gt;AS$3,AS$3&gt;=$C$1),'General Inputs'!Q$10*$I31,IF(AND(($C31+$C$1)&gt;AS$3,AS$3&gt;=$C$1),'General Inputs'!Q$10*$H31,0))</f>
        <v>7.7040044744317129</v>
      </c>
      <c r="BO31" s="214">
        <f>IF(AND(($D31+$C$1)&gt;AT$3,AT$3&gt;=$C$1),'General Inputs'!R$10*$I31,IF(AND(($C31+$C$1)&gt;AT$3,AT$3&gt;=$C$1),'General Inputs'!R$10*$H31,0))</f>
        <v>7.8195645415481874</v>
      </c>
      <c r="BP31" s="214">
        <f>IF(AND(($D31+$C$1)&gt;AU$3,AU$3&gt;=$C$1),'General Inputs'!S$10*$I31,IF(AND(($C31+$C$1)&gt;AU$3,AU$3&gt;=$C$1),'General Inputs'!S$10*$H31,0))</f>
        <v>7.9368580096714103</v>
      </c>
      <c r="BQ31" s="214">
        <f>IF(AND(($D31+$C$1)&gt;AV$3,AV$3&gt;=$C$1),'General Inputs'!T$10*$I31,IF(AND(($C31+$C$1)&gt;AV$3,AV$3&gt;=$C$1),'General Inputs'!T$10*$H31,0))</f>
        <v>8.05591087981648</v>
      </c>
      <c r="BR31" s="214">
        <f>IF(AND(($D31+$C$1)&gt;AW$3,AW$3&gt;=$C$1),'General Inputs'!U$10*$I31,IF(AND(($C31+$C$1)&gt;AW$3,AW$3&gt;=$C$1),'General Inputs'!U$10*$H31,0))</f>
        <v>8.1767495430137274</v>
      </c>
      <c r="BS31" s="214">
        <f>IF(AND(($D31+$C$1)&gt;AX$3,AX$3&gt;=$C$1),'General Inputs'!V$10*$I31,IF(AND(($C31+$C$1)&gt;AX$3,AX$3&gt;=$C$1),'General Inputs'!V$10*$H31,0))</f>
        <v>8.2994007861589303</v>
      </c>
      <c r="BT31" s="214">
        <f>IF(AND(($D31+$C$1)&gt;AY$3,AY$3&gt;=$C$1),'General Inputs'!W$10*$I31,IF(AND(($C31+$C$1)&gt;AY$3,AY$3&gt;=$C$1),'General Inputs'!W$10*$H31,0))</f>
        <v>8.4238917979513133</v>
      </c>
    </row>
    <row r="32" spans="1:72">
      <c r="A32" s="341" t="s">
        <v>12</v>
      </c>
      <c r="B32" s="427" t="str">
        <f>Sources!B32</f>
        <v>Early Retirement CAC SEER 16</v>
      </c>
      <c r="C32" s="193">
        <f>Sources!C32</f>
        <v>18</v>
      </c>
      <c r="D32" s="193">
        <f>Sources!D32</f>
        <v>8</v>
      </c>
      <c r="F32" s="429">
        <f>Sources!F32*EnergyLineLoss</f>
        <v>322.37532692307701</v>
      </c>
      <c r="G32" s="429">
        <f>Sources!G32*EnergyLineLoss</f>
        <v>838.17584999999997</v>
      </c>
      <c r="H32" s="477">
        <f>Sources!H32*PeakLineLoss</f>
        <v>0.48235216783216778</v>
      </c>
      <c r="I32" s="477">
        <f>Sources!I32*PeakLineLoss</f>
        <v>1.0957782943143815</v>
      </c>
      <c r="K32" s="419">
        <f>Sources!J32</f>
        <v>2482.2208713974351</v>
      </c>
      <c r="L32" s="419">
        <f>Sources!K32</f>
        <v>1648.6524454788757</v>
      </c>
      <c r="N32" s="438">
        <f t="shared" si="4"/>
        <v>0.25137426844619565</v>
      </c>
      <c r="P32" s="215">
        <f t="shared" si="0"/>
        <v>231.7440815696965</v>
      </c>
      <c r="Q32" s="215">
        <f t="shared" si="1"/>
        <v>117.33146556460427</v>
      </c>
      <c r="R32" s="215">
        <f t="shared" si="2"/>
        <v>1388.6685749182686</v>
      </c>
      <c r="T32" s="214">
        <f t="shared" si="9"/>
        <v>0</v>
      </c>
      <c r="U32" s="214">
        <f t="shared" si="9"/>
        <v>0</v>
      </c>
      <c r="V32" s="214">
        <f t="shared" si="9"/>
        <v>2482.2208713974351</v>
      </c>
      <c r="W32" s="214">
        <f t="shared" si="9"/>
        <v>0</v>
      </c>
      <c r="X32" s="214">
        <f t="shared" si="9"/>
        <v>0</v>
      </c>
      <c r="Y32" s="214">
        <f t="shared" si="9"/>
        <v>0</v>
      </c>
      <c r="Z32" s="214">
        <f t="shared" si="9"/>
        <v>0</v>
      </c>
      <c r="AA32" s="214">
        <f t="shared" si="9"/>
        <v>0</v>
      </c>
      <c r="AB32" s="214">
        <f t="shared" si="9"/>
        <v>0</v>
      </c>
      <c r="AC32" s="214">
        <f t="shared" si="9"/>
        <v>0</v>
      </c>
      <c r="AD32" s="214">
        <f t="shared" si="9"/>
        <v>-1648.6524454788757</v>
      </c>
      <c r="AF32" s="214">
        <f>IF(AND(($D32+$C$1)&gt;AF$3,AF$3&gt;=$C$1),'General Inputs'!D$9*$G32,IF(AND(($C32+$C$1)&gt;AF$3,AF$3&gt;=$C$1),'General Inputs'!D$9*$F32,0))</f>
        <v>0</v>
      </c>
      <c r="AG32" s="214">
        <f>IF(AND(($D32+$C$1)&gt;AG$3,AG$3&gt;=$C$1),'General Inputs'!E$9*$G32,IF(AND(($C32+$C$1)&gt;AG$3,AG$3&gt;=$C$1),'General Inputs'!E$9*$F32,0))</f>
        <v>0</v>
      </c>
      <c r="AH32" s="214">
        <f>IF(AND(($D32+$C$1)&gt;AH$3,AH$3&gt;=$C$1),'General Inputs'!F$9*$G32,IF(AND(($C32+$C$1)&gt;AH$3,AH$3&gt;=$C$1),'General Inputs'!F$9*$F32,0))</f>
        <v>34.378281267704047</v>
      </c>
      <c r="AI32" s="214">
        <f>IF(AND(($D32+$C$1)&gt;AI$3,AI$3&gt;=$C$1),'General Inputs'!G$9*$G32,IF(AND(($C32+$C$1)&gt;AI$3,AI$3&gt;=$C$1),'General Inputs'!G$9*$F32,0))</f>
        <v>34.893955486719605</v>
      </c>
      <c r="AJ32" s="214">
        <f>IF(AND(($D32+$C$1)&gt;AJ$3,AJ$3&gt;=$C$1),'General Inputs'!H$9*$G32,IF(AND(($C32+$C$1)&gt;AJ$3,AJ$3&gt;=$C$1),'General Inputs'!H$9*$F32,0))</f>
        <v>35.417364819020392</v>
      </c>
      <c r="AK32" s="214">
        <f>IF(AND(($D32+$C$1)&gt;AK$3,AK$3&gt;=$C$1),'General Inputs'!I$9*$G32,IF(AND(($C32+$C$1)&gt;AK$3,AK$3&gt;=$C$1),'General Inputs'!I$9*$F32,0))</f>
        <v>35.948625291305696</v>
      </c>
      <c r="AL32" s="214">
        <f>IF(AND(($D32+$C$1)&gt;AL$3,AL$3&gt;=$C$1),'General Inputs'!J$9*$G32,IF(AND(($C32+$C$1)&gt;AL$3,AL$3&gt;=$C$1),'General Inputs'!J$9*$F32,0))</f>
        <v>36.487854670675276</v>
      </c>
      <c r="AM32" s="214">
        <f>IF(AND(($D32+$C$1)&gt;AM$3,AM$3&gt;=$C$1),'General Inputs'!K$9*$G32,IF(AND(($C32+$C$1)&gt;AM$3,AM$3&gt;=$C$1),'General Inputs'!K$9*$F32,0))</f>
        <v>37.035172490735398</v>
      </c>
      <c r="AN32" s="214">
        <f>IF(AND(($D32+$C$1)&gt;AN$3,AN$3&gt;=$C$1),'General Inputs'!L$9*$G32,IF(AND(($C32+$C$1)&gt;AN$3,AN$3&gt;=$C$1),'General Inputs'!L$9*$F32,0))</f>
        <v>37.590700078096425</v>
      </c>
      <c r="AO32" s="214">
        <f>IF(AND(($D32+$C$1)&gt;AO$3,AO$3&gt;=$C$1),'General Inputs'!M$9*$G32,IF(AND(($C32+$C$1)&gt;AO$3,AO$3&gt;=$C$1),'General Inputs'!M$9*$F32,0))</f>
        <v>38.154560579267866</v>
      </c>
      <c r="AP32" s="214">
        <f>IF(AND(($D32+$C$1)&gt;AP$3,AP$3&gt;=$C$1),'General Inputs'!N$9*$G32,IF(AND(($C32+$C$1)&gt;AP$3,AP$3&gt;=$C$1),'General Inputs'!N$9*$F32,0))</f>
        <v>14.894953456906499</v>
      </c>
      <c r="AQ32" s="214">
        <f>IF(AND(($D32+$C$1)&gt;AQ$3,AQ$3&gt;=$C$1),'General Inputs'!O$9*$G32,IF(AND(($C32+$C$1)&gt;AQ$3,AQ$3&gt;=$C$1),'General Inputs'!O$9*$F32,0))</f>
        <v>15.118377758760094</v>
      </c>
      <c r="AR32" s="214">
        <f>IF(AND(($D32+$C$1)&gt;AR$3,AR$3&gt;=$C$1),'General Inputs'!P$9*$G32,IF(AND(($C32+$C$1)&gt;AR$3,AR$3&gt;=$C$1),'General Inputs'!P$9*$F32,0))</f>
        <v>15.345153425141493</v>
      </c>
      <c r="AS32" s="214">
        <f>IF(AND(($D32+$C$1)&gt;AS$3,AS$3&gt;=$C$1),'General Inputs'!Q$9*$G32,IF(AND(($C32+$C$1)&gt;AS$3,AS$3&gt;=$C$1),'General Inputs'!Q$9*$F32,0))</f>
        <v>15.575330726518615</v>
      </c>
      <c r="AT32" s="214">
        <f>IF(AND(($D32+$C$1)&gt;AT$3,AT$3&gt;=$C$1),'General Inputs'!R$9*$G32,IF(AND(($C32+$C$1)&gt;AT$3,AT$3&gt;=$C$1),'General Inputs'!R$9*$F32,0))</f>
        <v>15.808960687416393</v>
      </c>
      <c r="AU32" s="214">
        <f>IF(AND(($D32+$C$1)&gt;AU$3,AU$3&gt;=$C$1),'General Inputs'!S$9*$G32,IF(AND(($C32+$C$1)&gt;AU$3,AU$3&gt;=$C$1),'General Inputs'!S$9*$F32,0))</f>
        <v>16.04609509772764</v>
      </c>
      <c r="AV32" s="214">
        <f>IF(AND(($D32+$C$1)&gt;AV$3,AV$3&gt;=$C$1),'General Inputs'!T$9*$G32,IF(AND(($C32+$C$1)&gt;AV$3,AV$3&gt;=$C$1),'General Inputs'!T$9*$F32,0))</f>
        <v>16.286786524193552</v>
      </c>
      <c r="AW32" s="214">
        <f>IF(AND(($D32+$C$1)&gt;AW$3,AW$3&gt;=$C$1),'General Inputs'!U$9*$G32,IF(AND(($C32+$C$1)&gt;AW$3,AW$3&gt;=$C$1),'General Inputs'!U$9*$F32,0))</f>
        <v>16.531088322056455</v>
      </c>
      <c r="AX32" s="214">
        <f>IF(AND(($D32+$C$1)&gt;AX$3,AX$3&gt;=$C$1),'General Inputs'!V$9*$G32,IF(AND(($C32+$C$1)&gt;AX$3,AX$3&gt;=$C$1),'General Inputs'!V$9*$F32,0))</f>
        <v>16.7790546468873</v>
      </c>
      <c r="AY32" s="214">
        <f>IF(AND(($D32+$C$1)&gt;AY$3,AY$3&gt;=$C$1),'General Inputs'!W$9*$G32,IF(AND(($C32+$C$1)&gt;AY$3,AY$3&gt;=$C$1),'General Inputs'!W$9*$F32,0))</f>
        <v>17.030740466590608</v>
      </c>
      <c r="BA32" s="214">
        <f>IF(AND(($D32+$C$1)&gt;AF$3,AF$3&gt;=$C$1),'General Inputs'!D$10*$I32,IF(AND(($C32+$C$1)&gt;AF$3,AF$3&gt;=$C$1),'General Inputs'!D$10*$H32,0))</f>
        <v>0</v>
      </c>
      <c r="BB32" s="214">
        <f>IF(AND(($D32+$C$1)&gt;AG$3,AG$3&gt;=$C$1),'General Inputs'!E$10*$I32,IF(AND(($C32+$C$1)&gt;AG$3,AG$3&gt;=$C$1),'General Inputs'!E$10*$H32,0))</f>
        <v>0</v>
      </c>
      <c r="BC32" s="214">
        <f>IF(AND(($D32+$C$1)&gt;AH$3,AH$3&gt;=$C$1),'General Inputs'!F$10*$I32,IF(AND(($C32+$C$1)&gt;AH$3,AH$3&gt;=$C$1),'General Inputs'!F$10*$H32,0))</f>
        <v>16.904169085552574</v>
      </c>
      <c r="BD32" s="214">
        <f>IF(AND(($D32+$C$1)&gt;AI$3,AI$3&gt;=$C$1),'General Inputs'!G$10*$I32,IF(AND(($C32+$C$1)&gt;AI$3,AI$3&gt;=$C$1),'General Inputs'!G$10*$H32,0))</f>
        <v>17.157731621835861</v>
      </c>
      <c r="BE32" s="214">
        <f>IF(AND(($D32+$C$1)&gt;AJ$3,AJ$3&gt;=$C$1),'General Inputs'!H$10*$I32,IF(AND(($C32+$C$1)&gt;AJ$3,AJ$3&gt;=$C$1),'General Inputs'!H$10*$H32,0))</f>
        <v>17.415097596163399</v>
      </c>
      <c r="BF32" s="214">
        <f>IF(AND(($D32+$C$1)&gt;AK$3,AK$3&gt;=$C$1),'General Inputs'!I$10*$I32,IF(AND(($C32+$C$1)&gt;AK$3,AK$3&gt;=$C$1),'General Inputs'!I$10*$H32,0))</f>
        <v>17.676324060105845</v>
      </c>
      <c r="BG32" s="214">
        <f>IF(AND(($D32+$C$1)&gt;AL$3,AL$3&gt;=$C$1),'General Inputs'!J$10*$I32,IF(AND(($C32+$C$1)&gt;AL$3,AL$3&gt;=$C$1),'General Inputs'!J$10*$H32,0))</f>
        <v>17.941468921007431</v>
      </c>
      <c r="BH32" s="214">
        <f>IF(AND(($D32+$C$1)&gt;AM$3,AM$3&gt;=$C$1),'General Inputs'!K$10*$I32,IF(AND(($C32+$C$1)&gt;AM$3,AM$3&gt;=$C$1),'General Inputs'!K$10*$H32,0))</f>
        <v>18.210590954822543</v>
      </c>
      <c r="BI32" s="214">
        <f>IF(AND(($D32+$C$1)&gt;AN$3,AN$3&gt;=$C$1),'General Inputs'!L$10*$I32,IF(AND(($C32+$C$1)&gt;AN$3,AN$3&gt;=$C$1),'General Inputs'!L$10*$H32,0))</f>
        <v>18.483749819144879</v>
      </c>
      <c r="BJ32" s="214">
        <f>IF(AND(($D32+$C$1)&gt;AO$3,AO$3&gt;=$C$1),'General Inputs'!M$10*$I32,IF(AND(($C32+$C$1)&gt;AO$3,AO$3&gt;=$C$1),'General Inputs'!M$10*$H32,0))</f>
        <v>18.761006066432053</v>
      </c>
      <c r="BK32" s="214">
        <f>IF(AND(($D32+$C$1)&gt;AP$3,AP$3&gt;=$C$1),'General Inputs'!N$10*$I32,IF(AND(($C32+$C$1)&gt;AP$3,AP$3&gt;=$C$1),'General Inputs'!N$10*$H32,0))</f>
        <v>8.3823097917867191</v>
      </c>
      <c r="BL32" s="214">
        <f>IF(AND(($D32+$C$1)&gt;AQ$3,AQ$3&gt;=$C$1),'General Inputs'!O$10*$I32,IF(AND(($C32+$C$1)&gt;AQ$3,AQ$3&gt;=$C$1),'General Inputs'!O$10*$H32,0))</f>
        <v>8.5080444386635197</v>
      </c>
      <c r="BM32" s="214">
        <f>IF(AND(($D32+$C$1)&gt;AR$3,AR$3&gt;=$C$1),'General Inputs'!P$10*$I32,IF(AND(($C32+$C$1)&gt;AR$3,AR$3&gt;=$C$1),'General Inputs'!P$10*$H32,0))</f>
        <v>8.6356651052434721</v>
      </c>
      <c r="BN32" s="214">
        <f>IF(AND(($D32+$C$1)&gt;AS$3,AS$3&gt;=$C$1),'General Inputs'!Q$10*$I32,IF(AND(($C32+$C$1)&gt;AS$3,AS$3&gt;=$C$1),'General Inputs'!Q$10*$H32,0))</f>
        <v>8.7652000818221225</v>
      </c>
      <c r="BO32" s="214">
        <f>IF(AND(($D32+$C$1)&gt;AT$3,AT$3&gt;=$C$1),'General Inputs'!R$10*$I32,IF(AND(($C32+$C$1)&gt;AT$3,AT$3&gt;=$C$1),'General Inputs'!R$10*$H32,0))</f>
        <v>8.8966780830494532</v>
      </c>
      <c r="BP32" s="214">
        <f>IF(AND(($D32+$C$1)&gt;AU$3,AU$3&gt;=$C$1),'General Inputs'!S$10*$I32,IF(AND(($C32+$C$1)&gt;AU$3,AU$3&gt;=$C$1),'General Inputs'!S$10*$H32,0))</f>
        <v>9.0301282542951942</v>
      </c>
      <c r="BQ32" s="214">
        <f>IF(AND(($D32+$C$1)&gt;AV$3,AV$3&gt;=$C$1),'General Inputs'!T$10*$I32,IF(AND(($C32+$C$1)&gt;AV$3,AV$3&gt;=$C$1),'General Inputs'!T$10*$H32,0))</f>
        <v>9.1655801781096216</v>
      </c>
      <c r="BR32" s="214">
        <f>IF(AND(($D32+$C$1)&gt;AW$3,AW$3&gt;=$C$1),'General Inputs'!U$10*$I32,IF(AND(($C32+$C$1)&gt;AW$3,AW$3&gt;=$C$1),'General Inputs'!U$10*$H32,0))</f>
        <v>9.3030638807812647</v>
      </c>
      <c r="BS32" s="214">
        <f>IF(AND(($D32+$C$1)&gt;AX$3,AX$3&gt;=$C$1),'General Inputs'!V$10*$I32,IF(AND(($C32+$C$1)&gt;AX$3,AX$3&gt;=$C$1),'General Inputs'!V$10*$H32,0))</f>
        <v>9.4426098389929827</v>
      </c>
      <c r="BT32" s="214">
        <f>IF(AND(($D32+$C$1)&gt;AY$3,AY$3&gt;=$C$1),'General Inputs'!W$10*$I32,IF(AND(($C32+$C$1)&gt;AY$3,AY$3&gt;=$C$1),'General Inputs'!W$10*$H32,0))</f>
        <v>9.5842489865778759</v>
      </c>
    </row>
    <row r="33" spans="1:72">
      <c r="A33" s="341" t="s">
        <v>12</v>
      </c>
      <c r="B33" s="427" t="str">
        <f>Sources!B33</f>
        <v>Programmable Tstat CAC</v>
      </c>
      <c r="C33" s="193">
        <f>Sources!C33</f>
        <v>10</v>
      </c>
      <c r="D33" s="193">
        <f>Sources!D33</f>
        <v>0</v>
      </c>
      <c r="F33" s="429">
        <f>Sources!F33*EnergyLineLoss</f>
        <v>134.10813599999997</v>
      </c>
      <c r="G33" s="429">
        <f>Sources!G33*EnergyLineLoss</f>
        <v>0</v>
      </c>
      <c r="H33" s="477">
        <f>Sources!H33*PeakLineLoss</f>
        <v>0.24402014150943394</v>
      </c>
      <c r="I33" s="477">
        <f>Sources!I33*PeakLineLoss</f>
        <v>0</v>
      </c>
      <c r="K33" s="419">
        <f>Sources!J33</f>
        <v>30</v>
      </c>
      <c r="L33" s="419">
        <f>Sources!K33</f>
        <v>0</v>
      </c>
      <c r="N33" s="438">
        <f t="shared" si="4"/>
        <v>2.3012692322724013</v>
      </c>
      <c r="P33" s="215">
        <f t="shared" si="0"/>
        <v>34.599787385896711</v>
      </c>
      <c r="Q33" s="215">
        <f t="shared" si="1"/>
        <v>23.679149324261601</v>
      </c>
      <c r="R33" s="215">
        <f t="shared" si="2"/>
        <v>25.324692953292757</v>
      </c>
      <c r="T33" s="214">
        <f t="shared" si="9"/>
        <v>0</v>
      </c>
      <c r="U33" s="214">
        <f t="shared" si="9"/>
        <v>0</v>
      </c>
      <c r="V33" s="214">
        <f t="shared" si="9"/>
        <v>30</v>
      </c>
      <c r="W33" s="214">
        <f t="shared" si="9"/>
        <v>0</v>
      </c>
      <c r="X33" s="214">
        <f t="shared" si="9"/>
        <v>0</v>
      </c>
      <c r="Y33" s="214">
        <f t="shared" si="9"/>
        <v>0</v>
      </c>
      <c r="Z33" s="214">
        <f t="shared" si="9"/>
        <v>0</v>
      </c>
      <c r="AA33" s="214">
        <f t="shared" si="9"/>
        <v>0</v>
      </c>
      <c r="AB33" s="214">
        <f t="shared" si="9"/>
        <v>0</v>
      </c>
      <c r="AC33" s="214">
        <f t="shared" si="9"/>
        <v>0</v>
      </c>
      <c r="AD33" s="214">
        <f t="shared" si="9"/>
        <v>0</v>
      </c>
      <c r="AF33" s="214">
        <f>IF(AND(($D33+$C$1)&gt;AF$3,AF$3&gt;=$C$1),'General Inputs'!D$9*$G33,IF(AND(($C33+$C$1)&gt;AF$3,AF$3&gt;=$C$1),'General Inputs'!D$9*$F33,0))</f>
        <v>0</v>
      </c>
      <c r="AG33" s="214">
        <f>IF(AND(($D33+$C$1)&gt;AG$3,AG$3&gt;=$C$1),'General Inputs'!E$9*$G33,IF(AND(($C33+$C$1)&gt;AG$3,AG$3&gt;=$C$1),'General Inputs'!E$9*$F33,0))</f>
        <v>0</v>
      </c>
      <c r="AH33" s="214">
        <f>IF(AND(($D33+$C$1)&gt;AH$3,AH$3&gt;=$C$1),'General Inputs'!F$9*$G33,IF(AND(($C33+$C$1)&gt;AH$3,AH$3&gt;=$C$1),'General Inputs'!F$9*$F33,0))</f>
        <v>5.5005250028326467</v>
      </c>
      <c r="AI33" s="214">
        <f>IF(AND(($D33+$C$1)&gt;AI$3,AI$3&gt;=$C$1),'General Inputs'!G$9*$G33,IF(AND(($C33+$C$1)&gt;AI$3,AI$3&gt;=$C$1),'General Inputs'!G$9*$F33,0))</f>
        <v>5.5830328778751364</v>
      </c>
      <c r="AJ33" s="214">
        <f>IF(AND(($D33+$C$1)&gt;AJ$3,AJ$3&gt;=$C$1),'General Inputs'!H$9*$G33,IF(AND(($C33+$C$1)&gt;AJ$3,AJ$3&gt;=$C$1),'General Inputs'!H$9*$F33,0))</f>
        <v>5.6667783710432627</v>
      </c>
      <c r="AK33" s="214">
        <f>IF(AND(($D33+$C$1)&gt;AK$3,AK$3&gt;=$C$1),'General Inputs'!I$9*$G33,IF(AND(($C33+$C$1)&gt;AK$3,AK$3&gt;=$C$1),'General Inputs'!I$9*$F33,0))</f>
        <v>5.7517800466089106</v>
      </c>
      <c r="AL33" s="214">
        <f>IF(AND(($D33+$C$1)&gt;AL$3,AL$3&gt;=$C$1),'General Inputs'!J$9*$G33,IF(AND(($C33+$C$1)&gt;AL$3,AL$3&gt;=$C$1),'General Inputs'!J$9*$F33,0))</f>
        <v>5.8380567473080429</v>
      </c>
      <c r="AM33" s="214">
        <f>IF(AND(($D33+$C$1)&gt;AM$3,AM$3&gt;=$C$1),'General Inputs'!K$9*$G33,IF(AND(($C33+$C$1)&gt;AM$3,AM$3&gt;=$C$1),'General Inputs'!K$9*$F33,0))</f>
        <v>5.9256275985176625</v>
      </c>
      <c r="AN33" s="214">
        <f>IF(AND(($D33+$C$1)&gt;AN$3,AN$3&gt;=$C$1),'General Inputs'!L$9*$G33,IF(AND(($C33+$C$1)&gt;AN$3,AN$3&gt;=$C$1),'General Inputs'!L$9*$F33,0))</f>
        <v>6.0145120124954277</v>
      </c>
      <c r="AO33" s="214">
        <f>IF(AND(($D33+$C$1)&gt;AO$3,AO$3&gt;=$C$1),'General Inputs'!M$9*$G33,IF(AND(($C33+$C$1)&gt;AO$3,AO$3&gt;=$C$1),'General Inputs'!M$9*$F33,0))</f>
        <v>6.1047296926828576</v>
      </c>
      <c r="AP33" s="214">
        <f>IF(AND(($D33+$C$1)&gt;AP$3,AP$3&gt;=$C$1),'General Inputs'!N$9*$G33,IF(AND(($C33+$C$1)&gt;AP$3,AP$3&gt;=$C$1),'General Inputs'!N$9*$F33,0))</f>
        <v>6.1963006380731001</v>
      </c>
      <c r="AQ33" s="214">
        <f>IF(AND(($D33+$C$1)&gt;AQ$3,AQ$3&gt;=$C$1),'General Inputs'!O$9*$G33,IF(AND(($C33+$C$1)&gt;AQ$3,AQ$3&gt;=$C$1),'General Inputs'!O$9*$F33,0))</f>
        <v>6.2892451476441957</v>
      </c>
      <c r="AR33" s="214">
        <f>IF(AND(($D33+$C$1)&gt;AR$3,AR$3&gt;=$C$1),'General Inputs'!P$9*$G33,IF(AND(($C33+$C$1)&gt;AR$3,AR$3&gt;=$C$1),'General Inputs'!P$9*$F33,0))</f>
        <v>0</v>
      </c>
      <c r="AS33" s="214">
        <f>IF(AND(($D33+$C$1)&gt;AS$3,AS$3&gt;=$C$1),'General Inputs'!Q$9*$G33,IF(AND(($C33+$C$1)&gt;AS$3,AS$3&gt;=$C$1),'General Inputs'!Q$9*$F33,0))</f>
        <v>0</v>
      </c>
      <c r="AT33" s="214">
        <f>IF(AND(($D33+$C$1)&gt;AT$3,AT$3&gt;=$C$1),'General Inputs'!R$9*$G33,IF(AND(($C33+$C$1)&gt;AT$3,AT$3&gt;=$C$1),'General Inputs'!R$9*$F33,0))</f>
        <v>0</v>
      </c>
      <c r="AU33" s="214">
        <f>IF(AND(($D33+$C$1)&gt;AU$3,AU$3&gt;=$C$1),'General Inputs'!S$9*$G33,IF(AND(($C33+$C$1)&gt;AU$3,AU$3&gt;=$C$1),'General Inputs'!S$9*$F33,0))</f>
        <v>0</v>
      </c>
      <c r="AV33" s="214">
        <f>IF(AND(($D33+$C$1)&gt;AV$3,AV$3&gt;=$C$1),'General Inputs'!T$9*$G33,IF(AND(($C33+$C$1)&gt;AV$3,AV$3&gt;=$C$1),'General Inputs'!T$9*$F33,0))</f>
        <v>0</v>
      </c>
      <c r="AW33" s="214">
        <f>IF(AND(($D33+$C$1)&gt;AW$3,AW$3&gt;=$C$1),'General Inputs'!U$9*$G33,IF(AND(($C33+$C$1)&gt;AW$3,AW$3&gt;=$C$1),'General Inputs'!U$9*$F33,0))</f>
        <v>0</v>
      </c>
      <c r="AX33" s="214">
        <f>IF(AND(($D33+$C$1)&gt;AX$3,AX$3&gt;=$C$1),'General Inputs'!V$9*$G33,IF(AND(($C33+$C$1)&gt;AX$3,AX$3&gt;=$C$1),'General Inputs'!V$9*$F33,0))</f>
        <v>0</v>
      </c>
      <c r="AY33" s="214">
        <f>IF(AND(($D33+$C$1)&gt;AY$3,AY$3&gt;=$C$1),'General Inputs'!W$9*$G33,IF(AND(($C33+$C$1)&gt;AY$3,AY$3&gt;=$C$1),'General Inputs'!W$9*$F33,0))</f>
        <v>0</v>
      </c>
      <c r="BA33" s="214">
        <f>IF(AND(($D33+$C$1)&gt;AF$3,AF$3&gt;=$C$1),'General Inputs'!D$10*$I33,IF(AND(($C33+$C$1)&gt;AF$3,AF$3&gt;=$C$1),'General Inputs'!D$10*$H33,0))</f>
        <v>0</v>
      </c>
      <c r="BB33" s="214">
        <f>IF(AND(($D33+$C$1)&gt;AG$3,AG$3&gt;=$C$1),'General Inputs'!E$10*$I33,IF(AND(($C33+$C$1)&gt;AG$3,AG$3&gt;=$C$1),'General Inputs'!E$10*$H33,0))</f>
        <v>0</v>
      </c>
      <c r="BC33" s="214">
        <f>IF(AND(($D33+$C$1)&gt;AH$3,AH$3&gt;=$C$1),'General Inputs'!F$10*$I33,IF(AND(($C33+$C$1)&gt;AH$3,AH$3&gt;=$C$1),'General Inputs'!F$10*$H33,0))</f>
        <v>3.7644090540567667</v>
      </c>
      <c r="BD33" s="214">
        <f>IF(AND(($D33+$C$1)&gt;AI$3,AI$3&gt;=$C$1),'General Inputs'!G$10*$I33,IF(AND(($C33+$C$1)&gt;AI$3,AI$3&gt;=$C$1),'General Inputs'!G$10*$H33,0))</f>
        <v>3.8208751898676176</v>
      </c>
      <c r="BE33" s="214">
        <f>IF(AND(($D33+$C$1)&gt;AJ$3,AJ$3&gt;=$C$1),'General Inputs'!H$10*$I33,IF(AND(($C33+$C$1)&gt;AJ$3,AJ$3&gt;=$C$1),'General Inputs'!H$10*$H33,0))</f>
        <v>3.8781883177156318</v>
      </c>
      <c r="BF33" s="214">
        <f>IF(AND(($D33+$C$1)&gt;AK$3,AK$3&gt;=$C$1),'General Inputs'!I$10*$I33,IF(AND(($C33+$C$1)&gt;AK$3,AK$3&gt;=$C$1),'General Inputs'!I$10*$H33,0))</f>
        <v>3.9363611424813656</v>
      </c>
      <c r="BG33" s="214">
        <f>IF(AND(($D33+$C$1)&gt;AL$3,AL$3&gt;=$C$1),'General Inputs'!J$10*$I33,IF(AND(($C33+$C$1)&gt;AL$3,AL$3&gt;=$C$1),'General Inputs'!J$10*$H33,0))</f>
        <v>3.9954065596185853</v>
      </c>
      <c r="BH33" s="214">
        <f>IF(AND(($D33+$C$1)&gt;AM$3,AM$3&gt;=$C$1),'General Inputs'!K$10*$I33,IF(AND(($C33+$C$1)&gt;AM$3,AM$3&gt;=$C$1),'General Inputs'!K$10*$H33,0))</f>
        <v>4.0553376580128644</v>
      </c>
      <c r="BI33" s="214">
        <f>IF(AND(($D33+$C$1)&gt;AN$3,AN$3&gt;=$C$1),'General Inputs'!L$10*$I33,IF(AND(($C33+$C$1)&gt;AN$3,AN$3&gt;=$C$1),'General Inputs'!L$10*$H33,0))</f>
        <v>4.1161677228830564</v>
      </c>
      <c r="BJ33" s="214">
        <f>IF(AND(($D33+$C$1)&gt;AO$3,AO$3&gt;=$C$1),'General Inputs'!M$10*$I33,IF(AND(($C33+$C$1)&gt;AO$3,AO$3&gt;=$C$1),'General Inputs'!M$10*$H33,0))</f>
        <v>4.1779102387263025</v>
      </c>
      <c r="BK33" s="214">
        <f>IF(AND(($D33+$C$1)&gt;AP$3,AP$3&gt;=$C$1),'General Inputs'!N$10*$I33,IF(AND(($C33+$C$1)&gt;AP$3,AP$3&gt;=$C$1),'General Inputs'!N$10*$H33,0))</f>
        <v>4.2405788923071963</v>
      </c>
      <c r="BL33" s="214">
        <f>IF(AND(($D33+$C$1)&gt;AQ$3,AQ$3&gt;=$C$1),'General Inputs'!O$10*$I33,IF(AND(($C33+$C$1)&gt;AQ$3,AQ$3&gt;=$C$1),'General Inputs'!O$10*$H33,0))</f>
        <v>4.3041875756918042</v>
      </c>
      <c r="BM33" s="214">
        <f>IF(AND(($D33+$C$1)&gt;AR$3,AR$3&gt;=$C$1),'General Inputs'!P$10*$I33,IF(AND(($C33+$C$1)&gt;AR$3,AR$3&gt;=$C$1),'General Inputs'!P$10*$H33,0))</f>
        <v>0</v>
      </c>
      <c r="BN33" s="214">
        <f>IF(AND(($D33+$C$1)&gt;AS$3,AS$3&gt;=$C$1),'General Inputs'!Q$10*$I33,IF(AND(($C33+$C$1)&gt;AS$3,AS$3&gt;=$C$1),'General Inputs'!Q$10*$H33,0))</f>
        <v>0</v>
      </c>
      <c r="BO33" s="214">
        <f>IF(AND(($D33+$C$1)&gt;AT$3,AT$3&gt;=$C$1),'General Inputs'!R$10*$I33,IF(AND(($C33+$C$1)&gt;AT$3,AT$3&gt;=$C$1),'General Inputs'!R$10*$H33,0))</f>
        <v>0</v>
      </c>
      <c r="BP33" s="214">
        <f>IF(AND(($D33+$C$1)&gt;AU$3,AU$3&gt;=$C$1),'General Inputs'!S$10*$I33,IF(AND(($C33+$C$1)&gt;AU$3,AU$3&gt;=$C$1),'General Inputs'!S$10*$H33,0))</f>
        <v>0</v>
      </c>
      <c r="BQ33" s="214">
        <f>IF(AND(($D33+$C$1)&gt;AV$3,AV$3&gt;=$C$1),'General Inputs'!T$10*$I33,IF(AND(($C33+$C$1)&gt;AV$3,AV$3&gt;=$C$1),'General Inputs'!T$10*$H33,0))</f>
        <v>0</v>
      </c>
      <c r="BR33" s="214">
        <f>IF(AND(($D33+$C$1)&gt;AW$3,AW$3&gt;=$C$1),'General Inputs'!U$10*$I33,IF(AND(($C33+$C$1)&gt;AW$3,AW$3&gt;=$C$1),'General Inputs'!U$10*$H33,0))</f>
        <v>0</v>
      </c>
      <c r="BS33" s="214">
        <f>IF(AND(($D33+$C$1)&gt;AX$3,AX$3&gt;=$C$1),'General Inputs'!V$10*$I33,IF(AND(($C33+$C$1)&gt;AX$3,AX$3&gt;=$C$1),'General Inputs'!V$10*$H33,0))</f>
        <v>0</v>
      </c>
      <c r="BT33" s="214">
        <f>IF(AND(($D33+$C$1)&gt;AY$3,AY$3&gt;=$C$1),'General Inputs'!W$10*$I33,IF(AND(($C33+$C$1)&gt;AY$3,AY$3&gt;=$C$1),'General Inputs'!W$10*$H33,0))</f>
        <v>0</v>
      </c>
    </row>
    <row r="34" spans="1:72">
      <c r="A34" s="341" t="s">
        <v>12</v>
      </c>
      <c r="B34" s="427" t="str">
        <f>Sources!B34</f>
        <v>Heat Pump SEER 15</v>
      </c>
      <c r="C34" s="193">
        <f>Sources!C34</f>
        <v>18</v>
      </c>
      <c r="D34" s="193">
        <f>Sources!D34</f>
        <v>0</v>
      </c>
      <c r="F34" s="429">
        <f>Sources!F34*EnergyLineLoss</f>
        <v>501.30875023570508</v>
      </c>
      <c r="G34" s="429">
        <f>Sources!G34*EnergyLineLoss</f>
        <v>0</v>
      </c>
      <c r="H34" s="477">
        <f>Sources!H34*PeakLineLoss</f>
        <v>0.5246773594887183</v>
      </c>
      <c r="I34" s="477">
        <f>Sources!I34*PeakLineLoss</f>
        <v>0</v>
      </c>
      <c r="K34" s="419">
        <f>Sources!J34</f>
        <v>293.80824805778059</v>
      </c>
      <c r="L34" s="419">
        <f>Sources!K34</f>
        <v>0</v>
      </c>
      <c r="N34" s="438">
        <f t="shared" si="4"/>
        <v>1.0346678179815909</v>
      </c>
      <c r="P34" s="215">
        <f t="shared" si="0"/>
        <v>184.13419595245972</v>
      </c>
      <c r="Q34" s="215">
        <f t="shared" si="1"/>
        <v>72.484242810388025</v>
      </c>
      <c r="R34" s="215">
        <f t="shared" si="2"/>
        <v>248.02012230693887</v>
      </c>
      <c r="T34" s="214">
        <f t="shared" si="9"/>
        <v>0</v>
      </c>
      <c r="U34" s="214">
        <f t="shared" si="9"/>
        <v>0</v>
      </c>
      <c r="V34" s="214">
        <f t="shared" si="9"/>
        <v>293.80824805778059</v>
      </c>
      <c r="W34" s="214">
        <f t="shared" si="9"/>
        <v>0</v>
      </c>
      <c r="X34" s="214">
        <f t="shared" si="9"/>
        <v>0</v>
      </c>
      <c r="Y34" s="214">
        <f t="shared" si="9"/>
        <v>0</v>
      </c>
      <c r="Z34" s="214">
        <f t="shared" si="9"/>
        <v>0</v>
      </c>
      <c r="AA34" s="214">
        <f t="shared" si="9"/>
        <v>0</v>
      </c>
      <c r="AB34" s="214">
        <f t="shared" si="9"/>
        <v>0</v>
      </c>
      <c r="AC34" s="214">
        <f t="shared" si="9"/>
        <v>0</v>
      </c>
      <c r="AD34" s="214">
        <f t="shared" si="9"/>
        <v>0</v>
      </c>
      <c r="AF34" s="214">
        <f>IF(AND(($D34+$C$1)&gt;AF$3,AF$3&gt;=$C$1),'General Inputs'!D$9*$G34,IF(AND(($C34+$C$1)&gt;AF$3,AF$3&gt;=$C$1),'General Inputs'!D$9*$F34,0))</f>
        <v>0</v>
      </c>
      <c r="AG34" s="214">
        <f>IF(AND(($D34+$C$1)&gt;AG$3,AG$3&gt;=$C$1),'General Inputs'!E$9*$G34,IF(AND(($C34+$C$1)&gt;AG$3,AG$3&gt;=$C$1),'General Inputs'!E$9*$F34,0))</f>
        <v>0</v>
      </c>
      <c r="AH34" s="214">
        <f>IF(AND(($D34+$C$1)&gt;AH$3,AH$3&gt;=$C$1),'General Inputs'!F$9*$G34,IF(AND(($C34+$C$1)&gt;AH$3,AH$3&gt;=$C$1),'General Inputs'!F$9*$F34,0))</f>
        <v>20.56147670869337</v>
      </c>
      <c r="AI34" s="214">
        <f>IF(AND(($D34+$C$1)&gt;AI$3,AI$3&gt;=$C$1),'General Inputs'!G$9*$G34,IF(AND(($C34+$C$1)&gt;AI$3,AI$3&gt;=$C$1),'General Inputs'!G$9*$F34,0))</f>
        <v>20.869898859323769</v>
      </c>
      <c r="AJ34" s="214">
        <f>IF(AND(($D34+$C$1)&gt;AJ$3,AJ$3&gt;=$C$1),'General Inputs'!H$9*$G34,IF(AND(($C34+$C$1)&gt;AJ$3,AJ$3&gt;=$C$1),'General Inputs'!H$9*$F34,0))</f>
        <v>21.182947342213623</v>
      </c>
      <c r="AK34" s="214">
        <f>IF(AND(($D34+$C$1)&gt;AK$3,AK$3&gt;=$C$1),'General Inputs'!I$9*$G34,IF(AND(($C34+$C$1)&gt;AK$3,AK$3&gt;=$C$1),'General Inputs'!I$9*$F34,0))</f>
        <v>21.500691552346822</v>
      </c>
      <c r="AL34" s="214">
        <f>IF(AND(($D34+$C$1)&gt;AL$3,AL$3&gt;=$C$1),'General Inputs'!J$9*$G34,IF(AND(($C34+$C$1)&gt;AL$3,AL$3&gt;=$C$1),'General Inputs'!J$9*$F34,0))</f>
        <v>21.823201925632024</v>
      </c>
      <c r="AM34" s="214">
        <f>IF(AND(($D34+$C$1)&gt;AM$3,AM$3&gt;=$C$1),'General Inputs'!K$9*$G34,IF(AND(($C34+$C$1)&gt;AM$3,AM$3&gt;=$C$1),'General Inputs'!K$9*$F34,0))</f>
        <v>22.150549954516499</v>
      </c>
      <c r="AN34" s="214">
        <f>IF(AND(($D34+$C$1)&gt;AN$3,AN$3&gt;=$C$1),'General Inputs'!L$9*$G34,IF(AND(($C34+$C$1)&gt;AN$3,AN$3&gt;=$C$1),'General Inputs'!L$9*$F34,0))</f>
        <v>22.482808203834246</v>
      </c>
      <c r="AO34" s="214">
        <f>IF(AND(($D34+$C$1)&gt;AO$3,AO$3&gt;=$C$1),'General Inputs'!M$9*$G34,IF(AND(($C34+$C$1)&gt;AO$3,AO$3&gt;=$C$1),'General Inputs'!M$9*$F34,0))</f>
        <v>22.820050326891756</v>
      </c>
      <c r="AP34" s="214">
        <f>IF(AND(($D34+$C$1)&gt;AP$3,AP$3&gt;=$C$1),'General Inputs'!N$9*$G34,IF(AND(($C34+$C$1)&gt;AP$3,AP$3&gt;=$C$1),'General Inputs'!N$9*$F34,0))</f>
        <v>23.16235108179513</v>
      </c>
      <c r="AQ34" s="214">
        <f>IF(AND(($D34+$C$1)&gt;AQ$3,AQ$3&gt;=$C$1),'General Inputs'!O$9*$G34,IF(AND(($C34+$C$1)&gt;AQ$3,AQ$3&gt;=$C$1),'General Inputs'!O$9*$F34,0))</f>
        <v>23.509786348022054</v>
      </c>
      <c r="AR34" s="214">
        <f>IF(AND(($D34+$C$1)&gt;AR$3,AR$3&gt;=$C$1),'General Inputs'!P$9*$G34,IF(AND(($C34+$C$1)&gt;AR$3,AR$3&gt;=$C$1),'General Inputs'!P$9*$F34,0))</f>
        <v>23.862433143242384</v>
      </c>
      <c r="AS34" s="214">
        <f>IF(AND(($D34+$C$1)&gt;AS$3,AS$3&gt;=$C$1),'General Inputs'!Q$9*$G34,IF(AND(($C34+$C$1)&gt;AS$3,AS$3&gt;=$C$1),'General Inputs'!Q$9*$F34,0))</f>
        <v>24.220369640391016</v>
      </c>
      <c r="AT34" s="214">
        <f>IF(AND(($D34+$C$1)&gt;AT$3,AT$3&gt;=$C$1),'General Inputs'!R$9*$G34,IF(AND(($C34+$C$1)&gt;AT$3,AT$3&gt;=$C$1),'General Inputs'!R$9*$F34,0))</f>
        <v>24.583675184996881</v>
      </c>
      <c r="AU34" s="214">
        <f>IF(AND(($D34+$C$1)&gt;AU$3,AU$3&gt;=$C$1),'General Inputs'!S$9*$G34,IF(AND(($C34+$C$1)&gt;AU$3,AU$3&gt;=$C$1),'General Inputs'!S$9*$F34,0))</f>
        <v>24.952430312771835</v>
      </c>
      <c r="AV34" s="214">
        <f>IF(AND(($D34+$C$1)&gt;AV$3,AV$3&gt;=$C$1),'General Inputs'!T$9*$G34,IF(AND(($C34+$C$1)&gt;AV$3,AV$3&gt;=$C$1),'General Inputs'!T$9*$F34,0))</f>
        <v>25.326716767463409</v>
      </c>
      <c r="AW34" s="214">
        <f>IF(AND(($D34+$C$1)&gt;AW$3,AW$3&gt;=$C$1),'General Inputs'!U$9*$G34,IF(AND(($C34+$C$1)&gt;AW$3,AW$3&gt;=$C$1),'General Inputs'!U$9*$F34,0))</f>
        <v>25.70661751897536</v>
      </c>
      <c r="AX34" s="214">
        <f>IF(AND(($D34+$C$1)&gt;AX$3,AX$3&gt;=$C$1),'General Inputs'!V$9*$G34,IF(AND(($C34+$C$1)&gt;AX$3,AX$3&gt;=$C$1),'General Inputs'!V$9*$F34,0))</f>
        <v>26.092216781759987</v>
      </c>
      <c r="AY34" s="214">
        <f>IF(AND(($D34+$C$1)&gt;AY$3,AY$3&gt;=$C$1),'General Inputs'!W$9*$G34,IF(AND(($C34+$C$1)&gt;AY$3,AY$3&gt;=$C$1),'General Inputs'!W$9*$F34,0))</f>
        <v>26.483600033486383</v>
      </c>
      <c r="BA34" s="214">
        <f>IF(AND(($D34+$C$1)&gt;AF$3,AF$3&gt;=$C$1),'General Inputs'!D$10*$I34,IF(AND(($C34+$C$1)&gt;AF$3,AF$3&gt;=$C$1),'General Inputs'!D$10*$H34,0))</f>
        <v>0</v>
      </c>
      <c r="BB34" s="214">
        <f>IF(AND(($D34+$C$1)&gt;AG$3,AG$3&gt;=$C$1),'General Inputs'!E$10*$I34,IF(AND(($C34+$C$1)&gt;AG$3,AG$3&gt;=$C$1),'General Inputs'!E$10*$H34,0))</f>
        <v>0</v>
      </c>
      <c r="BC34" s="214">
        <f>IF(AND(($D34+$C$1)&gt;AH$3,AH$3&gt;=$C$1),'General Inputs'!F$10*$I34,IF(AND(($C34+$C$1)&gt;AH$3,AH$3&gt;=$C$1),'General Inputs'!F$10*$H34,0))</f>
        <v>8.0940048239483939</v>
      </c>
      <c r="BD34" s="214">
        <f>IF(AND(($D34+$C$1)&gt;AI$3,AI$3&gt;=$C$1),'General Inputs'!G$10*$I34,IF(AND(($C34+$C$1)&gt;AI$3,AI$3&gt;=$C$1),'General Inputs'!G$10*$H34,0))</f>
        <v>8.2154148963076192</v>
      </c>
      <c r="BE34" s="214">
        <f>IF(AND(($D34+$C$1)&gt;AJ$3,AJ$3&gt;=$C$1),'General Inputs'!H$10*$I34,IF(AND(($C34+$C$1)&gt;AJ$3,AJ$3&gt;=$C$1),'General Inputs'!H$10*$H34,0))</f>
        <v>8.3386461197522337</v>
      </c>
      <c r="BF34" s="214">
        <f>IF(AND(($D34+$C$1)&gt;AK$3,AK$3&gt;=$C$1),'General Inputs'!I$10*$I34,IF(AND(($C34+$C$1)&gt;AK$3,AK$3&gt;=$C$1),'General Inputs'!I$10*$H34,0))</f>
        <v>8.4637258115485157</v>
      </c>
      <c r="BG34" s="214">
        <f>IF(AND(($D34+$C$1)&gt;AL$3,AL$3&gt;=$C$1),'General Inputs'!J$10*$I34,IF(AND(($C34+$C$1)&gt;AL$3,AL$3&gt;=$C$1),'General Inputs'!J$10*$H34,0))</f>
        <v>8.5906816987217418</v>
      </c>
      <c r="BH34" s="214">
        <f>IF(AND(($D34+$C$1)&gt;AM$3,AM$3&gt;=$C$1),'General Inputs'!K$10*$I34,IF(AND(($C34+$C$1)&gt;AM$3,AM$3&gt;=$C$1),'General Inputs'!K$10*$H34,0))</f>
        <v>8.7195419242025682</v>
      </c>
      <c r="BI34" s="214">
        <f>IF(AND(($D34+$C$1)&gt;AN$3,AN$3&gt;=$C$1),'General Inputs'!L$10*$I34,IF(AND(($C34+$C$1)&gt;AN$3,AN$3&gt;=$C$1),'General Inputs'!L$10*$H34,0))</f>
        <v>8.8503350530656046</v>
      </c>
      <c r="BJ34" s="214">
        <f>IF(AND(($D34+$C$1)&gt;AO$3,AO$3&gt;=$C$1),'General Inputs'!M$10*$I34,IF(AND(($C34+$C$1)&gt;AO$3,AO$3&gt;=$C$1),'General Inputs'!M$10*$H34,0))</f>
        <v>8.9830900788615899</v>
      </c>
      <c r="BK34" s="214">
        <f>IF(AND(($D34+$C$1)&gt;AP$3,AP$3&gt;=$C$1),'General Inputs'!N$10*$I34,IF(AND(($C34+$C$1)&gt;AP$3,AP$3&gt;=$C$1),'General Inputs'!N$10*$H34,0))</f>
        <v>9.1178364300445125</v>
      </c>
      <c r="BL34" s="214">
        <f>IF(AND(($D34+$C$1)&gt;AQ$3,AQ$3&gt;=$C$1),'General Inputs'!O$10*$I34,IF(AND(($C34+$C$1)&gt;AQ$3,AQ$3&gt;=$C$1),'General Inputs'!O$10*$H34,0))</f>
        <v>9.2546039764951793</v>
      </c>
      <c r="BM34" s="214">
        <f>IF(AND(($D34+$C$1)&gt;AR$3,AR$3&gt;=$C$1),'General Inputs'!P$10*$I34,IF(AND(($C34+$C$1)&gt;AR$3,AR$3&gt;=$C$1),'General Inputs'!P$10*$H34,0))</f>
        <v>9.3934230361426057</v>
      </c>
      <c r="BN34" s="214">
        <f>IF(AND(($D34+$C$1)&gt;AS$3,AS$3&gt;=$C$1),'General Inputs'!Q$10*$I34,IF(AND(($C34+$C$1)&gt;AS$3,AS$3&gt;=$C$1),'General Inputs'!Q$10*$H34,0))</f>
        <v>9.5343243816847441</v>
      </c>
      <c r="BO34" s="214">
        <f>IF(AND(($D34+$C$1)&gt;AT$3,AT$3&gt;=$C$1),'General Inputs'!R$10*$I34,IF(AND(($C34+$C$1)&gt;AT$3,AT$3&gt;=$C$1),'General Inputs'!R$10*$H34,0))</f>
        <v>9.6773392474100124</v>
      </c>
      <c r="BP34" s="214">
        <f>IF(AND(($D34+$C$1)&gt;AU$3,AU$3&gt;=$C$1),'General Inputs'!S$10*$I34,IF(AND(($C34+$C$1)&gt;AU$3,AU$3&gt;=$C$1),'General Inputs'!S$10*$H34,0))</f>
        <v>9.8224993361211634</v>
      </c>
      <c r="BQ34" s="214">
        <f>IF(AND(($D34+$C$1)&gt;AV$3,AV$3&gt;=$C$1),'General Inputs'!T$10*$I34,IF(AND(($C34+$C$1)&gt;AV$3,AV$3&gt;=$C$1),'General Inputs'!T$10*$H34,0))</f>
        <v>9.9698368261629788</v>
      </c>
      <c r="BR34" s="214">
        <f>IF(AND(($D34+$C$1)&gt;AW$3,AW$3&gt;=$C$1),'General Inputs'!U$10*$I34,IF(AND(($C34+$C$1)&gt;AW$3,AW$3&gt;=$C$1),'General Inputs'!U$10*$H34,0))</f>
        <v>10.119384378555424</v>
      </c>
      <c r="BS34" s="214">
        <f>IF(AND(($D34+$C$1)&gt;AX$3,AX$3&gt;=$C$1),'General Inputs'!V$10*$I34,IF(AND(($C34+$C$1)&gt;AX$3,AX$3&gt;=$C$1),'General Inputs'!V$10*$H34,0))</f>
        <v>10.271175144233753</v>
      </c>
      <c r="BT34" s="214">
        <f>IF(AND(($D34+$C$1)&gt;AY$3,AY$3&gt;=$C$1),'General Inputs'!W$10*$I34,IF(AND(($C34+$C$1)&gt;AY$3,AY$3&gt;=$C$1),'General Inputs'!W$10*$H34,0))</f>
        <v>10.425242771397258</v>
      </c>
    </row>
    <row r="35" spans="1:72">
      <c r="A35" s="341" t="s">
        <v>12</v>
      </c>
      <c r="B35" s="427" t="str">
        <f>Sources!B35</f>
        <v>Heat Pump SEER 16</v>
      </c>
      <c r="C35" s="193">
        <f>Sources!C35</f>
        <v>18</v>
      </c>
      <c r="D35" s="193">
        <f>Sources!D35</f>
        <v>0</v>
      </c>
      <c r="F35" s="429">
        <f>Sources!F35*EnergyLineLoss</f>
        <v>594.43940023570508</v>
      </c>
      <c r="G35" s="429">
        <f>Sources!G35*EnergyLineLoss</f>
        <v>0</v>
      </c>
      <c r="H35" s="477">
        <f>Sources!H35*PeakLineLoss</f>
        <v>0.5246773594887183</v>
      </c>
      <c r="I35" s="477">
        <f>Sources!I35*PeakLineLoss</f>
        <v>0</v>
      </c>
      <c r="K35" s="419">
        <f>Sources!J35</f>
        <v>587.61649611556118</v>
      </c>
      <c r="L35" s="419">
        <f>Sources!K35</f>
        <v>0</v>
      </c>
      <c r="N35" s="438">
        <f t="shared" si="4"/>
        <v>0.5862951209915519</v>
      </c>
      <c r="P35" s="215">
        <f t="shared" si="0"/>
        <v>218.34173242218438</v>
      </c>
      <c r="Q35" s="215">
        <f t="shared" si="1"/>
        <v>72.484242810388025</v>
      </c>
      <c r="R35" s="215">
        <f t="shared" si="2"/>
        <v>496.04024461387775</v>
      </c>
      <c r="T35" s="214">
        <f t="shared" si="9"/>
        <v>0</v>
      </c>
      <c r="U35" s="214">
        <f t="shared" si="9"/>
        <v>0</v>
      </c>
      <c r="V35" s="214">
        <f t="shared" si="9"/>
        <v>587.61649611556118</v>
      </c>
      <c r="W35" s="214">
        <f t="shared" si="9"/>
        <v>0</v>
      </c>
      <c r="X35" s="214">
        <f t="shared" si="9"/>
        <v>0</v>
      </c>
      <c r="Y35" s="214">
        <f t="shared" si="9"/>
        <v>0</v>
      </c>
      <c r="Z35" s="214">
        <f t="shared" si="9"/>
        <v>0</v>
      </c>
      <c r="AA35" s="214">
        <f t="shared" si="9"/>
        <v>0</v>
      </c>
      <c r="AB35" s="214">
        <f t="shared" si="9"/>
        <v>0</v>
      </c>
      <c r="AC35" s="214">
        <f t="shared" si="9"/>
        <v>0</v>
      </c>
      <c r="AD35" s="214">
        <f t="shared" si="9"/>
        <v>0</v>
      </c>
      <c r="AF35" s="214">
        <f>IF(AND(($D35+$C$1)&gt;AF$3,AF$3&gt;=$C$1),'General Inputs'!D$9*$G35,IF(AND(($C35+$C$1)&gt;AF$3,AF$3&gt;=$C$1),'General Inputs'!D$9*$F35,0))</f>
        <v>0</v>
      </c>
      <c r="AG35" s="214">
        <f>IF(AND(($D35+$C$1)&gt;AG$3,AG$3&gt;=$C$1),'General Inputs'!E$9*$G35,IF(AND(($C35+$C$1)&gt;AG$3,AG$3&gt;=$C$1),'General Inputs'!E$9*$F35,0))</f>
        <v>0</v>
      </c>
      <c r="AH35" s="214">
        <f>IF(AND(($D35+$C$1)&gt;AH$3,AH$3&gt;=$C$1),'General Inputs'!F$9*$G35,IF(AND(($C35+$C$1)&gt;AH$3,AH$3&gt;=$C$1),'General Inputs'!F$9*$F35,0))</f>
        <v>24.381285738438265</v>
      </c>
      <c r="AI35" s="214">
        <f>IF(AND(($D35+$C$1)&gt;AI$3,AI$3&gt;=$C$1),'General Inputs'!G$9*$G35,IF(AND(($C35+$C$1)&gt;AI$3,AI$3&gt;=$C$1),'General Inputs'!G$9*$F35,0))</f>
        <v>24.747005024514838</v>
      </c>
      <c r="AJ35" s="214">
        <f>IF(AND(($D35+$C$1)&gt;AJ$3,AJ$3&gt;=$C$1),'General Inputs'!H$9*$G35,IF(AND(($C35+$C$1)&gt;AJ$3,AJ$3&gt;=$C$1),'General Inputs'!H$9*$F35,0))</f>
        <v>25.118210099882557</v>
      </c>
      <c r="AK35" s="214">
        <f>IF(AND(($D35+$C$1)&gt;AK$3,AK$3&gt;=$C$1),'General Inputs'!I$9*$G35,IF(AND(($C35+$C$1)&gt;AK$3,AK$3&gt;=$C$1),'General Inputs'!I$9*$F35,0))</f>
        <v>25.494983251380791</v>
      </c>
      <c r="AL35" s="214">
        <f>IF(AND(($D35+$C$1)&gt;AL$3,AL$3&gt;=$C$1),'General Inputs'!J$9*$G35,IF(AND(($C35+$C$1)&gt;AL$3,AL$3&gt;=$C$1),'General Inputs'!J$9*$F35,0))</f>
        <v>25.877408000151497</v>
      </c>
      <c r="AM35" s="214">
        <f>IF(AND(($D35+$C$1)&gt;AM$3,AM$3&gt;=$C$1),'General Inputs'!K$9*$G35,IF(AND(($C35+$C$1)&gt;AM$3,AM$3&gt;=$C$1),'General Inputs'!K$9*$F35,0))</f>
        <v>26.265569120153767</v>
      </c>
      <c r="AN35" s="214">
        <f>IF(AND(($D35+$C$1)&gt;AN$3,AN$3&gt;=$C$1),'General Inputs'!L$9*$G35,IF(AND(($C35+$C$1)&gt;AN$3,AN$3&gt;=$C$1),'General Inputs'!L$9*$F35,0))</f>
        <v>26.65955265695607</v>
      </c>
      <c r="AO35" s="214">
        <f>IF(AND(($D35+$C$1)&gt;AO$3,AO$3&gt;=$C$1),'General Inputs'!M$9*$G35,IF(AND(($C35+$C$1)&gt;AO$3,AO$3&gt;=$C$1),'General Inputs'!M$9*$F35,0))</f>
        <v>27.059445946810406</v>
      </c>
      <c r="AP35" s="214">
        <f>IF(AND(($D35+$C$1)&gt;AP$3,AP$3&gt;=$C$1),'General Inputs'!N$9*$G35,IF(AND(($C35+$C$1)&gt;AP$3,AP$3&gt;=$C$1),'General Inputs'!N$9*$F35,0))</f>
        <v>27.465337636012563</v>
      </c>
      <c r="AQ35" s="214">
        <f>IF(AND(($D35+$C$1)&gt;AQ$3,AQ$3&gt;=$C$1),'General Inputs'!O$9*$G35,IF(AND(($C35+$C$1)&gt;AQ$3,AQ$3&gt;=$C$1),'General Inputs'!O$9*$F35,0))</f>
        <v>27.877317700552748</v>
      </c>
      <c r="AR35" s="214">
        <f>IF(AND(($D35+$C$1)&gt;AR$3,AR$3&gt;=$C$1),'General Inputs'!P$9*$G35,IF(AND(($C35+$C$1)&gt;AR$3,AR$3&gt;=$C$1),'General Inputs'!P$9*$F35,0))</f>
        <v>28.295477466061037</v>
      </c>
      <c r="AS35" s="214">
        <f>IF(AND(($D35+$C$1)&gt;AS$3,AS$3&gt;=$C$1),'General Inputs'!Q$9*$G35,IF(AND(($C35+$C$1)&gt;AS$3,AS$3&gt;=$C$1),'General Inputs'!Q$9*$F35,0))</f>
        <v>28.719909628051951</v>
      </c>
      <c r="AT35" s="214">
        <f>IF(AND(($D35+$C$1)&gt;AT$3,AT$3&gt;=$C$1),'General Inputs'!R$9*$G35,IF(AND(($C35+$C$1)&gt;AT$3,AT$3&gt;=$C$1),'General Inputs'!R$9*$F35,0))</f>
        <v>29.150708272472727</v>
      </c>
      <c r="AU35" s="214">
        <f>IF(AND(($D35+$C$1)&gt;AU$3,AU$3&gt;=$C$1),'General Inputs'!S$9*$G35,IF(AND(($C35+$C$1)&gt;AU$3,AU$3&gt;=$C$1),'General Inputs'!S$9*$F35,0))</f>
        <v>29.587968896559815</v>
      </c>
      <c r="AV35" s="214">
        <f>IF(AND(($D35+$C$1)&gt;AV$3,AV$3&gt;=$C$1),'General Inputs'!T$9*$G35,IF(AND(($C35+$C$1)&gt;AV$3,AV$3&gt;=$C$1),'General Inputs'!T$9*$F35,0))</f>
        <v>30.031788430008213</v>
      </c>
      <c r="AW35" s="214">
        <f>IF(AND(($D35+$C$1)&gt;AW$3,AW$3&gt;=$C$1),'General Inputs'!U$9*$G35,IF(AND(($C35+$C$1)&gt;AW$3,AW$3&gt;=$C$1),'General Inputs'!U$9*$F35,0))</f>
        <v>30.482265256458334</v>
      </c>
      <c r="AX35" s="214">
        <f>IF(AND(($D35+$C$1)&gt;AX$3,AX$3&gt;=$C$1),'General Inputs'!V$9*$G35,IF(AND(($C35+$C$1)&gt;AX$3,AX$3&gt;=$C$1),'General Inputs'!V$9*$F35,0))</f>
        <v>30.939499235305206</v>
      </c>
      <c r="AY35" s="214">
        <f>IF(AND(($D35+$C$1)&gt;AY$3,AY$3&gt;=$C$1),'General Inputs'!W$9*$G35,IF(AND(($C35+$C$1)&gt;AY$3,AY$3&gt;=$C$1),'General Inputs'!W$9*$F35,0))</f>
        <v>31.403591723834779</v>
      </c>
      <c r="BA35" s="214">
        <f>IF(AND(($D35+$C$1)&gt;AF$3,AF$3&gt;=$C$1),'General Inputs'!D$10*$I35,IF(AND(($C35+$C$1)&gt;AF$3,AF$3&gt;=$C$1),'General Inputs'!D$10*$H35,0))</f>
        <v>0</v>
      </c>
      <c r="BB35" s="214">
        <f>IF(AND(($D35+$C$1)&gt;AG$3,AG$3&gt;=$C$1),'General Inputs'!E$10*$I35,IF(AND(($C35+$C$1)&gt;AG$3,AG$3&gt;=$C$1),'General Inputs'!E$10*$H35,0))</f>
        <v>0</v>
      </c>
      <c r="BC35" s="214">
        <f>IF(AND(($D35+$C$1)&gt;AH$3,AH$3&gt;=$C$1),'General Inputs'!F$10*$I35,IF(AND(($C35+$C$1)&gt;AH$3,AH$3&gt;=$C$1),'General Inputs'!F$10*$H35,0))</f>
        <v>8.0940048239483939</v>
      </c>
      <c r="BD35" s="214">
        <f>IF(AND(($D35+$C$1)&gt;AI$3,AI$3&gt;=$C$1),'General Inputs'!G$10*$I35,IF(AND(($C35+$C$1)&gt;AI$3,AI$3&gt;=$C$1),'General Inputs'!G$10*$H35,0))</f>
        <v>8.2154148963076192</v>
      </c>
      <c r="BE35" s="214">
        <f>IF(AND(($D35+$C$1)&gt;AJ$3,AJ$3&gt;=$C$1),'General Inputs'!H$10*$I35,IF(AND(($C35+$C$1)&gt;AJ$3,AJ$3&gt;=$C$1),'General Inputs'!H$10*$H35,0))</f>
        <v>8.3386461197522337</v>
      </c>
      <c r="BF35" s="214">
        <f>IF(AND(($D35+$C$1)&gt;AK$3,AK$3&gt;=$C$1),'General Inputs'!I$10*$I35,IF(AND(($C35+$C$1)&gt;AK$3,AK$3&gt;=$C$1),'General Inputs'!I$10*$H35,0))</f>
        <v>8.4637258115485157</v>
      </c>
      <c r="BG35" s="214">
        <f>IF(AND(($D35+$C$1)&gt;AL$3,AL$3&gt;=$C$1),'General Inputs'!J$10*$I35,IF(AND(($C35+$C$1)&gt;AL$3,AL$3&gt;=$C$1),'General Inputs'!J$10*$H35,0))</f>
        <v>8.5906816987217418</v>
      </c>
      <c r="BH35" s="214">
        <f>IF(AND(($D35+$C$1)&gt;AM$3,AM$3&gt;=$C$1),'General Inputs'!K$10*$I35,IF(AND(($C35+$C$1)&gt;AM$3,AM$3&gt;=$C$1),'General Inputs'!K$10*$H35,0))</f>
        <v>8.7195419242025682</v>
      </c>
      <c r="BI35" s="214">
        <f>IF(AND(($D35+$C$1)&gt;AN$3,AN$3&gt;=$C$1),'General Inputs'!L$10*$I35,IF(AND(($C35+$C$1)&gt;AN$3,AN$3&gt;=$C$1),'General Inputs'!L$10*$H35,0))</f>
        <v>8.8503350530656046</v>
      </c>
      <c r="BJ35" s="214">
        <f>IF(AND(($D35+$C$1)&gt;AO$3,AO$3&gt;=$C$1),'General Inputs'!M$10*$I35,IF(AND(($C35+$C$1)&gt;AO$3,AO$3&gt;=$C$1),'General Inputs'!M$10*$H35,0))</f>
        <v>8.9830900788615899</v>
      </c>
      <c r="BK35" s="214">
        <f>IF(AND(($D35+$C$1)&gt;AP$3,AP$3&gt;=$C$1),'General Inputs'!N$10*$I35,IF(AND(($C35+$C$1)&gt;AP$3,AP$3&gt;=$C$1),'General Inputs'!N$10*$H35,0))</f>
        <v>9.1178364300445125</v>
      </c>
      <c r="BL35" s="214">
        <f>IF(AND(($D35+$C$1)&gt;AQ$3,AQ$3&gt;=$C$1),'General Inputs'!O$10*$I35,IF(AND(($C35+$C$1)&gt;AQ$3,AQ$3&gt;=$C$1),'General Inputs'!O$10*$H35,0))</f>
        <v>9.2546039764951793</v>
      </c>
      <c r="BM35" s="214">
        <f>IF(AND(($D35+$C$1)&gt;AR$3,AR$3&gt;=$C$1),'General Inputs'!P$10*$I35,IF(AND(($C35+$C$1)&gt;AR$3,AR$3&gt;=$C$1),'General Inputs'!P$10*$H35,0))</f>
        <v>9.3934230361426057</v>
      </c>
      <c r="BN35" s="214">
        <f>IF(AND(($D35+$C$1)&gt;AS$3,AS$3&gt;=$C$1),'General Inputs'!Q$10*$I35,IF(AND(($C35+$C$1)&gt;AS$3,AS$3&gt;=$C$1),'General Inputs'!Q$10*$H35,0))</f>
        <v>9.5343243816847441</v>
      </c>
      <c r="BO35" s="214">
        <f>IF(AND(($D35+$C$1)&gt;AT$3,AT$3&gt;=$C$1),'General Inputs'!R$10*$I35,IF(AND(($C35+$C$1)&gt;AT$3,AT$3&gt;=$C$1),'General Inputs'!R$10*$H35,0))</f>
        <v>9.6773392474100124</v>
      </c>
      <c r="BP35" s="214">
        <f>IF(AND(($D35+$C$1)&gt;AU$3,AU$3&gt;=$C$1),'General Inputs'!S$10*$I35,IF(AND(($C35+$C$1)&gt;AU$3,AU$3&gt;=$C$1),'General Inputs'!S$10*$H35,0))</f>
        <v>9.8224993361211634</v>
      </c>
      <c r="BQ35" s="214">
        <f>IF(AND(($D35+$C$1)&gt;AV$3,AV$3&gt;=$C$1),'General Inputs'!T$10*$I35,IF(AND(($C35+$C$1)&gt;AV$3,AV$3&gt;=$C$1),'General Inputs'!T$10*$H35,0))</f>
        <v>9.9698368261629788</v>
      </c>
      <c r="BR35" s="214">
        <f>IF(AND(($D35+$C$1)&gt;AW$3,AW$3&gt;=$C$1),'General Inputs'!U$10*$I35,IF(AND(($C35+$C$1)&gt;AW$3,AW$3&gt;=$C$1),'General Inputs'!U$10*$H35,0))</f>
        <v>10.119384378555424</v>
      </c>
      <c r="BS35" s="214">
        <f>IF(AND(($D35+$C$1)&gt;AX$3,AX$3&gt;=$C$1),'General Inputs'!V$10*$I35,IF(AND(($C35+$C$1)&gt;AX$3,AX$3&gt;=$C$1),'General Inputs'!V$10*$H35,0))</f>
        <v>10.271175144233753</v>
      </c>
      <c r="BT35" s="214">
        <f>IF(AND(($D35+$C$1)&gt;AY$3,AY$3&gt;=$C$1),'General Inputs'!W$10*$I35,IF(AND(($C35+$C$1)&gt;AY$3,AY$3&gt;=$C$1),'General Inputs'!W$10*$H35,0))</f>
        <v>10.425242771397258</v>
      </c>
    </row>
    <row r="36" spans="1:72">
      <c r="A36" s="341" t="s">
        <v>12</v>
      </c>
      <c r="B36" s="427" t="str">
        <f>Sources!B36</f>
        <v>Early Retirement Heat Pump SEER 15</v>
      </c>
      <c r="C36" s="193">
        <f>Sources!C36</f>
        <v>18</v>
      </c>
      <c r="D36" s="193">
        <f>Sources!D36</f>
        <v>8</v>
      </c>
      <c r="F36" s="429">
        <f>Sources!F36*EnergyLineLoss</f>
        <v>501.30875023570508</v>
      </c>
      <c r="G36" s="429">
        <f>Sources!G36*EnergyLineLoss</f>
        <v>3443.3489647058827</v>
      </c>
      <c r="H36" s="477">
        <f>Sources!H36*PeakLineLoss</f>
        <v>0.5246773594887183</v>
      </c>
      <c r="I36" s="477">
        <f>Sources!I36*PeakLineLoss</f>
        <v>2.0040190526854222</v>
      </c>
      <c r="K36" s="419">
        <f>Sources!J36</f>
        <v>2480.1501390380126</v>
      </c>
      <c r="L36" s="419">
        <f>Sources!K36</f>
        <v>2186.3418909802322</v>
      </c>
      <c r="N36" s="438">
        <f t="shared" si="4"/>
        <v>0.88661214404034627</v>
      </c>
      <c r="P36" s="215">
        <f t="shared" si="0"/>
        <v>830.5688969508733</v>
      </c>
      <c r="Q36" s="215">
        <f t="shared" si="1"/>
        <v>194.73925462565697</v>
      </c>
      <c r="R36" s="215">
        <f t="shared" si="2"/>
        <v>1156.433688020714</v>
      </c>
      <c r="T36" s="214">
        <f t="shared" si="9"/>
        <v>0</v>
      </c>
      <c r="U36" s="214">
        <f t="shared" si="9"/>
        <v>0</v>
      </c>
      <c r="V36" s="214">
        <f t="shared" si="9"/>
        <v>2480.1501390380126</v>
      </c>
      <c r="W36" s="214">
        <f t="shared" si="9"/>
        <v>0</v>
      </c>
      <c r="X36" s="214">
        <f t="shared" si="9"/>
        <v>0</v>
      </c>
      <c r="Y36" s="214">
        <f t="shared" si="9"/>
        <v>0</v>
      </c>
      <c r="Z36" s="214">
        <f t="shared" si="9"/>
        <v>0</v>
      </c>
      <c r="AA36" s="214">
        <f t="shared" si="9"/>
        <v>0</v>
      </c>
      <c r="AB36" s="214">
        <f t="shared" si="9"/>
        <v>0</v>
      </c>
      <c r="AC36" s="214">
        <f t="shared" si="9"/>
        <v>0</v>
      </c>
      <c r="AD36" s="214">
        <f t="shared" si="9"/>
        <v>-2186.3418909802322</v>
      </c>
      <c r="AF36" s="214">
        <f>IF(AND(($D36+$C$1)&gt;AF$3,AF$3&gt;=$C$1),'General Inputs'!D$9*$G36,IF(AND(($C36+$C$1)&gt;AF$3,AF$3&gt;=$C$1),'General Inputs'!D$9*$F36,0))</f>
        <v>0</v>
      </c>
      <c r="AG36" s="214">
        <f>IF(AND(($D36+$C$1)&gt;AG$3,AG$3&gt;=$C$1),'General Inputs'!E$9*$G36,IF(AND(($C36+$C$1)&gt;AG$3,AG$3&gt;=$C$1),'General Inputs'!E$9*$F36,0))</f>
        <v>0</v>
      </c>
      <c r="AH36" s="214">
        <f>IF(AND(($D36+$C$1)&gt;AH$3,AH$3&gt;=$C$1),'General Inputs'!F$9*$G36,IF(AND(($C36+$C$1)&gt;AH$3,AH$3&gt;=$C$1),'General Inputs'!F$9*$F36,0))</f>
        <v>141.23100684840344</v>
      </c>
      <c r="AI36" s="214">
        <f>IF(AND(($D36+$C$1)&gt;AI$3,AI$3&gt;=$C$1),'General Inputs'!G$9*$G36,IF(AND(($C36+$C$1)&gt;AI$3,AI$3&gt;=$C$1),'General Inputs'!G$9*$F36,0))</f>
        <v>143.34947195112949</v>
      </c>
      <c r="AJ36" s="214">
        <f>IF(AND(($D36+$C$1)&gt;AJ$3,AJ$3&gt;=$C$1),'General Inputs'!H$9*$G36,IF(AND(($C36+$C$1)&gt;AJ$3,AJ$3&gt;=$C$1),'General Inputs'!H$9*$F36,0))</f>
        <v>145.4997140303964</v>
      </c>
      <c r="AK36" s="214">
        <f>IF(AND(($D36+$C$1)&gt;AK$3,AK$3&gt;=$C$1),'General Inputs'!I$9*$G36,IF(AND(($C36+$C$1)&gt;AK$3,AK$3&gt;=$C$1),'General Inputs'!I$9*$F36,0))</f>
        <v>147.68220974085233</v>
      </c>
      <c r="AL36" s="214">
        <f>IF(AND(($D36+$C$1)&gt;AL$3,AL$3&gt;=$C$1),'General Inputs'!J$9*$G36,IF(AND(($C36+$C$1)&gt;AL$3,AL$3&gt;=$C$1),'General Inputs'!J$9*$F36,0))</f>
        <v>149.89744288696511</v>
      </c>
      <c r="AM36" s="214">
        <f>IF(AND(($D36+$C$1)&gt;AM$3,AM$3&gt;=$C$1),'General Inputs'!K$9*$G36,IF(AND(($C36+$C$1)&gt;AM$3,AM$3&gt;=$C$1),'General Inputs'!K$9*$F36,0))</f>
        <v>152.14590453026955</v>
      </c>
      <c r="AN36" s="214">
        <f>IF(AND(($D36+$C$1)&gt;AN$3,AN$3&gt;=$C$1),'General Inputs'!L$9*$G36,IF(AND(($C36+$C$1)&gt;AN$3,AN$3&gt;=$C$1),'General Inputs'!L$9*$F36,0))</f>
        <v>154.42809309822357</v>
      </c>
      <c r="AO36" s="214">
        <f>IF(AND(($D36+$C$1)&gt;AO$3,AO$3&gt;=$C$1),'General Inputs'!M$9*$G36,IF(AND(($C36+$C$1)&gt;AO$3,AO$3&gt;=$C$1),'General Inputs'!M$9*$F36,0))</f>
        <v>156.74451449469692</v>
      </c>
      <c r="AP36" s="214">
        <f>IF(AND(($D36+$C$1)&gt;AP$3,AP$3&gt;=$C$1),'General Inputs'!N$9*$G36,IF(AND(($C36+$C$1)&gt;AP$3,AP$3&gt;=$C$1),'General Inputs'!N$9*$F36,0))</f>
        <v>23.16235108179513</v>
      </c>
      <c r="AQ36" s="214">
        <f>IF(AND(($D36+$C$1)&gt;AQ$3,AQ$3&gt;=$C$1),'General Inputs'!O$9*$G36,IF(AND(($C36+$C$1)&gt;AQ$3,AQ$3&gt;=$C$1),'General Inputs'!O$9*$F36,0))</f>
        <v>23.509786348022054</v>
      </c>
      <c r="AR36" s="214">
        <f>IF(AND(($D36+$C$1)&gt;AR$3,AR$3&gt;=$C$1),'General Inputs'!P$9*$G36,IF(AND(($C36+$C$1)&gt;AR$3,AR$3&gt;=$C$1),'General Inputs'!P$9*$F36,0))</f>
        <v>23.862433143242384</v>
      </c>
      <c r="AS36" s="214">
        <f>IF(AND(($D36+$C$1)&gt;AS$3,AS$3&gt;=$C$1),'General Inputs'!Q$9*$G36,IF(AND(($C36+$C$1)&gt;AS$3,AS$3&gt;=$C$1),'General Inputs'!Q$9*$F36,0))</f>
        <v>24.220369640391016</v>
      </c>
      <c r="AT36" s="214">
        <f>IF(AND(($D36+$C$1)&gt;AT$3,AT$3&gt;=$C$1),'General Inputs'!R$9*$G36,IF(AND(($C36+$C$1)&gt;AT$3,AT$3&gt;=$C$1),'General Inputs'!R$9*$F36,0))</f>
        <v>24.583675184996881</v>
      </c>
      <c r="AU36" s="214">
        <f>IF(AND(($D36+$C$1)&gt;AU$3,AU$3&gt;=$C$1),'General Inputs'!S$9*$G36,IF(AND(($C36+$C$1)&gt;AU$3,AU$3&gt;=$C$1),'General Inputs'!S$9*$F36,0))</f>
        <v>24.952430312771835</v>
      </c>
      <c r="AV36" s="214">
        <f>IF(AND(($D36+$C$1)&gt;AV$3,AV$3&gt;=$C$1),'General Inputs'!T$9*$G36,IF(AND(($C36+$C$1)&gt;AV$3,AV$3&gt;=$C$1),'General Inputs'!T$9*$F36,0))</f>
        <v>25.326716767463409</v>
      </c>
      <c r="AW36" s="214">
        <f>IF(AND(($D36+$C$1)&gt;AW$3,AW$3&gt;=$C$1),'General Inputs'!U$9*$G36,IF(AND(($C36+$C$1)&gt;AW$3,AW$3&gt;=$C$1),'General Inputs'!U$9*$F36,0))</f>
        <v>25.70661751897536</v>
      </c>
      <c r="AX36" s="214">
        <f>IF(AND(($D36+$C$1)&gt;AX$3,AX$3&gt;=$C$1),'General Inputs'!V$9*$G36,IF(AND(($C36+$C$1)&gt;AX$3,AX$3&gt;=$C$1),'General Inputs'!V$9*$F36,0))</f>
        <v>26.092216781759987</v>
      </c>
      <c r="AY36" s="214">
        <f>IF(AND(($D36+$C$1)&gt;AY$3,AY$3&gt;=$C$1),'General Inputs'!W$9*$G36,IF(AND(($C36+$C$1)&gt;AY$3,AY$3&gt;=$C$1),'General Inputs'!W$9*$F36,0))</f>
        <v>26.483600033486383</v>
      </c>
      <c r="BA36" s="214">
        <f>IF(AND(($D36+$C$1)&gt;AF$3,AF$3&gt;=$C$1),'General Inputs'!D$10*$I36,IF(AND(($C36+$C$1)&gt;AF$3,AF$3&gt;=$C$1),'General Inputs'!D$10*$H36,0))</f>
        <v>0</v>
      </c>
      <c r="BB36" s="214">
        <f>IF(AND(($D36+$C$1)&gt;AG$3,AG$3&gt;=$C$1),'General Inputs'!E$10*$I36,IF(AND(($C36+$C$1)&gt;AG$3,AG$3&gt;=$C$1),'General Inputs'!E$10*$H36,0))</f>
        <v>0</v>
      </c>
      <c r="BC36" s="214">
        <f>IF(AND(($D36+$C$1)&gt;AH$3,AH$3&gt;=$C$1),'General Inputs'!F$10*$I36,IF(AND(($C36+$C$1)&gt;AH$3,AH$3&gt;=$C$1),'General Inputs'!F$10*$H36,0))</f>
        <v>30.915265517701599</v>
      </c>
      <c r="BD36" s="214">
        <f>IF(AND(($D36+$C$1)&gt;AI$3,AI$3&gt;=$C$1),'General Inputs'!G$10*$I36,IF(AND(($C36+$C$1)&gt;AI$3,AI$3&gt;=$C$1),'General Inputs'!G$10*$H36,0))</f>
        <v>31.378994500467122</v>
      </c>
      <c r="BE36" s="214">
        <f>IF(AND(($D36+$C$1)&gt;AJ$3,AJ$3&gt;=$C$1),'General Inputs'!H$10*$I36,IF(AND(($C36+$C$1)&gt;AJ$3,AJ$3&gt;=$C$1),'General Inputs'!H$10*$H36,0))</f>
        <v>31.849679417974126</v>
      </c>
      <c r="BF36" s="214">
        <f>IF(AND(($D36+$C$1)&gt;AK$3,AK$3&gt;=$C$1),'General Inputs'!I$10*$I36,IF(AND(($C36+$C$1)&gt;AK$3,AK$3&gt;=$C$1),'General Inputs'!I$10*$H36,0))</f>
        <v>32.327424609243728</v>
      </c>
      <c r="BG36" s="214">
        <f>IF(AND(($D36+$C$1)&gt;AL$3,AL$3&gt;=$C$1),'General Inputs'!J$10*$I36,IF(AND(($C36+$C$1)&gt;AL$3,AL$3&gt;=$C$1),'General Inputs'!J$10*$H36,0))</f>
        <v>32.812335978382386</v>
      </c>
      <c r="BH36" s="214">
        <f>IF(AND(($D36+$C$1)&gt;AM$3,AM$3&gt;=$C$1),'General Inputs'!K$10*$I36,IF(AND(($C36+$C$1)&gt;AM$3,AM$3&gt;=$C$1),'General Inputs'!K$10*$H36,0))</f>
        <v>33.304521018058118</v>
      </c>
      <c r="BI36" s="214">
        <f>IF(AND(($D36+$C$1)&gt;AN$3,AN$3&gt;=$C$1),'General Inputs'!L$10*$I36,IF(AND(($C36+$C$1)&gt;AN$3,AN$3&gt;=$C$1),'General Inputs'!L$10*$H36,0))</f>
        <v>33.80408883332899</v>
      </c>
      <c r="BJ36" s="214">
        <f>IF(AND(($D36+$C$1)&gt;AO$3,AO$3&gt;=$C$1),'General Inputs'!M$10*$I36,IF(AND(($C36+$C$1)&gt;AO$3,AO$3&gt;=$C$1),'General Inputs'!M$10*$H36,0))</f>
        <v>34.31115016582892</v>
      </c>
      <c r="BK36" s="214">
        <f>IF(AND(($D36+$C$1)&gt;AP$3,AP$3&gt;=$C$1),'General Inputs'!N$10*$I36,IF(AND(($C36+$C$1)&gt;AP$3,AP$3&gt;=$C$1),'General Inputs'!N$10*$H36,0))</f>
        <v>9.1178364300445125</v>
      </c>
      <c r="BL36" s="214">
        <f>IF(AND(($D36+$C$1)&gt;AQ$3,AQ$3&gt;=$C$1),'General Inputs'!O$10*$I36,IF(AND(($C36+$C$1)&gt;AQ$3,AQ$3&gt;=$C$1),'General Inputs'!O$10*$H36,0))</f>
        <v>9.2546039764951793</v>
      </c>
      <c r="BM36" s="214">
        <f>IF(AND(($D36+$C$1)&gt;AR$3,AR$3&gt;=$C$1),'General Inputs'!P$10*$I36,IF(AND(($C36+$C$1)&gt;AR$3,AR$3&gt;=$C$1),'General Inputs'!P$10*$H36,0))</f>
        <v>9.3934230361426057</v>
      </c>
      <c r="BN36" s="214">
        <f>IF(AND(($D36+$C$1)&gt;AS$3,AS$3&gt;=$C$1),'General Inputs'!Q$10*$I36,IF(AND(($C36+$C$1)&gt;AS$3,AS$3&gt;=$C$1),'General Inputs'!Q$10*$H36,0))</f>
        <v>9.5343243816847441</v>
      </c>
      <c r="BO36" s="214">
        <f>IF(AND(($D36+$C$1)&gt;AT$3,AT$3&gt;=$C$1),'General Inputs'!R$10*$I36,IF(AND(($C36+$C$1)&gt;AT$3,AT$3&gt;=$C$1),'General Inputs'!R$10*$H36,0))</f>
        <v>9.6773392474100124</v>
      </c>
      <c r="BP36" s="214">
        <f>IF(AND(($D36+$C$1)&gt;AU$3,AU$3&gt;=$C$1),'General Inputs'!S$10*$I36,IF(AND(($C36+$C$1)&gt;AU$3,AU$3&gt;=$C$1),'General Inputs'!S$10*$H36,0))</f>
        <v>9.8224993361211634</v>
      </c>
      <c r="BQ36" s="214">
        <f>IF(AND(($D36+$C$1)&gt;AV$3,AV$3&gt;=$C$1),'General Inputs'!T$10*$I36,IF(AND(($C36+$C$1)&gt;AV$3,AV$3&gt;=$C$1),'General Inputs'!T$10*$H36,0))</f>
        <v>9.9698368261629788</v>
      </c>
      <c r="BR36" s="214">
        <f>IF(AND(($D36+$C$1)&gt;AW$3,AW$3&gt;=$C$1),'General Inputs'!U$10*$I36,IF(AND(($C36+$C$1)&gt;AW$3,AW$3&gt;=$C$1),'General Inputs'!U$10*$H36,0))</f>
        <v>10.119384378555424</v>
      </c>
      <c r="BS36" s="214">
        <f>IF(AND(($D36+$C$1)&gt;AX$3,AX$3&gt;=$C$1),'General Inputs'!V$10*$I36,IF(AND(($C36+$C$1)&gt;AX$3,AX$3&gt;=$C$1),'General Inputs'!V$10*$H36,0))</f>
        <v>10.271175144233753</v>
      </c>
      <c r="BT36" s="214">
        <f>IF(AND(($D36+$C$1)&gt;AY$3,AY$3&gt;=$C$1),'General Inputs'!W$10*$I36,IF(AND(($C36+$C$1)&gt;AY$3,AY$3&gt;=$C$1),'General Inputs'!W$10*$H36,0))</f>
        <v>10.425242771397258</v>
      </c>
    </row>
    <row r="37" spans="1:72">
      <c r="A37" s="341" t="s">
        <v>12</v>
      </c>
      <c r="B37" s="427" t="str">
        <f>Sources!B37</f>
        <v>Early Retirement Heat Pump SEER 16</v>
      </c>
      <c r="C37" s="193">
        <f>Sources!C37</f>
        <v>18</v>
      </c>
      <c r="D37" s="193">
        <f>Sources!D37</f>
        <v>8</v>
      </c>
      <c r="F37" s="429">
        <f>Sources!F37*EnergyLineLoss</f>
        <v>594.43940023570508</v>
      </c>
      <c r="G37" s="429">
        <f>Sources!G37*EnergyLineLoss</f>
        <v>3536.4796147058828</v>
      </c>
      <c r="H37" s="477">
        <f>Sources!H37*PeakLineLoss</f>
        <v>0.5246773594887183</v>
      </c>
      <c r="I37" s="477">
        <f>Sources!I37*PeakLineLoss</f>
        <v>2.0040190526854222</v>
      </c>
      <c r="K37" s="419">
        <f>Sources!J37</f>
        <v>2773.9583870957931</v>
      </c>
      <c r="L37" s="419">
        <f>Sources!K37</f>
        <v>2186.3418909802322</v>
      </c>
      <c r="N37" s="438">
        <f t="shared" si="4"/>
        <v>0.75439696218921892</v>
      </c>
      <c r="P37" s="215">
        <f t="shared" si="0"/>
        <v>864.77643342059798</v>
      </c>
      <c r="Q37" s="215">
        <f t="shared" si="1"/>
        <v>194.73925462565697</v>
      </c>
      <c r="R37" s="215">
        <f t="shared" si="2"/>
        <v>1404.4538103276532</v>
      </c>
      <c r="T37" s="214">
        <f t="shared" si="9"/>
        <v>0</v>
      </c>
      <c r="U37" s="214">
        <f t="shared" si="9"/>
        <v>0</v>
      </c>
      <c r="V37" s="214">
        <f t="shared" si="9"/>
        <v>2773.9583870957931</v>
      </c>
      <c r="W37" s="214">
        <f t="shared" si="9"/>
        <v>0</v>
      </c>
      <c r="X37" s="214">
        <f t="shared" si="9"/>
        <v>0</v>
      </c>
      <c r="Y37" s="214">
        <f t="shared" si="9"/>
        <v>0</v>
      </c>
      <c r="Z37" s="214">
        <f t="shared" si="9"/>
        <v>0</v>
      </c>
      <c r="AA37" s="214">
        <f t="shared" si="9"/>
        <v>0</v>
      </c>
      <c r="AB37" s="214">
        <f t="shared" si="9"/>
        <v>0</v>
      </c>
      <c r="AC37" s="214">
        <f t="shared" si="9"/>
        <v>0</v>
      </c>
      <c r="AD37" s="214">
        <f t="shared" si="9"/>
        <v>-2186.3418909802322</v>
      </c>
      <c r="AF37" s="214">
        <f>IF(AND(($D37+$C$1)&gt;AF$3,AF$3&gt;=$C$1),'General Inputs'!D$9*$G37,IF(AND(($C37+$C$1)&gt;AF$3,AF$3&gt;=$C$1),'General Inputs'!D$9*$F37,0))</f>
        <v>0</v>
      </c>
      <c r="AG37" s="214">
        <f>IF(AND(($D37+$C$1)&gt;AG$3,AG$3&gt;=$C$1),'General Inputs'!E$9*$G37,IF(AND(($C37+$C$1)&gt;AG$3,AG$3&gt;=$C$1),'General Inputs'!E$9*$F37,0))</f>
        <v>0</v>
      </c>
      <c r="AH37" s="214">
        <f>IF(AND(($D37+$C$1)&gt;AH$3,AH$3&gt;=$C$1),'General Inputs'!F$9*$G37,IF(AND(($C37+$C$1)&gt;AH$3,AH$3&gt;=$C$1),'General Inputs'!F$9*$F37,0))</f>
        <v>145.05081587814834</v>
      </c>
      <c r="AI37" s="214">
        <f>IF(AND(($D37+$C$1)&gt;AI$3,AI$3&gt;=$C$1),'General Inputs'!G$9*$G37,IF(AND(($C37+$C$1)&gt;AI$3,AI$3&gt;=$C$1),'General Inputs'!G$9*$F37,0))</f>
        <v>147.22657811632055</v>
      </c>
      <c r="AJ37" s="214">
        <f>IF(AND(($D37+$C$1)&gt;AJ$3,AJ$3&gt;=$C$1),'General Inputs'!H$9*$G37,IF(AND(($C37+$C$1)&gt;AJ$3,AJ$3&gt;=$C$1),'General Inputs'!H$9*$F37,0))</f>
        <v>149.43497678806534</v>
      </c>
      <c r="AK37" s="214">
        <f>IF(AND(($D37+$C$1)&gt;AK$3,AK$3&gt;=$C$1),'General Inputs'!I$9*$G37,IF(AND(($C37+$C$1)&gt;AK$3,AK$3&gt;=$C$1),'General Inputs'!I$9*$F37,0))</f>
        <v>151.67650143988629</v>
      </c>
      <c r="AL37" s="214">
        <f>IF(AND(($D37+$C$1)&gt;AL$3,AL$3&gt;=$C$1),'General Inputs'!J$9*$G37,IF(AND(($C37+$C$1)&gt;AL$3,AL$3&gt;=$C$1),'General Inputs'!J$9*$F37,0))</f>
        <v>153.95164896148458</v>
      </c>
      <c r="AM37" s="214">
        <f>IF(AND(($D37+$C$1)&gt;AM$3,AM$3&gt;=$C$1),'General Inputs'!K$9*$G37,IF(AND(($C37+$C$1)&gt;AM$3,AM$3&gt;=$C$1),'General Inputs'!K$9*$F37,0))</f>
        <v>156.26092369590683</v>
      </c>
      <c r="AN37" s="214">
        <f>IF(AND(($D37+$C$1)&gt;AN$3,AN$3&gt;=$C$1),'General Inputs'!L$9*$G37,IF(AND(($C37+$C$1)&gt;AN$3,AN$3&gt;=$C$1),'General Inputs'!L$9*$F37,0))</f>
        <v>158.60483755134541</v>
      </c>
      <c r="AO37" s="214">
        <f>IF(AND(($D37+$C$1)&gt;AO$3,AO$3&gt;=$C$1),'General Inputs'!M$9*$G37,IF(AND(($C37+$C$1)&gt;AO$3,AO$3&gt;=$C$1),'General Inputs'!M$9*$F37,0))</f>
        <v>160.98391011461555</v>
      </c>
      <c r="AP37" s="214">
        <f>IF(AND(($D37+$C$1)&gt;AP$3,AP$3&gt;=$C$1),'General Inputs'!N$9*$G37,IF(AND(($C37+$C$1)&gt;AP$3,AP$3&gt;=$C$1),'General Inputs'!N$9*$F37,0))</f>
        <v>27.465337636012563</v>
      </c>
      <c r="AQ37" s="214">
        <f>IF(AND(($D37+$C$1)&gt;AQ$3,AQ$3&gt;=$C$1),'General Inputs'!O$9*$G37,IF(AND(($C37+$C$1)&gt;AQ$3,AQ$3&gt;=$C$1),'General Inputs'!O$9*$F37,0))</f>
        <v>27.877317700552748</v>
      </c>
      <c r="AR37" s="214">
        <f>IF(AND(($D37+$C$1)&gt;AR$3,AR$3&gt;=$C$1),'General Inputs'!P$9*$G37,IF(AND(($C37+$C$1)&gt;AR$3,AR$3&gt;=$C$1),'General Inputs'!P$9*$F37,0))</f>
        <v>28.295477466061037</v>
      </c>
      <c r="AS37" s="214">
        <f>IF(AND(($D37+$C$1)&gt;AS$3,AS$3&gt;=$C$1),'General Inputs'!Q$9*$G37,IF(AND(($C37+$C$1)&gt;AS$3,AS$3&gt;=$C$1),'General Inputs'!Q$9*$F37,0))</f>
        <v>28.719909628051951</v>
      </c>
      <c r="AT37" s="214">
        <f>IF(AND(($D37+$C$1)&gt;AT$3,AT$3&gt;=$C$1),'General Inputs'!R$9*$G37,IF(AND(($C37+$C$1)&gt;AT$3,AT$3&gt;=$C$1),'General Inputs'!R$9*$F37,0))</f>
        <v>29.150708272472727</v>
      </c>
      <c r="AU37" s="214">
        <f>IF(AND(($D37+$C$1)&gt;AU$3,AU$3&gt;=$C$1),'General Inputs'!S$9*$G37,IF(AND(($C37+$C$1)&gt;AU$3,AU$3&gt;=$C$1),'General Inputs'!S$9*$F37,0))</f>
        <v>29.587968896559815</v>
      </c>
      <c r="AV37" s="214">
        <f>IF(AND(($D37+$C$1)&gt;AV$3,AV$3&gt;=$C$1),'General Inputs'!T$9*$G37,IF(AND(($C37+$C$1)&gt;AV$3,AV$3&gt;=$C$1),'General Inputs'!T$9*$F37,0))</f>
        <v>30.031788430008213</v>
      </c>
      <c r="AW37" s="214">
        <f>IF(AND(($D37+$C$1)&gt;AW$3,AW$3&gt;=$C$1),'General Inputs'!U$9*$G37,IF(AND(($C37+$C$1)&gt;AW$3,AW$3&gt;=$C$1),'General Inputs'!U$9*$F37,0))</f>
        <v>30.482265256458334</v>
      </c>
      <c r="AX37" s="214">
        <f>IF(AND(($D37+$C$1)&gt;AX$3,AX$3&gt;=$C$1),'General Inputs'!V$9*$G37,IF(AND(($C37+$C$1)&gt;AX$3,AX$3&gt;=$C$1),'General Inputs'!V$9*$F37,0))</f>
        <v>30.939499235305206</v>
      </c>
      <c r="AY37" s="214">
        <f>IF(AND(($D37+$C$1)&gt;AY$3,AY$3&gt;=$C$1),'General Inputs'!W$9*$G37,IF(AND(($C37+$C$1)&gt;AY$3,AY$3&gt;=$C$1),'General Inputs'!W$9*$F37,0))</f>
        <v>31.403591723834779</v>
      </c>
      <c r="BA37" s="214">
        <f>IF(AND(($D37+$C$1)&gt;AF$3,AF$3&gt;=$C$1),'General Inputs'!D$10*$I37,IF(AND(($C37+$C$1)&gt;AF$3,AF$3&gt;=$C$1),'General Inputs'!D$10*$H37,0))</f>
        <v>0</v>
      </c>
      <c r="BB37" s="214">
        <f>IF(AND(($D37+$C$1)&gt;AG$3,AG$3&gt;=$C$1),'General Inputs'!E$10*$I37,IF(AND(($C37+$C$1)&gt;AG$3,AG$3&gt;=$C$1),'General Inputs'!E$10*$H37,0))</f>
        <v>0</v>
      </c>
      <c r="BC37" s="214">
        <f>IF(AND(($D37+$C$1)&gt;AH$3,AH$3&gt;=$C$1),'General Inputs'!F$10*$I37,IF(AND(($C37+$C$1)&gt;AH$3,AH$3&gt;=$C$1),'General Inputs'!F$10*$H37,0))</f>
        <v>30.915265517701599</v>
      </c>
      <c r="BD37" s="214">
        <f>IF(AND(($D37+$C$1)&gt;AI$3,AI$3&gt;=$C$1),'General Inputs'!G$10*$I37,IF(AND(($C37+$C$1)&gt;AI$3,AI$3&gt;=$C$1),'General Inputs'!G$10*$H37,0))</f>
        <v>31.378994500467122</v>
      </c>
      <c r="BE37" s="214">
        <f>IF(AND(($D37+$C$1)&gt;AJ$3,AJ$3&gt;=$C$1),'General Inputs'!H$10*$I37,IF(AND(($C37+$C$1)&gt;AJ$3,AJ$3&gt;=$C$1),'General Inputs'!H$10*$H37,0))</f>
        <v>31.849679417974126</v>
      </c>
      <c r="BF37" s="214">
        <f>IF(AND(($D37+$C$1)&gt;AK$3,AK$3&gt;=$C$1),'General Inputs'!I$10*$I37,IF(AND(($C37+$C$1)&gt;AK$3,AK$3&gt;=$C$1),'General Inputs'!I$10*$H37,0))</f>
        <v>32.327424609243728</v>
      </c>
      <c r="BG37" s="214">
        <f>IF(AND(($D37+$C$1)&gt;AL$3,AL$3&gt;=$C$1),'General Inputs'!J$10*$I37,IF(AND(($C37+$C$1)&gt;AL$3,AL$3&gt;=$C$1),'General Inputs'!J$10*$H37,0))</f>
        <v>32.812335978382386</v>
      </c>
      <c r="BH37" s="214">
        <f>IF(AND(($D37+$C$1)&gt;AM$3,AM$3&gt;=$C$1),'General Inputs'!K$10*$I37,IF(AND(($C37+$C$1)&gt;AM$3,AM$3&gt;=$C$1),'General Inputs'!K$10*$H37,0))</f>
        <v>33.304521018058118</v>
      </c>
      <c r="BI37" s="214">
        <f>IF(AND(($D37+$C$1)&gt;AN$3,AN$3&gt;=$C$1),'General Inputs'!L$10*$I37,IF(AND(($C37+$C$1)&gt;AN$3,AN$3&gt;=$C$1),'General Inputs'!L$10*$H37,0))</f>
        <v>33.80408883332899</v>
      </c>
      <c r="BJ37" s="214">
        <f>IF(AND(($D37+$C$1)&gt;AO$3,AO$3&gt;=$C$1),'General Inputs'!M$10*$I37,IF(AND(($C37+$C$1)&gt;AO$3,AO$3&gt;=$C$1),'General Inputs'!M$10*$H37,0))</f>
        <v>34.31115016582892</v>
      </c>
      <c r="BK37" s="214">
        <f>IF(AND(($D37+$C$1)&gt;AP$3,AP$3&gt;=$C$1),'General Inputs'!N$10*$I37,IF(AND(($C37+$C$1)&gt;AP$3,AP$3&gt;=$C$1),'General Inputs'!N$10*$H37,0))</f>
        <v>9.1178364300445125</v>
      </c>
      <c r="BL37" s="214">
        <f>IF(AND(($D37+$C$1)&gt;AQ$3,AQ$3&gt;=$C$1),'General Inputs'!O$10*$I37,IF(AND(($C37+$C$1)&gt;AQ$3,AQ$3&gt;=$C$1),'General Inputs'!O$10*$H37,0))</f>
        <v>9.2546039764951793</v>
      </c>
      <c r="BM37" s="214">
        <f>IF(AND(($D37+$C$1)&gt;AR$3,AR$3&gt;=$C$1),'General Inputs'!P$10*$I37,IF(AND(($C37+$C$1)&gt;AR$3,AR$3&gt;=$C$1),'General Inputs'!P$10*$H37,0))</f>
        <v>9.3934230361426057</v>
      </c>
      <c r="BN37" s="214">
        <f>IF(AND(($D37+$C$1)&gt;AS$3,AS$3&gt;=$C$1),'General Inputs'!Q$10*$I37,IF(AND(($C37+$C$1)&gt;AS$3,AS$3&gt;=$C$1),'General Inputs'!Q$10*$H37,0))</f>
        <v>9.5343243816847441</v>
      </c>
      <c r="BO37" s="214">
        <f>IF(AND(($D37+$C$1)&gt;AT$3,AT$3&gt;=$C$1),'General Inputs'!R$10*$I37,IF(AND(($C37+$C$1)&gt;AT$3,AT$3&gt;=$C$1),'General Inputs'!R$10*$H37,0))</f>
        <v>9.6773392474100124</v>
      </c>
      <c r="BP37" s="214">
        <f>IF(AND(($D37+$C$1)&gt;AU$3,AU$3&gt;=$C$1),'General Inputs'!S$10*$I37,IF(AND(($C37+$C$1)&gt;AU$3,AU$3&gt;=$C$1),'General Inputs'!S$10*$H37,0))</f>
        <v>9.8224993361211634</v>
      </c>
      <c r="BQ37" s="214">
        <f>IF(AND(($D37+$C$1)&gt;AV$3,AV$3&gt;=$C$1),'General Inputs'!T$10*$I37,IF(AND(($C37+$C$1)&gt;AV$3,AV$3&gt;=$C$1),'General Inputs'!T$10*$H37,0))</f>
        <v>9.9698368261629788</v>
      </c>
      <c r="BR37" s="214">
        <f>IF(AND(($D37+$C$1)&gt;AW$3,AW$3&gt;=$C$1),'General Inputs'!U$10*$I37,IF(AND(($C37+$C$1)&gt;AW$3,AW$3&gt;=$C$1),'General Inputs'!U$10*$H37,0))</f>
        <v>10.119384378555424</v>
      </c>
      <c r="BS37" s="214">
        <f>IF(AND(($D37+$C$1)&gt;AX$3,AX$3&gt;=$C$1),'General Inputs'!V$10*$I37,IF(AND(($C37+$C$1)&gt;AX$3,AX$3&gt;=$C$1),'General Inputs'!V$10*$H37,0))</f>
        <v>10.271175144233753</v>
      </c>
      <c r="BT37" s="214">
        <f>IF(AND(($D37+$C$1)&gt;AY$3,AY$3&gt;=$C$1),'General Inputs'!W$10*$I37,IF(AND(($C37+$C$1)&gt;AY$3,AY$3&gt;=$C$1),'General Inputs'!W$10*$H37,0))</f>
        <v>10.425242771397258</v>
      </c>
    </row>
    <row r="38" spans="1:72">
      <c r="A38" s="341" t="s">
        <v>12</v>
      </c>
      <c r="B38" s="427" t="str">
        <f>Sources!B38</f>
        <v>Programmable Tstat</v>
      </c>
      <c r="C38" s="193">
        <f>Sources!C38</f>
        <v>10</v>
      </c>
      <c r="D38" s="193">
        <f>Sources!D38</f>
        <v>0</v>
      </c>
      <c r="F38" s="429">
        <f>Sources!F38*EnergyLineLoss</f>
        <v>868.04675999999984</v>
      </c>
      <c r="G38" s="429">
        <f>Sources!G38*EnergyLineLoss</f>
        <v>0</v>
      </c>
      <c r="H38" s="477">
        <f>Sources!H38*PeakLineLoss</f>
        <v>0.24831489599999998</v>
      </c>
      <c r="I38" s="477">
        <f>Sources!I38*PeakLineLoss</f>
        <v>0</v>
      </c>
      <c r="K38" s="419">
        <f>Sources!J38</f>
        <v>30</v>
      </c>
      <c r="L38" s="419">
        <f>Sources!K38</f>
        <v>0</v>
      </c>
      <c r="N38" s="438">
        <f t="shared" si="4"/>
        <v>9.7948371524766937</v>
      </c>
      <c r="P38" s="215">
        <f t="shared" si="0"/>
        <v>223.95534106160804</v>
      </c>
      <c r="Q38" s="215">
        <f t="shared" si="1"/>
        <v>24.095902352368608</v>
      </c>
      <c r="R38" s="215">
        <f t="shared" si="2"/>
        <v>25.324692953292757</v>
      </c>
      <c r="T38" s="214">
        <f t="shared" si="9"/>
        <v>0</v>
      </c>
      <c r="U38" s="214">
        <f t="shared" si="9"/>
        <v>0</v>
      </c>
      <c r="V38" s="214">
        <f t="shared" si="9"/>
        <v>30</v>
      </c>
      <c r="W38" s="214">
        <f t="shared" si="9"/>
        <v>0</v>
      </c>
      <c r="X38" s="214">
        <f t="shared" si="9"/>
        <v>0</v>
      </c>
      <c r="Y38" s="214">
        <f t="shared" si="9"/>
        <v>0</v>
      </c>
      <c r="Z38" s="214">
        <f t="shared" si="9"/>
        <v>0</v>
      </c>
      <c r="AA38" s="214">
        <f t="shared" si="9"/>
        <v>0</v>
      </c>
      <c r="AB38" s="214">
        <f t="shared" si="9"/>
        <v>0</v>
      </c>
      <c r="AC38" s="214">
        <f t="shared" si="9"/>
        <v>0</v>
      </c>
      <c r="AD38" s="214">
        <f t="shared" si="9"/>
        <v>0</v>
      </c>
      <c r="AF38" s="214">
        <f>IF(AND(($D38+$C$1)&gt;AF$3,AF$3&gt;=$C$1),'General Inputs'!D$9*$G38,IF(AND(($C38+$C$1)&gt;AF$3,AF$3&gt;=$C$1),'General Inputs'!D$9*$F38,0))</f>
        <v>0</v>
      </c>
      <c r="AG38" s="214">
        <f>IF(AND(($D38+$C$1)&gt;AG$3,AG$3&gt;=$C$1),'General Inputs'!E$9*$G38,IF(AND(($C38+$C$1)&gt;AG$3,AG$3&gt;=$C$1),'General Inputs'!E$9*$F38,0))</f>
        <v>0</v>
      </c>
      <c r="AH38" s="214">
        <f>IF(AND(($D38+$C$1)&gt;AH$3,AH$3&gt;=$C$1),'General Inputs'!F$9*$G38,IF(AND(($C38+$C$1)&gt;AH$3,AH$3&gt;=$C$1),'General Inputs'!F$9*$F38,0))</f>
        <v>35.603454416873483</v>
      </c>
      <c r="AI38" s="214">
        <f>IF(AND(($D38+$C$1)&gt;AI$3,AI$3&gt;=$C$1),'General Inputs'!G$9*$G38,IF(AND(($C38+$C$1)&gt;AI$3,AI$3&gt;=$C$1),'General Inputs'!G$9*$F38,0))</f>
        <v>36.137506233126587</v>
      </c>
      <c r="AJ38" s="214">
        <f>IF(AND(($D38+$C$1)&gt;AJ$3,AJ$3&gt;=$C$1),'General Inputs'!H$9*$G38,IF(AND(($C38+$C$1)&gt;AJ$3,AJ$3&gt;=$C$1),'General Inputs'!H$9*$F38,0))</f>
        <v>36.679568826623481</v>
      </c>
      <c r="AK38" s="214">
        <f>IF(AND(($D38+$C$1)&gt;AK$3,AK$3&gt;=$C$1),'General Inputs'!I$9*$G38,IF(AND(($C38+$C$1)&gt;AK$3,AK$3&gt;=$C$1),'General Inputs'!I$9*$F38,0))</f>
        <v>37.229762359022821</v>
      </c>
      <c r="AL38" s="214">
        <f>IF(AND(($D38+$C$1)&gt;AL$3,AL$3&gt;=$C$1),'General Inputs'!J$9*$G38,IF(AND(($C38+$C$1)&gt;AL$3,AL$3&gt;=$C$1),'General Inputs'!J$9*$F38,0))</f>
        <v>37.788208794408163</v>
      </c>
      <c r="AM38" s="214">
        <f>IF(AND(($D38+$C$1)&gt;AM$3,AM$3&gt;=$C$1),'General Inputs'!K$9*$G38,IF(AND(($C38+$C$1)&gt;AM$3,AM$3&gt;=$C$1),'General Inputs'!K$9*$F38,0))</f>
        <v>38.35503192632428</v>
      </c>
      <c r="AN38" s="214">
        <f>IF(AND(($D38+$C$1)&gt;AN$3,AN$3&gt;=$C$1),'General Inputs'!L$9*$G38,IF(AND(($C38+$C$1)&gt;AN$3,AN$3&gt;=$C$1),'General Inputs'!L$9*$F38,0))</f>
        <v>38.930357405219141</v>
      </c>
      <c r="AO38" s="214">
        <f>IF(AND(($D38+$C$1)&gt;AO$3,AO$3&gt;=$C$1),'General Inputs'!M$9*$G38,IF(AND(($C38+$C$1)&gt;AO$3,AO$3&gt;=$C$1),'General Inputs'!M$9*$F38,0))</f>
        <v>39.514312766297422</v>
      </c>
      <c r="AP38" s="214">
        <f>IF(AND(($D38+$C$1)&gt;AP$3,AP$3&gt;=$C$1),'General Inputs'!N$9*$G38,IF(AND(($C38+$C$1)&gt;AP$3,AP$3&gt;=$C$1),'General Inputs'!N$9*$F38,0))</f>
        <v>40.107027457791879</v>
      </c>
      <c r="AQ38" s="214">
        <f>IF(AND(($D38+$C$1)&gt;AQ$3,AQ$3&gt;=$C$1),'General Inputs'!O$9*$G38,IF(AND(($C38+$C$1)&gt;AQ$3,AQ$3&gt;=$C$1),'General Inputs'!O$9*$F38,0))</f>
        <v>40.70863286965875</v>
      </c>
      <c r="AR38" s="214">
        <f>IF(AND(($D38+$C$1)&gt;AR$3,AR$3&gt;=$C$1),'General Inputs'!P$9*$G38,IF(AND(($C38+$C$1)&gt;AR$3,AR$3&gt;=$C$1),'General Inputs'!P$9*$F38,0))</f>
        <v>0</v>
      </c>
      <c r="AS38" s="214">
        <f>IF(AND(($D38+$C$1)&gt;AS$3,AS$3&gt;=$C$1),'General Inputs'!Q$9*$G38,IF(AND(($C38+$C$1)&gt;AS$3,AS$3&gt;=$C$1),'General Inputs'!Q$9*$F38,0))</f>
        <v>0</v>
      </c>
      <c r="AT38" s="214">
        <f>IF(AND(($D38+$C$1)&gt;AT$3,AT$3&gt;=$C$1),'General Inputs'!R$9*$G38,IF(AND(($C38+$C$1)&gt;AT$3,AT$3&gt;=$C$1),'General Inputs'!R$9*$F38,0))</f>
        <v>0</v>
      </c>
      <c r="AU38" s="214">
        <f>IF(AND(($D38+$C$1)&gt;AU$3,AU$3&gt;=$C$1),'General Inputs'!S$9*$G38,IF(AND(($C38+$C$1)&gt;AU$3,AU$3&gt;=$C$1),'General Inputs'!S$9*$F38,0))</f>
        <v>0</v>
      </c>
      <c r="AV38" s="214">
        <f>IF(AND(($D38+$C$1)&gt;AV$3,AV$3&gt;=$C$1),'General Inputs'!T$9*$G38,IF(AND(($C38+$C$1)&gt;AV$3,AV$3&gt;=$C$1),'General Inputs'!T$9*$F38,0))</f>
        <v>0</v>
      </c>
      <c r="AW38" s="214">
        <f>IF(AND(($D38+$C$1)&gt;AW$3,AW$3&gt;=$C$1),'General Inputs'!U$9*$G38,IF(AND(($C38+$C$1)&gt;AW$3,AW$3&gt;=$C$1),'General Inputs'!U$9*$F38,0))</f>
        <v>0</v>
      </c>
      <c r="AX38" s="214">
        <f>IF(AND(($D38+$C$1)&gt;AX$3,AX$3&gt;=$C$1),'General Inputs'!V$9*$G38,IF(AND(($C38+$C$1)&gt;AX$3,AX$3&gt;=$C$1),'General Inputs'!V$9*$F38,0))</f>
        <v>0</v>
      </c>
      <c r="AY38" s="214">
        <f>IF(AND(($D38+$C$1)&gt;AY$3,AY$3&gt;=$C$1),'General Inputs'!W$9*$G38,IF(AND(($C38+$C$1)&gt;AY$3,AY$3&gt;=$C$1),'General Inputs'!W$9*$F38,0))</f>
        <v>0</v>
      </c>
      <c r="BA38" s="214">
        <f>IF(AND(($D38+$C$1)&gt;AF$3,AF$3&gt;=$C$1),'General Inputs'!D$10*$I38,IF(AND(($C38+$C$1)&gt;AF$3,AF$3&gt;=$C$1),'General Inputs'!D$10*$H38,0))</f>
        <v>0</v>
      </c>
      <c r="BB38" s="214">
        <f>IF(AND(($D38+$C$1)&gt;AG$3,AG$3&gt;=$C$1),'General Inputs'!E$10*$I38,IF(AND(($C38+$C$1)&gt;AG$3,AG$3&gt;=$C$1),'General Inputs'!E$10*$H38,0))</f>
        <v>0</v>
      </c>
      <c r="BC38" s="214">
        <f>IF(AND(($D38+$C$1)&gt;AH$3,AH$3&gt;=$C$1),'General Inputs'!F$10*$I38,IF(AND(($C38+$C$1)&gt;AH$3,AH$3&gt;=$C$1),'General Inputs'!F$10*$H38,0))</f>
        <v>3.8306626534081656</v>
      </c>
      <c r="BD38" s="214">
        <f>IF(AND(($D38+$C$1)&gt;AI$3,AI$3&gt;=$C$1),'General Inputs'!G$10*$I38,IF(AND(($C38+$C$1)&gt;AI$3,AI$3&gt;=$C$1),'General Inputs'!G$10*$H38,0))</f>
        <v>3.888122593209288</v>
      </c>
      <c r="BE38" s="214">
        <f>IF(AND(($D38+$C$1)&gt;AJ$3,AJ$3&gt;=$C$1),'General Inputs'!H$10*$I38,IF(AND(($C38+$C$1)&gt;AJ$3,AJ$3&gt;=$C$1),'General Inputs'!H$10*$H38,0))</f>
        <v>3.9464444321074268</v>
      </c>
      <c r="BF38" s="214">
        <f>IF(AND(($D38+$C$1)&gt;AK$3,AK$3&gt;=$C$1),'General Inputs'!I$10*$I38,IF(AND(($C38+$C$1)&gt;AK$3,AK$3&gt;=$C$1),'General Inputs'!I$10*$H38,0))</f>
        <v>4.0056410985890372</v>
      </c>
      <c r="BG38" s="214">
        <f>IF(AND(($D38+$C$1)&gt;AL$3,AL$3&gt;=$C$1),'General Inputs'!J$10*$I38,IF(AND(($C38+$C$1)&gt;AL$3,AL$3&gt;=$C$1),'General Inputs'!J$10*$H38,0))</f>
        <v>4.0657257150678729</v>
      </c>
      <c r="BH38" s="214">
        <f>IF(AND(($D38+$C$1)&gt;AM$3,AM$3&gt;=$C$1),'General Inputs'!K$10*$I38,IF(AND(($C38+$C$1)&gt;AM$3,AM$3&gt;=$C$1),'General Inputs'!K$10*$H38,0))</f>
        <v>4.1267116007938904</v>
      </c>
      <c r="BI38" s="214">
        <f>IF(AND(($D38+$C$1)&gt;AN$3,AN$3&gt;=$C$1),'General Inputs'!L$10*$I38,IF(AND(($C38+$C$1)&gt;AN$3,AN$3&gt;=$C$1),'General Inputs'!L$10*$H38,0))</f>
        <v>4.1886122748057986</v>
      </c>
      <c r="BJ38" s="214">
        <f>IF(AND(($D38+$C$1)&gt;AO$3,AO$3&gt;=$C$1),'General Inputs'!M$10*$I38,IF(AND(($C38+$C$1)&gt;AO$3,AO$3&gt;=$C$1),'General Inputs'!M$10*$H38,0))</f>
        <v>4.2514414589278857</v>
      </c>
      <c r="BK38" s="214">
        <f>IF(AND(($D38+$C$1)&gt;AP$3,AP$3&gt;=$C$1),'General Inputs'!N$10*$I38,IF(AND(($C38+$C$1)&gt;AP$3,AP$3&gt;=$C$1),'General Inputs'!N$10*$H38,0))</f>
        <v>4.3152130808118034</v>
      </c>
      <c r="BL38" s="214">
        <f>IF(AND(($D38+$C$1)&gt;AQ$3,AQ$3&gt;=$C$1),'General Inputs'!O$10*$I38,IF(AND(($C38+$C$1)&gt;AQ$3,AQ$3&gt;=$C$1),'General Inputs'!O$10*$H38,0))</f>
        <v>4.3799412770239794</v>
      </c>
      <c r="BM38" s="214">
        <f>IF(AND(($D38+$C$1)&gt;AR$3,AR$3&gt;=$C$1),'General Inputs'!P$10*$I38,IF(AND(($C38+$C$1)&gt;AR$3,AR$3&gt;=$C$1),'General Inputs'!P$10*$H38,0))</f>
        <v>0</v>
      </c>
      <c r="BN38" s="214">
        <f>IF(AND(($D38+$C$1)&gt;AS$3,AS$3&gt;=$C$1),'General Inputs'!Q$10*$I38,IF(AND(($C38+$C$1)&gt;AS$3,AS$3&gt;=$C$1),'General Inputs'!Q$10*$H38,0))</f>
        <v>0</v>
      </c>
      <c r="BO38" s="214">
        <f>IF(AND(($D38+$C$1)&gt;AT$3,AT$3&gt;=$C$1),'General Inputs'!R$10*$I38,IF(AND(($C38+$C$1)&gt;AT$3,AT$3&gt;=$C$1),'General Inputs'!R$10*$H38,0))</f>
        <v>0</v>
      </c>
      <c r="BP38" s="214">
        <f>IF(AND(($D38+$C$1)&gt;AU$3,AU$3&gt;=$C$1),'General Inputs'!S$10*$I38,IF(AND(($C38+$C$1)&gt;AU$3,AU$3&gt;=$C$1),'General Inputs'!S$10*$H38,0))</f>
        <v>0</v>
      </c>
      <c r="BQ38" s="214">
        <f>IF(AND(($D38+$C$1)&gt;AV$3,AV$3&gt;=$C$1),'General Inputs'!T$10*$I38,IF(AND(($C38+$C$1)&gt;AV$3,AV$3&gt;=$C$1),'General Inputs'!T$10*$H38,0))</f>
        <v>0</v>
      </c>
      <c r="BR38" s="214">
        <f>IF(AND(($D38+$C$1)&gt;AW$3,AW$3&gt;=$C$1),'General Inputs'!U$10*$I38,IF(AND(($C38+$C$1)&gt;AW$3,AW$3&gt;=$C$1),'General Inputs'!U$10*$H38,0))</f>
        <v>0</v>
      </c>
      <c r="BS38" s="214">
        <f>IF(AND(($D38+$C$1)&gt;AX$3,AX$3&gt;=$C$1),'General Inputs'!V$10*$I38,IF(AND(($C38+$C$1)&gt;AX$3,AX$3&gt;=$C$1),'General Inputs'!V$10*$H38,0))</f>
        <v>0</v>
      </c>
      <c r="BT38" s="214">
        <f>IF(AND(($D38+$C$1)&gt;AY$3,AY$3&gt;=$C$1),'General Inputs'!W$10*$I38,IF(AND(($C38+$C$1)&gt;AY$3,AY$3&gt;=$C$1),'General Inputs'!W$10*$H38,0))</f>
        <v>0</v>
      </c>
    </row>
    <row r="39" spans="1:72">
      <c r="A39" s="341" t="s">
        <v>12</v>
      </c>
      <c r="B39" s="427" t="str">
        <f>Sources!B39</f>
        <v>Heat Pump SEER 15 Replace Electric Furnace</v>
      </c>
      <c r="C39" s="193">
        <f>Sources!C39</f>
        <v>18</v>
      </c>
      <c r="D39" s="193">
        <f>Sources!D39</f>
        <v>0</v>
      </c>
      <c r="F39" s="429">
        <f>Sources!F39*EnergyLineLoss</f>
        <v>14620.603045575292</v>
      </c>
      <c r="G39" s="429">
        <f>Sources!G39*EnergyLineLoss</f>
        <v>0</v>
      </c>
      <c r="H39" s="477">
        <f>Sources!H39*PeakLineLoss</f>
        <v>3.2973484359496279</v>
      </c>
      <c r="I39" s="477">
        <f>Sources!I39*PeakLineLoss</f>
        <v>0</v>
      </c>
      <c r="K39" s="419">
        <f>Sources!J39</f>
        <v>4554</v>
      </c>
      <c r="L39" s="419">
        <f>Sources!K39</f>
        <v>0</v>
      </c>
      <c r="N39" s="438">
        <f t="shared" ref="N39" si="10">IF(R39&gt;0,(P39+Q39)/R39,"n/a")</f>
        <v>1.5154374098070067</v>
      </c>
      <c r="P39" s="215">
        <f t="shared" ref="P39" si="11">AF39+NPV(DiscountRate,AG39:AY39)</f>
        <v>5370.2493420896717</v>
      </c>
      <c r="Q39" s="215">
        <f t="shared" ref="Q39" si="12">BA39+NPV(DiscountRate,BB39:BT39)</f>
        <v>455.52909867261991</v>
      </c>
      <c r="R39" s="215">
        <f t="shared" ref="R39" si="13">T39+NPV(DiscountRate,U39:AD39)</f>
        <v>3844.28839030984</v>
      </c>
      <c r="T39" s="214">
        <f t="shared" ref="T39:AD39" si="14">IF($C$1=T$3,$K39,IF($D39+$C$1=T$3,-$L39,0))</f>
        <v>0</v>
      </c>
      <c r="U39" s="214">
        <f t="shared" si="14"/>
        <v>0</v>
      </c>
      <c r="V39" s="214">
        <f t="shared" si="14"/>
        <v>4554</v>
      </c>
      <c r="W39" s="214">
        <f t="shared" si="14"/>
        <v>0</v>
      </c>
      <c r="X39" s="214">
        <f t="shared" si="14"/>
        <v>0</v>
      </c>
      <c r="Y39" s="214">
        <f t="shared" si="14"/>
        <v>0</v>
      </c>
      <c r="Z39" s="214">
        <f t="shared" si="14"/>
        <v>0</v>
      </c>
      <c r="AA39" s="214">
        <f t="shared" si="14"/>
        <v>0</v>
      </c>
      <c r="AB39" s="214">
        <f t="shared" si="14"/>
        <v>0</v>
      </c>
      <c r="AC39" s="214">
        <f t="shared" si="14"/>
        <v>0</v>
      </c>
      <c r="AD39" s="214">
        <f t="shared" si="14"/>
        <v>0</v>
      </c>
      <c r="AF39" s="214">
        <f>IF(AND(($D39+$C$1)&gt;AF$3,AF$3&gt;=$C$1),'General Inputs'!D$9*$G39,IF(AND(($C39+$C$1)&gt;AF$3,AF$3&gt;=$C$1),'General Inputs'!D$9*$F39,0))</f>
        <v>0</v>
      </c>
      <c r="AG39" s="214">
        <f>IF(AND(($D39+$C$1)&gt;AG$3,AG$3&gt;=$C$1),'General Inputs'!E$9*$G39,IF(AND(($C39+$C$1)&gt;AG$3,AG$3&gt;=$C$1),'General Inputs'!E$9*$F39,0))</f>
        <v>0</v>
      </c>
      <c r="AH39" s="214">
        <f>IF(AND(($D39+$C$1)&gt;AH$3,AH$3&gt;=$C$1),'General Inputs'!F$9*$G39,IF(AND(($C39+$C$1)&gt;AH$3,AH$3&gt;=$C$1),'General Inputs'!F$9*$F39,0))</f>
        <v>599.67273431254057</v>
      </c>
      <c r="AI39" s="214">
        <f>IF(AND(($D39+$C$1)&gt;AI$3,AI$3&gt;=$C$1),'General Inputs'!G$9*$G39,IF(AND(($C39+$C$1)&gt;AI$3,AI$3&gt;=$C$1),'General Inputs'!G$9*$F39,0))</f>
        <v>608.66782532722857</v>
      </c>
      <c r="AJ39" s="214">
        <f>IF(AND(($D39+$C$1)&gt;AJ$3,AJ$3&gt;=$C$1),'General Inputs'!H$9*$G39,IF(AND(($C39+$C$1)&gt;AJ$3,AJ$3&gt;=$C$1),'General Inputs'!H$9*$F39,0))</f>
        <v>617.79784270713697</v>
      </c>
      <c r="AK39" s="214">
        <f>IF(AND(($D39+$C$1)&gt;AK$3,AK$3&gt;=$C$1),'General Inputs'!I$9*$G39,IF(AND(($C39+$C$1)&gt;AK$3,AK$3&gt;=$C$1),'General Inputs'!I$9*$F39,0))</f>
        <v>627.0648103477439</v>
      </c>
      <c r="AL39" s="214">
        <f>IF(AND(($D39+$C$1)&gt;AL$3,AL$3&gt;=$C$1),'General Inputs'!J$9*$G39,IF(AND(($C39+$C$1)&gt;AL$3,AL$3&gt;=$C$1),'General Inputs'!J$9*$F39,0))</f>
        <v>636.47078250295999</v>
      </c>
      <c r="AM39" s="214">
        <f>IF(AND(($D39+$C$1)&gt;AM$3,AM$3&gt;=$C$1),'General Inputs'!K$9*$G39,IF(AND(($C39+$C$1)&gt;AM$3,AM$3&gt;=$C$1),'General Inputs'!K$9*$F39,0))</f>
        <v>646.01784424050425</v>
      </c>
      <c r="AN39" s="214">
        <f>IF(AND(($D39+$C$1)&gt;AN$3,AN$3&gt;=$C$1),'General Inputs'!L$9*$G39,IF(AND(($C39+$C$1)&gt;AN$3,AN$3&gt;=$C$1),'General Inputs'!L$9*$F39,0))</f>
        <v>655.70811190411177</v>
      </c>
      <c r="AO39" s="214">
        <f>IF(AND(($D39+$C$1)&gt;AO$3,AO$3&gt;=$C$1),'General Inputs'!M$9*$G39,IF(AND(($C39+$C$1)&gt;AO$3,AO$3&gt;=$C$1),'General Inputs'!M$9*$F39,0))</f>
        <v>665.54373358267333</v>
      </c>
      <c r="AP39" s="214">
        <f>IF(AND(($D39+$C$1)&gt;AP$3,AP$3&gt;=$C$1),'General Inputs'!N$9*$G39,IF(AND(($C39+$C$1)&gt;AP$3,AP$3&gt;=$C$1),'General Inputs'!N$9*$F39,0))</f>
        <v>675.5268895864134</v>
      </c>
      <c r="AQ39" s="214">
        <f>IF(AND(($D39+$C$1)&gt;AQ$3,AQ$3&gt;=$C$1),'General Inputs'!O$9*$G39,IF(AND(($C39+$C$1)&gt;AQ$3,AQ$3&gt;=$C$1),'General Inputs'!O$9*$F39,0))</f>
        <v>685.65979293020951</v>
      </c>
      <c r="AR39" s="214">
        <f>IF(AND(($D39+$C$1)&gt;AR$3,AR$3&gt;=$C$1),'General Inputs'!P$9*$G39,IF(AND(($C39+$C$1)&gt;AR$3,AR$3&gt;=$C$1),'General Inputs'!P$9*$F39,0))</f>
        <v>695.94468982416254</v>
      </c>
      <c r="AS39" s="214">
        <f>IF(AND(($D39+$C$1)&gt;AS$3,AS$3&gt;=$C$1),'General Inputs'!Q$9*$G39,IF(AND(($C39+$C$1)&gt;AS$3,AS$3&gt;=$C$1),'General Inputs'!Q$9*$F39,0))</f>
        <v>706.38386017152504</v>
      </c>
      <c r="AT39" s="214">
        <f>IF(AND(($D39+$C$1)&gt;AT$3,AT$3&gt;=$C$1),'General Inputs'!R$9*$G39,IF(AND(($C39+$C$1)&gt;AT$3,AT$3&gt;=$C$1),'General Inputs'!R$9*$F39,0))</f>
        <v>716.97961807409786</v>
      </c>
      <c r="AU39" s="214">
        <f>IF(AND(($D39+$C$1)&gt;AU$3,AU$3&gt;=$C$1),'General Inputs'!S$9*$G39,IF(AND(($C39+$C$1)&gt;AU$3,AU$3&gt;=$C$1),'General Inputs'!S$9*$F39,0))</f>
        <v>727.73431234520922</v>
      </c>
      <c r="AV39" s="214">
        <f>IF(AND(($D39+$C$1)&gt;AV$3,AV$3&gt;=$C$1),'General Inputs'!T$9*$G39,IF(AND(($C39+$C$1)&gt;AV$3,AV$3&gt;=$C$1),'General Inputs'!T$9*$F39,0))</f>
        <v>738.6503270303873</v>
      </c>
      <c r="AW39" s="214">
        <f>IF(AND(($D39+$C$1)&gt;AW$3,AW$3&gt;=$C$1),'General Inputs'!U$9*$G39,IF(AND(($C39+$C$1)&gt;AW$3,AW$3&gt;=$C$1),'General Inputs'!U$9*$F39,0))</f>
        <v>749.73008193584315</v>
      </c>
      <c r="AX39" s="214">
        <f>IF(AND(($D39+$C$1)&gt;AX$3,AX$3&gt;=$C$1),'General Inputs'!V$9*$G39,IF(AND(($C39+$C$1)&gt;AX$3,AX$3&gt;=$C$1),'General Inputs'!V$9*$F39,0))</f>
        <v>760.97603316488073</v>
      </c>
      <c r="AY39" s="214">
        <f>IF(AND(($D39+$C$1)&gt;AY$3,AY$3&gt;=$C$1),'General Inputs'!W$9*$G39,IF(AND(($C39+$C$1)&gt;AY$3,AY$3&gt;=$C$1),'General Inputs'!W$9*$F39,0))</f>
        <v>772.39067366235383</v>
      </c>
      <c r="BA39" s="214">
        <f>IF(AND(($D39+$C$1)&gt;AF$3,AF$3&gt;=$C$1),'General Inputs'!D$10*$I39,IF(AND(($C39+$C$1)&gt;AF$3,AF$3&gt;=$C$1),'General Inputs'!D$10*$H39,0))</f>
        <v>0</v>
      </c>
      <c r="BB39" s="214">
        <f>IF(AND(($D39+$C$1)&gt;AG$3,AG$3&gt;=$C$1),'General Inputs'!E$10*$I39,IF(AND(($C39+$C$1)&gt;AG$3,AG$3&gt;=$C$1),'General Inputs'!E$10*$H39,0))</f>
        <v>0</v>
      </c>
      <c r="BC39" s="214">
        <f>IF(AND(($D39+$C$1)&gt;AH$3,AH$3&gt;=$C$1),'General Inputs'!F$10*$I39,IF(AND(($C39+$C$1)&gt;AH$3,AH$3&gt;=$C$1),'General Inputs'!F$10*$H39,0))</f>
        <v>50.866982659252422</v>
      </c>
      <c r="BD39" s="214">
        <f>IF(AND(($D39+$C$1)&gt;AI$3,AI$3&gt;=$C$1),'General Inputs'!G$10*$I39,IF(AND(($C39+$C$1)&gt;AI$3,AI$3&gt;=$C$1),'General Inputs'!G$10*$H39,0))</f>
        <v>51.6299873991412</v>
      </c>
      <c r="BE39" s="214">
        <f>IF(AND(($D39+$C$1)&gt;AJ$3,AJ$3&gt;=$C$1),'General Inputs'!H$10*$I39,IF(AND(($C39+$C$1)&gt;AJ$3,AJ$3&gt;=$C$1),'General Inputs'!H$10*$H39,0))</f>
        <v>52.404437210128314</v>
      </c>
      <c r="BF39" s="214">
        <f>IF(AND(($D39+$C$1)&gt;AK$3,AK$3&gt;=$C$1),'General Inputs'!I$10*$I39,IF(AND(($C39+$C$1)&gt;AK$3,AK$3&gt;=$C$1),'General Inputs'!I$10*$H39,0))</f>
        <v>53.19050376828023</v>
      </c>
      <c r="BG39" s="214">
        <f>IF(AND(($D39+$C$1)&gt;AL$3,AL$3&gt;=$C$1),'General Inputs'!J$10*$I39,IF(AND(($C39+$C$1)&gt;AL$3,AL$3&gt;=$C$1),'General Inputs'!J$10*$H39,0))</f>
        <v>53.98836132480443</v>
      </c>
      <c r="BH39" s="214">
        <f>IF(AND(($D39+$C$1)&gt;AM$3,AM$3&gt;=$C$1),'General Inputs'!K$10*$I39,IF(AND(($C39+$C$1)&gt;AM$3,AM$3&gt;=$C$1),'General Inputs'!K$10*$H39,0))</f>
        <v>54.798186744676492</v>
      </c>
      <c r="BI39" s="214">
        <f>IF(AND(($D39+$C$1)&gt;AN$3,AN$3&gt;=$C$1),'General Inputs'!L$10*$I39,IF(AND(($C39+$C$1)&gt;AN$3,AN$3&gt;=$C$1),'General Inputs'!L$10*$H39,0))</f>
        <v>55.620159545846633</v>
      </c>
      <c r="BJ39" s="214">
        <f>IF(AND(($D39+$C$1)&gt;AO$3,AO$3&gt;=$C$1),'General Inputs'!M$10*$I39,IF(AND(($C39+$C$1)&gt;AO$3,AO$3&gt;=$C$1),'General Inputs'!M$10*$H39,0))</f>
        <v>56.454461939034331</v>
      </c>
      <c r="BK39" s="214">
        <f>IF(AND(($D39+$C$1)&gt;AP$3,AP$3&gt;=$C$1),'General Inputs'!N$10*$I39,IF(AND(($C39+$C$1)&gt;AP$3,AP$3&gt;=$C$1),'General Inputs'!N$10*$H39,0))</f>
        <v>57.301278868119837</v>
      </c>
      <c r="BL39" s="214">
        <f>IF(AND(($D39+$C$1)&gt;AQ$3,AQ$3&gt;=$C$1),'General Inputs'!O$10*$I39,IF(AND(($C39+$C$1)&gt;AQ$3,AQ$3&gt;=$C$1),'General Inputs'!O$10*$H39,0))</f>
        <v>58.160798051141633</v>
      </c>
      <c r="BM39" s="214">
        <f>IF(AND(($D39+$C$1)&gt;AR$3,AR$3&gt;=$C$1),'General Inputs'!P$10*$I39,IF(AND(($C39+$C$1)&gt;AR$3,AR$3&gt;=$C$1),'General Inputs'!P$10*$H39,0))</f>
        <v>59.033210021908751</v>
      </c>
      <c r="BN39" s="214">
        <f>IF(AND(($D39+$C$1)&gt;AS$3,AS$3&gt;=$C$1),'General Inputs'!Q$10*$I39,IF(AND(($C39+$C$1)&gt;AS$3,AS$3&gt;=$C$1),'General Inputs'!Q$10*$H39,0))</f>
        <v>59.918708172237373</v>
      </c>
      <c r="BO39" s="214">
        <f>IF(AND(($D39+$C$1)&gt;AT$3,AT$3&gt;=$C$1),'General Inputs'!R$10*$I39,IF(AND(($C39+$C$1)&gt;AT$3,AT$3&gt;=$C$1),'General Inputs'!R$10*$H39,0))</f>
        <v>60.817488794820925</v>
      </c>
      <c r="BP39" s="214">
        <f>IF(AND(($D39+$C$1)&gt;AU$3,AU$3&gt;=$C$1),'General Inputs'!S$10*$I39,IF(AND(($C39+$C$1)&gt;AU$3,AU$3&gt;=$C$1),'General Inputs'!S$10*$H39,0))</f>
        <v>61.729751126743238</v>
      </c>
      <c r="BQ39" s="214">
        <f>IF(AND(($D39+$C$1)&gt;AV$3,AV$3&gt;=$C$1),'General Inputs'!T$10*$I39,IF(AND(($C39+$C$1)&gt;AV$3,AV$3&gt;=$C$1),'General Inputs'!T$10*$H39,0))</f>
        <v>62.655697393644381</v>
      </c>
      <c r="BR39" s="214">
        <f>IF(AND(($D39+$C$1)&gt;AW$3,AW$3&gt;=$C$1),'General Inputs'!U$10*$I39,IF(AND(($C39+$C$1)&gt;AW$3,AW$3&gt;=$C$1),'General Inputs'!U$10*$H39,0))</f>
        <v>63.595532854549042</v>
      </c>
      <c r="BS39" s="214">
        <f>IF(AND(($D39+$C$1)&gt;AX$3,AX$3&gt;=$C$1),'General Inputs'!V$10*$I39,IF(AND(($C39+$C$1)&gt;AX$3,AX$3&gt;=$C$1),'General Inputs'!V$10*$H39,0))</f>
        <v>64.549465847367259</v>
      </c>
      <c r="BT39" s="214">
        <f>IF(AND(($D39+$C$1)&gt;AY$3,AY$3&gt;=$C$1),'General Inputs'!W$10*$I39,IF(AND(($C39+$C$1)&gt;AY$3,AY$3&gt;=$C$1),'General Inputs'!W$10*$H39,0))</f>
        <v>65.517707835077772</v>
      </c>
    </row>
    <row r="40" spans="1:72">
      <c r="A40" s="341" t="s">
        <v>12</v>
      </c>
      <c r="B40" s="427" t="str">
        <f>Sources!B40</f>
        <v>ECM Blower Motor</v>
      </c>
      <c r="C40" s="193">
        <f>Sources!C40</f>
        <v>20</v>
      </c>
      <c r="D40" s="193">
        <f>Sources!D40</f>
        <v>0</v>
      </c>
      <c r="F40" s="429">
        <f>Sources!F40*EnergyLineLoss</f>
        <v>753.83999999999992</v>
      </c>
      <c r="G40" s="429">
        <f>Sources!G40*EnergyLineLoss</f>
        <v>0</v>
      </c>
      <c r="H40" s="477">
        <f>Sources!H40*PeakLineLoss</f>
        <v>6.8787899999999985E-2</v>
      </c>
      <c r="I40" s="477">
        <f>Sources!I40*PeakLineLoss</f>
        <v>0</v>
      </c>
      <c r="K40" s="419">
        <f>Sources!J40</f>
        <v>250</v>
      </c>
      <c r="L40" s="419">
        <f>Sources!K40</f>
        <v>0</v>
      </c>
      <c r="N40" s="438">
        <f t="shared" si="4"/>
        <v>1.3570647774019389</v>
      </c>
      <c r="P40" s="215">
        <f t="shared" si="0"/>
        <v>276.89068306016549</v>
      </c>
      <c r="Q40" s="215">
        <f t="shared" si="1"/>
        <v>9.5030569851068645</v>
      </c>
      <c r="R40" s="215">
        <f t="shared" si="2"/>
        <v>211.03910794410629</v>
      </c>
      <c r="T40" s="214">
        <f t="shared" si="9"/>
        <v>0</v>
      </c>
      <c r="U40" s="214">
        <f t="shared" si="9"/>
        <v>0</v>
      </c>
      <c r="V40" s="214">
        <f t="shared" si="9"/>
        <v>250</v>
      </c>
      <c r="W40" s="214">
        <f t="shared" si="9"/>
        <v>0</v>
      </c>
      <c r="X40" s="214">
        <f t="shared" si="9"/>
        <v>0</v>
      </c>
      <c r="Y40" s="214">
        <f t="shared" si="9"/>
        <v>0</v>
      </c>
      <c r="Z40" s="214">
        <f t="shared" si="9"/>
        <v>0</v>
      </c>
      <c r="AA40" s="214">
        <f t="shared" si="9"/>
        <v>0</v>
      </c>
      <c r="AB40" s="214">
        <f t="shared" si="9"/>
        <v>0</v>
      </c>
      <c r="AC40" s="214">
        <f t="shared" si="9"/>
        <v>0</v>
      </c>
      <c r="AD40" s="214">
        <f t="shared" si="9"/>
        <v>0</v>
      </c>
      <c r="AF40" s="214">
        <f>IF(AND(($D40+$C$1)&gt;AF$3,AF$3&gt;=$C$1),'General Inputs'!D$9*$G40,IF(AND(($C40+$C$1)&gt;AF$3,AF$3&gt;=$C$1),'General Inputs'!D$9*$F40,0))</f>
        <v>0</v>
      </c>
      <c r="AG40" s="214">
        <f>IF(AND(($D40+$C$1)&gt;AG$3,AG$3&gt;=$C$1),'General Inputs'!E$9*$G40,IF(AND(($C40+$C$1)&gt;AG$3,AG$3&gt;=$C$1),'General Inputs'!E$9*$F40,0))</f>
        <v>0</v>
      </c>
      <c r="AH40" s="214">
        <f>IF(AND(($D40+$C$1)&gt;AH$3,AH$3&gt;=$C$1),'General Inputs'!F$9*$G40,IF(AND(($C40+$C$1)&gt;AH$3,AH$3&gt;=$C$1),'General Inputs'!F$9*$F40,0))</f>
        <v>30.919196193550576</v>
      </c>
      <c r="AI40" s="214">
        <f>IF(AND(($D40+$C$1)&gt;AI$3,AI$3&gt;=$C$1),'General Inputs'!G$9*$G40,IF(AND(($C40+$C$1)&gt;AI$3,AI$3&gt;=$C$1),'General Inputs'!G$9*$F40,0))</f>
        <v>31.382984136453832</v>
      </c>
      <c r="AJ40" s="214">
        <f>IF(AND(($D40+$C$1)&gt;AJ$3,AJ$3&gt;=$C$1),'General Inputs'!H$9*$G40,IF(AND(($C40+$C$1)&gt;AJ$3,AJ$3&gt;=$C$1),'General Inputs'!H$9*$F40,0))</f>
        <v>31.853728898500634</v>
      </c>
      <c r="AK40" s="214">
        <f>IF(AND(($D40+$C$1)&gt;AK$3,AK$3&gt;=$C$1),'General Inputs'!I$9*$G40,IF(AND(($C40+$C$1)&gt;AK$3,AK$3&gt;=$C$1),'General Inputs'!I$9*$F40,0))</f>
        <v>32.331534831978139</v>
      </c>
      <c r="AL40" s="214">
        <f>IF(AND(($D40+$C$1)&gt;AL$3,AL$3&gt;=$C$1),'General Inputs'!J$9*$G40,IF(AND(($C40+$C$1)&gt;AL$3,AL$3&gt;=$C$1),'General Inputs'!J$9*$F40,0))</f>
        <v>32.816507854457804</v>
      </c>
      <c r="AM40" s="214">
        <f>IF(AND(($D40+$C$1)&gt;AM$3,AM$3&gt;=$C$1),'General Inputs'!K$9*$G40,IF(AND(($C40+$C$1)&gt;AM$3,AM$3&gt;=$C$1),'General Inputs'!K$9*$F40,0))</f>
        <v>33.308755472274669</v>
      </c>
      <c r="AN40" s="214">
        <f>IF(AND(($D40+$C$1)&gt;AN$3,AN$3&gt;=$C$1),'General Inputs'!L$9*$G40,IF(AND(($C40+$C$1)&gt;AN$3,AN$3&gt;=$C$1),'General Inputs'!L$9*$F40,0))</f>
        <v>33.808386804358783</v>
      </c>
      <c r="AO40" s="214">
        <f>IF(AND(($D40+$C$1)&gt;AO$3,AO$3&gt;=$C$1),'General Inputs'!M$9*$G40,IF(AND(($C40+$C$1)&gt;AO$3,AO$3&gt;=$C$1),'General Inputs'!M$9*$F40,0))</f>
        <v>34.315512606424164</v>
      </c>
      <c r="AP40" s="214">
        <f>IF(AND(($D40+$C$1)&gt;AP$3,AP$3&gt;=$C$1),'General Inputs'!N$9*$G40,IF(AND(($C40+$C$1)&gt;AP$3,AP$3&gt;=$C$1),'General Inputs'!N$9*$F40,0))</f>
        <v>34.83024529552052</v>
      </c>
      <c r="AQ40" s="214">
        <f>IF(AND(($D40+$C$1)&gt;AQ$3,AQ$3&gt;=$C$1),'General Inputs'!O$9*$G40,IF(AND(($C40+$C$1)&gt;AQ$3,AQ$3&gt;=$C$1),'General Inputs'!O$9*$F40,0))</f>
        <v>35.352698974953327</v>
      </c>
      <c r="AR40" s="214">
        <f>IF(AND(($D40+$C$1)&gt;AR$3,AR$3&gt;=$C$1),'General Inputs'!P$9*$G40,IF(AND(($C40+$C$1)&gt;AR$3,AR$3&gt;=$C$1),'General Inputs'!P$9*$F40,0))</f>
        <v>35.882989459577622</v>
      </c>
      <c r="AS40" s="214">
        <f>IF(AND(($D40+$C$1)&gt;AS$3,AS$3&gt;=$C$1),'General Inputs'!Q$9*$G40,IF(AND(($C40+$C$1)&gt;AS$3,AS$3&gt;=$C$1),'General Inputs'!Q$9*$F40,0))</f>
        <v>36.421234301471287</v>
      </c>
      <c r="AT40" s="214">
        <f>IF(AND(($D40+$C$1)&gt;AT$3,AT$3&gt;=$C$1),'General Inputs'!R$9*$G40,IF(AND(($C40+$C$1)&gt;AT$3,AT$3&gt;=$C$1),'General Inputs'!R$9*$F40,0))</f>
        <v>36.967552815993351</v>
      </c>
      <c r="AU40" s="214">
        <f>IF(AND(($D40+$C$1)&gt;AU$3,AU$3&gt;=$C$1),'General Inputs'!S$9*$G40,IF(AND(($C40+$C$1)&gt;AU$3,AU$3&gt;=$C$1),'General Inputs'!S$9*$F40,0))</f>
        <v>37.522066108233247</v>
      </c>
      <c r="AV40" s="214">
        <f>IF(AND(($D40+$C$1)&gt;AV$3,AV$3&gt;=$C$1),'General Inputs'!T$9*$G40,IF(AND(($C40+$C$1)&gt;AV$3,AV$3&gt;=$C$1),'General Inputs'!T$9*$F40,0))</f>
        <v>38.084897099856747</v>
      </c>
      <c r="AW40" s="214">
        <f>IF(AND(($D40+$C$1)&gt;AW$3,AW$3&gt;=$C$1),'General Inputs'!U$9*$G40,IF(AND(($C40+$C$1)&gt;AW$3,AW$3&gt;=$C$1),'General Inputs'!U$9*$F40,0))</f>
        <v>38.656170556354596</v>
      </c>
      <c r="AX40" s="214">
        <f>IF(AND(($D40+$C$1)&gt;AX$3,AX$3&gt;=$C$1),'General Inputs'!V$9*$G40,IF(AND(($C40+$C$1)&gt;AX$3,AX$3&gt;=$C$1),'General Inputs'!V$9*$F40,0))</f>
        <v>39.236013114699908</v>
      </c>
      <c r="AY40" s="214">
        <f>IF(AND(($D40+$C$1)&gt;AY$3,AY$3&gt;=$C$1),'General Inputs'!W$9*$G40,IF(AND(($C40+$C$1)&gt;AY$3,AY$3&gt;=$C$1),'General Inputs'!W$9*$F40,0))</f>
        <v>39.824553311420402</v>
      </c>
      <c r="BA40" s="214">
        <f>IF(AND(($D40+$C$1)&gt;AF$3,AF$3&gt;=$C$1),'General Inputs'!D$10*$I40,IF(AND(($C40+$C$1)&gt;AF$3,AF$3&gt;=$C$1),'General Inputs'!D$10*$H40,0))</f>
        <v>0</v>
      </c>
      <c r="BB40" s="214">
        <f>IF(AND(($D40+$C$1)&gt;AG$3,AG$3&gt;=$C$1),'General Inputs'!E$10*$I40,IF(AND(($C40+$C$1)&gt;AG$3,AG$3&gt;=$C$1),'General Inputs'!E$10*$H40,0))</f>
        <v>0</v>
      </c>
      <c r="BC40" s="214">
        <f>IF(AND(($D40+$C$1)&gt;AH$3,AH$3&gt;=$C$1),'General Inputs'!F$10*$I40,IF(AND(($C40+$C$1)&gt;AH$3,AH$3&gt;=$C$1),'General Inputs'!F$10*$H40,0))</f>
        <v>1.0611656561126142</v>
      </c>
      <c r="BD40" s="214">
        <f>IF(AND(($D40+$C$1)&gt;AI$3,AI$3&gt;=$C$1),'General Inputs'!G$10*$I40,IF(AND(($C40+$C$1)&gt;AI$3,AI$3&gt;=$C$1),'General Inputs'!G$10*$H40,0))</f>
        <v>1.0770831409543031</v>
      </c>
      <c r="BE40" s="214">
        <f>IF(AND(($D40+$C$1)&gt;AJ$3,AJ$3&gt;=$C$1),'General Inputs'!H$10*$I40,IF(AND(($C40+$C$1)&gt;AJ$3,AJ$3&gt;=$C$1),'General Inputs'!H$10*$H40,0))</f>
        <v>1.0932393880686178</v>
      </c>
      <c r="BF40" s="214">
        <f>IF(AND(($D40+$C$1)&gt;AK$3,AK$3&gt;=$C$1),'General Inputs'!I$10*$I40,IF(AND(($C40+$C$1)&gt;AK$3,AK$3&gt;=$C$1),'General Inputs'!I$10*$H40,0))</f>
        <v>1.1096379788896467</v>
      </c>
      <c r="BG40" s="214">
        <f>IF(AND(($D40+$C$1)&gt;AL$3,AL$3&gt;=$C$1),'General Inputs'!J$10*$I40,IF(AND(($C40+$C$1)&gt;AL$3,AL$3&gt;=$C$1),'General Inputs'!J$10*$H40,0))</f>
        <v>1.1262825485729913</v>
      </c>
      <c r="BH40" s="214">
        <f>IF(AND(($D40+$C$1)&gt;AM$3,AM$3&gt;=$C$1),'General Inputs'!K$10*$I40,IF(AND(($C40+$C$1)&gt;AM$3,AM$3&gt;=$C$1),'General Inputs'!K$10*$H40,0))</f>
        <v>1.1431767868015861</v>
      </c>
      <c r="BI40" s="214">
        <f>IF(AND(($D40+$C$1)&gt;AN$3,AN$3&gt;=$C$1),'General Inputs'!L$10*$I40,IF(AND(($C40+$C$1)&gt;AN$3,AN$3&gt;=$C$1),'General Inputs'!L$10*$H40,0))</f>
        <v>1.1603244386036098</v>
      </c>
      <c r="BJ40" s="214">
        <f>IF(AND(($D40+$C$1)&gt;AO$3,AO$3&gt;=$C$1),'General Inputs'!M$10*$I40,IF(AND(($C40+$C$1)&gt;AO$3,AO$3&gt;=$C$1),'General Inputs'!M$10*$H40,0))</f>
        <v>1.1777293051826638</v>
      </c>
      <c r="BK40" s="214">
        <f>IF(AND(($D40+$C$1)&gt;AP$3,AP$3&gt;=$C$1),'General Inputs'!N$10*$I40,IF(AND(($C40+$C$1)&gt;AP$3,AP$3&gt;=$C$1),'General Inputs'!N$10*$H40,0))</f>
        <v>1.1953952447604037</v>
      </c>
      <c r="BL40" s="214">
        <f>IF(AND(($D40+$C$1)&gt;AQ$3,AQ$3&gt;=$C$1),'General Inputs'!O$10*$I40,IF(AND(($C40+$C$1)&gt;AQ$3,AQ$3&gt;=$C$1),'General Inputs'!O$10*$H40,0))</f>
        <v>1.2133261734318097</v>
      </c>
      <c r="BM40" s="214">
        <f>IF(AND(($D40+$C$1)&gt;AR$3,AR$3&gt;=$C$1),'General Inputs'!P$10*$I40,IF(AND(($C40+$C$1)&gt;AR$3,AR$3&gt;=$C$1),'General Inputs'!P$10*$H40,0))</f>
        <v>1.2315260660332867</v>
      </c>
      <c r="BN40" s="214">
        <f>IF(AND(($D40+$C$1)&gt;AS$3,AS$3&gt;=$C$1),'General Inputs'!Q$10*$I40,IF(AND(($C40+$C$1)&gt;AS$3,AS$3&gt;=$C$1),'General Inputs'!Q$10*$H40,0))</f>
        <v>1.2499989570237859</v>
      </c>
      <c r="BO40" s="214">
        <f>IF(AND(($D40+$C$1)&gt;AT$3,AT$3&gt;=$C$1),'General Inputs'!R$10*$I40,IF(AND(($C40+$C$1)&gt;AT$3,AT$3&gt;=$C$1),'General Inputs'!R$10*$H40,0))</f>
        <v>1.2687489413791424</v>
      </c>
      <c r="BP40" s="214">
        <f>IF(AND(($D40+$C$1)&gt;AU$3,AU$3&gt;=$C$1),'General Inputs'!S$10*$I40,IF(AND(($C40+$C$1)&gt;AU$3,AU$3&gt;=$C$1),'General Inputs'!S$10*$H40,0))</f>
        <v>1.2877801754998295</v>
      </c>
      <c r="BQ40" s="214">
        <f>IF(AND(($D40+$C$1)&gt;AV$3,AV$3&gt;=$C$1),'General Inputs'!T$10*$I40,IF(AND(($C40+$C$1)&gt;AV$3,AV$3&gt;=$C$1),'General Inputs'!T$10*$H40,0))</f>
        <v>1.3070968781323269</v>
      </c>
      <c r="BR40" s="214">
        <f>IF(AND(($D40+$C$1)&gt;AW$3,AW$3&gt;=$C$1),'General Inputs'!U$10*$I40,IF(AND(($C40+$C$1)&gt;AW$3,AW$3&gt;=$C$1),'General Inputs'!U$10*$H40,0))</f>
        <v>1.3267033313043117</v>
      </c>
      <c r="BS40" s="214">
        <f>IF(AND(($D40+$C$1)&gt;AX$3,AX$3&gt;=$C$1),'General Inputs'!V$10*$I40,IF(AND(($C40+$C$1)&gt;AX$3,AX$3&gt;=$C$1),'General Inputs'!V$10*$H40,0))</f>
        <v>1.3466038812738761</v>
      </c>
      <c r="BT40" s="214">
        <f>IF(AND(($D40+$C$1)&gt;AY$3,AY$3&gt;=$C$1),'General Inputs'!W$10*$I40,IF(AND(($C40+$C$1)&gt;AY$3,AY$3&gt;=$C$1),'General Inputs'!W$10*$H40,0))</f>
        <v>1.3668029394929841</v>
      </c>
    </row>
    <row r="41" spans="1:72">
      <c r="A41" s="341" t="s">
        <v>12</v>
      </c>
      <c r="B41" s="427" t="str">
        <f>Sources!B41</f>
        <v>Ductless Mini-Split SEER 21</v>
      </c>
      <c r="C41" s="193">
        <f>Sources!C41</f>
        <v>18</v>
      </c>
      <c r="D41" s="193">
        <f>Sources!D41</f>
        <v>0</v>
      </c>
      <c r="F41" s="429">
        <f>Sources!F41*EnergyLineLoss</f>
        <v>1273.0155616724742</v>
      </c>
      <c r="G41" s="429">
        <f>Sources!G41*EnergyLineLoss</f>
        <v>0</v>
      </c>
      <c r="H41" s="477">
        <f>Sources!H41*PeakLineLoss</f>
        <v>0.58412153215077611</v>
      </c>
      <c r="I41" s="477">
        <f>Sources!I41*PeakLineLoss</f>
        <v>0</v>
      </c>
      <c r="K41" s="419">
        <f>Sources!J41</f>
        <v>1055.8714961155604</v>
      </c>
      <c r="L41" s="419">
        <f>Sources!K41</f>
        <v>0</v>
      </c>
      <c r="N41" s="438">
        <f t="shared" si="4"/>
        <v>0.61513654629452308</v>
      </c>
      <c r="P41" s="215">
        <f t="shared" si="0"/>
        <v>467.58748330907304</v>
      </c>
      <c r="Q41" s="215">
        <f t="shared" si="1"/>
        <v>80.696462695572293</v>
      </c>
      <c r="R41" s="215">
        <f t="shared" si="2"/>
        <v>891.3207145753471</v>
      </c>
      <c r="T41" s="214">
        <f t="shared" si="9"/>
        <v>0</v>
      </c>
      <c r="U41" s="214">
        <f t="shared" si="9"/>
        <v>0</v>
      </c>
      <c r="V41" s="214">
        <f t="shared" si="9"/>
        <v>1055.8714961155604</v>
      </c>
      <c r="W41" s="214">
        <f t="shared" si="9"/>
        <v>0</v>
      </c>
      <c r="X41" s="214">
        <f t="shared" si="9"/>
        <v>0</v>
      </c>
      <c r="Y41" s="214">
        <f t="shared" si="9"/>
        <v>0</v>
      </c>
      <c r="Z41" s="214">
        <f t="shared" si="9"/>
        <v>0</v>
      </c>
      <c r="AA41" s="214">
        <f t="shared" si="9"/>
        <v>0</v>
      </c>
      <c r="AB41" s="214">
        <f t="shared" si="9"/>
        <v>0</v>
      </c>
      <c r="AC41" s="214">
        <f t="shared" si="9"/>
        <v>0</v>
      </c>
      <c r="AD41" s="214">
        <f t="shared" si="9"/>
        <v>0</v>
      </c>
      <c r="AF41" s="214">
        <f>IF(AND(($D41+$C$1)&gt;AF$3,AF$3&gt;=$C$1),'General Inputs'!D$9*$G41,IF(AND(($C41+$C$1)&gt;AF$3,AF$3&gt;=$C$1),'General Inputs'!D$9*$F41,0))</f>
        <v>0</v>
      </c>
      <c r="AG41" s="214">
        <f>IF(AND(($D41+$C$1)&gt;AG$3,AG$3&gt;=$C$1),'General Inputs'!E$9*$G41,IF(AND(($C41+$C$1)&gt;AG$3,AG$3&gt;=$C$1),'General Inputs'!E$9*$F41,0))</f>
        <v>0</v>
      </c>
      <c r="AH41" s="214">
        <f>IF(AND(($D41+$C$1)&gt;AH$3,AH$3&gt;=$C$1),'General Inputs'!F$9*$G41,IF(AND(($C41+$C$1)&gt;AH$3,AH$3&gt;=$C$1),'General Inputs'!F$9*$F41,0))</f>
        <v>52.21349080546829</v>
      </c>
      <c r="AI41" s="214">
        <f>IF(AND(($D41+$C$1)&gt;AI$3,AI$3&gt;=$C$1),'General Inputs'!G$9*$G41,IF(AND(($C41+$C$1)&gt;AI$3,AI$3&gt;=$C$1),'General Inputs'!G$9*$F41,0))</f>
        <v>52.996693167550312</v>
      </c>
      <c r="AJ41" s="214">
        <f>IF(AND(($D41+$C$1)&gt;AJ$3,AJ$3&gt;=$C$1),'General Inputs'!H$9*$G41,IF(AND(($C41+$C$1)&gt;AJ$3,AJ$3&gt;=$C$1),'General Inputs'!H$9*$F41,0))</f>
        <v>53.791643565063559</v>
      </c>
      <c r="AK41" s="214">
        <f>IF(AND(($D41+$C$1)&gt;AK$3,AK$3&gt;=$C$1),'General Inputs'!I$9*$G41,IF(AND(($C41+$C$1)&gt;AK$3,AK$3&gt;=$C$1),'General Inputs'!I$9*$F41,0))</f>
        <v>54.598518218539503</v>
      </c>
      <c r="AL41" s="214">
        <f>IF(AND(($D41+$C$1)&gt;AL$3,AL$3&gt;=$C$1),'General Inputs'!J$9*$G41,IF(AND(($C41+$C$1)&gt;AL$3,AL$3&gt;=$C$1),'General Inputs'!J$9*$F41,0))</f>
        <v>55.417495991817589</v>
      </c>
      <c r="AM41" s="214">
        <f>IF(AND(($D41+$C$1)&gt;AM$3,AM$3&gt;=$C$1),'General Inputs'!K$9*$G41,IF(AND(($C41+$C$1)&gt;AM$3,AM$3&gt;=$C$1),'General Inputs'!K$9*$F41,0))</f>
        <v>56.248758431694839</v>
      </c>
      <c r="AN41" s="214">
        <f>IF(AND(($D41+$C$1)&gt;AN$3,AN$3&gt;=$C$1),'General Inputs'!L$9*$G41,IF(AND(($C41+$C$1)&gt;AN$3,AN$3&gt;=$C$1),'General Inputs'!L$9*$F41,0))</f>
        <v>57.092489808170257</v>
      </c>
      <c r="AO41" s="214">
        <f>IF(AND(($D41+$C$1)&gt;AO$3,AO$3&gt;=$C$1),'General Inputs'!M$9*$G41,IF(AND(($C41+$C$1)&gt;AO$3,AO$3&gt;=$C$1),'General Inputs'!M$9*$F41,0))</f>
        <v>57.948877155292806</v>
      </c>
      <c r="AP41" s="214">
        <f>IF(AND(($D41+$C$1)&gt;AP$3,AP$3&gt;=$C$1),'General Inputs'!N$9*$G41,IF(AND(($C41+$C$1)&gt;AP$3,AP$3&gt;=$C$1),'General Inputs'!N$9*$F41,0))</f>
        <v>58.818110312622196</v>
      </c>
      <c r="AQ41" s="214">
        <f>IF(AND(($D41+$C$1)&gt;AQ$3,AQ$3&gt;=$C$1),'General Inputs'!O$9*$G41,IF(AND(($C41+$C$1)&gt;AQ$3,AQ$3&gt;=$C$1),'General Inputs'!O$9*$F41,0))</f>
        <v>59.700381967311522</v>
      </c>
      <c r="AR41" s="214">
        <f>IF(AND(($D41+$C$1)&gt;AR$3,AR$3&gt;=$C$1),'General Inputs'!P$9*$G41,IF(AND(($C41+$C$1)&gt;AR$3,AR$3&gt;=$C$1),'General Inputs'!P$9*$F41,0))</f>
        <v>60.595887696821187</v>
      </c>
      <c r="AS41" s="214">
        <f>IF(AND(($D41+$C$1)&gt;AS$3,AS$3&gt;=$C$1),'General Inputs'!Q$9*$G41,IF(AND(($C41+$C$1)&gt;AS$3,AS$3&gt;=$C$1),'General Inputs'!Q$9*$F41,0))</f>
        <v>61.504826012273497</v>
      </c>
      <c r="AT41" s="214">
        <f>IF(AND(($D41+$C$1)&gt;AT$3,AT$3&gt;=$C$1),'General Inputs'!R$9*$G41,IF(AND(($C41+$C$1)&gt;AT$3,AT$3&gt;=$C$1),'General Inputs'!R$9*$F41,0))</f>
        <v>62.427398402457598</v>
      </c>
      <c r="AU41" s="214">
        <f>IF(AND(($D41+$C$1)&gt;AU$3,AU$3&gt;=$C$1),'General Inputs'!S$9*$G41,IF(AND(($C41+$C$1)&gt;AU$3,AU$3&gt;=$C$1),'General Inputs'!S$9*$F41,0))</f>
        <v>63.363809378494459</v>
      </c>
      <c r="AV41" s="214">
        <f>IF(AND(($D41+$C$1)&gt;AV$3,AV$3&gt;=$C$1),'General Inputs'!T$9*$G41,IF(AND(($C41+$C$1)&gt;AV$3,AV$3&gt;=$C$1),'General Inputs'!T$9*$F41,0))</f>
        <v>64.314266519171866</v>
      </c>
      <c r="AW41" s="214">
        <f>IF(AND(($D41+$C$1)&gt;AW$3,AW$3&gt;=$C$1),'General Inputs'!U$9*$G41,IF(AND(($C41+$C$1)&gt;AW$3,AW$3&gt;=$C$1),'General Inputs'!U$9*$F41,0))</f>
        <v>65.27898051695945</v>
      </c>
      <c r="AX41" s="214">
        <f>IF(AND(($D41+$C$1)&gt;AX$3,AX$3&gt;=$C$1),'General Inputs'!V$9*$G41,IF(AND(($C41+$C$1)&gt;AX$3,AX$3&gt;=$C$1),'General Inputs'!V$9*$F41,0))</f>
        <v>66.258165224713835</v>
      </c>
      <c r="AY41" s="214">
        <f>IF(AND(($D41+$C$1)&gt;AY$3,AY$3&gt;=$C$1),'General Inputs'!W$9*$G41,IF(AND(($C41+$C$1)&gt;AY$3,AY$3&gt;=$C$1),'General Inputs'!W$9*$F41,0))</f>
        <v>67.25203770308454</v>
      </c>
      <c r="BA41" s="214">
        <f>IF(AND(($D41+$C$1)&gt;AF$3,AF$3&gt;=$C$1),'General Inputs'!D$10*$I41,IF(AND(($C41+$C$1)&gt;AF$3,AF$3&gt;=$C$1),'General Inputs'!D$10*$H41,0))</f>
        <v>0</v>
      </c>
      <c r="BB41" s="214">
        <f>IF(AND(($D41+$C$1)&gt;AG$3,AG$3&gt;=$C$1),'General Inputs'!E$10*$I41,IF(AND(($C41+$C$1)&gt;AG$3,AG$3&gt;=$C$1),'General Inputs'!E$10*$H41,0))</f>
        <v>0</v>
      </c>
      <c r="BC41" s="214">
        <f>IF(AND(($D41+$C$1)&gt;AH$3,AH$3&gt;=$C$1),'General Inputs'!F$10*$I41,IF(AND(($C41+$C$1)&gt;AH$3,AH$3&gt;=$C$1),'General Inputs'!F$10*$H41,0))</f>
        <v>9.0110282319170061</v>
      </c>
      <c r="BD41" s="214">
        <f>IF(AND(($D41+$C$1)&gt;AI$3,AI$3&gt;=$C$1),'General Inputs'!G$10*$I41,IF(AND(($C41+$C$1)&gt;AI$3,AI$3&gt;=$C$1),'General Inputs'!G$10*$H41,0))</f>
        <v>9.146193655395761</v>
      </c>
      <c r="BE41" s="214">
        <f>IF(AND(($D41+$C$1)&gt;AJ$3,AJ$3&gt;=$C$1),'General Inputs'!H$10*$I41,IF(AND(($C41+$C$1)&gt;AJ$3,AJ$3&gt;=$C$1),'General Inputs'!H$10*$H41,0))</f>
        <v>9.2833865602266972</v>
      </c>
      <c r="BF41" s="214">
        <f>IF(AND(($D41+$C$1)&gt;AK$3,AK$3&gt;=$C$1),'General Inputs'!I$10*$I41,IF(AND(($C41+$C$1)&gt;AK$3,AK$3&gt;=$C$1),'General Inputs'!I$10*$H41,0))</f>
        <v>9.4226373586300962</v>
      </c>
      <c r="BG41" s="214">
        <f>IF(AND(($D41+$C$1)&gt;AL$3,AL$3&gt;=$C$1),'General Inputs'!J$10*$I41,IF(AND(($C41+$C$1)&gt;AL$3,AL$3&gt;=$C$1),'General Inputs'!J$10*$H41,0))</f>
        <v>9.5639769190095461</v>
      </c>
      <c r="BH41" s="214">
        <f>IF(AND(($D41+$C$1)&gt;AM$3,AM$3&gt;=$C$1),'General Inputs'!K$10*$I41,IF(AND(($C41+$C$1)&gt;AM$3,AM$3&gt;=$C$1),'General Inputs'!K$10*$H41,0))</f>
        <v>9.7074365727946876</v>
      </c>
      <c r="BI41" s="214">
        <f>IF(AND(($D41+$C$1)&gt;AN$3,AN$3&gt;=$C$1),'General Inputs'!L$10*$I41,IF(AND(($C41+$C$1)&gt;AN$3,AN$3&gt;=$C$1),'General Inputs'!L$10*$H41,0))</f>
        <v>9.8530481213866086</v>
      </c>
      <c r="BJ41" s="214">
        <f>IF(AND(($D41+$C$1)&gt;AO$3,AO$3&gt;=$C$1),'General Inputs'!M$10*$I41,IF(AND(($C41+$C$1)&gt;AO$3,AO$3&gt;=$C$1),'General Inputs'!M$10*$H41,0))</f>
        <v>10.000843843207408</v>
      </c>
      <c r="BK41" s="214">
        <f>IF(AND(($D41+$C$1)&gt;AP$3,AP$3&gt;=$C$1),'General Inputs'!N$10*$I41,IF(AND(($C41+$C$1)&gt;AP$3,AP$3&gt;=$C$1),'General Inputs'!N$10*$H41,0))</f>
        <v>10.150856500855516</v>
      </c>
      <c r="BL41" s="214">
        <f>IF(AND(($D41+$C$1)&gt;AQ$3,AQ$3&gt;=$C$1),'General Inputs'!O$10*$I41,IF(AND(($C41+$C$1)&gt;AQ$3,AQ$3&gt;=$C$1),'General Inputs'!O$10*$H41,0))</f>
        <v>10.303119348368348</v>
      </c>
      <c r="BM41" s="214">
        <f>IF(AND(($D41+$C$1)&gt;AR$3,AR$3&gt;=$C$1),'General Inputs'!P$10*$I41,IF(AND(($C41+$C$1)&gt;AR$3,AR$3&gt;=$C$1),'General Inputs'!P$10*$H41,0))</f>
        <v>10.457666138593872</v>
      </c>
      <c r="BN41" s="214">
        <f>IF(AND(($D41+$C$1)&gt;AS$3,AS$3&gt;=$C$1),'General Inputs'!Q$10*$I41,IF(AND(($C41+$C$1)&gt;AS$3,AS$3&gt;=$C$1),'General Inputs'!Q$10*$H41,0))</f>
        <v>10.614531130672781</v>
      </c>
      <c r="BO41" s="214">
        <f>IF(AND(($D41+$C$1)&gt;AT$3,AT$3&gt;=$C$1),'General Inputs'!R$10*$I41,IF(AND(($C41+$C$1)&gt;AT$3,AT$3&gt;=$C$1),'General Inputs'!R$10*$H41,0))</f>
        <v>10.773749097632869</v>
      </c>
      <c r="BP41" s="214">
        <f>IF(AND(($D41+$C$1)&gt;AU$3,AU$3&gt;=$C$1),'General Inputs'!S$10*$I41,IF(AND(($C41+$C$1)&gt;AU$3,AU$3&gt;=$C$1),'General Inputs'!S$10*$H41,0))</f>
        <v>10.935355334097363</v>
      </c>
      <c r="BQ41" s="214">
        <f>IF(AND(($D41+$C$1)&gt;AV$3,AV$3&gt;=$C$1),'General Inputs'!T$10*$I41,IF(AND(($C41+$C$1)&gt;AV$3,AV$3&gt;=$C$1),'General Inputs'!T$10*$H41,0))</f>
        <v>11.099385664108821</v>
      </c>
      <c r="BR41" s="214">
        <f>IF(AND(($D41+$C$1)&gt;AW$3,AW$3&gt;=$C$1),'General Inputs'!U$10*$I41,IF(AND(($C41+$C$1)&gt;AW$3,AW$3&gt;=$C$1),'General Inputs'!U$10*$H41,0))</f>
        <v>11.265876449070452</v>
      </c>
      <c r="BS41" s="214">
        <f>IF(AND(($D41+$C$1)&gt;AX$3,AX$3&gt;=$C$1),'General Inputs'!V$10*$I41,IF(AND(($C41+$C$1)&gt;AX$3,AX$3&gt;=$C$1),'General Inputs'!V$10*$H41,0))</f>
        <v>11.434864595806507</v>
      </c>
      <c r="BT41" s="214">
        <f>IF(AND(($D41+$C$1)&gt;AY$3,AY$3&gt;=$C$1),'General Inputs'!W$10*$I41,IF(AND(($C41+$C$1)&gt;AY$3,AY$3&gt;=$C$1),'General Inputs'!W$10*$H41,0))</f>
        <v>11.606387564743605</v>
      </c>
    </row>
    <row r="42" spans="1:72">
      <c r="A42" s="341" t="s">
        <v>12</v>
      </c>
      <c r="B42" s="427" t="str">
        <f>Sources!B42</f>
        <v>Geothermal EER ≥21</v>
      </c>
      <c r="C42" s="193">
        <f>Sources!C42</f>
        <v>18</v>
      </c>
      <c r="D42" s="193">
        <f>Sources!D42</f>
        <v>0</v>
      </c>
      <c r="F42" s="429">
        <f>Sources!F42*EnergyLineLoss</f>
        <v>5187.9964220182746</v>
      </c>
      <c r="G42" s="429">
        <f>Sources!G42*EnergyLineLoss</f>
        <v>0</v>
      </c>
      <c r="H42" s="477">
        <f>Sources!H42*PeakLineLoss</f>
        <v>0.81139897673293904</v>
      </c>
      <c r="I42" s="477">
        <f>Sources!I42*PeakLineLoss</f>
        <v>0</v>
      </c>
      <c r="K42" s="419">
        <f>Sources!J42</f>
        <v>1230</v>
      </c>
      <c r="L42" s="419">
        <f>Sources!K42</f>
        <v>0</v>
      </c>
      <c r="N42" s="438">
        <f t="shared" si="4"/>
        <v>1.943232183904072</v>
      </c>
      <c r="P42" s="215">
        <f t="shared" si="0"/>
        <v>1905.5872240877836</v>
      </c>
      <c r="Q42" s="215">
        <f t="shared" si="1"/>
        <v>112.09487007962915</v>
      </c>
      <c r="R42" s="215">
        <f t="shared" si="2"/>
        <v>1038.3124110850029</v>
      </c>
      <c r="T42" s="214">
        <f t="shared" si="9"/>
        <v>0</v>
      </c>
      <c r="U42" s="214">
        <f t="shared" si="9"/>
        <v>0</v>
      </c>
      <c r="V42" s="214">
        <f t="shared" si="9"/>
        <v>1230</v>
      </c>
      <c r="W42" s="214">
        <f t="shared" si="9"/>
        <v>0</v>
      </c>
      <c r="X42" s="214">
        <f t="shared" si="9"/>
        <v>0</v>
      </c>
      <c r="Y42" s="214">
        <f t="shared" si="9"/>
        <v>0</v>
      </c>
      <c r="Z42" s="214">
        <f t="shared" si="9"/>
        <v>0</v>
      </c>
      <c r="AA42" s="214">
        <f t="shared" si="9"/>
        <v>0</v>
      </c>
      <c r="AB42" s="214">
        <f t="shared" si="9"/>
        <v>0</v>
      </c>
      <c r="AC42" s="214">
        <f t="shared" si="9"/>
        <v>0</v>
      </c>
      <c r="AD42" s="214">
        <f t="shared" si="9"/>
        <v>0</v>
      </c>
      <c r="AF42" s="214">
        <f>IF(AND(($D42+$C$1)&gt;AF$3,AF$3&gt;=$C$1),'General Inputs'!D$9*$G42,IF(AND(($C42+$C$1)&gt;AF$3,AF$3&gt;=$C$1),'General Inputs'!D$9*$F42,0))</f>
        <v>0</v>
      </c>
      <c r="AG42" s="214">
        <f>IF(AND(($D42+$C$1)&gt;AG$3,AG$3&gt;=$C$1),'General Inputs'!E$9*$G42,IF(AND(($C42+$C$1)&gt;AG$3,AG$3&gt;=$C$1),'General Inputs'!E$9*$F42,0))</f>
        <v>0</v>
      </c>
      <c r="AH42" s="214">
        <f>IF(AND(($D42+$C$1)&gt;AH$3,AH$3&gt;=$C$1),'General Inputs'!F$9*$G42,IF(AND(($C42+$C$1)&gt;AH$3,AH$3&gt;=$C$1),'General Inputs'!F$9*$F42,0))</f>
        <v>212.78876051127753</v>
      </c>
      <c r="AI42" s="214">
        <f>IF(AND(($D42+$C$1)&gt;AI$3,AI$3&gt;=$C$1),'General Inputs'!G$9*$G42,IF(AND(($C42+$C$1)&gt;AI$3,AI$3&gt;=$C$1),'General Inputs'!G$9*$F42,0))</f>
        <v>215.98059191894669</v>
      </c>
      <c r="AJ42" s="214">
        <f>IF(AND(($D42+$C$1)&gt;AJ$3,AJ$3&gt;=$C$1),'General Inputs'!H$9*$G42,IF(AND(($C42+$C$1)&gt;AJ$3,AJ$3&gt;=$C$1),'General Inputs'!H$9*$F42,0))</f>
        <v>219.22030079773086</v>
      </c>
      <c r="AK42" s="214">
        <f>IF(AND(($D42+$C$1)&gt;AK$3,AK$3&gt;=$C$1),'General Inputs'!I$9*$G42,IF(AND(($C42+$C$1)&gt;AK$3,AK$3&gt;=$C$1),'General Inputs'!I$9*$F42,0))</f>
        <v>222.50860530969678</v>
      </c>
      <c r="AL42" s="214">
        <f>IF(AND(($D42+$C$1)&gt;AL$3,AL$3&gt;=$C$1),'General Inputs'!J$9*$G42,IF(AND(($C42+$C$1)&gt;AL$3,AL$3&gt;=$C$1),'General Inputs'!J$9*$F42,0))</f>
        <v>225.84623438934221</v>
      </c>
      <c r="AM42" s="214">
        <f>IF(AND(($D42+$C$1)&gt;AM$3,AM$3&gt;=$C$1),'General Inputs'!K$9*$G42,IF(AND(($C42+$C$1)&gt;AM$3,AM$3&gt;=$C$1),'General Inputs'!K$9*$F42,0))</f>
        <v>229.2339279051823</v>
      </c>
      <c r="AN42" s="214">
        <f>IF(AND(($D42+$C$1)&gt;AN$3,AN$3&gt;=$C$1),'General Inputs'!L$9*$G42,IF(AND(($C42+$C$1)&gt;AN$3,AN$3&gt;=$C$1),'General Inputs'!L$9*$F42,0))</f>
        <v>232.67243682376002</v>
      </c>
      <c r="AO42" s="214">
        <f>IF(AND(($D42+$C$1)&gt;AO$3,AO$3&gt;=$C$1),'General Inputs'!M$9*$G42,IF(AND(($C42+$C$1)&gt;AO$3,AO$3&gt;=$C$1),'General Inputs'!M$9*$F42,0))</f>
        <v>236.16252337611638</v>
      </c>
      <c r="AP42" s="214">
        <f>IF(AND(($D42+$C$1)&gt;AP$3,AP$3&gt;=$C$1),'General Inputs'!N$9*$G42,IF(AND(($C42+$C$1)&gt;AP$3,AP$3&gt;=$C$1),'General Inputs'!N$9*$F42,0))</f>
        <v>239.70496122675812</v>
      </c>
      <c r="AQ42" s="214">
        <f>IF(AND(($D42+$C$1)&gt;AQ$3,AQ$3&gt;=$C$1),'General Inputs'!O$9*$G42,IF(AND(($C42+$C$1)&gt;AQ$3,AQ$3&gt;=$C$1),'General Inputs'!O$9*$F42,0))</f>
        <v>243.30053564515944</v>
      </c>
      <c r="AR42" s="214">
        <f>IF(AND(($D42+$C$1)&gt;AR$3,AR$3&gt;=$C$1),'General Inputs'!P$9*$G42,IF(AND(($C42+$C$1)&gt;AR$3,AR$3&gt;=$C$1),'General Inputs'!P$9*$F42,0))</f>
        <v>246.95004367983682</v>
      </c>
      <c r="AS42" s="214">
        <f>IF(AND(($D42+$C$1)&gt;AS$3,AS$3&gt;=$C$1),'General Inputs'!Q$9*$G42,IF(AND(($C42+$C$1)&gt;AS$3,AS$3&gt;=$C$1),'General Inputs'!Q$9*$F42,0))</f>
        <v>250.65429433503436</v>
      </c>
      <c r="AT42" s="214">
        <f>IF(AND(($D42+$C$1)&gt;AT$3,AT$3&gt;=$C$1),'General Inputs'!R$9*$G42,IF(AND(($C42+$C$1)&gt;AT$3,AT$3&gt;=$C$1),'General Inputs'!R$9*$F42,0))</f>
        <v>254.41410875005985</v>
      </c>
      <c r="AU42" s="214">
        <f>IF(AND(($D42+$C$1)&gt;AU$3,AU$3&gt;=$C$1),'General Inputs'!S$9*$G42,IF(AND(($C42+$C$1)&gt;AU$3,AU$3&gt;=$C$1),'General Inputs'!S$9*$F42,0))</f>
        <v>258.23032038131072</v>
      </c>
      <c r="AV42" s="214">
        <f>IF(AND(($D42+$C$1)&gt;AV$3,AV$3&gt;=$C$1),'General Inputs'!T$9*$G42,IF(AND(($C42+$C$1)&gt;AV$3,AV$3&gt;=$C$1),'General Inputs'!T$9*$F42,0))</f>
        <v>262.10377518703041</v>
      </c>
      <c r="AW42" s="214">
        <f>IF(AND(($D42+$C$1)&gt;AW$3,AW$3&gt;=$C$1),'General Inputs'!U$9*$G42,IF(AND(($C42+$C$1)&gt;AW$3,AW$3&gt;=$C$1),'General Inputs'!U$9*$F42,0))</f>
        <v>266.03533181483584</v>
      </c>
      <c r="AX42" s="214">
        <f>IF(AND(($D42+$C$1)&gt;AX$3,AX$3&gt;=$C$1),'General Inputs'!V$9*$G42,IF(AND(($C42+$C$1)&gt;AX$3,AX$3&gt;=$C$1),'General Inputs'!V$9*$F42,0))</f>
        <v>270.02586179205832</v>
      </c>
      <c r="AY42" s="214">
        <f>IF(AND(($D42+$C$1)&gt;AY$3,AY$3&gt;=$C$1),'General Inputs'!W$9*$G42,IF(AND(($C42+$C$1)&gt;AY$3,AY$3&gt;=$C$1),'General Inputs'!W$9*$F42,0))</f>
        <v>274.07624971893921</v>
      </c>
      <c r="BA42" s="214">
        <f>IF(AND(($D42+$C$1)&gt;AF$3,AF$3&gt;=$C$1),'General Inputs'!D$10*$I42,IF(AND(($C42+$C$1)&gt;AF$3,AF$3&gt;=$C$1),'General Inputs'!D$10*$H42,0))</f>
        <v>0</v>
      </c>
      <c r="BB42" s="214">
        <f>IF(AND(($D42+$C$1)&gt;AG$3,AG$3&gt;=$C$1),'General Inputs'!E$10*$I42,IF(AND(($C42+$C$1)&gt;AG$3,AG$3&gt;=$C$1),'General Inputs'!E$10*$H42,0))</f>
        <v>0</v>
      </c>
      <c r="BC42" s="214">
        <f>IF(AND(($D42+$C$1)&gt;AH$3,AH$3&gt;=$C$1),'General Inputs'!F$10*$I42,IF(AND(($C42+$C$1)&gt;AH$3,AH$3&gt;=$C$1),'General Inputs'!F$10*$H42,0))</f>
        <v>12.517153852842043</v>
      </c>
      <c r="BD42" s="214">
        <f>IF(AND(($D42+$C$1)&gt;AI$3,AI$3&gt;=$C$1),'General Inputs'!G$10*$I42,IF(AND(($C42+$C$1)&gt;AI$3,AI$3&gt;=$C$1),'General Inputs'!G$10*$H42,0))</f>
        <v>12.704911160634673</v>
      </c>
      <c r="BE42" s="214">
        <f>IF(AND(($D42+$C$1)&gt;AJ$3,AJ$3&gt;=$C$1),'General Inputs'!H$10*$I42,IF(AND(($C42+$C$1)&gt;AJ$3,AJ$3&gt;=$C$1),'General Inputs'!H$10*$H42,0))</f>
        <v>12.895484828044191</v>
      </c>
      <c r="BF42" s="214">
        <f>IF(AND(($D42+$C$1)&gt;AK$3,AK$3&gt;=$C$1),'General Inputs'!I$10*$I42,IF(AND(($C42+$C$1)&gt;AK$3,AK$3&gt;=$C$1),'General Inputs'!I$10*$H42,0))</f>
        <v>13.088917100464851</v>
      </c>
      <c r="BG42" s="214">
        <f>IF(AND(($D42+$C$1)&gt;AL$3,AL$3&gt;=$C$1),'General Inputs'!J$10*$I42,IF(AND(($C42+$C$1)&gt;AL$3,AL$3&gt;=$C$1),'General Inputs'!J$10*$H42,0))</f>
        <v>13.285250856971823</v>
      </c>
      <c r="BH42" s="214">
        <f>IF(AND(($D42+$C$1)&gt;AM$3,AM$3&gt;=$C$1),'General Inputs'!K$10*$I42,IF(AND(($C42+$C$1)&gt;AM$3,AM$3&gt;=$C$1),'General Inputs'!K$10*$H42,0))</f>
        <v>13.484529619826398</v>
      </c>
      <c r="BI42" s="214">
        <f>IF(AND(($D42+$C$1)&gt;AN$3,AN$3&gt;=$C$1),'General Inputs'!L$10*$I42,IF(AND(($C42+$C$1)&gt;AN$3,AN$3&gt;=$C$1),'General Inputs'!L$10*$H42,0))</f>
        <v>13.686797564123793</v>
      </c>
      <c r="BJ42" s="214">
        <f>IF(AND(($D42+$C$1)&gt;AO$3,AO$3&gt;=$C$1),'General Inputs'!M$10*$I42,IF(AND(($C42+$C$1)&gt;AO$3,AO$3&gt;=$C$1),'General Inputs'!M$10*$H42,0))</f>
        <v>13.892099527585652</v>
      </c>
      <c r="BK42" s="214">
        <f>IF(AND(($D42+$C$1)&gt;AP$3,AP$3&gt;=$C$1),'General Inputs'!N$10*$I42,IF(AND(($C42+$C$1)&gt;AP$3,AP$3&gt;=$C$1),'General Inputs'!N$10*$H42,0))</f>
        <v>14.100481020499434</v>
      </c>
      <c r="BL42" s="214">
        <f>IF(AND(($D42+$C$1)&gt;AQ$3,AQ$3&gt;=$C$1),'General Inputs'!O$10*$I42,IF(AND(($C42+$C$1)&gt;AQ$3,AQ$3&gt;=$C$1),'General Inputs'!O$10*$H42,0))</f>
        <v>14.311988235806924</v>
      </c>
      <c r="BM42" s="214">
        <f>IF(AND(($D42+$C$1)&gt;AR$3,AR$3&gt;=$C$1),'General Inputs'!P$10*$I42,IF(AND(($C42+$C$1)&gt;AR$3,AR$3&gt;=$C$1),'General Inputs'!P$10*$H42,0))</f>
        <v>14.526668059344026</v>
      </c>
      <c r="BN42" s="214">
        <f>IF(AND(($D42+$C$1)&gt;AS$3,AS$3&gt;=$C$1),'General Inputs'!Q$10*$I42,IF(AND(($C42+$C$1)&gt;AS$3,AS$3&gt;=$C$1),'General Inputs'!Q$10*$H42,0))</f>
        <v>14.744568080234185</v>
      </c>
      <c r="BO42" s="214">
        <f>IF(AND(($D42+$C$1)&gt;AT$3,AT$3&gt;=$C$1),'General Inputs'!R$10*$I42,IF(AND(($C42+$C$1)&gt;AT$3,AT$3&gt;=$C$1),'General Inputs'!R$10*$H42,0))</f>
        <v>14.965736601437696</v>
      </c>
      <c r="BP42" s="214">
        <f>IF(AND(($D42+$C$1)&gt;AU$3,AU$3&gt;=$C$1),'General Inputs'!S$10*$I42,IF(AND(($C42+$C$1)&gt;AU$3,AU$3&gt;=$C$1),'General Inputs'!S$10*$H42,0))</f>
        <v>15.19022265045926</v>
      </c>
      <c r="BQ42" s="214">
        <f>IF(AND(($D42+$C$1)&gt;AV$3,AV$3&gt;=$C$1),'General Inputs'!T$10*$I42,IF(AND(($C42+$C$1)&gt;AV$3,AV$3&gt;=$C$1),'General Inputs'!T$10*$H42,0))</f>
        <v>15.418075990216147</v>
      </c>
      <c r="BR42" s="214">
        <f>IF(AND(($D42+$C$1)&gt;AW$3,AW$3&gt;=$C$1),'General Inputs'!U$10*$I42,IF(AND(($C42+$C$1)&gt;AW$3,AW$3&gt;=$C$1),'General Inputs'!U$10*$H42,0))</f>
        <v>15.649347130069389</v>
      </c>
      <c r="BS42" s="214">
        <f>IF(AND(($D42+$C$1)&gt;AX$3,AX$3&gt;=$C$1),'General Inputs'!V$10*$I42,IF(AND(($C42+$C$1)&gt;AX$3,AX$3&gt;=$C$1),'General Inputs'!V$10*$H42,0))</f>
        <v>15.884087337020427</v>
      </c>
      <c r="BT42" s="214">
        <f>IF(AND(($D42+$C$1)&gt;AY$3,AY$3&gt;=$C$1),'General Inputs'!W$10*$I42,IF(AND(($C42+$C$1)&gt;AY$3,AY$3&gt;=$C$1),'General Inputs'!W$10*$H42,0))</f>
        <v>16.122348647075732</v>
      </c>
    </row>
    <row r="43" spans="1:72">
      <c r="A43" s="341" t="s">
        <v>12</v>
      </c>
      <c r="B43" s="427" t="str">
        <f>Sources!B43</f>
        <v>Early Retirement Geothermal EER ≥21</v>
      </c>
      <c r="C43" s="193">
        <f>Sources!C43</f>
        <v>18</v>
      </c>
      <c r="D43" s="193">
        <f>Sources!D43</f>
        <v>6</v>
      </c>
      <c r="F43" s="429">
        <f>Sources!F43*EnergyLineLoss</f>
        <v>5187.9964220182746</v>
      </c>
      <c r="G43" s="429">
        <f>Sources!G43*EnergyLineLoss</f>
        <v>11718.587321318171</v>
      </c>
      <c r="H43" s="477">
        <f>Sources!H43*PeakLineLoss</f>
        <v>0.81139897673293904</v>
      </c>
      <c r="I43" s="477">
        <f>Sources!I43*PeakLineLoss</f>
        <v>1.7098151489817426</v>
      </c>
      <c r="K43" s="419">
        <f>Sources!J43</f>
        <v>2913</v>
      </c>
      <c r="L43" s="419">
        <f>Sources!K43</f>
        <v>2376</v>
      </c>
      <c r="N43" s="438">
        <f t="shared" si="4"/>
        <v>2.5745004033211898</v>
      </c>
      <c r="P43" s="215">
        <f t="shared" si="0"/>
        <v>3053.0861595443412</v>
      </c>
      <c r="Q43" s="215">
        <f t="shared" si="1"/>
        <v>171.46930525712068</v>
      </c>
      <c r="R43" s="215">
        <f t="shared" si="2"/>
        <v>1252.4975566683461</v>
      </c>
      <c r="T43" s="214">
        <f t="shared" si="9"/>
        <v>0</v>
      </c>
      <c r="U43" s="214">
        <f t="shared" si="9"/>
        <v>0</v>
      </c>
      <c r="V43" s="214">
        <f t="shared" si="9"/>
        <v>2913</v>
      </c>
      <c r="W43" s="214">
        <f t="shared" si="9"/>
        <v>0</v>
      </c>
      <c r="X43" s="214">
        <f t="shared" si="9"/>
        <v>0</v>
      </c>
      <c r="Y43" s="214">
        <f t="shared" si="9"/>
        <v>0</v>
      </c>
      <c r="Z43" s="214">
        <f t="shared" si="9"/>
        <v>0</v>
      </c>
      <c r="AA43" s="214">
        <f t="shared" si="9"/>
        <v>0</v>
      </c>
      <c r="AB43" s="214">
        <f t="shared" si="9"/>
        <v>-2376</v>
      </c>
      <c r="AC43" s="214">
        <f t="shared" si="9"/>
        <v>0</v>
      </c>
      <c r="AD43" s="214">
        <f t="shared" si="9"/>
        <v>0</v>
      </c>
      <c r="AF43" s="214">
        <f>IF(AND(($D43+$C$1)&gt;AF$3,AF$3&gt;=$C$1),'General Inputs'!D$9*$G43,IF(AND(($C43+$C$1)&gt;AF$3,AF$3&gt;=$C$1),'General Inputs'!D$9*$F43,0))</f>
        <v>0</v>
      </c>
      <c r="AG43" s="214">
        <f>IF(AND(($D43+$C$1)&gt;AG$3,AG$3&gt;=$C$1),'General Inputs'!E$9*$G43,IF(AND(($C43+$C$1)&gt;AG$3,AG$3&gt;=$C$1),'General Inputs'!E$9*$F43,0))</f>
        <v>0</v>
      </c>
      <c r="AH43" s="214">
        <f>IF(AND(($D43+$C$1)&gt;AH$3,AH$3&gt;=$C$1),'General Inputs'!F$9*$G43,IF(AND(($C43+$C$1)&gt;AH$3,AH$3&gt;=$C$1),'General Inputs'!F$9*$F43,0))</f>
        <v>480.64483245661</v>
      </c>
      <c r="AI43" s="214">
        <f>IF(AND(($D43+$C$1)&gt;AI$3,AI$3&gt;=$C$1),'General Inputs'!G$9*$G43,IF(AND(($C43+$C$1)&gt;AI$3,AI$3&gt;=$C$1),'General Inputs'!G$9*$F43,0))</f>
        <v>487.85450494345912</v>
      </c>
      <c r="AJ43" s="214">
        <f>IF(AND(($D43+$C$1)&gt;AJ$3,AJ$3&gt;=$C$1),'General Inputs'!H$9*$G43,IF(AND(($C43+$C$1)&gt;AJ$3,AJ$3&gt;=$C$1),'General Inputs'!H$9*$F43,0))</f>
        <v>495.17232251761089</v>
      </c>
      <c r="AK43" s="214">
        <f>IF(AND(($D43+$C$1)&gt;AK$3,AK$3&gt;=$C$1),'General Inputs'!I$9*$G43,IF(AND(($C43+$C$1)&gt;AK$3,AK$3&gt;=$C$1),'General Inputs'!I$9*$F43,0))</f>
        <v>502.59990735537502</v>
      </c>
      <c r="AL43" s="214">
        <f>IF(AND(($D43+$C$1)&gt;AL$3,AL$3&gt;=$C$1),'General Inputs'!J$9*$G43,IF(AND(($C43+$C$1)&gt;AL$3,AL$3&gt;=$C$1),'General Inputs'!J$9*$F43,0))</f>
        <v>510.13890596570553</v>
      </c>
      <c r="AM43" s="214">
        <f>IF(AND(($D43+$C$1)&gt;AM$3,AM$3&gt;=$C$1),'General Inputs'!K$9*$G43,IF(AND(($C43+$C$1)&gt;AM$3,AM$3&gt;=$C$1),'General Inputs'!K$9*$F43,0))</f>
        <v>517.790989555191</v>
      </c>
      <c r="AN43" s="214">
        <f>IF(AND(($D43+$C$1)&gt;AN$3,AN$3&gt;=$C$1),'General Inputs'!L$9*$G43,IF(AND(($C43+$C$1)&gt;AN$3,AN$3&gt;=$C$1),'General Inputs'!L$9*$F43,0))</f>
        <v>232.67243682376002</v>
      </c>
      <c r="AO43" s="214">
        <f>IF(AND(($D43+$C$1)&gt;AO$3,AO$3&gt;=$C$1),'General Inputs'!M$9*$G43,IF(AND(($C43+$C$1)&gt;AO$3,AO$3&gt;=$C$1),'General Inputs'!M$9*$F43,0))</f>
        <v>236.16252337611638</v>
      </c>
      <c r="AP43" s="214">
        <f>IF(AND(($D43+$C$1)&gt;AP$3,AP$3&gt;=$C$1),'General Inputs'!N$9*$G43,IF(AND(($C43+$C$1)&gt;AP$3,AP$3&gt;=$C$1),'General Inputs'!N$9*$F43,0))</f>
        <v>239.70496122675812</v>
      </c>
      <c r="AQ43" s="214">
        <f>IF(AND(($D43+$C$1)&gt;AQ$3,AQ$3&gt;=$C$1),'General Inputs'!O$9*$G43,IF(AND(($C43+$C$1)&gt;AQ$3,AQ$3&gt;=$C$1),'General Inputs'!O$9*$F43,0))</f>
        <v>243.30053564515944</v>
      </c>
      <c r="AR43" s="214">
        <f>IF(AND(($D43+$C$1)&gt;AR$3,AR$3&gt;=$C$1),'General Inputs'!P$9*$G43,IF(AND(($C43+$C$1)&gt;AR$3,AR$3&gt;=$C$1),'General Inputs'!P$9*$F43,0))</f>
        <v>246.95004367983682</v>
      </c>
      <c r="AS43" s="214">
        <f>IF(AND(($D43+$C$1)&gt;AS$3,AS$3&gt;=$C$1),'General Inputs'!Q$9*$G43,IF(AND(($C43+$C$1)&gt;AS$3,AS$3&gt;=$C$1),'General Inputs'!Q$9*$F43,0))</f>
        <v>250.65429433503436</v>
      </c>
      <c r="AT43" s="214">
        <f>IF(AND(($D43+$C$1)&gt;AT$3,AT$3&gt;=$C$1),'General Inputs'!R$9*$G43,IF(AND(($C43+$C$1)&gt;AT$3,AT$3&gt;=$C$1),'General Inputs'!R$9*$F43,0))</f>
        <v>254.41410875005985</v>
      </c>
      <c r="AU43" s="214">
        <f>IF(AND(($D43+$C$1)&gt;AU$3,AU$3&gt;=$C$1),'General Inputs'!S$9*$G43,IF(AND(($C43+$C$1)&gt;AU$3,AU$3&gt;=$C$1),'General Inputs'!S$9*$F43,0))</f>
        <v>258.23032038131072</v>
      </c>
      <c r="AV43" s="214">
        <f>IF(AND(($D43+$C$1)&gt;AV$3,AV$3&gt;=$C$1),'General Inputs'!T$9*$G43,IF(AND(($C43+$C$1)&gt;AV$3,AV$3&gt;=$C$1),'General Inputs'!T$9*$F43,0))</f>
        <v>262.10377518703041</v>
      </c>
      <c r="AW43" s="214">
        <f>IF(AND(($D43+$C$1)&gt;AW$3,AW$3&gt;=$C$1),'General Inputs'!U$9*$G43,IF(AND(($C43+$C$1)&gt;AW$3,AW$3&gt;=$C$1),'General Inputs'!U$9*$F43,0))</f>
        <v>266.03533181483584</v>
      </c>
      <c r="AX43" s="214">
        <f>IF(AND(($D43+$C$1)&gt;AX$3,AX$3&gt;=$C$1),'General Inputs'!V$9*$G43,IF(AND(($C43+$C$1)&gt;AX$3,AX$3&gt;=$C$1),'General Inputs'!V$9*$F43,0))</f>
        <v>270.02586179205832</v>
      </c>
      <c r="AY43" s="214">
        <f>IF(AND(($D43+$C$1)&gt;AY$3,AY$3&gt;=$C$1),'General Inputs'!W$9*$G43,IF(AND(($C43+$C$1)&gt;AY$3,AY$3&gt;=$C$1),'General Inputs'!W$9*$F43,0))</f>
        <v>274.07624971893921</v>
      </c>
      <c r="BA43" s="214">
        <f>IF(AND(($D43+$C$1)&gt;AF$3,AF$3&gt;=$C$1),'General Inputs'!D$10*$I43,IF(AND(($C43+$C$1)&gt;AF$3,AF$3&gt;=$C$1),'General Inputs'!D$10*$H43,0))</f>
        <v>0</v>
      </c>
      <c r="BB43" s="214">
        <f>IF(AND(($D43+$C$1)&gt;AG$3,AG$3&gt;=$C$1),'General Inputs'!E$10*$I43,IF(AND(($C43+$C$1)&gt;AG$3,AG$3&gt;=$C$1),'General Inputs'!E$10*$H43,0))</f>
        <v>0</v>
      </c>
      <c r="BC43" s="214">
        <f>IF(AND(($D43+$C$1)&gt;AH$3,AH$3&gt;=$C$1),'General Inputs'!F$10*$I43,IF(AND(($C43+$C$1)&gt;AH$3,AH$3&gt;=$C$1),'General Inputs'!F$10*$H43,0))</f>
        <v>26.37669000508081</v>
      </c>
      <c r="BD43" s="214">
        <f>IF(AND(($D43+$C$1)&gt;AI$3,AI$3&gt;=$C$1),'General Inputs'!G$10*$I43,IF(AND(($C43+$C$1)&gt;AI$3,AI$3&gt;=$C$1),'General Inputs'!G$10*$H43,0))</f>
        <v>26.77234035515702</v>
      </c>
      <c r="BE43" s="214">
        <f>IF(AND(($D43+$C$1)&gt;AJ$3,AJ$3&gt;=$C$1),'General Inputs'!H$10*$I43,IF(AND(($C43+$C$1)&gt;AJ$3,AJ$3&gt;=$C$1),'General Inputs'!H$10*$H43,0))</f>
        <v>27.173925460484373</v>
      </c>
      <c r="BF43" s="214">
        <f>IF(AND(($D43+$C$1)&gt;AK$3,AK$3&gt;=$C$1),'General Inputs'!I$10*$I43,IF(AND(($C43+$C$1)&gt;AK$3,AK$3&gt;=$C$1),'General Inputs'!I$10*$H43,0))</f>
        <v>27.581534342391635</v>
      </c>
      <c r="BG43" s="214">
        <f>IF(AND(($D43+$C$1)&gt;AL$3,AL$3&gt;=$C$1),'General Inputs'!J$10*$I43,IF(AND(($C43+$C$1)&gt;AL$3,AL$3&gt;=$C$1),'General Inputs'!J$10*$H43,0))</f>
        <v>27.995257357527503</v>
      </c>
      <c r="BH43" s="214">
        <f>IF(AND(($D43+$C$1)&gt;AM$3,AM$3&gt;=$C$1),'General Inputs'!K$10*$I43,IF(AND(($C43+$C$1)&gt;AM$3,AM$3&gt;=$C$1),'General Inputs'!K$10*$H43,0))</f>
        <v>28.415186217890415</v>
      </c>
      <c r="BI43" s="214">
        <f>IF(AND(($D43+$C$1)&gt;AN$3,AN$3&gt;=$C$1),'General Inputs'!L$10*$I43,IF(AND(($C43+$C$1)&gt;AN$3,AN$3&gt;=$C$1),'General Inputs'!L$10*$H43,0))</f>
        <v>13.686797564123793</v>
      </c>
      <c r="BJ43" s="214">
        <f>IF(AND(($D43+$C$1)&gt;AO$3,AO$3&gt;=$C$1),'General Inputs'!M$10*$I43,IF(AND(($C43+$C$1)&gt;AO$3,AO$3&gt;=$C$1),'General Inputs'!M$10*$H43,0))</f>
        <v>13.892099527585652</v>
      </c>
      <c r="BK43" s="214">
        <f>IF(AND(($D43+$C$1)&gt;AP$3,AP$3&gt;=$C$1),'General Inputs'!N$10*$I43,IF(AND(($C43+$C$1)&gt;AP$3,AP$3&gt;=$C$1),'General Inputs'!N$10*$H43,0))</f>
        <v>14.100481020499434</v>
      </c>
      <c r="BL43" s="214">
        <f>IF(AND(($D43+$C$1)&gt;AQ$3,AQ$3&gt;=$C$1),'General Inputs'!O$10*$I43,IF(AND(($C43+$C$1)&gt;AQ$3,AQ$3&gt;=$C$1),'General Inputs'!O$10*$H43,0))</f>
        <v>14.311988235806924</v>
      </c>
      <c r="BM43" s="214">
        <f>IF(AND(($D43+$C$1)&gt;AR$3,AR$3&gt;=$C$1),'General Inputs'!P$10*$I43,IF(AND(($C43+$C$1)&gt;AR$3,AR$3&gt;=$C$1),'General Inputs'!P$10*$H43,0))</f>
        <v>14.526668059344026</v>
      </c>
      <c r="BN43" s="214">
        <f>IF(AND(($D43+$C$1)&gt;AS$3,AS$3&gt;=$C$1),'General Inputs'!Q$10*$I43,IF(AND(($C43+$C$1)&gt;AS$3,AS$3&gt;=$C$1),'General Inputs'!Q$10*$H43,0))</f>
        <v>14.744568080234185</v>
      </c>
      <c r="BO43" s="214">
        <f>IF(AND(($D43+$C$1)&gt;AT$3,AT$3&gt;=$C$1),'General Inputs'!R$10*$I43,IF(AND(($C43+$C$1)&gt;AT$3,AT$3&gt;=$C$1),'General Inputs'!R$10*$H43,0))</f>
        <v>14.965736601437696</v>
      </c>
      <c r="BP43" s="214">
        <f>IF(AND(($D43+$C$1)&gt;AU$3,AU$3&gt;=$C$1),'General Inputs'!S$10*$I43,IF(AND(($C43+$C$1)&gt;AU$3,AU$3&gt;=$C$1),'General Inputs'!S$10*$H43,0))</f>
        <v>15.19022265045926</v>
      </c>
      <c r="BQ43" s="214">
        <f>IF(AND(($D43+$C$1)&gt;AV$3,AV$3&gt;=$C$1),'General Inputs'!T$10*$I43,IF(AND(($C43+$C$1)&gt;AV$3,AV$3&gt;=$C$1),'General Inputs'!T$10*$H43,0))</f>
        <v>15.418075990216147</v>
      </c>
      <c r="BR43" s="214">
        <f>IF(AND(($D43+$C$1)&gt;AW$3,AW$3&gt;=$C$1),'General Inputs'!U$10*$I43,IF(AND(($C43+$C$1)&gt;AW$3,AW$3&gt;=$C$1),'General Inputs'!U$10*$H43,0))</f>
        <v>15.649347130069389</v>
      </c>
      <c r="BS43" s="214">
        <f>IF(AND(($D43+$C$1)&gt;AX$3,AX$3&gt;=$C$1),'General Inputs'!V$10*$I43,IF(AND(($C43+$C$1)&gt;AX$3,AX$3&gt;=$C$1),'General Inputs'!V$10*$H43,0))</f>
        <v>15.884087337020427</v>
      </c>
      <c r="BT43" s="214">
        <f>IF(AND(($D43+$C$1)&gt;AY$3,AY$3&gt;=$C$1),'General Inputs'!W$10*$I43,IF(AND(($C43+$C$1)&gt;AY$3,AY$3&gt;=$C$1),'General Inputs'!W$10*$H43,0))</f>
        <v>16.122348647075732</v>
      </c>
    </row>
    <row r="44" spans="1:72">
      <c r="A44" s="341" t="s">
        <v>12</v>
      </c>
      <c r="B44" s="427" t="str">
        <f>Sources!B44</f>
        <v>Heat Pump Water Heater</v>
      </c>
      <c r="C44" s="193">
        <f>Sources!C44</f>
        <v>15</v>
      </c>
      <c r="D44" s="193">
        <f>Sources!D44</f>
        <v>0</v>
      </c>
      <c r="F44" s="429">
        <f>Sources!F44*EnergyLineLoss</f>
        <v>1815.1933588429342</v>
      </c>
      <c r="G44" s="429">
        <f>Sources!G44*EnergyLineLoss</f>
        <v>0</v>
      </c>
      <c r="H44" s="477">
        <f>Sources!H44*PeakLineLoss</f>
        <v>8.5994158334446152E-2</v>
      </c>
      <c r="I44" s="477">
        <f>Sources!I44*PeakLineLoss</f>
        <v>0</v>
      </c>
      <c r="K44" s="419">
        <f>Sources!J44</f>
        <v>700</v>
      </c>
      <c r="L44" s="419">
        <f>Sources!K44</f>
        <v>0</v>
      </c>
      <c r="N44" s="438">
        <f t="shared" si="4"/>
        <v>1.0419801565425408</v>
      </c>
      <c r="P44" s="215">
        <f t="shared" si="0"/>
        <v>604.93697972663722</v>
      </c>
      <c r="Q44" s="215">
        <f t="shared" si="1"/>
        <v>10.778995923517261</v>
      </c>
      <c r="R44" s="215">
        <f t="shared" si="2"/>
        <v>590.90950224349763</v>
      </c>
      <c r="T44" s="214">
        <f t="shared" si="9"/>
        <v>0</v>
      </c>
      <c r="U44" s="214">
        <f t="shared" si="9"/>
        <v>0</v>
      </c>
      <c r="V44" s="214">
        <f t="shared" ref="V44:AD59" si="15">IF($C$1=V$3,$K44,IF($D44+$C$1=V$3,-$L44,0))</f>
        <v>700</v>
      </c>
      <c r="W44" s="214">
        <f t="shared" si="15"/>
        <v>0</v>
      </c>
      <c r="X44" s="214">
        <f t="shared" si="15"/>
        <v>0</v>
      </c>
      <c r="Y44" s="214">
        <f t="shared" si="15"/>
        <v>0</v>
      </c>
      <c r="Z44" s="214">
        <f t="shared" si="15"/>
        <v>0</v>
      </c>
      <c r="AA44" s="214">
        <f t="shared" si="15"/>
        <v>0</v>
      </c>
      <c r="AB44" s="214">
        <f t="shared" si="15"/>
        <v>0</v>
      </c>
      <c r="AC44" s="214">
        <f t="shared" si="15"/>
        <v>0</v>
      </c>
      <c r="AD44" s="214">
        <f t="shared" si="15"/>
        <v>0</v>
      </c>
      <c r="AF44" s="214">
        <f>IF(AND(($D44+$C$1)&gt;AF$3,AF$3&gt;=$C$1),'General Inputs'!D$9*$G44,IF(AND(($C44+$C$1)&gt;AF$3,AF$3&gt;=$C$1),'General Inputs'!D$9*$F44,0))</f>
        <v>0</v>
      </c>
      <c r="AG44" s="214">
        <f>IF(AND(($D44+$C$1)&gt;AG$3,AG$3&gt;=$C$1),'General Inputs'!E$9*$G44,IF(AND(($C44+$C$1)&gt;AG$3,AG$3&gt;=$C$1),'General Inputs'!E$9*$F44,0))</f>
        <v>0</v>
      </c>
      <c r="AH44" s="214">
        <f>IF(AND(($D44+$C$1)&gt;AH$3,AH$3&gt;=$C$1),'General Inputs'!F$9*$G44,IF(AND(($C44+$C$1)&gt;AH$3,AH$3&gt;=$C$1),'General Inputs'!F$9*$F44,0))</f>
        <v>74.451235794458697</v>
      </c>
      <c r="AI44" s="214">
        <f>IF(AND(($D44+$C$1)&gt;AI$3,AI$3&gt;=$C$1),'General Inputs'!G$9*$G44,IF(AND(($C44+$C$1)&gt;AI$3,AI$3&gt;=$C$1),'General Inputs'!G$9*$F44,0))</f>
        <v>75.568004331375562</v>
      </c>
      <c r="AJ44" s="214">
        <f>IF(AND(($D44+$C$1)&gt;AJ$3,AJ$3&gt;=$C$1),'General Inputs'!H$9*$G44,IF(AND(($C44+$C$1)&gt;AJ$3,AJ$3&gt;=$C$1),'General Inputs'!H$9*$F44,0))</f>
        <v>76.701524396346187</v>
      </c>
      <c r="AK44" s="214">
        <f>IF(AND(($D44+$C$1)&gt;AK$3,AK$3&gt;=$C$1),'General Inputs'!I$9*$G44,IF(AND(($C44+$C$1)&gt;AK$3,AK$3&gt;=$C$1),'General Inputs'!I$9*$F44,0))</f>
        <v>77.852047262291379</v>
      </c>
      <c r="AL44" s="214">
        <f>IF(AND(($D44+$C$1)&gt;AL$3,AL$3&gt;=$C$1),'General Inputs'!J$9*$G44,IF(AND(($C44+$C$1)&gt;AL$3,AL$3&gt;=$C$1),'General Inputs'!J$9*$F44,0))</f>
        <v>79.019827971225737</v>
      </c>
      <c r="AM44" s="214">
        <f>IF(AND(($D44+$C$1)&gt;AM$3,AM$3&gt;=$C$1),'General Inputs'!K$9*$G44,IF(AND(($C44+$C$1)&gt;AM$3,AM$3&gt;=$C$1),'General Inputs'!K$9*$F44,0))</f>
        <v>80.205125390794109</v>
      </c>
      <c r="AN44" s="214">
        <f>IF(AND(($D44+$C$1)&gt;AN$3,AN$3&gt;=$C$1),'General Inputs'!L$9*$G44,IF(AND(($C44+$C$1)&gt;AN$3,AN$3&gt;=$C$1),'General Inputs'!L$9*$F44,0))</f>
        <v>81.408202271656009</v>
      </c>
      <c r="AO44" s="214">
        <f>IF(AND(($D44+$C$1)&gt;AO$3,AO$3&gt;=$C$1),'General Inputs'!M$9*$G44,IF(AND(($C44+$C$1)&gt;AO$3,AO$3&gt;=$C$1),'General Inputs'!M$9*$F44,0))</f>
        <v>82.629325305730831</v>
      </c>
      <c r="AP44" s="214">
        <f>IF(AND(($D44+$C$1)&gt;AP$3,AP$3&gt;=$C$1),'General Inputs'!N$9*$G44,IF(AND(($C44+$C$1)&gt;AP$3,AP$3&gt;=$C$1),'General Inputs'!N$9*$F44,0))</f>
        <v>83.868765185316789</v>
      </c>
      <c r="AQ44" s="214">
        <f>IF(AND(($D44+$C$1)&gt;AQ$3,AQ$3&gt;=$C$1),'General Inputs'!O$9*$G44,IF(AND(($C44+$C$1)&gt;AQ$3,AQ$3&gt;=$C$1),'General Inputs'!O$9*$F44,0))</f>
        <v>85.126796663096542</v>
      </c>
      <c r="AR44" s="214">
        <f>IF(AND(($D44+$C$1)&gt;AR$3,AR$3&gt;=$C$1),'General Inputs'!P$9*$G44,IF(AND(($C44+$C$1)&gt;AR$3,AR$3&gt;=$C$1),'General Inputs'!P$9*$F44,0))</f>
        <v>86.403698613042977</v>
      </c>
      <c r="AS44" s="214">
        <f>IF(AND(($D44+$C$1)&gt;AS$3,AS$3&gt;=$C$1),'General Inputs'!Q$9*$G44,IF(AND(($C44+$C$1)&gt;AS$3,AS$3&gt;=$C$1),'General Inputs'!Q$9*$F44,0))</f>
        <v>87.699754092238621</v>
      </c>
      <c r="AT44" s="214">
        <f>IF(AND(($D44+$C$1)&gt;AT$3,AT$3&gt;=$C$1),'General Inputs'!R$9*$G44,IF(AND(($C44+$C$1)&gt;AT$3,AT$3&gt;=$C$1),'General Inputs'!R$9*$F44,0))</f>
        <v>89.01525040362219</v>
      </c>
      <c r="AU44" s="214">
        <f>IF(AND(($D44+$C$1)&gt;AU$3,AU$3&gt;=$C$1),'General Inputs'!S$9*$G44,IF(AND(($C44+$C$1)&gt;AU$3,AU$3&gt;=$C$1),'General Inputs'!S$9*$F44,0))</f>
        <v>90.35047915967651</v>
      </c>
      <c r="AV44" s="214">
        <f>IF(AND(($D44+$C$1)&gt;AV$3,AV$3&gt;=$C$1),'General Inputs'!T$9*$G44,IF(AND(($C44+$C$1)&gt;AV$3,AV$3&gt;=$C$1),'General Inputs'!T$9*$F44,0))</f>
        <v>91.705736347071664</v>
      </c>
      <c r="AW44" s="214">
        <f>IF(AND(($D44+$C$1)&gt;AW$3,AW$3&gt;=$C$1),'General Inputs'!U$9*$G44,IF(AND(($C44+$C$1)&gt;AW$3,AW$3&gt;=$C$1),'General Inputs'!U$9*$F44,0))</f>
        <v>0</v>
      </c>
      <c r="AX44" s="214">
        <f>IF(AND(($D44+$C$1)&gt;AX$3,AX$3&gt;=$C$1),'General Inputs'!V$9*$G44,IF(AND(($C44+$C$1)&gt;AX$3,AX$3&gt;=$C$1),'General Inputs'!V$9*$F44,0))</f>
        <v>0</v>
      </c>
      <c r="AY44" s="214">
        <f>IF(AND(($D44+$C$1)&gt;AY$3,AY$3&gt;=$C$1),'General Inputs'!W$9*$G44,IF(AND(($C44+$C$1)&gt;AY$3,AY$3&gt;=$C$1),'General Inputs'!W$9*$F44,0))</f>
        <v>0</v>
      </c>
      <c r="BA44" s="214">
        <f>IF(AND(($D44+$C$1)&gt;AF$3,AF$3&gt;=$C$1),'General Inputs'!D$10*$I44,IF(AND(($C44+$C$1)&gt;AF$3,AF$3&gt;=$C$1),'General Inputs'!D$10*$H44,0))</f>
        <v>0</v>
      </c>
      <c r="BB44" s="214">
        <f>IF(AND(($D44+$C$1)&gt;AG$3,AG$3&gt;=$C$1),'General Inputs'!E$10*$I44,IF(AND(($C44+$C$1)&gt;AG$3,AG$3&gt;=$C$1),'General Inputs'!E$10*$H44,0))</f>
        <v>0</v>
      </c>
      <c r="BC44" s="214">
        <f>IF(AND(($D44+$C$1)&gt;AH$3,AH$3&gt;=$C$1),'General Inputs'!F$10*$I44,IF(AND(($C44+$C$1)&gt;AH$3,AH$3&gt;=$C$1),'General Inputs'!F$10*$H44,0))</f>
        <v>1.3266002807299626</v>
      </c>
      <c r="BD44" s="214">
        <f>IF(AND(($D44+$C$1)&gt;AI$3,AI$3&gt;=$C$1),'General Inputs'!G$10*$I44,IF(AND(($C44+$C$1)&gt;AI$3,AI$3&gt;=$C$1),'General Inputs'!G$10*$H44,0))</f>
        <v>1.3464992849409119</v>
      </c>
      <c r="BE44" s="214">
        <f>IF(AND(($D44+$C$1)&gt;AJ$3,AJ$3&gt;=$C$1),'General Inputs'!H$10*$I44,IF(AND(($C44+$C$1)&gt;AJ$3,AJ$3&gt;=$C$1),'General Inputs'!H$10*$H44,0))</f>
        <v>1.3666967742150256</v>
      </c>
      <c r="BF44" s="214">
        <f>IF(AND(($D44+$C$1)&gt;AK$3,AK$3&gt;=$C$1),'General Inputs'!I$10*$I44,IF(AND(($C44+$C$1)&gt;AK$3,AK$3&gt;=$C$1),'General Inputs'!I$10*$H44,0))</f>
        <v>1.3871972258282506</v>
      </c>
      <c r="BG44" s="214">
        <f>IF(AND(($D44+$C$1)&gt;AL$3,AL$3&gt;=$C$1),'General Inputs'!J$10*$I44,IF(AND(($C44+$C$1)&gt;AL$3,AL$3&gt;=$C$1),'General Inputs'!J$10*$H44,0))</f>
        <v>1.4080051842156742</v>
      </c>
      <c r="BH44" s="214">
        <f>IF(AND(($D44+$C$1)&gt;AM$3,AM$3&gt;=$C$1),'General Inputs'!K$10*$I44,IF(AND(($C44+$C$1)&gt;AM$3,AM$3&gt;=$C$1),'General Inputs'!K$10*$H44,0))</f>
        <v>1.4291252619789092</v>
      </c>
      <c r="BI44" s="214">
        <f>IF(AND(($D44+$C$1)&gt;AN$3,AN$3&gt;=$C$1),'General Inputs'!L$10*$I44,IF(AND(($C44+$C$1)&gt;AN$3,AN$3&gt;=$C$1),'General Inputs'!L$10*$H44,0))</f>
        <v>1.4505621409085927</v>
      </c>
      <c r="BJ44" s="214">
        <f>IF(AND(($D44+$C$1)&gt;AO$3,AO$3&gt;=$C$1),'General Inputs'!M$10*$I44,IF(AND(($C44+$C$1)&gt;AO$3,AO$3&gt;=$C$1),'General Inputs'!M$10*$H44,0))</f>
        <v>1.4723205730222215</v>
      </c>
      <c r="BK44" s="214">
        <f>IF(AND(($D44+$C$1)&gt;AP$3,AP$3&gt;=$C$1),'General Inputs'!N$10*$I44,IF(AND(($C44+$C$1)&gt;AP$3,AP$3&gt;=$C$1),'General Inputs'!N$10*$H44,0))</f>
        <v>1.4944053816175547</v>
      </c>
      <c r="BL44" s="214">
        <f>IF(AND(($D44+$C$1)&gt;AQ$3,AQ$3&gt;=$C$1),'General Inputs'!O$10*$I44,IF(AND(($C44+$C$1)&gt;AQ$3,AQ$3&gt;=$C$1),'General Inputs'!O$10*$H44,0))</f>
        <v>1.5168214623418179</v>
      </c>
      <c r="BM44" s="214">
        <f>IF(AND(($D44+$C$1)&gt;AR$3,AR$3&gt;=$C$1),'General Inputs'!P$10*$I44,IF(AND(($C44+$C$1)&gt;AR$3,AR$3&gt;=$C$1),'General Inputs'!P$10*$H44,0))</f>
        <v>1.539573784276945</v>
      </c>
      <c r="BN44" s="214">
        <f>IF(AND(($D44+$C$1)&gt;AS$3,AS$3&gt;=$C$1),'General Inputs'!Q$10*$I44,IF(AND(($C44+$C$1)&gt;AS$3,AS$3&gt;=$C$1),'General Inputs'!Q$10*$H44,0))</f>
        <v>1.5626673910410991</v>
      </c>
      <c r="BO44" s="214">
        <f>IF(AND(($D44+$C$1)&gt;AT$3,AT$3&gt;=$C$1),'General Inputs'!R$10*$I44,IF(AND(($C44+$C$1)&gt;AT$3,AT$3&gt;=$C$1),'General Inputs'!R$10*$H44,0))</f>
        <v>1.5861074019067152</v>
      </c>
      <c r="BP44" s="214">
        <f>IF(AND(($D44+$C$1)&gt;AU$3,AU$3&gt;=$C$1),'General Inputs'!S$10*$I44,IF(AND(($C44+$C$1)&gt;AU$3,AU$3&gt;=$C$1),'General Inputs'!S$10*$H44,0))</f>
        <v>1.6098990129353159</v>
      </c>
      <c r="BQ44" s="214">
        <f>IF(AND(($D44+$C$1)&gt;AV$3,AV$3&gt;=$C$1),'General Inputs'!T$10*$I44,IF(AND(($C44+$C$1)&gt;AV$3,AV$3&gt;=$C$1),'General Inputs'!T$10*$H44,0))</f>
        <v>1.6340474981293456</v>
      </c>
      <c r="BR44" s="214">
        <f>IF(AND(($D44+$C$1)&gt;AW$3,AW$3&gt;=$C$1),'General Inputs'!U$10*$I44,IF(AND(($C44+$C$1)&gt;AW$3,AW$3&gt;=$C$1),'General Inputs'!U$10*$H44,0))</f>
        <v>0</v>
      </c>
      <c r="BS44" s="214">
        <f>IF(AND(($D44+$C$1)&gt;AX$3,AX$3&gt;=$C$1),'General Inputs'!V$10*$I44,IF(AND(($C44+$C$1)&gt;AX$3,AX$3&gt;=$C$1),'General Inputs'!V$10*$H44,0))</f>
        <v>0</v>
      </c>
      <c r="BT44" s="214">
        <f>IF(AND(($D44+$C$1)&gt;AY$3,AY$3&gt;=$C$1),'General Inputs'!W$10*$I44,IF(AND(($C44+$C$1)&gt;AY$3,AY$3&gt;=$C$1),'General Inputs'!W$10*$H44,0))</f>
        <v>0</v>
      </c>
    </row>
    <row r="45" spans="1:72">
      <c r="A45" s="341" t="s">
        <v>12</v>
      </c>
      <c r="B45" s="427" t="str">
        <f>Sources!B45</f>
        <v>Electric Storage Water Heater</v>
      </c>
      <c r="C45" s="193">
        <f>Sources!C45</f>
        <v>15</v>
      </c>
      <c r="D45" s="193">
        <f>Sources!D45</f>
        <v>0</v>
      </c>
      <c r="F45" s="429">
        <f>Sources!F45*EnergyLineLoss</f>
        <v>133.41911275594003</v>
      </c>
      <c r="G45" s="429">
        <f>Sources!G45*EnergyLineLoss</f>
        <v>0</v>
      </c>
      <c r="H45" s="477">
        <f>Sources!H45*PeakLineLoss</f>
        <v>1.5881661511807841E-2</v>
      </c>
      <c r="I45" s="477">
        <f>Sources!I45*PeakLineLoss</f>
        <v>0</v>
      </c>
      <c r="K45" s="419">
        <f>Sources!J45</f>
        <v>50</v>
      </c>
      <c r="L45" s="419">
        <f>Sources!K45</f>
        <v>0</v>
      </c>
      <c r="N45" s="438">
        <f t="shared" ref="N45" si="16">IF(R45&gt;0,(P45+Q45)/R45,"n/a")</f>
        <v>1.1006103605272686</v>
      </c>
      <c r="P45" s="215">
        <f t="shared" ref="P45" si="17">AF45+NPV(DiscountRate,AG45:AY45)</f>
        <v>44.463668134965744</v>
      </c>
      <c r="Q45" s="215">
        <f t="shared" ref="Q45" si="18">BA45+NPV(DiscountRate,BB45:BT45)</f>
        <v>1.9906976009774586</v>
      </c>
      <c r="R45" s="215">
        <f t="shared" ref="R45" si="19">T45+NPV(DiscountRate,U45:AD45)</f>
        <v>42.207821588821261</v>
      </c>
      <c r="T45" s="214">
        <f t="shared" ref="T45:U45" si="20">IF($C$1=T$3,$K45,IF($D45+$C$1=T$3,-$L45,0))</f>
        <v>0</v>
      </c>
      <c r="U45" s="214">
        <f t="shared" si="20"/>
        <v>0</v>
      </c>
      <c r="V45" s="214">
        <f t="shared" si="15"/>
        <v>50</v>
      </c>
      <c r="W45" s="214">
        <f t="shared" si="15"/>
        <v>0</v>
      </c>
      <c r="X45" s="214">
        <f t="shared" si="15"/>
        <v>0</v>
      </c>
      <c r="Y45" s="214">
        <f t="shared" si="15"/>
        <v>0</v>
      </c>
      <c r="Z45" s="214">
        <f t="shared" si="15"/>
        <v>0</v>
      </c>
      <c r="AA45" s="214">
        <f t="shared" si="15"/>
        <v>0</v>
      </c>
      <c r="AB45" s="214">
        <f t="shared" si="15"/>
        <v>0</v>
      </c>
      <c r="AC45" s="214">
        <f t="shared" si="15"/>
        <v>0</v>
      </c>
      <c r="AD45" s="214">
        <f t="shared" si="15"/>
        <v>0</v>
      </c>
      <c r="AF45" s="214">
        <f>IF(AND(($D45+$C$1)&gt;AF$3,AF$3&gt;=$C$1),'General Inputs'!D$9*$G45,IF(AND(($C45+$C$1)&gt;AF$3,AF$3&gt;=$C$1),'General Inputs'!D$9*$F45,0))</f>
        <v>0</v>
      </c>
      <c r="AG45" s="214">
        <f>IF(AND(($D45+$C$1)&gt;AG$3,AG$3&gt;=$C$1),'General Inputs'!E$9*$G45,IF(AND(($C45+$C$1)&gt;AG$3,AG$3&gt;=$C$1),'General Inputs'!E$9*$F45,0))</f>
        <v>0</v>
      </c>
      <c r="AH45" s="214">
        <f>IF(AND(($D45+$C$1)&gt;AH$3,AH$3&gt;=$C$1),'General Inputs'!F$9*$G45,IF(AND(($C45+$C$1)&gt;AH$3,AH$3&gt;=$C$1),'General Inputs'!F$9*$F45,0))</f>
        <v>5.472264304454999</v>
      </c>
      <c r="AI45" s="214">
        <f>IF(AND(($D45+$C$1)&gt;AI$3,AI$3&gt;=$C$1),'General Inputs'!G$9*$G45,IF(AND(($C45+$C$1)&gt;AI$3,AI$3&gt;=$C$1),'General Inputs'!G$9*$F45,0))</f>
        <v>5.5543482690218235</v>
      </c>
      <c r="AJ45" s="214">
        <f>IF(AND(($D45+$C$1)&gt;AJ$3,AJ$3&gt;=$C$1),'General Inputs'!H$9*$G45,IF(AND(($C45+$C$1)&gt;AJ$3,AJ$3&gt;=$C$1),'General Inputs'!H$9*$F45,0))</f>
        <v>5.6376634930571505</v>
      </c>
      <c r="AK45" s="214">
        <f>IF(AND(($D45+$C$1)&gt;AK$3,AK$3&gt;=$C$1),'General Inputs'!I$9*$G45,IF(AND(($C45+$C$1)&gt;AK$3,AK$3&gt;=$C$1),'General Inputs'!I$9*$F45,0))</f>
        <v>5.7222284454530064</v>
      </c>
      <c r="AL45" s="214">
        <f>IF(AND(($D45+$C$1)&gt;AL$3,AL$3&gt;=$C$1),'General Inputs'!J$9*$G45,IF(AND(($C45+$C$1)&gt;AL$3,AL$3&gt;=$C$1),'General Inputs'!J$9*$F45,0))</f>
        <v>5.8080618721348012</v>
      </c>
      <c r="AM45" s="214">
        <f>IF(AND(($D45+$C$1)&gt;AM$3,AM$3&gt;=$C$1),'General Inputs'!K$9*$G45,IF(AND(($C45+$C$1)&gt;AM$3,AM$3&gt;=$C$1),'General Inputs'!K$9*$F45,0))</f>
        <v>5.8951828002168218</v>
      </c>
      <c r="AN45" s="214">
        <f>IF(AND(($D45+$C$1)&gt;AN$3,AN$3&gt;=$C$1),'General Inputs'!L$9*$G45,IF(AND(($C45+$C$1)&gt;AN$3,AN$3&gt;=$C$1),'General Inputs'!L$9*$F45,0))</f>
        <v>5.9836105422200738</v>
      </c>
      <c r="AO45" s="214">
        <f>IF(AND(($D45+$C$1)&gt;AO$3,AO$3&gt;=$C$1),'General Inputs'!M$9*$G45,IF(AND(($C45+$C$1)&gt;AO$3,AO$3&gt;=$C$1),'General Inputs'!M$9*$F45,0))</f>
        <v>6.0733647003533742</v>
      </c>
      <c r="AP45" s="214">
        <f>IF(AND(($D45+$C$1)&gt;AP$3,AP$3&gt;=$C$1),'General Inputs'!N$9*$G45,IF(AND(($C45+$C$1)&gt;AP$3,AP$3&gt;=$C$1),'General Inputs'!N$9*$F45,0))</f>
        <v>6.1644651708586746</v>
      </c>
      <c r="AQ45" s="214">
        <f>IF(AND(($D45+$C$1)&gt;AQ$3,AQ$3&gt;=$C$1),'General Inputs'!O$9*$G45,IF(AND(($C45+$C$1)&gt;AQ$3,AQ$3&gt;=$C$1),'General Inputs'!O$9*$F45,0))</f>
        <v>6.2569321484215532</v>
      </c>
      <c r="AR45" s="214">
        <f>IF(AND(($D45+$C$1)&gt;AR$3,AR$3&gt;=$C$1),'General Inputs'!P$9*$G45,IF(AND(($C45+$C$1)&gt;AR$3,AR$3&gt;=$C$1),'General Inputs'!P$9*$F45,0))</f>
        <v>6.3507861306478759</v>
      </c>
      <c r="AS45" s="214">
        <f>IF(AND(($D45+$C$1)&gt;AS$3,AS$3&gt;=$C$1),'General Inputs'!Q$9*$G45,IF(AND(($C45+$C$1)&gt;AS$3,AS$3&gt;=$C$1),'General Inputs'!Q$9*$F45,0))</f>
        <v>6.446047922607594</v>
      </c>
      <c r="AT45" s="214">
        <f>IF(AND(($D45+$C$1)&gt;AT$3,AT$3&gt;=$C$1),'General Inputs'!R$9*$G45,IF(AND(($C45+$C$1)&gt;AT$3,AT$3&gt;=$C$1),'General Inputs'!R$9*$F45,0))</f>
        <v>6.5427386414467072</v>
      </c>
      <c r="AU45" s="214">
        <f>IF(AND(($D45+$C$1)&gt;AU$3,AU$3&gt;=$C$1),'General Inputs'!S$9*$G45,IF(AND(($C45+$C$1)&gt;AU$3,AU$3&gt;=$C$1),'General Inputs'!S$9*$F45,0))</f>
        <v>6.6408797210684076</v>
      </c>
      <c r="AV45" s="214">
        <f>IF(AND(($D45+$C$1)&gt;AV$3,AV$3&gt;=$C$1),'General Inputs'!T$9*$G45,IF(AND(($C45+$C$1)&gt;AV$3,AV$3&gt;=$C$1),'General Inputs'!T$9*$F45,0))</f>
        <v>6.7404929168844339</v>
      </c>
      <c r="AW45" s="214">
        <f>IF(AND(($D45+$C$1)&gt;AW$3,AW$3&gt;=$C$1),'General Inputs'!U$9*$G45,IF(AND(($C45+$C$1)&gt;AW$3,AW$3&gt;=$C$1),'General Inputs'!U$9*$F45,0))</f>
        <v>0</v>
      </c>
      <c r="AX45" s="214">
        <f>IF(AND(($D45+$C$1)&gt;AX$3,AX$3&gt;=$C$1),'General Inputs'!V$9*$G45,IF(AND(($C45+$C$1)&gt;AX$3,AX$3&gt;=$C$1),'General Inputs'!V$9*$F45,0))</f>
        <v>0</v>
      </c>
      <c r="AY45" s="214">
        <f>IF(AND(($D45+$C$1)&gt;AY$3,AY$3&gt;=$C$1),'General Inputs'!W$9*$G45,IF(AND(($C45+$C$1)&gt;AY$3,AY$3&gt;=$C$1),'General Inputs'!W$9*$F45,0))</f>
        <v>0</v>
      </c>
      <c r="BA45" s="214">
        <f>IF(AND(($D45+$C$1)&gt;AF$3,AF$3&gt;=$C$1),'General Inputs'!D$10*$I45,IF(AND(($C45+$C$1)&gt;AF$3,AF$3&gt;=$C$1),'General Inputs'!D$10*$H45,0))</f>
        <v>0</v>
      </c>
      <c r="BB45" s="214">
        <f>IF(AND(($D45+$C$1)&gt;AG$3,AG$3&gt;=$C$1),'General Inputs'!E$10*$I45,IF(AND(($C45+$C$1)&gt;AG$3,AG$3&gt;=$C$1),'General Inputs'!E$10*$H45,0))</f>
        <v>0</v>
      </c>
      <c r="BC45" s="214">
        <f>IF(AND(($D45+$C$1)&gt;AH$3,AH$3&gt;=$C$1),'General Inputs'!F$10*$I45,IF(AND(($C45+$C$1)&gt;AH$3,AH$3&gt;=$C$1),'General Inputs'!F$10*$H45,0))</f>
        <v>0.24500055617828168</v>
      </c>
      <c r="BD45" s="214">
        <f>IF(AND(($D45+$C$1)&gt;AI$3,AI$3&gt;=$C$1),'General Inputs'!G$10*$I45,IF(AND(($C45+$C$1)&gt;AI$3,AI$3&gt;=$C$1),'General Inputs'!G$10*$H45,0))</f>
        <v>0.24867556452095588</v>
      </c>
      <c r="BE45" s="214">
        <f>IF(AND(($D45+$C$1)&gt;AJ$3,AJ$3&gt;=$C$1),'General Inputs'!H$10*$I45,IF(AND(($C45+$C$1)&gt;AJ$3,AJ$3&gt;=$C$1),'General Inputs'!H$10*$H45,0))</f>
        <v>0.25240569798877022</v>
      </c>
      <c r="BF45" s="214">
        <f>IF(AND(($D45+$C$1)&gt;AK$3,AK$3&gt;=$C$1),'General Inputs'!I$10*$I45,IF(AND(($C45+$C$1)&gt;AK$3,AK$3&gt;=$C$1),'General Inputs'!I$10*$H45,0))</f>
        <v>0.25619178345860172</v>
      </c>
      <c r="BG45" s="214">
        <f>IF(AND(($D45+$C$1)&gt;AL$3,AL$3&gt;=$C$1),'General Inputs'!J$10*$I45,IF(AND(($C45+$C$1)&gt;AL$3,AL$3&gt;=$C$1),'General Inputs'!J$10*$H45,0))</f>
        <v>0.26003466021048072</v>
      </c>
      <c r="BH45" s="214">
        <f>IF(AND(($D45+$C$1)&gt;AM$3,AM$3&gt;=$C$1),'General Inputs'!K$10*$I45,IF(AND(($C45+$C$1)&gt;AM$3,AM$3&gt;=$C$1),'General Inputs'!K$10*$H45,0))</f>
        <v>0.26393518011363787</v>
      </c>
      <c r="BI45" s="214">
        <f>IF(AND(($D45+$C$1)&gt;AN$3,AN$3&gt;=$C$1),'General Inputs'!L$10*$I45,IF(AND(($C45+$C$1)&gt;AN$3,AN$3&gt;=$C$1),'General Inputs'!L$10*$H45,0))</f>
        <v>0.26789420781534246</v>
      </c>
      <c r="BJ45" s="214">
        <f>IF(AND(($D45+$C$1)&gt;AO$3,AO$3&gt;=$C$1),'General Inputs'!M$10*$I45,IF(AND(($C45+$C$1)&gt;AO$3,AO$3&gt;=$C$1),'General Inputs'!M$10*$H45,0))</f>
        <v>0.27191262093257257</v>
      </c>
      <c r="BK45" s="214">
        <f>IF(AND(($D45+$C$1)&gt;AP$3,AP$3&gt;=$C$1),'General Inputs'!N$10*$I45,IF(AND(($C45+$C$1)&gt;AP$3,AP$3&gt;=$C$1),'General Inputs'!N$10*$H45,0))</f>
        <v>0.27599131024656109</v>
      </c>
      <c r="BL45" s="214">
        <f>IF(AND(($D45+$C$1)&gt;AQ$3,AQ$3&gt;=$C$1),'General Inputs'!O$10*$I45,IF(AND(($C45+$C$1)&gt;AQ$3,AQ$3&gt;=$C$1),'General Inputs'!O$10*$H45,0))</f>
        <v>0.28013117990025949</v>
      </c>
      <c r="BM45" s="214">
        <f>IF(AND(($D45+$C$1)&gt;AR$3,AR$3&gt;=$C$1),'General Inputs'!P$10*$I45,IF(AND(($C45+$C$1)&gt;AR$3,AR$3&gt;=$C$1),'General Inputs'!P$10*$H45,0))</f>
        <v>0.28433314759876338</v>
      </c>
      <c r="BN45" s="214">
        <f>IF(AND(($D45+$C$1)&gt;AS$3,AS$3&gt;=$C$1),'General Inputs'!Q$10*$I45,IF(AND(($C45+$C$1)&gt;AS$3,AS$3&gt;=$C$1),'General Inputs'!Q$10*$H45,0))</f>
        <v>0.28859814481274482</v>
      </c>
      <c r="BO45" s="214">
        <f>IF(AND(($D45+$C$1)&gt;AT$3,AT$3&gt;=$C$1),'General Inputs'!R$10*$I45,IF(AND(($C45+$C$1)&gt;AT$3,AT$3&gt;=$C$1),'General Inputs'!R$10*$H45,0))</f>
        <v>0.2929271169849359</v>
      </c>
      <c r="BP45" s="214">
        <f>IF(AND(($D45+$C$1)&gt;AU$3,AU$3&gt;=$C$1),'General Inputs'!S$10*$I45,IF(AND(($C45+$C$1)&gt;AU$3,AU$3&gt;=$C$1),'General Inputs'!S$10*$H45,0))</f>
        <v>0.29732102373970998</v>
      </c>
      <c r="BQ45" s="214">
        <f>IF(AND(($D45+$C$1)&gt;AV$3,AV$3&gt;=$C$1),'General Inputs'!T$10*$I45,IF(AND(($C45+$C$1)&gt;AV$3,AV$3&gt;=$C$1),'General Inputs'!T$10*$H45,0))</f>
        <v>0.30178083909580555</v>
      </c>
      <c r="BR45" s="214">
        <f>IF(AND(($D45+$C$1)&gt;AW$3,AW$3&gt;=$C$1),'General Inputs'!U$10*$I45,IF(AND(($C45+$C$1)&gt;AW$3,AW$3&gt;=$C$1),'General Inputs'!U$10*$H45,0))</f>
        <v>0</v>
      </c>
      <c r="BS45" s="214">
        <f>IF(AND(($D45+$C$1)&gt;AX$3,AX$3&gt;=$C$1),'General Inputs'!V$10*$I45,IF(AND(($C45+$C$1)&gt;AX$3,AX$3&gt;=$C$1),'General Inputs'!V$10*$H45,0))</f>
        <v>0</v>
      </c>
      <c r="BT45" s="214">
        <f>IF(AND(($D45+$C$1)&gt;AY$3,AY$3&gt;=$C$1),'General Inputs'!W$10*$I45,IF(AND(($C45+$C$1)&gt;AY$3,AY$3&gt;=$C$1),'General Inputs'!W$10*$H45,0))</f>
        <v>0</v>
      </c>
    </row>
    <row r="46" spans="1:72">
      <c r="A46" s="341" t="s">
        <v>12</v>
      </c>
      <c r="B46" s="427" t="str">
        <f>Sources!B46</f>
        <v>Water Heater Temperature Setback</v>
      </c>
      <c r="C46" s="193">
        <f>Sources!C46</f>
        <v>2</v>
      </c>
      <c r="D46" s="193">
        <f>Sources!D46</f>
        <v>0</v>
      </c>
      <c r="F46" s="429">
        <f>Sources!F46*EnergyLineLoss</f>
        <v>90.460800000000006</v>
      </c>
      <c r="G46" s="429">
        <f>Sources!G46*EnergyLineLoss</f>
        <v>0</v>
      </c>
      <c r="H46" s="477">
        <f>Sources!H46*PeakLineLoss</f>
        <v>1.0319507186858316E-2</v>
      </c>
      <c r="I46" s="477">
        <f>Sources!I46*PeakLineLoss</f>
        <v>0</v>
      </c>
      <c r="K46" s="419">
        <f>Sources!J46</f>
        <v>5</v>
      </c>
      <c r="L46" s="419">
        <f>Sources!K46</f>
        <v>0</v>
      </c>
      <c r="N46" s="438">
        <f t="shared" si="4"/>
        <v>1.4956089216835584</v>
      </c>
      <c r="P46" s="215">
        <f t="shared" si="0"/>
        <v>6.0529308343803025</v>
      </c>
      <c r="Q46" s="215">
        <f t="shared" si="1"/>
        <v>0.25970861892659552</v>
      </c>
      <c r="R46" s="215">
        <f t="shared" si="2"/>
        <v>4.2207821588821259</v>
      </c>
      <c r="T46" s="214">
        <f t="shared" ref="T46:U48" si="21">IF($C$1=T$3,$K46,IF($D46+$C$1=T$3,-$L46,0))</f>
        <v>0</v>
      </c>
      <c r="U46" s="214">
        <f t="shared" si="21"/>
        <v>0</v>
      </c>
      <c r="V46" s="214">
        <f t="shared" si="15"/>
        <v>5</v>
      </c>
      <c r="W46" s="214">
        <f t="shared" si="15"/>
        <v>0</v>
      </c>
      <c r="X46" s="214">
        <f t="shared" si="15"/>
        <v>0</v>
      </c>
      <c r="Y46" s="214">
        <f t="shared" si="15"/>
        <v>0</v>
      </c>
      <c r="Z46" s="214">
        <f t="shared" si="15"/>
        <v>0</v>
      </c>
      <c r="AA46" s="214">
        <f t="shared" si="15"/>
        <v>0</v>
      </c>
      <c r="AB46" s="214">
        <f t="shared" si="15"/>
        <v>0</v>
      </c>
      <c r="AC46" s="214">
        <f t="shared" si="15"/>
        <v>0</v>
      </c>
      <c r="AD46" s="214">
        <f t="shared" si="15"/>
        <v>0</v>
      </c>
      <c r="AF46" s="214">
        <f>IF(AND(($D46+$C$1)&gt;AF$3,AF$3&gt;=$C$1),'General Inputs'!D$9*$G46,IF(AND(($C46+$C$1)&gt;AF$3,AF$3&gt;=$C$1),'General Inputs'!D$9*$F46,0))</f>
        <v>0</v>
      </c>
      <c r="AG46" s="214">
        <f>IF(AND(($D46+$C$1)&gt;AG$3,AG$3&gt;=$C$1),'General Inputs'!E$9*$G46,IF(AND(($C46+$C$1)&gt;AG$3,AG$3&gt;=$C$1),'General Inputs'!E$9*$F46,0))</f>
        <v>0</v>
      </c>
      <c r="AH46" s="214">
        <f>IF(AND(($D46+$C$1)&gt;AH$3,AH$3&gt;=$C$1),'General Inputs'!F$9*$G46,IF(AND(($C46+$C$1)&gt;AH$3,AH$3&gt;=$C$1),'General Inputs'!F$9*$F46,0))</f>
        <v>3.7103035432260696</v>
      </c>
      <c r="AI46" s="214">
        <f>IF(AND(($D46+$C$1)&gt;AI$3,AI$3&gt;=$C$1),'General Inputs'!G$9*$G46,IF(AND(($C46+$C$1)&gt;AI$3,AI$3&gt;=$C$1),'General Inputs'!G$9*$F46,0))</f>
        <v>3.7659580963744603</v>
      </c>
      <c r="AJ46" s="214">
        <f>IF(AND(($D46+$C$1)&gt;AJ$3,AJ$3&gt;=$C$1),'General Inputs'!H$9*$G46,IF(AND(($C46+$C$1)&gt;AJ$3,AJ$3&gt;=$C$1),'General Inputs'!H$9*$F46,0))</f>
        <v>0</v>
      </c>
      <c r="AK46" s="214">
        <f>IF(AND(($D46+$C$1)&gt;AK$3,AK$3&gt;=$C$1),'General Inputs'!I$9*$G46,IF(AND(($C46+$C$1)&gt;AK$3,AK$3&gt;=$C$1),'General Inputs'!I$9*$F46,0))</f>
        <v>0</v>
      </c>
      <c r="AL46" s="214">
        <f>IF(AND(($D46+$C$1)&gt;AL$3,AL$3&gt;=$C$1),'General Inputs'!J$9*$G46,IF(AND(($C46+$C$1)&gt;AL$3,AL$3&gt;=$C$1),'General Inputs'!J$9*$F46,0))</f>
        <v>0</v>
      </c>
      <c r="AM46" s="214">
        <f>IF(AND(($D46+$C$1)&gt;AM$3,AM$3&gt;=$C$1),'General Inputs'!K$9*$G46,IF(AND(($C46+$C$1)&gt;AM$3,AM$3&gt;=$C$1),'General Inputs'!K$9*$F46,0))</f>
        <v>0</v>
      </c>
      <c r="AN46" s="214">
        <f>IF(AND(($D46+$C$1)&gt;AN$3,AN$3&gt;=$C$1),'General Inputs'!L$9*$G46,IF(AND(($C46+$C$1)&gt;AN$3,AN$3&gt;=$C$1),'General Inputs'!L$9*$F46,0))</f>
        <v>0</v>
      </c>
      <c r="AO46" s="214">
        <f>IF(AND(($D46+$C$1)&gt;AO$3,AO$3&gt;=$C$1),'General Inputs'!M$9*$G46,IF(AND(($C46+$C$1)&gt;AO$3,AO$3&gt;=$C$1),'General Inputs'!M$9*$F46,0))</f>
        <v>0</v>
      </c>
      <c r="AP46" s="214">
        <f>IF(AND(($D46+$C$1)&gt;AP$3,AP$3&gt;=$C$1),'General Inputs'!N$9*$G46,IF(AND(($C46+$C$1)&gt;AP$3,AP$3&gt;=$C$1),'General Inputs'!N$9*$F46,0))</f>
        <v>0</v>
      </c>
      <c r="AQ46" s="214">
        <f>IF(AND(($D46+$C$1)&gt;AQ$3,AQ$3&gt;=$C$1),'General Inputs'!O$9*$G46,IF(AND(($C46+$C$1)&gt;AQ$3,AQ$3&gt;=$C$1),'General Inputs'!O$9*$F46,0))</f>
        <v>0</v>
      </c>
      <c r="AR46" s="214">
        <f>IF(AND(($D46+$C$1)&gt;AR$3,AR$3&gt;=$C$1),'General Inputs'!P$9*$G46,IF(AND(($C46+$C$1)&gt;AR$3,AR$3&gt;=$C$1),'General Inputs'!P$9*$F46,0))</f>
        <v>0</v>
      </c>
      <c r="AS46" s="214">
        <f>IF(AND(($D46+$C$1)&gt;AS$3,AS$3&gt;=$C$1),'General Inputs'!Q$9*$G46,IF(AND(($C46+$C$1)&gt;AS$3,AS$3&gt;=$C$1),'General Inputs'!Q$9*$F46,0))</f>
        <v>0</v>
      </c>
      <c r="AT46" s="214">
        <f>IF(AND(($D46+$C$1)&gt;AT$3,AT$3&gt;=$C$1),'General Inputs'!R$9*$G46,IF(AND(($C46+$C$1)&gt;AT$3,AT$3&gt;=$C$1),'General Inputs'!R$9*$F46,0))</f>
        <v>0</v>
      </c>
      <c r="AU46" s="214">
        <f>IF(AND(($D46+$C$1)&gt;AU$3,AU$3&gt;=$C$1),'General Inputs'!S$9*$G46,IF(AND(($C46+$C$1)&gt;AU$3,AU$3&gt;=$C$1),'General Inputs'!S$9*$F46,0))</f>
        <v>0</v>
      </c>
      <c r="AV46" s="214">
        <f>IF(AND(($D46+$C$1)&gt;AV$3,AV$3&gt;=$C$1),'General Inputs'!T$9*$G46,IF(AND(($C46+$C$1)&gt;AV$3,AV$3&gt;=$C$1),'General Inputs'!T$9*$F46,0))</f>
        <v>0</v>
      </c>
      <c r="AW46" s="214">
        <f>IF(AND(($D46+$C$1)&gt;AW$3,AW$3&gt;=$C$1),'General Inputs'!U$9*$G46,IF(AND(($C46+$C$1)&gt;AW$3,AW$3&gt;=$C$1),'General Inputs'!U$9*$F46,0))</f>
        <v>0</v>
      </c>
      <c r="AX46" s="214">
        <f>IF(AND(($D46+$C$1)&gt;AX$3,AX$3&gt;=$C$1),'General Inputs'!V$9*$G46,IF(AND(($C46+$C$1)&gt;AX$3,AX$3&gt;=$C$1),'General Inputs'!V$9*$F46,0))</f>
        <v>0</v>
      </c>
      <c r="AY46" s="214">
        <f>IF(AND(($D46+$C$1)&gt;AY$3,AY$3&gt;=$C$1),'General Inputs'!W$9*$G46,IF(AND(($C46+$C$1)&gt;AY$3,AY$3&gt;=$C$1),'General Inputs'!W$9*$F46,0))</f>
        <v>0</v>
      </c>
      <c r="BA46" s="214">
        <f>IF(AND(($D46+$C$1)&gt;AF$3,AF$3&gt;=$C$1),'General Inputs'!D$10*$I46,IF(AND(($C46+$C$1)&gt;AF$3,AF$3&gt;=$C$1),'General Inputs'!D$10*$H46,0))</f>
        <v>0</v>
      </c>
      <c r="BB46" s="214">
        <f>IF(AND(($D46+$C$1)&gt;AG$3,AG$3&gt;=$C$1),'General Inputs'!E$10*$I46,IF(AND(($C46+$C$1)&gt;AG$3,AG$3&gt;=$C$1),'General Inputs'!E$10*$H46,0))</f>
        <v>0</v>
      </c>
      <c r="BC46" s="214">
        <f>IF(AND(($D46+$C$1)&gt;AH$3,AH$3&gt;=$C$1),'General Inputs'!F$10*$I46,IF(AND(($C46+$C$1)&gt;AH$3,AH$3&gt;=$C$1),'General Inputs'!F$10*$H46,0))</f>
        <v>0.15919524530769719</v>
      </c>
      <c r="BD46" s="214">
        <f>IF(AND(($D46+$C$1)&gt;AI$3,AI$3&gt;=$C$1),'General Inputs'!G$10*$I46,IF(AND(($C46+$C$1)&gt;AI$3,AI$3&gt;=$C$1),'General Inputs'!G$10*$H46,0))</f>
        <v>0.16158317398731264</v>
      </c>
      <c r="BE46" s="214">
        <f>IF(AND(($D46+$C$1)&gt;AJ$3,AJ$3&gt;=$C$1),'General Inputs'!H$10*$I46,IF(AND(($C46+$C$1)&gt;AJ$3,AJ$3&gt;=$C$1),'General Inputs'!H$10*$H46,0))</f>
        <v>0</v>
      </c>
      <c r="BF46" s="214">
        <f>IF(AND(($D46+$C$1)&gt;AK$3,AK$3&gt;=$C$1),'General Inputs'!I$10*$I46,IF(AND(($C46+$C$1)&gt;AK$3,AK$3&gt;=$C$1),'General Inputs'!I$10*$H46,0))</f>
        <v>0</v>
      </c>
      <c r="BG46" s="214">
        <f>IF(AND(($D46+$C$1)&gt;AL$3,AL$3&gt;=$C$1),'General Inputs'!J$10*$I46,IF(AND(($C46+$C$1)&gt;AL$3,AL$3&gt;=$C$1),'General Inputs'!J$10*$H46,0))</f>
        <v>0</v>
      </c>
      <c r="BH46" s="214">
        <f>IF(AND(($D46+$C$1)&gt;AM$3,AM$3&gt;=$C$1),'General Inputs'!K$10*$I46,IF(AND(($C46+$C$1)&gt;AM$3,AM$3&gt;=$C$1),'General Inputs'!K$10*$H46,0))</f>
        <v>0</v>
      </c>
      <c r="BI46" s="214">
        <f>IF(AND(($D46+$C$1)&gt;AN$3,AN$3&gt;=$C$1),'General Inputs'!L$10*$I46,IF(AND(($C46+$C$1)&gt;AN$3,AN$3&gt;=$C$1),'General Inputs'!L$10*$H46,0))</f>
        <v>0</v>
      </c>
      <c r="BJ46" s="214">
        <f>IF(AND(($D46+$C$1)&gt;AO$3,AO$3&gt;=$C$1),'General Inputs'!M$10*$I46,IF(AND(($C46+$C$1)&gt;AO$3,AO$3&gt;=$C$1),'General Inputs'!M$10*$H46,0))</f>
        <v>0</v>
      </c>
      <c r="BK46" s="214">
        <f>IF(AND(($D46+$C$1)&gt;AP$3,AP$3&gt;=$C$1),'General Inputs'!N$10*$I46,IF(AND(($C46+$C$1)&gt;AP$3,AP$3&gt;=$C$1),'General Inputs'!N$10*$H46,0))</f>
        <v>0</v>
      </c>
      <c r="BL46" s="214">
        <f>IF(AND(($D46+$C$1)&gt;AQ$3,AQ$3&gt;=$C$1),'General Inputs'!O$10*$I46,IF(AND(($C46+$C$1)&gt;AQ$3,AQ$3&gt;=$C$1),'General Inputs'!O$10*$H46,0))</f>
        <v>0</v>
      </c>
      <c r="BM46" s="214">
        <f>IF(AND(($D46+$C$1)&gt;AR$3,AR$3&gt;=$C$1),'General Inputs'!P$10*$I46,IF(AND(($C46+$C$1)&gt;AR$3,AR$3&gt;=$C$1),'General Inputs'!P$10*$H46,0))</f>
        <v>0</v>
      </c>
      <c r="BN46" s="214">
        <f>IF(AND(($D46+$C$1)&gt;AS$3,AS$3&gt;=$C$1),'General Inputs'!Q$10*$I46,IF(AND(($C46+$C$1)&gt;AS$3,AS$3&gt;=$C$1),'General Inputs'!Q$10*$H46,0))</f>
        <v>0</v>
      </c>
      <c r="BO46" s="214">
        <f>IF(AND(($D46+$C$1)&gt;AT$3,AT$3&gt;=$C$1),'General Inputs'!R$10*$I46,IF(AND(($C46+$C$1)&gt;AT$3,AT$3&gt;=$C$1),'General Inputs'!R$10*$H46,0))</f>
        <v>0</v>
      </c>
      <c r="BP46" s="214">
        <f>IF(AND(($D46+$C$1)&gt;AU$3,AU$3&gt;=$C$1),'General Inputs'!S$10*$I46,IF(AND(($C46+$C$1)&gt;AU$3,AU$3&gt;=$C$1),'General Inputs'!S$10*$H46,0))</f>
        <v>0</v>
      </c>
      <c r="BQ46" s="214">
        <f>IF(AND(($D46+$C$1)&gt;AV$3,AV$3&gt;=$C$1),'General Inputs'!T$10*$I46,IF(AND(($C46+$C$1)&gt;AV$3,AV$3&gt;=$C$1),'General Inputs'!T$10*$H46,0))</f>
        <v>0</v>
      </c>
      <c r="BR46" s="214">
        <f>IF(AND(($D46+$C$1)&gt;AW$3,AW$3&gt;=$C$1),'General Inputs'!U$10*$I46,IF(AND(($C46+$C$1)&gt;AW$3,AW$3&gt;=$C$1),'General Inputs'!U$10*$H46,0))</f>
        <v>0</v>
      </c>
      <c r="BS46" s="214">
        <f>IF(AND(($D46+$C$1)&gt;AX$3,AX$3&gt;=$C$1),'General Inputs'!V$10*$I46,IF(AND(($C46+$C$1)&gt;AX$3,AX$3&gt;=$C$1),'General Inputs'!V$10*$H46,0))</f>
        <v>0</v>
      </c>
      <c r="BT46" s="214">
        <f>IF(AND(($D46+$C$1)&gt;AY$3,AY$3&gt;=$C$1),'General Inputs'!W$10*$I46,IF(AND(($C46+$C$1)&gt;AY$3,AY$3&gt;=$C$1),'General Inputs'!W$10*$H46,0))</f>
        <v>0</v>
      </c>
    </row>
    <row r="47" spans="1:72">
      <c r="A47" s="341" t="s">
        <v>12</v>
      </c>
      <c r="B47" s="427" t="str">
        <f>Sources!B47</f>
        <v>School-Based Education</v>
      </c>
      <c r="C47" s="193">
        <f>Sources!C47</f>
        <v>5</v>
      </c>
      <c r="D47" s="193">
        <f>Sources!D47</f>
        <v>0</v>
      </c>
      <c r="F47" s="429">
        <f>Sources!F47*EnergyLineLoss</f>
        <v>349.30693564172253</v>
      </c>
      <c r="G47" s="429">
        <f>Sources!G47*EnergyLineLoss</f>
        <v>0</v>
      </c>
      <c r="H47" s="477">
        <f>Sources!H47*PeakLineLoss</f>
        <v>3.0578312110095322E-2</v>
      </c>
      <c r="I47" s="477">
        <f>Sources!I47*PeakLineLoss</f>
        <v>0</v>
      </c>
      <c r="K47" s="419">
        <f>Sources!J47</f>
        <v>0</v>
      </c>
      <c r="L47" s="419">
        <f>Sources!K47</f>
        <v>0</v>
      </c>
      <c r="N47" s="438" t="str">
        <f t="shared" si="4"/>
        <v>n/a</v>
      </c>
      <c r="P47" s="215">
        <f t="shared" si="0"/>
        <v>52.84684566644686</v>
      </c>
      <c r="Q47" s="215">
        <f t="shared" si="1"/>
        <v>1.7399929482890353</v>
      </c>
      <c r="R47" s="215">
        <f t="shared" si="2"/>
        <v>0</v>
      </c>
      <c r="T47" s="214">
        <f t="shared" si="21"/>
        <v>0</v>
      </c>
      <c r="U47" s="214">
        <f t="shared" si="21"/>
        <v>0</v>
      </c>
      <c r="V47" s="214">
        <f t="shared" si="15"/>
        <v>0</v>
      </c>
      <c r="W47" s="214">
        <f t="shared" si="15"/>
        <v>0</v>
      </c>
      <c r="X47" s="214">
        <f t="shared" si="15"/>
        <v>0</v>
      </c>
      <c r="Y47" s="214">
        <f t="shared" si="15"/>
        <v>0</v>
      </c>
      <c r="Z47" s="214">
        <f t="shared" si="15"/>
        <v>0</v>
      </c>
      <c r="AA47" s="214">
        <f t="shared" si="15"/>
        <v>0</v>
      </c>
      <c r="AB47" s="214">
        <f t="shared" si="15"/>
        <v>0</v>
      </c>
      <c r="AC47" s="214">
        <f t="shared" si="15"/>
        <v>0</v>
      </c>
      <c r="AD47" s="214">
        <f t="shared" si="15"/>
        <v>0</v>
      </c>
      <c r="AF47" s="214">
        <f>IF(AND(($D47+$C$1)&gt;AF$3,AF$3&gt;=$C$1),'General Inputs'!D$9*$G47,IF(AND(($C47+$C$1)&gt;AF$3,AF$3&gt;=$C$1),'General Inputs'!D$9*$F47,0))</f>
        <v>0</v>
      </c>
      <c r="AG47" s="214">
        <f>IF(AND(($D47+$C$1)&gt;AG$3,AG$3&gt;=$C$1),'General Inputs'!E$9*$G47,IF(AND(($C47+$C$1)&gt;AG$3,AG$3&gt;=$C$1),'General Inputs'!E$9*$F47,0))</f>
        <v>0</v>
      </c>
      <c r="AH47" s="214">
        <f>IF(AND(($D47+$C$1)&gt;AH$3,AH$3&gt;=$C$1),'General Inputs'!F$9*$G47,IF(AND(($C47+$C$1)&gt;AH$3,AH$3&gt;=$C$1),'General Inputs'!F$9*$F47,0))</f>
        <v>14.327031830195219</v>
      </c>
      <c r="AI47" s="214">
        <f>IF(AND(($D47+$C$1)&gt;AI$3,AI$3&gt;=$C$1),'General Inputs'!G$9*$G47,IF(AND(($C47+$C$1)&gt;AI$3,AI$3&gt;=$C$1),'General Inputs'!G$9*$F47,0))</f>
        <v>14.541937307648146</v>
      </c>
      <c r="AJ47" s="214">
        <f>IF(AND(($D47+$C$1)&gt;AJ$3,AJ$3&gt;=$C$1),'General Inputs'!H$9*$G47,IF(AND(($C47+$C$1)&gt;AJ$3,AJ$3&gt;=$C$1),'General Inputs'!H$9*$F47,0))</f>
        <v>14.760066367262867</v>
      </c>
      <c r="AK47" s="214">
        <f>IF(AND(($D47+$C$1)&gt;AK$3,AK$3&gt;=$C$1),'General Inputs'!I$9*$G47,IF(AND(($C47+$C$1)&gt;AK$3,AK$3&gt;=$C$1),'General Inputs'!I$9*$F47,0))</f>
        <v>14.981467362771808</v>
      </c>
      <c r="AL47" s="214">
        <f>IF(AND(($D47+$C$1)&gt;AL$3,AL$3&gt;=$C$1),'General Inputs'!J$9*$G47,IF(AND(($C47+$C$1)&gt;AL$3,AL$3&gt;=$C$1),'General Inputs'!J$9*$F47,0))</f>
        <v>15.206189373213382</v>
      </c>
      <c r="AM47" s="214">
        <f>IF(AND(($D47+$C$1)&gt;AM$3,AM$3&gt;=$C$1),'General Inputs'!K$9*$G47,IF(AND(($C47+$C$1)&gt;AM$3,AM$3&gt;=$C$1),'General Inputs'!K$9*$F47,0))</f>
        <v>0</v>
      </c>
      <c r="AN47" s="214">
        <f>IF(AND(($D47+$C$1)&gt;AN$3,AN$3&gt;=$C$1),'General Inputs'!L$9*$G47,IF(AND(($C47+$C$1)&gt;AN$3,AN$3&gt;=$C$1),'General Inputs'!L$9*$F47,0))</f>
        <v>0</v>
      </c>
      <c r="AO47" s="214">
        <f>IF(AND(($D47+$C$1)&gt;AO$3,AO$3&gt;=$C$1),'General Inputs'!M$9*$G47,IF(AND(($C47+$C$1)&gt;AO$3,AO$3&gt;=$C$1),'General Inputs'!M$9*$F47,0))</f>
        <v>0</v>
      </c>
      <c r="AP47" s="214">
        <f>IF(AND(($D47+$C$1)&gt;AP$3,AP$3&gt;=$C$1),'General Inputs'!N$9*$G47,IF(AND(($C47+$C$1)&gt;AP$3,AP$3&gt;=$C$1),'General Inputs'!N$9*$F47,0))</f>
        <v>0</v>
      </c>
      <c r="AQ47" s="214">
        <f>IF(AND(($D47+$C$1)&gt;AQ$3,AQ$3&gt;=$C$1),'General Inputs'!O$9*$G47,IF(AND(($C47+$C$1)&gt;AQ$3,AQ$3&gt;=$C$1),'General Inputs'!O$9*$F47,0))</f>
        <v>0</v>
      </c>
      <c r="AR47" s="214">
        <f>IF(AND(($D47+$C$1)&gt;AR$3,AR$3&gt;=$C$1),'General Inputs'!P$9*$G47,IF(AND(($C47+$C$1)&gt;AR$3,AR$3&gt;=$C$1),'General Inputs'!P$9*$F47,0))</f>
        <v>0</v>
      </c>
      <c r="AS47" s="214">
        <f>IF(AND(($D47+$C$1)&gt;AS$3,AS$3&gt;=$C$1),'General Inputs'!Q$9*$G47,IF(AND(($C47+$C$1)&gt;AS$3,AS$3&gt;=$C$1),'General Inputs'!Q$9*$F47,0))</f>
        <v>0</v>
      </c>
      <c r="AT47" s="214">
        <f>IF(AND(($D47+$C$1)&gt;AT$3,AT$3&gt;=$C$1),'General Inputs'!R$9*$G47,IF(AND(($C47+$C$1)&gt;AT$3,AT$3&gt;=$C$1),'General Inputs'!R$9*$F47,0))</f>
        <v>0</v>
      </c>
      <c r="AU47" s="214">
        <f>IF(AND(($D47+$C$1)&gt;AU$3,AU$3&gt;=$C$1),'General Inputs'!S$9*$G47,IF(AND(($C47+$C$1)&gt;AU$3,AU$3&gt;=$C$1),'General Inputs'!S$9*$F47,0))</f>
        <v>0</v>
      </c>
      <c r="AV47" s="214">
        <f>IF(AND(($D47+$C$1)&gt;AV$3,AV$3&gt;=$C$1),'General Inputs'!T$9*$G47,IF(AND(($C47+$C$1)&gt;AV$3,AV$3&gt;=$C$1),'General Inputs'!T$9*$F47,0))</f>
        <v>0</v>
      </c>
      <c r="AW47" s="214">
        <f>IF(AND(($D47+$C$1)&gt;AW$3,AW$3&gt;=$C$1),'General Inputs'!U$9*$G47,IF(AND(($C47+$C$1)&gt;AW$3,AW$3&gt;=$C$1),'General Inputs'!U$9*$F47,0))</f>
        <v>0</v>
      </c>
      <c r="AX47" s="214">
        <f>IF(AND(($D47+$C$1)&gt;AX$3,AX$3&gt;=$C$1),'General Inputs'!V$9*$G47,IF(AND(($C47+$C$1)&gt;AX$3,AX$3&gt;=$C$1),'General Inputs'!V$9*$F47,0))</f>
        <v>0</v>
      </c>
      <c r="AY47" s="214">
        <f>IF(AND(($D47+$C$1)&gt;AY$3,AY$3&gt;=$C$1),'General Inputs'!W$9*$G47,IF(AND(($C47+$C$1)&gt;AY$3,AY$3&gt;=$C$1),'General Inputs'!W$9*$F47,0))</f>
        <v>0</v>
      </c>
      <c r="BA47" s="214">
        <f>IF(AND(($D47+$C$1)&gt;AF$3,AF$3&gt;=$C$1),'General Inputs'!D$10*$I47,IF(AND(($C47+$C$1)&gt;AF$3,AF$3&gt;=$C$1),'General Inputs'!D$10*$H47,0))</f>
        <v>0</v>
      </c>
      <c r="BB47" s="214">
        <f>IF(AND(($D47+$C$1)&gt;AG$3,AG$3&gt;=$C$1),'General Inputs'!E$10*$I47,IF(AND(($C47+$C$1)&gt;AG$3,AG$3&gt;=$C$1),'General Inputs'!E$10*$H47,0))</f>
        <v>0</v>
      </c>
      <c r="BC47" s="214">
        <f>IF(AND(($D47+$C$1)&gt;AH$3,AH$3&gt;=$C$1),'General Inputs'!F$10*$I47,IF(AND(($C47+$C$1)&gt;AH$3,AH$3&gt;=$C$1),'General Inputs'!F$10*$H47,0))</f>
        <v>0.47172038444443865</v>
      </c>
      <c r="BD47" s="214">
        <f>IF(AND(($D47+$C$1)&gt;AI$3,AI$3&gt;=$C$1),'General Inputs'!G$10*$I47,IF(AND(($C47+$C$1)&gt;AI$3,AI$3&gt;=$C$1),'General Inputs'!G$10*$H47,0))</f>
        <v>0.4787961902111052</v>
      </c>
      <c r="BE47" s="214">
        <f>IF(AND(($D47+$C$1)&gt;AJ$3,AJ$3&gt;=$C$1),'General Inputs'!H$10*$I47,IF(AND(($C47+$C$1)&gt;AJ$3,AJ$3&gt;=$C$1),'General Inputs'!H$10*$H47,0))</f>
        <v>0.48597813306427173</v>
      </c>
      <c r="BF47" s="214">
        <f>IF(AND(($D47+$C$1)&gt;AK$3,AK$3&gt;=$C$1),'General Inputs'!I$10*$I47,IF(AND(($C47+$C$1)&gt;AK$3,AK$3&gt;=$C$1),'General Inputs'!I$10*$H47,0))</f>
        <v>0.49326780506023571</v>
      </c>
      <c r="BG47" s="214">
        <f>IF(AND(($D47+$C$1)&gt;AL$3,AL$3&gt;=$C$1),'General Inputs'!J$10*$I47,IF(AND(($C47+$C$1)&gt;AL$3,AL$3&gt;=$C$1),'General Inputs'!J$10*$H47,0))</f>
        <v>0.50066682213613922</v>
      </c>
      <c r="BH47" s="214">
        <f>IF(AND(($D47+$C$1)&gt;AM$3,AM$3&gt;=$C$1),'General Inputs'!K$10*$I47,IF(AND(($C47+$C$1)&gt;AM$3,AM$3&gt;=$C$1),'General Inputs'!K$10*$H47,0))</f>
        <v>0</v>
      </c>
      <c r="BI47" s="214">
        <f>IF(AND(($D47+$C$1)&gt;AN$3,AN$3&gt;=$C$1),'General Inputs'!L$10*$I47,IF(AND(($C47+$C$1)&gt;AN$3,AN$3&gt;=$C$1),'General Inputs'!L$10*$H47,0))</f>
        <v>0</v>
      </c>
      <c r="BJ47" s="214">
        <f>IF(AND(($D47+$C$1)&gt;AO$3,AO$3&gt;=$C$1),'General Inputs'!M$10*$I47,IF(AND(($C47+$C$1)&gt;AO$3,AO$3&gt;=$C$1),'General Inputs'!M$10*$H47,0))</f>
        <v>0</v>
      </c>
      <c r="BK47" s="214">
        <f>IF(AND(($D47+$C$1)&gt;AP$3,AP$3&gt;=$C$1),'General Inputs'!N$10*$I47,IF(AND(($C47+$C$1)&gt;AP$3,AP$3&gt;=$C$1),'General Inputs'!N$10*$H47,0))</f>
        <v>0</v>
      </c>
      <c r="BL47" s="214">
        <f>IF(AND(($D47+$C$1)&gt;AQ$3,AQ$3&gt;=$C$1),'General Inputs'!O$10*$I47,IF(AND(($C47+$C$1)&gt;AQ$3,AQ$3&gt;=$C$1),'General Inputs'!O$10*$H47,0))</f>
        <v>0</v>
      </c>
      <c r="BM47" s="214">
        <f>IF(AND(($D47+$C$1)&gt;AR$3,AR$3&gt;=$C$1),'General Inputs'!P$10*$I47,IF(AND(($C47+$C$1)&gt;AR$3,AR$3&gt;=$C$1),'General Inputs'!P$10*$H47,0))</f>
        <v>0</v>
      </c>
      <c r="BN47" s="214">
        <f>IF(AND(($D47+$C$1)&gt;AS$3,AS$3&gt;=$C$1),'General Inputs'!Q$10*$I47,IF(AND(($C47+$C$1)&gt;AS$3,AS$3&gt;=$C$1),'General Inputs'!Q$10*$H47,0))</f>
        <v>0</v>
      </c>
      <c r="BO47" s="214">
        <f>IF(AND(($D47+$C$1)&gt;AT$3,AT$3&gt;=$C$1),'General Inputs'!R$10*$I47,IF(AND(($C47+$C$1)&gt;AT$3,AT$3&gt;=$C$1),'General Inputs'!R$10*$H47,0))</f>
        <v>0</v>
      </c>
      <c r="BP47" s="214">
        <f>IF(AND(($D47+$C$1)&gt;AU$3,AU$3&gt;=$C$1),'General Inputs'!S$10*$I47,IF(AND(($C47+$C$1)&gt;AU$3,AU$3&gt;=$C$1),'General Inputs'!S$10*$H47,0))</f>
        <v>0</v>
      </c>
      <c r="BQ47" s="214">
        <f>IF(AND(($D47+$C$1)&gt;AV$3,AV$3&gt;=$C$1),'General Inputs'!T$10*$I47,IF(AND(($C47+$C$1)&gt;AV$3,AV$3&gt;=$C$1),'General Inputs'!T$10*$H47,0))</f>
        <v>0</v>
      </c>
      <c r="BR47" s="214">
        <f>IF(AND(($D47+$C$1)&gt;AW$3,AW$3&gt;=$C$1),'General Inputs'!U$10*$I47,IF(AND(($C47+$C$1)&gt;AW$3,AW$3&gt;=$C$1),'General Inputs'!U$10*$H47,0))</f>
        <v>0</v>
      </c>
      <c r="BS47" s="214">
        <f>IF(AND(($D47+$C$1)&gt;AX$3,AX$3&gt;=$C$1),'General Inputs'!V$10*$I47,IF(AND(($C47+$C$1)&gt;AX$3,AX$3&gt;=$C$1),'General Inputs'!V$10*$H47,0))</f>
        <v>0</v>
      </c>
      <c r="BT47" s="214">
        <f>IF(AND(($D47+$C$1)&gt;AY$3,AY$3&gt;=$C$1),'General Inputs'!W$10*$I47,IF(AND(($C47+$C$1)&gt;AY$3,AY$3&gt;=$C$1),'General Inputs'!W$10*$H47,0))</f>
        <v>0</v>
      </c>
    </row>
    <row r="48" spans="1:72">
      <c r="A48" s="342" t="s">
        <v>112</v>
      </c>
      <c r="B48" s="427" t="str">
        <f>Sources!B48</f>
        <v>Delamping (T8 to T8)</v>
      </c>
      <c r="C48" s="193">
        <f>Sources!C48</f>
        <v>11</v>
      </c>
      <c r="D48" s="193">
        <f>Sources!D48</f>
        <v>0</v>
      </c>
      <c r="F48" s="429">
        <f>Sources!F48*EnergyLineLoss</f>
        <v>112.70510024999999</v>
      </c>
      <c r="G48" s="429">
        <f>Sources!G48*EnergyLineLoss</f>
        <v>0</v>
      </c>
      <c r="H48" s="477">
        <f>Sources!H48*PeakLineLoss</f>
        <v>1.7427524399999998E-2</v>
      </c>
      <c r="I48" s="477">
        <f>Sources!I48*PeakLineLoss</f>
        <v>0</v>
      </c>
      <c r="K48" s="419">
        <f>Sources!J48</f>
        <v>12</v>
      </c>
      <c r="L48" s="419">
        <f>Sources!K48</f>
        <v>0</v>
      </c>
      <c r="N48" s="438">
        <f t="shared" si="4"/>
        <v>3.2402310226004181</v>
      </c>
      <c r="P48" s="215">
        <f t="shared" si="0"/>
        <v>31.019112858347505</v>
      </c>
      <c r="Q48" s="215">
        <f t="shared" si="1"/>
        <v>1.8040294396882499</v>
      </c>
      <c r="R48" s="215">
        <f t="shared" si="2"/>
        <v>10.129877181317102</v>
      </c>
      <c r="T48" s="214">
        <f t="shared" si="21"/>
        <v>0</v>
      </c>
      <c r="U48" s="214">
        <f t="shared" si="21"/>
        <v>0</v>
      </c>
      <c r="V48" s="214">
        <f t="shared" si="15"/>
        <v>12</v>
      </c>
      <c r="W48" s="214">
        <f t="shared" si="15"/>
        <v>0</v>
      </c>
      <c r="X48" s="214">
        <f t="shared" si="15"/>
        <v>0</v>
      </c>
      <c r="Y48" s="214">
        <f t="shared" si="15"/>
        <v>0</v>
      </c>
      <c r="Z48" s="214">
        <f t="shared" si="15"/>
        <v>0</v>
      </c>
      <c r="AA48" s="214">
        <f t="shared" si="15"/>
        <v>0</v>
      </c>
      <c r="AB48" s="214">
        <f t="shared" si="15"/>
        <v>0</v>
      </c>
      <c r="AC48" s="214">
        <f t="shared" si="15"/>
        <v>0</v>
      </c>
      <c r="AD48" s="214">
        <f t="shared" si="15"/>
        <v>0</v>
      </c>
      <c r="AF48" s="214">
        <f>IF(AND(($D48+$C$1)&gt;AF$3,AF$3&gt;=$C$1),'General Inputs'!D$9*$G48,IF(AND(($C48+$C$1)&gt;AF$3,AF$3&gt;=$C$1),'General Inputs'!D$9*$F48,0))</f>
        <v>0</v>
      </c>
      <c r="AG48" s="214">
        <f>IF(AND(($D48+$C$1)&gt;AG$3,AG$3&gt;=$C$1),'General Inputs'!E$9*$G48,IF(AND(($C48+$C$1)&gt;AG$3,AG$3&gt;=$C$1),'General Inputs'!E$9*$F48,0))</f>
        <v>0</v>
      </c>
      <c r="AH48" s="214">
        <f>IF(AND(($D48+$C$1)&gt;AH$3,AH$3&gt;=$C$1),'General Inputs'!F$9*$G48,IF(AND(($C48+$C$1)&gt;AH$3,AH$3&gt;=$C$1),'General Inputs'!F$9*$F48,0))</f>
        <v>4.6226667550720792</v>
      </c>
      <c r="AI48" s="214">
        <f>IF(AND(($D48+$C$1)&gt;AI$3,AI$3&gt;=$C$1),'General Inputs'!G$9*$G48,IF(AND(($C48+$C$1)&gt;AI$3,AI$3&gt;=$C$1),'General Inputs'!G$9*$F48,0))</f>
        <v>4.6920067563981593</v>
      </c>
      <c r="AJ48" s="214">
        <f>IF(AND(($D48+$C$1)&gt;AJ$3,AJ$3&gt;=$C$1),'General Inputs'!H$9*$G48,IF(AND(($C48+$C$1)&gt;AJ$3,AJ$3&gt;=$C$1),'General Inputs'!H$9*$F48,0))</f>
        <v>4.7623868577441311</v>
      </c>
      <c r="AK48" s="214">
        <f>IF(AND(($D48+$C$1)&gt;AK$3,AK$3&gt;=$C$1),'General Inputs'!I$9*$G48,IF(AND(($C48+$C$1)&gt;AK$3,AK$3&gt;=$C$1),'General Inputs'!I$9*$F48,0))</f>
        <v>4.8338226606102923</v>
      </c>
      <c r="AL48" s="214">
        <f>IF(AND(($D48+$C$1)&gt;AL$3,AL$3&gt;=$C$1),'General Inputs'!J$9*$G48,IF(AND(($C48+$C$1)&gt;AL$3,AL$3&gt;=$C$1),'General Inputs'!J$9*$F48,0))</f>
        <v>4.9063300005194463</v>
      </c>
      <c r="AM48" s="214">
        <f>IF(AND(($D48+$C$1)&gt;AM$3,AM$3&gt;=$C$1),'General Inputs'!K$9*$G48,IF(AND(($C48+$C$1)&gt;AM$3,AM$3&gt;=$C$1),'General Inputs'!K$9*$F48,0))</f>
        <v>4.9799249505272369</v>
      </c>
      <c r="AN48" s="214">
        <f>IF(AND(($D48+$C$1)&gt;AN$3,AN$3&gt;=$C$1),'General Inputs'!L$9*$G48,IF(AND(($C48+$C$1)&gt;AN$3,AN$3&gt;=$C$1),'General Inputs'!L$9*$F48,0))</f>
        <v>5.0546238247851454</v>
      </c>
      <c r="AO48" s="214">
        <f>IF(AND(($D48+$C$1)&gt;AO$3,AO$3&gt;=$C$1),'General Inputs'!M$9*$G48,IF(AND(($C48+$C$1)&gt;AO$3,AO$3&gt;=$C$1),'General Inputs'!M$9*$F48,0))</f>
        <v>5.1304431821569221</v>
      </c>
      <c r="AP48" s="214">
        <f>IF(AND(($D48+$C$1)&gt;AP$3,AP$3&gt;=$C$1),'General Inputs'!N$9*$G48,IF(AND(($C48+$C$1)&gt;AP$3,AP$3&gt;=$C$1),'General Inputs'!N$9*$F48,0))</f>
        <v>5.2073998298892752</v>
      </c>
      <c r="AQ48" s="214">
        <f>IF(AND(($D48+$C$1)&gt;AQ$3,AQ$3&gt;=$C$1),'General Inputs'!O$9*$G48,IF(AND(($C48+$C$1)&gt;AQ$3,AQ$3&gt;=$C$1),'General Inputs'!O$9*$F48,0))</f>
        <v>5.2855108273376139</v>
      </c>
      <c r="AR48" s="214">
        <f>IF(AND(($D48+$C$1)&gt;AR$3,AR$3&gt;=$C$1),'General Inputs'!P$9*$G48,IF(AND(($C48+$C$1)&gt;AR$3,AR$3&gt;=$C$1),'General Inputs'!P$9*$F48,0))</f>
        <v>5.3647934897476777</v>
      </c>
      <c r="AS48" s="214">
        <f>IF(AND(($D48+$C$1)&gt;AS$3,AS$3&gt;=$C$1),'General Inputs'!Q$9*$G48,IF(AND(($C48+$C$1)&gt;AS$3,AS$3&gt;=$C$1),'General Inputs'!Q$9*$F48,0))</f>
        <v>0</v>
      </c>
      <c r="AT48" s="214">
        <f>IF(AND(($D48+$C$1)&gt;AT$3,AT$3&gt;=$C$1),'General Inputs'!R$9*$G48,IF(AND(($C48+$C$1)&gt;AT$3,AT$3&gt;=$C$1),'General Inputs'!R$9*$F48,0))</f>
        <v>0</v>
      </c>
      <c r="AU48" s="214">
        <f>IF(AND(($D48+$C$1)&gt;AU$3,AU$3&gt;=$C$1),'General Inputs'!S$9*$G48,IF(AND(($C48+$C$1)&gt;AU$3,AU$3&gt;=$C$1),'General Inputs'!S$9*$F48,0))</f>
        <v>0</v>
      </c>
      <c r="AV48" s="214">
        <f>IF(AND(($D48+$C$1)&gt;AV$3,AV$3&gt;=$C$1),'General Inputs'!T$9*$G48,IF(AND(($C48+$C$1)&gt;AV$3,AV$3&gt;=$C$1),'General Inputs'!T$9*$F48,0))</f>
        <v>0</v>
      </c>
      <c r="AW48" s="214">
        <f>IF(AND(($D48+$C$1)&gt;AW$3,AW$3&gt;=$C$1),'General Inputs'!U$9*$G48,IF(AND(($C48+$C$1)&gt;AW$3,AW$3&gt;=$C$1),'General Inputs'!U$9*$F48,0))</f>
        <v>0</v>
      </c>
      <c r="AX48" s="214">
        <f>IF(AND(($D48+$C$1)&gt;AX$3,AX$3&gt;=$C$1),'General Inputs'!V$9*$G48,IF(AND(($C48+$C$1)&gt;AX$3,AX$3&gt;=$C$1),'General Inputs'!V$9*$F48,0))</f>
        <v>0</v>
      </c>
      <c r="AY48" s="214">
        <f>IF(AND(($D48+$C$1)&gt;AY$3,AY$3&gt;=$C$1),'General Inputs'!W$9*$G48,IF(AND(($C48+$C$1)&gt;AY$3,AY$3&gt;=$C$1),'General Inputs'!W$9*$F48,0))</f>
        <v>0</v>
      </c>
      <c r="BA48" s="214">
        <f>IF(AND(($D48+$C$1)&gt;AF$3,AF$3&gt;=$C$1),'General Inputs'!D$10*$I48,IF(AND(($C48+$C$1)&gt;AF$3,AF$3&gt;=$C$1),'General Inputs'!D$10*$H48,0))</f>
        <v>0</v>
      </c>
      <c r="BB48" s="214">
        <f>IF(AND(($D48+$C$1)&gt;AG$3,AG$3&gt;=$C$1),'General Inputs'!E$10*$I48,IF(AND(($C48+$C$1)&gt;AG$3,AG$3&gt;=$C$1),'General Inputs'!E$10*$H48,0))</f>
        <v>0</v>
      </c>
      <c r="BC48" s="214">
        <f>IF(AND(($D48+$C$1)&gt;AH$3,AH$3&gt;=$C$1),'General Inputs'!F$10*$I48,IF(AND(($C48+$C$1)&gt;AH$3,AH$3&gt;=$C$1),'General Inputs'!F$10*$H48,0))</f>
        <v>0.26884801490297849</v>
      </c>
      <c r="BD48" s="214">
        <f>IF(AND(($D48+$C$1)&gt;AI$3,AI$3&gt;=$C$1),'General Inputs'!G$10*$I48,IF(AND(($C48+$C$1)&gt;AI$3,AI$3&gt;=$C$1),'General Inputs'!G$10*$H48,0))</f>
        <v>0.27288073512652311</v>
      </c>
      <c r="BE48" s="214">
        <f>IF(AND(($D48+$C$1)&gt;AJ$3,AJ$3&gt;=$C$1),'General Inputs'!H$10*$I48,IF(AND(($C48+$C$1)&gt;AJ$3,AJ$3&gt;=$C$1),'General Inputs'!H$10*$H48,0))</f>
        <v>0.27697394615342097</v>
      </c>
      <c r="BF48" s="214">
        <f>IF(AND(($D48+$C$1)&gt;AK$3,AK$3&gt;=$C$1),'General Inputs'!I$10*$I48,IF(AND(($C48+$C$1)&gt;AK$3,AK$3&gt;=$C$1),'General Inputs'!I$10*$H48,0))</f>
        <v>0.28112855534572223</v>
      </c>
      <c r="BG48" s="214">
        <f>IF(AND(($D48+$C$1)&gt;AL$3,AL$3&gt;=$C$1),'General Inputs'!J$10*$I48,IF(AND(($C48+$C$1)&gt;AL$3,AL$3&gt;=$C$1),'General Inputs'!J$10*$H48,0))</f>
        <v>0.28534548367590801</v>
      </c>
      <c r="BH48" s="214">
        <f>IF(AND(($D48+$C$1)&gt;AM$3,AM$3&gt;=$C$1),'General Inputs'!K$10*$I48,IF(AND(($C48+$C$1)&gt;AM$3,AM$3&gt;=$C$1),'General Inputs'!K$10*$H48,0))</f>
        <v>0.28962566593104661</v>
      </c>
      <c r="BI48" s="214">
        <f>IF(AND(($D48+$C$1)&gt;AN$3,AN$3&gt;=$C$1),'General Inputs'!L$10*$I48,IF(AND(($C48+$C$1)&gt;AN$3,AN$3&gt;=$C$1),'General Inputs'!L$10*$H48,0))</f>
        <v>0.29397005092001227</v>
      </c>
      <c r="BJ48" s="214">
        <f>IF(AND(($D48+$C$1)&gt;AO$3,AO$3&gt;=$C$1),'General Inputs'!M$10*$I48,IF(AND(($C48+$C$1)&gt;AO$3,AO$3&gt;=$C$1),'General Inputs'!M$10*$H48,0))</f>
        <v>0.2983796016838125</v>
      </c>
      <c r="BK48" s="214">
        <f>IF(AND(($D48+$C$1)&gt;AP$3,AP$3&gt;=$C$1),'General Inputs'!N$10*$I48,IF(AND(($C48+$C$1)&gt;AP$3,AP$3&gt;=$C$1),'General Inputs'!N$10*$H48,0))</f>
        <v>0.30285529570906961</v>
      </c>
      <c r="BL48" s="214">
        <f>IF(AND(($D48+$C$1)&gt;AQ$3,AQ$3&gt;=$C$1),'General Inputs'!O$10*$I48,IF(AND(($C48+$C$1)&gt;AQ$3,AQ$3&gt;=$C$1),'General Inputs'!O$10*$H48,0))</f>
        <v>0.30739812514470566</v>
      </c>
      <c r="BM48" s="214">
        <f>IF(AND(($D48+$C$1)&gt;AR$3,AR$3&gt;=$C$1),'General Inputs'!P$10*$I48,IF(AND(($C48+$C$1)&gt;AR$3,AR$3&gt;=$C$1),'General Inputs'!P$10*$H48,0))</f>
        <v>0.31200909702187618</v>
      </c>
      <c r="BN48" s="214">
        <f>IF(AND(($D48+$C$1)&gt;AS$3,AS$3&gt;=$C$1),'General Inputs'!Q$10*$I48,IF(AND(($C48+$C$1)&gt;AS$3,AS$3&gt;=$C$1),'General Inputs'!Q$10*$H48,0))</f>
        <v>0</v>
      </c>
      <c r="BO48" s="214">
        <f>IF(AND(($D48+$C$1)&gt;AT$3,AT$3&gt;=$C$1),'General Inputs'!R$10*$I48,IF(AND(($C48+$C$1)&gt;AT$3,AT$3&gt;=$C$1),'General Inputs'!R$10*$H48,0))</f>
        <v>0</v>
      </c>
      <c r="BP48" s="214">
        <f>IF(AND(($D48+$C$1)&gt;AU$3,AU$3&gt;=$C$1),'General Inputs'!S$10*$I48,IF(AND(($C48+$C$1)&gt;AU$3,AU$3&gt;=$C$1),'General Inputs'!S$10*$H48,0))</f>
        <v>0</v>
      </c>
      <c r="BQ48" s="214">
        <f>IF(AND(($D48+$C$1)&gt;AV$3,AV$3&gt;=$C$1),'General Inputs'!T$10*$I48,IF(AND(($C48+$C$1)&gt;AV$3,AV$3&gt;=$C$1),'General Inputs'!T$10*$H48,0))</f>
        <v>0</v>
      </c>
      <c r="BR48" s="214">
        <f>IF(AND(($D48+$C$1)&gt;AW$3,AW$3&gt;=$C$1),'General Inputs'!U$10*$I48,IF(AND(($C48+$C$1)&gt;AW$3,AW$3&gt;=$C$1),'General Inputs'!U$10*$H48,0))</f>
        <v>0</v>
      </c>
      <c r="BS48" s="214">
        <f>IF(AND(($D48+$C$1)&gt;AX$3,AX$3&gt;=$C$1),'General Inputs'!V$10*$I48,IF(AND(($C48+$C$1)&gt;AX$3,AX$3&gt;=$C$1),'General Inputs'!V$10*$H48,0))</f>
        <v>0</v>
      </c>
      <c r="BT48" s="214">
        <f>IF(AND(($D48+$C$1)&gt;AY$3,AY$3&gt;=$C$1),'General Inputs'!W$10*$I48,IF(AND(($C48+$C$1)&gt;AY$3,AY$3&gt;=$C$1),'General Inputs'!W$10*$H48,0))</f>
        <v>0</v>
      </c>
    </row>
    <row r="49" spans="1:72">
      <c r="A49" s="342" t="s">
        <v>112</v>
      </c>
      <c r="B49" s="427" t="str">
        <f>Sources!B49</f>
        <v>Delamp T12 to T8 (2 Lamp Fixtures)</v>
      </c>
      <c r="C49" s="193">
        <f>Sources!C49</f>
        <v>11</v>
      </c>
      <c r="D49" s="193">
        <f>Sources!D49</f>
        <v>0</v>
      </c>
      <c r="F49" s="429">
        <f>Sources!F49*EnergyLineLoss</f>
        <v>433.97273137499991</v>
      </c>
      <c r="G49" s="429">
        <f>Sources!G49*EnergyLineLoss</f>
        <v>0</v>
      </c>
      <c r="H49" s="477">
        <f>Sources!H49*PeakLineLoss</f>
        <v>6.7104952199999984E-2</v>
      </c>
      <c r="I49" s="477">
        <f>Sources!I49*PeakLineLoss</f>
        <v>0</v>
      </c>
      <c r="K49" s="419">
        <f>Sources!J49</f>
        <v>55</v>
      </c>
      <c r="L49" s="419">
        <f>Sources!K49</f>
        <v>0</v>
      </c>
      <c r="N49" s="438">
        <f t="shared" ref="N49:N87" si="22">IF(R49&gt;0,(P49+Q49)/R49,"n/a")</f>
        <v>2.7221584710956086</v>
      </c>
      <c r="P49" s="215">
        <f t="shared" ref="P49:P87" si="23">AF49+NPV(DiscountRate,AG49:AY49)</f>
        <v>119.43957373807001</v>
      </c>
      <c r="Q49" s="215">
        <f t="shared" ref="Q49:Q87" si="24">BA49+NPV(DiscountRate,BB49:BT49)</f>
        <v>6.9464432548820749</v>
      </c>
      <c r="R49" s="215">
        <f t="shared" ref="R49:R87" si="25">T49+NPV(DiscountRate,U49:AD49)</f>
        <v>46.428603747703384</v>
      </c>
      <c r="T49" s="214">
        <f t="shared" ref="T49:AD81" si="26">IF($C$1=T$3,$K49,IF($D49+$C$1=T$3,-$L49,0))</f>
        <v>0</v>
      </c>
      <c r="U49" s="214">
        <f t="shared" si="26"/>
        <v>0</v>
      </c>
      <c r="V49" s="214">
        <f t="shared" si="15"/>
        <v>55</v>
      </c>
      <c r="W49" s="214">
        <f t="shared" si="15"/>
        <v>0</v>
      </c>
      <c r="X49" s="214">
        <f t="shared" si="15"/>
        <v>0</v>
      </c>
      <c r="Y49" s="214">
        <f t="shared" si="15"/>
        <v>0</v>
      </c>
      <c r="Z49" s="214">
        <f t="shared" si="15"/>
        <v>0</v>
      </c>
      <c r="AA49" s="214">
        <f t="shared" si="15"/>
        <v>0</v>
      </c>
      <c r="AB49" s="214">
        <f t="shared" si="15"/>
        <v>0</v>
      </c>
      <c r="AC49" s="214">
        <f t="shared" si="15"/>
        <v>0</v>
      </c>
      <c r="AD49" s="214">
        <f t="shared" si="15"/>
        <v>0</v>
      </c>
      <c r="AF49" s="214">
        <f>IF(AND(($D49+$C$1)&gt;AF$3,AF$3&gt;=$C$1),'General Inputs'!D$9*$G49,IF(AND(($C49+$C$1)&gt;AF$3,AF$3&gt;=$C$1),'General Inputs'!D$9*$F49,0))</f>
        <v>0</v>
      </c>
      <c r="AG49" s="214">
        <f>IF(AND(($D49+$C$1)&gt;AG$3,AG$3&gt;=$C$1),'General Inputs'!E$9*$G49,IF(AND(($C49+$C$1)&gt;AG$3,AG$3&gt;=$C$1),'General Inputs'!E$9*$F49,0))</f>
        <v>0</v>
      </c>
      <c r="AH49" s="214">
        <f>IF(AND(($D49+$C$1)&gt;AH$3,AH$3&gt;=$C$1),'General Inputs'!F$9*$G49,IF(AND(($C49+$C$1)&gt;AH$3,AH$3&gt;=$C$1),'General Inputs'!F$9*$F49,0))</f>
        <v>17.799649824942488</v>
      </c>
      <c r="AI49" s="214">
        <f>IF(AND(($D49+$C$1)&gt;AI$3,AI$3&gt;=$C$1),'General Inputs'!G$9*$G49,IF(AND(($C49+$C$1)&gt;AI$3,AI$3&gt;=$C$1),'General Inputs'!G$9*$F49,0))</f>
        <v>18.066644572316623</v>
      </c>
      <c r="AJ49" s="214">
        <f>IF(AND(($D49+$C$1)&gt;AJ$3,AJ$3&gt;=$C$1),'General Inputs'!H$9*$G49,IF(AND(($C49+$C$1)&gt;AJ$3,AJ$3&gt;=$C$1),'General Inputs'!H$9*$F49,0))</f>
        <v>18.337644240901369</v>
      </c>
      <c r="AK49" s="214">
        <f>IF(AND(($D49+$C$1)&gt;AK$3,AK$3&gt;=$C$1),'General Inputs'!I$9*$G49,IF(AND(($C49+$C$1)&gt;AK$3,AK$3&gt;=$C$1),'General Inputs'!I$9*$F49,0))</f>
        <v>18.612708904514889</v>
      </c>
      <c r="AL49" s="214">
        <f>IF(AND(($D49+$C$1)&gt;AL$3,AL$3&gt;=$C$1),'General Inputs'!J$9*$G49,IF(AND(($C49+$C$1)&gt;AL$3,AL$3&gt;=$C$1),'General Inputs'!J$9*$F49,0))</f>
        <v>18.891899538082608</v>
      </c>
      <c r="AM49" s="214">
        <f>IF(AND(($D49+$C$1)&gt;AM$3,AM$3&gt;=$C$1),'General Inputs'!K$9*$G49,IF(AND(($C49+$C$1)&gt;AM$3,AM$3&gt;=$C$1),'General Inputs'!K$9*$F49,0))</f>
        <v>19.175278031153844</v>
      </c>
      <c r="AN49" s="214">
        <f>IF(AND(($D49+$C$1)&gt;AN$3,AN$3&gt;=$C$1),'General Inputs'!L$9*$G49,IF(AND(($C49+$C$1)&gt;AN$3,AN$3&gt;=$C$1),'General Inputs'!L$9*$F49,0))</f>
        <v>19.46290720162115</v>
      </c>
      <c r="AO49" s="214">
        <f>IF(AND(($D49+$C$1)&gt;AO$3,AO$3&gt;=$C$1),'General Inputs'!M$9*$G49,IF(AND(($C49+$C$1)&gt;AO$3,AO$3&gt;=$C$1),'General Inputs'!M$9*$F49,0))</f>
        <v>19.754850809645465</v>
      </c>
      <c r="AP49" s="214">
        <f>IF(AND(($D49+$C$1)&gt;AP$3,AP$3&gt;=$C$1),'General Inputs'!N$9*$G49,IF(AND(($C49+$C$1)&gt;AP$3,AP$3&gt;=$C$1),'General Inputs'!N$9*$F49,0))</f>
        <v>20.051173571790148</v>
      </c>
      <c r="AQ49" s="214">
        <f>IF(AND(($D49+$C$1)&gt;AQ$3,AQ$3&gt;=$C$1),'General Inputs'!O$9*$G49,IF(AND(($C49+$C$1)&gt;AQ$3,AQ$3&gt;=$C$1),'General Inputs'!O$9*$F49,0))</f>
        <v>20.351941175366996</v>
      </c>
      <c r="AR49" s="214">
        <f>IF(AND(($D49+$C$1)&gt;AR$3,AR$3&gt;=$C$1),'General Inputs'!P$9*$G49,IF(AND(($C49+$C$1)&gt;AR$3,AR$3&gt;=$C$1),'General Inputs'!P$9*$F49,0))</f>
        <v>20.657220292997497</v>
      </c>
      <c r="AS49" s="214">
        <f>IF(AND(($D49+$C$1)&gt;AS$3,AS$3&gt;=$C$1),'General Inputs'!Q$9*$G49,IF(AND(($C49+$C$1)&gt;AS$3,AS$3&gt;=$C$1),'General Inputs'!Q$9*$F49,0))</f>
        <v>0</v>
      </c>
      <c r="AT49" s="214">
        <f>IF(AND(($D49+$C$1)&gt;AT$3,AT$3&gt;=$C$1),'General Inputs'!R$9*$G49,IF(AND(($C49+$C$1)&gt;AT$3,AT$3&gt;=$C$1),'General Inputs'!R$9*$F49,0))</f>
        <v>0</v>
      </c>
      <c r="AU49" s="214">
        <f>IF(AND(($D49+$C$1)&gt;AU$3,AU$3&gt;=$C$1),'General Inputs'!S$9*$G49,IF(AND(($C49+$C$1)&gt;AU$3,AU$3&gt;=$C$1),'General Inputs'!S$9*$F49,0))</f>
        <v>0</v>
      </c>
      <c r="AV49" s="214">
        <f>IF(AND(($D49+$C$1)&gt;AV$3,AV$3&gt;=$C$1),'General Inputs'!T$9*$G49,IF(AND(($C49+$C$1)&gt;AV$3,AV$3&gt;=$C$1),'General Inputs'!T$9*$F49,0))</f>
        <v>0</v>
      </c>
      <c r="AW49" s="214">
        <f>IF(AND(($D49+$C$1)&gt;AW$3,AW$3&gt;=$C$1),'General Inputs'!U$9*$G49,IF(AND(($C49+$C$1)&gt;AW$3,AW$3&gt;=$C$1),'General Inputs'!U$9*$F49,0))</f>
        <v>0</v>
      </c>
      <c r="AX49" s="214">
        <f>IF(AND(($D49+$C$1)&gt;AX$3,AX$3&gt;=$C$1),'General Inputs'!V$9*$G49,IF(AND(($C49+$C$1)&gt;AX$3,AX$3&gt;=$C$1),'General Inputs'!V$9*$F49,0))</f>
        <v>0</v>
      </c>
      <c r="AY49" s="214">
        <f>IF(AND(($D49+$C$1)&gt;AY$3,AY$3&gt;=$C$1),'General Inputs'!W$9*$G49,IF(AND(($C49+$C$1)&gt;AY$3,AY$3&gt;=$C$1),'General Inputs'!W$9*$F49,0))</f>
        <v>0</v>
      </c>
      <c r="BA49" s="214">
        <f>IF(AND(($D49+$C$1)&gt;AF$3,AF$3&gt;=$C$1),'General Inputs'!D$10*$I49,IF(AND(($C49+$C$1)&gt;AF$3,AF$3&gt;=$C$1),'General Inputs'!D$10*$H49,0))</f>
        <v>0</v>
      </c>
      <c r="BB49" s="214">
        <f>IF(AND(($D49+$C$1)&gt;AG$3,AG$3&gt;=$C$1),'General Inputs'!E$10*$I49,IF(AND(($C49+$C$1)&gt;AG$3,AG$3&gt;=$C$1),'General Inputs'!E$10*$H49,0))</f>
        <v>0</v>
      </c>
      <c r="BC49" s="214">
        <f>IF(AND(($D49+$C$1)&gt;AH$3,AH$3&gt;=$C$1),'General Inputs'!F$10*$I49,IF(AND(($C49+$C$1)&gt;AH$3,AH$3&gt;=$C$1),'General Inputs'!F$10*$H49,0))</f>
        <v>1.035203438827448</v>
      </c>
      <c r="BD49" s="214">
        <f>IF(AND(($D49+$C$1)&gt;AI$3,AI$3&gt;=$C$1),'General Inputs'!G$10*$I49,IF(AND(($C49+$C$1)&gt;AI$3,AI$3&gt;=$C$1),'General Inputs'!G$10*$H49,0))</f>
        <v>1.0507314904098595</v>
      </c>
      <c r="BE49" s="214">
        <f>IF(AND(($D49+$C$1)&gt;AJ$3,AJ$3&gt;=$C$1),'General Inputs'!H$10*$I49,IF(AND(($C49+$C$1)&gt;AJ$3,AJ$3&gt;=$C$1),'General Inputs'!H$10*$H49,0))</f>
        <v>1.0664924627660073</v>
      </c>
      <c r="BF49" s="214">
        <f>IF(AND(($D49+$C$1)&gt;AK$3,AK$3&gt;=$C$1),'General Inputs'!I$10*$I49,IF(AND(($C49+$C$1)&gt;AK$3,AK$3&gt;=$C$1),'General Inputs'!I$10*$H49,0))</f>
        <v>1.0824898497074973</v>
      </c>
      <c r="BG49" s="214">
        <f>IF(AND(($D49+$C$1)&gt;AL$3,AL$3&gt;=$C$1),'General Inputs'!J$10*$I49,IF(AND(($C49+$C$1)&gt;AL$3,AL$3&gt;=$C$1),'General Inputs'!J$10*$H49,0))</f>
        <v>1.0987271974531096</v>
      </c>
      <c r="BH49" s="214">
        <f>IF(AND(($D49+$C$1)&gt;AM$3,AM$3&gt;=$C$1),'General Inputs'!K$10*$I49,IF(AND(($C49+$C$1)&gt;AM$3,AM$3&gt;=$C$1),'General Inputs'!K$10*$H49,0))</f>
        <v>1.1152081054149061</v>
      </c>
      <c r="BI49" s="214">
        <f>IF(AND(($D49+$C$1)&gt;AN$3,AN$3&gt;=$C$1),'General Inputs'!L$10*$I49,IF(AND(($C49+$C$1)&gt;AN$3,AN$3&gt;=$C$1),'General Inputs'!L$10*$H49,0))</f>
        <v>1.1319362269961297</v>
      </c>
      <c r="BJ49" s="214">
        <f>IF(AND(($D49+$C$1)&gt;AO$3,AO$3&gt;=$C$1),'General Inputs'!M$10*$I49,IF(AND(($C49+$C$1)&gt;AO$3,AO$3&gt;=$C$1),'General Inputs'!M$10*$H49,0))</f>
        <v>1.1489152704010717</v>
      </c>
      <c r="BK49" s="214">
        <f>IF(AND(($D49+$C$1)&gt;AP$3,AP$3&gt;=$C$1),'General Inputs'!N$10*$I49,IF(AND(($C49+$C$1)&gt;AP$3,AP$3&gt;=$C$1),'General Inputs'!N$10*$H49,0))</f>
        <v>1.1661489994570875</v>
      </c>
      <c r="BL49" s="214">
        <f>IF(AND(($D49+$C$1)&gt;AQ$3,AQ$3&gt;=$C$1),'General Inputs'!O$10*$I49,IF(AND(($C49+$C$1)&gt;AQ$3,AQ$3&gt;=$C$1),'General Inputs'!O$10*$H49,0))</f>
        <v>1.1836412344489438</v>
      </c>
      <c r="BM49" s="214">
        <f>IF(AND(($D49+$C$1)&gt;AR$3,AR$3&gt;=$C$1),'General Inputs'!P$10*$I49,IF(AND(($C49+$C$1)&gt;AR$3,AR$3&gt;=$C$1),'General Inputs'!P$10*$H49,0))</f>
        <v>1.2013958529656779</v>
      </c>
      <c r="BN49" s="214">
        <f>IF(AND(($D49+$C$1)&gt;AS$3,AS$3&gt;=$C$1),'General Inputs'!Q$10*$I49,IF(AND(($C49+$C$1)&gt;AS$3,AS$3&gt;=$C$1),'General Inputs'!Q$10*$H49,0))</f>
        <v>0</v>
      </c>
      <c r="BO49" s="214">
        <f>IF(AND(($D49+$C$1)&gt;AT$3,AT$3&gt;=$C$1),'General Inputs'!R$10*$I49,IF(AND(($C49+$C$1)&gt;AT$3,AT$3&gt;=$C$1),'General Inputs'!R$10*$H49,0))</f>
        <v>0</v>
      </c>
      <c r="BP49" s="214">
        <f>IF(AND(($D49+$C$1)&gt;AU$3,AU$3&gt;=$C$1),'General Inputs'!S$10*$I49,IF(AND(($C49+$C$1)&gt;AU$3,AU$3&gt;=$C$1),'General Inputs'!S$10*$H49,0))</f>
        <v>0</v>
      </c>
      <c r="BQ49" s="214">
        <f>IF(AND(($D49+$C$1)&gt;AV$3,AV$3&gt;=$C$1),'General Inputs'!T$10*$I49,IF(AND(($C49+$C$1)&gt;AV$3,AV$3&gt;=$C$1),'General Inputs'!T$10*$H49,0))</f>
        <v>0</v>
      </c>
      <c r="BR49" s="214">
        <f>IF(AND(($D49+$C$1)&gt;AW$3,AW$3&gt;=$C$1),'General Inputs'!U$10*$I49,IF(AND(($C49+$C$1)&gt;AW$3,AW$3&gt;=$C$1),'General Inputs'!U$10*$H49,0))</f>
        <v>0</v>
      </c>
      <c r="BS49" s="214">
        <f>IF(AND(($D49+$C$1)&gt;AX$3,AX$3&gt;=$C$1),'General Inputs'!V$10*$I49,IF(AND(($C49+$C$1)&gt;AX$3,AX$3&gt;=$C$1),'General Inputs'!V$10*$H49,0))</f>
        <v>0</v>
      </c>
      <c r="BT49" s="214">
        <f>IF(AND(($D49+$C$1)&gt;AY$3,AY$3&gt;=$C$1),'General Inputs'!W$10*$I49,IF(AND(($C49+$C$1)&gt;AY$3,AY$3&gt;=$C$1),'General Inputs'!W$10*$H49,0))</f>
        <v>0</v>
      </c>
    </row>
    <row r="50" spans="1:72">
      <c r="A50" s="342" t="s">
        <v>112</v>
      </c>
      <c r="B50" s="427" t="str">
        <f>Sources!B50</f>
        <v>Delamp T12 to T8 (3-4 Lamp Fixtures)</v>
      </c>
      <c r="C50" s="193">
        <f>Sources!C50</f>
        <v>11</v>
      </c>
      <c r="D50" s="193">
        <f>Sources!D50</f>
        <v>0</v>
      </c>
      <c r="F50" s="429">
        <f>Sources!F50*EnergyLineLoss</f>
        <v>927.78373762499984</v>
      </c>
      <c r="G50" s="429">
        <f>Sources!G50*EnergyLineLoss</f>
        <v>0</v>
      </c>
      <c r="H50" s="477">
        <f>Sources!H50*PeakLineLoss</f>
        <v>0.14346266219999998</v>
      </c>
      <c r="I50" s="477">
        <f>Sources!I50*PeakLineLoss</f>
        <v>0</v>
      </c>
      <c r="K50" s="419">
        <f>Sources!J50</f>
        <v>122</v>
      </c>
      <c r="L50" s="419">
        <f>Sources!K50</f>
        <v>0</v>
      </c>
      <c r="N50" s="438">
        <f t="shared" si="22"/>
        <v>2.6236178518300841</v>
      </c>
      <c r="P50" s="215">
        <f t="shared" si="23"/>
        <v>255.34805791124214</v>
      </c>
      <c r="Q50" s="215">
        <f t="shared" si="24"/>
        <v>14.850695954547088</v>
      </c>
      <c r="R50" s="215">
        <f t="shared" si="25"/>
        <v>102.98708467672387</v>
      </c>
      <c r="T50" s="214">
        <f t="shared" si="26"/>
        <v>0</v>
      </c>
      <c r="U50" s="214">
        <f t="shared" si="26"/>
        <v>0</v>
      </c>
      <c r="V50" s="214">
        <f t="shared" si="15"/>
        <v>122</v>
      </c>
      <c r="W50" s="214">
        <f t="shared" si="15"/>
        <v>0</v>
      </c>
      <c r="X50" s="214">
        <f t="shared" si="15"/>
        <v>0</v>
      </c>
      <c r="Y50" s="214">
        <f t="shared" si="15"/>
        <v>0</v>
      </c>
      <c r="Z50" s="214">
        <f t="shared" si="15"/>
        <v>0</v>
      </c>
      <c r="AA50" s="214">
        <f t="shared" si="15"/>
        <v>0</v>
      </c>
      <c r="AB50" s="214">
        <f t="shared" si="15"/>
        <v>0</v>
      </c>
      <c r="AC50" s="214">
        <f t="shared" si="15"/>
        <v>0</v>
      </c>
      <c r="AD50" s="214">
        <f t="shared" si="15"/>
        <v>0</v>
      </c>
      <c r="AF50" s="214">
        <f>IF(AND(($D50+$C$1)&gt;AF$3,AF$3&gt;=$C$1),'General Inputs'!D$9*$G50,IF(AND(($C50+$C$1)&gt;AF$3,AF$3&gt;=$C$1),'General Inputs'!D$9*$F50,0))</f>
        <v>0</v>
      </c>
      <c r="AG50" s="214">
        <f>IF(AND(($D50+$C$1)&gt;AG$3,AG$3&gt;=$C$1),'General Inputs'!E$9*$G50,IF(AND(($C50+$C$1)&gt;AG$3,AG$3&gt;=$C$1),'General Inputs'!E$9*$F50,0))</f>
        <v>0</v>
      </c>
      <c r="AH50" s="214">
        <f>IF(AND(($D50+$C$1)&gt;AH$3,AH$3&gt;=$C$1),'General Inputs'!F$9*$G50,IF(AND(($C50+$C$1)&gt;AH$3,AH$3&gt;=$C$1),'General Inputs'!F$9*$F50,0))</f>
        <v>38.053602102320156</v>
      </c>
      <c r="AI50" s="214">
        <f>IF(AND(($D50+$C$1)&gt;AI$3,AI$3&gt;=$C$1),'General Inputs'!G$9*$G50,IF(AND(($C50+$C$1)&gt;AI$3,AI$3&gt;=$C$1),'General Inputs'!G$9*$F50,0))</f>
        <v>38.624406133854954</v>
      </c>
      <c r="AJ50" s="214">
        <f>IF(AND(($D50+$C$1)&gt;AJ$3,AJ$3&gt;=$C$1),'General Inputs'!H$9*$G50,IF(AND(($C50+$C$1)&gt;AJ$3,AJ$3&gt;=$C$1),'General Inputs'!H$9*$F50,0))</f>
        <v>39.203772225862771</v>
      </c>
      <c r="AK50" s="214">
        <f>IF(AND(($D50+$C$1)&gt;AK$3,AK$3&gt;=$C$1),'General Inputs'!I$9*$G50,IF(AND(($C50+$C$1)&gt;AK$3,AK$3&gt;=$C$1),'General Inputs'!I$9*$F50,0))</f>
        <v>39.79182880925071</v>
      </c>
      <c r="AL50" s="214">
        <f>IF(AND(($D50+$C$1)&gt;AL$3,AL$3&gt;=$C$1),'General Inputs'!J$9*$G50,IF(AND(($C50+$C$1)&gt;AL$3,AL$3&gt;=$C$1),'General Inputs'!J$9*$F50,0))</f>
        <v>40.388706241389464</v>
      </c>
      <c r="AM50" s="214">
        <f>IF(AND(($D50+$C$1)&gt;AM$3,AM$3&gt;=$C$1),'General Inputs'!K$9*$G50,IF(AND(($C50+$C$1)&gt;AM$3,AM$3&gt;=$C$1),'General Inputs'!K$9*$F50,0))</f>
        <v>40.994536835010294</v>
      </c>
      <c r="AN50" s="214">
        <f>IF(AND(($D50+$C$1)&gt;AN$3,AN$3&gt;=$C$1),'General Inputs'!L$9*$G50,IF(AND(($C50+$C$1)&gt;AN$3,AN$3&gt;=$C$1),'General Inputs'!L$9*$F50,0))</f>
        <v>41.609454887535449</v>
      </c>
      <c r="AO50" s="214">
        <f>IF(AND(($D50+$C$1)&gt;AO$3,AO$3&gt;=$C$1),'General Inputs'!M$9*$G50,IF(AND(($C50+$C$1)&gt;AO$3,AO$3&gt;=$C$1),'General Inputs'!M$9*$F50,0))</f>
        <v>42.233596710848474</v>
      </c>
      <c r="AP50" s="214">
        <f>IF(AND(($D50+$C$1)&gt;AP$3,AP$3&gt;=$C$1),'General Inputs'!N$9*$G50,IF(AND(($C50+$C$1)&gt;AP$3,AP$3&gt;=$C$1),'General Inputs'!N$9*$F50,0))</f>
        <v>42.867100661511195</v>
      </c>
      <c r="AQ50" s="214">
        <f>IF(AND(($D50+$C$1)&gt;AQ$3,AQ$3&gt;=$C$1),'General Inputs'!O$9*$G50,IF(AND(($C50+$C$1)&gt;AQ$3,AQ$3&gt;=$C$1),'General Inputs'!O$9*$F50,0))</f>
        <v>43.510107171433859</v>
      </c>
      <c r="AR50" s="214">
        <f>IF(AND(($D50+$C$1)&gt;AR$3,AR$3&gt;=$C$1),'General Inputs'!P$9*$G50,IF(AND(($C50+$C$1)&gt;AR$3,AR$3&gt;=$C$1),'General Inputs'!P$9*$F50,0))</f>
        <v>44.162758779005365</v>
      </c>
      <c r="AS50" s="214">
        <f>IF(AND(($D50+$C$1)&gt;AS$3,AS$3&gt;=$C$1),'General Inputs'!Q$9*$G50,IF(AND(($C50+$C$1)&gt;AS$3,AS$3&gt;=$C$1),'General Inputs'!Q$9*$F50,0))</f>
        <v>0</v>
      </c>
      <c r="AT50" s="214">
        <f>IF(AND(($D50+$C$1)&gt;AT$3,AT$3&gt;=$C$1),'General Inputs'!R$9*$G50,IF(AND(($C50+$C$1)&gt;AT$3,AT$3&gt;=$C$1),'General Inputs'!R$9*$F50,0))</f>
        <v>0</v>
      </c>
      <c r="AU50" s="214">
        <f>IF(AND(($D50+$C$1)&gt;AU$3,AU$3&gt;=$C$1),'General Inputs'!S$9*$G50,IF(AND(($C50+$C$1)&gt;AU$3,AU$3&gt;=$C$1),'General Inputs'!S$9*$F50,0))</f>
        <v>0</v>
      </c>
      <c r="AV50" s="214">
        <f>IF(AND(($D50+$C$1)&gt;AV$3,AV$3&gt;=$C$1),'General Inputs'!T$9*$G50,IF(AND(($C50+$C$1)&gt;AV$3,AV$3&gt;=$C$1),'General Inputs'!T$9*$F50,0))</f>
        <v>0</v>
      </c>
      <c r="AW50" s="214">
        <f>IF(AND(($D50+$C$1)&gt;AW$3,AW$3&gt;=$C$1),'General Inputs'!U$9*$G50,IF(AND(($C50+$C$1)&gt;AW$3,AW$3&gt;=$C$1),'General Inputs'!U$9*$F50,0))</f>
        <v>0</v>
      </c>
      <c r="AX50" s="214">
        <f>IF(AND(($D50+$C$1)&gt;AX$3,AX$3&gt;=$C$1),'General Inputs'!V$9*$G50,IF(AND(($C50+$C$1)&gt;AX$3,AX$3&gt;=$C$1),'General Inputs'!V$9*$F50,0))</f>
        <v>0</v>
      </c>
      <c r="AY50" s="214">
        <f>IF(AND(($D50+$C$1)&gt;AY$3,AY$3&gt;=$C$1),'General Inputs'!W$9*$G50,IF(AND(($C50+$C$1)&gt;AY$3,AY$3&gt;=$C$1),'General Inputs'!W$9*$F50,0))</f>
        <v>0</v>
      </c>
      <c r="BA50" s="214">
        <f>IF(AND(($D50+$C$1)&gt;AF$3,AF$3&gt;=$C$1),'General Inputs'!D$10*$I50,IF(AND(($C50+$C$1)&gt;AF$3,AF$3&gt;=$C$1),'General Inputs'!D$10*$H50,0))</f>
        <v>0</v>
      </c>
      <c r="BB50" s="214">
        <f>IF(AND(($D50+$C$1)&gt;AG$3,AG$3&gt;=$C$1),'General Inputs'!E$10*$I50,IF(AND(($C50+$C$1)&gt;AG$3,AG$3&gt;=$C$1),'General Inputs'!E$10*$H50,0))</f>
        <v>0</v>
      </c>
      <c r="BC50" s="214">
        <f>IF(AND(($D50+$C$1)&gt;AH$3,AH$3&gt;=$C$1),'General Inputs'!F$10*$I50,IF(AND(($C50+$C$1)&gt;AH$3,AH$3&gt;=$C$1),'General Inputs'!F$10*$H50,0))</f>
        <v>2.2131457721652401</v>
      </c>
      <c r="BD50" s="214">
        <f>IF(AND(($D50+$C$1)&gt;AI$3,AI$3&gt;=$C$1),'General Inputs'!G$10*$I50,IF(AND(($C50+$C$1)&gt;AI$3,AI$3&gt;=$C$1),'General Inputs'!G$10*$H50,0))</f>
        <v>2.2463429587477188</v>
      </c>
      <c r="BE50" s="214">
        <f>IF(AND(($D50+$C$1)&gt;AJ$3,AJ$3&gt;=$C$1),'General Inputs'!H$10*$I50,IF(AND(($C50+$C$1)&gt;AJ$3,AJ$3&gt;=$C$1),'General Inputs'!H$10*$H50,0))</f>
        <v>2.2800381031289345</v>
      </c>
      <c r="BF50" s="214">
        <f>IF(AND(($D50+$C$1)&gt;AK$3,AK$3&gt;=$C$1),'General Inputs'!I$10*$I50,IF(AND(($C50+$C$1)&gt;AK$3,AK$3&gt;=$C$1),'General Inputs'!I$10*$H50,0))</f>
        <v>2.3142386746758681</v>
      </c>
      <c r="BG50" s="214">
        <f>IF(AND(($D50+$C$1)&gt;AL$3,AL$3&gt;=$C$1),'General Inputs'!J$10*$I50,IF(AND(($C50+$C$1)&gt;AL$3,AL$3&gt;=$C$1),'General Inputs'!J$10*$H50,0))</f>
        <v>2.3489522547960058</v>
      </c>
      <c r="BH50" s="214">
        <f>IF(AND(($D50+$C$1)&gt;AM$3,AM$3&gt;=$C$1),'General Inputs'!K$10*$I50,IF(AND(($C50+$C$1)&gt;AM$3,AM$3&gt;=$C$1),'General Inputs'!K$10*$H50,0))</f>
        <v>2.3841865386179455</v>
      </c>
      <c r="BI50" s="214">
        <f>IF(AND(($D50+$C$1)&gt;AN$3,AN$3&gt;=$C$1),'General Inputs'!L$10*$I50,IF(AND(($C50+$C$1)&gt;AN$3,AN$3&gt;=$C$1),'General Inputs'!L$10*$H50,0))</f>
        <v>2.4199493366972145</v>
      </c>
      <c r="BJ50" s="214">
        <f>IF(AND(($D50+$C$1)&gt;AO$3,AO$3&gt;=$C$1),'General Inputs'!M$10*$I50,IF(AND(($C50+$C$1)&gt;AO$3,AO$3&gt;=$C$1),'General Inputs'!M$10*$H50,0))</f>
        <v>2.4562485767476727</v>
      </c>
      <c r="BK50" s="214">
        <f>IF(AND(($D50+$C$1)&gt;AP$3,AP$3&gt;=$C$1),'General Inputs'!N$10*$I50,IF(AND(($C50+$C$1)&gt;AP$3,AP$3&gt;=$C$1),'General Inputs'!N$10*$H50,0))</f>
        <v>2.4930923053988874</v>
      </c>
      <c r="BL50" s="214">
        <f>IF(AND(($D50+$C$1)&gt;AQ$3,AQ$3&gt;=$C$1),'General Inputs'!O$10*$I50,IF(AND(($C50+$C$1)&gt;AQ$3,AQ$3&gt;=$C$1),'General Inputs'!O$10*$H50,0))</f>
        <v>2.5304886899798706</v>
      </c>
      <c r="BM50" s="214">
        <f>IF(AND(($D50+$C$1)&gt;AR$3,AR$3&gt;=$C$1),'General Inputs'!P$10*$I50,IF(AND(($C50+$C$1)&gt;AR$3,AR$3&gt;=$C$1),'General Inputs'!P$10*$H50,0))</f>
        <v>2.5684460203295685</v>
      </c>
      <c r="BN50" s="214">
        <f>IF(AND(($D50+$C$1)&gt;AS$3,AS$3&gt;=$C$1),'General Inputs'!Q$10*$I50,IF(AND(($C50+$C$1)&gt;AS$3,AS$3&gt;=$C$1),'General Inputs'!Q$10*$H50,0))</f>
        <v>0</v>
      </c>
      <c r="BO50" s="214">
        <f>IF(AND(($D50+$C$1)&gt;AT$3,AT$3&gt;=$C$1),'General Inputs'!R$10*$I50,IF(AND(($C50+$C$1)&gt;AT$3,AT$3&gt;=$C$1),'General Inputs'!R$10*$H50,0))</f>
        <v>0</v>
      </c>
      <c r="BP50" s="214">
        <f>IF(AND(($D50+$C$1)&gt;AU$3,AU$3&gt;=$C$1),'General Inputs'!S$10*$I50,IF(AND(($C50+$C$1)&gt;AU$3,AU$3&gt;=$C$1),'General Inputs'!S$10*$H50,0))</f>
        <v>0</v>
      </c>
      <c r="BQ50" s="214">
        <f>IF(AND(($D50+$C$1)&gt;AV$3,AV$3&gt;=$C$1),'General Inputs'!T$10*$I50,IF(AND(($C50+$C$1)&gt;AV$3,AV$3&gt;=$C$1),'General Inputs'!T$10*$H50,0))</f>
        <v>0</v>
      </c>
      <c r="BR50" s="214">
        <f>IF(AND(($D50+$C$1)&gt;AW$3,AW$3&gt;=$C$1),'General Inputs'!U$10*$I50,IF(AND(($C50+$C$1)&gt;AW$3,AW$3&gt;=$C$1),'General Inputs'!U$10*$H50,0))</f>
        <v>0</v>
      </c>
      <c r="BS50" s="214">
        <f>IF(AND(($D50+$C$1)&gt;AX$3,AX$3&gt;=$C$1),'General Inputs'!V$10*$I50,IF(AND(($C50+$C$1)&gt;AX$3,AX$3&gt;=$C$1),'General Inputs'!V$10*$H50,0))</f>
        <v>0</v>
      </c>
      <c r="BT50" s="214">
        <f>IF(AND(($D50+$C$1)&gt;AY$3,AY$3&gt;=$C$1),'General Inputs'!W$10*$I50,IF(AND(($C50+$C$1)&gt;AY$3,AY$3&gt;=$C$1),'General Inputs'!W$10*$H50,0))</f>
        <v>0</v>
      </c>
    </row>
    <row r="51" spans="1:72">
      <c r="A51" s="342" t="s">
        <v>112</v>
      </c>
      <c r="B51" s="427" t="str">
        <f>Sources!B51</f>
        <v>T8 (≤4 ft, 1-2 Lamp)</v>
      </c>
      <c r="C51" s="193">
        <f>Sources!C51</f>
        <v>18</v>
      </c>
      <c r="D51" s="193">
        <f>Sources!D51</f>
        <v>0</v>
      </c>
      <c r="F51" s="429">
        <f>Sources!F51*EnergyLineLoss</f>
        <v>238.19119124999997</v>
      </c>
      <c r="G51" s="429">
        <f>Sources!G51*EnergyLineLoss</f>
        <v>0</v>
      </c>
      <c r="H51" s="477">
        <f>Sources!H51*PeakLineLoss</f>
        <v>3.6831365999999997E-2</v>
      </c>
      <c r="I51" s="477">
        <f>Sources!I51*PeakLineLoss</f>
        <v>0</v>
      </c>
      <c r="K51" s="419">
        <f>Sources!J51</f>
        <v>43</v>
      </c>
      <c r="L51" s="419">
        <f>Sources!K51</f>
        <v>0</v>
      </c>
      <c r="N51" s="438">
        <f t="shared" si="22"/>
        <v>2.5504349684149945</v>
      </c>
      <c r="P51" s="215">
        <f t="shared" si="23"/>
        <v>87.489283726158106</v>
      </c>
      <c r="Q51" s="215">
        <f t="shared" si="24"/>
        <v>5.0882578176878139</v>
      </c>
      <c r="R51" s="215">
        <f t="shared" si="25"/>
        <v>36.298726566386286</v>
      </c>
      <c r="T51" s="214">
        <f t="shared" si="26"/>
        <v>0</v>
      </c>
      <c r="U51" s="214">
        <f t="shared" si="26"/>
        <v>0</v>
      </c>
      <c r="V51" s="214">
        <f t="shared" si="15"/>
        <v>43</v>
      </c>
      <c r="W51" s="214">
        <f t="shared" si="15"/>
        <v>0</v>
      </c>
      <c r="X51" s="214">
        <f t="shared" si="15"/>
        <v>0</v>
      </c>
      <c r="Y51" s="214">
        <f t="shared" si="15"/>
        <v>0</v>
      </c>
      <c r="Z51" s="214">
        <f t="shared" si="15"/>
        <v>0</v>
      </c>
      <c r="AA51" s="214">
        <f t="shared" si="15"/>
        <v>0</v>
      </c>
      <c r="AB51" s="214">
        <f t="shared" si="15"/>
        <v>0</v>
      </c>
      <c r="AC51" s="214">
        <f t="shared" si="15"/>
        <v>0</v>
      </c>
      <c r="AD51" s="214">
        <f t="shared" si="15"/>
        <v>0</v>
      </c>
      <c r="AF51" s="214">
        <f>IF(AND(($D51+$C$1)&gt;AF$3,AF$3&gt;=$C$1),'General Inputs'!D$9*$G51,IF(AND(($C51+$C$1)&gt;AF$3,AF$3&gt;=$C$1),'General Inputs'!D$9*$F51,0))</f>
        <v>0</v>
      </c>
      <c r="AG51" s="214">
        <f>IF(AND(($D51+$C$1)&gt;AG$3,AG$3&gt;=$C$1),'General Inputs'!E$9*$G51,IF(AND(($C51+$C$1)&gt;AG$3,AG$3&gt;=$C$1),'General Inputs'!E$9*$F51,0))</f>
        <v>0</v>
      </c>
      <c r="AH51" s="214">
        <f>IF(AND(($D51+$C$1)&gt;AH$3,AH$3&gt;=$C$1),'General Inputs'!F$9*$G51,IF(AND(($C51+$C$1)&gt;AH$3,AH$3&gt;=$C$1),'General Inputs'!F$9*$F51,0))</f>
        <v>9.7695534514409914</v>
      </c>
      <c r="AI51" s="214">
        <f>IF(AND(($D51+$C$1)&gt;AI$3,AI$3&gt;=$C$1),'General Inputs'!G$9*$G51,IF(AND(($C51+$C$1)&gt;AI$3,AI$3&gt;=$C$1),'General Inputs'!G$9*$F51,0))</f>
        <v>9.9160967532126065</v>
      </c>
      <c r="AJ51" s="214">
        <f>IF(AND(($D51+$C$1)&gt;AJ$3,AJ$3&gt;=$C$1),'General Inputs'!H$9*$G51,IF(AND(($C51+$C$1)&gt;AJ$3,AJ$3&gt;=$C$1),'General Inputs'!H$9*$F51,0))</f>
        <v>10.064838204510794</v>
      </c>
      <c r="AK51" s="214">
        <f>IF(AND(($D51+$C$1)&gt;AK$3,AK$3&gt;=$C$1),'General Inputs'!I$9*$G51,IF(AND(($C51+$C$1)&gt;AK$3,AK$3&gt;=$C$1),'General Inputs'!I$9*$F51,0))</f>
        <v>10.215810777578454</v>
      </c>
      <c r="AL51" s="214">
        <f>IF(AND(($D51+$C$1)&gt;AL$3,AL$3&gt;=$C$1),'General Inputs'!J$9*$G51,IF(AND(($C51+$C$1)&gt;AL$3,AL$3&gt;=$C$1),'General Inputs'!J$9*$F51,0))</f>
        <v>10.36904793924213</v>
      </c>
      <c r="AM51" s="214">
        <f>IF(AND(($D51+$C$1)&gt;AM$3,AM$3&gt;=$C$1),'General Inputs'!K$9*$G51,IF(AND(($C51+$C$1)&gt;AM$3,AM$3&gt;=$C$1),'General Inputs'!K$9*$F51,0))</f>
        <v>10.524583658330759</v>
      </c>
      <c r="AN51" s="214">
        <f>IF(AND(($D51+$C$1)&gt;AN$3,AN$3&gt;=$C$1),'General Inputs'!L$9*$G51,IF(AND(($C51+$C$1)&gt;AN$3,AN$3&gt;=$C$1),'General Inputs'!L$9*$F51,0))</f>
        <v>10.68245241320572</v>
      </c>
      <c r="AO51" s="214">
        <f>IF(AND(($D51+$C$1)&gt;AO$3,AO$3&gt;=$C$1),'General Inputs'!M$9*$G51,IF(AND(($C51+$C$1)&gt;AO$3,AO$3&gt;=$C$1),'General Inputs'!M$9*$F51,0))</f>
        <v>10.842689199403804</v>
      </c>
      <c r="AP51" s="214">
        <f>IF(AND(($D51+$C$1)&gt;AP$3,AP$3&gt;=$C$1),'General Inputs'!N$9*$G51,IF(AND(($C51+$C$1)&gt;AP$3,AP$3&gt;=$C$1),'General Inputs'!N$9*$F51,0))</f>
        <v>11.005329537394861</v>
      </c>
      <c r="AQ51" s="214">
        <f>IF(AND(($D51+$C$1)&gt;AQ$3,AQ$3&gt;=$C$1),'General Inputs'!O$9*$G51,IF(AND(($C51+$C$1)&gt;AQ$3,AQ$3&gt;=$C$1),'General Inputs'!O$9*$F51,0))</f>
        <v>11.170409480455781</v>
      </c>
      <c r="AR51" s="214">
        <f>IF(AND(($D51+$C$1)&gt;AR$3,AR$3&gt;=$C$1),'General Inputs'!P$9*$G51,IF(AND(($C51+$C$1)&gt;AR$3,AR$3&gt;=$C$1),'General Inputs'!P$9*$F51,0))</f>
        <v>11.337965622662617</v>
      </c>
      <c r="AS51" s="214">
        <f>IF(AND(($D51+$C$1)&gt;AS$3,AS$3&gt;=$C$1),'General Inputs'!Q$9*$G51,IF(AND(($C51+$C$1)&gt;AS$3,AS$3&gt;=$C$1),'General Inputs'!Q$9*$F51,0))</f>
        <v>11.508035107002556</v>
      </c>
      <c r="AT51" s="214">
        <f>IF(AND(($D51+$C$1)&gt;AT$3,AT$3&gt;=$C$1),'General Inputs'!R$9*$G51,IF(AND(($C51+$C$1)&gt;AT$3,AT$3&gt;=$C$1),'General Inputs'!R$9*$F51,0))</f>
        <v>11.680655633607595</v>
      </c>
      <c r="AU51" s="214">
        <f>IF(AND(($D51+$C$1)&gt;AU$3,AU$3&gt;=$C$1),'General Inputs'!S$9*$G51,IF(AND(($C51+$C$1)&gt;AU$3,AU$3&gt;=$C$1),'General Inputs'!S$9*$F51,0))</f>
        <v>11.855865468111707</v>
      </c>
      <c r="AV51" s="214">
        <f>IF(AND(($D51+$C$1)&gt;AV$3,AV$3&gt;=$C$1),'General Inputs'!T$9*$G51,IF(AND(($C51+$C$1)&gt;AV$3,AV$3&gt;=$C$1),'General Inputs'!T$9*$F51,0))</f>
        <v>12.033703450133382</v>
      </c>
      <c r="AW51" s="214">
        <f>IF(AND(($D51+$C$1)&gt;AW$3,AW$3&gt;=$C$1),'General Inputs'!U$9*$G51,IF(AND(($C51+$C$1)&gt;AW$3,AW$3&gt;=$C$1),'General Inputs'!U$9*$F51,0))</f>
        <v>12.214209001885381</v>
      </c>
      <c r="AX51" s="214">
        <f>IF(AND(($D51+$C$1)&gt;AX$3,AX$3&gt;=$C$1),'General Inputs'!V$9*$G51,IF(AND(($C51+$C$1)&gt;AX$3,AX$3&gt;=$C$1),'General Inputs'!V$9*$F51,0))</f>
        <v>12.397422136913661</v>
      </c>
      <c r="AY51" s="214">
        <f>IF(AND(($D51+$C$1)&gt;AY$3,AY$3&gt;=$C$1),'General Inputs'!W$9*$G51,IF(AND(($C51+$C$1)&gt;AY$3,AY$3&gt;=$C$1),'General Inputs'!W$9*$F51,0))</f>
        <v>12.583383468967366</v>
      </c>
      <c r="BA51" s="214">
        <f>IF(AND(($D51+$C$1)&gt;AF$3,AF$3&gt;=$C$1),'General Inputs'!D$10*$I51,IF(AND(($C51+$C$1)&gt;AF$3,AF$3&gt;=$C$1),'General Inputs'!D$10*$H51,0))</f>
        <v>0</v>
      </c>
      <c r="BB51" s="214">
        <f>IF(AND(($D51+$C$1)&gt;AG$3,AG$3&gt;=$C$1),'General Inputs'!E$10*$I51,IF(AND(($C51+$C$1)&gt;AG$3,AG$3&gt;=$C$1),'General Inputs'!E$10*$H51,0))</f>
        <v>0</v>
      </c>
      <c r="BC51" s="214">
        <f>IF(AND(($D51+$C$1)&gt;AH$3,AH$3&gt;=$C$1),'General Inputs'!F$10*$I51,IF(AND(($C51+$C$1)&gt;AH$3,AH$3&gt;=$C$1),'General Inputs'!F$10*$H51,0))</f>
        <v>0.56818394902175862</v>
      </c>
      <c r="BD51" s="214">
        <f>IF(AND(($D51+$C$1)&gt;AI$3,AI$3&gt;=$C$1),'General Inputs'!G$10*$I51,IF(AND(($C51+$C$1)&gt;AI$3,AI$3&gt;=$C$1),'General Inputs'!G$10*$H51,0))</f>
        <v>0.57670670825708503</v>
      </c>
      <c r="BE51" s="214">
        <f>IF(AND(($D51+$C$1)&gt;AJ$3,AJ$3&gt;=$C$1),'General Inputs'!H$10*$I51,IF(AND(($C51+$C$1)&gt;AJ$3,AJ$3&gt;=$C$1),'General Inputs'!H$10*$H51,0))</f>
        <v>0.58535730888094117</v>
      </c>
      <c r="BF51" s="214">
        <f>IF(AND(($D51+$C$1)&gt;AK$3,AK$3&gt;=$C$1),'General Inputs'!I$10*$I51,IF(AND(($C51+$C$1)&gt;AK$3,AK$3&gt;=$C$1),'General Inputs'!I$10*$H51,0))</f>
        <v>0.59413766851415517</v>
      </c>
      <c r="BG51" s="214">
        <f>IF(AND(($D51+$C$1)&gt;AL$3,AL$3&gt;=$C$1),'General Inputs'!J$10*$I51,IF(AND(($C51+$C$1)&gt;AL$3,AL$3&gt;=$C$1),'General Inputs'!J$10*$H51,0))</f>
        <v>0.60304973354186753</v>
      </c>
      <c r="BH51" s="214">
        <f>IF(AND(($D51+$C$1)&gt;AM$3,AM$3&gt;=$C$1),'General Inputs'!K$10*$I51,IF(AND(($C51+$C$1)&gt;AM$3,AM$3&gt;=$C$1),'General Inputs'!K$10*$H51,0))</f>
        <v>0.61209547954499544</v>
      </c>
      <c r="BI51" s="214">
        <f>IF(AND(($D51+$C$1)&gt;AN$3,AN$3&gt;=$C$1),'General Inputs'!L$10*$I51,IF(AND(($C51+$C$1)&gt;AN$3,AN$3&gt;=$C$1),'General Inputs'!L$10*$H51,0))</f>
        <v>0.62127691173817035</v>
      </c>
      <c r="BJ51" s="214">
        <f>IF(AND(($D51+$C$1)&gt;AO$3,AO$3&gt;=$C$1),'General Inputs'!M$10*$I51,IF(AND(($C51+$C$1)&gt;AO$3,AO$3&gt;=$C$1),'General Inputs'!M$10*$H51,0))</f>
        <v>0.63059606541424285</v>
      </c>
      <c r="BK51" s="214">
        <f>IF(AND(($D51+$C$1)&gt;AP$3,AP$3&gt;=$C$1),'General Inputs'!N$10*$I51,IF(AND(($C51+$C$1)&gt;AP$3,AP$3&gt;=$C$1),'General Inputs'!N$10*$H51,0))</f>
        <v>0.64005500639545643</v>
      </c>
      <c r="BL51" s="214">
        <f>IF(AND(($D51+$C$1)&gt;AQ$3,AQ$3&gt;=$C$1),'General Inputs'!O$10*$I51,IF(AND(($C51+$C$1)&gt;AQ$3,AQ$3&gt;=$C$1),'General Inputs'!O$10*$H51,0))</f>
        <v>0.64965583149138817</v>
      </c>
      <c r="BM51" s="214">
        <f>IF(AND(($D51+$C$1)&gt;AR$3,AR$3&gt;=$C$1),'General Inputs'!P$10*$I51,IF(AND(($C51+$C$1)&gt;AR$3,AR$3&gt;=$C$1),'General Inputs'!P$10*$H51,0))</f>
        <v>0.65940066896375904</v>
      </c>
      <c r="BN51" s="214">
        <f>IF(AND(($D51+$C$1)&gt;AS$3,AS$3&gt;=$C$1),'General Inputs'!Q$10*$I51,IF(AND(($C51+$C$1)&gt;AS$3,AS$3&gt;=$C$1),'General Inputs'!Q$10*$H51,0))</f>
        <v>0.66929167899821529</v>
      </c>
      <c r="BO51" s="214">
        <f>IF(AND(($D51+$C$1)&gt;AT$3,AT$3&gt;=$C$1),'General Inputs'!R$10*$I51,IF(AND(($C51+$C$1)&gt;AT$3,AT$3&gt;=$C$1),'General Inputs'!R$10*$H51,0))</f>
        <v>0.6793310541831884</v>
      </c>
      <c r="BP51" s="214">
        <f>IF(AND(($D51+$C$1)&gt;AU$3,AU$3&gt;=$C$1),'General Inputs'!S$10*$I51,IF(AND(($C51+$C$1)&gt;AU$3,AU$3&gt;=$C$1),'General Inputs'!S$10*$H51,0))</f>
        <v>0.68952101999593629</v>
      </c>
      <c r="BQ51" s="214">
        <f>IF(AND(($D51+$C$1)&gt;AV$3,AV$3&gt;=$C$1),'General Inputs'!T$10*$I51,IF(AND(($C51+$C$1)&gt;AV$3,AV$3&gt;=$C$1),'General Inputs'!T$10*$H51,0))</f>
        <v>0.69986383529587515</v>
      </c>
      <c r="BR51" s="214">
        <f>IF(AND(($D51+$C$1)&gt;AW$3,AW$3&gt;=$C$1),'General Inputs'!U$10*$I51,IF(AND(($C51+$C$1)&gt;AW$3,AW$3&gt;=$C$1),'General Inputs'!U$10*$H51,0))</f>
        <v>0.71036179282531331</v>
      </c>
      <c r="BS51" s="214">
        <f>IF(AND(($D51+$C$1)&gt;AX$3,AX$3&gt;=$C$1),'General Inputs'!V$10*$I51,IF(AND(($C51+$C$1)&gt;AX$3,AX$3&gt;=$C$1),'General Inputs'!V$10*$H51,0))</f>
        <v>0.72101721971769284</v>
      </c>
      <c r="BT51" s="214">
        <f>IF(AND(($D51+$C$1)&gt;AY$3,AY$3&gt;=$C$1),'General Inputs'!W$10*$I51,IF(AND(($C51+$C$1)&gt;AY$3,AY$3&gt;=$C$1),'General Inputs'!W$10*$H51,0))</f>
        <v>0.73183247801345819</v>
      </c>
    </row>
    <row r="52" spans="1:72">
      <c r="A52" s="342" t="s">
        <v>112</v>
      </c>
      <c r="B52" s="427" t="str">
        <f>Sources!B52</f>
        <v>T8 (≤4 ft, 3-4 Lamp)</v>
      </c>
      <c r="C52" s="193">
        <f>Sources!C52</f>
        <v>18</v>
      </c>
      <c r="D52" s="193">
        <f>Sources!D52</f>
        <v>0</v>
      </c>
      <c r="F52" s="429">
        <f>Sources!F52*EnergyLineLoss</f>
        <v>366.00109874999993</v>
      </c>
      <c r="G52" s="429">
        <f>Sources!G52*EnergyLineLoss</f>
        <v>0</v>
      </c>
      <c r="H52" s="477">
        <f>Sources!H52*PeakLineLoss</f>
        <v>5.6594537999999993E-2</v>
      </c>
      <c r="I52" s="477">
        <f>Sources!I52*PeakLineLoss</f>
        <v>0</v>
      </c>
      <c r="K52" s="419">
        <f>Sources!J52</f>
        <v>55</v>
      </c>
      <c r="L52" s="419">
        <f>Sources!K52</f>
        <v>0</v>
      </c>
      <c r="N52" s="438">
        <f t="shared" si="22"/>
        <v>3.0639150019672803</v>
      </c>
      <c r="P52" s="215">
        <f t="shared" si="23"/>
        <v>134.43475304263313</v>
      </c>
      <c r="Q52" s="215">
        <f t="shared" si="24"/>
        <v>7.8185425003495643</v>
      </c>
      <c r="R52" s="215">
        <f t="shared" si="25"/>
        <v>46.428603747703384</v>
      </c>
      <c r="T52" s="214">
        <f t="shared" si="26"/>
        <v>0</v>
      </c>
      <c r="U52" s="214">
        <f t="shared" si="26"/>
        <v>0</v>
      </c>
      <c r="V52" s="214">
        <f t="shared" si="15"/>
        <v>55</v>
      </c>
      <c r="W52" s="214">
        <f t="shared" si="15"/>
        <v>0</v>
      </c>
      <c r="X52" s="214">
        <f t="shared" si="15"/>
        <v>0</v>
      </c>
      <c r="Y52" s="214">
        <f t="shared" si="15"/>
        <v>0</v>
      </c>
      <c r="Z52" s="214">
        <f t="shared" si="15"/>
        <v>0</v>
      </c>
      <c r="AA52" s="214">
        <f t="shared" si="15"/>
        <v>0</v>
      </c>
      <c r="AB52" s="214">
        <f t="shared" si="15"/>
        <v>0</v>
      </c>
      <c r="AC52" s="214">
        <f t="shared" si="15"/>
        <v>0</v>
      </c>
      <c r="AD52" s="214">
        <f t="shared" si="15"/>
        <v>0</v>
      </c>
      <c r="AF52" s="214">
        <f>IF(AND(($D52+$C$1)&gt;AF$3,AF$3&gt;=$C$1),'General Inputs'!D$9*$G52,IF(AND(($C52+$C$1)&gt;AF$3,AF$3&gt;=$C$1),'General Inputs'!D$9*$F52,0))</f>
        <v>0</v>
      </c>
      <c r="AG52" s="214">
        <f>IF(AND(($D52+$C$1)&gt;AG$3,AG$3&gt;=$C$1),'General Inputs'!E$9*$G52,IF(AND(($C52+$C$1)&gt;AG$3,AG$3&gt;=$C$1),'General Inputs'!E$9*$F52,0))</f>
        <v>0</v>
      </c>
      <c r="AH52" s="214">
        <f>IF(AND(($D52+$C$1)&gt;AH$3,AH$3&gt;=$C$1),'General Inputs'!F$9*$G52,IF(AND(($C52+$C$1)&gt;AH$3,AH$3&gt;=$C$1),'General Inputs'!F$9*$F52,0))</f>
        <v>15.011752864409328</v>
      </c>
      <c r="AI52" s="214">
        <f>IF(AND(($D52+$C$1)&gt;AI$3,AI$3&gt;=$C$1),'General Inputs'!G$9*$G52,IF(AND(($C52+$C$1)&gt;AI$3,AI$3&gt;=$C$1),'General Inputs'!G$9*$F52,0))</f>
        <v>15.236929157375465</v>
      </c>
      <c r="AJ52" s="214">
        <f>IF(AND(($D52+$C$1)&gt;AJ$3,AJ$3&gt;=$C$1),'General Inputs'!H$9*$G52,IF(AND(($C52+$C$1)&gt;AJ$3,AJ$3&gt;=$C$1),'General Inputs'!H$9*$F52,0))</f>
        <v>15.465483094736095</v>
      </c>
      <c r="AK52" s="214">
        <f>IF(AND(($D52+$C$1)&gt;AK$3,AK$3&gt;=$C$1),'General Inputs'!I$9*$G52,IF(AND(($C52+$C$1)&gt;AK$3,AK$3&gt;=$C$1),'General Inputs'!I$9*$F52,0))</f>
        <v>15.697465341157134</v>
      </c>
      <c r="AL52" s="214">
        <f>IF(AND(($D52+$C$1)&gt;AL$3,AL$3&gt;=$C$1),'General Inputs'!J$9*$G52,IF(AND(($C52+$C$1)&gt;AL$3,AL$3&gt;=$C$1),'General Inputs'!J$9*$F52,0))</f>
        <v>15.932927321274489</v>
      </c>
      <c r="AM52" s="214">
        <f>IF(AND(($D52+$C$1)&gt;AM$3,AM$3&gt;=$C$1),'General Inputs'!K$9*$G52,IF(AND(($C52+$C$1)&gt;AM$3,AM$3&gt;=$C$1),'General Inputs'!K$9*$F52,0))</f>
        <v>16.171921231093606</v>
      </c>
      <c r="AN52" s="214">
        <f>IF(AND(($D52+$C$1)&gt;AN$3,AN$3&gt;=$C$1),'General Inputs'!L$9*$G52,IF(AND(($C52+$C$1)&gt;AN$3,AN$3&gt;=$C$1),'General Inputs'!L$9*$F52,0))</f>
        <v>16.414500049560008</v>
      </c>
      <c r="AO52" s="214">
        <f>IF(AND(($D52+$C$1)&gt;AO$3,AO$3&gt;=$C$1),'General Inputs'!M$9*$G52,IF(AND(($C52+$C$1)&gt;AO$3,AO$3&gt;=$C$1),'General Inputs'!M$9*$F52,0))</f>
        <v>16.660717550303403</v>
      </c>
      <c r="AP52" s="214">
        <f>IF(AND(($D52+$C$1)&gt;AP$3,AP$3&gt;=$C$1),'General Inputs'!N$9*$G52,IF(AND(($C52+$C$1)&gt;AP$3,AP$3&gt;=$C$1),'General Inputs'!N$9*$F52,0))</f>
        <v>16.910628313557954</v>
      </c>
      <c r="AQ52" s="214">
        <f>IF(AND(($D52+$C$1)&gt;AQ$3,AQ$3&gt;=$C$1),'General Inputs'!O$9*$G52,IF(AND(($C52+$C$1)&gt;AQ$3,AQ$3&gt;=$C$1),'General Inputs'!O$9*$F52,0))</f>
        <v>17.164287738261322</v>
      </c>
      <c r="AR52" s="214">
        <f>IF(AND(($D52+$C$1)&gt;AR$3,AR$3&gt;=$C$1),'General Inputs'!P$9*$G52,IF(AND(($C52+$C$1)&gt;AR$3,AR$3&gt;=$C$1),'General Inputs'!P$9*$F52,0))</f>
        <v>17.42175205433524</v>
      </c>
      <c r="AS52" s="214">
        <f>IF(AND(($D52+$C$1)&gt;AS$3,AS$3&gt;=$C$1),'General Inputs'!Q$9*$G52,IF(AND(($C52+$C$1)&gt;AS$3,AS$3&gt;=$C$1),'General Inputs'!Q$9*$F52,0))</f>
        <v>17.683078335150267</v>
      </c>
      <c r="AT52" s="214">
        <f>IF(AND(($D52+$C$1)&gt;AT$3,AT$3&gt;=$C$1),'General Inputs'!R$9*$G52,IF(AND(($C52+$C$1)&gt;AT$3,AT$3&gt;=$C$1),'General Inputs'!R$9*$F52,0))</f>
        <v>17.948324510177521</v>
      </c>
      <c r="AU52" s="214">
        <f>IF(AND(($D52+$C$1)&gt;AU$3,AU$3&gt;=$C$1),'General Inputs'!S$9*$G52,IF(AND(($C52+$C$1)&gt;AU$3,AU$3&gt;=$C$1),'General Inputs'!S$9*$F52,0))</f>
        <v>18.217549377830181</v>
      </c>
      <c r="AV52" s="214">
        <f>IF(AND(($D52+$C$1)&gt;AV$3,AV$3&gt;=$C$1),'General Inputs'!T$9*$G52,IF(AND(($C52+$C$1)&gt;AV$3,AV$3&gt;=$C$1),'General Inputs'!T$9*$F52,0))</f>
        <v>18.490812618497635</v>
      </c>
      <c r="AW52" s="214">
        <f>IF(AND(($D52+$C$1)&gt;AW$3,AW$3&gt;=$C$1),'General Inputs'!U$9*$G52,IF(AND(($C52+$C$1)&gt;AW$3,AW$3&gt;=$C$1),'General Inputs'!U$9*$F52,0))</f>
        <v>18.768174807775097</v>
      </c>
      <c r="AX52" s="214">
        <f>IF(AND(($D52+$C$1)&gt;AX$3,AX$3&gt;=$C$1),'General Inputs'!V$9*$G52,IF(AND(($C52+$C$1)&gt;AX$3,AX$3&gt;=$C$1),'General Inputs'!V$9*$F52,0))</f>
        <v>19.049697429891722</v>
      </c>
      <c r="AY52" s="214">
        <f>IF(AND(($D52+$C$1)&gt;AY$3,AY$3&gt;=$C$1),'General Inputs'!W$9*$G52,IF(AND(($C52+$C$1)&gt;AY$3,AY$3&gt;=$C$1),'General Inputs'!W$9*$F52,0))</f>
        <v>19.335442891340097</v>
      </c>
      <c r="BA52" s="214">
        <f>IF(AND(($D52+$C$1)&gt;AF$3,AF$3&gt;=$C$1),'General Inputs'!D$10*$I52,IF(AND(($C52+$C$1)&gt;AF$3,AF$3&gt;=$C$1),'General Inputs'!D$10*$H52,0))</f>
        <v>0</v>
      </c>
      <c r="BB52" s="214">
        <f>IF(AND(($D52+$C$1)&gt;AG$3,AG$3&gt;=$C$1),'General Inputs'!E$10*$I52,IF(AND(($C52+$C$1)&gt;AG$3,AG$3&gt;=$C$1),'General Inputs'!E$10*$H52,0))</f>
        <v>0</v>
      </c>
      <c r="BC52" s="214">
        <f>IF(AND(($D52+$C$1)&gt;AH$3,AH$3&gt;=$C$1),'General Inputs'!F$10*$I52,IF(AND(($C52+$C$1)&gt;AH$3,AH$3&gt;=$C$1),'General Inputs'!F$10*$H52,0))</f>
        <v>0.87306314117977546</v>
      </c>
      <c r="BD52" s="214">
        <f>IF(AND(($D52+$C$1)&gt;AI$3,AI$3&gt;=$C$1),'General Inputs'!G$10*$I52,IF(AND(($C52+$C$1)&gt;AI$3,AI$3&gt;=$C$1),'General Inputs'!G$10*$H52,0))</f>
        <v>0.88615908829747203</v>
      </c>
      <c r="BE52" s="214">
        <f>IF(AND(($D52+$C$1)&gt;AJ$3,AJ$3&gt;=$C$1),'General Inputs'!H$10*$I52,IF(AND(($C52+$C$1)&gt;AJ$3,AJ$3&gt;=$C$1),'General Inputs'!H$10*$H52,0))</f>
        <v>0.89945147462193398</v>
      </c>
      <c r="BF52" s="214">
        <f>IF(AND(($D52+$C$1)&gt;AK$3,AK$3&gt;=$C$1),'General Inputs'!I$10*$I52,IF(AND(($C52+$C$1)&gt;AK$3,AK$3&gt;=$C$1),'General Inputs'!I$10*$H52,0))</f>
        <v>0.91294324674126281</v>
      </c>
      <c r="BG52" s="214">
        <f>IF(AND(($D52+$C$1)&gt;AL$3,AL$3&gt;=$C$1),'General Inputs'!J$10*$I52,IF(AND(($C52+$C$1)&gt;AL$3,AL$3&gt;=$C$1),'General Inputs'!J$10*$H52,0))</f>
        <v>0.92663739544238166</v>
      </c>
      <c r="BH52" s="214">
        <f>IF(AND(($D52+$C$1)&gt;AM$3,AM$3&gt;=$C$1),'General Inputs'!K$10*$I52,IF(AND(($C52+$C$1)&gt;AM$3,AM$3&gt;=$C$1),'General Inputs'!K$10*$H52,0))</f>
        <v>0.94053695637401735</v>
      </c>
      <c r="BI52" s="214">
        <f>IF(AND(($D52+$C$1)&gt;AN$3,AN$3&gt;=$C$1),'General Inputs'!L$10*$I52,IF(AND(($C52+$C$1)&gt;AN$3,AN$3&gt;=$C$1),'General Inputs'!L$10*$H52,0))</f>
        <v>0.9546450107196276</v>
      </c>
      <c r="BJ52" s="214">
        <f>IF(AND(($D52+$C$1)&gt;AO$3,AO$3&gt;=$C$1),'General Inputs'!M$10*$I52,IF(AND(($C52+$C$1)&gt;AO$3,AO$3&gt;=$C$1),'General Inputs'!M$10*$H52,0))</f>
        <v>0.96896468588042195</v>
      </c>
      <c r="BK52" s="214">
        <f>IF(AND(($D52+$C$1)&gt;AP$3,AP$3&gt;=$C$1),'General Inputs'!N$10*$I52,IF(AND(($C52+$C$1)&gt;AP$3,AP$3&gt;=$C$1),'General Inputs'!N$10*$H52,0))</f>
        <v>0.98349915616862815</v>
      </c>
      <c r="BL52" s="214">
        <f>IF(AND(($D52+$C$1)&gt;AQ$3,AQ$3&gt;=$C$1),'General Inputs'!O$10*$I52,IF(AND(($C52+$C$1)&gt;AQ$3,AQ$3&gt;=$C$1),'General Inputs'!O$10*$H52,0))</f>
        <v>0.99825164351115747</v>
      </c>
      <c r="BM52" s="214">
        <f>IF(AND(($D52+$C$1)&gt;AR$3,AR$3&gt;=$C$1),'General Inputs'!P$10*$I52,IF(AND(($C52+$C$1)&gt;AR$3,AR$3&gt;=$C$1),'General Inputs'!P$10*$H52,0))</f>
        <v>1.0132254181638247</v>
      </c>
      <c r="BN52" s="214">
        <f>IF(AND(($D52+$C$1)&gt;AS$3,AS$3&gt;=$C$1),'General Inputs'!Q$10*$I52,IF(AND(($C52+$C$1)&gt;AS$3,AS$3&gt;=$C$1),'General Inputs'!Q$10*$H52,0))</f>
        <v>1.0284237994362819</v>
      </c>
      <c r="BO52" s="214">
        <f>IF(AND(($D52+$C$1)&gt;AT$3,AT$3&gt;=$C$1),'General Inputs'!R$10*$I52,IF(AND(($C52+$C$1)&gt;AT$3,AT$3&gt;=$C$1),'General Inputs'!R$10*$H52,0))</f>
        <v>1.043850156427826</v>
      </c>
      <c r="BP52" s="214">
        <f>IF(AND(($D52+$C$1)&gt;AU$3,AU$3&gt;=$C$1),'General Inputs'!S$10*$I52,IF(AND(($C52+$C$1)&gt;AU$3,AU$3&gt;=$C$1),'General Inputs'!S$10*$H52,0))</f>
        <v>1.0595079087742434</v>
      </c>
      <c r="BQ52" s="214">
        <f>IF(AND(($D52+$C$1)&gt;AV$3,AV$3&gt;=$C$1),'General Inputs'!T$10*$I52,IF(AND(($C52+$C$1)&gt;AV$3,AV$3&gt;=$C$1),'General Inputs'!T$10*$H52,0))</f>
        <v>1.0754005274058569</v>
      </c>
      <c r="BR52" s="214">
        <f>IF(AND(($D52+$C$1)&gt;AW$3,AW$3&gt;=$C$1),'General Inputs'!U$10*$I52,IF(AND(($C52+$C$1)&gt;AW$3,AW$3&gt;=$C$1),'General Inputs'!U$10*$H52,0))</f>
        <v>1.0915315353169448</v>
      </c>
      <c r="BS52" s="214">
        <f>IF(AND(($D52+$C$1)&gt;AX$3,AX$3&gt;=$C$1),'General Inputs'!V$10*$I52,IF(AND(($C52+$C$1)&gt;AX$3,AX$3&gt;=$C$1),'General Inputs'!V$10*$H52,0))</f>
        <v>1.1079045083466987</v>
      </c>
      <c r="BT52" s="214">
        <f>IF(AND(($D52+$C$1)&gt;AY$3,AY$3&gt;=$C$1),'General Inputs'!W$10*$I52,IF(AND(($C52+$C$1)&gt;AY$3,AY$3&gt;=$C$1),'General Inputs'!W$10*$H52,0))</f>
        <v>1.1245230759718992</v>
      </c>
    </row>
    <row r="53" spans="1:72">
      <c r="A53" s="342" t="s">
        <v>112</v>
      </c>
      <c r="B53" s="427" t="str">
        <f>Sources!B53</f>
        <v>T8 (5-8 ft, 1-2 Lamp)</v>
      </c>
      <c r="C53" s="193">
        <f>Sources!C53</f>
        <v>18</v>
      </c>
      <c r="D53" s="193">
        <f>Sources!D53</f>
        <v>0</v>
      </c>
      <c r="F53" s="429">
        <f>Sources!F53*EnergyLineLoss</f>
        <v>348.57247499999994</v>
      </c>
      <c r="G53" s="429">
        <f>Sources!G53*EnergyLineLoss</f>
        <v>0</v>
      </c>
      <c r="H53" s="477">
        <f>Sources!H53*PeakLineLoss</f>
        <v>5.3899559999999999E-2</v>
      </c>
      <c r="I53" s="477">
        <f>Sources!I53*PeakLineLoss</f>
        <v>0</v>
      </c>
      <c r="K53" s="419">
        <f>Sources!J53</f>
        <v>93</v>
      </c>
      <c r="L53" s="419">
        <f>Sources!K53</f>
        <v>0</v>
      </c>
      <c r="N53" s="438">
        <f t="shared" si="22"/>
        <v>1.7257073743799329</v>
      </c>
      <c r="P53" s="215">
        <f t="shared" si="23"/>
        <v>128.0330981358411</v>
      </c>
      <c r="Q53" s="215">
        <f t="shared" si="24"/>
        <v>7.446230952713873</v>
      </c>
      <c r="R53" s="215">
        <f t="shared" si="25"/>
        <v>78.50654815520754</v>
      </c>
      <c r="T53" s="214">
        <f t="shared" si="26"/>
        <v>0</v>
      </c>
      <c r="U53" s="214">
        <f t="shared" si="26"/>
        <v>0</v>
      </c>
      <c r="V53" s="214">
        <f t="shared" si="15"/>
        <v>93</v>
      </c>
      <c r="W53" s="214">
        <f t="shared" si="15"/>
        <v>0</v>
      </c>
      <c r="X53" s="214">
        <f t="shared" si="15"/>
        <v>0</v>
      </c>
      <c r="Y53" s="214">
        <f t="shared" si="15"/>
        <v>0</v>
      </c>
      <c r="Z53" s="214">
        <f t="shared" si="15"/>
        <v>0</v>
      </c>
      <c r="AA53" s="214">
        <f t="shared" si="15"/>
        <v>0</v>
      </c>
      <c r="AB53" s="214">
        <f t="shared" si="15"/>
        <v>0</v>
      </c>
      <c r="AC53" s="214">
        <f t="shared" si="15"/>
        <v>0</v>
      </c>
      <c r="AD53" s="214">
        <f t="shared" si="15"/>
        <v>0</v>
      </c>
      <c r="AF53" s="214">
        <f>IF(AND(($D53+$C$1)&gt;AF$3,AF$3&gt;=$C$1),'General Inputs'!D$9*$G53,IF(AND(($C53+$C$1)&gt;AF$3,AF$3&gt;=$C$1),'General Inputs'!D$9*$F53,0))</f>
        <v>0</v>
      </c>
      <c r="AG53" s="214">
        <f>IF(AND(($D53+$C$1)&gt;AG$3,AG$3&gt;=$C$1),'General Inputs'!E$9*$G53,IF(AND(($C53+$C$1)&gt;AG$3,AG$3&gt;=$C$1),'General Inputs'!E$9*$F53,0))</f>
        <v>0</v>
      </c>
      <c r="AH53" s="214">
        <f>IF(AND(($D53+$C$1)&gt;AH$3,AH$3&gt;=$C$1),'General Inputs'!F$9*$G53,IF(AND(($C53+$C$1)&gt;AH$3,AH$3&gt;=$C$1),'General Inputs'!F$9*$F53,0))</f>
        <v>14.296907489913645</v>
      </c>
      <c r="AI53" s="214">
        <f>IF(AND(($D53+$C$1)&gt;AI$3,AI$3&gt;=$C$1),'General Inputs'!G$9*$G53,IF(AND(($C53+$C$1)&gt;AI$3,AI$3&gt;=$C$1),'General Inputs'!G$9*$F53,0))</f>
        <v>14.511361102262349</v>
      </c>
      <c r="AJ53" s="214">
        <f>IF(AND(($D53+$C$1)&gt;AJ$3,AJ$3&gt;=$C$1),'General Inputs'!H$9*$G53,IF(AND(($C53+$C$1)&gt;AJ$3,AJ$3&gt;=$C$1),'General Inputs'!H$9*$F53,0))</f>
        <v>14.729031518796281</v>
      </c>
      <c r="AK53" s="214">
        <f>IF(AND(($D53+$C$1)&gt;AK$3,AK$3&gt;=$C$1),'General Inputs'!I$9*$G53,IF(AND(($C53+$C$1)&gt;AK$3,AK$3&gt;=$C$1),'General Inputs'!I$9*$F53,0))</f>
        <v>14.949966991578224</v>
      </c>
      <c r="AL53" s="214">
        <f>IF(AND(($D53+$C$1)&gt;AL$3,AL$3&gt;=$C$1),'General Inputs'!J$9*$G53,IF(AND(($C53+$C$1)&gt;AL$3,AL$3&gt;=$C$1),'General Inputs'!J$9*$F53,0))</f>
        <v>15.174216496451896</v>
      </c>
      <c r="AM53" s="214">
        <f>IF(AND(($D53+$C$1)&gt;AM$3,AM$3&gt;=$C$1),'General Inputs'!K$9*$G53,IF(AND(($C53+$C$1)&gt;AM$3,AM$3&gt;=$C$1),'General Inputs'!K$9*$F53,0))</f>
        <v>15.401829743898672</v>
      </c>
      <c r="AN53" s="214">
        <f>IF(AND(($D53+$C$1)&gt;AN$3,AN$3&gt;=$C$1),'General Inputs'!L$9*$G53,IF(AND(($C53+$C$1)&gt;AN$3,AN$3&gt;=$C$1),'General Inputs'!L$9*$F53,0))</f>
        <v>15.63285719005715</v>
      </c>
      <c r="AO53" s="214">
        <f>IF(AND(($D53+$C$1)&gt;AO$3,AO$3&gt;=$C$1),'General Inputs'!M$9*$G53,IF(AND(($C53+$C$1)&gt;AO$3,AO$3&gt;=$C$1),'General Inputs'!M$9*$F53,0))</f>
        <v>15.867350047908005</v>
      </c>
      <c r="AP53" s="214">
        <f>IF(AND(($D53+$C$1)&gt;AP$3,AP$3&gt;=$C$1),'General Inputs'!N$9*$G53,IF(AND(($C53+$C$1)&gt;AP$3,AP$3&gt;=$C$1),'General Inputs'!N$9*$F53,0))</f>
        <v>16.105360298626625</v>
      </c>
      <c r="AQ53" s="214">
        <f>IF(AND(($D53+$C$1)&gt;AQ$3,AQ$3&gt;=$C$1),'General Inputs'!O$9*$G53,IF(AND(($C53+$C$1)&gt;AQ$3,AQ$3&gt;=$C$1),'General Inputs'!O$9*$F53,0))</f>
        <v>16.346940703106021</v>
      </c>
      <c r="AR53" s="214">
        <f>IF(AND(($D53+$C$1)&gt;AR$3,AR$3&gt;=$C$1),'General Inputs'!P$9*$G53,IF(AND(($C53+$C$1)&gt;AR$3,AR$3&gt;=$C$1),'General Inputs'!P$9*$F53,0))</f>
        <v>16.59214481365261</v>
      </c>
      <c r="AS53" s="214">
        <f>IF(AND(($D53+$C$1)&gt;AS$3,AS$3&gt;=$C$1),'General Inputs'!Q$9*$G53,IF(AND(($C53+$C$1)&gt;AS$3,AS$3&gt;=$C$1),'General Inputs'!Q$9*$F53,0))</f>
        <v>16.841026985857397</v>
      </c>
      <c r="AT53" s="214">
        <f>IF(AND(($D53+$C$1)&gt;AT$3,AT$3&gt;=$C$1),'General Inputs'!R$9*$G53,IF(AND(($C53+$C$1)&gt;AT$3,AT$3&gt;=$C$1),'General Inputs'!R$9*$F53,0))</f>
        <v>17.093642390645257</v>
      </c>
      <c r="AU53" s="214">
        <f>IF(AND(($D53+$C$1)&gt;AU$3,AU$3&gt;=$C$1),'General Inputs'!S$9*$G53,IF(AND(($C53+$C$1)&gt;AU$3,AU$3&gt;=$C$1),'General Inputs'!S$9*$F53,0))</f>
        <v>17.350047026504935</v>
      </c>
      <c r="AV53" s="214">
        <f>IF(AND(($D53+$C$1)&gt;AV$3,AV$3&gt;=$C$1),'General Inputs'!T$9*$G53,IF(AND(($C53+$C$1)&gt;AV$3,AV$3&gt;=$C$1),'General Inputs'!T$9*$F53,0))</f>
        <v>17.610297731902509</v>
      </c>
      <c r="AW53" s="214">
        <f>IF(AND(($D53+$C$1)&gt;AW$3,AW$3&gt;=$C$1),'General Inputs'!U$9*$G53,IF(AND(($C53+$C$1)&gt;AW$3,AW$3&gt;=$C$1),'General Inputs'!U$9*$F53,0))</f>
        <v>17.874452197881045</v>
      </c>
      <c r="AX53" s="214">
        <f>IF(AND(($D53+$C$1)&gt;AX$3,AX$3&gt;=$C$1),'General Inputs'!V$9*$G53,IF(AND(($C53+$C$1)&gt;AX$3,AX$3&gt;=$C$1),'General Inputs'!V$9*$F53,0))</f>
        <v>18.142568980849259</v>
      </c>
      <c r="AY53" s="214">
        <f>IF(AND(($D53+$C$1)&gt;AY$3,AY$3&gt;=$C$1),'General Inputs'!W$9*$G53,IF(AND(($C53+$C$1)&gt;AY$3,AY$3&gt;=$C$1),'General Inputs'!W$9*$F53,0))</f>
        <v>18.414707515561997</v>
      </c>
      <c r="BA53" s="214">
        <f>IF(AND(($D53+$C$1)&gt;AF$3,AF$3&gt;=$C$1),'General Inputs'!D$10*$I53,IF(AND(($C53+$C$1)&gt;AF$3,AF$3&gt;=$C$1),'General Inputs'!D$10*$H53,0))</f>
        <v>0</v>
      </c>
      <c r="BB53" s="214">
        <f>IF(AND(($D53+$C$1)&gt;AG$3,AG$3&gt;=$C$1),'General Inputs'!E$10*$I53,IF(AND(($C53+$C$1)&gt;AG$3,AG$3&gt;=$C$1),'General Inputs'!E$10*$H53,0))</f>
        <v>0</v>
      </c>
      <c r="BC53" s="214">
        <f>IF(AND(($D53+$C$1)&gt;AH$3,AH$3&gt;=$C$1),'General Inputs'!F$10*$I53,IF(AND(($C53+$C$1)&gt;AH$3,AH$3&gt;=$C$1),'General Inputs'!F$10*$H53,0))</f>
        <v>0.8314887058855005</v>
      </c>
      <c r="BD53" s="214">
        <f>IF(AND(($D53+$C$1)&gt;AI$3,AI$3&gt;=$C$1),'General Inputs'!G$10*$I53,IF(AND(($C53+$C$1)&gt;AI$3,AI$3&gt;=$C$1),'General Inputs'!G$10*$H53,0))</f>
        <v>0.84396103647378296</v>
      </c>
      <c r="BE53" s="214">
        <f>IF(AND(($D53+$C$1)&gt;AJ$3,AJ$3&gt;=$C$1),'General Inputs'!H$10*$I53,IF(AND(($C53+$C$1)&gt;AJ$3,AJ$3&gt;=$C$1),'General Inputs'!H$10*$H53,0))</f>
        <v>0.85662045202088966</v>
      </c>
      <c r="BF53" s="214">
        <f>IF(AND(($D53+$C$1)&gt;AK$3,AK$3&gt;=$C$1),'General Inputs'!I$10*$I53,IF(AND(($C53+$C$1)&gt;AK$3,AK$3&gt;=$C$1),'General Inputs'!I$10*$H53,0))</f>
        <v>0.86946975880120281</v>
      </c>
      <c r="BG53" s="214">
        <f>IF(AND(($D53+$C$1)&gt;AL$3,AL$3&gt;=$C$1),'General Inputs'!J$10*$I53,IF(AND(($C53+$C$1)&gt;AL$3,AL$3&gt;=$C$1),'General Inputs'!J$10*$H53,0))</f>
        <v>0.88251180518322081</v>
      </c>
      <c r="BH53" s="214">
        <f>IF(AND(($D53+$C$1)&gt;AM$3,AM$3&gt;=$C$1),'General Inputs'!K$10*$I53,IF(AND(($C53+$C$1)&gt;AM$3,AM$3&gt;=$C$1),'General Inputs'!K$10*$H53,0))</f>
        <v>0.89574948226096895</v>
      </c>
      <c r="BI53" s="214">
        <f>IF(AND(($D53+$C$1)&gt;AN$3,AN$3&gt;=$C$1),'General Inputs'!L$10*$I53,IF(AND(($C53+$C$1)&gt;AN$3,AN$3&gt;=$C$1),'General Inputs'!L$10*$H53,0))</f>
        <v>0.90918572449488344</v>
      </c>
      <c r="BJ53" s="214">
        <f>IF(AND(($D53+$C$1)&gt;AO$3,AO$3&gt;=$C$1),'General Inputs'!M$10*$I53,IF(AND(($C53+$C$1)&gt;AO$3,AO$3&gt;=$C$1),'General Inputs'!M$10*$H53,0))</f>
        <v>0.9228235103623067</v>
      </c>
      <c r="BK53" s="214">
        <f>IF(AND(($D53+$C$1)&gt;AP$3,AP$3&gt;=$C$1),'General Inputs'!N$10*$I53,IF(AND(($C53+$C$1)&gt;AP$3,AP$3&gt;=$C$1),'General Inputs'!N$10*$H53,0))</f>
        <v>0.93666586301774113</v>
      </c>
      <c r="BL53" s="214">
        <f>IF(AND(($D53+$C$1)&gt;AQ$3,AQ$3&gt;=$C$1),'General Inputs'!O$10*$I53,IF(AND(($C53+$C$1)&gt;AQ$3,AQ$3&gt;=$C$1),'General Inputs'!O$10*$H53,0))</f>
        <v>0.95071585096300715</v>
      </c>
      <c r="BM53" s="214">
        <f>IF(AND(($D53+$C$1)&gt;AR$3,AR$3&gt;=$C$1),'General Inputs'!P$10*$I53,IF(AND(($C53+$C$1)&gt;AR$3,AR$3&gt;=$C$1),'General Inputs'!P$10*$H53,0))</f>
        <v>0.96497658872745229</v>
      </c>
      <c r="BN53" s="214">
        <f>IF(AND(($D53+$C$1)&gt;AS$3,AS$3&gt;=$C$1),'General Inputs'!Q$10*$I53,IF(AND(($C53+$C$1)&gt;AS$3,AS$3&gt;=$C$1),'General Inputs'!Q$10*$H53,0))</f>
        <v>0.97945123755836394</v>
      </c>
      <c r="BO53" s="214">
        <f>IF(AND(($D53+$C$1)&gt;AT$3,AT$3&gt;=$C$1),'General Inputs'!R$10*$I53,IF(AND(($C53+$C$1)&gt;AT$3,AT$3&gt;=$C$1),'General Inputs'!R$10*$H53,0))</f>
        <v>0.99414300612173923</v>
      </c>
      <c r="BP53" s="214">
        <f>IF(AND(($D53+$C$1)&gt;AU$3,AU$3&gt;=$C$1),'General Inputs'!S$10*$I53,IF(AND(($C53+$C$1)&gt;AU$3,AU$3&gt;=$C$1),'General Inputs'!S$10*$H53,0))</f>
        <v>1.0090551512135653</v>
      </c>
      <c r="BQ53" s="214">
        <f>IF(AND(($D53+$C$1)&gt;AV$3,AV$3&gt;=$C$1),'General Inputs'!T$10*$I53,IF(AND(($C53+$C$1)&gt;AV$3,AV$3&gt;=$C$1),'General Inputs'!T$10*$H53,0))</f>
        <v>1.0241909784817687</v>
      </c>
      <c r="BR53" s="214">
        <f>IF(AND(($D53+$C$1)&gt;AW$3,AW$3&gt;=$C$1),'General Inputs'!U$10*$I53,IF(AND(($C53+$C$1)&gt;AW$3,AW$3&gt;=$C$1),'General Inputs'!U$10*$H53,0))</f>
        <v>1.039553843158995</v>
      </c>
      <c r="BS53" s="214">
        <f>IF(AND(($D53+$C$1)&gt;AX$3,AX$3&gt;=$C$1),'General Inputs'!V$10*$I53,IF(AND(($C53+$C$1)&gt;AX$3,AX$3&gt;=$C$1),'General Inputs'!V$10*$H53,0))</f>
        <v>1.0551471508063799</v>
      </c>
      <c r="BT53" s="214">
        <f>IF(AND(($D53+$C$1)&gt;AY$3,AY$3&gt;=$C$1),'General Inputs'!W$10*$I53,IF(AND(($C53+$C$1)&gt;AY$3,AY$3&gt;=$C$1),'General Inputs'!W$10*$H53,0))</f>
        <v>1.0709743580684754</v>
      </c>
    </row>
    <row r="54" spans="1:72">
      <c r="A54" s="342" t="s">
        <v>112</v>
      </c>
      <c r="B54" s="427" t="str">
        <f>Sources!B54</f>
        <v>High Performance T8 (1-2 Lamp)</v>
      </c>
      <c r="C54" s="193">
        <f>Sources!C54</f>
        <v>15</v>
      </c>
      <c r="D54" s="193">
        <f>Sources!D54</f>
        <v>0</v>
      </c>
      <c r="F54" s="429">
        <f>Sources!F54*EnergyLineLoss</f>
        <v>58.095412499999995</v>
      </c>
      <c r="G54" s="429">
        <f>Sources!G54*EnergyLineLoss</f>
        <v>0</v>
      </c>
      <c r="H54" s="477">
        <f>Sources!H54*PeakLineLoss</f>
        <v>8.9832599999999999E-3</v>
      </c>
      <c r="I54" s="477">
        <f>Sources!I54*PeakLineLoss</f>
        <v>0</v>
      </c>
      <c r="K54" s="419">
        <f>Sources!J54</f>
        <v>15</v>
      </c>
      <c r="L54" s="419">
        <f>Sources!K54</f>
        <v>0</v>
      </c>
      <c r="N54" s="438">
        <f t="shared" si="22"/>
        <v>1.617952134372086</v>
      </c>
      <c r="P54" s="215">
        <f t="shared" si="23"/>
        <v>19.361057709094492</v>
      </c>
      <c r="Q54" s="215">
        <f t="shared" si="24"/>
        <v>1.1260127989543778</v>
      </c>
      <c r="R54" s="215">
        <f t="shared" si="25"/>
        <v>12.662346476646379</v>
      </c>
      <c r="T54" s="214">
        <f t="shared" si="26"/>
        <v>0</v>
      </c>
      <c r="U54" s="214">
        <f t="shared" si="26"/>
        <v>0</v>
      </c>
      <c r="V54" s="214">
        <f t="shared" si="15"/>
        <v>15</v>
      </c>
      <c r="W54" s="214">
        <f t="shared" si="15"/>
        <v>0</v>
      </c>
      <c r="X54" s="214">
        <f t="shared" si="15"/>
        <v>0</v>
      </c>
      <c r="Y54" s="214">
        <f t="shared" si="15"/>
        <v>0</v>
      </c>
      <c r="Z54" s="214">
        <f t="shared" si="15"/>
        <v>0</v>
      </c>
      <c r="AA54" s="214">
        <f t="shared" si="15"/>
        <v>0</v>
      </c>
      <c r="AB54" s="214">
        <f t="shared" si="15"/>
        <v>0</v>
      </c>
      <c r="AC54" s="214">
        <f t="shared" si="15"/>
        <v>0</v>
      </c>
      <c r="AD54" s="214">
        <f t="shared" si="15"/>
        <v>0</v>
      </c>
      <c r="AF54" s="214">
        <f>IF(AND(($D54+$C$1)&gt;AF$3,AF$3&gt;=$C$1),'General Inputs'!D$9*$G54,IF(AND(($C54+$C$1)&gt;AF$3,AF$3&gt;=$C$1),'General Inputs'!D$9*$F54,0))</f>
        <v>0</v>
      </c>
      <c r="AG54" s="214">
        <f>IF(AND(($D54+$C$1)&gt;AG$3,AG$3&gt;=$C$1),'General Inputs'!E$9*$G54,IF(AND(($C54+$C$1)&gt;AG$3,AG$3&gt;=$C$1),'General Inputs'!E$9*$F54,0))</f>
        <v>0</v>
      </c>
      <c r="AH54" s="214">
        <f>IF(AND(($D54+$C$1)&gt;AH$3,AH$3&gt;=$C$1),'General Inputs'!F$9*$G54,IF(AND(($C54+$C$1)&gt;AH$3,AH$3&gt;=$C$1),'General Inputs'!F$9*$F54,0))</f>
        <v>2.3828179149856079</v>
      </c>
      <c r="AI54" s="214">
        <f>IF(AND(($D54+$C$1)&gt;AI$3,AI$3&gt;=$C$1),'General Inputs'!G$9*$G54,IF(AND(($C54+$C$1)&gt;AI$3,AI$3&gt;=$C$1),'General Inputs'!G$9*$F54,0))</f>
        <v>2.4185601837103916</v>
      </c>
      <c r="AJ54" s="214">
        <f>IF(AND(($D54+$C$1)&gt;AJ$3,AJ$3&gt;=$C$1),'General Inputs'!H$9*$G54,IF(AND(($C54+$C$1)&gt;AJ$3,AJ$3&gt;=$C$1),'General Inputs'!H$9*$F54,0))</f>
        <v>2.4548385864660474</v>
      </c>
      <c r="AK54" s="214">
        <f>IF(AND(($D54+$C$1)&gt;AK$3,AK$3&gt;=$C$1),'General Inputs'!I$9*$G54,IF(AND(($C54+$C$1)&gt;AK$3,AK$3&gt;=$C$1),'General Inputs'!I$9*$F54,0))</f>
        <v>2.4916611652630376</v>
      </c>
      <c r="AL54" s="214">
        <f>IF(AND(($D54+$C$1)&gt;AL$3,AL$3&gt;=$C$1),'General Inputs'!J$9*$G54,IF(AND(($C54+$C$1)&gt;AL$3,AL$3&gt;=$C$1),'General Inputs'!J$9*$F54,0))</f>
        <v>2.5290360827419827</v>
      </c>
      <c r="AM54" s="214">
        <f>IF(AND(($D54+$C$1)&gt;AM$3,AM$3&gt;=$C$1),'General Inputs'!K$9*$G54,IF(AND(($C54+$C$1)&gt;AM$3,AM$3&gt;=$C$1),'General Inputs'!K$9*$F54,0))</f>
        <v>2.566971623983112</v>
      </c>
      <c r="AN54" s="214">
        <f>IF(AND(($D54+$C$1)&gt;AN$3,AN$3&gt;=$C$1),'General Inputs'!L$9*$G54,IF(AND(($C54+$C$1)&gt;AN$3,AN$3&gt;=$C$1),'General Inputs'!L$9*$F54,0))</f>
        <v>2.6054761983428585</v>
      </c>
      <c r="AO54" s="214">
        <f>IF(AND(($D54+$C$1)&gt;AO$3,AO$3&gt;=$C$1),'General Inputs'!M$9*$G54,IF(AND(($C54+$C$1)&gt;AO$3,AO$3&gt;=$C$1),'General Inputs'!M$9*$F54,0))</f>
        <v>2.6445583413180009</v>
      </c>
      <c r="AP54" s="214">
        <f>IF(AND(($D54+$C$1)&gt;AP$3,AP$3&gt;=$C$1),'General Inputs'!N$9*$G54,IF(AND(($C54+$C$1)&gt;AP$3,AP$3&gt;=$C$1),'General Inputs'!N$9*$F54,0))</f>
        <v>2.6842267164377711</v>
      </c>
      <c r="AQ54" s="214">
        <f>IF(AND(($D54+$C$1)&gt;AQ$3,AQ$3&gt;=$C$1),'General Inputs'!O$9*$G54,IF(AND(($C54+$C$1)&gt;AQ$3,AQ$3&gt;=$C$1),'General Inputs'!O$9*$F54,0))</f>
        <v>2.7244901171843372</v>
      </c>
      <c r="AR54" s="214">
        <f>IF(AND(($D54+$C$1)&gt;AR$3,AR$3&gt;=$C$1),'General Inputs'!P$9*$G54,IF(AND(($C54+$C$1)&gt;AR$3,AR$3&gt;=$C$1),'General Inputs'!P$9*$F54,0))</f>
        <v>2.7653574689421019</v>
      </c>
      <c r="AS54" s="214">
        <f>IF(AND(($D54+$C$1)&gt;AS$3,AS$3&gt;=$C$1),'General Inputs'!Q$9*$G54,IF(AND(($C54+$C$1)&gt;AS$3,AS$3&gt;=$C$1),'General Inputs'!Q$9*$F54,0))</f>
        <v>2.8068378309762334</v>
      </c>
      <c r="AT54" s="214">
        <f>IF(AND(($D54+$C$1)&gt;AT$3,AT$3&gt;=$C$1),'General Inputs'!R$9*$G54,IF(AND(($C54+$C$1)&gt;AT$3,AT$3&gt;=$C$1),'General Inputs'!R$9*$F54,0))</f>
        <v>2.8489403984408765</v>
      </c>
      <c r="AU54" s="214">
        <f>IF(AND(($D54+$C$1)&gt;AU$3,AU$3&gt;=$C$1),'General Inputs'!S$9*$G54,IF(AND(($C54+$C$1)&gt;AU$3,AU$3&gt;=$C$1),'General Inputs'!S$9*$F54,0))</f>
        <v>2.8916745044174896</v>
      </c>
      <c r="AV54" s="214">
        <f>IF(AND(($D54+$C$1)&gt;AV$3,AV$3&gt;=$C$1),'General Inputs'!T$9*$G54,IF(AND(($C54+$C$1)&gt;AV$3,AV$3&gt;=$C$1),'General Inputs'!T$9*$F54,0))</f>
        <v>2.9350496219837519</v>
      </c>
      <c r="AW54" s="214">
        <f>IF(AND(($D54+$C$1)&gt;AW$3,AW$3&gt;=$C$1),'General Inputs'!U$9*$G54,IF(AND(($C54+$C$1)&gt;AW$3,AW$3&gt;=$C$1),'General Inputs'!U$9*$F54,0))</f>
        <v>0</v>
      </c>
      <c r="AX54" s="214">
        <f>IF(AND(($D54+$C$1)&gt;AX$3,AX$3&gt;=$C$1),'General Inputs'!V$9*$G54,IF(AND(($C54+$C$1)&gt;AX$3,AX$3&gt;=$C$1),'General Inputs'!V$9*$F54,0))</f>
        <v>0</v>
      </c>
      <c r="AY54" s="214">
        <f>IF(AND(($D54+$C$1)&gt;AY$3,AY$3&gt;=$C$1),'General Inputs'!W$9*$G54,IF(AND(($C54+$C$1)&gt;AY$3,AY$3&gt;=$C$1),'General Inputs'!W$9*$F54,0))</f>
        <v>0</v>
      </c>
      <c r="BA54" s="214">
        <f>IF(AND(($D54+$C$1)&gt;AF$3,AF$3&gt;=$C$1),'General Inputs'!D$10*$I54,IF(AND(($C54+$C$1)&gt;AF$3,AF$3&gt;=$C$1),'General Inputs'!D$10*$H54,0))</f>
        <v>0</v>
      </c>
      <c r="BB54" s="214">
        <f>IF(AND(($D54+$C$1)&gt;AG$3,AG$3&gt;=$C$1),'General Inputs'!E$10*$I54,IF(AND(($C54+$C$1)&gt;AG$3,AG$3&gt;=$C$1),'General Inputs'!E$10*$H54,0))</f>
        <v>0</v>
      </c>
      <c r="BC54" s="214">
        <f>IF(AND(($D54+$C$1)&gt;AH$3,AH$3&gt;=$C$1),'General Inputs'!F$10*$I54,IF(AND(($C54+$C$1)&gt;AH$3,AH$3&gt;=$C$1),'General Inputs'!F$10*$H54,0))</f>
        <v>0.13858145098091676</v>
      </c>
      <c r="BD54" s="214">
        <f>IF(AND(($D54+$C$1)&gt;AI$3,AI$3&gt;=$C$1),'General Inputs'!G$10*$I54,IF(AND(($C54+$C$1)&gt;AI$3,AI$3&gt;=$C$1),'General Inputs'!G$10*$H54,0))</f>
        <v>0.1406601727456305</v>
      </c>
      <c r="BE54" s="214">
        <f>IF(AND(($D54+$C$1)&gt;AJ$3,AJ$3&gt;=$C$1),'General Inputs'!H$10*$I54,IF(AND(($C54+$C$1)&gt;AJ$3,AJ$3&gt;=$C$1),'General Inputs'!H$10*$H54,0))</f>
        <v>0.14277007533681493</v>
      </c>
      <c r="BF54" s="214">
        <f>IF(AND(($D54+$C$1)&gt;AK$3,AK$3&gt;=$C$1),'General Inputs'!I$10*$I54,IF(AND(($C54+$C$1)&gt;AK$3,AK$3&gt;=$C$1),'General Inputs'!I$10*$H54,0))</f>
        <v>0.14491162646686714</v>
      </c>
      <c r="BG54" s="214">
        <f>IF(AND(($D54+$C$1)&gt;AL$3,AL$3&gt;=$C$1),'General Inputs'!J$10*$I54,IF(AND(($C54+$C$1)&gt;AL$3,AL$3&gt;=$C$1),'General Inputs'!J$10*$H54,0))</f>
        <v>0.14708530086387012</v>
      </c>
      <c r="BH54" s="214">
        <f>IF(AND(($D54+$C$1)&gt;AM$3,AM$3&gt;=$C$1),'General Inputs'!K$10*$I54,IF(AND(($C54+$C$1)&gt;AM$3,AM$3&gt;=$C$1),'General Inputs'!K$10*$H54,0))</f>
        <v>0.14929158037682816</v>
      </c>
      <c r="BI54" s="214">
        <f>IF(AND(($D54+$C$1)&gt;AN$3,AN$3&gt;=$C$1),'General Inputs'!L$10*$I54,IF(AND(($C54+$C$1)&gt;AN$3,AN$3&gt;=$C$1),'General Inputs'!L$10*$H54,0))</f>
        <v>0.15153095408248057</v>
      </c>
      <c r="BJ54" s="214">
        <f>IF(AND(($D54+$C$1)&gt;AO$3,AO$3&gt;=$C$1),'General Inputs'!M$10*$I54,IF(AND(($C54+$C$1)&gt;AO$3,AO$3&gt;=$C$1),'General Inputs'!M$10*$H54,0))</f>
        <v>0.15380391839371779</v>
      </c>
      <c r="BK54" s="214">
        <f>IF(AND(($D54+$C$1)&gt;AP$3,AP$3&gt;=$C$1),'General Inputs'!N$10*$I54,IF(AND(($C54+$C$1)&gt;AP$3,AP$3&gt;=$C$1),'General Inputs'!N$10*$H54,0))</f>
        <v>0.15611097716962352</v>
      </c>
      <c r="BL54" s="214">
        <f>IF(AND(($D54+$C$1)&gt;AQ$3,AQ$3&gt;=$C$1),'General Inputs'!O$10*$I54,IF(AND(($C54+$C$1)&gt;AQ$3,AQ$3&gt;=$C$1),'General Inputs'!O$10*$H54,0))</f>
        <v>0.15845264182716787</v>
      </c>
      <c r="BM54" s="214">
        <f>IF(AND(($D54+$C$1)&gt;AR$3,AR$3&gt;=$C$1),'General Inputs'!P$10*$I54,IF(AND(($C54+$C$1)&gt;AR$3,AR$3&gt;=$C$1),'General Inputs'!P$10*$H54,0))</f>
        <v>0.16082943145457537</v>
      </c>
      <c r="BN54" s="214">
        <f>IF(AND(($D54+$C$1)&gt;AS$3,AS$3&gt;=$C$1),'General Inputs'!Q$10*$I54,IF(AND(($C54+$C$1)&gt;AS$3,AS$3&gt;=$C$1),'General Inputs'!Q$10*$H54,0))</f>
        <v>0.163241872926394</v>
      </c>
      <c r="BO54" s="214">
        <f>IF(AND(($D54+$C$1)&gt;AT$3,AT$3&gt;=$C$1),'General Inputs'!R$10*$I54,IF(AND(($C54+$C$1)&gt;AT$3,AT$3&gt;=$C$1),'General Inputs'!R$10*$H54,0))</f>
        <v>0.16569050102028987</v>
      </c>
      <c r="BP54" s="214">
        <f>IF(AND(($D54+$C$1)&gt;AU$3,AU$3&gt;=$C$1),'General Inputs'!S$10*$I54,IF(AND(($C54+$C$1)&gt;AU$3,AU$3&gt;=$C$1),'General Inputs'!S$10*$H54,0))</f>
        <v>0.16817585853559422</v>
      </c>
      <c r="BQ54" s="214">
        <f>IF(AND(($D54+$C$1)&gt;AV$3,AV$3&gt;=$C$1),'General Inputs'!T$10*$I54,IF(AND(($C54+$C$1)&gt;AV$3,AV$3&gt;=$C$1),'General Inputs'!T$10*$H54,0))</f>
        <v>0.17069849641362811</v>
      </c>
      <c r="BR54" s="214">
        <f>IF(AND(($D54+$C$1)&gt;AW$3,AW$3&gt;=$C$1),'General Inputs'!U$10*$I54,IF(AND(($C54+$C$1)&gt;AW$3,AW$3&gt;=$C$1),'General Inputs'!U$10*$H54,0))</f>
        <v>0</v>
      </c>
      <c r="BS54" s="214">
        <f>IF(AND(($D54+$C$1)&gt;AX$3,AX$3&gt;=$C$1),'General Inputs'!V$10*$I54,IF(AND(($C54+$C$1)&gt;AX$3,AX$3&gt;=$C$1),'General Inputs'!V$10*$H54,0))</f>
        <v>0</v>
      </c>
      <c r="BT54" s="214">
        <f>IF(AND(($D54+$C$1)&gt;AY$3,AY$3&gt;=$C$1),'General Inputs'!W$10*$I54,IF(AND(($C54+$C$1)&gt;AY$3,AY$3&gt;=$C$1),'General Inputs'!W$10*$H54,0))</f>
        <v>0</v>
      </c>
    </row>
    <row r="55" spans="1:72">
      <c r="A55" s="342" t="s">
        <v>112</v>
      </c>
      <c r="B55" s="427" t="str">
        <f>Sources!B55</f>
        <v>High Performance T8 (3-4 Lamp)</v>
      </c>
      <c r="C55" s="193">
        <f>Sources!C55</f>
        <v>15</v>
      </c>
      <c r="D55" s="193">
        <f>Sources!D55</f>
        <v>0</v>
      </c>
      <c r="F55" s="429">
        <f>Sources!F55*EnergyLineLoss</f>
        <v>92.952659999999995</v>
      </c>
      <c r="G55" s="429">
        <f>Sources!G55*EnergyLineLoss</f>
        <v>0</v>
      </c>
      <c r="H55" s="477">
        <f>Sources!H55*PeakLineLoss</f>
        <v>1.4373215999999999E-2</v>
      </c>
      <c r="I55" s="477">
        <f>Sources!I55*PeakLineLoss</f>
        <v>0</v>
      </c>
      <c r="K55" s="419">
        <f>Sources!J55</f>
        <v>18</v>
      </c>
      <c r="L55" s="419">
        <f>Sources!K55</f>
        <v>0</v>
      </c>
      <c r="N55" s="438">
        <f t="shared" si="22"/>
        <v>2.1572695124961148</v>
      </c>
      <c r="P55" s="215">
        <f t="shared" si="23"/>
        <v>30.977692334551186</v>
      </c>
      <c r="Q55" s="215">
        <f t="shared" si="24"/>
        <v>1.8016204783270049</v>
      </c>
      <c r="R55" s="215">
        <f t="shared" si="25"/>
        <v>15.194815771975652</v>
      </c>
      <c r="T55" s="214">
        <f t="shared" si="26"/>
        <v>0</v>
      </c>
      <c r="U55" s="214">
        <f t="shared" si="26"/>
        <v>0</v>
      </c>
      <c r="V55" s="214">
        <f t="shared" si="15"/>
        <v>18</v>
      </c>
      <c r="W55" s="214">
        <f t="shared" si="15"/>
        <v>0</v>
      </c>
      <c r="X55" s="214">
        <f t="shared" si="15"/>
        <v>0</v>
      </c>
      <c r="Y55" s="214">
        <f t="shared" si="15"/>
        <v>0</v>
      </c>
      <c r="Z55" s="214">
        <f t="shared" si="15"/>
        <v>0</v>
      </c>
      <c r="AA55" s="214">
        <f t="shared" si="15"/>
        <v>0</v>
      </c>
      <c r="AB55" s="214">
        <f t="shared" si="15"/>
        <v>0</v>
      </c>
      <c r="AC55" s="214">
        <f t="shared" si="15"/>
        <v>0</v>
      </c>
      <c r="AD55" s="214">
        <f t="shared" si="15"/>
        <v>0</v>
      </c>
      <c r="AF55" s="214">
        <f>IF(AND(($D55+$C$1)&gt;AF$3,AF$3&gt;=$C$1),'General Inputs'!D$9*$G55,IF(AND(($C55+$C$1)&gt;AF$3,AF$3&gt;=$C$1),'General Inputs'!D$9*$F55,0))</f>
        <v>0</v>
      </c>
      <c r="AG55" s="214">
        <f>IF(AND(($D55+$C$1)&gt;AG$3,AG$3&gt;=$C$1),'General Inputs'!E$9*$G55,IF(AND(($C55+$C$1)&gt;AG$3,AG$3&gt;=$C$1),'General Inputs'!E$9*$F55,0))</f>
        <v>0</v>
      </c>
      <c r="AH55" s="214">
        <f>IF(AND(($D55+$C$1)&gt;AH$3,AH$3&gt;=$C$1),'General Inputs'!F$9*$G55,IF(AND(($C55+$C$1)&gt;AH$3,AH$3&gt;=$C$1),'General Inputs'!F$9*$F55,0))</f>
        <v>3.8125086639769723</v>
      </c>
      <c r="AI55" s="214">
        <f>IF(AND(($D55+$C$1)&gt;AI$3,AI$3&gt;=$C$1),'General Inputs'!G$9*$G55,IF(AND(($C55+$C$1)&gt;AI$3,AI$3&gt;=$C$1),'General Inputs'!G$9*$F55,0))</f>
        <v>3.8696962939366268</v>
      </c>
      <c r="AJ55" s="214">
        <f>IF(AND(($D55+$C$1)&gt;AJ$3,AJ$3&gt;=$C$1),'General Inputs'!H$9*$G55,IF(AND(($C55+$C$1)&gt;AJ$3,AJ$3&gt;=$C$1),'General Inputs'!H$9*$F55,0))</f>
        <v>3.9277417383456759</v>
      </c>
      <c r="AK55" s="214">
        <f>IF(AND(($D55+$C$1)&gt;AK$3,AK$3&gt;=$C$1),'General Inputs'!I$9*$G55,IF(AND(($C55+$C$1)&gt;AK$3,AK$3&gt;=$C$1),'General Inputs'!I$9*$F55,0))</f>
        <v>3.9866578644208603</v>
      </c>
      <c r="AL55" s="214">
        <f>IF(AND(($D55+$C$1)&gt;AL$3,AL$3&gt;=$C$1),'General Inputs'!J$9*$G55,IF(AND(($C55+$C$1)&gt;AL$3,AL$3&gt;=$C$1),'General Inputs'!J$9*$F55,0))</f>
        <v>4.0464577323871724</v>
      </c>
      <c r="AM55" s="214">
        <f>IF(AND(($D55+$C$1)&gt;AM$3,AM$3&gt;=$C$1),'General Inputs'!K$9*$G55,IF(AND(($C55+$C$1)&gt;AM$3,AM$3&gt;=$C$1),'General Inputs'!K$9*$F55,0))</f>
        <v>4.1071545983729791</v>
      </c>
      <c r="AN55" s="214">
        <f>IF(AND(($D55+$C$1)&gt;AN$3,AN$3&gt;=$C$1),'General Inputs'!L$9*$G55,IF(AND(($C55+$C$1)&gt;AN$3,AN$3&gt;=$C$1),'General Inputs'!L$9*$F55,0))</f>
        <v>4.1687619173485739</v>
      </c>
      <c r="AO55" s="214">
        <f>IF(AND(($D55+$C$1)&gt;AO$3,AO$3&gt;=$C$1),'General Inputs'!M$9*$G55,IF(AND(($C55+$C$1)&gt;AO$3,AO$3&gt;=$C$1),'General Inputs'!M$9*$F55,0))</f>
        <v>4.231293346108802</v>
      </c>
      <c r="AP55" s="214">
        <f>IF(AND(($D55+$C$1)&gt;AP$3,AP$3&gt;=$C$1),'General Inputs'!N$9*$G55,IF(AND(($C55+$C$1)&gt;AP$3,AP$3&gt;=$C$1),'General Inputs'!N$9*$F55,0))</f>
        <v>4.2947627463004334</v>
      </c>
      <c r="AQ55" s="214">
        <f>IF(AND(($D55+$C$1)&gt;AQ$3,AQ$3&gt;=$C$1),'General Inputs'!O$9*$G55,IF(AND(($C55+$C$1)&gt;AQ$3,AQ$3&gt;=$C$1),'General Inputs'!O$9*$F55,0))</f>
        <v>4.3591841874949395</v>
      </c>
      <c r="AR55" s="214">
        <f>IF(AND(($D55+$C$1)&gt;AR$3,AR$3&gt;=$C$1),'General Inputs'!P$9*$G55,IF(AND(($C55+$C$1)&gt;AR$3,AR$3&gt;=$C$1),'General Inputs'!P$9*$F55,0))</f>
        <v>4.4245719503073628</v>
      </c>
      <c r="AS55" s="214">
        <f>IF(AND(($D55+$C$1)&gt;AS$3,AS$3&gt;=$C$1),'General Inputs'!Q$9*$G55,IF(AND(($C55+$C$1)&gt;AS$3,AS$3&gt;=$C$1),'General Inputs'!Q$9*$F55,0))</f>
        <v>4.4909405295619731</v>
      </c>
      <c r="AT55" s="214">
        <f>IF(AND(($D55+$C$1)&gt;AT$3,AT$3&gt;=$C$1),'General Inputs'!R$9*$G55,IF(AND(($C55+$C$1)&gt;AT$3,AT$3&gt;=$C$1),'General Inputs'!R$9*$F55,0))</f>
        <v>4.5583046375054028</v>
      </c>
      <c r="AU55" s="214">
        <f>IF(AND(($D55+$C$1)&gt;AU$3,AU$3&gt;=$C$1),'General Inputs'!S$9*$G55,IF(AND(($C55+$C$1)&gt;AU$3,AU$3&gt;=$C$1),'General Inputs'!S$9*$F55,0))</f>
        <v>4.6266792070679834</v>
      </c>
      <c r="AV55" s="214">
        <f>IF(AND(($D55+$C$1)&gt;AV$3,AV$3&gt;=$C$1),'General Inputs'!T$9*$G55,IF(AND(($C55+$C$1)&gt;AV$3,AV$3&gt;=$C$1),'General Inputs'!T$9*$F55,0))</f>
        <v>4.696079395174003</v>
      </c>
      <c r="AW55" s="214">
        <f>IF(AND(($D55+$C$1)&gt;AW$3,AW$3&gt;=$C$1),'General Inputs'!U$9*$G55,IF(AND(($C55+$C$1)&gt;AW$3,AW$3&gt;=$C$1),'General Inputs'!U$9*$F55,0))</f>
        <v>0</v>
      </c>
      <c r="AX55" s="214">
        <f>IF(AND(($D55+$C$1)&gt;AX$3,AX$3&gt;=$C$1),'General Inputs'!V$9*$G55,IF(AND(($C55+$C$1)&gt;AX$3,AX$3&gt;=$C$1),'General Inputs'!V$9*$F55,0))</f>
        <v>0</v>
      </c>
      <c r="AY55" s="214">
        <f>IF(AND(($D55+$C$1)&gt;AY$3,AY$3&gt;=$C$1),'General Inputs'!W$9*$G55,IF(AND(($C55+$C$1)&gt;AY$3,AY$3&gt;=$C$1),'General Inputs'!W$9*$F55,0))</f>
        <v>0</v>
      </c>
      <c r="BA55" s="214">
        <f>IF(AND(($D55+$C$1)&gt;AF$3,AF$3&gt;=$C$1),'General Inputs'!D$10*$I55,IF(AND(($C55+$C$1)&gt;AF$3,AF$3&gt;=$C$1),'General Inputs'!D$10*$H55,0))</f>
        <v>0</v>
      </c>
      <c r="BB55" s="214">
        <f>IF(AND(($D55+$C$1)&gt;AG$3,AG$3&gt;=$C$1),'General Inputs'!E$10*$I55,IF(AND(($C55+$C$1)&gt;AG$3,AG$3&gt;=$C$1),'General Inputs'!E$10*$H55,0))</f>
        <v>0</v>
      </c>
      <c r="BC55" s="214">
        <f>IF(AND(($D55+$C$1)&gt;AH$3,AH$3&gt;=$C$1),'General Inputs'!F$10*$I55,IF(AND(($C55+$C$1)&gt;AH$3,AH$3&gt;=$C$1),'General Inputs'!F$10*$H55,0))</f>
        <v>0.22173032156946682</v>
      </c>
      <c r="BD55" s="214">
        <f>IF(AND(($D55+$C$1)&gt;AI$3,AI$3&gt;=$C$1),'General Inputs'!G$10*$I55,IF(AND(($C55+$C$1)&gt;AI$3,AI$3&gt;=$C$1),'General Inputs'!G$10*$H55,0))</f>
        <v>0.22505627639300879</v>
      </c>
      <c r="BE55" s="214">
        <f>IF(AND(($D55+$C$1)&gt;AJ$3,AJ$3&gt;=$C$1),'General Inputs'!H$10*$I55,IF(AND(($C55+$C$1)&gt;AJ$3,AJ$3&gt;=$C$1),'General Inputs'!H$10*$H55,0))</f>
        <v>0.22843212053890391</v>
      </c>
      <c r="BF55" s="214">
        <f>IF(AND(($D55+$C$1)&gt;AK$3,AK$3&gt;=$C$1),'General Inputs'!I$10*$I55,IF(AND(($C55+$C$1)&gt;AK$3,AK$3&gt;=$C$1),'General Inputs'!I$10*$H55,0))</f>
        <v>0.23185860234698741</v>
      </c>
      <c r="BG55" s="214">
        <f>IF(AND(($D55+$C$1)&gt;AL$3,AL$3&gt;=$C$1),'General Inputs'!J$10*$I55,IF(AND(($C55+$C$1)&gt;AL$3,AL$3&gt;=$C$1),'General Inputs'!J$10*$H55,0))</f>
        <v>0.23533648138219221</v>
      </c>
      <c r="BH55" s="214">
        <f>IF(AND(($D55+$C$1)&gt;AM$3,AM$3&gt;=$C$1),'General Inputs'!K$10*$I55,IF(AND(($C55+$C$1)&gt;AM$3,AM$3&gt;=$C$1),'General Inputs'!K$10*$H55,0))</f>
        <v>0.23886652860292507</v>
      </c>
      <c r="BI55" s="214">
        <f>IF(AND(($D55+$C$1)&gt;AN$3,AN$3&gt;=$C$1),'General Inputs'!L$10*$I55,IF(AND(($C55+$C$1)&gt;AN$3,AN$3&gt;=$C$1),'General Inputs'!L$10*$H55,0))</f>
        <v>0.24244952653196891</v>
      </c>
      <c r="BJ55" s="214">
        <f>IF(AND(($D55+$C$1)&gt;AO$3,AO$3&gt;=$C$1),'General Inputs'!M$10*$I55,IF(AND(($C55+$C$1)&gt;AO$3,AO$3&gt;=$C$1),'General Inputs'!M$10*$H55,0))</f>
        <v>0.24608626942994846</v>
      </c>
      <c r="BK55" s="214">
        <f>IF(AND(($D55+$C$1)&gt;AP$3,AP$3&gt;=$C$1),'General Inputs'!N$10*$I55,IF(AND(($C55+$C$1)&gt;AP$3,AP$3&gt;=$C$1),'General Inputs'!N$10*$H55,0))</f>
        <v>0.24977756347139765</v>
      </c>
      <c r="BL55" s="214">
        <f>IF(AND(($D55+$C$1)&gt;AQ$3,AQ$3&gt;=$C$1),'General Inputs'!O$10*$I55,IF(AND(($C55+$C$1)&gt;AQ$3,AQ$3&gt;=$C$1),'General Inputs'!O$10*$H55,0))</f>
        <v>0.2535242269234686</v>
      </c>
      <c r="BM55" s="214">
        <f>IF(AND(($D55+$C$1)&gt;AR$3,AR$3&gt;=$C$1),'General Inputs'!P$10*$I55,IF(AND(($C55+$C$1)&gt;AR$3,AR$3&gt;=$C$1),'General Inputs'!P$10*$H55,0))</f>
        <v>0.2573270903273206</v>
      </c>
      <c r="BN55" s="214">
        <f>IF(AND(($D55+$C$1)&gt;AS$3,AS$3&gt;=$C$1),'General Inputs'!Q$10*$I55,IF(AND(($C55+$C$1)&gt;AS$3,AS$3&gt;=$C$1),'General Inputs'!Q$10*$H55,0))</f>
        <v>0.26118699668223039</v>
      </c>
      <c r="BO55" s="214">
        <f>IF(AND(($D55+$C$1)&gt;AT$3,AT$3&gt;=$C$1),'General Inputs'!R$10*$I55,IF(AND(($C55+$C$1)&gt;AT$3,AT$3&gt;=$C$1),'General Inputs'!R$10*$H55,0))</f>
        <v>0.2651048016324638</v>
      </c>
      <c r="BP55" s="214">
        <f>IF(AND(($D55+$C$1)&gt;AU$3,AU$3&gt;=$C$1),'General Inputs'!S$10*$I55,IF(AND(($C55+$C$1)&gt;AU$3,AU$3&gt;=$C$1),'General Inputs'!S$10*$H55,0))</f>
        <v>0.26908137365695073</v>
      </c>
      <c r="BQ55" s="214">
        <f>IF(AND(($D55+$C$1)&gt;AV$3,AV$3&gt;=$C$1),'General Inputs'!T$10*$I55,IF(AND(($C55+$C$1)&gt;AV$3,AV$3&gt;=$C$1),'General Inputs'!T$10*$H55,0))</f>
        <v>0.27311759426180499</v>
      </c>
      <c r="BR55" s="214">
        <f>IF(AND(($D55+$C$1)&gt;AW$3,AW$3&gt;=$C$1),'General Inputs'!U$10*$I55,IF(AND(($C55+$C$1)&gt;AW$3,AW$3&gt;=$C$1),'General Inputs'!U$10*$H55,0))</f>
        <v>0</v>
      </c>
      <c r="BS55" s="214">
        <f>IF(AND(($D55+$C$1)&gt;AX$3,AX$3&gt;=$C$1),'General Inputs'!V$10*$I55,IF(AND(($C55+$C$1)&gt;AX$3,AX$3&gt;=$C$1),'General Inputs'!V$10*$H55,0))</f>
        <v>0</v>
      </c>
      <c r="BT55" s="214">
        <f>IF(AND(($D55+$C$1)&gt;AY$3,AY$3&gt;=$C$1),'General Inputs'!W$10*$I55,IF(AND(($C55+$C$1)&gt;AY$3,AY$3&gt;=$C$1),'General Inputs'!W$10*$H55,0))</f>
        <v>0</v>
      </c>
    </row>
    <row r="56" spans="1:72">
      <c r="A56" s="342" t="s">
        <v>112</v>
      </c>
      <c r="B56" s="427" t="str">
        <f>Sources!B56</f>
        <v xml:space="preserve">Low-Wattage T8 </v>
      </c>
      <c r="C56" s="193">
        <f>Sources!C56</f>
        <v>6</v>
      </c>
      <c r="D56" s="193">
        <f>Sources!D56</f>
        <v>0</v>
      </c>
      <c r="F56" s="429">
        <f>Sources!F56*EnergyLineLoss</f>
        <v>40.666788750000002</v>
      </c>
      <c r="G56" s="429">
        <f>Sources!G56*EnergyLineLoss</f>
        <v>0</v>
      </c>
      <c r="H56" s="477">
        <f>Sources!H56*PeakLineLoss</f>
        <v>6.2882820000000001E-3</v>
      </c>
      <c r="I56" s="477">
        <f>Sources!I56*PeakLineLoss</f>
        <v>0</v>
      </c>
      <c r="K56" s="419">
        <f>Sources!J56</f>
        <v>2</v>
      </c>
      <c r="L56" s="419">
        <f>Sources!K56</f>
        <v>0</v>
      </c>
      <c r="N56" s="438">
        <f t="shared" si="22"/>
        <v>4.4785512197032151</v>
      </c>
      <c r="P56" s="215">
        <f t="shared" si="23"/>
        <v>7.1456163031226483</v>
      </c>
      <c r="Q56" s="215">
        <f t="shared" si="24"/>
        <v>0.41557933118259771</v>
      </c>
      <c r="R56" s="215">
        <f t="shared" si="25"/>
        <v>1.6883128635528504</v>
      </c>
      <c r="T56" s="214">
        <f t="shared" si="26"/>
        <v>0</v>
      </c>
      <c r="U56" s="214">
        <f t="shared" si="26"/>
        <v>0</v>
      </c>
      <c r="V56" s="214">
        <f t="shared" si="15"/>
        <v>2</v>
      </c>
      <c r="W56" s="214">
        <f t="shared" si="15"/>
        <v>0</v>
      </c>
      <c r="X56" s="214">
        <f t="shared" si="15"/>
        <v>0</v>
      </c>
      <c r="Y56" s="214">
        <f t="shared" si="15"/>
        <v>0</v>
      </c>
      <c r="Z56" s="214">
        <f t="shared" si="15"/>
        <v>0</v>
      </c>
      <c r="AA56" s="214">
        <f t="shared" si="15"/>
        <v>0</v>
      </c>
      <c r="AB56" s="214">
        <f t="shared" si="15"/>
        <v>0</v>
      </c>
      <c r="AC56" s="214">
        <f t="shared" si="15"/>
        <v>0</v>
      </c>
      <c r="AD56" s="214">
        <f t="shared" si="15"/>
        <v>0</v>
      </c>
      <c r="AF56" s="214">
        <f>IF(AND(($D56+$C$1)&gt;AF$3,AF$3&gt;=$C$1),'General Inputs'!D$9*$G56,IF(AND(($C56+$C$1)&gt;AF$3,AF$3&gt;=$C$1),'General Inputs'!D$9*$F56,0))</f>
        <v>0</v>
      </c>
      <c r="AG56" s="214">
        <f>IF(AND(($D56+$C$1)&gt;AG$3,AG$3&gt;=$C$1),'General Inputs'!E$9*$G56,IF(AND(($C56+$C$1)&gt;AG$3,AG$3&gt;=$C$1),'General Inputs'!E$9*$F56,0))</f>
        <v>0</v>
      </c>
      <c r="AH56" s="214">
        <f>IF(AND(($D56+$C$1)&gt;AH$3,AH$3&gt;=$C$1),'General Inputs'!F$9*$G56,IF(AND(($C56+$C$1)&gt;AH$3,AH$3&gt;=$C$1),'General Inputs'!F$9*$F56,0))</f>
        <v>1.6679725404899257</v>
      </c>
      <c r="AI56" s="214">
        <f>IF(AND(($D56+$C$1)&gt;AI$3,AI$3&gt;=$C$1),'General Inputs'!G$9*$G56,IF(AND(($C56+$C$1)&gt;AI$3,AI$3&gt;=$C$1),'General Inputs'!G$9*$F56,0))</f>
        <v>1.6929921285972744</v>
      </c>
      <c r="AJ56" s="214">
        <f>IF(AND(($D56+$C$1)&gt;AJ$3,AJ$3&gt;=$C$1),'General Inputs'!H$9*$G56,IF(AND(($C56+$C$1)&gt;AJ$3,AJ$3&gt;=$C$1),'General Inputs'!H$9*$F56,0))</f>
        <v>1.7183870105262333</v>
      </c>
      <c r="AK56" s="214">
        <f>IF(AND(($D56+$C$1)&gt;AK$3,AK$3&gt;=$C$1),'General Inputs'!I$9*$G56,IF(AND(($C56+$C$1)&gt;AK$3,AK$3&gt;=$C$1),'General Inputs'!I$9*$F56,0))</f>
        <v>1.7441628156841265</v>
      </c>
      <c r="AL56" s="214">
        <f>IF(AND(($D56+$C$1)&gt;AL$3,AL$3&gt;=$C$1),'General Inputs'!J$9*$G56,IF(AND(($C56+$C$1)&gt;AL$3,AL$3&gt;=$C$1),'General Inputs'!J$9*$F56,0))</f>
        <v>1.7703252579193882</v>
      </c>
      <c r="AM56" s="214">
        <f>IF(AND(($D56+$C$1)&gt;AM$3,AM$3&gt;=$C$1),'General Inputs'!K$9*$G56,IF(AND(($C56+$C$1)&gt;AM$3,AM$3&gt;=$C$1),'General Inputs'!K$9*$F56,0))</f>
        <v>1.7968801367881786</v>
      </c>
      <c r="AN56" s="214">
        <f>IF(AND(($D56+$C$1)&gt;AN$3,AN$3&gt;=$C$1),'General Inputs'!L$9*$G56,IF(AND(($C56+$C$1)&gt;AN$3,AN$3&gt;=$C$1),'General Inputs'!L$9*$F56,0))</f>
        <v>0</v>
      </c>
      <c r="AO56" s="214">
        <f>IF(AND(($D56+$C$1)&gt;AO$3,AO$3&gt;=$C$1),'General Inputs'!M$9*$G56,IF(AND(($C56+$C$1)&gt;AO$3,AO$3&gt;=$C$1),'General Inputs'!M$9*$F56,0))</f>
        <v>0</v>
      </c>
      <c r="AP56" s="214">
        <f>IF(AND(($D56+$C$1)&gt;AP$3,AP$3&gt;=$C$1),'General Inputs'!N$9*$G56,IF(AND(($C56+$C$1)&gt;AP$3,AP$3&gt;=$C$1),'General Inputs'!N$9*$F56,0))</f>
        <v>0</v>
      </c>
      <c r="AQ56" s="214">
        <f>IF(AND(($D56+$C$1)&gt;AQ$3,AQ$3&gt;=$C$1),'General Inputs'!O$9*$G56,IF(AND(($C56+$C$1)&gt;AQ$3,AQ$3&gt;=$C$1),'General Inputs'!O$9*$F56,0))</f>
        <v>0</v>
      </c>
      <c r="AR56" s="214">
        <f>IF(AND(($D56+$C$1)&gt;AR$3,AR$3&gt;=$C$1),'General Inputs'!P$9*$G56,IF(AND(($C56+$C$1)&gt;AR$3,AR$3&gt;=$C$1),'General Inputs'!P$9*$F56,0))</f>
        <v>0</v>
      </c>
      <c r="AS56" s="214">
        <f>IF(AND(($D56+$C$1)&gt;AS$3,AS$3&gt;=$C$1),'General Inputs'!Q$9*$G56,IF(AND(($C56+$C$1)&gt;AS$3,AS$3&gt;=$C$1),'General Inputs'!Q$9*$F56,0))</f>
        <v>0</v>
      </c>
      <c r="AT56" s="214">
        <f>IF(AND(($D56+$C$1)&gt;AT$3,AT$3&gt;=$C$1),'General Inputs'!R$9*$G56,IF(AND(($C56+$C$1)&gt;AT$3,AT$3&gt;=$C$1),'General Inputs'!R$9*$F56,0))</f>
        <v>0</v>
      </c>
      <c r="AU56" s="214">
        <f>IF(AND(($D56+$C$1)&gt;AU$3,AU$3&gt;=$C$1),'General Inputs'!S$9*$G56,IF(AND(($C56+$C$1)&gt;AU$3,AU$3&gt;=$C$1),'General Inputs'!S$9*$F56,0))</f>
        <v>0</v>
      </c>
      <c r="AV56" s="214">
        <f>IF(AND(($D56+$C$1)&gt;AV$3,AV$3&gt;=$C$1),'General Inputs'!T$9*$G56,IF(AND(($C56+$C$1)&gt;AV$3,AV$3&gt;=$C$1),'General Inputs'!T$9*$F56,0))</f>
        <v>0</v>
      </c>
      <c r="AW56" s="214">
        <f>IF(AND(($D56+$C$1)&gt;AW$3,AW$3&gt;=$C$1),'General Inputs'!U$9*$G56,IF(AND(($C56+$C$1)&gt;AW$3,AW$3&gt;=$C$1),'General Inputs'!U$9*$F56,0))</f>
        <v>0</v>
      </c>
      <c r="AX56" s="214">
        <f>IF(AND(($D56+$C$1)&gt;AX$3,AX$3&gt;=$C$1),'General Inputs'!V$9*$G56,IF(AND(($C56+$C$1)&gt;AX$3,AX$3&gt;=$C$1),'General Inputs'!V$9*$F56,0))</f>
        <v>0</v>
      </c>
      <c r="AY56" s="214">
        <f>IF(AND(($D56+$C$1)&gt;AY$3,AY$3&gt;=$C$1),'General Inputs'!W$9*$G56,IF(AND(($C56+$C$1)&gt;AY$3,AY$3&gt;=$C$1),'General Inputs'!W$9*$F56,0))</f>
        <v>0</v>
      </c>
      <c r="BA56" s="214">
        <f>IF(AND(($D56+$C$1)&gt;AF$3,AF$3&gt;=$C$1),'General Inputs'!D$10*$I56,IF(AND(($C56+$C$1)&gt;AF$3,AF$3&gt;=$C$1),'General Inputs'!D$10*$H56,0))</f>
        <v>0</v>
      </c>
      <c r="BB56" s="214">
        <f>IF(AND(($D56+$C$1)&gt;AG$3,AG$3&gt;=$C$1),'General Inputs'!E$10*$I56,IF(AND(($C56+$C$1)&gt;AG$3,AG$3&gt;=$C$1),'General Inputs'!E$10*$H56,0))</f>
        <v>0</v>
      </c>
      <c r="BC56" s="214">
        <f>IF(AND(($D56+$C$1)&gt;AH$3,AH$3&gt;=$C$1),'General Inputs'!F$10*$I56,IF(AND(($C56+$C$1)&gt;AH$3,AH$3&gt;=$C$1),'General Inputs'!F$10*$H56,0))</f>
        <v>9.7007015686641732E-2</v>
      </c>
      <c r="BD56" s="214">
        <f>IF(AND(($D56+$C$1)&gt;AI$3,AI$3&gt;=$C$1),'General Inputs'!G$10*$I56,IF(AND(($C56+$C$1)&gt;AI$3,AI$3&gt;=$C$1),'General Inputs'!G$10*$H56,0))</f>
        <v>9.8462120921941343E-2</v>
      </c>
      <c r="BE56" s="214">
        <f>IF(AND(($D56+$C$1)&gt;AJ$3,AJ$3&gt;=$C$1),'General Inputs'!H$10*$I56,IF(AND(($C56+$C$1)&gt;AJ$3,AJ$3&gt;=$C$1),'General Inputs'!H$10*$H56,0))</f>
        <v>9.9939052735770459E-2</v>
      </c>
      <c r="BF56" s="214">
        <f>IF(AND(($D56+$C$1)&gt;AK$3,AK$3&gt;=$C$1),'General Inputs'!I$10*$I56,IF(AND(($C56+$C$1)&gt;AK$3,AK$3&gt;=$C$1),'General Inputs'!I$10*$H56,0))</f>
        <v>0.101438138526807</v>
      </c>
      <c r="BG56" s="214">
        <f>IF(AND(($D56+$C$1)&gt;AL$3,AL$3&gt;=$C$1),'General Inputs'!J$10*$I56,IF(AND(($C56+$C$1)&gt;AL$3,AL$3&gt;=$C$1),'General Inputs'!J$10*$H56,0))</f>
        <v>0.10295971060470908</v>
      </c>
      <c r="BH56" s="214">
        <f>IF(AND(($D56+$C$1)&gt;AM$3,AM$3&gt;=$C$1),'General Inputs'!K$10*$I56,IF(AND(($C56+$C$1)&gt;AM$3,AM$3&gt;=$C$1),'General Inputs'!K$10*$H56,0))</f>
        <v>0.10450410626377972</v>
      </c>
      <c r="BI56" s="214">
        <f>IF(AND(($D56+$C$1)&gt;AN$3,AN$3&gt;=$C$1),'General Inputs'!L$10*$I56,IF(AND(($C56+$C$1)&gt;AN$3,AN$3&gt;=$C$1),'General Inputs'!L$10*$H56,0))</f>
        <v>0</v>
      </c>
      <c r="BJ56" s="214">
        <f>IF(AND(($D56+$C$1)&gt;AO$3,AO$3&gt;=$C$1),'General Inputs'!M$10*$I56,IF(AND(($C56+$C$1)&gt;AO$3,AO$3&gt;=$C$1),'General Inputs'!M$10*$H56,0))</f>
        <v>0</v>
      </c>
      <c r="BK56" s="214">
        <f>IF(AND(($D56+$C$1)&gt;AP$3,AP$3&gt;=$C$1),'General Inputs'!N$10*$I56,IF(AND(($C56+$C$1)&gt;AP$3,AP$3&gt;=$C$1),'General Inputs'!N$10*$H56,0))</f>
        <v>0</v>
      </c>
      <c r="BL56" s="214">
        <f>IF(AND(($D56+$C$1)&gt;AQ$3,AQ$3&gt;=$C$1),'General Inputs'!O$10*$I56,IF(AND(($C56+$C$1)&gt;AQ$3,AQ$3&gt;=$C$1),'General Inputs'!O$10*$H56,0))</f>
        <v>0</v>
      </c>
      <c r="BM56" s="214">
        <f>IF(AND(($D56+$C$1)&gt;AR$3,AR$3&gt;=$C$1),'General Inputs'!P$10*$I56,IF(AND(($C56+$C$1)&gt;AR$3,AR$3&gt;=$C$1),'General Inputs'!P$10*$H56,0))</f>
        <v>0</v>
      </c>
      <c r="BN56" s="214">
        <f>IF(AND(($D56+$C$1)&gt;AS$3,AS$3&gt;=$C$1),'General Inputs'!Q$10*$I56,IF(AND(($C56+$C$1)&gt;AS$3,AS$3&gt;=$C$1),'General Inputs'!Q$10*$H56,0))</f>
        <v>0</v>
      </c>
      <c r="BO56" s="214">
        <f>IF(AND(($D56+$C$1)&gt;AT$3,AT$3&gt;=$C$1),'General Inputs'!R$10*$I56,IF(AND(($C56+$C$1)&gt;AT$3,AT$3&gt;=$C$1),'General Inputs'!R$10*$H56,0))</f>
        <v>0</v>
      </c>
      <c r="BP56" s="214">
        <f>IF(AND(($D56+$C$1)&gt;AU$3,AU$3&gt;=$C$1),'General Inputs'!S$10*$I56,IF(AND(($C56+$C$1)&gt;AU$3,AU$3&gt;=$C$1),'General Inputs'!S$10*$H56,0))</f>
        <v>0</v>
      </c>
      <c r="BQ56" s="214">
        <f>IF(AND(($D56+$C$1)&gt;AV$3,AV$3&gt;=$C$1),'General Inputs'!T$10*$I56,IF(AND(($C56+$C$1)&gt;AV$3,AV$3&gt;=$C$1),'General Inputs'!T$10*$H56,0))</f>
        <v>0</v>
      </c>
      <c r="BR56" s="214">
        <f>IF(AND(($D56+$C$1)&gt;AW$3,AW$3&gt;=$C$1),'General Inputs'!U$10*$I56,IF(AND(($C56+$C$1)&gt;AW$3,AW$3&gt;=$C$1),'General Inputs'!U$10*$H56,0))</f>
        <v>0</v>
      </c>
      <c r="BS56" s="214">
        <f>IF(AND(($D56+$C$1)&gt;AX$3,AX$3&gt;=$C$1),'General Inputs'!V$10*$I56,IF(AND(($C56+$C$1)&gt;AX$3,AX$3&gt;=$C$1),'General Inputs'!V$10*$H56,0))</f>
        <v>0</v>
      </c>
      <c r="BT56" s="214">
        <f>IF(AND(($D56+$C$1)&gt;AY$3,AY$3&gt;=$C$1),'General Inputs'!W$10*$I56,IF(AND(($C56+$C$1)&gt;AY$3,AY$3&gt;=$C$1),'General Inputs'!W$10*$H56,0))</f>
        <v>0</v>
      </c>
    </row>
    <row r="57" spans="1:72">
      <c r="A57" s="342" t="s">
        <v>112</v>
      </c>
      <c r="B57" s="427" t="str">
        <f>Sources!B57</f>
        <v>Fluorescent Fixture Specular Reflector 4-ft</v>
      </c>
      <c r="C57" s="193">
        <f>Sources!C57</f>
        <v>15</v>
      </c>
      <c r="D57" s="193">
        <f>Sources!D57</f>
        <v>0</v>
      </c>
      <c r="F57" s="429">
        <f>Sources!F57*EnergyLineLoss</f>
        <v>116.19082499999999</v>
      </c>
      <c r="G57" s="429">
        <f>Sources!G57*EnergyLineLoss</f>
        <v>0</v>
      </c>
      <c r="H57" s="477">
        <f>Sources!H57*PeakLineLoss</f>
        <v>1.796652E-2</v>
      </c>
      <c r="I57" s="477">
        <f>Sources!I57*PeakLineLoss</f>
        <v>0</v>
      </c>
      <c r="K57" s="419">
        <f>Sources!J57</f>
        <v>30</v>
      </c>
      <c r="L57" s="419">
        <f>Sources!K57</f>
        <v>0</v>
      </c>
      <c r="N57" s="438">
        <f t="shared" si="22"/>
        <v>1.617952134372086</v>
      </c>
      <c r="P57" s="215">
        <f t="shared" si="23"/>
        <v>38.722115418188984</v>
      </c>
      <c r="Q57" s="215">
        <f t="shared" si="24"/>
        <v>2.2520255979087556</v>
      </c>
      <c r="R57" s="215">
        <f t="shared" si="25"/>
        <v>25.324692953292757</v>
      </c>
      <c r="T57" s="214">
        <f t="shared" si="26"/>
        <v>0</v>
      </c>
      <c r="U57" s="214">
        <f t="shared" si="26"/>
        <v>0</v>
      </c>
      <c r="V57" s="214">
        <f t="shared" si="15"/>
        <v>30</v>
      </c>
      <c r="W57" s="214">
        <f t="shared" si="15"/>
        <v>0</v>
      </c>
      <c r="X57" s="214">
        <f t="shared" si="15"/>
        <v>0</v>
      </c>
      <c r="Y57" s="214">
        <f t="shared" si="15"/>
        <v>0</v>
      </c>
      <c r="Z57" s="214">
        <f t="shared" si="15"/>
        <v>0</v>
      </c>
      <c r="AA57" s="214">
        <f t="shared" si="15"/>
        <v>0</v>
      </c>
      <c r="AB57" s="214">
        <f t="shared" si="15"/>
        <v>0</v>
      </c>
      <c r="AC57" s="214">
        <f t="shared" si="15"/>
        <v>0</v>
      </c>
      <c r="AD57" s="214">
        <f t="shared" si="15"/>
        <v>0</v>
      </c>
      <c r="AF57" s="214">
        <f>IF(AND(($D57+$C$1)&gt;AF$3,AF$3&gt;=$C$1),'General Inputs'!D$9*$G57,IF(AND(($C57+$C$1)&gt;AF$3,AF$3&gt;=$C$1),'General Inputs'!D$9*$F57,0))</f>
        <v>0</v>
      </c>
      <c r="AG57" s="214">
        <f>IF(AND(($D57+$C$1)&gt;AG$3,AG$3&gt;=$C$1),'General Inputs'!E$9*$G57,IF(AND(($C57+$C$1)&gt;AG$3,AG$3&gt;=$C$1),'General Inputs'!E$9*$F57,0))</f>
        <v>0</v>
      </c>
      <c r="AH57" s="214">
        <f>IF(AND(($D57+$C$1)&gt;AH$3,AH$3&gt;=$C$1),'General Inputs'!F$9*$G57,IF(AND(($C57+$C$1)&gt;AH$3,AH$3&gt;=$C$1),'General Inputs'!F$9*$F57,0))</f>
        <v>4.7656358299712158</v>
      </c>
      <c r="AI57" s="214">
        <f>IF(AND(($D57+$C$1)&gt;AI$3,AI$3&gt;=$C$1),'General Inputs'!G$9*$G57,IF(AND(($C57+$C$1)&gt;AI$3,AI$3&gt;=$C$1),'General Inputs'!G$9*$F57,0))</f>
        <v>4.8371203674207832</v>
      </c>
      <c r="AJ57" s="214">
        <f>IF(AND(($D57+$C$1)&gt;AJ$3,AJ$3&gt;=$C$1),'General Inputs'!H$9*$G57,IF(AND(($C57+$C$1)&gt;AJ$3,AJ$3&gt;=$C$1),'General Inputs'!H$9*$F57,0))</f>
        <v>4.9096771729320947</v>
      </c>
      <c r="AK57" s="214">
        <f>IF(AND(($D57+$C$1)&gt;AK$3,AK$3&gt;=$C$1),'General Inputs'!I$9*$G57,IF(AND(($C57+$C$1)&gt;AK$3,AK$3&gt;=$C$1),'General Inputs'!I$9*$F57,0))</f>
        <v>4.9833223305260752</v>
      </c>
      <c r="AL57" s="214">
        <f>IF(AND(($D57+$C$1)&gt;AL$3,AL$3&gt;=$C$1),'General Inputs'!J$9*$G57,IF(AND(($C57+$C$1)&gt;AL$3,AL$3&gt;=$C$1),'General Inputs'!J$9*$F57,0))</f>
        <v>5.0580721654839653</v>
      </c>
      <c r="AM57" s="214">
        <f>IF(AND(($D57+$C$1)&gt;AM$3,AM$3&gt;=$C$1),'General Inputs'!K$9*$G57,IF(AND(($C57+$C$1)&gt;AM$3,AM$3&gt;=$C$1),'General Inputs'!K$9*$F57,0))</f>
        <v>5.1339432479662239</v>
      </c>
      <c r="AN57" s="214">
        <f>IF(AND(($D57+$C$1)&gt;AN$3,AN$3&gt;=$C$1),'General Inputs'!L$9*$G57,IF(AND(($C57+$C$1)&gt;AN$3,AN$3&gt;=$C$1),'General Inputs'!L$9*$F57,0))</f>
        <v>5.210952396685717</v>
      </c>
      <c r="AO57" s="214">
        <f>IF(AND(($D57+$C$1)&gt;AO$3,AO$3&gt;=$C$1),'General Inputs'!M$9*$G57,IF(AND(($C57+$C$1)&gt;AO$3,AO$3&gt;=$C$1),'General Inputs'!M$9*$F57,0))</f>
        <v>5.2891166826360019</v>
      </c>
      <c r="AP57" s="214">
        <f>IF(AND(($D57+$C$1)&gt;AP$3,AP$3&gt;=$C$1),'General Inputs'!N$9*$G57,IF(AND(($C57+$C$1)&gt;AP$3,AP$3&gt;=$C$1),'General Inputs'!N$9*$F57,0))</f>
        <v>5.3684534328755422</v>
      </c>
      <c r="AQ57" s="214">
        <f>IF(AND(($D57+$C$1)&gt;AQ$3,AQ$3&gt;=$C$1),'General Inputs'!O$9*$G57,IF(AND(($C57+$C$1)&gt;AQ$3,AQ$3&gt;=$C$1),'General Inputs'!O$9*$F57,0))</f>
        <v>5.4489802343686744</v>
      </c>
      <c r="AR57" s="214">
        <f>IF(AND(($D57+$C$1)&gt;AR$3,AR$3&gt;=$C$1),'General Inputs'!P$9*$G57,IF(AND(($C57+$C$1)&gt;AR$3,AR$3&gt;=$C$1),'General Inputs'!P$9*$F57,0))</f>
        <v>5.5307149378842038</v>
      </c>
      <c r="AS57" s="214">
        <f>IF(AND(($D57+$C$1)&gt;AS$3,AS$3&gt;=$C$1),'General Inputs'!Q$9*$G57,IF(AND(($C57+$C$1)&gt;AS$3,AS$3&gt;=$C$1),'General Inputs'!Q$9*$F57,0))</f>
        <v>5.6136756619524668</v>
      </c>
      <c r="AT57" s="214">
        <f>IF(AND(($D57+$C$1)&gt;AT$3,AT$3&gt;=$C$1),'General Inputs'!R$9*$G57,IF(AND(($C57+$C$1)&gt;AT$3,AT$3&gt;=$C$1),'General Inputs'!R$9*$F57,0))</f>
        <v>5.6978807968817531</v>
      </c>
      <c r="AU57" s="214">
        <f>IF(AND(($D57+$C$1)&gt;AU$3,AU$3&gt;=$C$1),'General Inputs'!S$9*$G57,IF(AND(($C57+$C$1)&gt;AU$3,AU$3&gt;=$C$1),'General Inputs'!S$9*$F57,0))</f>
        <v>5.7833490088349793</v>
      </c>
      <c r="AV57" s="214">
        <f>IF(AND(($D57+$C$1)&gt;AV$3,AV$3&gt;=$C$1),'General Inputs'!T$9*$G57,IF(AND(($C57+$C$1)&gt;AV$3,AV$3&gt;=$C$1),'General Inputs'!T$9*$F57,0))</f>
        <v>5.8700992439675037</v>
      </c>
      <c r="AW57" s="214">
        <f>IF(AND(($D57+$C$1)&gt;AW$3,AW$3&gt;=$C$1),'General Inputs'!U$9*$G57,IF(AND(($C57+$C$1)&gt;AW$3,AW$3&gt;=$C$1),'General Inputs'!U$9*$F57,0))</f>
        <v>0</v>
      </c>
      <c r="AX57" s="214">
        <f>IF(AND(($D57+$C$1)&gt;AX$3,AX$3&gt;=$C$1),'General Inputs'!V$9*$G57,IF(AND(($C57+$C$1)&gt;AX$3,AX$3&gt;=$C$1),'General Inputs'!V$9*$F57,0))</f>
        <v>0</v>
      </c>
      <c r="AY57" s="214">
        <f>IF(AND(($D57+$C$1)&gt;AY$3,AY$3&gt;=$C$1),'General Inputs'!W$9*$G57,IF(AND(($C57+$C$1)&gt;AY$3,AY$3&gt;=$C$1),'General Inputs'!W$9*$F57,0))</f>
        <v>0</v>
      </c>
      <c r="BA57" s="214">
        <f>IF(AND(($D57+$C$1)&gt;AF$3,AF$3&gt;=$C$1),'General Inputs'!D$10*$I57,IF(AND(($C57+$C$1)&gt;AF$3,AF$3&gt;=$C$1),'General Inputs'!D$10*$H57,0))</f>
        <v>0</v>
      </c>
      <c r="BB57" s="214">
        <f>IF(AND(($D57+$C$1)&gt;AG$3,AG$3&gt;=$C$1),'General Inputs'!E$10*$I57,IF(AND(($C57+$C$1)&gt;AG$3,AG$3&gt;=$C$1),'General Inputs'!E$10*$H57,0))</f>
        <v>0</v>
      </c>
      <c r="BC57" s="214">
        <f>IF(AND(($D57+$C$1)&gt;AH$3,AH$3&gt;=$C$1),'General Inputs'!F$10*$I57,IF(AND(($C57+$C$1)&gt;AH$3,AH$3&gt;=$C$1),'General Inputs'!F$10*$H57,0))</f>
        <v>0.27716290196183352</v>
      </c>
      <c r="BD57" s="214">
        <f>IF(AND(($D57+$C$1)&gt;AI$3,AI$3&gt;=$C$1),'General Inputs'!G$10*$I57,IF(AND(($C57+$C$1)&gt;AI$3,AI$3&gt;=$C$1),'General Inputs'!G$10*$H57,0))</f>
        <v>0.281320345491261</v>
      </c>
      <c r="BE57" s="214">
        <f>IF(AND(($D57+$C$1)&gt;AJ$3,AJ$3&gt;=$C$1),'General Inputs'!H$10*$I57,IF(AND(($C57+$C$1)&gt;AJ$3,AJ$3&gt;=$C$1),'General Inputs'!H$10*$H57,0))</f>
        <v>0.28554015067362987</v>
      </c>
      <c r="BF57" s="214">
        <f>IF(AND(($D57+$C$1)&gt;AK$3,AK$3&gt;=$C$1),'General Inputs'!I$10*$I57,IF(AND(($C57+$C$1)&gt;AK$3,AK$3&gt;=$C$1),'General Inputs'!I$10*$H57,0))</f>
        <v>0.28982325293373429</v>
      </c>
      <c r="BG57" s="214">
        <f>IF(AND(($D57+$C$1)&gt;AL$3,AL$3&gt;=$C$1),'General Inputs'!J$10*$I57,IF(AND(($C57+$C$1)&gt;AL$3,AL$3&gt;=$C$1),'General Inputs'!J$10*$H57,0))</f>
        <v>0.29417060172774023</v>
      </c>
      <c r="BH57" s="214">
        <f>IF(AND(($D57+$C$1)&gt;AM$3,AM$3&gt;=$C$1),'General Inputs'!K$10*$I57,IF(AND(($C57+$C$1)&gt;AM$3,AM$3&gt;=$C$1),'General Inputs'!K$10*$H57,0))</f>
        <v>0.29858316075365632</v>
      </c>
      <c r="BI57" s="214">
        <f>IF(AND(($D57+$C$1)&gt;AN$3,AN$3&gt;=$C$1),'General Inputs'!L$10*$I57,IF(AND(($C57+$C$1)&gt;AN$3,AN$3&gt;=$C$1),'General Inputs'!L$10*$H57,0))</f>
        <v>0.30306190816496115</v>
      </c>
      <c r="BJ57" s="214">
        <f>IF(AND(($D57+$C$1)&gt;AO$3,AO$3&gt;=$C$1),'General Inputs'!M$10*$I57,IF(AND(($C57+$C$1)&gt;AO$3,AO$3&gt;=$C$1),'General Inputs'!M$10*$H57,0))</f>
        <v>0.30760783678743558</v>
      </c>
      <c r="BK57" s="214">
        <f>IF(AND(($D57+$C$1)&gt;AP$3,AP$3&gt;=$C$1),'General Inputs'!N$10*$I57,IF(AND(($C57+$C$1)&gt;AP$3,AP$3&gt;=$C$1),'General Inputs'!N$10*$H57,0))</f>
        <v>0.31222195433924704</v>
      </c>
      <c r="BL57" s="214">
        <f>IF(AND(($D57+$C$1)&gt;AQ$3,AQ$3&gt;=$C$1),'General Inputs'!O$10*$I57,IF(AND(($C57+$C$1)&gt;AQ$3,AQ$3&gt;=$C$1),'General Inputs'!O$10*$H57,0))</f>
        <v>0.31690528365433573</v>
      </c>
      <c r="BM57" s="214">
        <f>IF(AND(($D57+$C$1)&gt;AR$3,AR$3&gt;=$C$1),'General Inputs'!P$10*$I57,IF(AND(($C57+$C$1)&gt;AR$3,AR$3&gt;=$C$1),'General Inputs'!P$10*$H57,0))</f>
        <v>0.32165886290915074</v>
      </c>
      <c r="BN57" s="214">
        <f>IF(AND(($D57+$C$1)&gt;AS$3,AS$3&gt;=$C$1),'General Inputs'!Q$10*$I57,IF(AND(($C57+$C$1)&gt;AS$3,AS$3&gt;=$C$1),'General Inputs'!Q$10*$H57,0))</f>
        <v>0.326483745852788</v>
      </c>
      <c r="BO57" s="214">
        <f>IF(AND(($D57+$C$1)&gt;AT$3,AT$3&gt;=$C$1),'General Inputs'!R$10*$I57,IF(AND(($C57+$C$1)&gt;AT$3,AT$3&gt;=$C$1),'General Inputs'!R$10*$H57,0))</f>
        <v>0.33138100204057974</v>
      </c>
      <c r="BP57" s="214">
        <f>IF(AND(($D57+$C$1)&gt;AU$3,AU$3&gt;=$C$1),'General Inputs'!S$10*$I57,IF(AND(($C57+$C$1)&gt;AU$3,AU$3&gt;=$C$1),'General Inputs'!S$10*$H57,0))</f>
        <v>0.33635171707118844</v>
      </c>
      <c r="BQ57" s="214">
        <f>IF(AND(($D57+$C$1)&gt;AV$3,AV$3&gt;=$C$1),'General Inputs'!T$10*$I57,IF(AND(($C57+$C$1)&gt;AV$3,AV$3&gt;=$C$1),'General Inputs'!T$10*$H57,0))</f>
        <v>0.34139699282725622</v>
      </c>
      <c r="BR57" s="214">
        <f>IF(AND(($D57+$C$1)&gt;AW$3,AW$3&gt;=$C$1),'General Inputs'!U$10*$I57,IF(AND(($C57+$C$1)&gt;AW$3,AW$3&gt;=$C$1),'General Inputs'!U$10*$H57,0))</f>
        <v>0</v>
      </c>
      <c r="BS57" s="214">
        <f>IF(AND(($D57+$C$1)&gt;AX$3,AX$3&gt;=$C$1),'General Inputs'!V$10*$I57,IF(AND(($C57+$C$1)&gt;AX$3,AX$3&gt;=$C$1),'General Inputs'!V$10*$H57,0))</f>
        <v>0</v>
      </c>
      <c r="BT57" s="214">
        <f>IF(AND(($D57+$C$1)&gt;AY$3,AY$3&gt;=$C$1),'General Inputs'!W$10*$I57,IF(AND(($C57+$C$1)&gt;AY$3,AY$3&gt;=$C$1),'General Inputs'!W$10*$H57,0))</f>
        <v>0</v>
      </c>
    </row>
    <row r="58" spans="1:72">
      <c r="A58" s="342" t="s">
        <v>112</v>
      </c>
      <c r="B58" s="427" t="str">
        <f>Sources!B58</f>
        <v>Fluorescent Fixture Specular Reflector two 4-ft</v>
      </c>
      <c r="C58" s="193">
        <f>Sources!C58</f>
        <v>15</v>
      </c>
      <c r="D58" s="193">
        <f>Sources!D58</f>
        <v>0</v>
      </c>
      <c r="F58" s="429">
        <f>Sources!F58*EnergyLineLoss</f>
        <v>151.04807249999999</v>
      </c>
      <c r="G58" s="429">
        <f>Sources!G58*EnergyLineLoss</f>
        <v>0</v>
      </c>
      <c r="H58" s="477">
        <f>Sources!H58*PeakLineLoss</f>
        <v>2.3356476000000001E-2</v>
      </c>
      <c r="I58" s="477">
        <f>Sources!I58*PeakLineLoss</f>
        <v>0</v>
      </c>
      <c r="K58" s="419">
        <f>Sources!J58</f>
        <v>30</v>
      </c>
      <c r="L58" s="419">
        <f>Sources!K58</f>
        <v>0</v>
      </c>
      <c r="N58" s="438">
        <f t="shared" si="22"/>
        <v>2.1033377746837121</v>
      </c>
      <c r="P58" s="215">
        <f t="shared" si="23"/>
        <v>50.338750043645696</v>
      </c>
      <c r="Q58" s="215">
        <f t="shared" si="24"/>
        <v>2.9276332772813838</v>
      </c>
      <c r="R58" s="215">
        <f t="shared" si="25"/>
        <v>25.324692953292757</v>
      </c>
      <c r="T58" s="214">
        <f t="shared" si="26"/>
        <v>0</v>
      </c>
      <c r="U58" s="214">
        <f t="shared" si="26"/>
        <v>0</v>
      </c>
      <c r="V58" s="214">
        <f t="shared" si="15"/>
        <v>30</v>
      </c>
      <c r="W58" s="214">
        <f t="shared" si="15"/>
        <v>0</v>
      </c>
      <c r="X58" s="214">
        <f t="shared" si="15"/>
        <v>0</v>
      </c>
      <c r="Y58" s="214">
        <f t="shared" si="15"/>
        <v>0</v>
      </c>
      <c r="Z58" s="214">
        <f t="shared" si="15"/>
        <v>0</v>
      </c>
      <c r="AA58" s="214">
        <f t="shared" si="15"/>
        <v>0</v>
      </c>
      <c r="AB58" s="214">
        <f t="shared" si="15"/>
        <v>0</v>
      </c>
      <c r="AC58" s="214">
        <f t="shared" si="15"/>
        <v>0</v>
      </c>
      <c r="AD58" s="214">
        <f t="shared" si="15"/>
        <v>0</v>
      </c>
      <c r="AF58" s="214">
        <f>IF(AND(($D58+$C$1)&gt;AF$3,AF$3&gt;=$C$1),'General Inputs'!D$9*$G58,IF(AND(($C58+$C$1)&gt;AF$3,AF$3&gt;=$C$1),'General Inputs'!D$9*$F58,0))</f>
        <v>0</v>
      </c>
      <c r="AG58" s="214">
        <f>IF(AND(($D58+$C$1)&gt;AG$3,AG$3&gt;=$C$1),'General Inputs'!E$9*$G58,IF(AND(($C58+$C$1)&gt;AG$3,AG$3&gt;=$C$1),'General Inputs'!E$9*$F58,0))</f>
        <v>0</v>
      </c>
      <c r="AH58" s="214">
        <f>IF(AND(($D58+$C$1)&gt;AH$3,AH$3&gt;=$C$1),'General Inputs'!F$9*$G58,IF(AND(($C58+$C$1)&gt;AH$3,AH$3&gt;=$C$1),'General Inputs'!F$9*$F58,0))</f>
        <v>6.1953265789625807</v>
      </c>
      <c r="AI58" s="214">
        <f>IF(AND(($D58+$C$1)&gt;AI$3,AI$3&gt;=$C$1),'General Inputs'!G$9*$G58,IF(AND(($C58+$C$1)&gt;AI$3,AI$3&gt;=$C$1),'General Inputs'!G$9*$F58,0))</f>
        <v>6.2882564776470184</v>
      </c>
      <c r="AJ58" s="214">
        <f>IF(AND(($D58+$C$1)&gt;AJ$3,AJ$3&gt;=$C$1),'General Inputs'!H$9*$G58,IF(AND(($C58+$C$1)&gt;AJ$3,AJ$3&gt;=$C$1),'General Inputs'!H$9*$F58,0))</f>
        <v>6.3825803248117232</v>
      </c>
      <c r="AK58" s="214">
        <f>IF(AND(($D58+$C$1)&gt;AK$3,AK$3&gt;=$C$1),'General Inputs'!I$9*$G58,IF(AND(($C58+$C$1)&gt;AK$3,AK$3&gt;=$C$1),'General Inputs'!I$9*$F58,0))</f>
        <v>6.4783190296838979</v>
      </c>
      <c r="AL58" s="214">
        <f>IF(AND(($D58+$C$1)&gt;AL$3,AL$3&gt;=$C$1),'General Inputs'!J$9*$G58,IF(AND(($C58+$C$1)&gt;AL$3,AL$3&gt;=$C$1),'General Inputs'!J$9*$F58,0))</f>
        <v>6.5754938151291551</v>
      </c>
      <c r="AM58" s="214">
        <f>IF(AND(($D58+$C$1)&gt;AM$3,AM$3&gt;=$C$1),'General Inputs'!K$9*$G58,IF(AND(($C58+$C$1)&gt;AM$3,AM$3&gt;=$C$1),'General Inputs'!K$9*$F58,0))</f>
        <v>6.6741262223560911</v>
      </c>
      <c r="AN58" s="214">
        <f>IF(AND(($D58+$C$1)&gt;AN$3,AN$3&gt;=$C$1),'General Inputs'!L$9*$G58,IF(AND(($C58+$C$1)&gt;AN$3,AN$3&gt;=$C$1),'General Inputs'!L$9*$F58,0))</f>
        <v>6.774238115691432</v>
      </c>
      <c r="AO58" s="214">
        <f>IF(AND(($D58+$C$1)&gt;AO$3,AO$3&gt;=$C$1),'General Inputs'!M$9*$G58,IF(AND(($C58+$C$1)&gt;AO$3,AO$3&gt;=$C$1),'General Inputs'!M$9*$F58,0))</f>
        <v>6.8758516874268025</v>
      </c>
      <c r="AP58" s="214">
        <f>IF(AND(($D58+$C$1)&gt;AP$3,AP$3&gt;=$C$1),'General Inputs'!N$9*$G58,IF(AND(($C58+$C$1)&gt;AP$3,AP$3&gt;=$C$1),'General Inputs'!N$9*$F58,0))</f>
        <v>6.9789894627382045</v>
      </c>
      <c r="AQ58" s="214">
        <f>IF(AND(($D58+$C$1)&gt;AQ$3,AQ$3&gt;=$C$1),'General Inputs'!O$9*$G58,IF(AND(($C58+$C$1)&gt;AQ$3,AQ$3&gt;=$C$1),'General Inputs'!O$9*$F58,0))</f>
        <v>7.0836743046792767</v>
      </c>
      <c r="AR58" s="214">
        <f>IF(AND(($D58+$C$1)&gt;AR$3,AR$3&gt;=$C$1),'General Inputs'!P$9*$G58,IF(AND(($C58+$C$1)&gt;AR$3,AR$3&gt;=$C$1),'General Inputs'!P$9*$F58,0))</f>
        <v>7.1899294192494647</v>
      </c>
      <c r="AS58" s="214">
        <f>IF(AND(($D58+$C$1)&gt;AS$3,AS$3&gt;=$C$1),'General Inputs'!Q$9*$G58,IF(AND(($C58+$C$1)&gt;AS$3,AS$3&gt;=$C$1),'General Inputs'!Q$9*$F58,0))</f>
        <v>7.2977783605382065</v>
      </c>
      <c r="AT58" s="214">
        <f>IF(AND(($D58+$C$1)&gt;AT$3,AT$3&gt;=$C$1),'General Inputs'!R$9*$G58,IF(AND(($C58+$C$1)&gt;AT$3,AT$3&gt;=$C$1),'General Inputs'!R$9*$F58,0))</f>
        <v>7.4072450359462794</v>
      </c>
      <c r="AU58" s="214">
        <f>IF(AND(($D58+$C$1)&gt;AU$3,AU$3&gt;=$C$1),'General Inputs'!S$9*$G58,IF(AND(($C58+$C$1)&gt;AU$3,AU$3&gt;=$C$1),'General Inputs'!S$9*$F58,0))</f>
        <v>7.5183537114854726</v>
      </c>
      <c r="AV58" s="214">
        <f>IF(AND(($D58+$C$1)&gt;AV$3,AV$3&gt;=$C$1),'General Inputs'!T$9*$G58,IF(AND(($C58+$C$1)&gt;AV$3,AV$3&gt;=$C$1),'General Inputs'!T$9*$F58,0))</f>
        <v>7.6311290171577548</v>
      </c>
      <c r="AW58" s="214">
        <f>IF(AND(($D58+$C$1)&gt;AW$3,AW$3&gt;=$C$1),'General Inputs'!U$9*$G58,IF(AND(($C58+$C$1)&gt;AW$3,AW$3&gt;=$C$1),'General Inputs'!U$9*$F58,0))</f>
        <v>0</v>
      </c>
      <c r="AX58" s="214">
        <f>IF(AND(($D58+$C$1)&gt;AX$3,AX$3&gt;=$C$1),'General Inputs'!V$9*$G58,IF(AND(($C58+$C$1)&gt;AX$3,AX$3&gt;=$C$1),'General Inputs'!V$9*$F58,0))</f>
        <v>0</v>
      </c>
      <c r="AY58" s="214">
        <f>IF(AND(($D58+$C$1)&gt;AY$3,AY$3&gt;=$C$1),'General Inputs'!W$9*$G58,IF(AND(($C58+$C$1)&gt;AY$3,AY$3&gt;=$C$1),'General Inputs'!W$9*$F58,0))</f>
        <v>0</v>
      </c>
      <c r="BA58" s="214">
        <f>IF(AND(($D58+$C$1)&gt;AF$3,AF$3&gt;=$C$1),'General Inputs'!D$10*$I58,IF(AND(($C58+$C$1)&gt;AF$3,AF$3&gt;=$C$1),'General Inputs'!D$10*$H58,0))</f>
        <v>0</v>
      </c>
      <c r="BB58" s="214">
        <f>IF(AND(($D58+$C$1)&gt;AG$3,AG$3&gt;=$C$1),'General Inputs'!E$10*$I58,IF(AND(($C58+$C$1)&gt;AG$3,AG$3&gt;=$C$1),'General Inputs'!E$10*$H58,0))</f>
        <v>0</v>
      </c>
      <c r="BC58" s="214">
        <f>IF(AND(($D58+$C$1)&gt;AH$3,AH$3&gt;=$C$1),'General Inputs'!F$10*$I58,IF(AND(($C58+$C$1)&gt;AH$3,AH$3&gt;=$C$1),'General Inputs'!F$10*$H58,0))</f>
        <v>0.3603117725503836</v>
      </c>
      <c r="BD58" s="214">
        <f>IF(AND(($D58+$C$1)&gt;AI$3,AI$3&gt;=$C$1),'General Inputs'!G$10*$I58,IF(AND(($C58+$C$1)&gt;AI$3,AI$3&gt;=$C$1),'General Inputs'!G$10*$H58,0))</f>
        <v>0.36571644913863932</v>
      </c>
      <c r="BE58" s="214">
        <f>IF(AND(($D58+$C$1)&gt;AJ$3,AJ$3&gt;=$C$1),'General Inputs'!H$10*$I58,IF(AND(($C58+$C$1)&gt;AJ$3,AJ$3&gt;=$C$1),'General Inputs'!H$10*$H58,0))</f>
        <v>0.37120219587571884</v>
      </c>
      <c r="BF58" s="214">
        <f>IF(AND(($D58+$C$1)&gt;AK$3,AK$3&gt;=$C$1),'General Inputs'!I$10*$I58,IF(AND(($C58+$C$1)&gt;AK$3,AK$3&gt;=$C$1),'General Inputs'!I$10*$H58,0))</f>
        <v>0.37677022881385458</v>
      </c>
      <c r="BG58" s="214">
        <f>IF(AND(($D58+$C$1)&gt;AL$3,AL$3&gt;=$C$1),'General Inputs'!J$10*$I58,IF(AND(($C58+$C$1)&gt;AL$3,AL$3&gt;=$C$1),'General Inputs'!J$10*$H58,0))</f>
        <v>0.38242178224606233</v>
      </c>
      <c r="BH58" s="214">
        <f>IF(AND(($D58+$C$1)&gt;AM$3,AM$3&gt;=$C$1),'General Inputs'!K$10*$I58,IF(AND(($C58+$C$1)&gt;AM$3,AM$3&gt;=$C$1),'General Inputs'!K$10*$H58,0))</f>
        <v>0.38815810897975328</v>
      </c>
      <c r="BI58" s="214">
        <f>IF(AND(($D58+$C$1)&gt;AN$3,AN$3&gt;=$C$1),'General Inputs'!L$10*$I58,IF(AND(($C58+$C$1)&gt;AN$3,AN$3&gt;=$C$1),'General Inputs'!L$10*$H58,0))</f>
        <v>0.39398048061444951</v>
      </c>
      <c r="BJ58" s="214">
        <f>IF(AND(($D58+$C$1)&gt;AO$3,AO$3&gt;=$C$1),'General Inputs'!M$10*$I58,IF(AND(($C58+$C$1)&gt;AO$3,AO$3&gt;=$C$1),'General Inputs'!M$10*$H58,0))</f>
        <v>0.39989018782366625</v>
      </c>
      <c r="BK58" s="214">
        <f>IF(AND(($D58+$C$1)&gt;AP$3,AP$3&gt;=$C$1),'General Inputs'!N$10*$I58,IF(AND(($C58+$C$1)&gt;AP$3,AP$3&gt;=$C$1),'General Inputs'!N$10*$H58,0))</f>
        <v>0.4058885406410212</v>
      </c>
      <c r="BL58" s="214">
        <f>IF(AND(($D58+$C$1)&gt;AQ$3,AQ$3&gt;=$C$1),'General Inputs'!O$10*$I58,IF(AND(($C58+$C$1)&gt;AQ$3,AQ$3&gt;=$C$1),'General Inputs'!O$10*$H58,0))</f>
        <v>0.41197686875063649</v>
      </c>
      <c r="BM58" s="214">
        <f>IF(AND(($D58+$C$1)&gt;AR$3,AR$3&gt;=$C$1),'General Inputs'!P$10*$I58,IF(AND(($C58+$C$1)&gt;AR$3,AR$3&gt;=$C$1),'General Inputs'!P$10*$H58,0))</f>
        <v>0.418156521781896</v>
      </c>
      <c r="BN58" s="214">
        <f>IF(AND(($D58+$C$1)&gt;AS$3,AS$3&gt;=$C$1),'General Inputs'!Q$10*$I58,IF(AND(($C58+$C$1)&gt;AS$3,AS$3&gt;=$C$1),'General Inputs'!Q$10*$H58,0))</f>
        <v>0.42442886960862442</v>
      </c>
      <c r="BO58" s="214">
        <f>IF(AND(($D58+$C$1)&gt;AT$3,AT$3&gt;=$C$1),'General Inputs'!R$10*$I58,IF(AND(($C58+$C$1)&gt;AT$3,AT$3&gt;=$C$1),'General Inputs'!R$10*$H58,0))</f>
        <v>0.43079530265275368</v>
      </c>
      <c r="BP58" s="214">
        <f>IF(AND(($D58+$C$1)&gt;AU$3,AU$3&gt;=$C$1),'General Inputs'!S$10*$I58,IF(AND(($C58+$C$1)&gt;AU$3,AU$3&gt;=$C$1),'General Inputs'!S$10*$H58,0))</f>
        <v>0.43725723219254498</v>
      </c>
      <c r="BQ58" s="214">
        <f>IF(AND(($D58+$C$1)&gt;AV$3,AV$3&gt;=$C$1),'General Inputs'!T$10*$I58,IF(AND(($C58+$C$1)&gt;AV$3,AV$3&gt;=$C$1),'General Inputs'!T$10*$H58,0))</f>
        <v>0.44381609067543309</v>
      </c>
      <c r="BR58" s="214">
        <f>IF(AND(($D58+$C$1)&gt;AW$3,AW$3&gt;=$C$1),'General Inputs'!U$10*$I58,IF(AND(($C58+$C$1)&gt;AW$3,AW$3&gt;=$C$1),'General Inputs'!U$10*$H58,0))</f>
        <v>0</v>
      </c>
      <c r="BS58" s="214">
        <f>IF(AND(($D58+$C$1)&gt;AX$3,AX$3&gt;=$C$1),'General Inputs'!V$10*$I58,IF(AND(($C58+$C$1)&gt;AX$3,AX$3&gt;=$C$1),'General Inputs'!V$10*$H58,0))</f>
        <v>0</v>
      </c>
      <c r="BT58" s="214">
        <f>IF(AND(($D58+$C$1)&gt;AY$3,AY$3&gt;=$C$1),'General Inputs'!W$10*$I58,IF(AND(($C58+$C$1)&gt;AY$3,AY$3&gt;=$C$1),'General Inputs'!W$10*$H58,0))</f>
        <v>0</v>
      </c>
    </row>
    <row r="59" spans="1:72">
      <c r="A59" s="342" t="s">
        <v>112</v>
      </c>
      <c r="B59" s="427" t="str">
        <f>Sources!B59</f>
        <v>Fluorescent Fixture Specular Reflector 8-ft</v>
      </c>
      <c r="C59" s="193">
        <f>Sources!C59</f>
        <v>15</v>
      </c>
      <c r="D59" s="193">
        <f>Sources!D59</f>
        <v>0</v>
      </c>
      <c r="F59" s="429">
        <f>Sources!F59*EnergyLineLoss</f>
        <v>133.61944874999998</v>
      </c>
      <c r="G59" s="429">
        <f>Sources!G59*EnergyLineLoss</f>
        <v>0</v>
      </c>
      <c r="H59" s="477">
        <f>Sources!H59*PeakLineLoss</f>
        <v>2.0661498E-2</v>
      </c>
      <c r="I59" s="477">
        <f>Sources!I59*PeakLineLoss</f>
        <v>0</v>
      </c>
      <c r="K59" s="419">
        <f>Sources!J59</f>
        <v>50</v>
      </c>
      <c r="L59" s="419">
        <f>Sources!K59</f>
        <v>0</v>
      </c>
      <c r="N59" s="438">
        <f t="shared" si="22"/>
        <v>1.1163869727167395</v>
      </c>
      <c r="P59" s="215">
        <f t="shared" si="23"/>
        <v>44.530432730917333</v>
      </c>
      <c r="Q59" s="215">
        <f t="shared" si="24"/>
        <v>2.5898294375950695</v>
      </c>
      <c r="R59" s="215">
        <f t="shared" si="25"/>
        <v>42.207821588821261</v>
      </c>
      <c r="T59" s="214">
        <f t="shared" si="26"/>
        <v>0</v>
      </c>
      <c r="U59" s="214">
        <f t="shared" si="26"/>
        <v>0</v>
      </c>
      <c r="V59" s="214">
        <f t="shared" si="15"/>
        <v>50</v>
      </c>
      <c r="W59" s="214">
        <f t="shared" si="15"/>
        <v>0</v>
      </c>
      <c r="X59" s="214">
        <f t="shared" si="15"/>
        <v>0</v>
      </c>
      <c r="Y59" s="214">
        <f t="shared" si="15"/>
        <v>0</v>
      </c>
      <c r="Z59" s="214">
        <f t="shared" si="15"/>
        <v>0</v>
      </c>
      <c r="AA59" s="214">
        <f t="shared" si="15"/>
        <v>0</v>
      </c>
      <c r="AB59" s="214">
        <f t="shared" si="15"/>
        <v>0</v>
      </c>
      <c r="AC59" s="214">
        <f t="shared" si="15"/>
        <v>0</v>
      </c>
      <c r="AD59" s="214">
        <f t="shared" si="15"/>
        <v>0</v>
      </c>
      <c r="AF59" s="214">
        <f>IF(AND(($D59+$C$1)&gt;AF$3,AF$3&gt;=$C$1),'General Inputs'!D$9*$G59,IF(AND(($C59+$C$1)&gt;AF$3,AF$3&gt;=$C$1),'General Inputs'!D$9*$F59,0))</f>
        <v>0</v>
      </c>
      <c r="AG59" s="214">
        <f>IF(AND(($D59+$C$1)&gt;AG$3,AG$3&gt;=$C$1),'General Inputs'!E$9*$G59,IF(AND(($C59+$C$1)&gt;AG$3,AG$3&gt;=$C$1),'General Inputs'!E$9*$F59,0))</f>
        <v>0</v>
      </c>
      <c r="AH59" s="214">
        <f>IF(AND(($D59+$C$1)&gt;AH$3,AH$3&gt;=$C$1),'General Inputs'!F$9*$G59,IF(AND(($C59+$C$1)&gt;AH$3,AH$3&gt;=$C$1),'General Inputs'!F$9*$F59,0))</f>
        <v>5.4804812044668969</v>
      </c>
      <c r="AI59" s="214">
        <f>IF(AND(($D59+$C$1)&gt;AI$3,AI$3&gt;=$C$1),'General Inputs'!G$9*$G59,IF(AND(($C59+$C$1)&gt;AI$3,AI$3&gt;=$C$1),'General Inputs'!G$9*$F59,0))</f>
        <v>5.5626884225338999</v>
      </c>
      <c r="AJ59" s="214">
        <f>IF(AND(($D59+$C$1)&gt;AJ$3,AJ$3&gt;=$C$1),'General Inputs'!H$9*$G59,IF(AND(($C59+$C$1)&gt;AJ$3,AJ$3&gt;=$C$1),'General Inputs'!H$9*$F59,0))</f>
        <v>5.6461287488719076</v>
      </c>
      <c r="AK59" s="214">
        <f>IF(AND(($D59+$C$1)&gt;AK$3,AK$3&gt;=$C$1),'General Inputs'!I$9*$G59,IF(AND(($C59+$C$1)&gt;AK$3,AK$3&gt;=$C$1),'General Inputs'!I$9*$F59,0))</f>
        <v>5.7308206801049861</v>
      </c>
      <c r="AL59" s="214">
        <f>IF(AND(($D59+$C$1)&gt;AL$3,AL$3&gt;=$C$1),'General Inputs'!J$9*$G59,IF(AND(($C59+$C$1)&gt;AL$3,AL$3&gt;=$C$1),'General Inputs'!J$9*$F59,0))</f>
        <v>5.8167829903065593</v>
      </c>
      <c r="AM59" s="214">
        <f>IF(AND(($D59+$C$1)&gt;AM$3,AM$3&gt;=$C$1),'General Inputs'!K$9*$G59,IF(AND(($C59+$C$1)&gt;AM$3,AM$3&gt;=$C$1),'General Inputs'!K$9*$F59,0))</f>
        <v>5.9040347351611571</v>
      </c>
      <c r="AN59" s="214">
        <f>IF(AND(($D59+$C$1)&gt;AN$3,AN$3&gt;=$C$1),'General Inputs'!L$9*$G59,IF(AND(($C59+$C$1)&gt;AN$3,AN$3&gt;=$C$1),'General Inputs'!L$9*$F59,0))</f>
        <v>5.992595256188574</v>
      </c>
      <c r="AO59" s="214">
        <f>IF(AND(($D59+$C$1)&gt;AO$3,AO$3&gt;=$C$1),'General Inputs'!M$9*$G59,IF(AND(($C59+$C$1)&gt;AO$3,AO$3&gt;=$C$1),'General Inputs'!M$9*$F59,0))</f>
        <v>6.0824841850314018</v>
      </c>
      <c r="AP59" s="214">
        <f>IF(AND(($D59+$C$1)&gt;AP$3,AP$3&gt;=$C$1),'General Inputs'!N$9*$G59,IF(AND(($C59+$C$1)&gt;AP$3,AP$3&gt;=$C$1),'General Inputs'!N$9*$F59,0))</f>
        <v>6.173721447806872</v>
      </c>
      <c r="AQ59" s="214">
        <f>IF(AND(($D59+$C$1)&gt;AQ$3,AQ$3&gt;=$C$1),'General Inputs'!O$9*$G59,IF(AND(($C59+$C$1)&gt;AQ$3,AQ$3&gt;=$C$1),'General Inputs'!O$9*$F59,0))</f>
        <v>6.2663272695239751</v>
      </c>
      <c r="AR59" s="214">
        <f>IF(AND(($D59+$C$1)&gt;AR$3,AR$3&gt;=$C$1),'General Inputs'!P$9*$G59,IF(AND(($C59+$C$1)&gt;AR$3,AR$3&gt;=$C$1),'General Inputs'!P$9*$F59,0))</f>
        <v>6.3603221785668334</v>
      </c>
      <c r="AS59" s="214">
        <f>IF(AND(($D59+$C$1)&gt;AS$3,AS$3&gt;=$C$1),'General Inputs'!Q$9*$G59,IF(AND(($C59+$C$1)&gt;AS$3,AS$3&gt;=$C$1),'General Inputs'!Q$9*$F59,0))</f>
        <v>6.4557270112453358</v>
      </c>
      <c r="AT59" s="214">
        <f>IF(AND(($D59+$C$1)&gt;AT$3,AT$3&gt;=$C$1),'General Inputs'!R$9*$G59,IF(AND(($C59+$C$1)&gt;AT$3,AT$3&gt;=$C$1),'General Inputs'!R$9*$F59,0))</f>
        <v>6.5525629164140158</v>
      </c>
      <c r="AU59" s="214">
        <f>IF(AND(($D59+$C$1)&gt;AU$3,AU$3&gt;=$C$1),'General Inputs'!S$9*$G59,IF(AND(($C59+$C$1)&gt;AU$3,AU$3&gt;=$C$1),'General Inputs'!S$9*$F59,0))</f>
        <v>6.6508513601602255</v>
      </c>
      <c r="AV59" s="214">
        <f>IF(AND(($D59+$C$1)&gt;AV$3,AV$3&gt;=$C$1),'General Inputs'!T$9*$G59,IF(AND(($C59+$C$1)&gt;AV$3,AV$3&gt;=$C$1),'General Inputs'!T$9*$F59,0))</f>
        <v>6.7506141305626288</v>
      </c>
      <c r="AW59" s="214">
        <f>IF(AND(($D59+$C$1)&gt;AW$3,AW$3&gt;=$C$1),'General Inputs'!U$9*$G59,IF(AND(($C59+$C$1)&gt;AW$3,AW$3&gt;=$C$1),'General Inputs'!U$9*$F59,0))</f>
        <v>0</v>
      </c>
      <c r="AX59" s="214">
        <f>IF(AND(($D59+$C$1)&gt;AX$3,AX$3&gt;=$C$1),'General Inputs'!V$9*$G59,IF(AND(($C59+$C$1)&gt;AX$3,AX$3&gt;=$C$1),'General Inputs'!V$9*$F59,0))</f>
        <v>0</v>
      </c>
      <c r="AY59" s="214">
        <f>IF(AND(($D59+$C$1)&gt;AY$3,AY$3&gt;=$C$1),'General Inputs'!W$9*$G59,IF(AND(($C59+$C$1)&gt;AY$3,AY$3&gt;=$C$1),'General Inputs'!W$9*$F59,0))</f>
        <v>0</v>
      </c>
      <c r="BA59" s="214">
        <f>IF(AND(($D59+$C$1)&gt;AF$3,AF$3&gt;=$C$1),'General Inputs'!D$10*$I59,IF(AND(($C59+$C$1)&gt;AF$3,AF$3&gt;=$C$1),'General Inputs'!D$10*$H59,0))</f>
        <v>0</v>
      </c>
      <c r="BB59" s="214">
        <f>IF(AND(($D59+$C$1)&gt;AG$3,AG$3&gt;=$C$1),'General Inputs'!E$10*$I59,IF(AND(($C59+$C$1)&gt;AG$3,AG$3&gt;=$C$1),'General Inputs'!E$10*$H59,0))</f>
        <v>0</v>
      </c>
      <c r="BC59" s="214">
        <f>IF(AND(($D59+$C$1)&gt;AH$3,AH$3&gt;=$C$1),'General Inputs'!F$10*$I59,IF(AND(($C59+$C$1)&gt;AH$3,AH$3&gt;=$C$1),'General Inputs'!F$10*$H59,0))</f>
        <v>0.31873733725610853</v>
      </c>
      <c r="BD59" s="214">
        <f>IF(AND(($D59+$C$1)&gt;AI$3,AI$3&gt;=$C$1),'General Inputs'!G$10*$I59,IF(AND(($C59+$C$1)&gt;AI$3,AI$3&gt;=$C$1),'General Inputs'!G$10*$H59,0))</f>
        <v>0.32351839731495013</v>
      </c>
      <c r="BE59" s="214">
        <f>IF(AND(($D59+$C$1)&gt;AJ$3,AJ$3&gt;=$C$1),'General Inputs'!H$10*$I59,IF(AND(($C59+$C$1)&gt;AJ$3,AJ$3&gt;=$C$1),'General Inputs'!H$10*$H59,0))</f>
        <v>0.32837117327467436</v>
      </c>
      <c r="BF59" s="214">
        <f>IF(AND(($D59+$C$1)&gt;AK$3,AK$3&gt;=$C$1),'General Inputs'!I$10*$I59,IF(AND(($C59+$C$1)&gt;AK$3,AK$3&gt;=$C$1),'General Inputs'!I$10*$H59,0))</f>
        <v>0.33329674087379441</v>
      </c>
      <c r="BG59" s="214">
        <f>IF(AND(($D59+$C$1)&gt;AL$3,AL$3&gt;=$C$1),'General Inputs'!J$10*$I59,IF(AND(($C59+$C$1)&gt;AL$3,AL$3&gt;=$C$1),'General Inputs'!J$10*$H59,0))</f>
        <v>0.33829619198690131</v>
      </c>
      <c r="BH59" s="214">
        <f>IF(AND(($D59+$C$1)&gt;AM$3,AM$3&gt;=$C$1),'General Inputs'!K$10*$I59,IF(AND(($C59+$C$1)&gt;AM$3,AM$3&gt;=$C$1),'General Inputs'!K$10*$H59,0))</f>
        <v>0.34337063486670477</v>
      </c>
      <c r="BI59" s="214">
        <f>IF(AND(($D59+$C$1)&gt;AN$3,AN$3&gt;=$C$1),'General Inputs'!L$10*$I59,IF(AND(($C59+$C$1)&gt;AN$3,AN$3&gt;=$C$1),'General Inputs'!L$10*$H59,0))</f>
        <v>0.34852119438970536</v>
      </c>
      <c r="BJ59" s="214">
        <f>IF(AND(($D59+$C$1)&gt;AO$3,AO$3&gt;=$C$1),'General Inputs'!M$10*$I59,IF(AND(($C59+$C$1)&gt;AO$3,AO$3&gt;=$C$1),'General Inputs'!M$10*$H59,0))</f>
        <v>0.35374901230555095</v>
      </c>
      <c r="BK59" s="214">
        <f>IF(AND(($D59+$C$1)&gt;AP$3,AP$3&gt;=$C$1),'General Inputs'!N$10*$I59,IF(AND(($C59+$C$1)&gt;AP$3,AP$3&gt;=$C$1),'General Inputs'!N$10*$H59,0))</f>
        <v>0.35905524749013412</v>
      </c>
      <c r="BL59" s="214">
        <f>IF(AND(($D59+$C$1)&gt;AQ$3,AQ$3&gt;=$C$1),'General Inputs'!O$10*$I59,IF(AND(($C59+$C$1)&gt;AQ$3,AQ$3&gt;=$C$1),'General Inputs'!O$10*$H59,0))</f>
        <v>0.36444107620248611</v>
      </c>
      <c r="BM59" s="214">
        <f>IF(AND(($D59+$C$1)&gt;AR$3,AR$3&gt;=$C$1),'General Inputs'!P$10*$I59,IF(AND(($C59+$C$1)&gt;AR$3,AR$3&gt;=$C$1),'General Inputs'!P$10*$H59,0))</f>
        <v>0.3699076923455234</v>
      </c>
      <c r="BN59" s="214">
        <f>IF(AND(($D59+$C$1)&gt;AS$3,AS$3&gt;=$C$1),'General Inputs'!Q$10*$I59,IF(AND(($C59+$C$1)&gt;AS$3,AS$3&gt;=$C$1),'General Inputs'!Q$10*$H59,0))</f>
        <v>0.37545630773070621</v>
      </c>
      <c r="BO59" s="214">
        <f>IF(AND(($D59+$C$1)&gt;AT$3,AT$3&gt;=$C$1),'General Inputs'!R$10*$I59,IF(AND(($C59+$C$1)&gt;AT$3,AT$3&gt;=$C$1),'General Inputs'!R$10*$H59,0))</f>
        <v>0.38108815234666671</v>
      </c>
      <c r="BP59" s="214">
        <f>IF(AND(($D59+$C$1)&gt;AU$3,AU$3&gt;=$C$1),'General Inputs'!S$10*$I59,IF(AND(($C59+$C$1)&gt;AU$3,AU$3&gt;=$C$1),'General Inputs'!S$10*$H59,0))</f>
        <v>0.38680447463186673</v>
      </c>
      <c r="BQ59" s="214">
        <f>IF(AND(($D59+$C$1)&gt;AV$3,AV$3&gt;=$C$1),'General Inputs'!T$10*$I59,IF(AND(($C59+$C$1)&gt;AV$3,AV$3&gt;=$C$1),'General Inputs'!T$10*$H59,0))</f>
        <v>0.39260654175134468</v>
      </c>
      <c r="BR59" s="214">
        <f>IF(AND(($D59+$C$1)&gt;AW$3,AW$3&gt;=$C$1),'General Inputs'!U$10*$I59,IF(AND(($C59+$C$1)&gt;AW$3,AW$3&gt;=$C$1),'General Inputs'!U$10*$H59,0))</f>
        <v>0</v>
      </c>
      <c r="BS59" s="214">
        <f>IF(AND(($D59+$C$1)&gt;AX$3,AX$3&gt;=$C$1),'General Inputs'!V$10*$I59,IF(AND(($C59+$C$1)&gt;AX$3,AX$3&gt;=$C$1),'General Inputs'!V$10*$H59,0))</f>
        <v>0</v>
      </c>
      <c r="BT59" s="214">
        <f>IF(AND(($D59+$C$1)&gt;AY$3,AY$3&gt;=$C$1),'General Inputs'!W$10*$I59,IF(AND(($C59+$C$1)&gt;AY$3,AY$3&gt;=$C$1),'General Inputs'!W$10*$H59,0))</f>
        <v>0</v>
      </c>
    </row>
    <row r="60" spans="1:72">
      <c r="A60" s="342" t="s">
        <v>112</v>
      </c>
      <c r="B60" s="427" t="str">
        <f>Sources!B60</f>
        <v>Fluorescent Fixture Specular Reflector two 8-ft</v>
      </c>
      <c r="C60" s="193">
        <f>Sources!C60</f>
        <v>15</v>
      </c>
      <c r="D60" s="193">
        <f>Sources!D60</f>
        <v>0</v>
      </c>
      <c r="F60" s="429">
        <f>Sources!F60*EnergyLineLoss</f>
        <v>284.66752124999999</v>
      </c>
      <c r="G60" s="429">
        <f>Sources!G60*EnergyLineLoss</f>
        <v>0</v>
      </c>
      <c r="H60" s="477">
        <f>Sources!H60*PeakLineLoss</f>
        <v>4.4017974000000001E-2</v>
      </c>
      <c r="I60" s="477">
        <f>Sources!I60*PeakLineLoss</f>
        <v>0</v>
      </c>
      <c r="K60" s="419">
        <f>Sources!J60</f>
        <v>50</v>
      </c>
      <c r="L60" s="419">
        <f>Sources!K60</f>
        <v>0</v>
      </c>
      <c r="N60" s="438">
        <f t="shared" si="22"/>
        <v>2.3783896375269671</v>
      </c>
      <c r="P60" s="215">
        <f t="shared" si="23"/>
        <v>94.869182774563029</v>
      </c>
      <c r="Q60" s="215">
        <f t="shared" si="24"/>
        <v>5.5174627148764523</v>
      </c>
      <c r="R60" s="215">
        <f t="shared" si="25"/>
        <v>42.207821588821261</v>
      </c>
      <c r="T60" s="214">
        <f t="shared" si="26"/>
        <v>0</v>
      </c>
      <c r="U60" s="214">
        <f t="shared" si="26"/>
        <v>0</v>
      </c>
      <c r="V60" s="214">
        <f t="shared" si="26"/>
        <v>50</v>
      </c>
      <c r="W60" s="214">
        <f t="shared" si="26"/>
        <v>0</v>
      </c>
      <c r="X60" s="214">
        <f t="shared" si="26"/>
        <v>0</v>
      </c>
      <c r="Y60" s="214">
        <f t="shared" si="26"/>
        <v>0</v>
      </c>
      <c r="Z60" s="214">
        <f t="shared" si="26"/>
        <v>0</v>
      </c>
      <c r="AA60" s="214">
        <f t="shared" si="26"/>
        <v>0</v>
      </c>
      <c r="AB60" s="214">
        <f t="shared" si="26"/>
        <v>0</v>
      </c>
      <c r="AC60" s="214">
        <f t="shared" si="26"/>
        <v>0</v>
      </c>
      <c r="AD60" s="214">
        <f t="shared" si="26"/>
        <v>0</v>
      </c>
      <c r="AF60" s="214">
        <f>IF(AND(($D60+$C$1)&gt;AF$3,AF$3&gt;=$C$1),'General Inputs'!D$9*$G60,IF(AND(($C60+$C$1)&gt;AF$3,AF$3&gt;=$C$1),'General Inputs'!D$9*$F60,0))</f>
        <v>0</v>
      </c>
      <c r="AG60" s="214">
        <f>IF(AND(($D60+$C$1)&gt;AG$3,AG$3&gt;=$C$1),'General Inputs'!E$9*$G60,IF(AND(($C60+$C$1)&gt;AG$3,AG$3&gt;=$C$1),'General Inputs'!E$9*$F60,0))</f>
        <v>0</v>
      </c>
      <c r="AH60" s="214">
        <f>IF(AND(($D60+$C$1)&gt;AH$3,AH$3&gt;=$C$1),'General Inputs'!F$9*$G60,IF(AND(($C60+$C$1)&gt;AH$3,AH$3&gt;=$C$1),'General Inputs'!F$9*$F60,0))</f>
        <v>11.675807783429478</v>
      </c>
      <c r="AI60" s="214">
        <f>IF(AND(($D60+$C$1)&gt;AI$3,AI$3&gt;=$C$1),'General Inputs'!G$9*$G60,IF(AND(($C60+$C$1)&gt;AI$3,AI$3&gt;=$C$1),'General Inputs'!G$9*$F60,0))</f>
        <v>11.85094490018092</v>
      </c>
      <c r="AJ60" s="214">
        <f>IF(AND(($D60+$C$1)&gt;AJ$3,AJ$3&gt;=$C$1),'General Inputs'!H$9*$G60,IF(AND(($C60+$C$1)&gt;AJ$3,AJ$3&gt;=$C$1),'General Inputs'!H$9*$F60,0))</f>
        <v>12.028709073683633</v>
      </c>
      <c r="AK60" s="214">
        <f>IF(AND(($D60+$C$1)&gt;AK$3,AK$3&gt;=$C$1),'General Inputs'!I$9*$G60,IF(AND(($C60+$C$1)&gt;AK$3,AK$3&gt;=$C$1),'General Inputs'!I$9*$F60,0))</f>
        <v>12.209139709788884</v>
      </c>
      <c r="AL60" s="214">
        <f>IF(AND(($D60+$C$1)&gt;AL$3,AL$3&gt;=$C$1),'General Inputs'!J$9*$G60,IF(AND(($C60+$C$1)&gt;AL$3,AL$3&gt;=$C$1),'General Inputs'!J$9*$F60,0))</f>
        <v>12.392276805435717</v>
      </c>
      <c r="AM60" s="214">
        <f>IF(AND(($D60+$C$1)&gt;AM$3,AM$3&gt;=$C$1),'General Inputs'!K$9*$G60,IF(AND(($C60+$C$1)&gt;AM$3,AM$3&gt;=$C$1),'General Inputs'!K$9*$F60,0))</f>
        <v>12.57816095751725</v>
      </c>
      <c r="AN60" s="214">
        <f>IF(AND(($D60+$C$1)&gt;AN$3,AN$3&gt;=$C$1),'General Inputs'!L$9*$G60,IF(AND(($C60+$C$1)&gt;AN$3,AN$3&gt;=$C$1),'General Inputs'!L$9*$F60,0))</f>
        <v>12.766833371880008</v>
      </c>
      <c r="AO60" s="214">
        <f>IF(AND(($D60+$C$1)&gt;AO$3,AO$3&gt;=$C$1),'General Inputs'!M$9*$G60,IF(AND(($C60+$C$1)&gt;AO$3,AO$3&gt;=$C$1),'General Inputs'!M$9*$F60,0))</f>
        <v>12.958335872458205</v>
      </c>
      <c r="AP60" s="214">
        <f>IF(AND(($D60+$C$1)&gt;AP$3,AP$3&gt;=$C$1),'General Inputs'!N$9*$G60,IF(AND(($C60+$C$1)&gt;AP$3,AP$3&gt;=$C$1),'General Inputs'!N$9*$F60,0))</f>
        <v>13.152710910545078</v>
      </c>
      <c r="AQ60" s="214">
        <f>IF(AND(($D60+$C$1)&gt;AQ$3,AQ$3&gt;=$C$1),'General Inputs'!O$9*$G60,IF(AND(($C60+$C$1)&gt;AQ$3,AQ$3&gt;=$C$1),'General Inputs'!O$9*$F60,0))</f>
        <v>13.350001574203253</v>
      </c>
      <c r="AR60" s="214">
        <f>IF(AND(($D60+$C$1)&gt;AR$3,AR$3&gt;=$C$1),'General Inputs'!P$9*$G60,IF(AND(($C60+$C$1)&gt;AR$3,AR$3&gt;=$C$1),'General Inputs'!P$9*$F60,0))</f>
        <v>13.550251597816301</v>
      </c>
      <c r="AS60" s="214">
        <f>IF(AND(($D60+$C$1)&gt;AS$3,AS$3&gt;=$C$1),'General Inputs'!Q$9*$G60,IF(AND(($C60+$C$1)&gt;AS$3,AS$3&gt;=$C$1),'General Inputs'!Q$9*$F60,0))</f>
        <v>13.753505371783543</v>
      </c>
      <c r="AT60" s="214">
        <f>IF(AND(($D60+$C$1)&gt;AT$3,AT$3&gt;=$C$1),'General Inputs'!R$9*$G60,IF(AND(($C60+$C$1)&gt;AT$3,AT$3&gt;=$C$1),'General Inputs'!R$9*$F60,0))</f>
        <v>13.959807952360297</v>
      </c>
      <c r="AU60" s="214">
        <f>IF(AND(($D60+$C$1)&gt;AU$3,AU$3&gt;=$C$1),'General Inputs'!S$9*$G60,IF(AND(($C60+$C$1)&gt;AU$3,AU$3&gt;=$C$1),'General Inputs'!S$9*$F60,0))</f>
        <v>14.169205071645699</v>
      </c>
      <c r="AV60" s="214">
        <f>IF(AND(($D60+$C$1)&gt;AV$3,AV$3&gt;=$C$1),'General Inputs'!T$9*$G60,IF(AND(($C60+$C$1)&gt;AV$3,AV$3&gt;=$C$1),'General Inputs'!T$9*$F60,0))</f>
        <v>14.381743147720385</v>
      </c>
      <c r="AW60" s="214">
        <f>IF(AND(($D60+$C$1)&gt;AW$3,AW$3&gt;=$C$1),'General Inputs'!U$9*$G60,IF(AND(($C60+$C$1)&gt;AW$3,AW$3&gt;=$C$1),'General Inputs'!U$9*$F60,0))</f>
        <v>0</v>
      </c>
      <c r="AX60" s="214">
        <f>IF(AND(($D60+$C$1)&gt;AX$3,AX$3&gt;=$C$1),'General Inputs'!V$9*$G60,IF(AND(($C60+$C$1)&gt;AX$3,AX$3&gt;=$C$1),'General Inputs'!V$9*$F60,0))</f>
        <v>0</v>
      </c>
      <c r="AY60" s="214">
        <f>IF(AND(($D60+$C$1)&gt;AY$3,AY$3&gt;=$C$1),'General Inputs'!W$9*$G60,IF(AND(($C60+$C$1)&gt;AY$3,AY$3&gt;=$C$1),'General Inputs'!W$9*$F60,0))</f>
        <v>0</v>
      </c>
      <c r="BA60" s="214">
        <f>IF(AND(($D60+$C$1)&gt;AF$3,AF$3&gt;=$C$1),'General Inputs'!D$10*$I60,IF(AND(($C60+$C$1)&gt;AF$3,AF$3&gt;=$C$1),'General Inputs'!D$10*$H60,0))</f>
        <v>0</v>
      </c>
      <c r="BB60" s="214">
        <f>IF(AND(($D60+$C$1)&gt;AG$3,AG$3&gt;=$C$1),'General Inputs'!E$10*$I60,IF(AND(($C60+$C$1)&gt;AG$3,AG$3&gt;=$C$1),'General Inputs'!E$10*$H60,0))</f>
        <v>0</v>
      </c>
      <c r="BC60" s="214">
        <f>IF(AND(($D60+$C$1)&gt;AH$3,AH$3&gt;=$C$1),'General Inputs'!F$10*$I60,IF(AND(($C60+$C$1)&gt;AH$3,AH$3&gt;=$C$1),'General Inputs'!F$10*$H60,0))</f>
        <v>0.67904910980649213</v>
      </c>
      <c r="BD60" s="214">
        <f>IF(AND(($D60+$C$1)&gt;AI$3,AI$3&gt;=$C$1),'General Inputs'!G$10*$I60,IF(AND(($C60+$C$1)&gt;AI$3,AI$3&gt;=$C$1),'General Inputs'!G$10*$H60,0))</f>
        <v>0.68923484645358946</v>
      </c>
      <c r="BE60" s="214">
        <f>IF(AND(($D60+$C$1)&gt;AJ$3,AJ$3&gt;=$C$1),'General Inputs'!H$10*$I60,IF(AND(($C60+$C$1)&gt;AJ$3,AJ$3&gt;=$C$1),'General Inputs'!H$10*$H60,0))</f>
        <v>0.69957336915039325</v>
      </c>
      <c r="BF60" s="214">
        <f>IF(AND(($D60+$C$1)&gt;AK$3,AK$3&gt;=$C$1),'General Inputs'!I$10*$I60,IF(AND(($C60+$C$1)&gt;AK$3,AK$3&gt;=$C$1),'General Inputs'!I$10*$H60,0))</f>
        <v>0.71006696968764904</v>
      </c>
      <c r="BG60" s="214">
        <f>IF(AND(($D60+$C$1)&gt;AL$3,AL$3&gt;=$C$1),'General Inputs'!J$10*$I60,IF(AND(($C60+$C$1)&gt;AL$3,AL$3&gt;=$C$1),'General Inputs'!J$10*$H60,0))</f>
        <v>0.72071797423296369</v>
      </c>
      <c r="BH60" s="214">
        <f>IF(AND(($D60+$C$1)&gt;AM$3,AM$3&gt;=$C$1),'General Inputs'!K$10*$I60,IF(AND(($C60+$C$1)&gt;AM$3,AM$3&gt;=$C$1),'General Inputs'!K$10*$H60,0))</f>
        <v>0.73152874384645805</v>
      </c>
      <c r="BI60" s="214">
        <f>IF(AND(($D60+$C$1)&gt;AN$3,AN$3&gt;=$C$1),'General Inputs'!L$10*$I60,IF(AND(($C60+$C$1)&gt;AN$3,AN$3&gt;=$C$1),'General Inputs'!L$10*$H60,0))</f>
        <v>0.74250167500415487</v>
      </c>
      <c r="BJ60" s="214">
        <f>IF(AND(($D60+$C$1)&gt;AO$3,AO$3&gt;=$C$1),'General Inputs'!M$10*$I60,IF(AND(($C60+$C$1)&gt;AO$3,AO$3&gt;=$C$1),'General Inputs'!M$10*$H60,0))</f>
        <v>0.75363920012921715</v>
      </c>
      <c r="BK60" s="214">
        <f>IF(AND(($D60+$C$1)&gt;AP$3,AP$3&gt;=$C$1),'General Inputs'!N$10*$I60,IF(AND(($C60+$C$1)&gt;AP$3,AP$3&gt;=$C$1),'General Inputs'!N$10*$H60,0))</f>
        <v>0.76494378813115527</v>
      </c>
      <c r="BL60" s="214">
        <f>IF(AND(($D60+$C$1)&gt;AQ$3,AQ$3&gt;=$C$1),'General Inputs'!O$10*$I60,IF(AND(($C60+$C$1)&gt;AQ$3,AQ$3&gt;=$C$1),'General Inputs'!O$10*$H60,0))</f>
        <v>0.77641794495312255</v>
      </c>
      <c r="BM60" s="214">
        <f>IF(AND(($D60+$C$1)&gt;AR$3,AR$3&gt;=$C$1),'General Inputs'!P$10*$I60,IF(AND(($C60+$C$1)&gt;AR$3,AR$3&gt;=$C$1),'General Inputs'!P$10*$H60,0))</f>
        <v>0.78806421412741934</v>
      </c>
      <c r="BN60" s="214">
        <f>IF(AND(($D60+$C$1)&gt;AS$3,AS$3&gt;=$C$1),'General Inputs'!Q$10*$I60,IF(AND(($C60+$C$1)&gt;AS$3,AS$3&gt;=$C$1),'General Inputs'!Q$10*$H60,0))</f>
        <v>0.79988517733933062</v>
      </c>
      <c r="BO60" s="214">
        <f>IF(AND(($D60+$C$1)&gt;AT$3,AT$3&gt;=$C$1),'General Inputs'!R$10*$I60,IF(AND(($C60+$C$1)&gt;AT$3,AT$3&gt;=$C$1),'General Inputs'!R$10*$H60,0))</f>
        <v>0.81188345499942038</v>
      </c>
      <c r="BP60" s="214">
        <f>IF(AND(($D60+$C$1)&gt;AU$3,AU$3&gt;=$C$1),'General Inputs'!S$10*$I60,IF(AND(($C60+$C$1)&gt;AU$3,AU$3&gt;=$C$1),'General Inputs'!S$10*$H60,0))</f>
        <v>0.82406170682441171</v>
      </c>
      <c r="BQ60" s="214">
        <f>IF(AND(($D60+$C$1)&gt;AV$3,AV$3&gt;=$C$1),'General Inputs'!T$10*$I60,IF(AND(($C60+$C$1)&gt;AV$3,AV$3&gt;=$C$1),'General Inputs'!T$10*$H60,0))</f>
        <v>0.83642263242677772</v>
      </c>
      <c r="BR60" s="214">
        <f>IF(AND(($D60+$C$1)&gt;AW$3,AW$3&gt;=$C$1),'General Inputs'!U$10*$I60,IF(AND(($C60+$C$1)&gt;AW$3,AW$3&gt;=$C$1),'General Inputs'!U$10*$H60,0))</f>
        <v>0</v>
      </c>
      <c r="BS60" s="214">
        <f>IF(AND(($D60+$C$1)&gt;AX$3,AX$3&gt;=$C$1),'General Inputs'!V$10*$I60,IF(AND(($C60+$C$1)&gt;AX$3,AX$3&gt;=$C$1),'General Inputs'!V$10*$H60,0))</f>
        <v>0</v>
      </c>
      <c r="BT60" s="214">
        <f>IF(AND(($D60+$C$1)&gt;AY$3,AY$3&gt;=$C$1),'General Inputs'!W$10*$I60,IF(AND(($C60+$C$1)&gt;AY$3,AY$3&gt;=$C$1),'General Inputs'!W$10*$H60,0))</f>
        <v>0</v>
      </c>
    </row>
    <row r="61" spans="1:72">
      <c r="A61" s="342" t="s">
        <v>112</v>
      </c>
      <c r="B61" s="427" t="str">
        <f>Sources!B61</f>
        <v>High Bay Fluorescent Fixture (replace 400W HID)</v>
      </c>
      <c r="C61" s="193">
        <f>Sources!C61</f>
        <v>18</v>
      </c>
      <c r="D61" s="193">
        <f>Sources!D61</f>
        <v>0</v>
      </c>
      <c r="F61" s="429">
        <f>Sources!F61*EnergyLineLoss</f>
        <v>1405.9089825000001</v>
      </c>
      <c r="G61" s="429">
        <f>Sources!G61*EnergyLineLoss</f>
        <v>0</v>
      </c>
      <c r="H61" s="477">
        <f>Sources!H61*PeakLineLoss</f>
        <v>0.21739489200000001</v>
      </c>
      <c r="I61" s="477">
        <f>Sources!I61*PeakLineLoss</f>
        <v>0</v>
      </c>
      <c r="K61" s="419">
        <f>Sources!J61</f>
        <v>102</v>
      </c>
      <c r="L61" s="419">
        <f>Sources!K61</f>
        <v>0</v>
      </c>
      <c r="N61" s="438">
        <f t="shared" si="22"/>
        <v>6.3462042757834594</v>
      </c>
      <c r="P61" s="215">
        <f t="shared" si="23"/>
        <v>516.40016248122583</v>
      </c>
      <c r="Q61" s="215">
        <f t="shared" si="24"/>
        <v>30.033131509279293</v>
      </c>
      <c r="R61" s="215">
        <f t="shared" si="25"/>
        <v>86.103956041195374</v>
      </c>
      <c r="T61" s="214">
        <f t="shared" si="26"/>
        <v>0</v>
      </c>
      <c r="U61" s="214">
        <f t="shared" si="26"/>
        <v>0</v>
      </c>
      <c r="V61" s="214">
        <f t="shared" si="26"/>
        <v>102</v>
      </c>
      <c r="W61" s="214">
        <f t="shared" si="26"/>
        <v>0</v>
      </c>
      <c r="X61" s="214">
        <f t="shared" si="26"/>
        <v>0</v>
      </c>
      <c r="Y61" s="214">
        <f t="shared" si="26"/>
        <v>0</v>
      </c>
      <c r="Z61" s="214">
        <f t="shared" si="26"/>
        <v>0</v>
      </c>
      <c r="AA61" s="214">
        <f t="shared" si="26"/>
        <v>0</v>
      </c>
      <c r="AB61" s="214">
        <f t="shared" si="26"/>
        <v>0</v>
      </c>
      <c r="AC61" s="214">
        <f t="shared" si="26"/>
        <v>0</v>
      </c>
      <c r="AD61" s="214">
        <f t="shared" si="26"/>
        <v>0</v>
      </c>
      <c r="AF61" s="214">
        <f>IF(AND(($D61+$C$1)&gt;AF$3,AF$3&gt;=$C$1),'General Inputs'!D$9*$G61,IF(AND(($C61+$C$1)&gt;AF$3,AF$3&gt;=$C$1),'General Inputs'!D$9*$F61,0))</f>
        <v>0</v>
      </c>
      <c r="AG61" s="214">
        <f>IF(AND(($D61+$C$1)&gt;AG$3,AG$3&gt;=$C$1),'General Inputs'!E$9*$G61,IF(AND(($C61+$C$1)&gt;AG$3,AG$3&gt;=$C$1),'General Inputs'!E$9*$F61,0))</f>
        <v>0</v>
      </c>
      <c r="AH61" s="214">
        <f>IF(AND(($D61+$C$1)&gt;AH$3,AH$3&gt;=$C$1),'General Inputs'!F$9*$G61,IF(AND(($C61+$C$1)&gt;AH$3,AH$3&gt;=$C$1),'General Inputs'!F$9*$F61,0))</f>
        <v>57.664193542651716</v>
      </c>
      <c r="AI61" s="214">
        <f>IF(AND(($D61+$C$1)&gt;AI$3,AI$3&gt;=$C$1),'General Inputs'!G$9*$G61,IF(AND(($C61+$C$1)&gt;AI$3,AI$3&gt;=$C$1),'General Inputs'!G$9*$F61,0))</f>
        <v>58.529156445791486</v>
      </c>
      <c r="AJ61" s="214">
        <f>IF(AND(($D61+$C$1)&gt;AJ$3,AJ$3&gt;=$C$1),'General Inputs'!H$9*$G61,IF(AND(($C61+$C$1)&gt;AJ$3,AJ$3&gt;=$C$1),'General Inputs'!H$9*$F61,0))</f>
        <v>59.407093792478349</v>
      </c>
      <c r="AK61" s="214">
        <f>IF(AND(($D61+$C$1)&gt;AK$3,AK$3&gt;=$C$1),'General Inputs'!I$9*$G61,IF(AND(($C61+$C$1)&gt;AK$3,AK$3&gt;=$C$1),'General Inputs'!I$9*$F61,0))</f>
        <v>60.298200199365517</v>
      </c>
      <c r="AL61" s="214">
        <f>IF(AND(($D61+$C$1)&gt;AL$3,AL$3&gt;=$C$1),'General Inputs'!J$9*$G61,IF(AND(($C61+$C$1)&gt;AL$3,AL$3&gt;=$C$1),'General Inputs'!J$9*$F61,0))</f>
        <v>61.202673202355989</v>
      </c>
      <c r="AM61" s="214">
        <f>IF(AND(($D61+$C$1)&gt;AM$3,AM$3&gt;=$C$1),'General Inputs'!K$9*$G61,IF(AND(($C61+$C$1)&gt;AM$3,AM$3&gt;=$C$1),'General Inputs'!K$9*$F61,0))</f>
        <v>62.120713300391323</v>
      </c>
      <c r="AN61" s="214">
        <f>IF(AND(($D61+$C$1)&gt;AN$3,AN$3&gt;=$C$1),'General Inputs'!L$9*$G61,IF(AND(($C61+$C$1)&gt;AN$3,AN$3&gt;=$C$1),'General Inputs'!L$9*$F61,0))</f>
        <v>63.05252399989719</v>
      </c>
      <c r="AO61" s="214">
        <f>IF(AND(($D61+$C$1)&gt;AO$3,AO$3&gt;=$C$1),'General Inputs'!M$9*$G61,IF(AND(($C61+$C$1)&gt;AO$3,AO$3&gt;=$C$1),'General Inputs'!M$9*$F61,0))</f>
        <v>63.998311859895637</v>
      </c>
      <c r="AP61" s="214">
        <f>IF(AND(($D61+$C$1)&gt;AP$3,AP$3&gt;=$C$1),'General Inputs'!N$9*$G61,IF(AND(($C61+$C$1)&gt;AP$3,AP$3&gt;=$C$1),'General Inputs'!N$9*$F61,0))</f>
        <v>64.958286537794066</v>
      </c>
      <c r="AQ61" s="214">
        <f>IF(AND(($D61+$C$1)&gt;AQ$3,AQ$3&gt;=$C$1),'General Inputs'!O$9*$G61,IF(AND(($C61+$C$1)&gt;AQ$3,AQ$3&gt;=$C$1),'General Inputs'!O$9*$F61,0))</f>
        <v>65.932660835860972</v>
      </c>
      <c r="AR61" s="214">
        <f>IF(AND(($D61+$C$1)&gt;AR$3,AR$3&gt;=$C$1),'General Inputs'!P$9*$G61,IF(AND(($C61+$C$1)&gt;AR$3,AR$3&gt;=$C$1),'General Inputs'!P$9*$F61,0))</f>
        <v>66.921650748398875</v>
      </c>
      <c r="AS61" s="214">
        <f>IF(AND(($D61+$C$1)&gt;AS$3,AS$3&gt;=$C$1),'General Inputs'!Q$9*$G61,IF(AND(($C61+$C$1)&gt;AS$3,AS$3&gt;=$C$1),'General Inputs'!Q$9*$F61,0))</f>
        <v>67.92547550962486</v>
      </c>
      <c r="AT61" s="214">
        <f>IF(AND(($D61+$C$1)&gt;AT$3,AT$3&gt;=$C$1),'General Inputs'!R$9*$G61,IF(AND(($C61+$C$1)&gt;AT$3,AT$3&gt;=$C$1),'General Inputs'!R$9*$F61,0))</f>
        <v>68.944357642269225</v>
      </c>
      <c r="AU61" s="214">
        <f>IF(AND(($D61+$C$1)&gt;AU$3,AU$3&gt;=$C$1),'General Inputs'!S$9*$G61,IF(AND(($C61+$C$1)&gt;AU$3,AU$3&gt;=$C$1),'General Inputs'!S$9*$F61,0))</f>
        <v>69.978523006903259</v>
      </c>
      <c r="AV61" s="214">
        <f>IF(AND(($D61+$C$1)&gt;AV$3,AV$3&gt;=$C$1),'General Inputs'!T$9*$G61,IF(AND(($C61+$C$1)&gt;AV$3,AV$3&gt;=$C$1),'General Inputs'!T$9*$F61,0))</f>
        <v>71.028200852006805</v>
      </c>
      <c r="AW61" s="214">
        <f>IF(AND(($D61+$C$1)&gt;AW$3,AW$3&gt;=$C$1),'General Inputs'!U$9*$G61,IF(AND(($C61+$C$1)&gt;AW$3,AW$3&gt;=$C$1),'General Inputs'!U$9*$F61,0))</f>
        <v>72.093623864786906</v>
      </c>
      <c r="AX61" s="214">
        <f>IF(AND(($D61+$C$1)&gt;AX$3,AX$3&gt;=$C$1),'General Inputs'!V$9*$G61,IF(AND(($C61+$C$1)&gt;AX$3,AX$3&gt;=$C$1),'General Inputs'!V$9*$F61,0))</f>
        <v>73.175028222758698</v>
      </c>
      <c r="AY61" s="214">
        <f>IF(AND(($D61+$C$1)&gt;AY$3,AY$3&gt;=$C$1),'General Inputs'!W$9*$G61,IF(AND(($C61+$C$1)&gt;AY$3,AY$3&gt;=$C$1),'General Inputs'!W$9*$F61,0))</f>
        <v>74.272653646100068</v>
      </c>
      <c r="BA61" s="214">
        <f>IF(AND(($D61+$C$1)&gt;AF$3,AF$3&gt;=$C$1),'General Inputs'!D$10*$I61,IF(AND(($C61+$C$1)&gt;AF$3,AF$3&gt;=$C$1),'General Inputs'!D$10*$H61,0))</f>
        <v>0</v>
      </c>
      <c r="BB61" s="214">
        <f>IF(AND(($D61+$C$1)&gt;AG$3,AG$3&gt;=$C$1),'General Inputs'!E$10*$I61,IF(AND(($C61+$C$1)&gt;AG$3,AG$3&gt;=$C$1),'General Inputs'!E$10*$H61,0))</f>
        <v>0</v>
      </c>
      <c r="BC61" s="214">
        <f>IF(AND(($D61+$C$1)&gt;AH$3,AH$3&gt;=$C$1),'General Inputs'!F$10*$I61,IF(AND(($C61+$C$1)&gt;AH$3,AH$3&gt;=$C$1),'General Inputs'!F$10*$H61,0))</f>
        <v>3.3536711137381854</v>
      </c>
      <c r="BD61" s="214">
        <f>IF(AND(($D61+$C$1)&gt;AI$3,AI$3&gt;=$C$1),'General Inputs'!G$10*$I61,IF(AND(($C61+$C$1)&gt;AI$3,AI$3&gt;=$C$1),'General Inputs'!G$10*$H61,0))</f>
        <v>3.4039761804442583</v>
      </c>
      <c r="BE61" s="214">
        <f>IF(AND(($D61+$C$1)&gt;AJ$3,AJ$3&gt;=$C$1),'General Inputs'!H$10*$I61,IF(AND(($C61+$C$1)&gt;AJ$3,AJ$3&gt;=$C$1),'General Inputs'!H$10*$H61,0))</f>
        <v>3.4550358231509217</v>
      </c>
      <c r="BF61" s="214">
        <f>IF(AND(($D61+$C$1)&gt;AK$3,AK$3&gt;=$C$1),'General Inputs'!I$10*$I61,IF(AND(($C61+$C$1)&gt;AK$3,AK$3&gt;=$C$1),'General Inputs'!I$10*$H61,0))</f>
        <v>3.5068613604981849</v>
      </c>
      <c r="BG61" s="214">
        <f>IF(AND(($D61+$C$1)&gt;AL$3,AL$3&gt;=$C$1),'General Inputs'!J$10*$I61,IF(AND(($C61+$C$1)&gt;AL$3,AL$3&gt;=$C$1),'General Inputs'!J$10*$H61,0))</f>
        <v>3.5594642809056571</v>
      </c>
      <c r="BH61" s="214">
        <f>IF(AND(($D61+$C$1)&gt;AM$3,AM$3&gt;=$C$1),'General Inputs'!K$10*$I61,IF(AND(($C61+$C$1)&gt;AM$3,AM$3&gt;=$C$1),'General Inputs'!K$10*$H61,0))</f>
        <v>3.6128562451192416</v>
      </c>
      <c r="BI61" s="214">
        <f>IF(AND(($D61+$C$1)&gt;AN$3,AN$3&gt;=$C$1),'General Inputs'!L$10*$I61,IF(AND(($C61+$C$1)&gt;AN$3,AN$3&gt;=$C$1),'General Inputs'!L$10*$H61,0))</f>
        <v>3.6670490887960301</v>
      </c>
      <c r="BJ61" s="214">
        <f>IF(AND(($D61+$C$1)&gt;AO$3,AO$3&gt;=$C$1),'General Inputs'!M$10*$I61,IF(AND(($C61+$C$1)&gt;AO$3,AO$3&gt;=$C$1),'General Inputs'!M$10*$H61,0))</f>
        <v>3.7220548251279708</v>
      </c>
      <c r="BK61" s="214">
        <f>IF(AND(($D61+$C$1)&gt;AP$3,AP$3&gt;=$C$1),'General Inputs'!N$10*$I61,IF(AND(($C61+$C$1)&gt;AP$3,AP$3&gt;=$C$1),'General Inputs'!N$10*$H61,0))</f>
        <v>3.7778856475048896</v>
      </c>
      <c r="BL61" s="214">
        <f>IF(AND(($D61+$C$1)&gt;AQ$3,AQ$3&gt;=$C$1),'General Inputs'!O$10*$I61,IF(AND(($C61+$C$1)&gt;AQ$3,AQ$3&gt;=$C$1),'General Inputs'!O$10*$H61,0))</f>
        <v>3.8345539322174624</v>
      </c>
      <c r="BM61" s="214">
        <f>IF(AND(($D61+$C$1)&gt;AR$3,AR$3&gt;=$C$1),'General Inputs'!P$10*$I61,IF(AND(($C61+$C$1)&gt;AR$3,AR$3&gt;=$C$1),'General Inputs'!P$10*$H61,0))</f>
        <v>3.892072241200724</v>
      </c>
      <c r="BN61" s="214">
        <f>IF(AND(($D61+$C$1)&gt;AS$3,AS$3&gt;=$C$1),'General Inputs'!Q$10*$I61,IF(AND(($C61+$C$1)&gt;AS$3,AS$3&gt;=$C$1),'General Inputs'!Q$10*$H61,0))</f>
        <v>3.9504533248187346</v>
      </c>
      <c r="BO61" s="214">
        <f>IF(AND(($D61+$C$1)&gt;AT$3,AT$3&gt;=$C$1),'General Inputs'!R$10*$I61,IF(AND(($C61+$C$1)&gt;AT$3,AT$3&gt;=$C$1),'General Inputs'!R$10*$H61,0))</f>
        <v>4.009710124691015</v>
      </c>
      <c r="BP61" s="214">
        <f>IF(AND(($D61+$C$1)&gt;AU$3,AU$3&gt;=$C$1),'General Inputs'!S$10*$I61,IF(AND(($C61+$C$1)&gt;AU$3,AU$3&gt;=$C$1),'General Inputs'!S$10*$H61,0))</f>
        <v>4.0698557765613801</v>
      </c>
      <c r="BQ61" s="214">
        <f>IF(AND(($D61+$C$1)&gt;AV$3,AV$3&gt;=$C$1),'General Inputs'!T$10*$I61,IF(AND(($C61+$C$1)&gt;AV$3,AV$3&gt;=$C$1),'General Inputs'!T$10*$H61,0))</f>
        <v>4.1309036132098003</v>
      </c>
      <c r="BR61" s="214">
        <f>IF(AND(($D61+$C$1)&gt;AW$3,AW$3&gt;=$C$1),'General Inputs'!U$10*$I61,IF(AND(($C61+$C$1)&gt;AW$3,AW$3&gt;=$C$1),'General Inputs'!U$10*$H61,0))</f>
        <v>4.1928671674079467</v>
      </c>
      <c r="BS61" s="214">
        <f>IF(AND(($D61+$C$1)&gt;AX$3,AX$3&gt;=$C$1),'General Inputs'!V$10*$I61,IF(AND(($C61+$C$1)&gt;AX$3,AX$3&gt;=$C$1),'General Inputs'!V$10*$H61,0))</f>
        <v>4.2557601749190654</v>
      </c>
      <c r="BT61" s="214">
        <f>IF(AND(($D61+$C$1)&gt;AY$3,AY$3&gt;=$C$1),'General Inputs'!W$10*$I61,IF(AND(($C61+$C$1)&gt;AY$3,AY$3&gt;=$C$1),'General Inputs'!W$10*$H61,0))</f>
        <v>4.3195965775428506</v>
      </c>
    </row>
    <row r="62" spans="1:72">
      <c r="A62" s="342" t="s">
        <v>112</v>
      </c>
      <c r="B62" s="427" t="str">
        <f>Sources!B62</f>
        <v>High Bay Fluorescent Fixture (replace 1000 W HID)</v>
      </c>
      <c r="C62" s="193">
        <f>Sources!C62</f>
        <v>18</v>
      </c>
      <c r="D62" s="193">
        <f>Sources!D62</f>
        <v>0</v>
      </c>
      <c r="F62" s="429">
        <f>Sources!F62*EnergyLineLoss</f>
        <v>2835.0561299999999</v>
      </c>
      <c r="G62" s="429">
        <f>Sources!G62*EnergyLineLoss</f>
        <v>0</v>
      </c>
      <c r="H62" s="477">
        <f>Sources!H62*PeakLineLoss</f>
        <v>0.43838308800000003</v>
      </c>
      <c r="I62" s="477">
        <f>Sources!I62*PeakLineLoss</f>
        <v>0</v>
      </c>
      <c r="K62" s="419">
        <f>Sources!J62</f>
        <v>169</v>
      </c>
      <c r="L62" s="419">
        <f>Sources!K62</f>
        <v>0</v>
      </c>
      <c r="N62" s="438">
        <f t="shared" si="22"/>
        <v>7.7238169111300632</v>
      </c>
      <c r="P62" s="215">
        <f t="shared" si="23"/>
        <v>1041.3358648381738</v>
      </c>
      <c r="Q62" s="215">
        <f t="shared" si="24"/>
        <v>60.562678415406197</v>
      </c>
      <c r="R62" s="215">
        <f t="shared" si="25"/>
        <v>142.66243697021588</v>
      </c>
      <c r="T62" s="214">
        <f t="shared" si="26"/>
        <v>0</v>
      </c>
      <c r="U62" s="214">
        <f t="shared" si="26"/>
        <v>0</v>
      </c>
      <c r="V62" s="214">
        <f t="shared" si="26"/>
        <v>169</v>
      </c>
      <c r="W62" s="214">
        <f t="shared" si="26"/>
        <v>0</v>
      </c>
      <c r="X62" s="214">
        <f t="shared" si="26"/>
        <v>0</v>
      </c>
      <c r="Y62" s="214">
        <f t="shared" si="26"/>
        <v>0</v>
      </c>
      <c r="Z62" s="214">
        <f t="shared" si="26"/>
        <v>0</v>
      </c>
      <c r="AA62" s="214">
        <f t="shared" si="26"/>
        <v>0</v>
      </c>
      <c r="AB62" s="214">
        <f t="shared" si="26"/>
        <v>0</v>
      </c>
      <c r="AC62" s="214">
        <f t="shared" si="26"/>
        <v>0</v>
      </c>
      <c r="AD62" s="214">
        <f t="shared" si="26"/>
        <v>0</v>
      </c>
      <c r="AF62" s="214">
        <f>IF(AND(($D62+$C$1)&gt;AF$3,AF$3&gt;=$C$1),'General Inputs'!D$9*$G62,IF(AND(($C62+$C$1)&gt;AF$3,AF$3&gt;=$C$1),'General Inputs'!D$9*$F62,0))</f>
        <v>0</v>
      </c>
      <c r="AG62" s="214">
        <f>IF(AND(($D62+$C$1)&gt;AG$3,AG$3&gt;=$C$1),'General Inputs'!E$9*$G62,IF(AND(($C62+$C$1)&gt;AG$3,AG$3&gt;=$C$1),'General Inputs'!E$9*$F62,0))</f>
        <v>0</v>
      </c>
      <c r="AH62" s="214">
        <f>IF(AND(($D62+$C$1)&gt;AH$3,AH$3&gt;=$C$1),'General Inputs'!F$9*$G62,IF(AND(($C62+$C$1)&gt;AH$3,AH$3&gt;=$C$1),'General Inputs'!F$9*$F62,0))</f>
        <v>116.28151425129766</v>
      </c>
      <c r="AI62" s="214">
        <f>IF(AND(($D62+$C$1)&gt;AI$3,AI$3&gt;=$C$1),'General Inputs'!G$9*$G62,IF(AND(($C62+$C$1)&gt;AI$3,AI$3&gt;=$C$1),'General Inputs'!G$9*$F62,0))</f>
        <v>118.02573696506713</v>
      </c>
      <c r="AJ62" s="214">
        <f>IF(AND(($D62+$C$1)&gt;AJ$3,AJ$3&gt;=$C$1),'General Inputs'!H$9*$G62,IF(AND(($C62+$C$1)&gt;AJ$3,AJ$3&gt;=$C$1),'General Inputs'!H$9*$F62,0))</f>
        <v>119.79612301954312</v>
      </c>
      <c r="AK62" s="214">
        <f>IF(AND(($D62+$C$1)&gt;AK$3,AK$3&gt;=$C$1),'General Inputs'!I$9*$G62,IF(AND(($C62+$C$1)&gt;AK$3,AK$3&gt;=$C$1),'General Inputs'!I$9*$F62,0))</f>
        <v>121.59306486483624</v>
      </c>
      <c r="AL62" s="214">
        <f>IF(AND(($D62+$C$1)&gt;AL$3,AL$3&gt;=$C$1),'General Inputs'!J$9*$G62,IF(AND(($C62+$C$1)&gt;AL$3,AL$3&gt;=$C$1),'General Inputs'!J$9*$F62,0))</f>
        <v>123.41696083780877</v>
      </c>
      <c r="AM62" s="214">
        <f>IF(AND(($D62+$C$1)&gt;AM$3,AM$3&gt;=$C$1),'General Inputs'!K$9*$G62,IF(AND(($C62+$C$1)&gt;AM$3,AM$3&gt;=$C$1),'General Inputs'!K$9*$F62,0))</f>
        <v>125.26821525037587</v>
      </c>
      <c r="AN62" s="214">
        <f>IF(AND(($D62+$C$1)&gt;AN$3,AN$3&gt;=$C$1),'General Inputs'!L$9*$G62,IF(AND(($C62+$C$1)&gt;AN$3,AN$3&gt;=$C$1),'General Inputs'!L$9*$F62,0))</f>
        <v>127.1472384791315</v>
      </c>
      <c r="AO62" s="214">
        <f>IF(AND(($D62+$C$1)&gt;AO$3,AO$3&gt;=$C$1),'General Inputs'!M$9*$G62,IF(AND(($C62+$C$1)&gt;AO$3,AO$3&gt;=$C$1),'General Inputs'!M$9*$F62,0))</f>
        <v>129.05444705631845</v>
      </c>
      <c r="AP62" s="214">
        <f>IF(AND(($D62+$C$1)&gt;AP$3,AP$3&gt;=$C$1),'General Inputs'!N$9*$G62,IF(AND(($C62+$C$1)&gt;AP$3,AP$3&gt;=$C$1),'General Inputs'!N$9*$F62,0))</f>
        <v>130.99026376216324</v>
      </c>
      <c r="AQ62" s="214">
        <f>IF(AND(($D62+$C$1)&gt;AQ$3,AQ$3&gt;=$C$1),'General Inputs'!O$9*$G62,IF(AND(($C62+$C$1)&gt;AQ$3,AQ$3&gt;=$C$1),'General Inputs'!O$9*$F62,0))</f>
        <v>132.95511771859566</v>
      </c>
      <c r="AR62" s="214">
        <f>IF(AND(($D62+$C$1)&gt;AR$3,AR$3&gt;=$C$1),'General Inputs'!P$9*$G62,IF(AND(($C62+$C$1)&gt;AR$3,AR$3&gt;=$C$1),'General Inputs'!P$9*$F62,0))</f>
        <v>134.94944448437457</v>
      </c>
      <c r="AS62" s="214">
        <f>IF(AND(($D62+$C$1)&gt;AS$3,AS$3&gt;=$C$1),'General Inputs'!Q$9*$G62,IF(AND(($C62+$C$1)&gt;AS$3,AS$3&gt;=$C$1),'General Inputs'!Q$9*$F62,0))</f>
        <v>136.97368615164018</v>
      </c>
      <c r="AT62" s="214">
        <f>IF(AND(($D62+$C$1)&gt;AT$3,AT$3&gt;=$C$1),'General Inputs'!R$9*$G62,IF(AND(($C62+$C$1)&gt;AT$3,AT$3&gt;=$C$1),'General Inputs'!R$9*$F62,0))</f>
        <v>139.02829144391478</v>
      </c>
      <c r="AU62" s="214">
        <f>IF(AND(($D62+$C$1)&gt;AU$3,AU$3&gt;=$C$1),'General Inputs'!S$9*$G62,IF(AND(($C62+$C$1)&gt;AU$3,AU$3&gt;=$C$1),'General Inputs'!S$9*$F62,0))</f>
        <v>141.1137158155735</v>
      </c>
      <c r="AV62" s="214">
        <f>IF(AND(($D62+$C$1)&gt;AV$3,AV$3&gt;=$C$1),'General Inputs'!T$9*$G62,IF(AND(($C62+$C$1)&gt;AV$3,AV$3&gt;=$C$1),'General Inputs'!T$9*$F62,0))</f>
        <v>143.23042155280709</v>
      </c>
      <c r="AW62" s="214">
        <f>IF(AND(($D62+$C$1)&gt;AW$3,AW$3&gt;=$C$1),'General Inputs'!U$9*$G62,IF(AND(($C62+$C$1)&gt;AW$3,AW$3&gt;=$C$1),'General Inputs'!U$9*$F62,0))</f>
        <v>145.37887787609918</v>
      </c>
      <c r="AX62" s="214">
        <f>IF(AND(($D62+$C$1)&gt;AX$3,AX$3&gt;=$C$1),'General Inputs'!V$9*$G62,IF(AND(($C62+$C$1)&gt;AX$3,AX$3&gt;=$C$1),'General Inputs'!V$9*$F62,0))</f>
        <v>147.55956104424067</v>
      </c>
      <c r="AY62" s="214">
        <f>IF(AND(($D62+$C$1)&gt;AY$3,AY$3&gt;=$C$1),'General Inputs'!W$9*$G62,IF(AND(($C62+$C$1)&gt;AY$3,AY$3&gt;=$C$1),'General Inputs'!W$9*$F62,0))</f>
        <v>149.77295445990427</v>
      </c>
      <c r="BA62" s="214">
        <f>IF(AND(($D62+$C$1)&gt;AF$3,AF$3&gt;=$C$1),'General Inputs'!D$10*$I62,IF(AND(($C62+$C$1)&gt;AF$3,AF$3&gt;=$C$1),'General Inputs'!D$10*$H62,0))</f>
        <v>0</v>
      </c>
      <c r="BB62" s="214">
        <f>IF(AND(($D62+$C$1)&gt;AG$3,AG$3&gt;=$C$1),'General Inputs'!E$10*$I62,IF(AND(($C62+$C$1)&gt;AG$3,AG$3&gt;=$C$1),'General Inputs'!E$10*$H62,0))</f>
        <v>0</v>
      </c>
      <c r="BC62" s="214">
        <f>IF(AND(($D62+$C$1)&gt;AH$3,AH$3&gt;=$C$1),'General Inputs'!F$10*$I62,IF(AND(($C62+$C$1)&gt;AH$3,AH$3&gt;=$C$1),'General Inputs'!F$10*$H62,0))</f>
        <v>6.7627748078687384</v>
      </c>
      <c r="BD62" s="214">
        <f>IF(AND(($D62+$C$1)&gt;AI$3,AI$3&gt;=$C$1),'General Inputs'!G$10*$I62,IF(AND(($C62+$C$1)&gt;AI$3,AI$3&gt;=$C$1),'General Inputs'!G$10*$H62,0))</f>
        <v>6.8642164299867687</v>
      </c>
      <c r="BE62" s="214">
        <f>IF(AND(($D62+$C$1)&gt;AJ$3,AJ$3&gt;=$C$1),'General Inputs'!H$10*$I62,IF(AND(($C62+$C$1)&gt;AJ$3,AJ$3&gt;=$C$1),'General Inputs'!H$10*$H62,0))</f>
        <v>6.9671796764365697</v>
      </c>
      <c r="BF62" s="214">
        <f>IF(AND(($D62+$C$1)&gt;AK$3,AK$3&gt;=$C$1),'General Inputs'!I$10*$I62,IF(AND(($C62+$C$1)&gt;AK$3,AK$3&gt;=$C$1),'General Inputs'!I$10*$H62,0))</f>
        <v>7.071687371583117</v>
      </c>
      <c r="BG62" s="214">
        <f>IF(AND(($D62+$C$1)&gt;AL$3,AL$3&gt;=$C$1),'General Inputs'!J$10*$I62,IF(AND(($C62+$C$1)&gt;AL$3,AL$3&gt;=$C$1),'General Inputs'!J$10*$H62,0))</f>
        <v>7.177762682156863</v>
      </c>
      <c r="BH62" s="214">
        <f>IF(AND(($D62+$C$1)&gt;AM$3,AM$3&gt;=$C$1),'General Inputs'!K$10*$I62,IF(AND(($C62+$C$1)&gt;AM$3,AM$3&gt;=$C$1),'General Inputs'!K$10*$H62,0))</f>
        <v>7.2854291223892149</v>
      </c>
      <c r="BI62" s="214">
        <f>IF(AND(($D62+$C$1)&gt;AN$3,AN$3&gt;=$C$1),'General Inputs'!L$10*$I62,IF(AND(($C62+$C$1)&gt;AN$3,AN$3&gt;=$C$1),'General Inputs'!L$10*$H62,0))</f>
        <v>7.3947105592250528</v>
      </c>
      <c r="BJ62" s="214">
        <f>IF(AND(($D62+$C$1)&gt;AO$3,AO$3&gt;=$C$1),'General Inputs'!M$10*$I62,IF(AND(($C62+$C$1)&gt;AO$3,AO$3&gt;=$C$1),'General Inputs'!M$10*$H62,0))</f>
        <v>7.5056312176134288</v>
      </c>
      <c r="BK62" s="214">
        <f>IF(AND(($D62+$C$1)&gt;AP$3,AP$3&gt;=$C$1),'General Inputs'!N$10*$I62,IF(AND(($C62+$C$1)&gt;AP$3,AP$3&gt;=$C$1),'General Inputs'!N$10*$H62,0))</f>
        <v>7.6182156858776287</v>
      </c>
      <c r="BL62" s="214">
        <f>IF(AND(($D62+$C$1)&gt;AQ$3,AQ$3&gt;=$C$1),'General Inputs'!O$10*$I62,IF(AND(($C62+$C$1)&gt;AQ$3,AQ$3&gt;=$C$1),'General Inputs'!O$10*$H62,0))</f>
        <v>7.7324889211657926</v>
      </c>
      <c r="BM62" s="214">
        <f>IF(AND(($D62+$C$1)&gt;AR$3,AR$3&gt;=$C$1),'General Inputs'!P$10*$I62,IF(AND(($C62+$C$1)&gt;AR$3,AR$3&gt;=$C$1),'General Inputs'!P$10*$H62,0))</f>
        <v>7.8484762549832787</v>
      </c>
      <c r="BN62" s="214">
        <f>IF(AND(($D62+$C$1)&gt;AS$3,AS$3&gt;=$C$1),'General Inputs'!Q$10*$I62,IF(AND(($C62+$C$1)&gt;AS$3,AS$3&gt;=$C$1),'General Inputs'!Q$10*$H62,0))</f>
        <v>7.9662033988080276</v>
      </c>
      <c r="BO62" s="214">
        <f>IF(AND(($D62+$C$1)&gt;AT$3,AT$3&gt;=$C$1),'General Inputs'!R$10*$I62,IF(AND(($C62+$C$1)&gt;AT$3,AT$3&gt;=$C$1),'General Inputs'!R$10*$H62,0))</f>
        <v>8.0856964497901469</v>
      </c>
      <c r="BP62" s="214">
        <f>IF(AND(($D62+$C$1)&gt;AU$3,AU$3&gt;=$C$1),'General Inputs'!S$10*$I62,IF(AND(($C62+$C$1)&gt;AU$3,AU$3&gt;=$C$1),'General Inputs'!S$10*$H62,0))</f>
        <v>8.2069818965369983</v>
      </c>
      <c r="BQ62" s="214">
        <f>IF(AND(($D62+$C$1)&gt;AV$3,AV$3&gt;=$C$1),'General Inputs'!T$10*$I62,IF(AND(($C62+$C$1)&gt;AV$3,AV$3&gt;=$C$1),'General Inputs'!T$10*$H62,0))</f>
        <v>8.3300866249850518</v>
      </c>
      <c r="BR62" s="214">
        <f>IF(AND(($D62+$C$1)&gt;AW$3,AW$3&gt;=$C$1),'General Inputs'!U$10*$I62,IF(AND(($C62+$C$1)&gt;AW$3,AW$3&gt;=$C$1),'General Inputs'!U$10*$H62,0))</f>
        <v>8.4550379243598268</v>
      </c>
      <c r="BS62" s="214">
        <f>IF(AND(($D62+$C$1)&gt;AX$3,AX$3&gt;=$C$1),'General Inputs'!V$10*$I62,IF(AND(($C62+$C$1)&gt;AX$3,AX$3&gt;=$C$1),'General Inputs'!V$10*$H62,0))</f>
        <v>8.5818634932252227</v>
      </c>
      <c r="BT62" s="214">
        <f>IF(AND(($D62+$C$1)&gt;AY$3,AY$3&gt;=$C$1),'General Inputs'!W$10*$I62,IF(AND(($C62+$C$1)&gt;AY$3,AY$3&gt;=$C$1),'General Inputs'!W$10*$H62,0))</f>
        <v>8.7105914456236011</v>
      </c>
    </row>
    <row r="63" spans="1:72">
      <c r="A63" s="342" t="s">
        <v>112</v>
      </c>
      <c r="B63" s="427" t="str">
        <f>Sources!B63</f>
        <v>Pin-Based CFL ≤18W</v>
      </c>
      <c r="C63" s="193">
        <f>Sources!C63</f>
        <v>10</v>
      </c>
      <c r="D63" s="193">
        <f>Sources!D63</f>
        <v>0</v>
      </c>
      <c r="F63" s="429">
        <f>Sources!F63*EnergyLineLoss</f>
        <v>366.00109874999993</v>
      </c>
      <c r="G63" s="429">
        <f>Sources!G63*EnergyLineLoss</f>
        <v>0</v>
      </c>
      <c r="H63" s="477">
        <f>Sources!H63*PeakLineLoss</f>
        <v>5.6594537999999993E-2</v>
      </c>
      <c r="I63" s="477">
        <f>Sources!I63*PeakLineLoss</f>
        <v>0</v>
      </c>
      <c r="K63" s="419">
        <f>Sources!J63</f>
        <v>20</v>
      </c>
      <c r="L63" s="419">
        <f>Sources!K63</f>
        <v>0</v>
      </c>
      <c r="N63" s="438">
        <f t="shared" si="22"/>
        <v>5.9183214002674767</v>
      </c>
      <c r="P63" s="215">
        <f t="shared" si="23"/>
        <v>94.427978625805281</v>
      </c>
      <c r="Q63" s="215">
        <f t="shared" si="24"/>
        <v>5.4918028813116955</v>
      </c>
      <c r="R63" s="215">
        <f t="shared" si="25"/>
        <v>16.883128635528504</v>
      </c>
      <c r="T63" s="214">
        <f t="shared" si="26"/>
        <v>0</v>
      </c>
      <c r="U63" s="214">
        <f t="shared" si="26"/>
        <v>0</v>
      </c>
      <c r="V63" s="214">
        <f t="shared" si="26"/>
        <v>20</v>
      </c>
      <c r="W63" s="214">
        <f t="shared" si="26"/>
        <v>0</v>
      </c>
      <c r="X63" s="214">
        <f t="shared" si="26"/>
        <v>0</v>
      </c>
      <c r="Y63" s="214">
        <f t="shared" si="26"/>
        <v>0</v>
      </c>
      <c r="Z63" s="214">
        <f t="shared" si="26"/>
        <v>0</v>
      </c>
      <c r="AA63" s="214">
        <f t="shared" si="26"/>
        <v>0</v>
      </c>
      <c r="AB63" s="214">
        <f t="shared" si="26"/>
        <v>0</v>
      </c>
      <c r="AC63" s="214">
        <f t="shared" si="26"/>
        <v>0</v>
      </c>
      <c r="AD63" s="214">
        <f t="shared" si="26"/>
        <v>0</v>
      </c>
      <c r="AF63" s="214">
        <f>IF(AND(($D63+$C$1)&gt;AF$3,AF$3&gt;=$C$1),'General Inputs'!D$9*$G63,IF(AND(($C63+$C$1)&gt;AF$3,AF$3&gt;=$C$1),'General Inputs'!D$9*$F63,0))</f>
        <v>0</v>
      </c>
      <c r="AG63" s="214">
        <f>IF(AND(($D63+$C$1)&gt;AG$3,AG$3&gt;=$C$1),'General Inputs'!E$9*$G63,IF(AND(($C63+$C$1)&gt;AG$3,AG$3&gt;=$C$1),'General Inputs'!E$9*$F63,0))</f>
        <v>0</v>
      </c>
      <c r="AH63" s="214">
        <f>IF(AND(($D63+$C$1)&gt;AH$3,AH$3&gt;=$C$1),'General Inputs'!F$9*$G63,IF(AND(($C63+$C$1)&gt;AH$3,AH$3&gt;=$C$1),'General Inputs'!F$9*$F63,0))</f>
        <v>15.011752864409328</v>
      </c>
      <c r="AI63" s="214">
        <f>IF(AND(($D63+$C$1)&gt;AI$3,AI$3&gt;=$C$1),'General Inputs'!G$9*$G63,IF(AND(($C63+$C$1)&gt;AI$3,AI$3&gt;=$C$1),'General Inputs'!G$9*$F63,0))</f>
        <v>15.236929157375465</v>
      </c>
      <c r="AJ63" s="214">
        <f>IF(AND(($D63+$C$1)&gt;AJ$3,AJ$3&gt;=$C$1),'General Inputs'!H$9*$G63,IF(AND(($C63+$C$1)&gt;AJ$3,AJ$3&gt;=$C$1),'General Inputs'!H$9*$F63,0))</f>
        <v>15.465483094736095</v>
      </c>
      <c r="AK63" s="214">
        <f>IF(AND(($D63+$C$1)&gt;AK$3,AK$3&gt;=$C$1),'General Inputs'!I$9*$G63,IF(AND(($C63+$C$1)&gt;AK$3,AK$3&gt;=$C$1),'General Inputs'!I$9*$F63,0))</f>
        <v>15.697465341157134</v>
      </c>
      <c r="AL63" s="214">
        <f>IF(AND(($D63+$C$1)&gt;AL$3,AL$3&gt;=$C$1),'General Inputs'!J$9*$G63,IF(AND(($C63+$C$1)&gt;AL$3,AL$3&gt;=$C$1),'General Inputs'!J$9*$F63,0))</f>
        <v>15.932927321274489</v>
      </c>
      <c r="AM63" s="214">
        <f>IF(AND(($D63+$C$1)&gt;AM$3,AM$3&gt;=$C$1),'General Inputs'!K$9*$G63,IF(AND(($C63+$C$1)&gt;AM$3,AM$3&gt;=$C$1),'General Inputs'!K$9*$F63,0))</f>
        <v>16.171921231093606</v>
      </c>
      <c r="AN63" s="214">
        <f>IF(AND(($D63+$C$1)&gt;AN$3,AN$3&gt;=$C$1),'General Inputs'!L$9*$G63,IF(AND(($C63+$C$1)&gt;AN$3,AN$3&gt;=$C$1),'General Inputs'!L$9*$F63,0))</f>
        <v>16.414500049560008</v>
      </c>
      <c r="AO63" s="214">
        <f>IF(AND(($D63+$C$1)&gt;AO$3,AO$3&gt;=$C$1),'General Inputs'!M$9*$G63,IF(AND(($C63+$C$1)&gt;AO$3,AO$3&gt;=$C$1),'General Inputs'!M$9*$F63,0))</f>
        <v>16.660717550303403</v>
      </c>
      <c r="AP63" s="214">
        <f>IF(AND(($D63+$C$1)&gt;AP$3,AP$3&gt;=$C$1),'General Inputs'!N$9*$G63,IF(AND(($C63+$C$1)&gt;AP$3,AP$3&gt;=$C$1),'General Inputs'!N$9*$F63,0))</f>
        <v>16.910628313557954</v>
      </c>
      <c r="AQ63" s="214">
        <f>IF(AND(($D63+$C$1)&gt;AQ$3,AQ$3&gt;=$C$1),'General Inputs'!O$9*$G63,IF(AND(($C63+$C$1)&gt;AQ$3,AQ$3&gt;=$C$1),'General Inputs'!O$9*$F63,0))</f>
        <v>17.164287738261322</v>
      </c>
      <c r="AR63" s="214">
        <f>IF(AND(($D63+$C$1)&gt;AR$3,AR$3&gt;=$C$1),'General Inputs'!P$9*$G63,IF(AND(($C63+$C$1)&gt;AR$3,AR$3&gt;=$C$1),'General Inputs'!P$9*$F63,0))</f>
        <v>0</v>
      </c>
      <c r="AS63" s="214">
        <f>IF(AND(($D63+$C$1)&gt;AS$3,AS$3&gt;=$C$1),'General Inputs'!Q$9*$G63,IF(AND(($C63+$C$1)&gt;AS$3,AS$3&gt;=$C$1),'General Inputs'!Q$9*$F63,0))</f>
        <v>0</v>
      </c>
      <c r="AT63" s="214">
        <f>IF(AND(($D63+$C$1)&gt;AT$3,AT$3&gt;=$C$1),'General Inputs'!R$9*$G63,IF(AND(($C63+$C$1)&gt;AT$3,AT$3&gt;=$C$1),'General Inputs'!R$9*$F63,0))</f>
        <v>0</v>
      </c>
      <c r="AU63" s="214">
        <f>IF(AND(($D63+$C$1)&gt;AU$3,AU$3&gt;=$C$1),'General Inputs'!S$9*$G63,IF(AND(($C63+$C$1)&gt;AU$3,AU$3&gt;=$C$1),'General Inputs'!S$9*$F63,0))</f>
        <v>0</v>
      </c>
      <c r="AV63" s="214">
        <f>IF(AND(($D63+$C$1)&gt;AV$3,AV$3&gt;=$C$1),'General Inputs'!T$9*$G63,IF(AND(($C63+$C$1)&gt;AV$3,AV$3&gt;=$C$1),'General Inputs'!T$9*$F63,0))</f>
        <v>0</v>
      </c>
      <c r="AW63" s="214">
        <f>IF(AND(($D63+$C$1)&gt;AW$3,AW$3&gt;=$C$1),'General Inputs'!U$9*$G63,IF(AND(($C63+$C$1)&gt;AW$3,AW$3&gt;=$C$1),'General Inputs'!U$9*$F63,0))</f>
        <v>0</v>
      </c>
      <c r="AX63" s="214">
        <f>IF(AND(($D63+$C$1)&gt;AX$3,AX$3&gt;=$C$1),'General Inputs'!V$9*$G63,IF(AND(($C63+$C$1)&gt;AX$3,AX$3&gt;=$C$1),'General Inputs'!V$9*$F63,0))</f>
        <v>0</v>
      </c>
      <c r="AY63" s="214">
        <f>IF(AND(($D63+$C$1)&gt;AY$3,AY$3&gt;=$C$1),'General Inputs'!W$9*$G63,IF(AND(($C63+$C$1)&gt;AY$3,AY$3&gt;=$C$1),'General Inputs'!W$9*$F63,0))</f>
        <v>0</v>
      </c>
      <c r="BA63" s="214">
        <f>IF(AND(($D63+$C$1)&gt;AF$3,AF$3&gt;=$C$1),'General Inputs'!D$10*$I63,IF(AND(($C63+$C$1)&gt;AF$3,AF$3&gt;=$C$1),'General Inputs'!D$10*$H63,0))</f>
        <v>0</v>
      </c>
      <c r="BB63" s="214">
        <f>IF(AND(($D63+$C$1)&gt;AG$3,AG$3&gt;=$C$1),'General Inputs'!E$10*$I63,IF(AND(($C63+$C$1)&gt;AG$3,AG$3&gt;=$C$1),'General Inputs'!E$10*$H63,0))</f>
        <v>0</v>
      </c>
      <c r="BC63" s="214">
        <f>IF(AND(($D63+$C$1)&gt;AH$3,AH$3&gt;=$C$1),'General Inputs'!F$10*$I63,IF(AND(($C63+$C$1)&gt;AH$3,AH$3&gt;=$C$1),'General Inputs'!F$10*$H63,0))</f>
        <v>0.87306314117977546</v>
      </c>
      <c r="BD63" s="214">
        <f>IF(AND(($D63+$C$1)&gt;AI$3,AI$3&gt;=$C$1),'General Inputs'!G$10*$I63,IF(AND(($C63+$C$1)&gt;AI$3,AI$3&gt;=$C$1),'General Inputs'!G$10*$H63,0))</f>
        <v>0.88615908829747203</v>
      </c>
      <c r="BE63" s="214">
        <f>IF(AND(($D63+$C$1)&gt;AJ$3,AJ$3&gt;=$C$1),'General Inputs'!H$10*$I63,IF(AND(($C63+$C$1)&gt;AJ$3,AJ$3&gt;=$C$1),'General Inputs'!H$10*$H63,0))</f>
        <v>0.89945147462193398</v>
      </c>
      <c r="BF63" s="214">
        <f>IF(AND(($D63+$C$1)&gt;AK$3,AK$3&gt;=$C$1),'General Inputs'!I$10*$I63,IF(AND(($C63+$C$1)&gt;AK$3,AK$3&gt;=$C$1),'General Inputs'!I$10*$H63,0))</f>
        <v>0.91294324674126281</v>
      </c>
      <c r="BG63" s="214">
        <f>IF(AND(($D63+$C$1)&gt;AL$3,AL$3&gt;=$C$1),'General Inputs'!J$10*$I63,IF(AND(($C63+$C$1)&gt;AL$3,AL$3&gt;=$C$1),'General Inputs'!J$10*$H63,0))</f>
        <v>0.92663739544238166</v>
      </c>
      <c r="BH63" s="214">
        <f>IF(AND(($D63+$C$1)&gt;AM$3,AM$3&gt;=$C$1),'General Inputs'!K$10*$I63,IF(AND(($C63+$C$1)&gt;AM$3,AM$3&gt;=$C$1),'General Inputs'!K$10*$H63,0))</f>
        <v>0.94053695637401735</v>
      </c>
      <c r="BI63" s="214">
        <f>IF(AND(($D63+$C$1)&gt;AN$3,AN$3&gt;=$C$1),'General Inputs'!L$10*$I63,IF(AND(($C63+$C$1)&gt;AN$3,AN$3&gt;=$C$1),'General Inputs'!L$10*$H63,0))</f>
        <v>0.9546450107196276</v>
      </c>
      <c r="BJ63" s="214">
        <f>IF(AND(($D63+$C$1)&gt;AO$3,AO$3&gt;=$C$1),'General Inputs'!M$10*$I63,IF(AND(($C63+$C$1)&gt;AO$3,AO$3&gt;=$C$1),'General Inputs'!M$10*$H63,0))</f>
        <v>0.96896468588042195</v>
      </c>
      <c r="BK63" s="214">
        <f>IF(AND(($D63+$C$1)&gt;AP$3,AP$3&gt;=$C$1),'General Inputs'!N$10*$I63,IF(AND(($C63+$C$1)&gt;AP$3,AP$3&gt;=$C$1),'General Inputs'!N$10*$H63,0))</f>
        <v>0.98349915616862815</v>
      </c>
      <c r="BL63" s="214">
        <f>IF(AND(($D63+$C$1)&gt;AQ$3,AQ$3&gt;=$C$1),'General Inputs'!O$10*$I63,IF(AND(($C63+$C$1)&gt;AQ$3,AQ$3&gt;=$C$1),'General Inputs'!O$10*$H63,0))</f>
        <v>0.99825164351115747</v>
      </c>
      <c r="BM63" s="214">
        <f>IF(AND(($D63+$C$1)&gt;AR$3,AR$3&gt;=$C$1),'General Inputs'!P$10*$I63,IF(AND(($C63+$C$1)&gt;AR$3,AR$3&gt;=$C$1),'General Inputs'!P$10*$H63,0))</f>
        <v>0</v>
      </c>
      <c r="BN63" s="214">
        <f>IF(AND(($D63+$C$1)&gt;AS$3,AS$3&gt;=$C$1),'General Inputs'!Q$10*$I63,IF(AND(($C63+$C$1)&gt;AS$3,AS$3&gt;=$C$1),'General Inputs'!Q$10*$H63,0))</f>
        <v>0</v>
      </c>
      <c r="BO63" s="214">
        <f>IF(AND(($D63+$C$1)&gt;AT$3,AT$3&gt;=$C$1),'General Inputs'!R$10*$I63,IF(AND(($C63+$C$1)&gt;AT$3,AT$3&gt;=$C$1),'General Inputs'!R$10*$H63,0))</f>
        <v>0</v>
      </c>
      <c r="BP63" s="214">
        <f>IF(AND(($D63+$C$1)&gt;AU$3,AU$3&gt;=$C$1),'General Inputs'!S$10*$I63,IF(AND(($C63+$C$1)&gt;AU$3,AU$3&gt;=$C$1),'General Inputs'!S$10*$H63,0))</f>
        <v>0</v>
      </c>
      <c r="BQ63" s="214">
        <f>IF(AND(($D63+$C$1)&gt;AV$3,AV$3&gt;=$C$1),'General Inputs'!T$10*$I63,IF(AND(($C63+$C$1)&gt;AV$3,AV$3&gt;=$C$1),'General Inputs'!T$10*$H63,0))</f>
        <v>0</v>
      </c>
      <c r="BR63" s="214">
        <f>IF(AND(($D63+$C$1)&gt;AW$3,AW$3&gt;=$C$1),'General Inputs'!U$10*$I63,IF(AND(($C63+$C$1)&gt;AW$3,AW$3&gt;=$C$1),'General Inputs'!U$10*$H63,0))</f>
        <v>0</v>
      </c>
      <c r="BS63" s="214">
        <f>IF(AND(($D63+$C$1)&gt;AX$3,AX$3&gt;=$C$1),'General Inputs'!V$10*$I63,IF(AND(($C63+$C$1)&gt;AX$3,AX$3&gt;=$C$1),'General Inputs'!V$10*$H63,0))</f>
        <v>0</v>
      </c>
      <c r="BT63" s="214">
        <f>IF(AND(($D63+$C$1)&gt;AY$3,AY$3&gt;=$C$1),'General Inputs'!W$10*$I63,IF(AND(($C63+$C$1)&gt;AY$3,AY$3&gt;=$C$1),'General Inputs'!W$10*$H63,0))</f>
        <v>0</v>
      </c>
    </row>
    <row r="64" spans="1:72">
      <c r="A64" s="342" t="s">
        <v>112</v>
      </c>
      <c r="B64" s="427" t="str">
        <f>Sources!B64</f>
        <v>Pin-Based CFL 19W or 32W</v>
      </c>
      <c r="C64" s="193">
        <f>Sources!C64</f>
        <v>10</v>
      </c>
      <c r="D64" s="193">
        <f>Sources!D64</f>
        <v>0</v>
      </c>
      <c r="F64" s="429">
        <f>Sources!F64*EnergyLineLoss</f>
        <v>639.04953750000004</v>
      </c>
      <c r="G64" s="429">
        <f>Sources!G64*EnergyLineLoss</f>
        <v>0</v>
      </c>
      <c r="H64" s="477">
        <f>Sources!H64*PeakLineLoss</f>
        <v>9.8815860000000005E-2</v>
      </c>
      <c r="I64" s="477">
        <f>Sources!I64*PeakLineLoss</f>
        <v>0</v>
      </c>
      <c r="K64" s="419">
        <f>Sources!J64</f>
        <v>40</v>
      </c>
      <c r="L64" s="419">
        <f>Sources!K64</f>
        <v>0</v>
      </c>
      <c r="N64" s="438">
        <f t="shared" si="22"/>
        <v>5.166788524043036</v>
      </c>
      <c r="P64" s="215">
        <f t="shared" si="23"/>
        <v>164.87424839426322</v>
      </c>
      <c r="Q64" s="215">
        <f t="shared" si="24"/>
        <v>9.5888621737188373</v>
      </c>
      <c r="R64" s="215">
        <f t="shared" si="25"/>
        <v>33.766257271057007</v>
      </c>
      <c r="T64" s="214">
        <f t="shared" si="26"/>
        <v>0</v>
      </c>
      <c r="U64" s="214">
        <f t="shared" si="26"/>
        <v>0</v>
      </c>
      <c r="V64" s="214">
        <f t="shared" si="26"/>
        <v>40</v>
      </c>
      <c r="W64" s="214">
        <f t="shared" si="26"/>
        <v>0</v>
      </c>
      <c r="X64" s="214">
        <f t="shared" si="26"/>
        <v>0</v>
      </c>
      <c r="Y64" s="214">
        <f t="shared" si="26"/>
        <v>0</v>
      </c>
      <c r="Z64" s="214">
        <f t="shared" si="26"/>
        <v>0</v>
      </c>
      <c r="AA64" s="214">
        <f t="shared" si="26"/>
        <v>0</v>
      </c>
      <c r="AB64" s="214">
        <f t="shared" si="26"/>
        <v>0</v>
      </c>
      <c r="AC64" s="214">
        <f t="shared" si="26"/>
        <v>0</v>
      </c>
      <c r="AD64" s="214">
        <f t="shared" si="26"/>
        <v>0</v>
      </c>
      <c r="AF64" s="214">
        <f>IF(AND(($D64+$C$1)&gt;AF$3,AF$3&gt;=$C$1),'General Inputs'!D$9*$G64,IF(AND(($C64+$C$1)&gt;AF$3,AF$3&gt;=$C$1),'General Inputs'!D$9*$F64,0))</f>
        <v>0</v>
      </c>
      <c r="AG64" s="214">
        <f>IF(AND(($D64+$C$1)&gt;AG$3,AG$3&gt;=$C$1),'General Inputs'!E$9*$G64,IF(AND(($C64+$C$1)&gt;AG$3,AG$3&gt;=$C$1),'General Inputs'!E$9*$F64,0))</f>
        <v>0</v>
      </c>
      <c r="AH64" s="214">
        <f>IF(AND(($D64+$C$1)&gt;AH$3,AH$3&gt;=$C$1),'General Inputs'!F$9*$G64,IF(AND(($C64+$C$1)&gt;AH$3,AH$3&gt;=$C$1),'General Inputs'!F$9*$F64,0))</f>
        <v>26.210997064841688</v>
      </c>
      <c r="AI64" s="214">
        <f>IF(AND(($D64+$C$1)&gt;AI$3,AI$3&gt;=$C$1),'General Inputs'!G$9*$G64,IF(AND(($C64+$C$1)&gt;AI$3,AI$3&gt;=$C$1),'General Inputs'!G$9*$F64,0))</f>
        <v>26.604162020814311</v>
      </c>
      <c r="AJ64" s="214">
        <f>IF(AND(($D64+$C$1)&gt;AJ$3,AJ$3&gt;=$C$1),'General Inputs'!H$9*$G64,IF(AND(($C64+$C$1)&gt;AJ$3,AJ$3&gt;=$C$1),'General Inputs'!H$9*$F64,0))</f>
        <v>27.003224451126524</v>
      </c>
      <c r="AK64" s="214">
        <f>IF(AND(($D64+$C$1)&gt;AK$3,AK$3&gt;=$C$1),'General Inputs'!I$9*$G64,IF(AND(($C64+$C$1)&gt;AK$3,AK$3&gt;=$C$1),'General Inputs'!I$9*$F64,0))</f>
        <v>27.408272817893415</v>
      </c>
      <c r="AL64" s="214">
        <f>IF(AND(($D64+$C$1)&gt;AL$3,AL$3&gt;=$C$1),'General Inputs'!J$9*$G64,IF(AND(($C64+$C$1)&gt;AL$3,AL$3&gt;=$C$1),'General Inputs'!J$9*$F64,0))</f>
        <v>27.819396910161814</v>
      </c>
      <c r="AM64" s="214">
        <f>IF(AND(($D64+$C$1)&gt;AM$3,AM$3&gt;=$C$1),'General Inputs'!K$9*$G64,IF(AND(($C64+$C$1)&gt;AM$3,AM$3&gt;=$C$1),'General Inputs'!K$9*$F64,0))</f>
        <v>28.236687863814236</v>
      </c>
      <c r="AN64" s="214">
        <f>IF(AND(($D64+$C$1)&gt;AN$3,AN$3&gt;=$C$1),'General Inputs'!L$9*$G64,IF(AND(($C64+$C$1)&gt;AN$3,AN$3&gt;=$C$1),'General Inputs'!L$9*$F64,0))</f>
        <v>28.660238181771447</v>
      </c>
      <c r="AO64" s="214">
        <f>IF(AND(($D64+$C$1)&gt;AO$3,AO$3&gt;=$C$1),'General Inputs'!M$9*$G64,IF(AND(($C64+$C$1)&gt;AO$3,AO$3&gt;=$C$1),'General Inputs'!M$9*$F64,0))</f>
        <v>29.090141754498017</v>
      </c>
      <c r="AP64" s="214">
        <f>IF(AND(($D64+$C$1)&gt;AP$3,AP$3&gt;=$C$1),'General Inputs'!N$9*$G64,IF(AND(($C64+$C$1)&gt;AP$3,AP$3&gt;=$C$1),'General Inputs'!N$9*$F64,0))</f>
        <v>29.526493880815483</v>
      </c>
      <c r="AQ64" s="214">
        <f>IF(AND(($D64+$C$1)&gt;AQ$3,AQ$3&gt;=$C$1),'General Inputs'!O$9*$G64,IF(AND(($C64+$C$1)&gt;AQ$3,AQ$3&gt;=$C$1),'General Inputs'!O$9*$F64,0))</f>
        <v>29.969391289027712</v>
      </c>
      <c r="AR64" s="214">
        <f>IF(AND(($D64+$C$1)&gt;AR$3,AR$3&gt;=$C$1),'General Inputs'!P$9*$G64,IF(AND(($C64+$C$1)&gt;AR$3,AR$3&gt;=$C$1),'General Inputs'!P$9*$F64,0))</f>
        <v>0</v>
      </c>
      <c r="AS64" s="214">
        <f>IF(AND(($D64+$C$1)&gt;AS$3,AS$3&gt;=$C$1),'General Inputs'!Q$9*$G64,IF(AND(($C64+$C$1)&gt;AS$3,AS$3&gt;=$C$1),'General Inputs'!Q$9*$F64,0))</f>
        <v>0</v>
      </c>
      <c r="AT64" s="214">
        <f>IF(AND(($D64+$C$1)&gt;AT$3,AT$3&gt;=$C$1),'General Inputs'!R$9*$G64,IF(AND(($C64+$C$1)&gt;AT$3,AT$3&gt;=$C$1),'General Inputs'!R$9*$F64,0))</f>
        <v>0</v>
      </c>
      <c r="AU64" s="214">
        <f>IF(AND(($D64+$C$1)&gt;AU$3,AU$3&gt;=$C$1),'General Inputs'!S$9*$G64,IF(AND(($C64+$C$1)&gt;AU$3,AU$3&gt;=$C$1),'General Inputs'!S$9*$F64,0))</f>
        <v>0</v>
      </c>
      <c r="AV64" s="214">
        <f>IF(AND(($D64+$C$1)&gt;AV$3,AV$3&gt;=$C$1),'General Inputs'!T$9*$G64,IF(AND(($C64+$C$1)&gt;AV$3,AV$3&gt;=$C$1),'General Inputs'!T$9*$F64,0))</f>
        <v>0</v>
      </c>
      <c r="AW64" s="214">
        <f>IF(AND(($D64+$C$1)&gt;AW$3,AW$3&gt;=$C$1),'General Inputs'!U$9*$G64,IF(AND(($C64+$C$1)&gt;AW$3,AW$3&gt;=$C$1),'General Inputs'!U$9*$F64,0))</f>
        <v>0</v>
      </c>
      <c r="AX64" s="214">
        <f>IF(AND(($D64+$C$1)&gt;AX$3,AX$3&gt;=$C$1),'General Inputs'!V$9*$G64,IF(AND(($C64+$C$1)&gt;AX$3,AX$3&gt;=$C$1),'General Inputs'!V$9*$F64,0))</f>
        <v>0</v>
      </c>
      <c r="AY64" s="214">
        <f>IF(AND(($D64+$C$1)&gt;AY$3,AY$3&gt;=$C$1),'General Inputs'!W$9*$G64,IF(AND(($C64+$C$1)&gt;AY$3,AY$3&gt;=$C$1),'General Inputs'!W$9*$F64,0))</f>
        <v>0</v>
      </c>
      <c r="BA64" s="214">
        <f>IF(AND(($D64+$C$1)&gt;AF$3,AF$3&gt;=$C$1),'General Inputs'!D$10*$I64,IF(AND(($C64+$C$1)&gt;AF$3,AF$3&gt;=$C$1),'General Inputs'!D$10*$H64,0))</f>
        <v>0</v>
      </c>
      <c r="BB64" s="214">
        <f>IF(AND(($D64+$C$1)&gt;AG$3,AG$3&gt;=$C$1),'General Inputs'!E$10*$I64,IF(AND(($C64+$C$1)&gt;AG$3,AG$3&gt;=$C$1),'General Inputs'!E$10*$H64,0))</f>
        <v>0</v>
      </c>
      <c r="BC64" s="214">
        <f>IF(AND(($D64+$C$1)&gt;AH$3,AH$3&gt;=$C$1),'General Inputs'!F$10*$I64,IF(AND(($C64+$C$1)&gt;AH$3,AH$3&gt;=$C$1),'General Inputs'!F$10*$H64,0))</f>
        <v>1.5243959607900843</v>
      </c>
      <c r="BD64" s="214">
        <f>IF(AND(($D64+$C$1)&gt;AI$3,AI$3&gt;=$C$1),'General Inputs'!G$10*$I64,IF(AND(($C64+$C$1)&gt;AI$3,AI$3&gt;=$C$1),'General Inputs'!G$10*$H64,0))</f>
        <v>1.5472619002019354</v>
      </c>
      <c r="BE64" s="214">
        <f>IF(AND(($D64+$C$1)&gt;AJ$3,AJ$3&gt;=$C$1),'General Inputs'!H$10*$I64,IF(AND(($C64+$C$1)&gt;AJ$3,AJ$3&gt;=$C$1),'General Inputs'!H$10*$H64,0))</f>
        <v>1.5704708287049645</v>
      </c>
      <c r="BF64" s="214">
        <f>IF(AND(($D64+$C$1)&gt;AK$3,AK$3&gt;=$C$1),'General Inputs'!I$10*$I64,IF(AND(($C64+$C$1)&gt;AK$3,AK$3&gt;=$C$1),'General Inputs'!I$10*$H64,0))</f>
        <v>1.5940278911355386</v>
      </c>
      <c r="BG64" s="214">
        <f>IF(AND(($D64+$C$1)&gt;AL$3,AL$3&gt;=$C$1),'General Inputs'!J$10*$I64,IF(AND(($C64+$C$1)&gt;AL$3,AL$3&gt;=$C$1),'General Inputs'!J$10*$H64,0))</f>
        <v>1.6179383095025714</v>
      </c>
      <c r="BH64" s="214">
        <f>IF(AND(($D64+$C$1)&gt;AM$3,AM$3&gt;=$C$1),'General Inputs'!K$10*$I64,IF(AND(($C64+$C$1)&gt;AM$3,AM$3&gt;=$C$1),'General Inputs'!K$10*$H64,0))</f>
        <v>1.6422073841451099</v>
      </c>
      <c r="BI64" s="214">
        <f>IF(AND(($D64+$C$1)&gt;AN$3,AN$3&gt;=$C$1),'General Inputs'!L$10*$I64,IF(AND(($C64+$C$1)&gt;AN$3,AN$3&gt;=$C$1),'General Inputs'!L$10*$H64,0))</f>
        <v>1.6668404949072866</v>
      </c>
      <c r="BJ64" s="214">
        <f>IF(AND(($D64+$C$1)&gt;AO$3,AO$3&gt;=$C$1),'General Inputs'!M$10*$I64,IF(AND(($C64+$C$1)&gt;AO$3,AO$3&gt;=$C$1),'General Inputs'!M$10*$H64,0))</f>
        <v>1.6918431023308957</v>
      </c>
      <c r="BK64" s="214">
        <f>IF(AND(($D64+$C$1)&gt;AP$3,AP$3&gt;=$C$1),'General Inputs'!N$10*$I64,IF(AND(($C64+$C$1)&gt;AP$3,AP$3&gt;=$C$1),'General Inputs'!N$10*$H64,0))</f>
        <v>1.7172207488658588</v>
      </c>
      <c r="BL64" s="214">
        <f>IF(AND(($D64+$C$1)&gt;AQ$3,AQ$3&gt;=$C$1),'General Inputs'!O$10*$I64,IF(AND(($C64+$C$1)&gt;AQ$3,AQ$3&gt;=$C$1),'General Inputs'!O$10*$H64,0))</f>
        <v>1.7429790600988466</v>
      </c>
      <c r="BM64" s="214">
        <f>IF(AND(($D64+$C$1)&gt;AR$3,AR$3&gt;=$C$1),'General Inputs'!P$10*$I64,IF(AND(($C64+$C$1)&gt;AR$3,AR$3&gt;=$C$1),'General Inputs'!P$10*$H64,0))</f>
        <v>0</v>
      </c>
      <c r="BN64" s="214">
        <f>IF(AND(($D64+$C$1)&gt;AS$3,AS$3&gt;=$C$1),'General Inputs'!Q$10*$I64,IF(AND(($C64+$C$1)&gt;AS$3,AS$3&gt;=$C$1),'General Inputs'!Q$10*$H64,0))</f>
        <v>0</v>
      </c>
      <c r="BO64" s="214">
        <f>IF(AND(($D64+$C$1)&gt;AT$3,AT$3&gt;=$C$1),'General Inputs'!R$10*$I64,IF(AND(($C64+$C$1)&gt;AT$3,AT$3&gt;=$C$1),'General Inputs'!R$10*$H64,0))</f>
        <v>0</v>
      </c>
      <c r="BP64" s="214">
        <f>IF(AND(($D64+$C$1)&gt;AU$3,AU$3&gt;=$C$1),'General Inputs'!S$10*$I64,IF(AND(($C64+$C$1)&gt;AU$3,AU$3&gt;=$C$1),'General Inputs'!S$10*$H64,0))</f>
        <v>0</v>
      </c>
      <c r="BQ64" s="214">
        <f>IF(AND(($D64+$C$1)&gt;AV$3,AV$3&gt;=$C$1),'General Inputs'!T$10*$I64,IF(AND(($C64+$C$1)&gt;AV$3,AV$3&gt;=$C$1),'General Inputs'!T$10*$H64,0))</f>
        <v>0</v>
      </c>
      <c r="BR64" s="214">
        <f>IF(AND(($D64+$C$1)&gt;AW$3,AW$3&gt;=$C$1),'General Inputs'!U$10*$I64,IF(AND(($C64+$C$1)&gt;AW$3,AW$3&gt;=$C$1),'General Inputs'!U$10*$H64,0))</f>
        <v>0</v>
      </c>
      <c r="BS64" s="214">
        <f>IF(AND(($D64+$C$1)&gt;AX$3,AX$3&gt;=$C$1),'General Inputs'!V$10*$I64,IF(AND(($C64+$C$1)&gt;AX$3,AX$3&gt;=$C$1),'General Inputs'!V$10*$H64,0))</f>
        <v>0</v>
      </c>
      <c r="BT64" s="214">
        <f>IF(AND(($D64+$C$1)&gt;AY$3,AY$3&gt;=$C$1),'General Inputs'!W$10*$I64,IF(AND(($C64+$C$1)&gt;AY$3,AY$3&gt;=$C$1),'General Inputs'!W$10*$H64,0))</f>
        <v>0</v>
      </c>
    </row>
    <row r="65" spans="1:72">
      <c r="A65" s="342" t="s">
        <v>112</v>
      </c>
      <c r="B65" s="427" t="str">
        <f>Sources!B65</f>
        <v>Pin-Based CFL ≥32W</v>
      </c>
      <c r="C65" s="193">
        <f>Sources!C65</f>
        <v>10</v>
      </c>
      <c r="D65" s="193">
        <f>Sources!D65</f>
        <v>0</v>
      </c>
      <c r="F65" s="429">
        <f>Sources!F65*EnergyLineLoss</f>
        <v>1074.76513125</v>
      </c>
      <c r="G65" s="429">
        <f>Sources!G65*EnergyLineLoss</f>
        <v>0</v>
      </c>
      <c r="H65" s="477">
        <f>Sources!H65*PeakLineLoss</f>
        <v>0.16619031000000001</v>
      </c>
      <c r="I65" s="477">
        <f>Sources!I65*PeakLineLoss</f>
        <v>0</v>
      </c>
      <c r="K65" s="419">
        <f>Sources!J65</f>
        <v>50</v>
      </c>
      <c r="L65" s="419">
        <f>Sources!K65</f>
        <v>0</v>
      </c>
      <c r="N65" s="438">
        <f t="shared" si="22"/>
        <v>6.9516791050760842</v>
      </c>
      <c r="P65" s="215">
        <f t="shared" si="23"/>
        <v>277.28850866307909</v>
      </c>
      <c r="Q65" s="215">
        <f t="shared" si="24"/>
        <v>16.126722746708957</v>
      </c>
      <c r="R65" s="215">
        <f t="shared" si="25"/>
        <v>42.207821588821261</v>
      </c>
      <c r="T65" s="214">
        <f t="shared" si="26"/>
        <v>0</v>
      </c>
      <c r="U65" s="214">
        <f t="shared" si="26"/>
        <v>0</v>
      </c>
      <c r="V65" s="214">
        <f t="shared" si="26"/>
        <v>50</v>
      </c>
      <c r="W65" s="214">
        <f t="shared" si="26"/>
        <v>0</v>
      </c>
      <c r="X65" s="214">
        <f t="shared" si="26"/>
        <v>0</v>
      </c>
      <c r="Y65" s="214">
        <f t="shared" si="26"/>
        <v>0</v>
      </c>
      <c r="Z65" s="214">
        <f t="shared" si="26"/>
        <v>0</v>
      </c>
      <c r="AA65" s="214">
        <f t="shared" si="26"/>
        <v>0</v>
      </c>
      <c r="AB65" s="214">
        <f t="shared" si="26"/>
        <v>0</v>
      </c>
      <c r="AC65" s="214">
        <f t="shared" si="26"/>
        <v>0</v>
      </c>
      <c r="AD65" s="214">
        <f t="shared" si="26"/>
        <v>0</v>
      </c>
      <c r="AF65" s="214">
        <f>IF(AND(($D65+$C$1)&gt;AF$3,AF$3&gt;=$C$1),'General Inputs'!D$9*$G65,IF(AND(($C65+$C$1)&gt;AF$3,AF$3&gt;=$C$1),'General Inputs'!D$9*$F65,0))</f>
        <v>0</v>
      </c>
      <c r="AG65" s="214">
        <f>IF(AND(($D65+$C$1)&gt;AG$3,AG$3&gt;=$C$1),'General Inputs'!E$9*$G65,IF(AND(($C65+$C$1)&gt;AG$3,AG$3&gt;=$C$1),'General Inputs'!E$9*$F65,0))</f>
        <v>0</v>
      </c>
      <c r="AH65" s="214">
        <f>IF(AND(($D65+$C$1)&gt;AH$3,AH$3&gt;=$C$1),'General Inputs'!F$9*$G65,IF(AND(($C65+$C$1)&gt;AH$3,AH$3&gt;=$C$1),'General Inputs'!F$9*$F65,0))</f>
        <v>44.082131427233747</v>
      </c>
      <c r="AI65" s="214">
        <f>IF(AND(($D65+$C$1)&gt;AI$3,AI$3&gt;=$C$1),'General Inputs'!G$9*$G65,IF(AND(($C65+$C$1)&gt;AI$3,AI$3&gt;=$C$1),'General Inputs'!G$9*$F65,0))</f>
        <v>44.743363398642252</v>
      </c>
      <c r="AJ65" s="214">
        <f>IF(AND(($D65+$C$1)&gt;AJ$3,AJ$3&gt;=$C$1),'General Inputs'!H$9*$G65,IF(AND(($C65+$C$1)&gt;AJ$3,AJ$3&gt;=$C$1),'General Inputs'!H$9*$F65,0))</f>
        <v>45.414513849621876</v>
      </c>
      <c r="AK65" s="214">
        <f>IF(AND(($D65+$C$1)&gt;AK$3,AK$3&gt;=$C$1),'General Inputs'!I$9*$G65,IF(AND(($C65+$C$1)&gt;AK$3,AK$3&gt;=$C$1),'General Inputs'!I$9*$F65,0))</f>
        <v>46.0957315573662</v>
      </c>
      <c r="AL65" s="214">
        <f>IF(AND(($D65+$C$1)&gt;AL$3,AL$3&gt;=$C$1),'General Inputs'!J$9*$G65,IF(AND(($C65+$C$1)&gt;AL$3,AL$3&gt;=$C$1),'General Inputs'!J$9*$F65,0))</f>
        <v>46.787167530726684</v>
      </c>
      <c r="AM65" s="214">
        <f>IF(AND(($D65+$C$1)&gt;AM$3,AM$3&gt;=$C$1),'General Inputs'!K$9*$G65,IF(AND(($C65+$C$1)&gt;AM$3,AM$3&gt;=$C$1),'General Inputs'!K$9*$F65,0))</f>
        <v>47.488975043687574</v>
      </c>
      <c r="AN65" s="214">
        <f>IF(AND(($D65+$C$1)&gt;AN$3,AN$3&gt;=$C$1),'General Inputs'!L$9*$G65,IF(AND(($C65+$C$1)&gt;AN$3,AN$3&gt;=$C$1),'General Inputs'!L$9*$F65,0))</f>
        <v>48.201309669342884</v>
      </c>
      <c r="AO65" s="214">
        <f>IF(AND(($D65+$C$1)&gt;AO$3,AO$3&gt;=$C$1),'General Inputs'!M$9*$G65,IF(AND(($C65+$C$1)&gt;AO$3,AO$3&gt;=$C$1),'General Inputs'!M$9*$F65,0))</f>
        <v>48.924329314383023</v>
      </c>
      <c r="AP65" s="214">
        <f>IF(AND(($D65+$C$1)&gt;AP$3,AP$3&gt;=$C$1),'General Inputs'!N$9*$G65,IF(AND(($C65+$C$1)&gt;AP$3,AP$3&gt;=$C$1),'General Inputs'!N$9*$F65,0))</f>
        <v>49.658194254098767</v>
      </c>
      <c r="AQ65" s="214">
        <f>IF(AND(($D65+$C$1)&gt;AQ$3,AQ$3&gt;=$C$1),'General Inputs'!O$9*$G65,IF(AND(($C65+$C$1)&gt;AQ$3,AQ$3&gt;=$C$1),'General Inputs'!O$9*$F65,0))</f>
        <v>50.403067167910237</v>
      </c>
      <c r="AR65" s="214">
        <f>IF(AND(($D65+$C$1)&gt;AR$3,AR$3&gt;=$C$1),'General Inputs'!P$9*$G65,IF(AND(($C65+$C$1)&gt;AR$3,AR$3&gt;=$C$1),'General Inputs'!P$9*$F65,0))</f>
        <v>0</v>
      </c>
      <c r="AS65" s="214">
        <f>IF(AND(($D65+$C$1)&gt;AS$3,AS$3&gt;=$C$1),'General Inputs'!Q$9*$G65,IF(AND(($C65+$C$1)&gt;AS$3,AS$3&gt;=$C$1),'General Inputs'!Q$9*$F65,0))</f>
        <v>0</v>
      </c>
      <c r="AT65" s="214">
        <f>IF(AND(($D65+$C$1)&gt;AT$3,AT$3&gt;=$C$1),'General Inputs'!R$9*$G65,IF(AND(($C65+$C$1)&gt;AT$3,AT$3&gt;=$C$1),'General Inputs'!R$9*$F65,0))</f>
        <v>0</v>
      </c>
      <c r="AU65" s="214">
        <f>IF(AND(($D65+$C$1)&gt;AU$3,AU$3&gt;=$C$1),'General Inputs'!S$9*$G65,IF(AND(($C65+$C$1)&gt;AU$3,AU$3&gt;=$C$1),'General Inputs'!S$9*$F65,0))</f>
        <v>0</v>
      </c>
      <c r="AV65" s="214">
        <f>IF(AND(($D65+$C$1)&gt;AV$3,AV$3&gt;=$C$1),'General Inputs'!T$9*$G65,IF(AND(($C65+$C$1)&gt;AV$3,AV$3&gt;=$C$1),'General Inputs'!T$9*$F65,0))</f>
        <v>0</v>
      </c>
      <c r="AW65" s="214">
        <f>IF(AND(($D65+$C$1)&gt;AW$3,AW$3&gt;=$C$1),'General Inputs'!U$9*$G65,IF(AND(($C65+$C$1)&gt;AW$3,AW$3&gt;=$C$1),'General Inputs'!U$9*$F65,0))</f>
        <v>0</v>
      </c>
      <c r="AX65" s="214">
        <f>IF(AND(($D65+$C$1)&gt;AX$3,AX$3&gt;=$C$1),'General Inputs'!V$9*$G65,IF(AND(($C65+$C$1)&gt;AX$3,AX$3&gt;=$C$1),'General Inputs'!V$9*$F65,0))</f>
        <v>0</v>
      </c>
      <c r="AY65" s="214">
        <f>IF(AND(($D65+$C$1)&gt;AY$3,AY$3&gt;=$C$1),'General Inputs'!W$9*$G65,IF(AND(($C65+$C$1)&gt;AY$3,AY$3&gt;=$C$1),'General Inputs'!W$9*$F65,0))</f>
        <v>0</v>
      </c>
      <c r="BA65" s="214">
        <f>IF(AND(($D65+$C$1)&gt;AF$3,AF$3&gt;=$C$1),'General Inputs'!D$10*$I65,IF(AND(($C65+$C$1)&gt;AF$3,AF$3&gt;=$C$1),'General Inputs'!D$10*$H65,0))</f>
        <v>0</v>
      </c>
      <c r="BB65" s="214">
        <f>IF(AND(($D65+$C$1)&gt;AG$3,AG$3&gt;=$C$1),'General Inputs'!E$10*$I65,IF(AND(($C65+$C$1)&gt;AG$3,AG$3&gt;=$C$1),'General Inputs'!E$10*$H65,0))</f>
        <v>0</v>
      </c>
      <c r="BC65" s="214">
        <f>IF(AND(($D65+$C$1)&gt;AH$3,AH$3&gt;=$C$1),'General Inputs'!F$10*$I65,IF(AND(($C65+$C$1)&gt;AH$3,AH$3&gt;=$C$1),'General Inputs'!F$10*$H65,0))</f>
        <v>2.56375684314696</v>
      </c>
      <c r="BD65" s="214">
        <f>IF(AND(($D65+$C$1)&gt;AI$3,AI$3&gt;=$C$1),'General Inputs'!G$10*$I65,IF(AND(($C65+$C$1)&gt;AI$3,AI$3&gt;=$C$1),'General Inputs'!G$10*$H65,0))</f>
        <v>2.6022131957941643</v>
      </c>
      <c r="BE65" s="214">
        <f>IF(AND(($D65+$C$1)&gt;AJ$3,AJ$3&gt;=$C$1),'General Inputs'!H$10*$I65,IF(AND(($C65+$C$1)&gt;AJ$3,AJ$3&gt;=$C$1),'General Inputs'!H$10*$H65,0))</f>
        <v>2.6412463937310764</v>
      </c>
      <c r="BF65" s="214">
        <f>IF(AND(($D65+$C$1)&gt;AK$3,AK$3&gt;=$C$1),'General Inputs'!I$10*$I65,IF(AND(($C65+$C$1)&gt;AK$3,AK$3&gt;=$C$1),'General Inputs'!I$10*$H65,0))</f>
        <v>2.6808650896370421</v>
      </c>
      <c r="BG65" s="214">
        <f>IF(AND(($D65+$C$1)&gt;AL$3,AL$3&gt;=$C$1),'General Inputs'!J$10*$I65,IF(AND(($C65+$C$1)&gt;AL$3,AL$3&gt;=$C$1),'General Inputs'!J$10*$H65,0))</f>
        <v>2.7210780659815974</v>
      </c>
      <c r="BH65" s="214">
        <f>IF(AND(($D65+$C$1)&gt;AM$3,AM$3&gt;=$C$1),'General Inputs'!K$10*$I65,IF(AND(($C65+$C$1)&gt;AM$3,AM$3&gt;=$C$1),'General Inputs'!K$10*$H65,0))</f>
        <v>2.7618942369713211</v>
      </c>
      <c r="BI65" s="214">
        <f>IF(AND(($D65+$C$1)&gt;AN$3,AN$3&gt;=$C$1),'General Inputs'!L$10*$I65,IF(AND(($C65+$C$1)&gt;AN$3,AN$3&gt;=$C$1),'General Inputs'!L$10*$H65,0))</f>
        <v>2.803322650525891</v>
      </c>
      <c r="BJ65" s="214">
        <f>IF(AND(($D65+$C$1)&gt;AO$3,AO$3&gt;=$C$1),'General Inputs'!M$10*$I65,IF(AND(($C65+$C$1)&gt;AO$3,AO$3&gt;=$C$1),'General Inputs'!M$10*$H65,0))</f>
        <v>2.8453724902837791</v>
      </c>
      <c r="BK65" s="214">
        <f>IF(AND(($D65+$C$1)&gt;AP$3,AP$3&gt;=$C$1),'General Inputs'!N$10*$I65,IF(AND(($C65+$C$1)&gt;AP$3,AP$3&gt;=$C$1),'General Inputs'!N$10*$H65,0))</f>
        <v>2.8880530776380353</v>
      </c>
      <c r="BL65" s="214">
        <f>IF(AND(($D65+$C$1)&gt;AQ$3,AQ$3&gt;=$C$1),'General Inputs'!O$10*$I65,IF(AND(($C65+$C$1)&gt;AQ$3,AQ$3&gt;=$C$1),'General Inputs'!O$10*$H65,0))</f>
        <v>2.9313738738026056</v>
      </c>
      <c r="BM65" s="214">
        <f>IF(AND(($D65+$C$1)&gt;AR$3,AR$3&gt;=$C$1),'General Inputs'!P$10*$I65,IF(AND(($C65+$C$1)&gt;AR$3,AR$3&gt;=$C$1),'General Inputs'!P$10*$H65,0))</f>
        <v>0</v>
      </c>
      <c r="BN65" s="214">
        <f>IF(AND(($D65+$C$1)&gt;AS$3,AS$3&gt;=$C$1),'General Inputs'!Q$10*$I65,IF(AND(($C65+$C$1)&gt;AS$3,AS$3&gt;=$C$1),'General Inputs'!Q$10*$H65,0))</f>
        <v>0</v>
      </c>
      <c r="BO65" s="214">
        <f>IF(AND(($D65+$C$1)&gt;AT$3,AT$3&gt;=$C$1),'General Inputs'!R$10*$I65,IF(AND(($C65+$C$1)&gt;AT$3,AT$3&gt;=$C$1),'General Inputs'!R$10*$H65,0))</f>
        <v>0</v>
      </c>
      <c r="BP65" s="214">
        <f>IF(AND(($D65+$C$1)&gt;AU$3,AU$3&gt;=$C$1),'General Inputs'!S$10*$I65,IF(AND(($C65+$C$1)&gt;AU$3,AU$3&gt;=$C$1),'General Inputs'!S$10*$H65,0))</f>
        <v>0</v>
      </c>
      <c r="BQ65" s="214">
        <f>IF(AND(($D65+$C$1)&gt;AV$3,AV$3&gt;=$C$1),'General Inputs'!T$10*$I65,IF(AND(($C65+$C$1)&gt;AV$3,AV$3&gt;=$C$1),'General Inputs'!T$10*$H65,0))</f>
        <v>0</v>
      </c>
      <c r="BR65" s="214">
        <f>IF(AND(($D65+$C$1)&gt;AW$3,AW$3&gt;=$C$1),'General Inputs'!U$10*$I65,IF(AND(($C65+$C$1)&gt;AW$3,AW$3&gt;=$C$1),'General Inputs'!U$10*$H65,0))</f>
        <v>0</v>
      </c>
      <c r="BS65" s="214">
        <f>IF(AND(($D65+$C$1)&gt;AX$3,AX$3&gt;=$C$1),'General Inputs'!V$10*$I65,IF(AND(($C65+$C$1)&gt;AX$3,AX$3&gt;=$C$1),'General Inputs'!V$10*$H65,0))</f>
        <v>0</v>
      </c>
      <c r="BT65" s="214">
        <f>IF(AND(($D65+$C$1)&gt;AY$3,AY$3&gt;=$C$1),'General Inputs'!W$10*$I65,IF(AND(($C65+$C$1)&gt;AY$3,AY$3&gt;=$C$1),'General Inputs'!W$10*$H65,0))</f>
        <v>0</v>
      </c>
    </row>
    <row r="66" spans="1:72">
      <c r="A66" s="342" t="s">
        <v>112</v>
      </c>
      <c r="B66" s="427" t="str">
        <f>Sources!B66</f>
        <v>Multi-CFL Fixture</v>
      </c>
      <c r="C66" s="193">
        <f>Sources!C66</f>
        <v>18</v>
      </c>
      <c r="D66" s="193">
        <f>Sources!D66</f>
        <v>0</v>
      </c>
      <c r="F66" s="429">
        <f>Sources!F66*EnergyLineLoss</f>
        <v>1243.2418275</v>
      </c>
      <c r="G66" s="429">
        <f>Sources!G66*EnergyLineLoss</f>
        <v>0</v>
      </c>
      <c r="H66" s="477">
        <f>Sources!H66*PeakLineLoss</f>
        <v>0.19224176400000001</v>
      </c>
      <c r="I66" s="477">
        <f>Sources!I66*PeakLineLoss</f>
        <v>0</v>
      </c>
      <c r="K66" s="419">
        <f>Sources!J66</f>
        <v>98</v>
      </c>
      <c r="L66" s="419">
        <f>Sources!K66</f>
        <v>0</v>
      </c>
      <c r="N66" s="438">
        <f t="shared" si="22"/>
        <v>5.8409911845084057</v>
      </c>
      <c r="P66" s="215">
        <f t="shared" si="23"/>
        <v>456.6513833511666</v>
      </c>
      <c r="Q66" s="215">
        <f t="shared" si="24"/>
        <v>26.55822373134615</v>
      </c>
      <c r="R66" s="215">
        <f t="shared" si="25"/>
        <v>82.72733031408967</v>
      </c>
      <c r="T66" s="214">
        <f t="shared" si="26"/>
        <v>0</v>
      </c>
      <c r="U66" s="214">
        <f t="shared" si="26"/>
        <v>0</v>
      </c>
      <c r="V66" s="214">
        <f t="shared" si="26"/>
        <v>98</v>
      </c>
      <c r="W66" s="214">
        <f t="shared" si="26"/>
        <v>0</v>
      </c>
      <c r="X66" s="214">
        <f t="shared" si="26"/>
        <v>0</v>
      </c>
      <c r="Y66" s="214">
        <f t="shared" si="26"/>
        <v>0</v>
      </c>
      <c r="Z66" s="214">
        <f t="shared" si="26"/>
        <v>0</v>
      </c>
      <c r="AA66" s="214">
        <f t="shared" si="26"/>
        <v>0</v>
      </c>
      <c r="AB66" s="214">
        <f t="shared" si="26"/>
        <v>0</v>
      </c>
      <c r="AC66" s="214">
        <f t="shared" si="26"/>
        <v>0</v>
      </c>
      <c r="AD66" s="214">
        <f t="shared" si="26"/>
        <v>0</v>
      </c>
      <c r="AF66" s="214">
        <f>IF(AND(($D66+$C$1)&gt;AF$3,AF$3&gt;=$C$1),'General Inputs'!D$9*$G66,IF(AND(($C66+$C$1)&gt;AF$3,AF$3&gt;=$C$1),'General Inputs'!D$9*$F66,0))</f>
        <v>0</v>
      </c>
      <c r="AG66" s="214">
        <f>IF(AND(($D66+$C$1)&gt;AG$3,AG$3&gt;=$C$1),'General Inputs'!E$9*$G66,IF(AND(($C66+$C$1)&gt;AG$3,AG$3&gt;=$C$1),'General Inputs'!E$9*$F66,0))</f>
        <v>0</v>
      </c>
      <c r="AH66" s="214">
        <f>IF(AND(($D66+$C$1)&gt;AH$3,AH$3&gt;=$C$1),'General Inputs'!F$9*$G66,IF(AND(($C66+$C$1)&gt;AH$3,AH$3&gt;=$C$1),'General Inputs'!F$9*$F66,0))</f>
        <v>50.992303380692007</v>
      </c>
      <c r="AI66" s="214">
        <f>IF(AND(($D66+$C$1)&gt;AI$3,AI$3&gt;=$C$1),'General Inputs'!G$9*$G66,IF(AND(($C66+$C$1)&gt;AI$3,AI$3&gt;=$C$1),'General Inputs'!G$9*$F66,0))</f>
        <v>51.757187931402385</v>
      </c>
      <c r="AJ66" s="214">
        <f>IF(AND(($D66+$C$1)&gt;AJ$3,AJ$3&gt;=$C$1),'General Inputs'!H$9*$G66,IF(AND(($C66+$C$1)&gt;AJ$3,AJ$3&gt;=$C$1),'General Inputs'!H$9*$F66,0))</f>
        <v>52.533545750373413</v>
      </c>
      <c r="AK66" s="214">
        <f>IF(AND(($D66+$C$1)&gt;AK$3,AK$3&gt;=$C$1),'General Inputs'!I$9*$G66,IF(AND(($C66+$C$1)&gt;AK$3,AK$3&gt;=$C$1),'General Inputs'!I$9*$F66,0))</f>
        <v>53.321548936629007</v>
      </c>
      <c r="AL66" s="214">
        <f>IF(AND(($D66+$C$1)&gt;AL$3,AL$3&gt;=$C$1),'General Inputs'!J$9*$G66,IF(AND(($C66+$C$1)&gt;AL$3,AL$3&gt;=$C$1),'General Inputs'!J$9*$F66,0))</f>
        <v>54.121372170678434</v>
      </c>
      <c r="AM66" s="214">
        <f>IF(AND(($D66+$C$1)&gt;AM$3,AM$3&gt;=$C$1),'General Inputs'!K$9*$G66,IF(AND(($C66+$C$1)&gt;AM$3,AM$3&gt;=$C$1),'General Inputs'!K$9*$F66,0))</f>
        <v>54.9331927532386</v>
      </c>
      <c r="AN66" s="214">
        <f>IF(AND(($D66+$C$1)&gt;AN$3,AN$3&gt;=$C$1),'General Inputs'!L$9*$G66,IF(AND(($C66+$C$1)&gt;AN$3,AN$3&gt;=$C$1),'General Inputs'!L$9*$F66,0))</f>
        <v>55.757190644537175</v>
      </c>
      <c r="AO66" s="214">
        <f>IF(AND(($D66+$C$1)&gt;AO$3,AO$3&gt;=$C$1),'General Inputs'!M$9*$G66,IF(AND(($C66+$C$1)&gt;AO$3,AO$3&gt;=$C$1),'General Inputs'!M$9*$F66,0))</f>
        <v>56.593548504205224</v>
      </c>
      <c r="AP66" s="214">
        <f>IF(AND(($D66+$C$1)&gt;AP$3,AP$3&gt;=$C$1),'General Inputs'!N$9*$G66,IF(AND(($C66+$C$1)&gt;AP$3,AP$3&gt;=$C$1),'General Inputs'!N$9*$F66,0))</f>
        <v>57.442451731768301</v>
      </c>
      <c r="AQ66" s="214">
        <f>IF(AND(($D66+$C$1)&gt;AQ$3,AQ$3&gt;=$C$1),'General Inputs'!O$9*$G66,IF(AND(($C66+$C$1)&gt;AQ$3,AQ$3&gt;=$C$1),'General Inputs'!O$9*$F66,0))</f>
        <v>58.304088507744815</v>
      </c>
      <c r="AR66" s="214">
        <f>IF(AND(($D66+$C$1)&gt;AR$3,AR$3&gt;=$C$1),'General Inputs'!P$9*$G66,IF(AND(($C66+$C$1)&gt;AR$3,AR$3&gt;=$C$1),'General Inputs'!P$9*$F66,0))</f>
        <v>59.178649835360986</v>
      </c>
      <c r="AS66" s="214">
        <f>IF(AND(($D66+$C$1)&gt;AS$3,AS$3&gt;=$C$1),'General Inputs'!Q$9*$G66,IF(AND(($C66+$C$1)&gt;AS$3,AS$3&gt;=$C$1),'General Inputs'!Q$9*$F66,0))</f>
        <v>60.066329582891399</v>
      </c>
      <c r="AT66" s="214">
        <f>IF(AND(($D66+$C$1)&gt;AT$3,AT$3&gt;=$C$1),'General Inputs'!R$9*$G66,IF(AND(($C66+$C$1)&gt;AT$3,AT$3&gt;=$C$1),'General Inputs'!R$9*$F66,0))</f>
        <v>60.967324526634762</v>
      </c>
      <c r="AU66" s="214">
        <f>IF(AND(($D66+$C$1)&gt;AU$3,AU$3&gt;=$C$1),'General Inputs'!S$9*$G66,IF(AND(($C66+$C$1)&gt;AU$3,AU$3&gt;=$C$1),'General Inputs'!S$9*$F66,0))</f>
        <v>61.88183439453428</v>
      </c>
      <c r="AV66" s="214">
        <f>IF(AND(($D66+$C$1)&gt;AV$3,AV$3&gt;=$C$1),'General Inputs'!T$9*$G66,IF(AND(($C66+$C$1)&gt;AV$3,AV$3&gt;=$C$1),'General Inputs'!T$9*$F66,0))</f>
        <v>62.810061910452291</v>
      </c>
      <c r="AW66" s="214">
        <f>IF(AND(($D66+$C$1)&gt;AW$3,AW$3&gt;=$C$1),'General Inputs'!U$9*$G66,IF(AND(($C66+$C$1)&gt;AW$3,AW$3&gt;=$C$1),'General Inputs'!U$9*$F66,0))</f>
        <v>63.75221283910907</v>
      </c>
      <c r="AX66" s="214">
        <f>IF(AND(($D66+$C$1)&gt;AX$3,AX$3&gt;=$C$1),'General Inputs'!V$9*$G66,IF(AND(($C66+$C$1)&gt;AX$3,AX$3&gt;=$C$1),'General Inputs'!V$9*$F66,0))</f>
        <v>64.708496031695702</v>
      </c>
      <c r="AY66" s="214">
        <f>IF(AND(($D66+$C$1)&gt;AY$3,AY$3&gt;=$C$1),'General Inputs'!W$9*$G66,IF(AND(($C66+$C$1)&gt;AY$3,AY$3&gt;=$C$1),'General Inputs'!W$9*$F66,0))</f>
        <v>65.679123472171128</v>
      </c>
      <c r="BA66" s="214">
        <f>IF(AND(($D66+$C$1)&gt;AF$3,AF$3&gt;=$C$1),'General Inputs'!D$10*$I66,IF(AND(($C66+$C$1)&gt;AF$3,AF$3&gt;=$C$1),'General Inputs'!D$10*$H66,0))</f>
        <v>0</v>
      </c>
      <c r="BB66" s="214">
        <f>IF(AND(($D66+$C$1)&gt;AG$3,AG$3&gt;=$C$1),'General Inputs'!E$10*$I66,IF(AND(($C66+$C$1)&gt;AG$3,AG$3&gt;=$C$1),'General Inputs'!E$10*$H66,0))</f>
        <v>0</v>
      </c>
      <c r="BC66" s="214">
        <f>IF(AND(($D66+$C$1)&gt;AH$3,AH$3&gt;=$C$1),'General Inputs'!F$10*$I66,IF(AND(($C66+$C$1)&gt;AH$3,AH$3&gt;=$C$1),'General Inputs'!F$10*$H66,0))</f>
        <v>2.9656430509916185</v>
      </c>
      <c r="BD66" s="214">
        <f>IF(AND(($D66+$C$1)&gt;AI$3,AI$3&gt;=$C$1),'General Inputs'!G$10*$I66,IF(AND(($C66+$C$1)&gt;AI$3,AI$3&gt;=$C$1),'General Inputs'!G$10*$H66,0))</f>
        <v>3.0101276967564927</v>
      </c>
      <c r="BE66" s="214">
        <f>IF(AND(($D66+$C$1)&gt;AJ$3,AJ$3&gt;=$C$1),'General Inputs'!H$10*$I66,IF(AND(($C66+$C$1)&gt;AJ$3,AJ$3&gt;=$C$1),'General Inputs'!H$10*$H66,0))</f>
        <v>3.0552796122078401</v>
      </c>
      <c r="BF66" s="214">
        <f>IF(AND(($D66+$C$1)&gt;AK$3,AK$3&gt;=$C$1),'General Inputs'!I$10*$I66,IF(AND(($C66+$C$1)&gt;AK$3,AK$3&gt;=$C$1),'General Inputs'!I$10*$H66,0))</f>
        <v>3.1011088063909571</v>
      </c>
      <c r="BG66" s="214">
        <f>IF(AND(($D66+$C$1)&gt;AL$3,AL$3&gt;=$C$1),'General Inputs'!J$10*$I66,IF(AND(($C66+$C$1)&gt;AL$3,AL$3&gt;=$C$1),'General Inputs'!J$10*$H66,0))</f>
        <v>3.1476254384868207</v>
      </c>
      <c r="BH66" s="214">
        <f>IF(AND(($D66+$C$1)&gt;AM$3,AM$3&gt;=$C$1),'General Inputs'!K$10*$I66,IF(AND(($C66+$C$1)&gt;AM$3,AM$3&gt;=$C$1),'General Inputs'!K$10*$H66,0))</f>
        <v>3.1948398200641228</v>
      </c>
      <c r="BI66" s="214">
        <f>IF(AND(($D66+$C$1)&gt;AN$3,AN$3&gt;=$C$1),'General Inputs'!L$10*$I66,IF(AND(($C66+$C$1)&gt;AN$3,AN$3&gt;=$C$1),'General Inputs'!L$10*$H66,0))</f>
        <v>3.2427624173650846</v>
      </c>
      <c r="BJ66" s="214">
        <f>IF(AND(($D66+$C$1)&gt;AO$3,AO$3&gt;=$C$1),'General Inputs'!M$10*$I66,IF(AND(($C66+$C$1)&gt;AO$3,AO$3&gt;=$C$1),'General Inputs'!M$10*$H66,0))</f>
        <v>3.2914038536255608</v>
      </c>
      <c r="BK66" s="214">
        <f>IF(AND(($D66+$C$1)&gt;AP$3,AP$3&gt;=$C$1),'General Inputs'!N$10*$I66,IF(AND(($C66+$C$1)&gt;AP$3,AP$3&gt;=$C$1),'General Inputs'!N$10*$H66,0))</f>
        <v>3.3407749114299436</v>
      </c>
      <c r="BL66" s="214">
        <f>IF(AND(($D66+$C$1)&gt;AQ$3,AQ$3&gt;=$C$1),'General Inputs'!O$10*$I66,IF(AND(($C66+$C$1)&gt;AQ$3,AQ$3&gt;=$C$1),'General Inputs'!O$10*$H66,0))</f>
        <v>3.3908865351013926</v>
      </c>
      <c r="BM66" s="214">
        <f>IF(AND(($D66+$C$1)&gt;AR$3,AR$3&gt;=$C$1),'General Inputs'!P$10*$I66,IF(AND(($C66+$C$1)&gt;AR$3,AR$3&gt;=$C$1),'General Inputs'!P$10*$H66,0))</f>
        <v>3.441749833127913</v>
      </c>
      <c r="BN66" s="214">
        <f>IF(AND(($D66+$C$1)&gt;AS$3,AS$3&gt;=$C$1),'General Inputs'!Q$10*$I66,IF(AND(($C66+$C$1)&gt;AS$3,AS$3&gt;=$C$1),'General Inputs'!Q$10*$H66,0))</f>
        <v>3.4933760806248317</v>
      </c>
      <c r="BO66" s="214">
        <f>IF(AND(($D66+$C$1)&gt;AT$3,AT$3&gt;=$C$1),'General Inputs'!R$10*$I66,IF(AND(($C66+$C$1)&gt;AT$3,AT$3&gt;=$C$1),'General Inputs'!R$10*$H66,0))</f>
        <v>3.5457767218342036</v>
      </c>
      <c r="BP66" s="214">
        <f>IF(AND(($D66+$C$1)&gt;AU$3,AU$3&gt;=$C$1),'General Inputs'!S$10*$I66,IF(AND(($C66+$C$1)&gt;AU$3,AU$3&gt;=$C$1),'General Inputs'!S$10*$H66,0))</f>
        <v>3.5989633726617165</v>
      </c>
      <c r="BQ66" s="214">
        <f>IF(AND(($D66+$C$1)&gt;AV$3,AV$3&gt;=$C$1),'General Inputs'!T$10*$I66,IF(AND(($C66+$C$1)&gt;AV$3,AV$3&gt;=$C$1),'General Inputs'!T$10*$H66,0))</f>
        <v>3.6529478232516417</v>
      </c>
      <c r="BR66" s="214">
        <f>IF(AND(($D66+$C$1)&gt;AW$3,AW$3&gt;=$C$1),'General Inputs'!U$10*$I66,IF(AND(($C66+$C$1)&gt;AW$3,AW$3&gt;=$C$1),'General Inputs'!U$10*$H66,0))</f>
        <v>3.707742040600416</v>
      </c>
      <c r="BS66" s="214">
        <f>IF(AND(($D66+$C$1)&gt;AX$3,AX$3&gt;=$C$1),'General Inputs'!V$10*$I66,IF(AND(($C66+$C$1)&gt;AX$3,AX$3&gt;=$C$1),'General Inputs'!V$10*$H66,0))</f>
        <v>3.7633581712094215</v>
      </c>
      <c r="BT66" s="214">
        <f>IF(AND(($D66+$C$1)&gt;AY$3,AY$3&gt;=$C$1),'General Inputs'!W$10*$I66,IF(AND(($C66+$C$1)&gt;AY$3,AY$3&gt;=$C$1),'General Inputs'!W$10*$H66,0))</f>
        <v>3.8198085437775626</v>
      </c>
    </row>
    <row r="67" spans="1:72">
      <c r="A67" s="342" t="s">
        <v>112</v>
      </c>
      <c r="B67" s="427" t="str">
        <f>Sources!B67</f>
        <v>Indirect Fixture</v>
      </c>
      <c r="C67" s="193">
        <f>Sources!C67</f>
        <v>18</v>
      </c>
      <c r="D67" s="193">
        <f>Sources!D67</f>
        <v>0</v>
      </c>
      <c r="F67" s="429">
        <f>Sources!F67*EnergyLineLoss</f>
        <v>156.85761374999998</v>
      </c>
      <c r="G67" s="429">
        <f>Sources!G67*EnergyLineLoss</f>
        <v>0</v>
      </c>
      <c r="H67" s="477">
        <f>Sources!H67*PeakLineLoss</f>
        <v>92.481509999999986</v>
      </c>
      <c r="I67" s="477">
        <f>Sources!I67*PeakLineLoss</f>
        <v>0</v>
      </c>
      <c r="K67" s="419">
        <f>Sources!J67</f>
        <v>60</v>
      </c>
      <c r="L67" s="419">
        <f>Sources!K67</f>
        <v>0</v>
      </c>
      <c r="N67" s="438">
        <f t="shared" si="22"/>
        <v>253.38800921885084</v>
      </c>
      <c r="P67" s="215">
        <f t="shared" si="23"/>
        <v>57.614894161128476</v>
      </c>
      <c r="Q67" s="215">
        <f t="shared" si="24"/>
        <v>12776.332168865896</v>
      </c>
      <c r="R67" s="215">
        <f t="shared" si="25"/>
        <v>50.649385906585515</v>
      </c>
      <c r="T67" s="214">
        <f t="shared" si="26"/>
        <v>0</v>
      </c>
      <c r="U67" s="214">
        <f t="shared" si="26"/>
        <v>0</v>
      </c>
      <c r="V67" s="214">
        <f t="shared" si="26"/>
        <v>60</v>
      </c>
      <c r="W67" s="214">
        <f t="shared" si="26"/>
        <v>0</v>
      </c>
      <c r="X67" s="214">
        <f t="shared" si="26"/>
        <v>0</v>
      </c>
      <c r="Y67" s="214">
        <f t="shared" si="26"/>
        <v>0</v>
      </c>
      <c r="Z67" s="214">
        <f t="shared" si="26"/>
        <v>0</v>
      </c>
      <c r="AA67" s="214">
        <f t="shared" si="26"/>
        <v>0</v>
      </c>
      <c r="AB67" s="214">
        <f t="shared" si="26"/>
        <v>0</v>
      </c>
      <c r="AC67" s="214">
        <f t="shared" si="26"/>
        <v>0</v>
      </c>
      <c r="AD67" s="214">
        <f t="shared" si="26"/>
        <v>0</v>
      </c>
      <c r="AF67" s="214">
        <f>IF(AND(($D67+$C$1)&gt;AF$3,AF$3&gt;=$C$1),'General Inputs'!D$9*$G67,IF(AND(($C67+$C$1)&gt;AF$3,AF$3&gt;=$C$1),'General Inputs'!D$9*$F67,0))</f>
        <v>0</v>
      </c>
      <c r="AG67" s="214">
        <f>IF(AND(($D67+$C$1)&gt;AG$3,AG$3&gt;=$C$1),'General Inputs'!E$9*$G67,IF(AND(($C67+$C$1)&gt;AG$3,AG$3&gt;=$C$1),'General Inputs'!E$9*$F67,0))</f>
        <v>0</v>
      </c>
      <c r="AH67" s="214">
        <f>IF(AND(($D67+$C$1)&gt;AH$3,AH$3&gt;=$C$1),'General Inputs'!F$9*$G67,IF(AND(($C67+$C$1)&gt;AH$3,AH$3&gt;=$C$1),'General Inputs'!F$9*$F67,0))</f>
        <v>6.4336083704611404</v>
      </c>
      <c r="AI67" s="214">
        <f>IF(AND(($D67+$C$1)&gt;AI$3,AI$3&gt;=$C$1),'General Inputs'!G$9*$G67,IF(AND(($C67+$C$1)&gt;AI$3,AI$3&gt;=$C$1),'General Inputs'!G$9*$F67,0))</f>
        <v>6.5301124960180577</v>
      </c>
      <c r="AJ67" s="214">
        <f>IF(AND(($D67+$C$1)&gt;AJ$3,AJ$3&gt;=$C$1),'General Inputs'!H$9*$G67,IF(AND(($C67+$C$1)&gt;AJ$3,AJ$3&gt;=$C$1),'General Inputs'!H$9*$F67,0))</f>
        <v>6.6280641834583278</v>
      </c>
      <c r="AK67" s="214">
        <f>IF(AND(($D67+$C$1)&gt;AK$3,AK$3&gt;=$C$1),'General Inputs'!I$9*$G67,IF(AND(($C67+$C$1)&gt;AK$3,AK$3&gt;=$C$1),'General Inputs'!I$9*$F67,0))</f>
        <v>6.727485146210201</v>
      </c>
      <c r="AL67" s="214">
        <f>IF(AND(($D67+$C$1)&gt;AL$3,AL$3&gt;=$C$1),'General Inputs'!J$9*$G67,IF(AND(($C67+$C$1)&gt;AL$3,AL$3&gt;=$C$1),'General Inputs'!J$9*$F67,0))</f>
        <v>6.8283974234033531</v>
      </c>
      <c r="AM67" s="214">
        <f>IF(AND(($D67+$C$1)&gt;AM$3,AM$3&gt;=$C$1),'General Inputs'!K$9*$G67,IF(AND(($C67+$C$1)&gt;AM$3,AM$3&gt;=$C$1),'General Inputs'!K$9*$F67,0))</f>
        <v>6.9308233847544027</v>
      </c>
      <c r="AN67" s="214">
        <f>IF(AND(($D67+$C$1)&gt;AN$3,AN$3&gt;=$C$1),'General Inputs'!L$9*$G67,IF(AND(($C67+$C$1)&gt;AN$3,AN$3&gt;=$C$1),'General Inputs'!L$9*$F67,0))</f>
        <v>7.034785735525718</v>
      </c>
      <c r="AO67" s="214">
        <f>IF(AND(($D67+$C$1)&gt;AO$3,AO$3&gt;=$C$1),'General Inputs'!M$9*$G67,IF(AND(($C67+$C$1)&gt;AO$3,AO$3&gt;=$C$1),'General Inputs'!M$9*$F67,0))</f>
        <v>7.1403075215586025</v>
      </c>
      <c r="AP67" s="214">
        <f>IF(AND(($D67+$C$1)&gt;AP$3,AP$3&gt;=$C$1),'General Inputs'!N$9*$G67,IF(AND(($C67+$C$1)&gt;AP$3,AP$3&gt;=$C$1),'General Inputs'!N$9*$F67,0))</f>
        <v>7.2474121343819817</v>
      </c>
      <c r="AQ67" s="214">
        <f>IF(AND(($D67+$C$1)&gt;AQ$3,AQ$3&gt;=$C$1),'General Inputs'!O$9*$G67,IF(AND(($C67+$C$1)&gt;AQ$3,AQ$3&gt;=$C$1),'General Inputs'!O$9*$F67,0))</f>
        <v>7.35612331639771</v>
      </c>
      <c r="AR67" s="214">
        <f>IF(AND(($D67+$C$1)&gt;AR$3,AR$3&gt;=$C$1),'General Inputs'!P$9*$G67,IF(AND(($C67+$C$1)&gt;AR$3,AR$3&gt;=$C$1),'General Inputs'!P$9*$F67,0))</f>
        <v>7.4664651661436752</v>
      </c>
      <c r="AS67" s="214">
        <f>IF(AND(($D67+$C$1)&gt;AS$3,AS$3&gt;=$C$1),'General Inputs'!Q$9*$G67,IF(AND(($C67+$C$1)&gt;AS$3,AS$3&gt;=$C$1),'General Inputs'!Q$9*$F67,0))</f>
        <v>7.5784621436358295</v>
      </c>
      <c r="AT67" s="214">
        <f>IF(AND(($D67+$C$1)&gt;AT$3,AT$3&gt;=$C$1),'General Inputs'!R$9*$G67,IF(AND(($C67+$C$1)&gt;AT$3,AT$3&gt;=$C$1),'General Inputs'!R$9*$F67,0))</f>
        <v>7.6921390757903669</v>
      </c>
      <c r="AU67" s="214">
        <f>IF(AND(($D67+$C$1)&gt;AU$3,AU$3&gt;=$C$1),'General Inputs'!S$9*$G67,IF(AND(($C67+$C$1)&gt;AU$3,AU$3&gt;=$C$1),'General Inputs'!S$9*$F67,0))</f>
        <v>7.8075211619272213</v>
      </c>
      <c r="AV67" s="214">
        <f>IF(AND(($D67+$C$1)&gt;AV$3,AV$3&gt;=$C$1),'General Inputs'!T$9*$G67,IF(AND(($C67+$C$1)&gt;AV$3,AV$3&gt;=$C$1),'General Inputs'!T$9*$F67,0))</f>
        <v>7.9246339793561296</v>
      </c>
      <c r="AW67" s="214">
        <f>IF(AND(($D67+$C$1)&gt;AW$3,AW$3&gt;=$C$1),'General Inputs'!U$9*$G67,IF(AND(($C67+$C$1)&gt;AW$3,AW$3&gt;=$C$1),'General Inputs'!U$9*$F67,0))</f>
        <v>8.0435034890464703</v>
      </c>
      <c r="AX67" s="214">
        <f>IF(AND(($D67+$C$1)&gt;AX$3,AX$3&gt;=$C$1),'General Inputs'!V$9*$G67,IF(AND(($C67+$C$1)&gt;AX$3,AX$3&gt;=$C$1),'General Inputs'!V$9*$F67,0))</f>
        <v>8.1641560413821672</v>
      </c>
      <c r="AY67" s="214">
        <f>IF(AND(($D67+$C$1)&gt;AY$3,AY$3&gt;=$C$1),'General Inputs'!W$9*$G67,IF(AND(($C67+$C$1)&gt;AY$3,AY$3&gt;=$C$1),'General Inputs'!W$9*$F67,0))</f>
        <v>8.2866183820028994</v>
      </c>
      <c r="BA67" s="214">
        <f>IF(AND(($D67+$C$1)&gt;AF$3,AF$3&gt;=$C$1),'General Inputs'!D$10*$I67,IF(AND(($C67+$C$1)&gt;AF$3,AF$3&gt;=$C$1),'General Inputs'!D$10*$H67,0))</f>
        <v>0</v>
      </c>
      <c r="BB67" s="214">
        <f>IF(AND(($D67+$C$1)&gt;AG$3,AG$3&gt;=$C$1),'General Inputs'!E$10*$I67,IF(AND(($C67+$C$1)&gt;AG$3,AG$3&gt;=$C$1),'General Inputs'!E$10*$H67,0))</f>
        <v>0</v>
      </c>
      <c r="BC67" s="214">
        <f>IF(AND(($D67+$C$1)&gt;AH$3,AH$3&gt;=$C$1),'General Inputs'!F$10*$I67,IF(AND(($C67+$C$1)&gt;AH$3,AH$3&gt;=$C$1),'General Inputs'!F$10*$H67,0))</f>
        <v>1426.6782709958479</v>
      </c>
      <c r="BD67" s="214">
        <f>IF(AND(($D67+$C$1)&gt;AI$3,AI$3&gt;=$C$1),'General Inputs'!G$10*$I67,IF(AND(($C67+$C$1)&gt;AI$3,AI$3&gt;=$C$1),'General Inputs'!G$10*$H67,0))</f>
        <v>1448.0784450607855</v>
      </c>
      <c r="BE67" s="214">
        <f>IF(AND(($D67+$C$1)&gt;AJ$3,AJ$3&gt;=$C$1),'General Inputs'!H$10*$I67,IF(AND(($C67+$C$1)&gt;AJ$3,AJ$3&gt;=$C$1),'General Inputs'!H$10*$H67,0))</f>
        <v>1469.7996217366972</v>
      </c>
      <c r="BF67" s="214">
        <f>IF(AND(($D67+$C$1)&gt;AK$3,AK$3&gt;=$C$1),'General Inputs'!I$10*$I67,IF(AND(($C67+$C$1)&gt;AK$3,AK$3&gt;=$C$1),'General Inputs'!I$10*$H67,0))</f>
        <v>1491.8466160627474</v>
      </c>
      <c r="BG67" s="214">
        <f>IF(AND(($D67+$C$1)&gt;AL$3,AL$3&gt;=$C$1),'General Inputs'!J$10*$I67,IF(AND(($C67+$C$1)&gt;AL$3,AL$3&gt;=$C$1),'General Inputs'!J$10*$H67,0))</f>
        <v>1514.2243153036884</v>
      </c>
      <c r="BH67" s="214">
        <f>IF(AND(($D67+$C$1)&gt;AM$3,AM$3&gt;=$C$1),'General Inputs'!K$10*$I67,IF(AND(($C67+$C$1)&gt;AM$3,AM$3&gt;=$C$1),'General Inputs'!K$10*$H67,0))</f>
        <v>1536.9376800332436</v>
      </c>
      <c r="BI67" s="214">
        <f>IF(AND(($D67+$C$1)&gt;AN$3,AN$3&gt;=$C$1),'General Inputs'!L$10*$I67,IF(AND(($C67+$C$1)&gt;AN$3,AN$3&gt;=$C$1),'General Inputs'!L$10*$H67,0))</f>
        <v>1559.9917452337422</v>
      </c>
      <c r="BJ67" s="214">
        <f>IF(AND(($D67+$C$1)&gt;AO$3,AO$3&gt;=$C$1),'General Inputs'!M$10*$I67,IF(AND(($C67+$C$1)&gt;AO$3,AO$3&gt;=$C$1),'General Inputs'!M$10*$H67,0))</f>
        <v>1583.3916214122482</v>
      </c>
      <c r="BK67" s="214">
        <f>IF(AND(($D67+$C$1)&gt;AP$3,AP$3&gt;=$C$1),'General Inputs'!N$10*$I67,IF(AND(($C67+$C$1)&gt;AP$3,AP$3&gt;=$C$1),'General Inputs'!N$10*$H67,0))</f>
        <v>1607.1424957334318</v>
      </c>
      <c r="BL67" s="214">
        <f>IF(AND(($D67+$C$1)&gt;AQ$3,AQ$3&gt;=$C$1),'General Inputs'!O$10*$I67,IF(AND(($C67+$C$1)&gt;AQ$3,AQ$3&gt;=$C$1),'General Inputs'!O$10*$H67,0))</f>
        <v>1631.2496331694331</v>
      </c>
      <c r="BM67" s="214">
        <f>IF(AND(($D67+$C$1)&gt;AR$3,AR$3&gt;=$C$1),'General Inputs'!P$10*$I67,IF(AND(($C67+$C$1)&gt;AR$3,AR$3&gt;=$C$1),'General Inputs'!P$10*$H67,0))</f>
        <v>1655.7183776669744</v>
      </c>
      <c r="BN67" s="214">
        <f>IF(AND(($D67+$C$1)&gt;AS$3,AS$3&gt;=$C$1),'General Inputs'!Q$10*$I67,IF(AND(($C67+$C$1)&gt;AS$3,AS$3&gt;=$C$1),'General Inputs'!Q$10*$H67,0))</f>
        <v>1680.554153331979</v>
      </c>
      <c r="BO67" s="214">
        <f>IF(AND(($D67+$C$1)&gt;AT$3,AT$3&gt;=$C$1),'General Inputs'!R$10*$I67,IF(AND(($C67+$C$1)&gt;AT$3,AT$3&gt;=$C$1),'General Inputs'!R$10*$H67,0))</f>
        <v>1705.7624656319583</v>
      </c>
      <c r="BP67" s="214">
        <f>IF(AND(($D67+$C$1)&gt;AU$3,AU$3&gt;=$C$1),'General Inputs'!S$10*$I67,IF(AND(($C67+$C$1)&gt;AU$3,AU$3&gt;=$C$1),'General Inputs'!S$10*$H67,0))</f>
        <v>1731.3489026164377</v>
      </c>
      <c r="BQ67" s="214">
        <f>IF(AND(($D67+$C$1)&gt;AV$3,AV$3&gt;=$C$1),'General Inputs'!T$10*$I67,IF(AND(($C67+$C$1)&gt;AV$3,AV$3&gt;=$C$1),'General Inputs'!T$10*$H67,0))</f>
        <v>1757.319136155684</v>
      </c>
      <c r="BR67" s="214">
        <f>IF(AND(($D67+$C$1)&gt;AW$3,AW$3&gt;=$C$1),'General Inputs'!U$10*$I67,IF(AND(($C67+$C$1)&gt;AW$3,AW$3&gt;=$C$1),'General Inputs'!U$10*$H67,0))</f>
        <v>1783.678923198019</v>
      </c>
      <c r="BS67" s="214">
        <f>IF(AND(($D67+$C$1)&gt;AX$3,AX$3&gt;=$C$1),'General Inputs'!V$10*$I67,IF(AND(($C67+$C$1)&gt;AX$3,AX$3&gt;=$C$1),'General Inputs'!V$10*$H67,0))</f>
        <v>1810.4341070459891</v>
      </c>
      <c r="BT67" s="214">
        <f>IF(AND(($D67+$C$1)&gt;AY$3,AY$3&gt;=$C$1),'General Inputs'!W$10*$I67,IF(AND(($C67+$C$1)&gt;AY$3,AY$3&gt;=$C$1),'General Inputs'!W$10*$H67,0))</f>
        <v>1837.5906186516788</v>
      </c>
    </row>
    <row r="68" spans="1:72">
      <c r="A68" s="342" t="s">
        <v>112</v>
      </c>
      <c r="B68" s="427" t="str">
        <f>Sources!B68</f>
        <v>Ceramic Integrated Metal Halide (≤150W)</v>
      </c>
      <c r="C68" s="193">
        <f>Sources!C68</f>
        <v>18</v>
      </c>
      <c r="D68" s="193">
        <f>Sources!D68</f>
        <v>0</v>
      </c>
      <c r="F68" s="429">
        <f>Sources!F68*EnergyLineLoss</f>
        <v>946.95522374999985</v>
      </c>
      <c r="G68" s="429">
        <f>Sources!G68*EnergyLineLoss</f>
        <v>0</v>
      </c>
      <c r="H68" s="477">
        <f>Sources!H68*PeakLineLoss</f>
        <v>0.14642713799999998</v>
      </c>
      <c r="I68" s="477">
        <f>Sources!I68*PeakLineLoss</f>
        <v>0</v>
      </c>
      <c r="K68" s="419">
        <f>Sources!J68</f>
        <v>145</v>
      </c>
      <c r="L68" s="419">
        <f>Sources!K68</f>
        <v>0</v>
      </c>
      <c r="N68" s="438">
        <f t="shared" si="22"/>
        <v>3.0068963319799304</v>
      </c>
      <c r="P68" s="215">
        <f t="shared" si="23"/>
        <v>347.82324993570154</v>
      </c>
      <c r="Q68" s="215">
        <f t="shared" si="24"/>
        <v>20.228927421539357</v>
      </c>
      <c r="R68" s="215">
        <f t="shared" si="25"/>
        <v>122.40268260758165</v>
      </c>
      <c r="T68" s="214">
        <f t="shared" si="26"/>
        <v>0</v>
      </c>
      <c r="U68" s="214">
        <f t="shared" si="26"/>
        <v>0</v>
      </c>
      <c r="V68" s="214">
        <f t="shared" si="26"/>
        <v>145</v>
      </c>
      <c r="W68" s="214">
        <f t="shared" si="26"/>
        <v>0</v>
      </c>
      <c r="X68" s="214">
        <f t="shared" si="26"/>
        <v>0</v>
      </c>
      <c r="Y68" s="214">
        <f t="shared" si="26"/>
        <v>0</v>
      </c>
      <c r="Z68" s="214">
        <f t="shared" si="26"/>
        <v>0</v>
      </c>
      <c r="AA68" s="214">
        <f t="shared" si="26"/>
        <v>0</v>
      </c>
      <c r="AB68" s="214">
        <f t="shared" si="26"/>
        <v>0</v>
      </c>
      <c r="AC68" s="214">
        <f t="shared" si="26"/>
        <v>0</v>
      </c>
      <c r="AD68" s="214">
        <f t="shared" si="26"/>
        <v>0</v>
      </c>
      <c r="AF68" s="214">
        <f>IF(AND(($D68+$C$1)&gt;AF$3,AF$3&gt;=$C$1),'General Inputs'!D$9*$G68,IF(AND(($C68+$C$1)&gt;AF$3,AF$3&gt;=$C$1),'General Inputs'!D$9*$F68,0))</f>
        <v>0</v>
      </c>
      <c r="AG68" s="214">
        <f>IF(AND(($D68+$C$1)&gt;AG$3,AG$3&gt;=$C$1),'General Inputs'!E$9*$G68,IF(AND(($C68+$C$1)&gt;AG$3,AG$3&gt;=$C$1),'General Inputs'!E$9*$F68,0))</f>
        <v>0</v>
      </c>
      <c r="AH68" s="214">
        <f>IF(AND(($D68+$C$1)&gt;AH$3,AH$3&gt;=$C$1),'General Inputs'!F$9*$G68,IF(AND(($C68+$C$1)&gt;AH$3,AH$3&gt;=$C$1),'General Inputs'!F$9*$F68,0))</f>
        <v>38.839932014265401</v>
      </c>
      <c r="AI68" s="214">
        <f>IF(AND(($D68+$C$1)&gt;AI$3,AI$3&gt;=$C$1),'General Inputs'!G$9*$G68,IF(AND(($C68+$C$1)&gt;AI$3,AI$3&gt;=$C$1),'General Inputs'!G$9*$F68,0))</f>
        <v>39.422530994479381</v>
      </c>
      <c r="AJ68" s="214">
        <f>IF(AND(($D68+$C$1)&gt;AJ$3,AJ$3&gt;=$C$1),'General Inputs'!H$9*$G68,IF(AND(($C68+$C$1)&gt;AJ$3,AJ$3&gt;=$C$1),'General Inputs'!H$9*$F68,0))</f>
        <v>40.013868959396568</v>
      </c>
      <c r="AK68" s="214">
        <f>IF(AND(($D68+$C$1)&gt;AK$3,AK$3&gt;=$C$1),'General Inputs'!I$9*$G68,IF(AND(($C68+$C$1)&gt;AK$3,AK$3&gt;=$C$1),'General Inputs'!I$9*$F68,0))</f>
        <v>40.614076993787506</v>
      </c>
      <c r="AL68" s="214">
        <f>IF(AND(($D68+$C$1)&gt;AL$3,AL$3&gt;=$C$1),'General Inputs'!J$9*$G68,IF(AND(($C68+$C$1)&gt;AL$3,AL$3&gt;=$C$1),'General Inputs'!J$9*$F68,0))</f>
        <v>41.223288148694316</v>
      </c>
      <c r="AM68" s="214">
        <f>IF(AND(($D68+$C$1)&gt;AM$3,AM$3&gt;=$C$1),'General Inputs'!K$9*$G68,IF(AND(($C68+$C$1)&gt;AM$3,AM$3&gt;=$C$1),'General Inputs'!K$9*$F68,0))</f>
        <v>41.841637470924724</v>
      </c>
      <c r="AN68" s="214">
        <f>IF(AND(($D68+$C$1)&gt;AN$3,AN$3&gt;=$C$1),'General Inputs'!L$9*$G68,IF(AND(($C68+$C$1)&gt;AN$3,AN$3&gt;=$C$1),'General Inputs'!L$9*$F68,0))</f>
        <v>42.469262032988588</v>
      </c>
      <c r="AO68" s="214">
        <f>IF(AND(($D68+$C$1)&gt;AO$3,AO$3&gt;=$C$1),'General Inputs'!M$9*$G68,IF(AND(($C68+$C$1)&gt;AO$3,AO$3&gt;=$C$1),'General Inputs'!M$9*$F68,0))</f>
        <v>43.106300963483413</v>
      </c>
      <c r="AP68" s="214">
        <f>IF(AND(($D68+$C$1)&gt;AP$3,AP$3&gt;=$C$1),'General Inputs'!N$9*$G68,IF(AND(($C68+$C$1)&gt;AP$3,AP$3&gt;=$C$1),'General Inputs'!N$9*$F68,0))</f>
        <v>43.75289547793566</v>
      </c>
      <c r="AQ68" s="214">
        <f>IF(AND(($D68+$C$1)&gt;AQ$3,AQ$3&gt;=$C$1),'General Inputs'!O$9*$G68,IF(AND(($C68+$C$1)&gt;AQ$3,AQ$3&gt;=$C$1),'General Inputs'!O$9*$F68,0))</f>
        <v>44.409188910104689</v>
      </c>
      <c r="AR68" s="214">
        <f>IF(AND(($D68+$C$1)&gt;AR$3,AR$3&gt;=$C$1),'General Inputs'!P$9*$G68,IF(AND(($C68+$C$1)&gt;AR$3,AR$3&gt;=$C$1),'General Inputs'!P$9*$F68,0))</f>
        <v>45.075326743756257</v>
      </c>
      <c r="AS68" s="214">
        <f>IF(AND(($D68+$C$1)&gt;AS$3,AS$3&gt;=$C$1),'General Inputs'!Q$9*$G68,IF(AND(($C68+$C$1)&gt;AS$3,AS$3&gt;=$C$1),'General Inputs'!Q$9*$F68,0))</f>
        <v>45.751456644912601</v>
      </c>
      <c r="AT68" s="214">
        <f>IF(AND(($D68+$C$1)&gt;AT$3,AT$3&gt;=$C$1),'General Inputs'!R$9*$G68,IF(AND(($C68+$C$1)&gt;AT$3,AT$3&gt;=$C$1),'General Inputs'!R$9*$F68,0))</f>
        <v>46.437728494586288</v>
      </c>
      <c r="AU68" s="214">
        <f>IF(AND(($D68+$C$1)&gt;AU$3,AU$3&gt;=$C$1),'General Inputs'!S$9*$G68,IF(AND(($C68+$C$1)&gt;AU$3,AU$3&gt;=$C$1),'General Inputs'!S$9*$F68,0))</f>
        <v>47.134294422005077</v>
      </c>
      <c r="AV68" s="214">
        <f>IF(AND(($D68+$C$1)&gt;AV$3,AV$3&gt;=$C$1),'General Inputs'!T$9*$G68,IF(AND(($C68+$C$1)&gt;AV$3,AV$3&gt;=$C$1),'General Inputs'!T$9*$F68,0))</f>
        <v>47.841308838335152</v>
      </c>
      <c r="AW68" s="214">
        <f>IF(AND(($D68+$C$1)&gt;AW$3,AW$3&gt;=$C$1),'General Inputs'!U$9*$G68,IF(AND(($C68+$C$1)&gt;AW$3,AW$3&gt;=$C$1),'General Inputs'!U$9*$F68,0))</f>
        <v>48.558928470910175</v>
      </c>
      <c r="AX68" s="214">
        <f>IF(AND(($D68+$C$1)&gt;AX$3,AX$3&gt;=$C$1),'General Inputs'!V$9*$G68,IF(AND(($C68+$C$1)&gt;AX$3,AX$3&gt;=$C$1),'General Inputs'!V$9*$F68,0))</f>
        <v>49.287312397973821</v>
      </c>
      <c r="AY68" s="214">
        <f>IF(AND(($D68+$C$1)&gt;AY$3,AY$3&gt;=$C$1),'General Inputs'!W$9*$G68,IF(AND(($C68+$C$1)&gt;AY$3,AY$3&gt;=$C$1),'General Inputs'!W$9*$F68,0))</f>
        <v>50.026622083943423</v>
      </c>
      <c r="BA68" s="214">
        <f>IF(AND(($D68+$C$1)&gt;AF$3,AF$3&gt;=$C$1),'General Inputs'!D$10*$I68,IF(AND(($C68+$C$1)&gt;AF$3,AF$3&gt;=$C$1),'General Inputs'!D$10*$H68,0))</f>
        <v>0</v>
      </c>
      <c r="BB68" s="214">
        <f>IF(AND(($D68+$C$1)&gt;AG$3,AG$3&gt;=$C$1),'General Inputs'!E$10*$I68,IF(AND(($C68+$C$1)&gt;AG$3,AG$3&gt;=$C$1),'General Inputs'!E$10*$H68,0))</f>
        <v>0</v>
      </c>
      <c r="BC68" s="214">
        <f>IF(AND(($D68+$C$1)&gt;AH$3,AH$3&gt;=$C$1),'General Inputs'!F$10*$I68,IF(AND(($C68+$C$1)&gt;AH$3,AH$3&gt;=$C$1),'General Inputs'!F$10*$H68,0))</f>
        <v>2.2588776509889428</v>
      </c>
      <c r="BD68" s="214">
        <f>IF(AND(($D68+$C$1)&gt;AI$3,AI$3&gt;=$C$1),'General Inputs'!G$10*$I68,IF(AND(($C68+$C$1)&gt;AI$3,AI$3&gt;=$C$1),'General Inputs'!G$10*$H68,0))</f>
        <v>2.2927608157537769</v>
      </c>
      <c r="BE68" s="214">
        <f>IF(AND(($D68+$C$1)&gt;AJ$3,AJ$3&gt;=$C$1),'General Inputs'!H$10*$I68,IF(AND(($C68+$C$1)&gt;AJ$3,AJ$3&gt;=$C$1),'General Inputs'!H$10*$H68,0))</f>
        <v>2.3271522279900831</v>
      </c>
      <c r="BF68" s="214">
        <f>IF(AND(($D68+$C$1)&gt;AK$3,AK$3&gt;=$C$1),'General Inputs'!I$10*$I68,IF(AND(($C68+$C$1)&gt;AK$3,AK$3&gt;=$C$1),'General Inputs'!I$10*$H68,0))</f>
        <v>2.3620595114099343</v>
      </c>
      <c r="BG68" s="214">
        <f>IF(AND(($D68+$C$1)&gt;AL$3,AL$3&gt;=$C$1),'General Inputs'!J$10*$I68,IF(AND(($C68+$C$1)&gt;AL$3,AL$3&gt;=$C$1),'General Inputs'!J$10*$H68,0))</f>
        <v>2.3974904040810827</v>
      </c>
      <c r="BH68" s="214">
        <f>IF(AND(($D68+$C$1)&gt;AM$3,AM$3&gt;=$C$1),'General Inputs'!K$10*$I68,IF(AND(($C68+$C$1)&gt;AM$3,AM$3&gt;=$C$1),'General Inputs'!K$10*$H68,0))</f>
        <v>2.4334527601422988</v>
      </c>
      <c r="BI68" s="214">
        <f>IF(AND(($D68+$C$1)&gt;AN$3,AN$3&gt;=$C$1),'General Inputs'!L$10*$I68,IF(AND(($C68+$C$1)&gt;AN$3,AN$3&gt;=$C$1),'General Inputs'!L$10*$H68,0))</f>
        <v>2.4699545515444332</v>
      </c>
      <c r="BJ68" s="214">
        <f>IF(AND(($D68+$C$1)&gt;AO$3,AO$3&gt;=$C$1),'General Inputs'!M$10*$I68,IF(AND(($C68+$C$1)&gt;AO$3,AO$3&gt;=$C$1),'General Inputs'!M$10*$H68,0))</f>
        <v>2.5070038698175998</v>
      </c>
      <c r="BK68" s="214">
        <f>IF(AND(($D68+$C$1)&gt;AP$3,AP$3&gt;=$C$1),'General Inputs'!N$10*$I68,IF(AND(($C68+$C$1)&gt;AP$3,AP$3&gt;=$C$1),'General Inputs'!N$10*$H68,0))</f>
        <v>2.5446089278648634</v>
      </c>
      <c r="BL68" s="214">
        <f>IF(AND(($D68+$C$1)&gt;AQ$3,AQ$3&gt;=$C$1),'General Inputs'!O$10*$I68,IF(AND(($C68+$C$1)&gt;AQ$3,AQ$3&gt;=$C$1),'General Inputs'!O$10*$H68,0))</f>
        <v>2.582778061782836</v>
      </c>
      <c r="BM68" s="214">
        <f>IF(AND(($D68+$C$1)&gt;AR$3,AR$3&gt;=$C$1),'General Inputs'!P$10*$I68,IF(AND(($C68+$C$1)&gt;AR$3,AR$3&gt;=$C$1),'General Inputs'!P$10*$H68,0))</f>
        <v>2.6215197327095785</v>
      </c>
      <c r="BN68" s="214">
        <f>IF(AND(($D68+$C$1)&gt;AS$3,AS$3&gt;=$C$1),'General Inputs'!Q$10*$I68,IF(AND(($C68+$C$1)&gt;AS$3,AS$3&gt;=$C$1),'General Inputs'!Q$10*$H68,0))</f>
        <v>2.660842528700222</v>
      </c>
      <c r="BO68" s="214">
        <f>IF(AND(($D68+$C$1)&gt;AT$3,AT$3&gt;=$C$1),'General Inputs'!R$10*$I68,IF(AND(($C68+$C$1)&gt;AT$3,AT$3&gt;=$C$1),'General Inputs'!R$10*$H68,0))</f>
        <v>2.7007551666307248</v>
      </c>
      <c r="BP68" s="214">
        <f>IF(AND(($D68+$C$1)&gt;AU$3,AU$3&gt;=$C$1),'General Inputs'!S$10*$I68,IF(AND(($C68+$C$1)&gt;AU$3,AU$3&gt;=$C$1),'General Inputs'!S$10*$H68,0))</f>
        <v>2.7412664941301856</v>
      </c>
      <c r="BQ68" s="214">
        <f>IF(AND(($D68+$C$1)&gt;AV$3,AV$3&gt;=$C$1),'General Inputs'!T$10*$I68,IF(AND(($C68+$C$1)&gt;AV$3,AV$3&gt;=$C$1),'General Inputs'!T$10*$H68,0))</f>
        <v>2.7823854915421378</v>
      </c>
      <c r="BR68" s="214">
        <f>IF(AND(($D68+$C$1)&gt;AW$3,AW$3&gt;=$C$1),'General Inputs'!U$10*$I68,IF(AND(($C68+$C$1)&gt;AW$3,AW$3&gt;=$C$1),'General Inputs'!U$10*$H68,0))</f>
        <v>2.8241212739152699</v>
      </c>
      <c r="BS68" s="214">
        <f>IF(AND(($D68+$C$1)&gt;AX$3,AX$3&gt;=$C$1),'General Inputs'!V$10*$I68,IF(AND(($C68+$C$1)&gt;AX$3,AX$3&gt;=$C$1),'General Inputs'!V$10*$H68,0))</f>
        <v>2.8664830930239984</v>
      </c>
      <c r="BT68" s="214">
        <f>IF(AND(($D68+$C$1)&gt;AY$3,AY$3&gt;=$C$1),'General Inputs'!W$10*$I68,IF(AND(($C68+$C$1)&gt;AY$3,AY$3&gt;=$C$1),'General Inputs'!W$10*$H68,0))</f>
        <v>2.9094803394193578</v>
      </c>
    </row>
    <row r="69" spans="1:72">
      <c r="A69" s="342" t="s">
        <v>112</v>
      </c>
      <c r="B69" s="427" t="str">
        <f>Sources!B69</f>
        <v>Ceramic Integrated Metal Halide (150 &lt; 250W)</v>
      </c>
      <c r="C69" s="193">
        <f>Sources!C69</f>
        <v>18</v>
      </c>
      <c r="D69" s="193">
        <f>Sources!D69</f>
        <v>0</v>
      </c>
      <c r="F69" s="429">
        <f>Sources!F69*EnergyLineLoss</f>
        <v>1063.1460487499999</v>
      </c>
      <c r="G69" s="429">
        <f>Sources!G69*EnergyLineLoss</f>
        <v>0</v>
      </c>
      <c r="H69" s="477">
        <f>Sources!H69*PeakLineLoss</f>
        <v>0.164393658</v>
      </c>
      <c r="I69" s="477">
        <f>Sources!I69*PeakLineLoss</f>
        <v>0</v>
      </c>
      <c r="K69" s="419">
        <f>Sources!J69</f>
        <v>98</v>
      </c>
      <c r="L69" s="419">
        <f>Sources!K69</f>
        <v>0</v>
      </c>
      <c r="N69" s="438">
        <f t="shared" si="22"/>
        <v>4.9948662932945709</v>
      </c>
      <c r="P69" s="215">
        <f t="shared" si="23"/>
        <v>390.50094931431533</v>
      </c>
      <c r="Q69" s="215">
        <f t="shared" si="24"/>
        <v>22.71100440577732</v>
      </c>
      <c r="R69" s="215">
        <f t="shared" si="25"/>
        <v>82.72733031408967</v>
      </c>
      <c r="T69" s="214">
        <f t="shared" si="26"/>
        <v>0</v>
      </c>
      <c r="U69" s="214">
        <f t="shared" si="26"/>
        <v>0</v>
      </c>
      <c r="V69" s="214">
        <f t="shared" si="26"/>
        <v>98</v>
      </c>
      <c r="W69" s="214">
        <f t="shared" si="26"/>
        <v>0</v>
      </c>
      <c r="X69" s="214">
        <f t="shared" si="26"/>
        <v>0</v>
      </c>
      <c r="Y69" s="214">
        <f t="shared" si="26"/>
        <v>0</v>
      </c>
      <c r="Z69" s="214">
        <f t="shared" si="26"/>
        <v>0</v>
      </c>
      <c r="AA69" s="214">
        <f t="shared" si="26"/>
        <v>0</v>
      </c>
      <c r="AB69" s="214">
        <f t="shared" si="26"/>
        <v>0</v>
      </c>
      <c r="AC69" s="214">
        <f t="shared" si="26"/>
        <v>0</v>
      </c>
      <c r="AD69" s="214">
        <f t="shared" si="26"/>
        <v>0</v>
      </c>
      <c r="AF69" s="214">
        <f>IF(AND(($D69+$C$1)&gt;AF$3,AF$3&gt;=$C$1),'General Inputs'!D$9*$G69,IF(AND(($C69+$C$1)&gt;AF$3,AF$3&gt;=$C$1),'General Inputs'!D$9*$F69,0))</f>
        <v>0</v>
      </c>
      <c r="AG69" s="214">
        <f>IF(AND(($D69+$C$1)&gt;AG$3,AG$3&gt;=$C$1),'General Inputs'!E$9*$G69,IF(AND(($C69+$C$1)&gt;AG$3,AG$3&gt;=$C$1),'General Inputs'!E$9*$F69,0))</f>
        <v>0</v>
      </c>
      <c r="AH69" s="214">
        <f>IF(AND(($D69+$C$1)&gt;AH$3,AH$3&gt;=$C$1),'General Inputs'!F$9*$G69,IF(AND(($C69+$C$1)&gt;AH$3,AH$3&gt;=$C$1),'General Inputs'!F$9*$F69,0))</f>
        <v>43.605567844236617</v>
      </c>
      <c r="AI69" s="214">
        <f>IF(AND(($D69+$C$1)&gt;AI$3,AI$3&gt;=$C$1),'General Inputs'!G$9*$G69,IF(AND(($C69+$C$1)&gt;AI$3,AI$3&gt;=$C$1),'General Inputs'!G$9*$F69,0))</f>
        <v>44.259651361900168</v>
      </c>
      <c r="AJ69" s="214">
        <f>IF(AND(($D69+$C$1)&gt;AJ$3,AJ$3&gt;=$C$1),'General Inputs'!H$9*$G69,IF(AND(($C69+$C$1)&gt;AJ$3,AJ$3&gt;=$C$1),'General Inputs'!H$9*$F69,0))</f>
        <v>44.92354613232866</v>
      </c>
      <c r="AK69" s="214">
        <f>IF(AND(($D69+$C$1)&gt;AK$3,AK$3&gt;=$C$1),'General Inputs'!I$9*$G69,IF(AND(($C69+$C$1)&gt;AK$3,AK$3&gt;=$C$1),'General Inputs'!I$9*$F69,0))</f>
        <v>45.597399324313585</v>
      </c>
      <c r="AL69" s="214">
        <f>IF(AND(($D69+$C$1)&gt;AL$3,AL$3&gt;=$C$1),'General Inputs'!J$9*$G69,IF(AND(($C69+$C$1)&gt;AL$3,AL$3&gt;=$C$1),'General Inputs'!J$9*$F69,0))</f>
        <v>46.281360314178279</v>
      </c>
      <c r="AM69" s="214">
        <f>IF(AND(($D69+$C$1)&gt;AM$3,AM$3&gt;=$C$1),'General Inputs'!K$9*$G69,IF(AND(($C69+$C$1)&gt;AM$3,AM$3&gt;=$C$1),'General Inputs'!K$9*$F69,0))</f>
        <v>46.975580718890946</v>
      </c>
      <c r="AN69" s="214">
        <f>IF(AND(($D69+$C$1)&gt;AN$3,AN$3&gt;=$C$1),'General Inputs'!L$9*$G69,IF(AND(($C69+$C$1)&gt;AN$3,AN$3&gt;=$C$1),'General Inputs'!L$9*$F69,0))</f>
        <v>47.680214429674308</v>
      </c>
      <c r="AO69" s="214">
        <f>IF(AND(($D69+$C$1)&gt;AO$3,AO$3&gt;=$C$1),'General Inputs'!M$9*$G69,IF(AND(($C69+$C$1)&gt;AO$3,AO$3&gt;=$C$1),'General Inputs'!M$9*$F69,0))</f>
        <v>48.395417646119419</v>
      </c>
      <c r="AP69" s="214">
        <f>IF(AND(($D69+$C$1)&gt;AP$3,AP$3&gt;=$C$1),'General Inputs'!N$9*$G69,IF(AND(($C69+$C$1)&gt;AP$3,AP$3&gt;=$C$1),'General Inputs'!N$9*$F69,0))</f>
        <v>49.121348910811207</v>
      </c>
      <c r="AQ69" s="214">
        <f>IF(AND(($D69+$C$1)&gt;AQ$3,AQ$3&gt;=$C$1),'General Inputs'!O$9*$G69,IF(AND(($C69+$C$1)&gt;AQ$3,AQ$3&gt;=$C$1),'General Inputs'!O$9*$F69,0))</f>
        <v>49.858169144473365</v>
      </c>
      <c r="AR69" s="214">
        <f>IF(AND(($D69+$C$1)&gt;AR$3,AR$3&gt;=$C$1),'General Inputs'!P$9*$G69,IF(AND(($C69+$C$1)&gt;AR$3,AR$3&gt;=$C$1),'General Inputs'!P$9*$F69,0))</f>
        <v>50.606041681640463</v>
      </c>
      <c r="AS69" s="214">
        <f>IF(AND(($D69+$C$1)&gt;AS$3,AS$3&gt;=$C$1),'General Inputs'!Q$9*$G69,IF(AND(($C69+$C$1)&gt;AS$3,AS$3&gt;=$C$1),'General Inputs'!Q$9*$F69,0))</f>
        <v>51.365132306865064</v>
      </c>
      <c r="AT69" s="214">
        <f>IF(AND(($D69+$C$1)&gt;AT$3,AT$3&gt;=$C$1),'General Inputs'!R$9*$G69,IF(AND(($C69+$C$1)&gt;AT$3,AT$3&gt;=$C$1),'General Inputs'!R$9*$F69,0))</f>
        <v>52.135609291468036</v>
      </c>
      <c r="AU69" s="214">
        <f>IF(AND(($D69+$C$1)&gt;AU$3,AU$3&gt;=$C$1),'General Inputs'!S$9*$G69,IF(AND(($C69+$C$1)&gt;AU$3,AU$3&gt;=$C$1),'General Inputs'!S$9*$F69,0))</f>
        <v>52.917643430840059</v>
      </c>
      <c r="AV69" s="214">
        <f>IF(AND(($D69+$C$1)&gt;AV$3,AV$3&gt;=$C$1),'General Inputs'!T$9*$G69,IF(AND(($C69+$C$1)&gt;AV$3,AV$3&gt;=$C$1),'General Inputs'!T$9*$F69,0))</f>
        <v>53.711408082302654</v>
      </c>
      <c r="AW69" s="214">
        <f>IF(AND(($D69+$C$1)&gt;AW$3,AW$3&gt;=$C$1),'General Inputs'!U$9*$G69,IF(AND(($C69+$C$1)&gt;AW$3,AW$3&gt;=$C$1),'General Inputs'!U$9*$F69,0))</f>
        <v>54.517079203537193</v>
      </c>
      <c r="AX69" s="214">
        <f>IF(AND(($D69+$C$1)&gt;AX$3,AX$3&gt;=$C$1),'General Inputs'!V$9*$G69,IF(AND(($C69+$C$1)&gt;AX$3,AX$3&gt;=$C$1),'General Inputs'!V$9*$F69,0))</f>
        <v>55.334835391590246</v>
      </c>
      <c r="AY69" s="214">
        <f>IF(AND(($D69+$C$1)&gt;AY$3,AY$3&gt;=$C$1),'General Inputs'!W$9*$G69,IF(AND(($C69+$C$1)&gt;AY$3,AY$3&gt;=$C$1),'General Inputs'!W$9*$F69,0))</f>
        <v>56.164857922464094</v>
      </c>
      <c r="BA69" s="214">
        <f>IF(AND(($D69+$C$1)&gt;AF$3,AF$3&gt;=$C$1),'General Inputs'!D$10*$I69,IF(AND(($C69+$C$1)&gt;AF$3,AF$3&gt;=$C$1),'General Inputs'!D$10*$H69,0))</f>
        <v>0</v>
      </c>
      <c r="BB69" s="214">
        <f>IF(AND(($D69+$C$1)&gt;AG$3,AG$3&gt;=$C$1),'General Inputs'!E$10*$I69,IF(AND(($C69+$C$1)&gt;AG$3,AG$3&gt;=$C$1),'General Inputs'!E$10*$H69,0))</f>
        <v>0</v>
      </c>
      <c r="BC69" s="214">
        <f>IF(AND(($D69+$C$1)&gt;AH$3,AH$3&gt;=$C$1),'General Inputs'!F$10*$I69,IF(AND(($C69+$C$1)&gt;AH$3,AH$3&gt;=$C$1),'General Inputs'!F$10*$H69,0))</f>
        <v>2.5360405529507766</v>
      </c>
      <c r="BD69" s="214">
        <f>IF(AND(($D69+$C$1)&gt;AI$3,AI$3&gt;=$C$1),'General Inputs'!G$10*$I69,IF(AND(($C69+$C$1)&gt;AI$3,AI$3&gt;=$C$1),'General Inputs'!G$10*$H69,0))</f>
        <v>2.5740811612450383</v>
      </c>
      <c r="BE69" s="214">
        <f>IF(AND(($D69+$C$1)&gt;AJ$3,AJ$3&gt;=$C$1),'General Inputs'!H$10*$I69,IF(AND(($C69+$C$1)&gt;AJ$3,AJ$3&gt;=$C$1),'General Inputs'!H$10*$H69,0))</f>
        <v>2.6126923786637133</v>
      </c>
      <c r="BF69" s="214">
        <f>IF(AND(($D69+$C$1)&gt;AK$3,AK$3&gt;=$C$1),'General Inputs'!I$10*$I69,IF(AND(($C69+$C$1)&gt;AK$3,AK$3&gt;=$C$1),'General Inputs'!I$10*$H69,0))</f>
        <v>2.6518827643436684</v>
      </c>
      <c r="BG69" s="214">
        <f>IF(AND(($D69+$C$1)&gt;AL$3,AL$3&gt;=$C$1),'General Inputs'!J$10*$I69,IF(AND(($C69+$C$1)&gt;AL$3,AL$3&gt;=$C$1),'General Inputs'!J$10*$H69,0))</f>
        <v>2.6916610058088235</v>
      </c>
      <c r="BH69" s="214">
        <f>IF(AND(($D69+$C$1)&gt;AM$3,AM$3&gt;=$C$1),'General Inputs'!K$10*$I69,IF(AND(($C69+$C$1)&gt;AM$3,AM$3&gt;=$C$1),'General Inputs'!K$10*$H69,0))</f>
        <v>2.7320359208959553</v>
      </c>
      <c r="BI69" s="214">
        <f>IF(AND(($D69+$C$1)&gt;AN$3,AN$3&gt;=$C$1),'General Inputs'!L$10*$I69,IF(AND(($C69+$C$1)&gt;AN$3,AN$3&gt;=$C$1),'General Inputs'!L$10*$H69,0))</f>
        <v>2.7730164597093947</v>
      </c>
      <c r="BJ69" s="214">
        <f>IF(AND(($D69+$C$1)&gt;AO$3,AO$3&gt;=$C$1),'General Inputs'!M$10*$I69,IF(AND(($C69+$C$1)&gt;AO$3,AO$3&gt;=$C$1),'General Inputs'!M$10*$H69,0))</f>
        <v>2.8146117066050356</v>
      </c>
      <c r="BK69" s="214">
        <f>IF(AND(($D69+$C$1)&gt;AP$3,AP$3&gt;=$C$1),'General Inputs'!N$10*$I69,IF(AND(($C69+$C$1)&gt;AP$3,AP$3&gt;=$C$1),'General Inputs'!N$10*$H69,0))</f>
        <v>2.8568308822041106</v>
      </c>
      <c r="BL69" s="214">
        <f>IF(AND(($D69+$C$1)&gt;AQ$3,AQ$3&gt;=$C$1),'General Inputs'!O$10*$I69,IF(AND(($C69+$C$1)&gt;AQ$3,AQ$3&gt;=$C$1),'General Inputs'!O$10*$H69,0))</f>
        <v>2.8996833454371718</v>
      </c>
      <c r="BM69" s="214">
        <f>IF(AND(($D69+$C$1)&gt;AR$3,AR$3&gt;=$C$1),'General Inputs'!P$10*$I69,IF(AND(($C69+$C$1)&gt;AR$3,AR$3&gt;=$C$1),'General Inputs'!P$10*$H69,0))</f>
        <v>2.9431785956187295</v>
      </c>
      <c r="BN69" s="214">
        <f>IF(AND(($D69+$C$1)&gt;AS$3,AS$3&gt;=$C$1),'General Inputs'!Q$10*$I69,IF(AND(($C69+$C$1)&gt;AS$3,AS$3&gt;=$C$1),'General Inputs'!Q$10*$H69,0))</f>
        <v>2.98732627455301</v>
      </c>
      <c r="BO69" s="214">
        <f>IF(AND(($D69+$C$1)&gt;AT$3,AT$3&gt;=$C$1),'General Inputs'!R$10*$I69,IF(AND(($C69+$C$1)&gt;AT$3,AT$3&gt;=$C$1),'General Inputs'!R$10*$H69,0))</f>
        <v>3.0321361686713049</v>
      </c>
      <c r="BP69" s="214">
        <f>IF(AND(($D69+$C$1)&gt;AU$3,AU$3&gt;=$C$1),'General Inputs'!S$10*$I69,IF(AND(($C69+$C$1)&gt;AU$3,AU$3&gt;=$C$1),'General Inputs'!S$10*$H69,0))</f>
        <v>3.0776182112013744</v>
      </c>
      <c r="BQ69" s="214">
        <f>IF(AND(($D69+$C$1)&gt;AV$3,AV$3&gt;=$C$1),'General Inputs'!T$10*$I69,IF(AND(($C69+$C$1)&gt;AV$3,AV$3&gt;=$C$1),'General Inputs'!T$10*$H69,0))</f>
        <v>3.1237824843693942</v>
      </c>
      <c r="BR69" s="214">
        <f>IF(AND(($D69+$C$1)&gt;AW$3,AW$3&gt;=$C$1),'General Inputs'!U$10*$I69,IF(AND(($C69+$C$1)&gt;AW$3,AW$3&gt;=$C$1),'General Inputs'!U$10*$H69,0))</f>
        <v>3.1706392216349348</v>
      </c>
      <c r="BS69" s="214">
        <f>IF(AND(($D69+$C$1)&gt;AX$3,AX$3&gt;=$C$1),'General Inputs'!V$10*$I69,IF(AND(($C69+$C$1)&gt;AX$3,AX$3&gt;=$C$1),'General Inputs'!V$10*$H69,0))</f>
        <v>3.2181988099594583</v>
      </c>
      <c r="BT69" s="214">
        <f>IF(AND(($D69+$C$1)&gt;AY$3,AY$3&gt;=$C$1),'General Inputs'!W$10*$I69,IF(AND(($C69+$C$1)&gt;AY$3,AY$3&gt;=$C$1),'General Inputs'!W$10*$H69,0))</f>
        <v>3.2664717921088502</v>
      </c>
    </row>
    <row r="70" spans="1:72">
      <c r="A70" s="342" t="s">
        <v>112</v>
      </c>
      <c r="B70" s="427" t="str">
        <f>Sources!B70</f>
        <v>Ceramic Integrated Metal Halide (≥250 W)</v>
      </c>
      <c r="C70" s="193">
        <f>Sources!C70</f>
        <v>18</v>
      </c>
      <c r="D70" s="193">
        <f>Sources!D70</f>
        <v>0</v>
      </c>
      <c r="F70" s="429">
        <f>Sources!F70*EnergyLineLoss</f>
        <v>493.81100625000005</v>
      </c>
      <c r="G70" s="429">
        <f>Sources!G70*EnergyLineLoss</f>
        <v>0</v>
      </c>
      <c r="H70" s="477">
        <f>Sources!H70*PeakLineLoss</f>
        <v>7.6357710000000009E-2</v>
      </c>
      <c r="I70" s="477">
        <f>Sources!I70*PeakLineLoss</f>
        <v>0</v>
      </c>
      <c r="K70" s="419">
        <f>Sources!J70</f>
        <v>42</v>
      </c>
      <c r="L70" s="419">
        <f>Sources!K70</f>
        <v>0</v>
      </c>
      <c r="N70" s="438">
        <f t="shared" si="22"/>
        <v>5.4133796803465746</v>
      </c>
      <c r="P70" s="215">
        <f t="shared" si="23"/>
        <v>181.38022235910822</v>
      </c>
      <c r="Q70" s="215">
        <f t="shared" si="24"/>
        <v>10.548827183011324</v>
      </c>
      <c r="R70" s="215">
        <f t="shared" si="25"/>
        <v>35.45457013460986</v>
      </c>
      <c r="T70" s="214">
        <f t="shared" si="26"/>
        <v>0</v>
      </c>
      <c r="U70" s="214">
        <f t="shared" si="26"/>
        <v>0</v>
      </c>
      <c r="V70" s="214">
        <f t="shared" si="26"/>
        <v>42</v>
      </c>
      <c r="W70" s="214">
        <f t="shared" si="26"/>
        <v>0</v>
      </c>
      <c r="X70" s="214">
        <f t="shared" si="26"/>
        <v>0</v>
      </c>
      <c r="Y70" s="214">
        <f t="shared" si="26"/>
        <v>0</v>
      </c>
      <c r="Z70" s="214">
        <f t="shared" si="26"/>
        <v>0</v>
      </c>
      <c r="AA70" s="214">
        <f t="shared" si="26"/>
        <v>0</v>
      </c>
      <c r="AB70" s="214">
        <f t="shared" si="26"/>
        <v>0</v>
      </c>
      <c r="AC70" s="214">
        <f t="shared" si="26"/>
        <v>0</v>
      </c>
      <c r="AD70" s="214">
        <f t="shared" si="26"/>
        <v>0</v>
      </c>
      <c r="AF70" s="214">
        <f>IF(AND(($D70+$C$1)&gt;AF$3,AF$3&gt;=$C$1),'General Inputs'!D$9*$G70,IF(AND(($C70+$C$1)&gt;AF$3,AF$3&gt;=$C$1),'General Inputs'!D$9*$F70,0))</f>
        <v>0</v>
      </c>
      <c r="AG70" s="214">
        <f>IF(AND(($D70+$C$1)&gt;AG$3,AG$3&gt;=$C$1),'General Inputs'!E$9*$G70,IF(AND(($C70+$C$1)&gt;AG$3,AG$3&gt;=$C$1),'General Inputs'!E$9*$F70,0))</f>
        <v>0</v>
      </c>
      <c r="AH70" s="214">
        <f>IF(AND(($D70+$C$1)&gt;AH$3,AH$3&gt;=$C$1),'General Inputs'!F$9*$G70,IF(AND(($C70+$C$1)&gt;AH$3,AH$3&gt;=$C$1),'General Inputs'!F$9*$F70,0))</f>
        <v>20.253952277377671</v>
      </c>
      <c r="AI70" s="214">
        <f>IF(AND(($D70+$C$1)&gt;AI$3,AI$3&gt;=$C$1),'General Inputs'!G$9*$G70,IF(AND(($C70+$C$1)&gt;AI$3,AI$3&gt;=$C$1),'General Inputs'!G$9*$F70,0))</f>
        <v>20.557761561538332</v>
      </c>
      <c r="AJ70" s="214">
        <f>IF(AND(($D70+$C$1)&gt;AJ$3,AJ$3&gt;=$C$1),'General Inputs'!H$9*$G70,IF(AND(($C70+$C$1)&gt;AJ$3,AJ$3&gt;=$C$1),'General Inputs'!H$9*$F70,0))</f>
        <v>20.866127984961405</v>
      </c>
      <c r="AK70" s="214">
        <f>IF(AND(($D70+$C$1)&gt;AK$3,AK$3&gt;=$C$1),'General Inputs'!I$9*$G70,IF(AND(($C70+$C$1)&gt;AK$3,AK$3&gt;=$C$1),'General Inputs'!I$9*$F70,0))</f>
        <v>21.179119904735824</v>
      </c>
      <c r="AL70" s="214">
        <f>IF(AND(($D70+$C$1)&gt;AL$3,AL$3&gt;=$C$1),'General Inputs'!J$9*$G70,IF(AND(($C70+$C$1)&gt;AL$3,AL$3&gt;=$C$1),'General Inputs'!J$9*$F70,0))</f>
        <v>21.496806703306856</v>
      </c>
      <c r="AM70" s="214">
        <f>IF(AND(($D70+$C$1)&gt;AM$3,AM$3&gt;=$C$1),'General Inputs'!K$9*$G70,IF(AND(($C70+$C$1)&gt;AM$3,AM$3&gt;=$C$1),'General Inputs'!K$9*$F70,0))</f>
        <v>21.819258803856457</v>
      </c>
      <c r="AN70" s="214">
        <f>IF(AND(($D70+$C$1)&gt;AN$3,AN$3&gt;=$C$1),'General Inputs'!L$9*$G70,IF(AND(($C70+$C$1)&gt;AN$3,AN$3&gt;=$C$1),'General Inputs'!L$9*$F70,0))</f>
        <v>22.146547685914303</v>
      </c>
      <c r="AO70" s="214">
        <f>IF(AND(($D70+$C$1)&gt;AO$3,AO$3&gt;=$C$1),'General Inputs'!M$9*$G70,IF(AND(($C70+$C$1)&gt;AO$3,AO$3&gt;=$C$1),'General Inputs'!M$9*$F70,0))</f>
        <v>22.478745901203013</v>
      </c>
      <c r="AP70" s="214">
        <f>IF(AND(($D70+$C$1)&gt;AP$3,AP$3&gt;=$C$1),'General Inputs'!N$9*$G70,IF(AND(($C70+$C$1)&gt;AP$3,AP$3&gt;=$C$1),'General Inputs'!N$9*$F70,0))</f>
        <v>22.815927089721058</v>
      </c>
      <c r="AQ70" s="214">
        <f>IF(AND(($D70+$C$1)&gt;AQ$3,AQ$3&gt;=$C$1),'General Inputs'!O$9*$G70,IF(AND(($C70+$C$1)&gt;AQ$3,AQ$3&gt;=$C$1),'General Inputs'!O$9*$F70,0))</f>
        <v>23.15816599606687</v>
      </c>
      <c r="AR70" s="214">
        <f>IF(AND(($D70+$C$1)&gt;AR$3,AR$3&gt;=$C$1),'General Inputs'!P$9*$G70,IF(AND(($C70+$C$1)&gt;AR$3,AR$3&gt;=$C$1),'General Inputs'!P$9*$F70,0))</f>
        <v>23.505538486007872</v>
      </c>
      <c r="AS70" s="214">
        <f>IF(AND(($D70+$C$1)&gt;AS$3,AS$3&gt;=$C$1),'General Inputs'!Q$9*$G70,IF(AND(($C70+$C$1)&gt;AS$3,AS$3&gt;=$C$1),'General Inputs'!Q$9*$F70,0))</f>
        <v>23.858121563297988</v>
      </c>
      <c r="AT70" s="214">
        <f>IF(AND(($D70+$C$1)&gt;AT$3,AT$3&gt;=$C$1),'General Inputs'!R$9*$G70,IF(AND(($C70+$C$1)&gt;AT$3,AT$3&gt;=$C$1),'General Inputs'!R$9*$F70,0))</f>
        <v>24.215993386747456</v>
      </c>
      <c r="AU70" s="214">
        <f>IF(AND(($D70+$C$1)&gt;AU$3,AU$3&gt;=$C$1),'General Inputs'!S$9*$G70,IF(AND(($C70+$C$1)&gt;AU$3,AU$3&gt;=$C$1),'General Inputs'!S$9*$F70,0))</f>
        <v>24.579233287548664</v>
      </c>
      <c r="AV70" s="214">
        <f>IF(AND(($D70+$C$1)&gt;AV$3,AV$3&gt;=$C$1),'General Inputs'!T$9*$G70,IF(AND(($C70+$C$1)&gt;AV$3,AV$3&gt;=$C$1),'General Inputs'!T$9*$F70,0))</f>
        <v>24.947921786861894</v>
      </c>
      <c r="AW70" s="214">
        <f>IF(AND(($D70+$C$1)&gt;AW$3,AW$3&gt;=$C$1),'General Inputs'!U$9*$G70,IF(AND(($C70+$C$1)&gt;AW$3,AW$3&gt;=$C$1),'General Inputs'!U$9*$F70,0))</f>
        <v>25.322140613664821</v>
      </c>
      <c r="AX70" s="214">
        <f>IF(AND(($D70+$C$1)&gt;AX$3,AX$3&gt;=$C$1),'General Inputs'!V$9*$G70,IF(AND(($C70+$C$1)&gt;AX$3,AX$3&gt;=$C$1),'General Inputs'!V$9*$F70,0))</f>
        <v>25.70197272286979</v>
      </c>
      <c r="AY70" s="214">
        <f>IF(AND(($D70+$C$1)&gt;AY$3,AY$3&gt;=$C$1),'General Inputs'!W$9*$G70,IF(AND(($C70+$C$1)&gt;AY$3,AY$3&gt;=$C$1),'General Inputs'!W$9*$F70,0))</f>
        <v>26.087502313712836</v>
      </c>
      <c r="BA70" s="214">
        <f>IF(AND(($D70+$C$1)&gt;AF$3,AF$3&gt;=$C$1),'General Inputs'!D$10*$I70,IF(AND(($C70+$C$1)&gt;AF$3,AF$3&gt;=$C$1),'General Inputs'!D$10*$H70,0))</f>
        <v>0</v>
      </c>
      <c r="BB70" s="214">
        <f>IF(AND(($D70+$C$1)&gt;AG$3,AG$3&gt;=$C$1),'General Inputs'!E$10*$I70,IF(AND(($C70+$C$1)&gt;AG$3,AG$3&gt;=$C$1),'General Inputs'!E$10*$H70,0))</f>
        <v>0</v>
      </c>
      <c r="BC70" s="214">
        <f>IF(AND(($D70+$C$1)&gt;AH$3,AH$3&gt;=$C$1),'General Inputs'!F$10*$I70,IF(AND(($C70+$C$1)&gt;AH$3,AH$3&gt;=$C$1),'General Inputs'!F$10*$H70,0))</f>
        <v>1.1779423333377925</v>
      </c>
      <c r="BD70" s="214">
        <f>IF(AND(($D70+$C$1)&gt;AI$3,AI$3&gt;=$C$1),'General Inputs'!G$10*$I70,IF(AND(($C70+$C$1)&gt;AI$3,AI$3&gt;=$C$1),'General Inputs'!G$10*$H70,0))</f>
        <v>1.1956114683378594</v>
      </c>
      <c r="BE70" s="214">
        <f>IF(AND(($D70+$C$1)&gt;AJ$3,AJ$3&gt;=$C$1),'General Inputs'!H$10*$I70,IF(AND(($C70+$C$1)&gt;AJ$3,AJ$3&gt;=$C$1),'General Inputs'!H$10*$H70,0))</f>
        <v>1.2135456403629272</v>
      </c>
      <c r="BF70" s="214">
        <f>IF(AND(($D70+$C$1)&gt;AK$3,AK$3&gt;=$C$1),'General Inputs'!I$10*$I70,IF(AND(($C70+$C$1)&gt;AK$3,AK$3&gt;=$C$1),'General Inputs'!I$10*$H70,0))</f>
        <v>1.2317488249683708</v>
      </c>
      <c r="BG70" s="214">
        <f>IF(AND(($D70+$C$1)&gt;AL$3,AL$3&gt;=$C$1),'General Inputs'!J$10*$I70,IF(AND(($C70+$C$1)&gt;AL$3,AL$3&gt;=$C$1),'General Inputs'!J$10*$H70,0))</f>
        <v>1.2502250573428961</v>
      </c>
      <c r="BH70" s="214">
        <f>IF(AND(($D70+$C$1)&gt;AM$3,AM$3&gt;=$C$1),'General Inputs'!K$10*$I70,IF(AND(($C70+$C$1)&gt;AM$3,AM$3&gt;=$C$1),'General Inputs'!K$10*$H70,0))</f>
        <v>1.2689784332030396</v>
      </c>
      <c r="BI70" s="214">
        <f>IF(AND(($D70+$C$1)&gt;AN$3,AN$3&gt;=$C$1),'General Inputs'!L$10*$I70,IF(AND(($C70+$C$1)&gt;AN$3,AN$3&gt;=$C$1),'General Inputs'!L$10*$H70,0))</f>
        <v>1.2880131097010852</v>
      </c>
      <c r="BJ70" s="214">
        <f>IF(AND(($D70+$C$1)&gt;AO$3,AO$3&gt;=$C$1),'General Inputs'!M$10*$I70,IF(AND(($C70+$C$1)&gt;AO$3,AO$3&gt;=$C$1),'General Inputs'!M$10*$H70,0))</f>
        <v>1.3073333063466013</v>
      </c>
      <c r="BK70" s="214">
        <f>IF(AND(($D70+$C$1)&gt;AP$3,AP$3&gt;=$C$1),'General Inputs'!N$10*$I70,IF(AND(($C70+$C$1)&gt;AP$3,AP$3&gt;=$C$1),'General Inputs'!N$10*$H70,0))</f>
        <v>1.3269433059418001</v>
      </c>
      <c r="BL70" s="214">
        <f>IF(AND(($D70+$C$1)&gt;AQ$3,AQ$3&gt;=$C$1),'General Inputs'!O$10*$I70,IF(AND(($C70+$C$1)&gt;AQ$3,AQ$3&gt;=$C$1),'General Inputs'!O$10*$H70,0))</f>
        <v>1.3468474555309271</v>
      </c>
      <c r="BM70" s="214">
        <f>IF(AND(($D70+$C$1)&gt;AR$3,AR$3&gt;=$C$1),'General Inputs'!P$10*$I70,IF(AND(($C70+$C$1)&gt;AR$3,AR$3&gt;=$C$1),'General Inputs'!P$10*$H70,0))</f>
        <v>1.3670501673638908</v>
      </c>
      <c r="BN70" s="214">
        <f>IF(AND(($D70+$C$1)&gt;AS$3,AS$3&gt;=$C$1),'General Inputs'!Q$10*$I70,IF(AND(($C70+$C$1)&gt;AS$3,AS$3&gt;=$C$1),'General Inputs'!Q$10*$H70,0))</f>
        <v>1.387555919874349</v>
      </c>
      <c r="BO70" s="214">
        <f>IF(AND(($D70+$C$1)&gt;AT$3,AT$3&gt;=$C$1),'General Inputs'!R$10*$I70,IF(AND(($C70+$C$1)&gt;AT$3,AT$3&gt;=$C$1),'General Inputs'!R$10*$H70,0))</f>
        <v>1.4083692586724641</v>
      </c>
      <c r="BP70" s="214">
        <f>IF(AND(($D70+$C$1)&gt;AU$3,AU$3&gt;=$C$1),'General Inputs'!S$10*$I70,IF(AND(($C70+$C$1)&gt;AU$3,AU$3&gt;=$C$1),'General Inputs'!S$10*$H70,0))</f>
        <v>1.4294947975525509</v>
      </c>
      <c r="BQ70" s="214">
        <f>IF(AND(($D70+$C$1)&gt;AV$3,AV$3&gt;=$C$1),'General Inputs'!T$10*$I70,IF(AND(($C70+$C$1)&gt;AV$3,AV$3&gt;=$C$1),'General Inputs'!T$10*$H70,0))</f>
        <v>1.4509372195158392</v>
      </c>
      <c r="BR70" s="214">
        <f>IF(AND(($D70+$C$1)&gt;AW$3,AW$3&gt;=$C$1),'General Inputs'!U$10*$I70,IF(AND(($C70+$C$1)&gt;AW$3,AW$3&gt;=$C$1),'General Inputs'!U$10*$H70,0))</f>
        <v>1.4727012778085766</v>
      </c>
      <c r="BS70" s="214">
        <f>IF(AND(($D70+$C$1)&gt;AX$3,AX$3&gt;=$C$1),'General Inputs'!V$10*$I70,IF(AND(($C70+$C$1)&gt;AX$3,AX$3&gt;=$C$1),'General Inputs'!V$10*$H70,0))</f>
        <v>1.494791796975705</v>
      </c>
      <c r="BT70" s="214">
        <f>IF(AND(($D70+$C$1)&gt;AY$3,AY$3&gt;=$C$1),'General Inputs'!W$10*$I70,IF(AND(($C70+$C$1)&gt;AY$3,AY$3&gt;=$C$1),'General Inputs'!W$10*$H70,0))</f>
        <v>1.5172136739303403</v>
      </c>
    </row>
    <row r="71" spans="1:72">
      <c r="A71" s="342" t="s">
        <v>112</v>
      </c>
      <c r="B71" s="427" t="str">
        <f>Sources!B71</f>
        <v>Pulse Start Metal Halide (≤175W)</v>
      </c>
      <c r="C71" s="193">
        <f>Sources!C71</f>
        <v>18</v>
      </c>
      <c r="D71" s="193">
        <f>Sources!D71</f>
        <v>0</v>
      </c>
      <c r="F71" s="429">
        <f>Sources!F71*EnergyLineLoss</f>
        <v>981.81247124999993</v>
      </c>
      <c r="G71" s="429">
        <f>Sources!G71*EnergyLineLoss</f>
        <v>0</v>
      </c>
      <c r="H71" s="477">
        <f>Sources!H71*PeakLineLoss</f>
        <v>0.15181709400000001</v>
      </c>
      <c r="I71" s="477">
        <f>Sources!I71*PeakLineLoss</f>
        <v>0</v>
      </c>
      <c r="K71" s="419">
        <f>Sources!J71</f>
        <v>161</v>
      </c>
      <c r="L71" s="419">
        <f>Sources!K71</f>
        <v>0</v>
      </c>
      <c r="N71" s="438">
        <f t="shared" si="22"/>
        <v>2.8077580541541831</v>
      </c>
      <c r="P71" s="215">
        <f t="shared" si="23"/>
        <v>360.62655974928578</v>
      </c>
      <c r="Q71" s="215">
        <f t="shared" si="24"/>
        <v>20.97355051681075</v>
      </c>
      <c r="R71" s="215">
        <f t="shared" si="25"/>
        <v>135.90918551600444</v>
      </c>
      <c r="T71" s="214">
        <f t="shared" si="26"/>
        <v>0</v>
      </c>
      <c r="U71" s="214">
        <f t="shared" si="26"/>
        <v>0</v>
      </c>
      <c r="V71" s="214">
        <f t="shared" si="26"/>
        <v>161</v>
      </c>
      <c r="W71" s="214">
        <f t="shared" si="26"/>
        <v>0</v>
      </c>
      <c r="X71" s="214">
        <f t="shared" si="26"/>
        <v>0</v>
      </c>
      <c r="Y71" s="214">
        <f t="shared" si="26"/>
        <v>0</v>
      </c>
      <c r="Z71" s="214">
        <f t="shared" si="26"/>
        <v>0</v>
      </c>
      <c r="AA71" s="214">
        <f t="shared" si="26"/>
        <v>0</v>
      </c>
      <c r="AB71" s="214">
        <f t="shared" si="26"/>
        <v>0</v>
      </c>
      <c r="AC71" s="214">
        <f t="shared" si="26"/>
        <v>0</v>
      </c>
      <c r="AD71" s="214">
        <f t="shared" si="26"/>
        <v>0</v>
      </c>
      <c r="AF71" s="214">
        <f>IF(AND(($D71+$C$1)&gt;AF$3,AF$3&gt;=$C$1),'General Inputs'!D$9*$G71,IF(AND(($C71+$C$1)&gt;AF$3,AF$3&gt;=$C$1),'General Inputs'!D$9*$F71,0))</f>
        <v>0</v>
      </c>
      <c r="AG71" s="214">
        <f>IF(AND(($D71+$C$1)&gt;AG$3,AG$3&gt;=$C$1),'General Inputs'!E$9*$G71,IF(AND(($C71+$C$1)&gt;AG$3,AG$3&gt;=$C$1),'General Inputs'!E$9*$F71,0))</f>
        <v>0</v>
      </c>
      <c r="AH71" s="214">
        <f>IF(AND(($D71+$C$1)&gt;AH$3,AH$3&gt;=$C$1),'General Inputs'!F$9*$G71,IF(AND(($C71+$C$1)&gt;AH$3,AH$3&gt;=$C$1),'General Inputs'!F$9*$F71,0))</f>
        <v>40.26962276325677</v>
      </c>
      <c r="AI71" s="214">
        <f>IF(AND(($D71+$C$1)&gt;AI$3,AI$3&gt;=$C$1),'General Inputs'!G$9*$G71,IF(AND(($C71+$C$1)&gt;AI$3,AI$3&gt;=$C$1),'General Inputs'!G$9*$F71,0))</f>
        <v>40.873667104705618</v>
      </c>
      <c r="AJ71" s="214">
        <f>IF(AND(($D71+$C$1)&gt;AJ$3,AJ$3&gt;=$C$1),'General Inputs'!H$9*$G71,IF(AND(($C71+$C$1)&gt;AJ$3,AJ$3&gt;=$C$1),'General Inputs'!H$9*$F71,0))</f>
        <v>41.486772111276196</v>
      </c>
      <c r="AK71" s="214">
        <f>IF(AND(($D71+$C$1)&gt;AK$3,AK$3&gt;=$C$1),'General Inputs'!I$9*$G71,IF(AND(($C71+$C$1)&gt;AK$3,AK$3&gt;=$C$1),'General Inputs'!I$9*$F71,0))</f>
        <v>42.109073692945337</v>
      </c>
      <c r="AL71" s="214">
        <f>IF(AND(($D71+$C$1)&gt;AL$3,AL$3&gt;=$C$1),'General Inputs'!J$9*$G71,IF(AND(($C71+$C$1)&gt;AL$3,AL$3&gt;=$C$1),'General Inputs'!J$9*$F71,0))</f>
        <v>42.740709798339509</v>
      </c>
      <c r="AM71" s="214">
        <f>IF(AND(($D71+$C$1)&gt;AM$3,AM$3&gt;=$C$1),'General Inputs'!K$9*$G71,IF(AND(($C71+$C$1)&gt;AM$3,AM$3&gt;=$C$1),'General Inputs'!K$9*$F71,0))</f>
        <v>43.381820445314595</v>
      </c>
      <c r="AN71" s="214">
        <f>IF(AND(($D71+$C$1)&gt;AN$3,AN$3&gt;=$C$1),'General Inputs'!L$9*$G71,IF(AND(($C71+$C$1)&gt;AN$3,AN$3&gt;=$C$1),'General Inputs'!L$9*$F71,0))</f>
        <v>44.032547751994308</v>
      </c>
      <c r="AO71" s="214">
        <f>IF(AND(($D71+$C$1)&gt;AO$3,AO$3&gt;=$C$1),'General Inputs'!M$9*$G71,IF(AND(($C71+$C$1)&gt;AO$3,AO$3&gt;=$C$1),'General Inputs'!M$9*$F71,0))</f>
        <v>44.693035968274216</v>
      </c>
      <c r="AP71" s="214">
        <f>IF(AND(($D71+$C$1)&gt;AP$3,AP$3&gt;=$C$1),'General Inputs'!N$9*$G71,IF(AND(($C71+$C$1)&gt;AP$3,AP$3&gt;=$C$1),'General Inputs'!N$9*$F71,0))</f>
        <v>45.363431507798332</v>
      </c>
      <c r="AQ71" s="214">
        <f>IF(AND(($D71+$C$1)&gt;AQ$3,AQ$3&gt;=$C$1),'General Inputs'!O$9*$G71,IF(AND(($C71+$C$1)&gt;AQ$3,AQ$3&gt;=$C$1),'General Inputs'!O$9*$F71,0))</f>
        <v>46.043882980415297</v>
      </c>
      <c r="AR71" s="214">
        <f>IF(AND(($D71+$C$1)&gt;AR$3,AR$3&gt;=$C$1),'General Inputs'!P$9*$G71,IF(AND(($C71+$C$1)&gt;AR$3,AR$3&gt;=$C$1),'General Inputs'!P$9*$F71,0))</f>
        <v>46.734541225121525</v>
      </c>
      <c r="AS71" s="214">
        <f>IF(AND(($D71+$C$1)&gt;AS$3,AS$3&gt;=$C$1),'General Inputs'!Q$9*$G71,IF(AND(($C71+$C$1)&gt;AS$3,AS$3&gt;=$C$1),'General Inputs'!Q$9*$F71,0))</f>
        <v>47.43555934349834</v>
      </c>
      <c r="AT71" s="214">
        <f>IF(AND(($D71+$C$1)&gt;AT$3,AT$3&gt;=$C$1),'General Inputs'!R$9*$G71,IF(AND(($C71+$C$1)&gt;AT$3,AT$3&gt;=$C$1),'General Inputs'!R$9*$F71,0))</f>
        <v>48.147092733650815</v>
      </c>
      <c r="AU71" s="214">
        <f>IF(AND(($D71+$C$1)&gt;AU$3,AU$3&gt;=$C$1),'General Inputs'!S$9*$G71,IF(AND(($C71+$C$1)&gt;AU$3,AU$3&gt;=$C$1),'General Inputs'!S$9*$F71,0))</f>
        <v>48.869299124655576</v>
      </c>
      <c r="AV71" s="214">
        <f>IF(AND(($D71+$C$1)&gt;AV$3,AV$3&gt;=$C$1),'General Inputs'!T$9*$G71,IF(AND(($C71+$C$1)&gt;AV$3,AV$3&gt;=$C$1),'General Inputs'!T$9*$F71,0))</f>
        <v>49.602338611525404</v>
      </c>
      <c r="AW71" s="214">
        <f>IF(AND(($D71+$C$1)&gt;AW$3,AW$3&gt;=$C$1),'General Inputs'!U$9*$G71,IF(AND(($C71+$C$1)&gt;AW$3,AW$3&gt;=$C$1),'General Inputs'!U$9*$F71,0))</f>
        <v>50.346373690698286</v>
      </c>
      <c r="AX71" s="214">
        <f>IF(AND(($D71+$C$1)&gt;AX$3,AX$3&gt;=$C$1),'General Inputs'!V$9*$G71,IF(AND(($C71+$C$1)&gt;AX$3,AX$3&gt;=$C$1),'General Inputs'!V$9*$F71,0))</f>
        <v>51.101569296058756</v>
      </c>
      <c r="AY71" s="214">
        <f>IF(AND(($D71+$C$1)&gt;AY$3,AY$3&gt;=$C$1),'General Inputs'!W$9*$G71,IF(AND(($C71+$C$1)&gt;AY$3,AY$3&gt;=$C$1),'General Inputs'!W$9*$F71,0))</f>
        <v>51.868092835499631</v>
      </c>
      <c r="BA71" s="214">
        <f>IF(AND(($D71+$C$1)&gt;AF$3,AF$3&gt;=$C$1),'General Inputs'!D$10*$I71,IF(AND(($C71+$C$1)&gt;AF$3,AF$3&gt;=$C$1),'General Inputs'!D$10*$H71,0))</f>
        <v>0</v>
      </c>
      <c r="BB71" s="214">
        <f>IF(AND(($D71+$C$1)&gt;AG$3,AG$3&gt;=$C$1),'General Inputs'!E$10*$I71,IF(AND(($C71+$C$1)&gt;AG$3,AG$3&gt;=$C$1),'General Inputs'!E$10*$H71,0))</f>
        <v>0</v>
      </c>
      <c r="BC71" s="214">
        <f>IF(AND(($D71+$C$1)&gt;AH$3,AH$3&gt;=$C$1),'General Inputs'!F$10*$I71,IF(AND(($C71+$C$1)&gt;AH$3,AH$3&gt;=$C$1),'General Inputs'!F$10*$H71,0))</f>
        <v>2.3420265215774934</v>
      </c>
      <c r="BD71" s="214">
        <f>IF(AND(($D71+$C$1)&gt;AI$3,AI$3&gt;=$C$1),'General Inputs'!G$10*$I71,IF(AND(($C71+$C$1)&gt;AI$3,AI$3&gt;=$C$1),'General Inputs'!G$10*$H71,0))</f>
        <v>2.3771569194011555</v>
      </c>
      <c r="BE71" s="214">
        <f>IF(AND(($D71+$C$1)&gt;AJ$3,AJ$3&gt;=$C$1),'General Inputs'!H$10*$I71,IF(AND(($C71+$C$1)&gt;AJ$3,AJ$3&gt;=$C$1),'General Inputs'!H$10*$H71,0))</f>
        <v>2.4128142731921729</v>
      </c>
      <c r="BF71" s="214">
        <f>IF(AND(($D71+$C$1)&gt;AK$3,AK$3&gt;=$C$1),'General Inputs'!I$10*$I71,IF(AND(($C71+$C$1)&gt;AK$3,AK$3&gt;=$C$1),'General Inputs'!I$10*$H71,0))</f>
        <v>2.4490064872900548</v>
      </c>
      <c r="BG71" s="214">
        <f>IF(AND(($D71+$C$1)&gt;AL$3,AL$3&gt;=$C$1),'General Inputs'!J$10*$I71,IF(AND(($C71+$C$1)&gt;AL$3,AL$3&gt;=$C$1),'General Inputs'!J$10*$H71,0))</f>
        <v>2.4857415845994053</v>
      </c>
      <c r="BH71" s="214">
        <f>IF(AND(($D71+$C$1)&gt;AM$3,AM$3&gt;=$C$1),'General Inputs'!K$10*$I71,IF(AND(($C71+$C$1)&gt;AM$3,AM$3&gt;=$C$1),'General Inputs'!K$10*$H71,0))</f>
        <v>2.5230277083683963</v>
      </c>
      <c r="BI71" s="214">
        <f>IF(AND(($D71+$C$1)&gt;AN$3,AN$3&gt;=$C$1),'General Inputs'!L$10*$I71,IF(AND(($C71+$C$1)&gt;AN$3,AN$3&gt;=$C$1),'General Inputs'!L$10*$H71,0))</f>
        <v>2.5608731239939222</v>
      </c>
      <c r="BJ71" s="214">
        <f>IF(AND(($D71+$C$1)&gt;AO$3,AO$3&gt;=$C$1),'General Inputs'!M$10*$I71,IF(AND(($C71+$C$1)&gt;AO$3,AO$3&gt;=$C$1),'General Inputs'!M$10*$H71,0))</f>
        <v>2.599286220853831</v>
      </c>
      <c r="BK71" s="214">
        <f>IF(AND(($D71+$C$1)&gt;AP$3,AP$3&gt;=$C$1),'General Inputs'!N$10*$I71,IF(AND(($C71+$C$1)&gt;AP$3,AP$3&gt;=$C$1),'General Inputs'!N$10*$H71,0))</f>
        <v>2.6382755141666379</v>
      </c>
      <c r="BL71" s="214">
        <f>IF(AND(($D71+$C$1)&gt;AQ$3,AQ$3&gt;=$C$1),'General Inputs'!O$10*$I71,IF(AND(($C71+$C$1)&gt;AQ$3,AQ$3&gt;=$C$1),'General Inputs'!O$10*$H71,0))</f>
        <v>2.6778496468791371</v>
      </c>
      <c r="BM71" s="214">
        <f>IF(AND(($D71+$C$1)&gt;AR$3,AR$3&gt;=$C$1),'General Inputs'!P$10*$I71,IF(AND(($C71+$C$1)&gt;AR$3,AR$3&gt;=$C$1),'General Inputs'!P$10*$H71,0))</f>
        <v>2.718017391582324</v>
      </c>
      <c r="BN71" s="214">
        <f>IF(AND(($D71+$C$1)&gt;AS$3,AS$3&gt;=$C$1),'General Inputs'!Q$10*$I71,IF(AND(($C71+$C$1)&gt;AS$3,AS$3&gt;=$C$1),'General Inputs'!Q$10*$H71,0))</f>
        <v>2.7587876524560588</v>
      </c>
      <c r="BO71" s="214">
        <f>IF(AND(($D71+$C$1)&gt;AT$3,AT$3&gt;=$C$1),'General Inputs'!R$10*$I71,IF(AND(($C71+$C$1)&gt;AT$3,AT$3&gt;=$C$1),'General Inputs'!R$10*$H71,0))</f>
        <v>2.8001694672428989</v>
      </c>
      <c r="BP71" s="214">
        <f>IF(AND(($D71+$C$1)&gt;AU$3,AU$3&gt;=$C$1),'General Inputs'!S$10*$I71,IF(AND(($C71+$C$1)&gt;AU$3,AU$3&gt;=$C$1),'General Inputs'!S$10*$H71,0))</f>
        <v>2.8421720092515423</v>
      </c>
      <c r="BQ71" s="214">
        <f>IF(AND(($D71+$C$1)&gt;AV$3,AV$3&gt;=$C$1),'General Inputs'!T$10*$I71,IF(AND(($C71+$C$1)&gt;AV$3,AV$3&gt;=$C$1),'General Inputs'!T$10*$H71,0))</f>
        <v>2.8848045893903151</v>
      </c>
      <c r="BR71" s="214">
        <f>IF(AND(($D71+$C$1)&gt;AW$3,AW$3&gt;=$C$1),'General Inputs'!U$10*$I71,IF(AND(($C71+$C$1)&gt;AW$3,AW$3&gt;=$C$1),'General Inputs'!U$10*$H71,0))</f>
        <v>2.9280766582311699</v>
      </c>
      <c r="BS71" s="214">
        <f>IF(AND(($D71+$C$1)&gt;AX$3,AX$3&gt;=$C$1),'General Inputs'!V$10*$I71,IF(AND(($C71+$C$1)&gt;AX$3,AX$3&gt;=$C$1),'General Inputs'!V$10*$H71,0))</f>
        <v>2.971997808104637</v>
      </c>
      <c r="BT71" s="214">
        <f>IF(AND(($D71+$C$1)&gt;AY$3,AY$3&gt;=$C$1),'General Inputs'!W$10*$I71,IF(AND(($C71+$C$1)&gt;AY$3,AY$3&gt;=$C$1),'General Inputs'!W$10*$H71,0))</f>
        <v>3.0165777752262062</v>
      </c>
    </row>
    <row r="72" spans="1:72">
      <c r="A72" s="342" t="s">
        <v>112</v>
      </c>
      <c r="B72" s="427" t="str">
        <f>Sources!B72</f>
        <v>Pulse Start Metal Halide (175 &lt; 320 W)</v>
      </c>
      <c r="C72" s="193">
        <f>Sources!C72</f>
        <v>18</v>
      </c>
      <c r="D72" s="193">
        <f>Sources!D72</f>
        <v>0</v>
      </c>
      <c r="F72" s="429">
        <f>Sources!F72*EnergyLineLoss</f>
        <v>685.5258675</v>
      </c>
      <c r="G72" s="429">
        <f>Sources!G72*EnergyLineLoss</f>
        <v>0</v>
      </c>
      <c r="H72" s="477">
        <f>Sources!H72*PeakLineLoss</f>
        <v>0.106002468</v>
      </c>
      <c r="I72" s="477">
        <f>Sources!I72*PeakLineLoss</f>
        <v>0</v>
      </c>
      <c r="K72" s="419">
        <f>Sources!J72</f>
        <v>185</v>
      </c>
      <c r="L72" s="419">
        <f>Sources!K72</f>
        <v>0</v>
      </c>
      <c r="N72" s="438">
        <f t="shared" si="22"/>
        <v>1.7061182636437289</v>
      </c>
      <c r="P72" s="215">
        <f t="shared" si="23"/>
        <v>251.79842633382086</v>
      </c>
      <c r="Q72" s="215">
        <f t="shared" si="24"/>
        <v>14.644254207003954</v>
      </c>
      <c r="R72" s="215">
        <f t="shared" si="25"/>
        <v>156.16893987863864</v>
      </c>
      <c r="T72" s="214">
        <f t="shared" si="26"/>
        <v>0</v>
      </c>
      <c r="U72" s="214">
        <f t="shared" si="26"/>
        <v>0</v>
      </c>
      <c r="V72" s="214">
        <f t="shared" si="26"/>
        <v>185</v>
      </c>
      <c r="W72" s="214">
        <f t="shared" si="26"/>
        <v>0</v>
      </c>
      <c r="X72" s="214">
        <f t="shared" si="26"/>
        <v>0</v>
      </c>
      <c r="Y72" s="214">
        <f t="shared" si="26"/>
        <v>0</v>
      </c>
      <c r="Z72" s="214">
        <f t="shared" si="26"/>
        <v>0</v>
      </c>
      <c r="AA72" s="214">
        <f t="shared" si="26"/>
        <v>0</v>
      </c>
      <c r="AB72" s="214">
        <f t="shared" si="26"/>
        <v>0</v>
      </c>
      <c r="AC72" s="214">
        <f t="shared" si="26"/>
        <v>0</v>
      </c>
      <c r="AD72" s="214">
        <f t="shared" si="26"/>
        <v>0</v>
      </c>
      <c r="AF72" s="214">
        <f>IF(AND(($D72+$C$1)&gt;AF$3,AF$3&gt;=$C$1),'General Inputs'!D$9*$G72,IF(AND(($C72+$C$1)&gt;AF$3,AF$3&gt;=$C$1),'General Inputs'!D$9*$F72,0))</f>
        <v>0</v>
      </c>
      <c r="AG72" s="214">
        <f>IF(AND(($D72+$C$1)&gt;AG$3,AG$3&gt;=$C$1),'General Inputs'!E$9*$G72,IF(AND(($C72+$C$1)&gt;AG$3,AG$3&gt;=$C$1),'General Inputs'!E$9*$F72,0))</f>
        <v>0</v>
      </c>
      <c r="AH72" s="214">
        <f>IF(AND(($D72+$C$1)&gt;AH$3,AH$3&gt;=$C$1),'General Inputs'!F$9*$G72,IF(AND(($C72+$C$1)&gt;AH$3,AH$3&gt;=$C$1),'General Inputs'!F$9*$F72,0))</f>
        <v>28.117251396830174</v>
      </c>
      <c r="AI72" s="214">
        <f>IF(AND(($D72+$C$1)&gt;AI$3,AI$3&gt;=$C$1),'General Inputs'!G$9*$G72,IF(AND(($C72+$C$1)&gt;AI$3,AI$3&gt;=$C$1),'General Inputs'!G$9*$F72,0))</f>
        <v>28.539010167782624</v>
      </c>
      <c r="AJ72" s="214">
        <f>IF(AND(($D72+$C$1)&gt;AJ$3,AJ$3&gt;=$C$1),'General Inputs'!H$9*$G72,IF(AND(($C72+$C$1)&gt;AJ$3,AJ$3&gt;=$C$1),'General Inputs'!H$9*$F72,0))</f>
        <v>28.967095320299361</v>
      </c>
      <c r="AK72" s="214">
        <f>IF(AND(($D72+$C$1)&gt;AK$3,AK$3&gt;=$C$1),'General Inputs'!I$9*$G72,IF(AND(($C72+$C$1)&gt;AK$3,AK$3&gt;=$C$1),'General Inputs'!I$9*$F72,0))</f>
        <v>29.401601750103847</v>
      </c>
      <c r="AL72" s="214">
        <f>IF(AND(($D72+$C$1)&gt;AL$3,AL$3&gt;=$C$1),'General Inputs'!J$9*$G72,IF(AND(($C72+$C$1)&gt;AL$3,AL$3&gt;=$C$1),'General Inputs'!J$9*$F72,0))</f>
        <v>29.842625776355398</v>
      </c>
      <c r="AM72" s="214">
        <f>IF(AND(($D72+$C$1)&gt;AM$3,AM$3&gt;=$C$1),'General Inputs'!K$9*$G72,IF(AND(($C72+$C$1)&gt;AM$3,AM$3&gt;=$C$1),'General Inputs'!K$9*$F72,0))</f>
        <v>30.290265163000726</v>
      </c>
      <c r="AN72" s="214">
        <f>IF(AND(($D72+$C$1)&gt;AN$3,AN$3&gt;=$C$1),'General Inputs'!L$9*$G72,IF(AND(($C72+$C$1)&gt;AN$3,AN$3&gt;=$C$1),'General Inputs'!L$9*$F72,0))</f>
        <v>30.744619140445735</v>
      </c>
      <c r="AO72" s="214">
        <f>IF(AND(($D72+$C$1)&gt;AO$3,AO$3&gt;=$C$1),'General Inputs'!M$9*$G72,IF(AND(($C72+$C$1)&gt;AO$3,AO$3&gt;=$C$1),'General Inputs'!M$9*$F72,0))</f>
        <v>31.205788427552413</v>
      </c>
      <c r="AP72" s="214">
        <f>IF(AND(($D72+$C$1)&gt;AP$3,AP$3&gt;=$C$1),'General Inputs'!N$9*$G72,IF(AND(($C72+$C$1)&gt;AP$3,AP$3&gt;=$C$1),'General Inputs'!N$9*$F72,0))</f>
        <v>31.673875253965701</v>
      </c>
      <c r="AQ72" s="214">
        <f>IF(AND(($D72+$C$1)&gt;AQ$3,AQ$3&gt;=$C$1),'General Inputs'!O$9*$G72,IF(AND(($C72+$C$1)&gt;AQ$3,AQ$3&gt;=$C$1),'General Inputs'!O$9*$F72,0))</f>
        <v>32.148983382775178</v>
      </c>
      <c r="AR72" s="214">
        <f>IF(AND(($D72+$C$1)&gt;AR$3,AR$3&gt;=$C$1),'General Inputs'!P$9*$G72,IF(AND(($C72+$C$1)&gt;AR$3,AR$3&gt;=$C$1),'General Inputs'!P$9*$F72,0))</f>
        <v>32.631218133516803</v>
      </c>
      <c r="AS72" s="214">
        <f>IF(AND(($D72+$C$1)&gt;AS$3,AS$3&gt;=$C$1),'General Inputs'!Q$9*$G72,IF(AND(($C72+$C$1)&gt;AS$3,AS$3&gt;=$C$1),'General Inputs'!Q$9*$F72,0))</f>
        <v>33.120686405519557</v>
      </c>
      <c r="AT72" s="214">
        <f>IF(AND(($D72+$C$1)&gt;AT$3,AT$3&gt;=$C$1),'General Inputs'!R$9*$G72,IF(AND(($C72+$C$1)&gt;AT$3,AT$3&gt;=$C$1),'General Inputs'!R$9*$F72,0))</f>
        <v>33.617496701602349</v>
      </c>
      <c r="AU72" s="214">
        <f>IF(AND(($D72+$C$1)&gt;AU$3,AU$3&gt;=$C$1),'General Inputs'!S$9*$G72,IF(AND(($C72+$C$1)&gt;AU$3,AU$3&gt;=$C$1),'General Inputs'!S$9*$F72,0))</f>
        <v>34.12175915212638</v>
      </c>
      <c r="AV72" s="214">
        <f>IF(AND(($D72+$C$1)&gt;AV$3,AV$3&gt;=$C$1),'General Inputs'!T$9*$G72,IF(AND(($C72+$C$1)&gt;AV$3,AV$3&gt;=$C$1),'General Inputs'!T$9*$F72,0))</f>
        <v>34.633585539408273</v>
      </c>
      <c r="AW72" s="214">
        <f>IF(AND(($D72+$C$1)&gt;AW$3,AW$3&gt;=$C$1),'General Inputs'!U$9*$G72,IF(AND(($C72+$C$1)&gt;AW$3,AW$3&gt;=$C$1),'General Inputs'!U$9*$F72,0))</f>
        <v>35.153089322499397</v>
      </c>
      <c r="AX72" s="214">
        <f>IF(AND(($D72+$C$1)&gt;AX$3,AX$3&gt;=$C$1),'General Inputs'!V$9*$G72,IF(AND(($C72+$C$1)&gt;AX$3,AX$3&gt;=$C$1),'General Inputs'!V$9*$F72,0))</f>
        <v>35.680385662336882</v>
      </c>
      <c r="AY72" s="214">
        <f>IF(AND(($D72+$C$1)&gt;AY$3,AY$3&gt;=$C$1),'General Inputs'!W$9*$G72,IF(AND(($C72+$C$1)&gt;AY$3,AY$3&gt;=$C$1),'General Inputs'!W$9*$F72,0))</f>
        <v>36.215591447271933</v>
      </c>
      <c r="BA72" s="214">
        <f>IF(AND(($D72+$C$1)&gt;AF$3,AF$3&gt;=$C$1),'General Inputs'!D$10*$I72,IF(AND(($C72+$C$1)&gt;AF$3,AF$3&gt;=$C$1),'General Inputs'!D$10*$H72,0))</f>
        <v>0</v>
      </c>
      <c r="BB72" s="214">
        <f>IF(AND(($D72+$C$1)&gt;AG$3,AG$3&gt;=$C$1),'General Inputs'!E$10*$I72,IF(AND(($C72+$C$1)&gt;AG$3,AG$3&gt;=$C$1),'General Inputs'!E$10*$H72,0))</f>
        <v>0</v>
      </c>
      <c r="BC72" s="214">
        <f>IF(AND(($D72+$C$1)&gt;AH$3,AH$3&gt;=$C$1),'General Inputs'!F$10*$I72,IF(AND(($C72+$C$1)&gt;AH$3,AH$3&gt;=$C$1),'General Inputs'!F$10*$H72,0))</f>
        <v>1.6352611215748178</v>
      </c>
      <c r="BD72" s="214">
        <f>IF(AND(($D72+$C$1)&gt;AI$3,AI$3&gt;=$C$1),'General Inputs'!G$10*$I72,IF(AND(($C72+$C$1)&gt;AI$3,AI$3&gt;=$C$1),'General Inputs'!G$10*$H72,0))</f>
        <v>1.6597900383984399</v>
      </c>
      <c r="BE72" s="214">
        <f>IF(AND(($D72+$C$1)&gt;AJ$3,AJ$3&gt;=$C$1),'General Inputs'!H$10*$I72,IF(AND(($C72+$C$1)&gt;AJ$3,AJ$3&gt;=$C$1),'General Inputs'!H$10*$H72,0))</f>
        <v>1.6846868889744164</v>
      </c>
      <c r="BF72" s="214">
        <f>IF(AND(($D72+$C$1)&gt;AK$3,AK$3&gt;=$C$1),'General Inputs'!I$10*$I72,IF(AND(($C72+$C$1)&gt;AK$3,AK$3&gt;=$C$1),'General Inputs'!I$10*$H72,0))</f>
        <v>1.7099571923090322</v>
      </c>
      <c r="BG72" s="214">
        <f>IF(AND(($D72+$C$1)&gt;AL$3,AL$3&gt;=$C$1),'General Inputs'!J$10*$I72,IF(AND(($C72+$C$1)&gt;AL$3,AL$3&gt;=$C$1),'General Inputs'!J$10*$H72,0))</f>
        <v>1.7356065501936675</v>
      </c>
      <c r="BH72" s="214">
        <f>IF(AND(($D72+$C$1)&gt;AM$3,AM$3&gt;=$C$1),'General Inputs'!K$10*$I72,IF(AND(($C72+$C$1)&gt;AM$3,AM$3&gt;=$C$1),'General Inputs'!K$10*$H72,0))</f>
        <v>1.7616406484465725</v>
      </c>
      <c r="BI72" s="214">
        <f>IF(AND(($D72+$C$1)&gt;AN$3,AN$3&gt;=$C$1),'General Inputs'!L$10*$I72,IF(AND(($C72+$C$1)&gt;AN$3,AN$3&gt;=$C$1),'General Inputs'!L$10*$H72,0))</f>
        <v>1.788065258173271</v>
      </c>
      <c r="BJ72" s="214">
        <f>IF(AND(($D72+$C$1)&gt;AO$3,AO$3&gt;=$C$1),'General Inputs'!M$10*$I72,IF(AND(($C72+$C$1)&gt;AO$3,AO$3&gt;=$C$1),'General Inputs'!M$10*$H72,0))</f>
        <v>1.81488623704587</v>
      </c>
      <c r="BK72" s="214">
        <f>IF(AND(($D72+$C$1)&gt;AP$3,AP$3&gt;=$C$1),'General Inputs'!N$10*$I72,IF(AND(($C72+$C$1)&gt;AP$3,AP$3&gt;=$C$1),'General Inputs'!N$10*$H72,0))</f>
        <v>1.8421095306015578</v>
      </c>
      <c r="BL72" s="214">
        <f>IF(AND(($D72+$C$1)&gt;AQ$3,AQ$3&gt;=$C$1),'General Inputs'!O$10*$I72,IF(AND(($C72+$C$1)&gt;AQ$3,AQ$3&gt;=$C$1),'General Inputs'!O$10*$H72,0))</f>
        <v>1.8697411735605809</v>
      </c>
      <c r="BM72" s="214">
        <f>IF(AND(($D72+$C$1)&gt;AR$3,AR$3&gt;=$C$1),'General Inputs'!P$10*$I72,IF(AND(($C72+$C$1)&gt;AR$3,AR$3&gt;=$C$1),'General Inputs'!P$10*$H72,0))</f>
        <v>1.8977872911639895</v>
      </c>
      <c r="BN72" s="214">
        <f>IF(AND(($D72+$C$1)&gt;AS$3,AS$3&gt;=$C$1),'General Inputs'!Q$10*$I72,IF(AND(($C72+$C$1)&gt;AS$3,AS$3&gt;=$C$1),'General Inputs'!Q$10*$H72,0))</f>
        <v>1.9262541005314491</v>
      </c>
      <c r="BO72" s="214">
        <f>IF(AND(($D72+$C$1)&gt;AT$3,AT$3&gt;=$C$1),'General Inputs'!R$10*$I72,IF(AND(($C72+$C$1)&gt;AT$3,AT$3&gt;=$C$1),'General Inputs'!R$10*$H72,0))</f>
        <v>1.9551479120394206</v>
      </c>
      <c r="BP72" s="214">
        <f>IF(AND(($D72+$C$1)&gt;AU$3,AU$3&gt;=$C$1),'General Inputs'!S$10*$I72,IF(AND(($C72+$C$1)&gt;AU$3,AU$3&gt;=$C$1),'General Inputs'!S$10*$H72,0))</f>
        <v>1.9844751307200119</v>
      </c>
      <c r="BQ72" s="214">
        <f>IF(AND(($D72+$C$1)&gt;AV$3,AV$3&gt;=$C$1),'General Inputs'!T$10*$I72,IF(AND(($C72+$C$1)&gt;AV$3,AV$3&gt;=$C$1),'General Inputs'!T$10*$H72,0))</f>
        <v>2.0142422576808117</v>
      </c>
      <c r="BR72" s="214">
        <f>IF(AND(($D72+$C$1)&gt;AW$3,AW$3&gt;=$C$1),'General Inputs'!U$10*$I72,IF(AND(($C72+$C$1)&gt;AW$3,AW$3&gt;=$C$1),'General Inputs'!U$10*$H72,0))</f>
        <v>2.0444558915460238</v>
      </c>
      <c r="BS72" s="214">
        <f>IF(AND(($D72+$C$1)&gt;AX$3,AX$3&gt;=$C$1),'General Inputs'!V$10*$I72,IF(AND(($C72+$C$1)&gt;AX$3,AX$3&gt;=$C$1),'General Inputs'!V$10*$H72,0))</f>
        <v>2.0751227299192139</v>
      </c>
      <c r="BT72" s="214">
        <f>IF(AND(($D72+$C$1)&gt;AY$3,AY$3&gt;=$C$1),'General Inputs'!W$10*$I72,IF(AND(($C72+$C$1)&gt;AY$3,AY$3&gt;=$C$1),'General Inputs'!W$10*$H72,0))</f>
        <v>2.1062495708680018</v>
      </c>
    </row>
    <row r="73" spans="1:72">
      <c r="A73" s="342" t="s">
        <v>112</v>
      </c>
      <c r="B73" s="427" t="str">
        <f>Sources!B73</f>
        <v>Pulse Start Metal Halide (320 &lt; 750 W)</v>
      </c>
      <c r="C73" s="193">
        <f>Sources!C73</f>
        <v>18</v>
      </c>
      <c r="D73" s="193">
        <f>Sources!D73</f>
        <v>0</v>
      </c>
      <c r="F73" s="429">
        <f>Sources!F73*EnergyLineLoss</f>
        <v>470.57284125000001</v>
      </c>
      <c r="G73" s="429">
        <f>Sources!G73*EnergyLineLoss</f>
        <v>0</v>
      </c>
      <c r="H73" s="477">
        <f>Sources!H73*PeakLineLoss</f>
        <v>7.2764406000000018E-2</v>
      </c>
      <c r="I73" s="477">
        <f>Sources!I73*PeakLineLoss</f>
        <v>0</v>
      </c>
      <c r="K73" s="419">
        <f>Sources!J73</f>
        <v>283</v>
      </c>
      <c r="L73" s="419">
        <f>Sources!K73</f>
        <v>0</v>
      </c>
      <c r="N73" s="438">
        <f t="shared" si="22"/>
        <v>0.76559208782120347</v>
      </c>
      <c r="P73" s="215">
        <f t="shared" si="23"/>
        <v>172.8446824833855</v>
      </c>
      <c r="Q73" s="215">
        <f t="shared" si="24"/>
        <v>10.052411786163731</v>
      </c>
      <c r="R73" s="215">
        <f t="shared" si="25"/>
        <v>238.89627019272834</v>
      </c>
      <c r="T73" s="214">
        <f t="shared" si="26"/>
        <v>0</v>
      </c>
      <c r="U73" s="214">
        <f t="shared" si="26"/>
        <v>0</v>
      </c>
      <c r="V73" s="214">
        <f t="shared" si="26"/>
        <v>283</v>
      </c>
      <c r="W73" s="214">
        <f t="shared" si="26"/>
        <v>0</v>
      </c>
      <c r="X73" s="214">
        <f t="shared" si="26"/>
        <v>0</v>
      </c>
      <c r="Y73" s="214">
        <f t="shared" si="26"/>
        <v>0</v>
      </c>
      <c r="Z73" s="214">
        <f t="shared" si="26"/>
        <v>0</v>
      </c>
      <c r="AA73" s="214">
        <f t="shared" si="26"/>
        <v>0</v>
      </c>
      <c r="AB73" s="214">
        <f t="shared" si="26"/>
        <v>0</v>
      </c>
      <c r="AC73" s="214">
        <f t="shared" si="26"/>
        <v>0</v>
      </c>
      <c r="AD73" s="214">
        <f t="shared" si="26"/>
        <v>0</v>
      </c>
      <c r="AF73" s="214">
        <f>IF(AND(($D73+$C$1)&gt;AF$3,AF$3&gt;=$C$1),'General Inputs'!D$9*$G73,IF(AND(($C73+$C$1)&gt;AF$3,AF$3&gt;=$C$1),'General Inputs'!D$9*$F73,0))</f>
        <v>0</v>
      </c>
      <c r="AG73" s="214">
        <f>IF(AND(($D73+$C$1)&gt;AG$3,AG$3&gt;=$C$1),'General Inputs'!E$9*$G73,IF(AND(($C73+$C$1)&gt;AG$3,AG$3&gt;=$C$1),'General Inputs'!E$9*$F73,0))</f>
        <v>0</v>
      </c>
      <c r="AH73" s="214">
        <f>IF(AND(($D73+$C$1)&gt;AH$3,AH$3&gt;=$C$1),'General Inputs'!F$9*$G73,IF(AND(($C73+$C$1)&gt;AH$3,AH$3&gt;=$C$1),'General Inputs'!F$9*$F73,0))</f>
        <v>19.300825111383425</v>
      </c>
      <c r="AI73" s="214">
        <f>IF(AND(($D73+$C$1)&gt;AI$3,AI$3&gt;=$C$1),'General Inputs'!G$9*$G73,IF(AND(($C73+$C$1)&gt;AI$3,AI$3&gt;=$C$1),'General Inputs'!G$9*$F73,0))</f>
        <v>19.590337488054175</v>
      </c>
      <c r="AJ73" s="214">
        <f>IF(AND(($D73+$C$1)&gt;AJ$3,AJ$3&gt;=$C$1),'General Inputs'!H$9*$G73,IF(AND(($C73+$C$1)&gt;AJ$3,AJ$3&gt;=$C$1),'General Inputs'!H$9*$F73,0))</f>
        <v>19.884192550374983</v>
      </c>
      <c r="AK73" s="214">
        <f>IF(AND(($D73+$C$1)&gt;AK$3,AK$3&gt;=$C$1),'General Inputs'!I$9*$G73,IF(AND(($C73+$C$1)&gt;AK$3,AK$3&gt;=$C$1),'General Inputs'!I$9*$F73,0))</f>
        <v>20.182455438630605</v>
      </c>
      <c r="AL73" s="214">
        <f>IF(AND(($D73+$C$1)&gt;AL$3,AL$3&gt;=$C$1),'General Inputs'!J$9*$G73,IF(AND(($C73+$C$1)&gt;AL$3,AL$3&gt;=$C$1),'General Inputs'!J$9*$F73,0))</f>
        <v>20.485192270210064</v>
      </c>
      <c r="AM73" s="214">
        <f>IF(AND(($D73+$C$1)&gt;AM$3,AM$3&gt;=$C$1),'General Inputs'!K$9*$G73,IF(AND(($C73+$C$1)&gt;AM$3,AM$3&gt;=$C$1),'General Inputs'!K$9*$F73,0))</f>
        <v>20.79247015426321</v>
      </c>
      <c r="AN73" s="214">
        <f>IF(AND(($D73+$C$1)&gt;AN$3,AN$3&gt;=$C$1),'General Inputs'!L$9*$G73,IF(AND(($C73+$C$1)&gt;AN$3,AN$3&gt;=$C$1),'General Inputs'!L$9*$F73,0))</f>
        <v>21.104357206577156</v>
      </c>
      <c r="AO73" s="214">
        <f>IF(AND(($D73+$C$1)&gt;AO$3,AO$3&gt;=$C$1),'General Inputs'!M$9*$G73,IF(AND(($C73+$C$1)&gt;AO$3,AO$3&gt;=$C$1),'General Inputs'!M$9*$F73,0))</f>
        <v>21.420922564675809</v>
      </c>
      <c r="AP73" s="214">
        <f>IF(AND(($D73+$C$1)&gt;AP$3,AP$3&gt;=$C$1),'General Inputs'!N$9*$G73,IF(AND(($C73+$C$1)&gt;AP$3,AP$3&gt;=$C$1),'General Inputs'!N$9*$F73,0))</f>
        <v>21.742236403145945</v>
      </c>
      <c r="AQ73" s="214">
        <f>IF(AND(($D73+$C$1)&gt;AQ$3,AQ$3&gt;=$C$1),'General Inputs'!O$9*$G73,IF(AND(($C73+$C$1)&gt;AQ$3,AQ$3&gt;=$C$1),'General Inputs'!O$9*$F73,0))</f>
        <v>22.068369949193134</v>
      </c>
      <c r="AR73" s="214">
        <f>IF(AND(($D73+$C$1)&gt;AR$3,AR$3&gt;=$C$1),'General Inputs'!P$9*$G73,IF(AND(($C73+$C$1)&gt;AR$3,AR$3&gt;=$C$1),'General Inputs'!P$9*$F73,0))</f>
        <v>22.399395498431026</v>
      </c>
      <c r="AS73" s="214">
        <f>IF(AND(($D73+$C$1)&gt;AS$3,AS$3&gt;=$C$1),'General Inputs'!Q$9*$G73,IF(AND(($C73+$C$1)&gt;AS$3,AS$3&gt;=$C$1),'General Inputs'!Q$9*$F73,0))</f>
        <v>22.735386430907493</v>
      </c>
      <c r="AT73" s="214">
        <f>IF(AND(($D73+$C$1)&gt;AT$3,AT$3&gt;=$C$1),'General Inputs'!R$9*$G73,IF(AND(($C73+$C$1)&gt;AT$3,AT$3&gt;=$C$1),'General Inputs'!R$9*$F73,0))</f>
        <v>23.076417227371103</v>
      </c>
      <c r="AU73" s="214">
        <f>IF(AND(($D73+$C$1)&gt;AU$3,AU$3&gt;=$C$1),'General Inputs'!S$9*$G73,IF(AND(($C73+$C$1)&gt;AU$3,AU$3&gt;=$C$1),'General Inputs'!S$9*$F73,0))</f>
        <v>23.422563485781669</v>
      </c>
      <c r="AV73" s="214">
        <f>IF(AND(($D73+$C$1)&gt;AV$3,AV$3&gt;=$C$1),'General Inputs'!T$9*$G73,IF(AND(($C73+$C$1)&gt;AV$3,AV$3&gt;=$C$1),'General Inputs'!T$9*$F73,0))</f>
        <v>23.773901938068391</v>
      </c>
      <c r="AW73" s="214">
        <f>IF(AND(($D73+$C$1)&gt;AW$3,AW$3&gt;=$C$1),'General Inputs'!U$9*$G73,IF(AND(($C73+$C$1)&gt;AW$3,AW$3&gt;=$C$1),'General Inputs'!U$9*$F73,0))</f>
        <v>24.130510467139416</v>
      </c>
      <c r="AX73" s="214">
        <f>IF(AND(($D73+$C$1)&gt;AX$3,AX$3&gt;=$C$1),'General Inputs'!V$9*$G73,IF(AND(($C73+$C$1)&gt;AX$3,AX$3&gt;=$C$1),'General Inputs'!V$9*$F73,0))</f>
        <v>24.492468124146505</v>
      </c>
      <c r="AY73" s="214">
        <f>IF(AND(($D73+$C$1)&gt;AY$3,AY$3&gt;=$C$1),'General Inputs'!W$9*$G73,IF(AND(($C73+$C$1)&gt;AY$3,AY$3&gt;=$C$1),'General Inputs'!W$9*$F73,0))</f>
        <v>24.859855146008702</v>
      </c>
      <c r="BA73" s="214">
        <f>IF(AND(($D73+$C$1)&gt;AF$3,AF$3&gt;=$C$1),'General Inputs'!D$10*$I73,IF(AND(($C73+$C$1)&gt;AF$3,AF$3&gt;=$C$1),'General Inputs'!D$10*$H73,0))</f>
        <v>0</v>
      </c>
      <c r="BB73" s="214">
        <f>IF(AND(($D73+$C$1)&gt;AG$3,AG$3&gt;=$C$1),'General Inputs'!E$10*$I73,IF(AND(($C73+$C$1)&gt;AG$3,AG$3&gt;=$C$1),'General Inputs'!E$10*$H73,0))</f>
        <v>0</v>
      </c>
      <c r="BC73" s="214">
        <f>IF(AND(($D73+$C$1)&gt;AH$3,AH$3&gt;=$C$1),'General Inputs'!F$10*$I73,IF(AND(($C73+$C$1)&gt;AH$3,AH$3&gt;=$C$1),'General Inputs'!F$10*$H73,0))</f>
        <v>1.122509752945426</v>
      </c>
      <c r="BD73" s="214">
        <f>IF(AND(($D73+$C$1)&gt;AI$3,AI$3&gt;=$C$1),'General Inputs'!G$10*$I73,IF(AND(($C73+$C$1)&gt;AI$3,AI$3&gt;=$C$1),'General Inputs'!G$10*$H73,0))</f>
        <v>1.1393473992396073</v>
      </c>
      <c r="BE73" s="214">
        <f>IF(AND(($D73+$C$1)&gt;AJ$3,AJ$3&gt;=$C$1),'General Inputs'!H$10*$I73,IF(AND(($C73+$C$1)&gt;AJ$3,AJ$3&gt;=$C$1),'General Inputs'!H$10*$H73,0))</f>
        <v>1.1564376102282012</v>
      </c>
      <c r="BF73" s="214">
        <f>IF(AND(($D73+$C$1)&gt;AK$3,AK$3&gt;=$C$1),'General Inputs'!I$10*$I73,IF(AND(($C73+$C$1)&gt;AK$3,AK$3&gt;=$C$1),'General Inputs'!I$10*$H73,0))</f>
        <v>1.1737841743816242</v>
      </c>
      <c r="BG73" s="214">
        <f>IF(AND(($D73+$C$1)&gt;AL$3,AL$3&gt;=$C$1),'General Inputs'!J$10*$I73,IF(AND(($C73+$C$1)&gt;AL$3,AL$3&gt;=$C$1),'General Inputs'!J$10*$H73,0))</f>
        <v>1.1913909369973483</v>
      </c>
      <c r="BH73" s="214">
        <f>IF(AND(($D73+$C$1)&gt;AM$3,AM$3&gt;=$C$1),'General Inputs'!K$10*$I73,IF(AND(($C73+$C$1)&gt;AM$3,AM$3&gt;=$C$1),'General Inputs'!K$10*$H73,0))</f>
        <v>1.2092618010523084</v>
      </c>
      <c r="BI73" s="214">
        <f>IF(AND(($D73+$C$1)&gt;AN$3,AN$3&gt;=$C$1),'General Inputs'!L$10*$I73,IF(AND(($C73+$C$1)&gt;AN$3,AN$3&gt;=$C$1),'General Inputs'!L$10*$H73,0))</f>
        <v>1.227400728068093</v>
      </c>
      <c r="BJ73" s="214">
        <f>IF(AND(($D73+$C$1)&gt;AO$3,AO$3&gt;=$C$1),'General Inputs'!M$10*$I73,IF(AND(($C73+$C$1)&gt;AO$3,AO$3&gt;=$C$1),'General Inputs'!M$10*$H73,0))</f>
        <v>1.2458117389891143</v>
      </c>
      <c r="BK73" s="214">
        <f>IF(AND(($D73+$C$1)&gt;AP$3,AP$3&gt;=$C$1),'General Inputs'!N$10*$I73,IF(AND(($C73+$C$1)&gt;AP$3,AP$3&gt;=$C$1),'General Inputs'!N$10*$H73,0))</f>
        <v>1.264498915073951</v>
      </c>
      <c r="BL73" s="214">
        <f>IF(AND(($D73+$C$1)&gt;AQ$3,AQ$3&gt;=$C$1),'General Inputs'!O$10*$I73,IF(AND(($C73+$C$1)&gt;AQ$3,AQ$3&gt;=$C$1),'General Inputs'!O$10*$H73,0))</f>
        <v>1.2834663988000601</v>
      </c>
      <c r="BM73" s="214">
        <f>IF(AND(($D73+$C$1)&gt;AR$3,AR$3&gt;=$C$1),'General Inputs'!P$10*$I73,IF(AND(($C73+$C$1)&gt;AR$3,AR$3&gt;=$C$1),'General Inputs'!P$10*$H73,0))</f>
        <v>1.3027183947820609</v>
      </c>
      <c r="BN73" s="214">
        <f>IF(AND(($D73+$C$1)&gt;AS$3,AS$3&gt;=$C$1),'General Inputs'!Q$10*$I73,IF(AND(($C73+$C$1)&gt;AS$3,AS$3&gt;=$C$1),'General Inputs'!Q$10*$H73,0))</f>
        <v>1.3222591707037916</v>
      </c>
      <c r="BO73" s="214">
        <f>IF(AND(($D73+$C$1)&gt;AT$3,AT$3&gt;=$C$1),'General Inputs'!R$10*$I73,IF(AND(($C73+$C$1)&gt;AT$3,AT$3&gt;=$C$1),'General Inputs'!R$10*$H73,0))</f>
        <v>1.3420930582643482</v>
      </c>
      <c r="BP73" s="214">
        <f>IF(AND(($D73+$C$1)&gt;AU$3,AU$3&gt;=$C$1),'General Inputs'!S$10*$I73,IF(AND(($C73+$C$1)&gt;AU$3,AU$3&gt;=$C$1),'General Inputs'!S$10*$H73,0))</f>
        <v>1.3622244541383135</v>
      </c>
      <c r="BQ73" s="214">
        <f>IF(AND(($D73+$C$1)&gt;AV$3,AV$3&gt;=$C$1),'General Inputs'!T$10*$I73,IF(AND(($C73+$C$1)&gt;AV$3,AV$3&gt;=$C$1),'General Inputs'!T$10*$H73,0))</f>
        <v>1.3826578209503881</v>
      </c>
      <c r="BR73" s="214">
        <f>IF(AND(($D73+$C$1)&gt;AW$3,AW$3&gt;=$C$1),'General Inputs'!U$10*$I73,IF(AND(($C73+$C$1)&gt;AW$3,AW$3&gt;=$C$1),'General Inputs'!U$10*$H73,0))</f>
        <v>1.4033976882646437</v>
      </c>
      <c r="BS73" s="214">
        <f>IF(AND(($D73+$C$1)&gt;AX$3,AX$3&gt;=$C$1),'General Inputs'!V$10*$I73,IF(AND(($C73+$C$1)&gt;AX$3,AX$3&gt;=$C$1),'General Inputs'!V$10*$H73,0))</f>
        <v>1.4244486535886132</v>
      </c>
      <c r="BT73" s="214">
        <f>IF(AND(($D73+$C$1)&gt;AY$3,AY$3&gt;=$C$1),'General Inputs'!W$10*$I73,IF(AND(($C73+$C$1)&gt;AY$3,AY$3&gt;=$C$1),'General Inputs'!W$10*$H73,0))</f>
        <v>1.4458153833924421</v>
      </c>
    </row>
    <row r="74" spans="1:72">
      <c r="A74" s="342" t="s">
        <v>112</v>
      </c>
      <c r="B74" s="427" t="str">
        <f>Sources!B74</f>
        <v>Pulse Start Metal Halide (≥750 W)</v>
      </c>
      <c r="C74" s="193">
        <f>Sources!C74</f>
        <v>18</v>
      </c>
      <c r="D74" s="193">
        <f>Sources!D74</f>
        <v>0</v>
      </c>
      <c r="F74" s="429">
        <f>Sources!F74*EnergyLineLoss</f>
        <v>2039.1489787499997</v>
      </c>
      <c r="G74" s="429">
        <f>Sources!G74*EnergyLineLoss</f>
        <v>0</v>
      </c>
      <c r="H74" s="477">
        <f>Sources!H74*PeakLineLoss</f>
        <v>0.31531242600000003</v>
      </c>
      <c r="I74" s="477">
        <f>Sources!I74*PeakLineLoss</f>
        <v>0</v>
      </c>
      <c r="K74" s="419">
        <f>Sources!J74</f>
        <v>381</v>
      </c>
      <c r="L74" s="419">
        <f>Sources!K74</f>
        <v>0</v>
      </c>
      <c r="N74" s="438">
        <f t="shared" si="22"/>
        <v>2.46422860113229</v>
      </c>
      <c r="P74" s="215">
        <f t="shared" si="23"/>
        <v>748.99362409467039</v>
      </c>
      <c r="Q74" s="215">
        <f t="shared" si="24"/>
        <v>43.560451073376178</v>
      </c>
      <c r="R74" s="215">
        <f t="shared" si="25"/>
        <v>321.62360050681798</v>
      </c>
      <c r="T74" s="214">
        <f t="shared" si="26"/>
        <v>0</v>
      </c>
      <c r="U74" s="214">
        <f t="shared" si="26"/>
        <v>0</v>
      </c>
      <c r="V74" s="214">
        <f t="shared" si="26"/>
        <v>381</v>
      </c>
      <c r="W74" s="214">
        <f t="shared" si="26"/>
        <v>0</v>
      </c>
      <c r="X74" s="214">
        <f t="shared" si="26"/>
        <v>0</v>
      </c>
      <c r="Y74" s="214">
        <f t="shared" si="26"/>
        <v>0</v>
      </c>
      <c r="Z74" s="214">
        <f t="shared" si="26"/>
        <v>0</v>
      </c>
      <c r="AA74" s="214">
        <f t="shared" si="26"/>
        <v>0</v>
      </c>
      <c r="AB74" s="214">
        <f t="shared" si="26"/>
        <v>0</v>
      </c>
      <c r="AC74" s="214">
        <f t="shared" si="26"/>
        <v>0</v>
      </c>
      <c r="AD74" s="214">
        <f t="shared" si="26"/>
        <v>0</v>
      </c>
      <c r="AF74" s="214">
        <f>IF(AND(($D74+$C$1)&gt;AF$3,AF$3&gt;=$C$1),'General Inputs'!D$9*$G74,IF(AND(($C74+$C$1)&gt;AF$3,AF$3&gt;=$C$1),'General Inputs'!D$9*$F74,0))</f>
        <v>0</v>
      </c>
      <c r="AG74" s="214">
        <f>IF(AND(($D74+$C$1)&gt;AG$3,AG$3&gt;=$C$1),'General Inputs'!E$9*$G74,IF(AND(($C74+$C$1)&gt;AG$3,AG$3&gt;=$C$1),'General Inputs'!E$9*$F74,0))</f>
        <v>0</v>
      </c>
      <c r="AH74" s="214">
        <f>IF(AND(($D74+$C$1)&gt;AH$3,AH$3&gt;=$C$1),'General Inputs'!F$9*$G74,IF(AND(($C74+$C$1)&gt;AH$3,AH$3&gt;=$C$1),'General Inputs'!F$9*$F74,0))</f>
        <v>83.636908815994829</v>
      </c>
      <c r="AI74" s="214">
        <f>IF(AND(($D74+$C$1)&gt;AI$3,AI$3&gt;=$C$1),'General Inputs'!G$9*$G74,IF(AND(($C74+$C$1)&gt;AI$3,AI$3&gt;=$C$1),'General Inputs'!G$9*$F74,0))</f>
        <v>84.891462448234748</v>
      </c>
      <c r="AJ74" s="214">
        <f>IF(AND(($D74+$C$1)&gt;AJ$3,AJ$3&gt;=$C$1),'General Inputs'!H$9*$G74,IF(AND(($C74+$C$1)&gt;AJ$3,AJ$3&gt;=$C$1),'General Inputs'!H$9*$F74,0))</f>
        <v>86.164834384958255</v>
      </c>
      <c r="AK74" s="214">
        <f>IF(AND(($D74+$C$1)&gt;AK$3,AK$3&gt;=$C$1),'General Inputs'!I$9*$G74,IF(AND(($C74+$C$1)&gt;AK$3,AK$3&gt;=$C$1),'General Inputs'!I$9*$F74,0))</f>
        <v>87.457306900732618</v>
      </c>
      <c r="AL74" s="214">
        <f>IF(AND(($D74+$C$1)&gt;AL$3,AL$3&gt;=$C$1),'General Inputs'!J$9*$G74,IF(AND(($C74+$C$1)&gt;AL$3,AL$3&gt;=$C$1),'General Inputs'!J$9*$F74,0))</f>
        <v>88.769166504243586</v>
      </c>
      <c r="AM74" s="214">
        <f>IF(AND(($D74+$C$1)&gt;AM$3,AM$3&gt;=$C$1),'General Inputs'!K$9*$G74,IF(AND(($C74+$C$1)&gt;AM$3,AM$3&gt;=$C$1),'General Inputs'!K$9*$F74,0))</f>
        <v>90.10070400180723</v>
      </c>
      <c r="AN74" s="214">
        <f>IF(AND(($D74+$C$1)&gt;AN$3,AN$3&gt;=$C$1),'General Inputs'!L$9*$G74,IF(AND(($C74+$C$1)&gt;AN$3,AN$3&gt;=$C$1),'General Inputs'!L$9*$F74,0))</f>
        <v>91.452214561834339</v>
      </c>
      <c r="AO74" s="214">
        <f>IF(AND(($D74+$C$1)&gt;AO$3,AO$3&gt;=$C$1),'General Inputs'!M$9*$G74,IF(AND(($C74+$C$1)&gt;AO$3,AO$3&gt;=$C$1),'General Inputs'!M$9*$F74,0))</f>
        <v>92.823997780261834</v>
      </c>
      <c r="AP74" s="214">
        <f>IF(AND(($D74+$C$1)&gt;AP$3,AP$3&gt;=$C$1),'General Inputs'!N$9*$G74,IF(AND(($C74+$C$1)&gt;AP$3,AP$3&gt;=$C$1),'General Inputs'!N$9*$F74,0))</f>
        <v>94.216357746965755</v>
      </c>
      <c r="AQ74" s="214">
        <f>IF(AND(($D74+$C$1)&gt;AQ$3,AQ$3&gt;=$C$1),'General Inputs'!O$9*$G74,IF(AND(($C74+$C$1)&gt;AQ$3,AQ$3&gt;=$C$1),'General Inputs'!O$9*$F74,0))</f>
        <v>95.629603113170234</v>
      </c>
      <c r="AR74" s="214">
        <f>IF(AND(($D74+$C$1)&gt;AR$3,AR$3&gt;=$C$1),'General Inputs'!P$9*$G74,IF(AND(($C74+$C$1)&gt;AR$3,AR$3&gt;=$C$1),'General Inputs'!P$9*$F74,0))</f>
        <v>97.064047159867769</v>
      </c>
      <c r="AS74" s="214">
        <f>IF(AND(($D74+$C$1)&gt;AS$3,AS$3&gt;=$C$1),'General Inputs'!Q$9*$G74,IF(AND(($C74+$C$1)&gt;AS$3,AS$3&gt;=$C$1),'General Inputs'!Q$9*$F74,0))</f>
        <v>98.52000786726579</v>
      </c>
      <c r="AT74" s="214">
        <f>IF(AND(($D74+$C$1)&gt;AT$3,AT$3&gt;=$C$1),'General Inputs'!R$9*$G74,IF(AND(($C74+$C$1)&gt;AT$3,AT$3&gt;=$C$1),'General Inputs'!R$9*$F74,0))</f>
        <v>99.997807985274761</v>
      </c>
      <c r="AU74" s="214">
        <f>IF(AND(($D74+$C$1)&gt;AU$3,AU$3&gt;=$C$1),'General Inputs'!S$9*$G74,IF(AND(($C74+$C$1)&gt;AU$3,AU$3&gt;=$C$1),'General Inputs'!S$9*$F74,0))</f>
        <v>101.49777510505388</v>
      </c>
      <c r="AV74" s="214">
        <f>IF(AND(($D74+$C$1)&gt;AV$3,AV$3&gt;=$C$1),'General Inputs'!T$9*$G74,IF(AND(($C74+$C$1)&gt;AV$3,AV$3&gt;=$C$1),'General Inputs'!T$9*$F74,0))</f>
        <v>103.02024173162968</v>
      </c>
      <c r="AW74" s="214">
        <f>IF(AND(($D74+$C$1)&gt;AW$3,AW$3&gt;=$C$1),'General Inputs'!U$9*$G74,IF(AND(($C74+$C$1)&gt;AW$3,AW$3&gt;=$C$1),'General Inputs'!U$9*$F74,0))</f>
        <v>104.56554535760412</v>
      </c>
      <c r="AX74" s="214">
        <f>IF(AND(($D74+$C$1)&gt;AX$3,AX$3&gt;=$C$1),'General Inputs'!V$9*$G74,IF(AND(($C74+$C$1)&gt;AX$3,AX$3&gt;=$C$1),'General Inputs'!V$9*$F74,0))</f>
        <v>106.13402853796818</v>
      </c>
      <c r="AY74" s="214">
        <f>IF(AND(($D74+$C$1)&gt;AY$3,AY$3&gt;=$C$1),'General Inputs'!W$9*$G74,IF(AND(($C74+$C$1)&gt;AY$3,AY$3&gt;=$C$1),'General Inputs'!W$9*$F74,0))</f>
        <v>107.72603896603769</v>
      </c>
      <c r="BA74" s="214">
        <f>IF(AND(($D74+$C$1)&gt;AF$3,AF$3&gt;=$C$1),'General Inputs'!D$10*$I74,IF(AND(($C74+$C$1)&gt;AF$3,AF$3&gt;=$C$1),'General Inputs'!D$10*$H74,0))</f>
        <v>0</v>
      </c>
      <c r="BB74" s="214">
        <f>IF(AND(($D74+$C$1)&gt;AG$3,AG$3&gt;=$C$1),'General Inputs'!E$10*$I74,IF(AND(($C74+$C$1)&gt;AG$3,AG$3&gt;=$C$1),'General Inputs'!E$10*$H74,0))</f>
        <v>0</v>
      </c>
      <c r="BC74" s="214">
        <f>IF(AND(($D74+$C$1)&gt;AH$3,AH$3&gt;=$C$1),'General Inputs'!F$10*$I74,IF(AND(($C74+$C$1)&gt;AH$3,AH$3&gt;=$C$1),'General Inputs'!F$10*$H74,0))</f>
        <v>4.8642089294301787</v>
      </c>
      <c r="BD74" s="214">
        <f>IF(AND(($D74+$C$1)&gt;AI$3,AI$3&gt;=$C$1),'General Inputs'!G$10*$I74,IF(AND(($C74+$C$1)&gt;AI$3,AI$3&gt;=$C$1),'General Inputs'!G$10*$H74,0))</f>
        <v>4.9371720633716309</v>
      </c>
      <c r="BE74" s="214">
        <f>IF(AND(($D74+$C$1)&gt;AJ$3,AJ$3&gt;=$C$1),'General Inputs'!H$10*$I74,IF(AND(($C74+$C$1)&gt;AJ$3,AJ$3&gt;=$C$1),'General Inputs'!H$10*$H74,0))</f>
        <v>5.0112296443222046</v>
      </c>
      <c r="BF74" s="214">
        <f>IF(AND(($D74+$C$1)&gt;AK$3,AK$3&gt;=$C$1),'General Inputs'!I$10*$I74,IF(AND(($C74+$C$1)&gt;AK$3,AK$3&gt;=$C$1),'General Inputs'!I$10*$H74,0))</f>
        <v>5.0863980889870373</v>
      </c>
      <c r="BG74" s="214">
        <f>IF(AND(($D74+$C$1)&gt;AL$3,AL$3&gt;=$C$1),'General Inputs'!J$10*$I74,IF(AND(($C74+$C$1)&gt;AL$3,AL$3&gt;=$C$1),'General Inputs'!J$10*$H74,0))</f>
        <v>5.1626940603218419</v>
      </c>
      <c r="BH74" s="214">
        <f>IF(AND(($D74+$C$1)&gt;AM$3,AM$3&gt;=$C$1),'General Inputs'!K$10*$I74,IF(AND(($C74+$C$1)&gt;AM$3,AM$3&gt;=$C$1),'General Inputs'!K$10*$H74,0))</f>
        <v>5.2401344712266695</v>
      </c>
      <c r="BI74" s="214">
        <f>IF(AND(($D74+$C$1)&gt;AN$3,AN$3&gt;=$C$1),'General Inputs'!L$10*$I74,IF(AND(($C74+$C$1)&gt;AN$3,AN$3&gt;=$C$1),'General Inputs'!L$10*$H74,0))</f>
        <v>5.3187364882950687</v>
      </c>
      <c r="BJ74" s="214">
        <f>IF(AND(($D74+$C$1)&gt;AO$3,AO$3&gt;=$C$1),'General Inputs'!M$10*$I74,IF(AND(($C74+$C$1)&gt;AO$3,AO$3&gt;=$C$1),'General Inputs'!M$10*$H74,0))</f>
        <v>5.3985175356194945</v>
      </c>
      <c r="BK74" s="214">
        <f>IF(AND(($D74+$C$1)&gt;AP$3,AP$3&gt;=$C$1),'General Inputs'!N$10*$I74,IF(AND(($C74+$C$1)&gt;AP$3,AP$3&gt;=$C$1),'General Inputs'!N$10*$H74,0))</f>
        <v>5.4794952986537862</v>
      </c>
      <c r="BL74" s="214">
        <f>IF(AND(($D74+$C$1)&gt;AQ$3,AQ$3&gt;=$C$1),'General Inputs'!O$10*$I74,IF(AND(($C74+$C$1)&gt;AQ$3,AQ$3&gt;=$C$1),'General Inputs'!O$10*$H74,0))</f>
        <v>5.5616877281335926</v>
      </c>
      <c r="BM74" s="214">
        <f>IF(AND(($D74+$C$1)&gt;AR$3,AR$3&gt;=$C$1),'General Inputs'!P$10*$I74,IF(AND(($C74+$C$1)&gt;AR$3,AR$3&gt;=$C$1),'General Inputs'!P$10*$H74,0))</f>
        <v>5.6451130440555959</v>
      </c>
      <c r="BN74" s="214">
        <f>IF(AND(($D74+$C$1)&gt;AS$3,AS$3&gt;=$C$1),'General Inputs'!Q$10*$I74,IF(AND(($C74+$C$1)&gt;AS$3,AS$3&gt;=$C$1),'General Inputs'!Q$10*$H74,0))</f>
        <v>5.7297897397164297</v>
      </c>
      <c r="BO74" s="214">
        <f>IF(AND(($D74+$C$1)&gt;AT$3,AT$3&gt;=$C$1),'General Inputs'!R$10*$I74,IF(AND(($C74+$C$1)&gt;AT$3,AT$3&gt;=$C$1),'General Inputs'!R$10*$H74,0))</f>
        <v>5.815736585812175</v>
      </c>
      <c r="BP74" s="214">
        <f>IF(AND(($D74+$C$1)&gt;AU$3,AU$3&gt;=$C$1),'General Inputs'!S$10*$I74,IF(AND(($C74+$C$1)&gt;AU$3,AU$3&gt;=$C$1),'General Inputs'!S$10*$H74,0))</f>
        <v>5.9029726345993581</v>
      </c>
      <c r="BQ74" s="214">
        <f>IF(AND(($D74+$C$1)&gt;AV$3,AV$3&gt;=$C$1),'General Inputs'!T$10*$I74,IF(AND(($C74+$C$1)&gt;AV$3,AV$3&gt;=$C$1),'General Inputs'!T$10*$H74,0))</f>
        <v>5.991517224118347</v>
      </c>
      <c r="BR74" s="214">
        <f>IF(AND(($D74+$C$1)&gt;AW$3,AW$3&gt;=$C$1),'General Inputs'!U$10*$I74,IF(AND(($C74+$C$1)&gt;AW$3,AW$3&gt;=$C$1),'General Inputs'!U$10*$H74,0))</f>
        <v>6.0813899824801219</v>
      </c>
      <c r="BS74" s="214">
        <f>IF(AND(($D74+$C$1)&gt;AX$3,AX$3&gt;=$C$1),'General Inputs'!V$10*$I74,IF(AND(($C74+$C$1)&gt;AX$3,AX$3&gt;=$C$1),'General Inputs'!V$10*$H74,0))</f>
        <v>6.1726108322173223</v>
      </c>
      <c r="BT74" s="214">
        <f>IF(AND(($D74+$C$1)&gt;AY$3,AY$3&gt;=$C$1),'General Inputs'!W$10*$I74,IF(AND(($C74+$C$1)&gt;AY$3,AY$3&gt;=$C$1),'General Inputs'!W$10*$H74,0))</f>
        <v>6.2651999947005823</v>
      </c>
    </row>
    <row r="75" spans="1:72">
      <c r="A75" s="342" t="s">
        <v>112</v>
      </c>
      <c r="B75" s="427" t="str">
        <f>Sources!B75</f>
        <v>Ceiling Mount Occupancy</v>
      </c>
      <c r="C75" s="193">
        <f>Sources!C75</f>
        <v>8</v>
      </c>
      <c r="D75" s="193">
        <f>Sources!D75</f>
        <v>0</v>
      </c>
      <c r="F75" s="429">
        <f>Sources!F75*EnergyLineLoss</f>
        <v>350.21102999999999</v>
      </c>
      <c r="G75" s="429">
        <f>Sources!G75*EnergyLineLoss</f>
        <v>0</v>
      </c>
      <c r="H75" s="477">
        <f>Sources!H75*PeakLineLoss</f>
        <v>1.11841587E-2</v>
      </c>
      <c r="I75" s="477">
        <f>Sources!I75*PeakLineLoss</f>
        <v>0</v>
      </c>
      <c r="K75" s="419">
        <f>Sources!J75</f>
        <v>125</v>
      </c>
      <c r="L75" s="419">
        <f>Sources!K75</f>
        <v>0</v>
      </c>
      <c r="N75" s="438">
        <f t="shared" si="22"/>
        <v>0.73800339305623441</v>
      </c>
      <c r="P75" s="215">
        <f t="shared" si="23"/>
        <v>76.949513249656931</v>
      </c>
      <c r="Q75" s="215">
        <f t="shared" si="24"/>
        <v>0.92427561549874759</v>
      </c>
      <c r="R75" s="215">
        <f t="shared" si="25"/>
        <v>105.51955397205315</v>
      </c>
      <c r="T75" s="214">
        <f t="shared" si="26"/>
        <v>0</v>
      </c>
      <c r="U75" s="214">
        <f t="shared" si="26"/>
        <v>0</v>
      </c>
      <c r="V75" s="214">
        <f t="shared" si="26"/>
        <v>125</v>
      </c>
      <c r="W75" s="214">
        <f t="shared" si="26"/>
        <v>0</v>
      </c>
      <c r="X75" s="214">
        <f t="shared" si="26"/>
        <v>0</v>
      </c>
      <c r="Y75" s="214">
        <f t="shared" si="26"/>
        <v>0</v>
      </c>
      <c r="Z75" s="214">
        <f t="shared" si="26"/>
        <v>0</v>
      </c>
      <c r="AA75" s="214">
        <f t="shared" si="26"/>
        <v>0</v>
      </c>
      <c r="AB75" s="214">
        <f t="shared" si="26"/>
        <v>0</v>
      </c>
      <c r="AC75" s="214">
        <f t="shared" si="26"/>
        <v>0</v>
      </c>
      <c r="AD75" s="214">
        <f t="shared" si="26"/>
        <v>0</v>
      </c>
      <c r="AF75" s="214">
        <f>IF(AND(($D75+$C$1)&gt;AF$3,AF$3&gt;=$C$1),'General Inputs'!D$9*$G75,IF(AND(($C75+$C$1)&gt;AF$3,AF$3&gt;=$C$1),'General Inputs'!D$9*$F75,0))</f>
        <v>0</v>
      </c>
      <c r="AG75" s="214">
        <f>IF(AND(($D75+$C$1)&gt;AG$3,AG$3&gt;=$C$1),'General Inputs'!E$9*$G75,IF(AND(($C75+$C$1)&gt;AG$3,AG$3&gt;=$C$1),'General Inputs'!E$9*$F75,0))</f>
        <v>0</v>
      </c>
      <c r="AH75" s="214">
        <f>IF(AND(($D75+$C$1)&gt;AH$3,AH$3&gt;=$C$1),'General Inputs'!F$9*$G75,IF(AND(($C75+$C$1)&gt;AH$3,AH$3&gt;=$C$1),'General Inputs'!F$9*$F75,0))</f>
        <v>14.364113798306573</v>
      </c>
      <c r="AI75" s="214">
        <f>IF(AND(($D75+$C$1)&gt;AI$3,AI$3&gt;=$C$1),'General Inputs'!G$9*$G75,IF(AND(($C75+$C$1)&gt;AI$3,AI$3&gt;=$C$1),'General Inputs'!G$9*$F75,0))</f>
        <v>14.579575505281172</v>
      </c>
      <c r="AJ75" s="214">
        <f>IF(AND(($D75+$C$1)&gt;AJ$3,AJ$3&gt;=$C$1),'General Inputs'!H$9*$G75,IF(AND(($C75+$C$1)&gt;AJ$3,AJ$3&gt;=$C$1),'General Inputs'!H$9*$F75,0))</f>
        <v>14.798269137860386</v>
      </c>
      <c r="AK75" s="214">
        <f>IF(AND(($D75+$C$1)&gt;AK$3,AK$3&gt;=$C$1),'General Inputs'!I$9*$G75,IF(AND(($C75+$C$1)&gt;AK$3,AK$3&gt;=$C$1),'General Inputs'!I$9*$F75,0))</f>
        <v>15.020243174928289</v>
      </c>
      <c r="AL75" s="214">
        <f>IF(AND(($D75+$C$1)&gt;AL$3,AL$3&gt;=$C$1),'General Inputs'!J$9*$G75,IF(AND(($C75+$C$1)&gt;AL$3,AL$3&gt;=$C$1),'General Inputs'!J$9*$F75,0))</f>
        <v>15.245546822552212</v>
      </c>
      <c r="AM75" s="214">
        <f>IF(AND(($D75+$C$1)&gt;AM$3,AM$3&gt;=$C$1),'General Inputs'!K$9*$G75,IF(AND(($C75+$C$1)&gt;AM$3,AM$3&gt;=$C$1),'General Inputs'!K$9*$F75,0))</f>
        <v>15.474230024890492</v>
      </c>
      <c r="AN75" s="214">
        <f>IF(AND(($D75+$C$1)&gt;AN$3,AN$3&gt;=$C$1),'General Inputs'!L$9*$G75,IF(AND(($C75+$C$1)&gt;AN$3,AN$3&gt;=$C$1),'General Inputs'!L$9*$F75,0))</f>
        <v>15.706343475263848</v>
      </c>
      <c r="AO75" s="214">
        <f>IF(AND(($D75+$C$1)&gt;AO$3,AO$3&gt;=$C$1),'General Inputs'!M$9*$G75,IF(AND(($C75+$C$1)&gt;AO$3,AO$3&gt;=$C$1),'General Inputs'!M$9*$F75,0))</f>
        <v>15.941938627392805</v>
      </c>
      <c r="AP75" s="214">
        <f>IF(AND(($D75+$C$1)&gt;AP$3,AP$3&gt;=$C$1),'General Inputs'!N$9*$G75,IF(AND(($C75+$C$1)&gt;AP$3,AP$3&gt;=$C$1),'General Inputs'!N$9*$F75,0))</f>
        <v>0</v>
      </c>
      <c r="AQ75" s="214">
        <f>IF(AND(($D75+$C$1)&gt;AQ$3,AQ$3&gt;=$C$1),'General Inputs'!O$9*$G75,IF(AND(($C75+$C$1)&gt;AQ$3,AQ$3&gt;=$C$1),'General Inputs'!O$9*$F75,0))</f>
        <v>0</v>
      </c>
      <c r="AR75" s="214">
        <f>IF(AND(($D75+$C$1)&gt;AR$3,AR$3&gt;=$C$1),'General Inputs'!P$9*$G75,IF(AND(($C75+$C$1)&gt;AR$3,AR$3&gt;=$C$1),'General Inputs'!P$9*$F75,0))</f>
        <v>0</v>
      </c>
      <c r="AS75" s="214">
        <f>IF(AND(($D75+$C$1)&gt;AS$3,AS$3&gt;=$C$1),'General Inputs'!Q$9*$G75,IF(AND(($C75+$C$1)&gt;AS$3,AS$3&gt;=$C$1),'General Inputs'!Q$9*$F75,0))</f>
        <v>0</v>
      </c>
      <c r="AT75" s="214">
        <f>IF(AND(($D75+$C$1)&gt;AT$3,AT$3&gt;=$C$1),'General Inputs'!R$9*$G75,IF(AND(($C75+$C$1)&gt;AT$3,AT$3&gt;=$C$1),'General Inputs'!R$9*$F75,0))</f>
        <v>0</v>
      </c>
      <c r="AU75" s="214">
        <f>IF(AND(($D75+$C$1)&gt;AU$3,AU$3&gt;=$C$1),'General Inputs'!S$9*$G75,IF(AND(($C75+$C$1)&gt;AU$3,AU$3&gt;=$C$1),'General Inputs'!S$9*$F75,0))</f>
        <v>0</v>
      </c>
      <c r="AV75" s="214">
        <f>IF(AND(($D75+$C$1)&gt;AV$3,AV$3&gt;=$C$1),'General Inputs'!T$9*$G75,IF(AND(($C75+$C$1)&gt;AV$3,AV$3&gt;=$C$1),'General Inputs'!T$9*$F75,0))</f>
        <v>0</v>
      </c>
      <c r="AW75" s="214">
        <f>IF(AND(($D75+$C$1)&gt;AW$3,AW$3&gt;=$C$1),'General Inputs'!U$9*$G75,IF(AND(($C75+$C$1)&gt;AW$3,AW$3&gt;=$C$1),'General Inputs'!U$9*$F75,0))</f>
        <v>0</v>
      </c>
      <c r="AX75" s="214">
        <f>IF(AND(($D75+$C$1)&gt;AX$3,AX$3&gt;=$C$1),'General Inputs'!V$9*$G75,IF(AND(($C75+$C$1)&gt;AX$3,AX$3&gt;=$C$1),'General Inputs'!V$9*$F75,0))</f>
        <v>0</v>
      </c>
      <c r="AY75" s="214">
        <f>IF(AND(($D75+$C$1)&gt;AY$3,AY$3&gt;=$C$1),'General Inputs'!W$9*$G75,IF(AND(($C75+$C$1)&gt;AY$3,AY$3&gt;=$C$1),'General Inputs'!W$9*$F75,0))</f>
        <v>0</v>
      </c>
      <c r="BA75" s="214">
        <f>IF(AND(($D75+$C$1)&gt;AF$3,AF$3&gt;=$C$1),'General Inputs'!D$10*$I75,IF(AND(($C75+$C$1)&gt;AF$3,AF$3&gt;=$C$1),'General Inputs'!D$10*$H75,0))</f>
        <v>0</v>
      </c>
      <c r="BB75" s="214">
        <f>IF(AND(($D75+$C$1)&gt;AG$3,AG$3&gt;=$C$1),'General Inputs'!E$10*$I75,IF(AND(($C75+$C$1)&gt;AG$3,AG$3&gt;=$C$1),'General Inputs'!E$10*$H75,0))</f>
        <v>0</v>
      </c>
      <c r="BC75" s="214">
        <f>IF(AND(($D75+$C$1)&gt;AH$3,AH$3&gt;=$C$1),'General Inputs'!F$10*$I75,IF(AND(($C75+$C$1)&gt;AH$3,AH$3&gt;=$C$1),'General Inputs'!F$10*$H75,0))</f>
        <v>0.17253390647124137</v>
      </c>
      <c r="BD75" s="214">
        <f>IF(AND(($D75+$C$1)&gt;AI$3,AI$3&gt;=$C$1),'General Inputs'!G$10*$I75,IF(AND(($C75+$C$1)&gt;AI$3,AI$3&gt;=$C$1),'General Inputs'!G$10*$H75,0))</f>
        <v>0.17512191506830999</v>
      </c>
      <c r="BE75" s="214">
        <f>IF(AND(($D75+$C$1)&gt;AJ$3,AJ$3&gt;=$C$1),'General Inputs'!H$10*$I75,IF(AND(($C75+$C$1)&gt;AJ$3,AJ$3&gt;=$C$1),'General Inputs'!H$10*$H75,0))</f>
        <v>0.17774874379433461</v>
      </c>
      <c r="BF75" s="214">
        <f>IF(AND(($D75+$C$1)&gt;AK$3,AK$3&gt;=$C$1),'General Inputs'!I$10*$I75,IF(AND(($C75+$C$1)&gt;AK$3,AK$3&gt;=$C$1),'General Inputs'!I$10*$H75,0))</f>
        <v>0.18041497495124958</v>
      </c>
      <c r="BG75" s="214">
        <f>IF(AND(($D75+$C$1)&gt;AL$3,AL$3&gt;=$C$1),'General Inputs'!J$10*$I75,IF(AND(($C75+$C$1)&gt;AL$3,AL$3&gt;=$C$1),'General Inputs'!J$10*$H75,0))</f>
        <v>0.18312119957551831</v>
      </c>
      <c r="BH75" s="214">
        <f>IF(AND(($D75+$C$1)&gt;AM$3,AM$3&gt;=$C$1),'General Inputs'!K$10*$I75,IF(AND(($C75+$C$1)&gt;AM$3,AM$3&gt;=$C$1),'General Inputs'!K$10*$H75,0))</f>
        <v>0.18586801756915108</v>
      </c>
      <c r="BI75" s="214">
        <f>IF(AND(($D75+$C$1)&gt;AN$3,AN$3&gt;=$C$1),'General Inputs'!L$10*$I75,IF(AND(($C75+$C$1)&gt;AN$3,AN$3&gt;=$C$1),'General Inputs'!L$10*$H75,0))</f>
        <v>0.18865603783268833</v>
      </c>
      <c r="BJ75" s="214">
        <f>IF(AND(($D75+$C$1)&gt;AO$3,AO$3&gt;=$C$1),'General Inputs'!M$10*$I75,IF(AND(($C75+$C$1)&gt;AO$3,AO$3&gt;=$C$1),'General Inputs'!M$10*$H75,0))</f>
        <v>0.19148587840017864</v>
      </c>
      <c r="BK75" s="214">
        <f>IF(AND(($D75+$C$1)&gt;AP$3,AP$3&gt;=$C$1),'General Inputs'!N$10*$I75,IF(AND(($C75+$C$1)&gt;AP$3,AP$3&gt;=$C$1),'General Inputs'!N$10*$H75,0))</f>
        <v>0</v>
      </c>
      <c r="BL75" s="214">
        <f>IF(AND(($D75+$C$1)&gt;AQ$3,AQ$3&gt;=$C$1),'General Inputs'!O$10*$I75,IF(AND(($C75+$C$1)&gt;AQ$3,AQ$3&gt;=$C$1),'General Inputs'!O$10*$H75,0))</f>
        <v>0</v>
      </c>
      <c r="BM75" s="214">
        <f>IF(AND(($D75+$C$1)&gt;AR$3,AR$3&gt;=$C$1),'General Inputs'!P$10*$I75,IF(AND(($C75+$C$1)&gt;AR$3,AR$3&gt;=$C$1),'General Inputs'!P$10*$H75,0))</f>
        <v>0</v>
      </c>
      <c r="BN75" s="214">
        <f>IF(AND(($D75+$C$1)&gt;AS$3,AS$3&gt;=$C$1),'General Inputs'!Q$10*$I75,IF(AND(($C75+$C$1)&gt;AS$3,AS$3&gt;=$C$1),'General Inputs'!Q$10*$H75,0))</f>
        <v>0</v>
      </c>
      <c r="BO75" s="214">
        <f>IF(AND(($D75+$C$1)&gt;AT$3,AT$3&gt;=$C$1),'General Inputs'!R$10*$I75,IF(AND(($C75+$C$1)&gt;AT$3,AT$3&gt;=$C$1),'General Inputs'!R$10*$H75,0))</f>
        <v>0</v>
      </c>
      <c r="BP75" s="214">
        <f>IF(AND(($D75+$C$1)&gt;AU$3,AU$3&gt;=$C$1),'General Inputs'!S$10*$I75,IF(AND(($C75+$C$1)&gt;AU$3,AU$3&gt;=$C$1),'General Inputs'!S$10*$H75,0))</f>
        <v>0</v>
      </c>
      <c r="BQ75" s="214">
        <f>IF(AND(($D75+$C$1)&gt;AV$3,AV$3&gt;=$C$1),'General Inputs'!T$10*$I75,IF(AND(($C75+$C$1)&gt;AV$3,AV$3&gt;=$C$1),'General Inputs'!T$10*$H75,0))</f>
        <v>0</v>
      </c>
      <c r="BR75" s="214">
        <f>IF(AND(($D75+$C$1)&gt;AW$3,AW$3&gt;=$C$1),'General Inputs'!U$10*$I75,IF(AND(($C75+$C$1)&gt;AW$3,AW$3&gt;=$C$1),'General Inputs'!U$10*$H75,0))</f>
        <v>0</v>
      </c>
      <c r="BS75" s="214">
        <f>IF(AND(($D75+$C$1)&gt;AX$3,AX$3&gt;=$C$1),'General Inputs'!V$10*$I75,IF(AND(($C75+$C$1)&gt;AX$3,AX$3&gt;=$C$1),'General Inputs'!V$10*$H75,0))</f>
        <v>0</v>
      </c>
      <c r="BT75" s="214">
        <f>IF(AND(($D75+$C$1)&gt;AY$3,AY$3&gt;=$C$1),'General Inputs'!W$10*$I75,IF(AND(($C75+$C$1)&gt;AY$3,AY$3&gt;=$C$1),'General Inputs'!W$10*$H75,0))</f>
        <v>0</v>
      </c>
    </row>
    <row r="76" spans="1:72">
      <c r="A76" s="342" t="s">
        <v>112</v>
      </c>
      <c r="B76" s="427" t="str">
        <f>Sources!B76</f>
        <v>Wall Mount Occupancy</v>
      </c>
      <c r="C76" s="193">
        <f>Sources!C76</f>
        <v>8</v>
      </c>
      <c r="D76" s="193">
        <f>Sources!D76</f>
        <v>0</v>
      </c>
      <c r="F76" s="429">
        <f>Sources!F76*EnergyLineLoss</f>
        <v>350.21102999999999</v>
      </c>
      <c r="G76" s="429">
        <f>Sources!G76*EnergyLineLoss</f>
        <v>0</v>
      </c>
      <c r="H76" s="477">
        <f>Sources!H76*PeakLineLoss</f>
        <v>1.11841587E-2</v>
      </c>
      <c r="I76" s="477">
        <f>Sources!I76*PeakLineLoss</f>
        <v>0</v>
      </c>
      <c r="K76" s="419">
        <f>Sources!J76</f>
        <v>55</v>
      </c>
      <c r="L76" s="419">
        <f>Sources!K76</f>
        <v>0</v>
      </c>
      <c r="N76" s="438">
        <f t="shared" si="22"/>
        <v>1.6772804387641691</v>
      </c>
      <c r="P76" s="215">
        <f t="shared" si="23"/>
        <v>76.949513249656931</v>
      </c>
      <c r="Q76" s="215">
        <f t="shared" si="24"/>
        <v>0.92427561549874759</v>
      </c>
      <c r="R76" s="215">
        <f t="shared" si="25"/>
        <v>46.428603747703384</v>
      </c>
      <c r="T76" s="214">
        <f t="shared" si="26"/>
        <v>0</v>
      </c>
      <c r="U76" s="214">
        <f t="shared" si="26"/>
        <v>0</v>
      </c>
      <c r="V76" s="214">
        <f t="shared" si="26"/>
        <v>55</v>
      </c>
      <c r="W76" s="214">
        <f t="shared" si="26"/>
        <v>0</v>
      </c>
      <c r="X76" s="214">
        <f t="shared" si="26"/>
        <v>0</v>
      </c>
      <c r="Y76" s="214">
        <f t="shared" si="26"/>
        <v>0</v>
      </c>
      <c r="Z76" s="214">
        <f t="shared" si="26"/>
        <v>0</v>
      </c>
      <c r="AA76" s="214">
        <f t="shared" si="26"/>
        <v>0</v>
      </c>
      <c r="AB76" s="214">
        <f t="shared" si="26"/>
        <v>0</v>
      </c>
      <c r="AC76" s="214">
        <f t="shared" si="26"/>
        <v>0</v>
      </c>
      <c r="AD76" s="214">
        <f t="shared" si="26"/>
        <v>0</v>
      </c>
      <c r="AF76" s="214">
        <f>IF(AND(($D76+$C$1)&gt;AF$3,AF$3&gt;=$C$1),'General Inputs'!D$9*$G76,IF(AND(($C76+$C$1)&gt;AF$3,AF$3&gt;=$C$1),'General Inputs'!D$9*$F76,0))</f>
        <v>0</v>
      </c>
      <c r="AG76" s="214">
        <f>IF(AND(($D76+$C$1)&gt;AG$3,AG$3&gt;=$C$1),'General Inputs'!E$9*$G76,IF(AND(($C76+$C$1)&gt;AG$3,AG$3&gt;=$C$1),'General Inputs'!E$9*$F76,0))</f>
        <v>0</v>
      </c>
      <c r="AH76" s="214">
        <f>IF(AND(($D76+$C$1)&gt;AH$3,AH$3&gt;=$C$1),'General Inputs'!F$9*$G76,IF(AND(($C76+$C$1)&gt;AH$3,AH$3&gt;=$C$1),'General Inputs'!F$9*$F76,0))</f>
        <v>14.364113798306573</v>
      </c>
      <c r="AI76" s="214">
        <f>IF(AND(($D76+$C$1)&gt;AI$3,AI$3&gt;=$C$1),'General Inputs'!G$9*$G76,IF(AND(($C76+$C$1)&gt;AI$3,AI$3&gt;=$C$1),'General Inputs'!G$9*$F76,0))</f>
        <v>14.579575505281172</v>
      </c>
      <c r="AJ76" s="214">
        <f>IF(AND(($D76+$C$1)&gt;AJ$3,AJ$3&gt;=$C$1),'General Inputs'!H$9*$G76,IF(AND(($C76+$C$1)&gt;AJ$3,AJ$3&gt;=$C$1),'General Inputs'!H$9*$F76,0))</f>
        <v>14.798269137860386</v>
      </c>
      <c r="AK76" s="214">
        <f>IF(AND(($D76+$C$1)&gt;AK$3,AK$3&gt;=$C$1),'General Inputs'!I$9*$G76,IF(AND(($C76+$C$1)&gt;AK$3,AK$3&gt;=$C$1),'General Inputs'!I$9*$F76,0))</f>
        <v>15.020243174928289</v>
      </c>
      <c r="AL76" s="214">
        <f>IF(AND(($D76+$C$1)&gt;AL$3,AL$3&gt;=$C$1),'General Inputs'!J$9*$G76,IF(AND(($C76+$C$1)&gt;AL$3,AL$3&gt;=$C$1),'General Inputs'!J$9*$F76,0))</f>
        <v>15.245546822552212</v>
      </c>
      <c r="AM76" s="214">
        <f>IF(AND(($D76+$C$1)&gt;AM$3,AM$3&gt;=$C$1),'General Inputs'!K$9*$G76,IF(AND(($C76+$C$1)&gt;AM$3,AM$3&gt;=$C$1),'General Inputs'!K$9*$F76,0))</f>
        <v>15.474230024890492</v>
      </c>
      <c r="AN76" s="214">
        <f>IF(AND(($D76+$C$1)&gt;AN$3,AN$3&gt;=$C$1),'General Inputs'!L$9*$G76,IF(AND(($C76+$C$1)&gt;AN$3,AN$3&gt;=$C$1),'General Inputs'!L$9*$F76,0))</f>
        <v>15.706343475263848</v>
      </c>
      <c r="AO76" s="214">
        <f>IF(AND(($D76+$C$1)&gt;AO$3,AO$3&gt;=$C$1),'General Inputs'!M$9*$G76,IF(AND(($C76+$C$1)&gt;AO$3,AO$3&gt;=$C$1),'General Inputs'!M$9*$F76,0))</f>
        <v>15.941938627392805</v>
      </c>
      <c r="AP76" s="214">
        <f>IF(AND(($D76+$C$1)&gt;AP$3,AP$3&gt;=$C$1),'General Inputs'!N$9*$G76,IF(AND(($C76+$C$1)&gt;AP$3,AP$3&gt;=$C$1),'General Inputs'!N$9*$F76,0))</f>
        <v>0</v>
      </c>
      <c r="AQ76" s="214">
        <f>IF(AND(($D76+$C$1)&gt;AQ$3,AQ$3&gt;=$C$1),'General Inputs'!O$9*$G76,IF(AND(($C76+$C$1)&gt;AQ$3,AQ$3&gt;=$C$1),'General Inputs'!O$9*$F76,0))</f>
        <v>0</v>
      </c>
      <c r="AR76" s="214">
        <f>IF(AND(($D76+$C$1)&gt;AR$3,AR$3&gt;=$C$1),'General Inputs'!P$9*$G76,IF(AND(($C76+$C$1)&gt;AR$3,AR$3&gt;=$C$1),'General Inputs'!P$9*$F76,0))</f>
        <v>0</v>
      </c>
      <c r="AS76" s="214">
        <f>IF(AND(($D76+$C$1)&gt;AS$3,AS$3&gt;=$C$1),'General Inputs'!Q$9*$G76,IF(AND(($C76+$C$1)&gt;AS$3,AS$3&gt;=$C$1),'General Inputs'!Q$9*$F76,0))</f>
        <v>0</v>
      </c>
      <c r="AT76" s="214">
        <f>IF(AND(($D76+$C$1)&gt;AT$3,AT$3&gt;=$C$1),'General Inputs'!R$9*$G76,IF(AND(($C76+$C$1)&gt;AT$3,AT$3&gt;=$C$1),'General Inputs'!R$9*$F76,0))</f>
        <v>0</v>
      </c>
      <c r="AU76" s="214">
        <f>IF(AND(($D76+$C$1)&gt;AU$3,AU$3&gt;=$C$1),'General Inputs'!S$9*$G76,IF(AND(($C76+$C$1)&gt;AU$3,AU$3&gt;=$C$1),'General Inputs'!S$9*$F76,0))</f>
        <v>0</v>
      </c>
      <c r="AV76" s="214">
        <f>IF(AND(($D76+$C$1)&gt;AV$3,AV$3&gt;=$C$1),'General Inputs'!T$9*$G76,IF(AND(($C76+$C$1)&gt;AV$3,AV$3&gt;=$C$1),'General Inputs'!T$9*$F76,0))</f>
        <v>0</v>
      </c>
      <c r="AW76" s="214">
        <f>IF(AND(($D76+$C$1)&gt;AW$3,AW$3&gt;=$C$1),'General Inputs'!U$9*$G76,IF(AND(($C76+$C$1)&gt;AW$3,AW$3&gt;=$C$1),'General Inputs'!U$9*$F76,0))</f>
        <v>0</v>
      </c>
      <c r="AX76" s="214">
        <f>IF(AND(($D76+$C$1)&gt;AX$3,AX$3&gt;=$C$1),'General Inputs'!V$9*$G76,IF(AND(($C76+$C$1)&gt;AX$3,AX$3&gt;=$C$1),'General Inputs'!V$9*$F76,0))</f>
        <v>0</v>
      </c>
      <c r="AY76" s="214">
        <f>IF(AND(($D76+$C$1)&gt;AY$3,AY$3&gt;=$C$1),'General Inputs'!W$9*$G76,IF(AND(($C76+$C$1)&gt;AY$3,AY$3&gt;=$C$1),'General Inputs'!W$9*$F76,0))</f>
        <v>0</v>
      </c>
      <c r="BA76" s="214">
        <f>IF(AND(($D76+$C$1)&gt;AF$3,AF$3&gt;=$C$1),'General Inputs'!D$10*$I76,IF(AND(($C76+$C$1)&gt;AF$3,AF$3&gt;=$C$1),'General Inputs'!D$10*$H76,0))</f>
        <v>0</v>
      </c>
      <c r="BB76" s="214">
        <f>IF(AND(($D76+$C$1)&gt;AG$3,AG$3&gt;=$C$1),'General Inputs'!E$10*$I76,IF(AND(($C76+$C$1)&gt;AG$3,AG$3&gt;=$C$1),'General Inputs'!E$10*$H76,0))</f>
        <v>0</v>
      </c>
      <c r="BC76" s="214">
        <f>IF(AND(($D76+$C$1)&gt;AH$3,AH$3&gt;=$C$1),'General Inputs'!F$10*$I76,IF(AND(($C76+$C$1)&gt;AH$3,AH$3&gt;=$C$1),'General Inputs'!F$10*$H76,0))</f>
        <v>0.17253390647124137</v>
      </c>
      <c r="BD76" s="214">
        <f>IF(AND(($D76+$C$1)&gt;AI$3,AI$3&gt;=$C$1),'General Inputs'!G$10*$I76,IF(AND(($C76+$C$1)&gt;AI$3,AI$3&gt;=$C$1),'General Inputs'!G$10*$H76,0))</f>
        <v>0.17512191506830999</v>
      </c>
      <c r="BE76" s="214">
        <f>IF(AND(($D76+$C$1)&gt;AJ$3,AJ$3&gt;=$C$1),'General Inputs'!H$10*$I76,IF(AND(($C76+$C$1)&gt;AJ$3,AJ$3&gt;=$C$1),'General Inputs'!H$10*$H76,0))</f>
        <v>0.17774874379433461</v>
      </c>
      <c r="BF76" s="214">
        <f>IF(AND(($D76+$C$1)&gt;AK$3,AK$3&gt;=$C$1),'General Inputs'!I$10*$I76,IF(AND(($C76+$C$1)&gt;AK$3,AK$3&gt;=$C$1),'General Inputs'!I$10*$H76,0))</f>
        <v>0.18041497495124958</v>
      </c>
      <c r="BG76" s="214">
        <f>IF(AND(($D76+$C$1)&gt;AL$3,AL$3&gt;=$C$1),'General Inputs'!J$10*$I76,IF(AND(($C76+$C$1)&gt;AL$3,AL$3&gt;=$C$1),'General Inputs'!J$10*$H76,0))</f>
        <v>0.18312119957551831</v>
      </c>
      <c r="BH76" s="214">
        <f>IF(AND(($D76+$C$1)&gt;AM$3,AM$3&gt;=$C$1),'General Inputs'!K$10*$I76,IF(AND(($C76+$C$1)&gt;AM$3,AM$3&gt;=$C$1),'General Inputs'!K$10*$H76,0))</f>
        <v>0.18586801756915108</v>
      </c>
      <c r="BI76" s="214">
        <f>IF(AND(($D76+$C$1)&gt;AN$3,AN$3&gt;=$C$1),'General Inputs'!L$10*$I76,IF(AND(($C76+$C$1)&gt;AN$3,AN$3&gt;=$C$1),'General Inputs'!L$10*$H76,0))</f>
        <v>0.18865603783268833</v>
      </c>
      <c r="BJ76" s="214">
        <f>IF(AND(($D76+$C$1)&gt;AO$3,AO$3&gt;=$C$1),'General Inputs'!M$10*$I76,IF(AND(($C76+$C$1)&gt;AO$3,AO$3&gt;=$C$1),'General Inputs'!M$10*$H76,0))</f>
        <v>0.19148587840017864</v>
      </c>
      <c r="BK76" s="214">
        <f>IF(AND(($D76+$C$1)&gt;AP$3,AP$3&gt;=$C$1),'General Inputs'!N$10*$I76,IF(AND(($C76+$C$1)&gt;AP$3,AP$3&gt;=$C$1),'General Inputs'!N$10*$H76,0))</f>
        <v>0</v>
      </c>
      <c r="BL76" s="214">
        <f>IF(AND(($D76+$C$1)&gt;AQ$3,AQ$3&gt;=$C$1),'General Inputs'!O$10*$I76,IF(AND(($C76+$C$1)&gt;AQ$3,AQ$3&gt;=$C$1),'General Inputs'!O$10*$H76,0))</f>
        <v>0</v>
      </c>
      <c r="BM76" s="214">
        <f>IF(AND(($D76+$C$1)&gt;AR$3,AR$3&gt;=$C$1),'General Inputs'!P$10*$I76,IF(AND(($C76+$C$1)&gt;AR$3,AR$3&gt;=$C$1),'General Inputs'!P$10*$H76,0))</f>
        <v>0</v>
      </c>
      <c r="BN76" s="214">
        <f>IF(AND(($D76+$C$1)&gt;AS$3,AS$3&gt;=$C$1),'General Inputs'!Q$10*$I76,IF(AND(($C76+$C$1)&gt;AS$3,AS$3&gt;=$C$1),'General Inputs'!Q$10*$H76,0))</f>
        <v>0</v>
      </c>
      <c r="BO76" s="214">
        <f>IF(AND(($D76+$C$1)&gt;AT$3,AT$3&gt;=$C$1),'General Inputs'!R$10*$I76,IF(AND(($C76+$C$1)&gt;AT$3,AT$3&gt;=$C$1),'General Inputs'!R$10*$H76,0))</f>
        <v>0</v>
      </c>
      <c r="BP76" s="214">
        <f>IF(AND(($D76+$C$1)&gt;AU$3,AU$3&gt;=$C$1),'General Inputs'!S$10*$I76,IF(AND(($C76+$C$1)&gt;AU$3,AU$3&gt;=$C$1),'General Inputs'!S$10*$H76,0))</f>
        <v>0</v>
      </c>
      <c r="BQ76" s="214">
        <f>IF(AND(($D76+$C$1)&gt;AV$3,AV$3&gt;=$C$1),'General Inputs'!T$10*$I76,IF(AND(($C76+$C$1)&gt;AV$3,AV$3&gt;=$C$1),'General Inputs'!T$10*$H76,0))</f>
        <v>0</v>
      </c>
      <c r="BR76" s="214">
        <f>IF(AND(($D76+$C$1)&gt;AW$3,AW$3&gt;=$C$1),'General Inputs'!U$10*$I76,IF(AND(($C76+$C$1)&gt;AW$3,AW$3&gt;=$C$1),'General Inputs'!U$10*$H76,0))</f>
        <v>0</v>
      </c>
      <c r="BS76" s="214">
        <f>IF(AND(($D76+$C$1)&gt;AX$3,AX$3&gt;=$C$1),'General Inputs'!V$10*$I76,IF(AND(($C76+$C$1)&gt;AX$3,AX$3&gt;=$C$1),'General Inputs'!V$10*$H76,0))</f>
        <v>0</v>
      </c>
      <c r="BT76" s="214">
        <f>IF(AND(($D76+$C$1)&gt;AY$3,AY$3&gt;=$C$1),'General Inputs'!W$10*$I76,IF(AND(($C76+$C$1)&gt;AY$3,AY$3&gt;=$C$1),'General Inputs'!W$10*$H76,0))</f>
        <v>0</v>
      </c>
    </row>
    <row r="77" spans="1:72">
      <c r="A77" s="342" t="s">
        <v>112</v>
      </c>
      <c r="B77" s="427" t="str">
        <f>Sources!B77</f>
        <v>Fixture Mount Occupancy</v>
      </c>
      <c r="C77" s="193">
        <f>Sources!C77</f>
        <v>8</v>
      </c>
      <c r="D77" s="193">
        <f>Sources!D77</f>
        <v>0</v>
      </c>
      <c r="F77" s="429">
        <f>Sources!F77*EnergyLineLoss</f>
        <v>350.21102999999999</v>
      </c>
      <c r="G77" s="429">
        <f>Sources!G77*EnergyLineLoss</f>
        <v>0</v>
      </c>
      <c r="H77" s="477">
        <f>Sources!H77*PeakLineLoss</f>
        <v>1.11841587E-2</v>
      </c>
      <c r="I77" s="477">
        <f>Sources!I77*PeakLineLoss</f>
        <v>0</v>
      </c>
      <c r="K77" s="419">
        <f>Sources!J77</f>
        <v>55</v>
      </c>
      <c r="L77" s="419">
        <f>Sources!K77</f>
        <v>0</v>
      </c>
      <c r="N77" s="438">
        <f t="shared" si="22"/>
        <v>1.6772804387641691</v>
      </c>
      <c r="P77" s="215">
        <f t="shared" si="23"/>
        <v>76.949513249656931</v>
      </c>
      <c r="Q77" s="215">
        <f t="shared" si="24"/>
        <v>0.92427561549874759</v>
      </c>
      <c r="R77" s="215">
        <f t="shared" si="25"/>
        <v>46.428603747703384</v>
      </c>
      <c r="T77" s="214">
        <f t="shared" si="26"/>
        <v>0</v>
      </c>
      <c r="U77" s="214">
        <f t="shared" si="26"/>
        <v>0</v>
      </c>
      <c r="V77" s="214">
        <f t="shared" si="26"/>
        <v>55</v>
      </c>
      <c r="W77" s="214">
        <f t="shared" si="26"/>
        <v>0</v>
      </c>
      <c r="X77" s="214">
        <f t="shared" si="26"/>
        <v>0</v>
      </c>
      <c r="Y77" s="214">
        <f t="shared" si="26"/>
        <v>0</v>
      </c>
      <c r="Z77" s="214">
        <f t="shared" si="26"/>
        <v>0</v>
      </c>
      <c r="AA77" s="214">
        <f t="shared" si="26"/>
        <v>0</v>
      </c>
      <c r="AB77" s="214">
        <f t="shared" si="26"/>
        <v>0</v>
      </c>
      <c r="AC77" s="214">
        <f t="shared" si="26"/>
        <v>0</v>
      </c>
      <c r="AD77" s="214">
        <f t="shared" si="26"/>
        <v>0</v>
      </c>
      <c r="AF77" s="214">
        <f>IF(AND(($D77+$C$1)&gt;AF$3,AF$3&gt;=$C$1),'General Inputs'!D$9*$G77,IF(AND(($C77+$C$1)&gt;AF$3,AF$3&gt;=$C$1),'General Inputs'!D$9*$F77,0))</f>
        <v>0</v>
      </c>
      <c r="AG77" s="214">
        <f>IF(AND(($D77+$C$1)&gt;AG$3,AG$3&gt;=$C$1),'General Inputs'!E$9*$G77,IF(AND(($C77+$C$1)&gt;AG$3,AG$3&gt;=$C$1),'General Inputs'!E$9*$F77,0))</f>
        <v>0</v>
      </c>
      <c r="AH77" s="214">
        <f>IF(AND(($D77+$C$1)&gt;AH$3,AH$3&gt;=$C$1),'General Inputs'!F$9*$G77,IF(AND(($C77+$C$1)&gt;AH$3,AH$3&gt;=$C$1),'General Inputs'!F$9*$F77,0))</f>
        <v>14.364113798306573</v>
      </c>
      <c r="AI77" s="214">
        <f>IF(AND(($D77+$C$1)&gt;AI$3,AI$3&gt;=$C$1),'General Inputs'!G$9*$G77,IF(AND(($C77+$C$1)&gt;AI$3,AI$3&gt;=$C$1),'General Inputs'!G$9*$F77,0))</f>
        <v>14.579575505281172</v>
      </c>
      <c r="AJ77" s="214">
        <f>IF(AND(($D77+$C$1)&gt;AJ$3,AJ$3&gt;=$C$1),'General Inputs'!H$9*$G77,IF(AND(($C77+$C$1)&gt;AJ$3,AJ$3&gt;=$C$1),'General Inputs'!H$9*$F77,0))</f>
        <v>14.798269137860386</v>
      </c>
      <c r="AK77" s="214">
        <f>IF(AND(($D77+$C$1)&gt;AK$3,AK$3&gt;=$C$1),'General Inputs'!I$9*$G77,IF(AND(($C77+$C$1)&gt;AK$3,AK$3&gt;=$C$1),'General Inputs'!I$9*$F77,0))</f>
        <v>15.020243174928289</v>
      </c>
      <c r="AL77" s="214">
        <f>IF(AND(($D77+$C$1)&gt;AL$3,AL$3&gt;=$C$1),'General Inputs'!J$9*$G77,IF(AND(($C77+$C$1)&gt;AL$3,AL$3&gt;=$C$1),'General Inputs'!J$9*$F77,0))</f>
        <v>15.245546822552212</v>
      </c>
      <c r="AM77" s="214">
        <f>IF(AND(($D77+$C$1)&gt;AM$3,AM$3&gt;=$C$1),'General Inputs'!K$9*$G77,IF(AND(($C77+$C$1)&gt;AM$3,AM$3&gt;=$C$1),'General Inputs'!K$9*$F77,0))</f>
        <v>15.474230024890492</v>
      </c>
      <c r="AN77" s="214">
        <f>IF(AND(($D77+$C$1)&gt;AN$3,AN$3&gt;=$C$1),'General Inputs'!L$9*$G77,IF(AND(($C77+$C$1)&gt;AN$3,AN$3&gt;=$C$1),'General Inputs'!L$9*$F77,0))</f>
        <v>15.706343475263848</v>
      </c>
      <c r="AO77" s="214">
        <f>IF(AND(($D77+$C$1)&gt;AO$3,AO$3&gt;=$C$1),'General Inputs'!M$9*$G77,IF(AND(($C77+$C$1)&gt;AO$3,AO$3&gt;=$C$1),'General Inputs'!M$9*$F77,0))</f>
        <v>15.941938627392805</v>
      </c>
      <c r="AP77" s="214">
        <f>IF(AND(($D77+$C$1)&gt;AP$3,AP$3&gt;=$C$1),'General Inputs'!N$9*$G77,IF(AND(($C77+$C$1)&gt;AP$3,AP$3&gt;=$C$1),'General Inputs'!N$9*$F77,0))</f>
        <v>0</v>
      </c>
      <c r="AQ77" s="214">
        <f>IF(AND(($D77+$C$1)&gt;AQ$3,AQ$3&gt;=$C$1),'General Inputs'!O$9*$G77,IF(AND(($C77+$C$1)&gt;AQ$3,AQ$3&gt;=$C$1),'General Inputs'!O$9*$F77,0))</f>
        <v>0</v>
      </c>
      <c r="AR77" s="214">
        <f>IF(AND(($D77+$C$1)&gt;AR$3,AR$3&gt;=$C$1),'General Inputs'!P$9*$G77,IF(AND(($C77+$C$1)&gt;AR$3,AR$3&gt;=$C$1),'General Inputs'!P$9*$F77,0))</f>
        <v>0</v>
      </c>
      <c r="AS77" s="214">
        <f>IF(AND(($D77+$C$1)&gt;AS$3,AS$3&gt;=$C$1),'General Inputs'!Q$9*$G77,IF(AND(($C77+$C$1)&gt;AS$3,AS$3&gt;=$C$1),'General Inputs'!Q$9*$F77,0))</f>
        <v>0</v>
      </c>
      <c r="AT77" s="214">
        <f>IF(AND(($D77+$C$1)&gt;AT$3,AT$3&gt;=$C$1),'General Inputs'!R$9*$G77,IF(AND(($C77+$C$1)&gt;AT$3,AT$3&gt;=$C$1),'General Inputs'!R$9*$F77,0))</f>
        <v>0</v>
      </c>
      <c r="AU77" s="214">
        <f>IF(AND(($D77+$C$1)&gt;AU$3,AU$3&gt;=$C$1),'General Inputs'!S$9*$G77,IF(AND(($C77+$C$1)&gt;AU$3,AU$3&gt;=$C$1),'General Inputs'!S$9*$F77,0))</f>
        <v>0</v>
      </c>
      <c r="AV77" s="214">
        <f>IF(AND(($D77+$C$1)&gt;AV$3,AV$3&gt;=$C$1),'General Inputs'!T$9*$G77,IF(AND(($C77+$C$1)&gt;AV$3,AV$3&gt;=$C$1),'General Inputs'!T$9*$F77,0))</f>
        <v>0</v>
      </c>
      <c r="AW77" s="214">
        <f>IF(AND(($D77+$C$1)&gt;AW$3,AW$3&gt;=$C$1),'General Inputs'!U$9*$G77,IF(AND(($C77+$C$1)&gt;AW$3,AW$3&gt;=$C$1),'General Inputs'!U$9*$F77,0))</f>
        <v>0</v>
      </c>
      <c r="AX77" s="214">
        <f>IF(AND(($D77+$C$1)&gt;AX$3,AX$3&gt;=$C$1),'General Inputs'!V$9*$G77,IF(AND(($C77+$C$1)&gt;AX$3,AX$3&gt;=$C$1),'General Inputs'!V$9*$F77,0))</f>
        <v>0</v>
      </c>
      <c r="AY77" s="214">
        <f>IF(AND(($D77+$C$1)&gt;AY$3,AY$3&gt;=$C$1),'General Inputs'!W$9*$G77,IF(AND(($C77+$C$1)&gt;AY$3,AY$3&gt;=$C$1),'General Inputs'!W$9*$F77,0))</f>
        <v>0</v>
      </c>
      <c r="BA77" s="214">
        <f>IF(AND(($D77+$C$1)&gt;AF$3,AF$3&gt;=$C$1),'General Inputs'!D$10*$I77,IF(AND(($C77+$C$1)&gt;AF$3,AF$3&gt;=$C$1),'General Inputs'!D$10*$H77,0))</f>
        <v>0</v>
      </c>
      <c r="BB77" s="214">
        <f>IF(AND(($D77+$C$1)&gt;AG$3,AG$3&gt;=$C$1),'General Inputs'!E$10*$I77,IF(AND(($C77+$C$1)&gt;AG$3,AG$3&gt;=$C$1),'General Inputs'!E$10*$H77,0))</f>
        <v>0</v>
      </c>
      <c r="BC77" s="214">
        <f>IF(AND(($D77+$C$1)&gt;AH$3,AH$3&gt;=$C$1),'General Inputs'!F$10*$I77,IF(AND(($C77+$C$1)&gt;AH$3,AH$3&gt;=$C$1),'General Inputs'!F$10*$H77,0))</f>
        <v>0.17253390647124137</v>
      </c>
      <c r="BD77" s="214">
        <f>IF(AND(($D77+$C$1)&gt;AI$3,AI$3&gt;=$C$1),'General Inputs'!G$10*$I77,IF(AND(($C77+$C$1)&gt;AI$3,AI$3&gt;=$C$1),'General Inputs'!G$10*$H77,0))</f>
        <v>0.17512191506830999</v>
      </c>
      <c r="BE77" s="214">
        <f>IF(AND(($D77+$C$1)&gt;AJ$3,AJ$3&gt;=$C$1),'General Inputs'!H$10*$I77,IF(AND(($C77+$C$1)&gt;AJ$3,AJ$3&gt;=$C$1),'General Inputs'!H$10*$H77,0))</f>
        <v>0.17774874379433461</v>
      </c>
      <c r="BF77" s="214">
        <f>IF(AND(($D77+$C$1)&gt;AK$3,AK$3&gt;=$C$1),'General Inputs'!I$10*$I77,IF(AND(($C77+$C$1)&gt;AK$3,AK$3&gt;=$C$1),'General Inputs'!I$10*$H77,0))</f>
        <v>0.18041497495124958</v>
      </c>
      <c r="BG77" s="214">
        <f>IF(AND(($D77+$C$1)&gt;AL$3,AL$3&gt;=$C$1),'General Inputs'!J$10*$I77,IF(AND(($C77+$C$1)&gt;AL$3,AL$3&gt;=$C$1),'General Inputs'!J$10*$H77,0))</f>
        <v>0.18312119957551831</v>
      </c>
      <c r="BH77" s="214">
        <f>IF(AND(($D77+$C$1)&gt;AM$3,AM$3&gt;=$C$1),'General Inputs'!K$10*$I77,IF(AND(($C77+$C$1)&gt;AM$3,AM$3&gt;=$C$1),'General Inputs'!K$10*$H77,0))</f>
        <v>0.18586801756915108</v>
      </c>
      <c r="BI77" s="214">
        <f>IF(AND(($D77+$C$1)&gt;AN$3,AN$3&gt;=$C$1),'General Inputs'!L$10*$I77,IF(AND(($C77+$C$1)&gt;AN$3,AN$3&gt;=$C$1),'General Inputs'!L$10*$H77,0))</f>
        <v>0.18865603783268833</v>
      </c>
      <c r="BJ77" s="214">
        <f>IF(AND(($D77+$C$1)&gt;AO$3,AO$3&gt;=$C$1),'General Inputs'!M$10*$I77,IF(AND(($C77+$C$1)&gt;AO$3,AO$3&gt;=$C$1),'General Inputs'!M$10*$H77,0))</f>
        <v>0.19148587840017864</v>
      </c>
      <c r="BK77" s="214">
        <f>IF(AND(($D77+$C$1)&gt;AP$3,AP$3&gt;=$C$1),'General Inputs'!N$10*$I77,IF(AND(($C77+$C$1)&gt;AP$3,AP$3&gt;=$C$1),'General Inputs'!N$10*$H77,0))</f>
        <v>0</v>
      </c>
      <c r="BL77" s="214">
        <f>IF(AND(($D77+$C$1)&gt;AQ$3,AQ$3&gt;=$C$1),'General Inputs'!O$10*$I77,IF(AND(($C77+$C$1)&gt;AQ$3,AQ$3&gt;=$C$1),'General Inputs'!O$10*$H77,0))</f>
        <v>0</v>
      </c>
      <c r="BM77" s="214">
        <f>IF(AND(($D77+$C$1)&gt;AR$3,AR$3&gt;=$C$1),'General Inputs'!P$10*$I77,IF(AND(($C77+$C$1)&gt;AR$3,AR$3&gt;=$C$1),'General Inputs'!P$10*$H77,0))</f>
        <v>0</v>
      </c>
      <c r="BN77" s="214">
        <f>IF(AND(($D77+$C$1)&gt;AS$3,AS$3&gt;=$C$1),'General Inputs'!Q$10*$I77,IF(AND(($C77+$C$1)&gt;AS$3,AS$3&gt;=$C$1),'General Inputs'!Q$10*$H77,0))</f>
        <v>0</v>
      </c>
      <c r="BO77" s="214">
        <f>IF(AND(($D77+$C$1)&gt;AT$3,AT$3&gt;=$C$1),'General Inputs'!R$10*$I77,IF(AND(($C77+$C$1)&gt;AT$3,AT$3&gt;=$C$1),'General Inputs'!R$10*$H77,0))</f>
        <v>0</v>
      </c>
      <c r="BP77" s="214">
        <f>IF(AND(($D77+$C$1)&gt;AU$3,AU$3&gt;=$C$1),'General Inputs'!S$10*$I77,IF(AND(($C77+$C$1)&gt;AU$3,AU$3&gt;=$C$1),'General Inputs'!S$10*$H77,0))</f>
        <v>0</v>
      </c>
      <c r="BQ77" s="214">
        <f>IF(AND(($D77+$C$1)&gt;AV$3,AV$3&gt;=$C$1),'General Inputs'!T$10*$I77,IF(AND(($C77+$C$1)&gt;AV$3,AV$3&gt;=$C$1),'General Inputs'!T$10*$H77,0))</f>
        <v>0</v>
      </c>
      <c r="BR77" s="214">
        <f>IF(AND(($D77+$C$1)&gt;AW$3,AW$3&gt;=$C$1),'General Inputs'!U$10*$I77,IF(AND(($C77+$C$1)&gt;AW$3,AW$3&gt;=$C$1),'General Inputs'!U$10*$H77,0))</f>
        <v>0</v>
      </c>
      <c r="BS77" s="214">
        <f>IF(AND(($D77+$C$1)&gt;AX$3,AX$3&gt;=$C$1),'General Inputs'!V$10*$I77,IF(AND(($C77+$C$1)&gt;AX$3,AX$3&gt;=$C$1),'General Inputs'!V$10*$H77,0))</f>
        <v>0</v>
      </c>
      <c r="BT77" s="214">
        <f>IF(AND(($D77+$C$1)&gt;AY$3,AY$3&gt;=$C$1),'General Inputs'!W$10*$I77,IF(AND(($C77+$C$1)&gt;AY$3,AY$3&gt;=$C$1),'General Inputs'!W$10*$H77,0))</f>
        <v>0</v>
      </c>
    </row>
    <row r="78" spans="1:72">
      <c r="A78" s="342" t="s">
        <v>112</v>
      </c>
      <c r="B78" s="427" t="str">
        <f>Sources!B78</f>
        <v>Fixture Mount Photo Sensor</v>
      </c>
      <c r="C78" s="193">
        <f>Sources!C78</f>
        <v>8</v>
      </c>
      <c r="D78" s="193">
        <f>Sources!D78</f>
        <v>0</v>
      </c>
      <c r="F78" s="429">
        <f>Sources!F78*EnergyLineLoss</f>
        <v>409.28276999999997</v>
      </c>
      <c r="G78" s="429">
        <f>Sources!G78*EnergyLineLoss</f>
        <v>0</v>
      </c>
      <c r="H78" s="477">
        <f>Sources!H78*PeakLineLoss</f>
        <v>2.1784405499999999E-2</v>
      </c>
      <c r="I78" s="477">
        <f>Sources!I78*PeakLineLoss</f>
        <v>0</v>
      </c>
      <c r="K78" s="419">
        <f>Sources!J78</f>
        <v>65</v>
      </c>
      <c r="L78" s="419">
        <f>Sources!K78</f>
        <v>0</v>
      </c>
      <c r="N78" s="438">
        <f t="shared" si="22"/>
        <v>1.6717507587658724</v>
      </c>
      <c r="P78" s="215">
        <f t="shared" si="23"/>
        <v>89.928949219478582</v>
      </c>
      <c r="Q78" s="215">
        <f t="shared" si="24"/>
        <v>1.8002958775778819</v>
      </c>
      <c r="R78" s="215">
        <f t="shared" si="25"/>
        <v>54.870168065467638</v>
      </c>
      <c r="T78" s="214">
        <f t="shared" si="26"/>
        <v>0</v>
      </c>
      <c r="U78" s="214">
        <f t="shared" si="26"/>
        <v>0</v>
      </c>
      <c r="V78" s="214">
        <f t="shared" si="26"/>
        <v>65</v>
      </c>
      <c r="W78" s="214">
        <f t="shared" si="26"/>
        <v>0</v>
      </c>
      <c r="X78" s="214">
        <f t="shared" si="26"/>
        <v>0</v>
      </c>
      <c r="Y78" s="214">
        <f t="shared" si="26"/>
        <v>0</v>
      </c>
      <c r="Z78" s="214">
        <f t="shared" si="26"/>
        <v>0</v>
      </c>
      <c r="AA78" s="214">
        <f t="shared" si="26"/>
        <v>0</v>
      </c>
      <c r="AB78" s="214">
        <f t="shared" si="26"/>
        <v>0</v>
      </c>
      <c r="AC78" s="214">
        <f t="shared" si="26"/>
        <v>0</v>
      </c>
      <c r="AD78" s="214">
        <f t="shared" si="26"/>
        <v>0</v>
      </c>
      <c r="AF78" s="214">
        <f>IF(AND(($D78+$C$1)&gt;AF$3,AF$3&gt;=$C$1),'General Inputs'!D$9*$G78,IF(AND(($C78+$C$1)&gt;AF$3,AF$3&gt;=$C$1),'General Inputs'!D$9*$F78,0))</f>
        <v>0</v>
      </c>
      <c r="AG78" s="214">
        <f>IF(AND(($D78+$C$1)&gt;AG$3,AG$3&gt;=$C$1),'General Inputs'!E$9*$G78,IF(AND(($C78+$C$1)&gt;AG$3,AG$3&gt;=$C$1),'General Inputs'!E$9*$F78,0))</f>
        <v>0</v>
      </c>
      <c r="AH78" s="214">
        <f>IF(AND(($D78+$C$1)&gt;AH$3,AH$3&gt;=$C$1),'General Inputs'!F$9*$G78,IF(AND(($C78+$C$1)&gt;AH$3,AH$3&gt;=$C$1),'General Inputs'!F$9*$F78,0))</f>
        <v>16.786976366695633</v>
      </c>
      <c r="AI78" s="214">
        <f>IF(AND(($D78+$C$1)&gt;AI$3,AI$3&gt;=$C$1),'General Inputs'!G$9*$G78,IF(AND(($C78+$C$1)&gt;AI$3,AI$3&gt;=$C$1),'General Inputs'!G$9*$F78,0))</f>
        <v>17.038781012196065</v>
      </c>
      <c r="AJ78" s="214">
        <f>IF(AND(($D78+$C$1)&gt;AJ$3,AJ$3&gt;=$C$1),'General Inputs'!H$9*$G78,IF(AND(($C78+$C$1)&gt;AJ$3,AJ$3&gt;=$C$1),'General Inputs'!H$9*$F78,0))</f>
        <v>17.294362727379006</v>
      </c>
      <c r="AK78" s="214">
        <f>IF(AND(($D78+$C$1)&gt;AK$3,AK$3&gt;=$C$1),'General Inputs'!I$9*$G78,IF(AND(($C78+$C$1)&gt;AK$3,AK$3&gt;=$C$1),'General Inputs'!I$9*$F78,0))</f>
        <v>17.553778168289686</v>
      </c>
      <c r="AL78" s="214">
        <f>IF(AND(($D78+$C$1)&gt;AL$3,AL$3&gt;=$C$1),'General Inputs'!J$9*$G78,IF(AND(($C78+$C$1)&gt;AL$3,AL$3&gt;=$C$1),'General Inputs'!J$9*$F78,0))</f>
        <v>17.817084840814029</v>
      </c>
      <c r="AM78" s="214">
        <f>IF(AND(($D78+$C$1)&gt;AM$3,AM$3&gt;=$C$1),'General Inputs'!K$9*$G78,IF(AND(($C78+$C$1)&gt;AM$3,AM$3&gt;=$C$1),'General Inputs'!K$9*$F78,0))</f>
        <v>18.084341113426238</v>
      </c>
      <c r="AN78" s="214">
        <f>IF(AND(($D78+$C$1)&gt;AN$3,AN$3&gt;=$C$1),'General Inputs'!L$9*$G78,IF(AND(($C78+$C$1)&gt;AN$3,AN$3&gt;=$C$1),'General Inputs'!L$9*$F78,0))</f>
        <v>18.355606230127631</v>
      </c>
      <c r="AO78" s="214">
        <f>IF(AND(($D78+$C$1)&gt;AO$3,AO$3&gt;=$C$1),'General Inputs'!M$9*$G78,IF(AND(($C78+$C$1)&gt;AO$3,AO$3&gt;=$C$1),'General Inputs'!M$9*$F78,0))</f>
        <v>18.630940323579541</v>
      </c>
      <c r="AP78" s="214">
        <f>IF(AND(($D78+$C$1)&gt;AP$3,AP$3&gt;=$C$1),'General Inputs'!N$9*$G78,IF(AND(($C78+$C$1)&gt;AP$3,AP$3&gt;=$C$1),'General Inputs'!N$9*$F78,0))</f>
        <v>0</v>
      </c>
      <c r="AQ78" s="214">
        <f>IF(AND(($D78+$C$1)&gt;AQ$3,AQ$3&gt;=$C$1),'General Inputs'!O$9*$G78,IF(AND(($C78+$C$1)&gt;AQ$3,AQ$3&gt;=$C$1),'General Inputs'!O$9*$F78,0))</f>
        <v>0</v>
      </c>
      <c r="AR78" s="214">
        <f>IF(AND(($D78+$C$1)&gt;AR$3,AR$3&gt;=$C$1),'General Inputs'!P$9*$G78,IF(AND(($C78+$C$1)&gt;AR$3,AR$3&gt;=$C$1),'General Inputs'!P$9*$F78,0))</f>
        <v>0</v>
      </c>
      <c r="AS78" s="214">
        <f>IF(AND(($D78+$C$1)&gt;AS$3,AS$3&gt;=$C$1),'General Inputs'!Q$9*$G78,IF(AND(($C78+$C$1)&gt;AS$3,AS$3&gt;=$C$1),'General Inputs'!Q$9*$F78,0))</f>
        <v>0</v>
      </c>
      <c r="AT78" s="214">
        <f>IF(AND(($D78+$C$1)&gt;AT$3,AT$3&gt;=$C$1),'General Inputs'!R$9*$G78,IF(AND(($C78+$C$1)&gt;AT$3,AT$3&gt;=$C$1),'General Inputs'!R$9*$F78,0))</f>
        <v>0</v>
      </c>
      <c r="AU78" s="214">
        <f>IF(AND(($D78+$C$1)&gt;AU$3,AU$3&gt;=$C$1),'General Inputs'!S$9*$G78,IF(AND(($C78+$C$1)&gt;AU$3,AU$3&gt;=$C$1),'General Inputs'!S$9*$F78,0))</f>
        <v>0</v>
      </c>
      <c r="AV78" s="214">
        <f>IF(AND(($D78+$C$1)&gt;AV$3,AV$3&gt;=$C$1),'General Inputs'!T$9*$G78,IF(AND(($C78+$C$1)&gt;AV$3,AV$3&gt;=$C$1),'General Inputs'!T$9*$F78,0))</f>
        <v>0</v>
      </c>
      <c r="AW78" s="214">
        <f>IF(AND(($D78+$C$1)&gt;AW$3,AW$3&gt;=$C$1),'General Inputs'!U$9*$G78,IF(AND(($C78+$C$1)&gt;AW$3,AW$3&gt;=$C$1),'General Inputs'!U$9*$F78,0))</f>
        <v>0</v>
      </c>
      <c r="AX78" s="214">
        <f>IF(AND(($D78+$C$1)&gt;AX$3,AX$3&gt;=$C$1),'General Inputs'!V$9*$G78,IF(AND(($C78+$C$1)&gt;AX$3,AX$3&gt;=$C$1),'General Inputs'!V$9*$F78,0))</f>
        <v>0</v>
      </c>
      <c r="AY78" s="214">
        <f>IF(AND(($D78+$C$1)&gt;AY$3,AY$3&gt;=$C$1),'General Inputs'!W$9*$G78,IF(AND(($C78+$C$1)&gt;AY$3,AY$3&gt;=$C$1),'General Inputs'!W$9*$F78,0))</f>
        <v>0</v>
      </c>
      <c r="BA78" s="214">
        <f>IF(AND(($D78+$C$1)&gt;AF$3,AF$3&gt;=$C$1),'General Inputs'!D$10*$I78,IF(AND(($C78+$C$1)&gt;AF$3,AF$3&gt;=$C$1),'General Inputs'!D$10*$H78,0))</f>
        <v>0</v>
      </c>
      <c r="BB78" s="214">
        <f>IF(AND(($D78+$C$1)&gt;AG$3,AG$3&gt;=$C$1),'General Inputs'!E$10*$I78,IF(AND(($C78+$C$1)&gt;AG$3,AG$3&gt;=$C$1),'General Inputs'!E$10*$H78,0))</f>
        <v>0</v>
      </c>
      <c r="BC78" s="214">
        <f>IF(AND(($D78+$C$1)&gt;AH$3,AH$3&gt;=$C$1),'General Inputs'!F$10*$I78,IF(AND(($C78+$C$1)&gt;AH$3,AH$3&gt;=$C$1),'General Inputs'!F$10*$H78,0))</f>
        <v>0.33606001862872315</v>
      </c>
      <c r="BD78" s="214">
        <f>IF(AND(($D78+$C$1)&gt;AI$3,AI$3&gt;=$C$1),'General Inputs'!G$10*$I78,IF(AND(($C78+$C$1)&gt;AI$3,AI$3&gt;=$C$1),'General Inputs'!G$10*$H78,0))</f>
        <v>0.34110091890815397</v>
      </c>
      <c r="BE78" s="214">
        <f>IF(AND(($D78+$C$1)&gt;AJ$3,AJ$3&gt;=$C$1),'General Inputs'!H$10*$I78,IF(AND(($C78+$C$1)&gt;AJ$3,AJ$3&gt;=$C$1),'General Inputs'!H$10*$H78,0))</f>
        <v>0.34621743269177624</v>
      </c>
      <c r="BF78" s="214">
        <f>IF(AND(($D78+$C$1)&gt;AK$3,AK$3&gt;=$C$1),'General Inputs'!I$10*$I78,IF(AND(($C78+$C$1)&gt;AK$3,AK$3&gt;=$C$1),'General Inputs'!I$10*$H78,0))</f>
        <v>0.35141069418215282</v>
      </c>
      <c r="BG78" s="214">
        <f>IF(AND(($D78+$C$1)&gt;AL$3,AL$3&gt;=$C$1),'General Inputs'!J$10*$I78,IF(AND(($C78+$C$1)&gt;AL$3,AL$3&gt;=$C$1),'General Inputs'!J$10*$H78,0))</f>
        <v>0.35668185459488505</v>
      </c>
      <c r="BH78" s="214">
        <f>IF(AND(($D78+$C$1)&gt;AM$3,AM$3&gt;=$C$1),'General Inputs'!K$10*$I78,IF(AND(($C78+$C$1)&gt;AM$3,AM$3&gt;=$C$1),'General Inputs'!K$10*$H78,0))</f>
        <v>0.3620320824138083</v>
      </c>
      <c r="BI78" s="214">
        <f>IF(AND(($D78+$C$1)&gt;AN$3,AN$3&gt;=$C$1),'General Inputs'!L$10*$I78,IF(AND(($C78+$C$1)&gt;AN$3,AN$3&gt;=$C$1),'General Inputs'!L$10*$H78,0))</f>
        <v>0.36746256365001539</v>
      </c>
      <c r="BJ78" s="214">
        <f>IF(AND(($D78+$C$1)&gt;AO$3,AO$3&gt;=$C$1),'General Inputs'!M$10*$I78,IF(AND(($C78+$C$1)&gt;AO$3,AO$3&gt;=$C$1),'General Inputs'!M$10*$H78,0))</f>
        <v>0.37297450210476563</v>
      </c>
      <c r="BK78" s="214">
        <f>IF(AND(($D78+$C$1)&gt;AP$3,AP$3&gt;=$C$1),'General Inputs'!N$10*$I78,IF(AND(($C78+$C$1)&gt;AP$3,AP$3&gt;=$C$1),'General Inputs'!N$10*$H78,0))</f>
        <v>0</v>
      </c>
      <c r="BL78" s="214">
        <f>IF(AND(($D78+$C$1)&gt;AQ$3,AQ$3&gt;=$C$1),'General Inputs'!O$10*$I78,IF(AND(($C78+$C$1)&gt;AQ$3,AQ$3&gt;=$C$1),'General Inputs'!O$10*$H78,0))</f>
        <v>0</v>
      </c>
      <c r="BM78" s="214">
        <f>IF(AND(($D78+$C$1)&gt;AR$3,AR$3&gt;=$C$1),'General Inputs'!P$10*$I78,IF(AND(($C78+$C$1)&gt;AR$3,AR$3&gt;=$C$1),'General Inputs'!P$10*$H78,0))</f>
        <v>0</v>
      </c>
      <c r="BN78" s="214">
        <f>IF(AND(($D78+$C$1)&gt;AS$3,AS$3&gt;=$C$1),'General Inputs'!Q$10*$I78,IF(AND(($C78+$C$1)&gt;AS$3,AS$3&gt;=$C$1),'General Inputs'!Q$10*$H78,0))</f>
        <v>0</v>
      </c>
      <c r="BO78" s="214">
        <f>IF(AND(($D78+$C$1)&gt;AT$3,AT$3&gt;=$C$1),'General Inputs'!R$10*$I78,IF(AND(($C78+$C$1)&gt;AT$3,AT$3&gt;=$C$1),'General Inputs'!R$10*$H78,0))</f>
        <v>0</v>
      </c>
      <c r="BP78" s="214">
        <f>IF(AND(($D78+$C$1)&gt;AU$3,AU$3&gt;=$C$1),'General Inputs'!S$10*$I78,IF(AND(($C78+$C$1)&gt;AU$3,AU$3&gt;=$C$1),'General Inputs'!S$10*$H78,0))</f>
        <v>0</v>
      </c>
      <c r="BQ78" s="214">
        <f>IF(AND(($D78+$C$1)&gt;AV$3,AV$3&gt;=$C$1),'General Inputs'!T$10*$I78,IF(AND(($C78+$C$1)&gt;AV$3,AV$3&gt;=$C$1),'General Inputs'!T$10*$H78,0))</f>
        <v>0</v>
      </c>
      <c r="BR78" s="214">
        <f>IF(AND(($D78+$C$1)&gt;AW$3,AW$3&gt;=$C$1),'General Inputs'!U$10*$I78,IF(AND(($C78+$C$1)&gt;AW$3,AW$3&gt;=$C$1),'General Inputs'!U$10*$H78,0))</f>
        <v>0</v>
      </c>
      <c r="BS78" s="214">
        <f>IF(AND(($D78+$C$1)&gt;AX$3,AX$3&gt;=$C$1),'General Inputs'!V$10*$I78,IF(AND(($C78+$C$1)&gt;AX$3,AX$3&gt;=$C$1),'General Inputs'!V$10*$H78,0))</f>
        <v>0</v>
      </c>
      <c r="BT78" s="214">
        <f>IF(AND(($D78+$C$1)&gt;AY$3,AY$3&gt;=$C$1),'General Inputs'!W$10*$I78,IF(AND(($C78+$C$1)&gt;AY$3,AY$3&gt;=$C$1),'General Inputs'!W$10*$H78,0))</f>
        <v>0</v>
      </c>
    </row>
    <row r="79" spans="1:72">
      <c r="A79" s="342" t="s">
        <v>112</v>
      </c>
      <c r="B79" s="427" t="str">
        <f>Sources!B79</f>
        <v>Exit Sign</v>
      </c>
      <c r="C79" s="193">
        <f>Sources!C79</f>
        <v>15</v>
      </c>
      <c r="D79" s="193">
        <f>Sources!D79</f>
        <v>0</v>
      </c>
      <c r="F79" s="429">
        <f>Sources!F79*EnergyLineLoss</f>
        <v>189.414282915</v>
      </c>
      <c r="G79" s="429">
        <f>Sources!G79*EnergyLineLoss</f>
        <v>0</v>
      </c>
      <c r="H79" s="477">
        <f>Sources!H79*PeakLineLoss</f>
        <v>3.4136387999999997E-2</v>
      </c>
      <c r="I79" s="477">
        <f>Sources!I79*PeakLineLoss</f>
        <v>0</v>
      </c>
      <c r="K79" s="419">
        <f>Sources!J79</f>
        <v>25</v>
      </c>
      <c r="L79" s="419">
        <f>Sources!K79</f>
        <v>0</v>
      </c>
      <c r="N79" s="438">
        <f t="shared" si="22"/>
        <v>3.1938933900635225</v>
      </c>
      <c r="P79" s="215">
        <f t="shared" si="23"/>
        <v>63.124792554731698</v>
      </c>
      <c r="Q79" s="215">
        <f t="shared" si="24"/>
        <v>4.2788486360266367</v>
      </c>
      <c r="R79" s="215">
        <f t="shared" si="25"/>
        <v>21.103910794410631</v>
      </c>
      <c r="T79" s="214">
        <f t="shared" si="26"/>
        <v>0</v>
      </c>
      <c r="U79" s="214">
        <f t="shared" si="26"/>
        <v>0</v>
      </c>
      <c r="V79" s="214">
        <f t="shared" si="26"/>
        <v>25</v>
      </c>
      <c r="W79" s="214">
        <f t="shared" si="26"/>
        <v>0</v>
      </c>
      <c r="X79" s="214">
        <f t="shared" si="26"/>
        <v>0</v>
      </c>
      <c r="Y79" s="214">
        <f t="shared" si="26"/>
        <v>0</v>
      </c>
      <c r="Z79" s="214">
        <f t="shared" si="26"/>
        <v>0</v>
      </c>
      <c r="AA79" s="214">
        <f t="shared" si="26"/>
        <v>0</v>
      </c>
      <c r="AB79" s="214">
        <f t="shared" si="26"/>
        <v>0</v>
      </c>
      <c r="AC79" s="214">
        <f t="shared" si="26"/>
        <v>0</v>
      </c>
      <c r="AD79" s="214">
        <f t="shared" si="26"/>
        <v>0</v>
      </c>
      <c r="AF79" s="214">
        <f>IF(AND(($D79+$C$1)&gt;AF$3,AF$3&gt;=$C$1),'General Inputs'!D$9*$G79,IF(AND(($C79+$C$1)&gt;AF$3,AF$3&gt;=$C$1),'General Inputs'!D$9*$F79,0))</f>
        <v>0</v>
      </c>
      <c r="AG79" s="214">
        <f>IF(AND(($D79+$C$1)&gt;AG$3,AG$3&gt;=$C$1),'General Inputs'!E$9*$G79,IF(AND(($C79+$C$1)&gt;AG$3,AG$3&gt;=$C$1),'General Inputs'!E$9*$F79,0))</f>
        <v>0</v>
      </c>
      <c r="AH79" s="214">
        <f>IF(AND(($D79+$C$1)&gt;AH$3,AH$3&gt;=$C$1),'General Inputs'!F$9*$G79,IF(AND(($C79+$C$1)&gt;AH$3,AH$3&gt;=$C$1),'General Inputs'!F$9*$F79,0))</f>
        <v>7.7689395300190762</v>
      </c>
      <c r="AI79" s="214">
        <f>IF(AND(($D79+$C$1)&gt;AI$3,AI$3&gt;=$C$1),'General Inputs'!G$9*$G79,IF(AND(($C79+$C$1)&gt;AI$3,AI$3&gt;=$C$1),'General Inputs'!G$9*$F79,0))</f>
        <v>7.8854736229693616</v>
      </c>
      <c r="AJ79" s="214">
        <f>IF(AND(($D79+$C$1)&gt;AJ$3,AJ$3&gt;=$C$1),'General Inputs'!H$9*$G79,IF(AND(($C79+$C$1)&gt;AJ$3,AJ$3&gt;=$C$1),'General Inputs'!H$9*$F79,0))</f>
        <v>8.0037557273139015</v>
      </c>
      <c r="AK79" s="214">
        <f>IF(AND(($D79+$C$1)&gt;AK$3,AK$3&gt;=$C$1),'General Inputs'!I$9*$G79,IF(AND(($C79+$C$1)&gt;AK$3,AK$3&gt;=$C$1),'General Inputs'!I$9*$F79,0))</f>
        <v>8.1238120632236086</v>
      </c>
      <c r="AL79" s="214">
        <f>IF(AND(($D79+$C$1)&gt;AL$3,AL$3&gt;=$C$1),'General Inputs'!J$9*$G79,IF(AND(($C79+$C$1)&gt;AL$3,AL$3&gt;=$C$1),'General Inputs'!J$9*$F79,0))</f>
        <v>8.2456692441719621</v>
      </c>
      <c r="AM79" s="214">
        <f>IF(AND(($D79+$C$1)&gt;AM$3,AM$3&gt;=$C$1),'General Inputs'!K$9*$G79,IF(AND(($C79+$C$1)&gt;AM$3,AM$3&gt;=$C$1),'General Inputs'!K$9*$F79,0))</f>
        <v>8.3693542828345393</v>
      </c>
      <c r="AN79" s="214">
        <f>IF(AND(($D79+$C$1)&gt;AN$3,AN$3&gt;=$C$1),'General Inputs'!L$9*$G79,IF(AND(($C79+$C$1)&gt;AN$3,AN$3&gt;=$C$1),'General Inputs'!L$9*$F79,0))</f>
        <v>8.4948945970770566</v>
      </c>
      <c r="AO79" s="214">
        <f>IF(AND(($D79+$C$1)&gt;AO$3,AO$3&gt;=$C$1),'General Inputs'!M$9*$G79,IF(AND(($C79+$C$1)&gt;AO$3,AO$3&gt;=$C$1),'General Inputs'!M$9*$F79,0))</f>
        <v>8.622318016033212</v>
      </c>
      <c r="AP79" s="214">
        <f>IF(AND(($D79+$C$1)&gt;AP$3,AP$3&gt;=$C$1),'General Inputs'!N$9*$G79,IF(AND(($C79+$C$1)&gt;AP$3,AP$3&gt;=$C$1),'General Inputs'!N$9*$F79,0))</f>
        <v>8.7516527862737092</v>
      </c>
      <c r="AQ79" s="214">
        <f>IF(AND(($D79+$C$1)&gt;AQ$3,AQ$3&gt;=$C$1),'General Inputs'!O$9*$G79,IF(AND(($C79+$C$1)&gt;AQ$3,AQ$3&gt;=$C$1),'General Inputs'!O$9*$F79,0))</f>
        <v>8.8829275780678127</v>
      </c>
      <c r="AR79" s="214">
        <f>IF(AND(($D79+$C$1)&gt;AR$3,AR$3&gt;=$C$1),'General Inputs'!P$9*$G79,IF(AND(($C79+$C$1)&gt;AR$3,AR$3&gt;=$C$1),'General Inputs'!P$9*$F79,0))</f>
        <v>9.0161714917388291</v>
      </c>
      <c r="AS79" s="214">
        <f>IF(AND(($D79+$C$1)&gt;AS$3,AS$3&gt;=$C$1),'General Inputs'!Q$9*$G79,IF(AND(($C79+$C$1)&gt;AS$3,AS$3&gt;=$C$1),'General Inputs'!Q$9*$F79,0))</f>
        <v>9.1514140641149115</v>
      </c>
      <c r="AT79" s="214">
        <f>IF(AND(($D79+$C$1)&gt;AT$3,AT$3&gt;=$C$1),'General Inputs'!R$9*$G79,IF(AND(($C79+$C$1)&gt;AT$3,AT$3&gt;=$C$1),'General Inputs'!R$9*$F79,0))</f>
        <v>9.2886852750766344</v>
      </c>
      <c r="AU79" s="214">
        <f>IF(AND(($D79+$C$1)&gt;AU$3,AU$3&gt;=$C$1),'General Inputs'!S$9*$G79,IF(AND(($C79+$C$1)&gt;AU$3,AU$3&gt;=$C$1),'General Inputs'!S$9*$F79,0))</f>
        <v>9.4280155542027835</v>
      </c>
      <c r="AV79" s="214">
        <f>IF(AND(($D79+$C$1)&gt;AV$3,AV$3&gt;=$C$1),'General Inputs'!T$9*$G79,IF(AND(($C79+$C$1)&gt;AV$3,AV$3&gt;=$C$1),'General Inputs'!T$9*$F79,0))</f>
        <v>9.5694357875158254</v>
      </c>
      <c r="AW79" s="214">
        <f>IF(AND(($D79+$C$1)&gt;AW$3,AW$3&gt;=$C$1),'General Inputs'!U$9*$G79,IF(AND(($C79+$C$1)&gt;AW$3,AW$3&gt;=$C$1),'General Inputs'!U$9*$F79,0))</f>
        <v>0</v>
      </c>
      <c r="AX79" s="214">
        <f>IF(AND(($D79+$C$1)&gt;AX$3,AX$3&gt;=$C$1),'General Inputs'!V$9*$G79,IF(AND(($C79+$C$1)&gt;AX$3,AX$3&gt;=$C$1),'General Inputs'!V$9*$F79,0))</f>
        <v>0</v>
      </c>
      <c r="AY79" s="214">
        <f>IF(AND(($D79+$C$1)&gt;AY$3,AY$3&gt;=$C$1),'General Inputs'!W$9*$G79,IF(AND(($C79+$C$1)&gt;AY$3,AY$3&gt;=$C$1),'General Inputs'!W$9*$F79,0))</f>
        <v>0</v>
      </c>
      <c r="BA79" s="214">
        <f>IF(AND(($D79+$C$1)&gt;AF$3,AF$3&gt;=$C$1),'General Inputs'!D$10*$I79,IF(AND(($C79+$C$1)&gt;AF$3,AF$3&gt;=$C$1),'General Inputs'!D$10*$H79,0))</f>
        <v>0</v>
      </c>
      <c r="BB79" s="214">
        <f>IF(AND(($D79+$C$1)&gt;AG$3,AG$3&gt;=$C$1),'General Inputs'!E$10*$I79,IF(AND(($C79+$C$1)&gt;AG$3,AG$3&gt;=$C$1),'General Inputs'!E$10*$H79,0))</f>
        <v>0</v>
      </c>
      <c r="BC79" s="214">
        <f>IF(AND(($D79+$C$1)&gt;AH$3,AH$3&gt;=$C$1),'General Inputs'!F$10*$I79,IF(AND(($C79+$C$1)&gt;AH$3,AH$3&gt;=$C$1),'General Inputs'!F$10*$H79,0))</f>
        <v>0.52660951372748366</v>
      </c>
      <c r="BD79" s="214">
        <f>IF(AND(($D79+$C$1)&gt;AI$3,AI$3&gt;=$C$1),'General Inputs'!G$10*$I79,IF(AND(($C79+$C$1)&gt;AI$3,AI$3&gt;=$C$1),'General Inputs'!G$10*$H79,0))</f>
        <v>0.53450865643339585</v>
      </c>
      <c r="BE79" s="214">
        <f>IF(AND(($D79+$C$1)&gt;AJ$3,AJ$3&gt;=$C$1),'General Inputs'!H$10*$I79,IF(AND(($C79+$C$1)&gt;AJ$3,AJ$3&gt;=$C$1),'General Inputs'!H$10*$H79,0))</f>
        <v>0.54252628627989674</v>
      </c>
      <c r="BF79" s="214">
        <f>IF(AND(($D79+$C$1)&gt;AK$3,AK$3&gt;=$C$1),'General Inputs'!I$10*$I79,IF(AND(($C79+$C$1)&gt;AK$3,AK$3&gt;=$C$1),'General Inputs'!I$10*$H79,0))</f>
        <v>0.55066418057409505</v>
      </c>
      <c r="BG79" s="214">
        <f>IF(AND(($D79+$C$1)&gt;AL$3,AL$3&gt;=$C$1),'General Inputs'!J$10*$I79,IF(AND(($C79+$C$1)&gt;AL$3,AL$3&gt;=$C$1),'General Inputs'!J$10*$H79,0))</f>
        <v>0.55892414328270645</v>
      </c>
      <c r="BH79" s="214">
        <f>IF(AND(($D79+$C$1)&gt;AM$3,AM$3&gt;=$C$1),'General Inputs'!K$10*$I79,IF(AND(($C79+$C$1)&gt;AM$3,AM$3&gt;=$C$1),'General Inputs'!K$10*$H79,0))</f>
        <v>0.56730800543194704</v>
      </c>
      <c r="BI79" s="214">
        <f>IF(AND(($D79+$C$1)&gt;AN$3,AN$3&gt;=$C$1),'General Inputs'!L$10*$I79,IF(AND(($C79+$C$1)&gt;AN$3,AN$3&gt;=$C$1),'General Inputs'!L$10*$H79,0))</f>
        <v>0.57581762551342619</v>
      </c>
      <c r="BJ79" s="214">
        <f>IF(AND(($D79+$C$1)&gt;AO$3,AO$3&gt;=$C$1),'General Inputs'!M$10*$I79,IF(AND(($C79+$C$1)&gt;AO$3,AO$3&gt;=$C$1),'General Inputs'!M$10*$H79,0))</f>
        <v>0.58445488989612759</v>
      </c>
      <c r="BK79" s="214">
        <f>IF(AND(($D79+$C$1)&gt;AP$3,AP$3&gt;=$C$1),'General Inputs'!N$10*$I79,IF(AND(($C79+$C$1)&gt;AP$3,AP$3&gt;=$C$1),'General Inputs'!N$10*$H79,0))</f>
        <v>0.5932217132445694</v>
      </c>
      <c r="BL79" s="214">
        <f>IF(AND(($D79+$C$1)&gt;AQ$3,AQ$3&gt;=$C$1),'General Inputs'!O$10*$I79,IF(AND(($C79+$C$1)&gt;AQ$3,AQ$3&gt;=$C$1),'General Inputs'!O$10*$H79,0))</f>
        <v>0.60212003894323785</v>
      </c>
      <c r="BM79" s="214">
        <f>IF(AND(($D79+$C$1)&gt;AR$3,AR$3&gt;=$C$1),'General Inputs'!P$10*$I79,IF(AND(($C79+$C$1)&gt;AR$3,AR$3&gt;=$C$1),'General Inputs'!P$10*$H79,0))</f>
        <v>0.61115183952738639</v>
      </c>
      <c r="BN79" s="214">
        <f>IF(AND(($D79+$C$1)&gt;AS$3,AS$3&gt;=$C$1),'General Inputs'!Q$10*$I79,IF(AND(($C79+$C$1)&gt;AS$3,AS$3&gt;=$C$1),'General Inputs'!Q$10*$H79,0))</f>
        <v>0.62031911712029708</v>
      </c>
      <c r="BO79" s="214">
        <f>IF(AND(($D79+$C$1)&gt;AT$3,AT$3&gt;=$C$1),'General Inputs'!R$10*$I79,IF(AND(($C79+$C$1)&gt;AT$3,AT$3&gt;=$C$1),'General Inputs'!R$10*$H79,0))</f>
        <v>0.62962390387710143</v>
      </c>
      <c r="BP79" s="214">
        <f>IF(AND(($D79+$C$1)&gt;AU$3,AU$3&gt;=$C$1),'General Inputs'!S$10*$I79,IF(AND(($C79+$C$1)&gt;AU$3,AU$3&gt;=$C$1),'General Inputs'!S$10*$H79,0))</f>
        <v>0.63906826243525794</v>
      </c>
      <c r="BQ79" s="214">
        <f>IF(AND(($D79+$C$1)&gt;AV$3,AV$3&gt;=$C$1),'General Inputs'!T$10*$I79,IF(AND(($C79+$C$1)&gt;AV$3,AV$3&gt;=$C$1),'General Inputs'!T$10*$H79,0))</f>
        <v>0.64865428637178679</v>
      </c>
      <c r="BR79" s="214">
        <f>IF(AND(($D79+$C$1)&gt;AW$3,AW$3&gt;=$C$1),'General Inputs'!U$10*$I79,IF(AND(($C79+$C$1)&gt;AW$3,AW$3&gt;=$C$1),'General Inputs'!U$10*$H79,0))</f>
        <v>0</v>
      </c>
      <c r="BS79" s="214">
        <f>IF(AND(($D79+$C$1)&gt;AX$3,AX$3&gt;=$C$1),'General Inputs'!V$10*$I79,IF(AND(($C79+$C$1)&gt;AX$3,AX$3&gt;=$C$1),'General Inputs'!V$10*$H79,0))</f>
        <v>0</v>
      </c>
      <c r="BT79" s="214">
        <f>IF(AND(($D79+$C$1)&gt;AY$3,AY$3&gt;=$C$1),'General Inputs'!W$10*$I79,IF(AND(($C79+$C$1)&gt;AY$3,AY$3&gt;=$C$1),'General Inputs'!W$10*$H79,0))</f>
        <v>0</v>
      </c>
    </row>
    <row r="80" spans="1:72">
      <c r="A80" s="342" t="s">
        <v>112</v>
      </c>
      <c r="B80" s="427" t="str">
        <f>Sources!B80</f>
        <v>LED (≤5W)</v>
      </c>
      <c r="C80" s="193">
        <f>Sources!C80</f>
        <v>10</v>
      </c>
      <c r="D80" s="193">
        <f>Sources!D80</f>
        <v>0</v>
      </c>
      <c r="F80" s="429">
        <f>Sources!F80*EnergyLineLoss</f>
        <v>307.90568624999997</v>
      </c>
      <c r="G80" s="429">
        <f>Sources!G80*EnergyLineLoss</f>
        <v>0</v>
      </c>
      <c r="H80" s="477">
        <f>Sources!H80*PeakLineLoss</f>
        <v>4.7611278E-2</v>
      </c>
      <c r="I80" s="477">
        <f>Sources!I80*PeakLineLoss</f>
        <v>0</v>
      </c>
      <c r="K80" s="419">
        <f>Sources!J80</f>
        <v>34</v>
      </c>
      <c r="L80" s="419">
        <f>Sources!K80</f>
        <v>0</v>
      </c>
      <c r="N80" s="438">
        <f t="shared" si="22"/>
        <v>2.9287678264628969</v>
      </c>
      <c r="P80" s="215">
        <f t="shared" si="23"/>
        <v>79.439410589963188</v>
      </c>
      <c r="Q80" s="215">
        <f t="shared" si="24"/>
        <v>4.6200881382463486</v>
      </c>
      <c r="R80" s="215">
        <f t="shared" si="25"/>
        <v>28.701318680398458</v>
      </c>
      <c r="T80" s="214">
        <f t="shared" si="26"/>
        <v>0</v>
      </c>
      <c r="U80" s="214">
        <f t="shared" si="26"/>
        <v>0</v>
      </c>
      <c r="V80" s="214">
        <f t="shared" si="26"/>
        <v>34</v>
      </c>
      <c r="W80" s="214">
        <f t="shared" si="26"/>
        <v>0</v>
      </c>
      <c r="X80" s="214">
        <f t="shared" si="26"/>
        <v>0</v>
      </c>
      <c r="Y80" s="214">
        <f t="shared" si="26"/>
        <v>0</v>
      </c>
      <c r="Z80" s="214">
        <f t="shared" si="26"/>
        <v>0</v>
      </c>
      <c r="AA80" s="214">
        <f t="shared" si="26"/>
        <v>0</v>
      </c>
      <c r="AB80" s="214">
        <f t="shared" si="26"/>
        <v>0</v>
      </c>
      <c r="AC80" s="214">
        <f t="shared" si="26"/>
        <v>0</v>
      </c>
      <c r="AD80" s="214">
        <f t="shared" si="26"/>
        <v>0</v>
      </c>
      <c r="AF80" s="214">
        <f>IF(AND(($D80+$C$1)&gt;AF$3,AF$3&gt;=$C$1),'General Inputs'!D$9*$G80,IF(AND(($C80+$C$1)&gt;AF$3,AF$3&gt;=$C$1),'General Inputs'!D$9*$F80,0))</f>
        <v>0</v>
      </c>
      <c r="AG80" s="214">
        <f>IF(AND(($D80+$C$1)&gt;AG$3,AG$3&gt;=$C$1),'General Inputs'!E$9*$G80,IF(AND(($C80+$C$1)&gt;AG$3,AG$3&gt;=$C$1),'General Inputs'!E$9*$F80,0))</f>
        <v>0</v>
      </c>
      <c r="AH80" s="214">
        <f>IF(AND(($D80+$C$1)&gt;AH$3,AH$3&gt;=$C$1),'General Inputs'!F$9*$G80,IF(AND(($C80+$C$1)&gt;AH$3,AH$3&gt;=$C$1),'General Inputs'!F$9*$F80,0))</f>
        <v>12.628934949423721</v>
      </c>
      <c r="AI80" s="214">
        <f>IF(AND(($D80+$C$1)&gt;AI$3,AI$3&gt;=$C$1),'General Inputs'!G$9*$G80,IF(AND(($C80+$C$1)&gt;AI$3,AI$3&gt;=$C$1),'General Inputs'!G$9*$F80,0))</f>
        <v>12.818368973665075</v>
      </c>
      <c r="AJ80" s="214">
        <f>IF(AND(($D80+$C$1)&gt;AJ$3,AJ$3&gt;=$C$1),'General Inputs'!H$9*$G80,IF(AND(($C80+$C$1)&gt;AJ$3,AJ$3&gt;=$C$1),'General Inputs'!H$9*$F80,0))</f>
        <v>13.010644508270051</v>
      </c>
      <c r="AK80" s="214">
        <f>IF(AND(($D80+$C$1)&gt;AK$3,AK$3&gt;=$C$1),'General Inputs'!I$9*$G80,IF(AND(($C80+$C$1)&gt;AK$3,AK$3&gt;=$C$1),'General Inputs'!I$9*$F80,0))</f>
        <v>13.2058041758941</v>
      </c>
      <c r="AL80" s="214">
        <f>IF(AND(($D80+$C$1)&gt;AL$3,AL$3&gt;=$C$1),'General Inputs'!J$9*$G80,IF(AND(($C80+$C$1)&gt;AL$3,AL$3&gt;=$C$1),'General Inputs'!J$9*$F80,0))</f>
        <v>13.403891238532509</v>
      </c>
      <c r="AM80" s="214">
        <f>IF(AND(($D80+$C$1)&gt;AM$3,AM$3&gt;=$C$1),'General Inputs'!K$9*$G80,IF(AND(($C80+$C$1)&gt;AM$3,AM$3&gt;=$C$1),'General Inputs'!K$9*$F80,0))</f>
        <v>13.604949607110495</v>
      </c>
      <c r="AN80" s="214">
        <f>IF(AND(($D80+$C$1)&gt;AN$3,AN$3&gt;=$C$1),'General Inputs'!L$9*$G80,IF(AND(($C80+$C$1)&gt;AN$3,AN$3&gt;=$C$1),'General Inputs'!L$9*$F80,0))</f>
        <v>13.80902385121715</v>
      </c>
      <c r="AO80" s="214">
        <f>IF(AND(($D80+$C$1)&gt;AO$3,AO$3&gt;=$C$1),'General Inputs'!M$9*$G80,IF(AND(($C80+$C$1)&gt;AO$3,AO$3&gt;=$C$1),'General Inputs'!M$9*$F80,0))</f>
        <v>14.016159208985405</v>
      </c>
      <c r="AP80" s="214">
        <f>IF(AND(($D80+$C$1)&gt;AP$3,AP$3&gt;=$C$1),'General Inputs'!N$9*$G80,IF(AND(($C80+$C$1)&gt;AP$3,AP$3&gt;=$C$1),'General Inputs'!N$9*$F80,0))</f>
        <v>14.226401597120185</v>
      </c>
      <c r="AQ80" s="214">
        <f>IF(AND(($D80+$C$1)&gt;AQ$3,AQ$3&gt;=$C$1),'General Inputs'!O$9*$G80,IF(AND(($C80+$C$1)&gt;AQ$3,AQ$3&gt;=$C$1),'General Inputs'!O$9*$F80,0))</f>
        <v>14.439797621076986</v>
      </c>
      <c r="AR80" s="214">
        <f>IF(AND(($D80+$C$1)&gt;AR$3,AR$3&gt;=$C$1),'General Inputs'!P$9*$G80,IF(AND(($C80+$C$1)&gt;AR$3,AR$3&gt;=$C$1),'General Inputs'!P$9*$F80,0))</f>
        <v>0</v>
      </c>
      <c r="AS80" s="214">
        <f>IF(AND(($D80+$C$1)&gt;AS$3,AS$3&gt;=$C$1),'General Inputs'!Q$9*$G80,IF(AND(($C80+$C$1)&gt;AS$3,AS$3&gt;=$C$1),'General Inputs'!Q$9*$F80,0))</f>
        <v>0</v>
      </c>
      <c r="AT80" s="214">
        <f>IF(AND(($D80+$C$1)&gt;AT$3,AT$3&gt;=$C$1),'General Inputs'!R$9*$G80,IF(AND(($C80+$C$1)&gt;AT$3,AT$3&gt;=$C$1),'General Inputs'!R$9*$F80,0))</f>
        <v>0</v>
      </c>
      <c r="AU80" s="214">
        <f>IF(AND(($D80+$C$1)&gt;AU$3,AU$3&gt;=$C$1),'General Inputs'!S$9*$G80,IF(AND(($C80+$C$1)&gt;AU$3,AU$3&gt;=$C$1),'General Inputs'!S$9*$F80,0))</f>
        <v>0</v>
      </c>
      <c r="AV80" s="214">
        <f>IF(AND(($D80+$C$1)&gt;AV$3,AV$3&gt;=$C$1),'General Inputs'!T$9*$G80,IF(AND(($C80+$C$1)&gt;AV$3,AV$3&gt;=$C$1),'General Inputs'!T$9*$F80,0))</f>
        <v>0</v>
      </c>
      <c r="AW80" s="214">
        <f>IF(AND(($D80+$C$1)&gt;AW$3,AW$3&gt;=$C$1),'General Inputs'!U$9*$G80,IF(AND(($C80+$C$1)&gt;AW$3,AW$3&gt;=$C$1),'General Inputs'!U$9*$F80,0))</f>
        <v>0</v>
      </c>
      <c r="AX80" s="214">
        <f>IF(AND(($D80+$C$1)&gt;AX$3,AX$3&gt;=$C$1),'General Inputs'!V$9*$G80,IF(AND(($C80+$C$1)&gt;AX$3,AX$3&gt;=$C$1),'General Inputs'!V$9*$F80,0))</f>
        <v>0</v>
      </c>
      <c r="AY80" s="214">
        <f>IF(AND(($D80+$C$1)&gt;AY$3,AY$3&gt;=$C$1),'General Inputs'!W$9*$G80,IF(AND(($C80+$C$1)&gt;AY$3,AY$3&gt;=$C$1),'General Inputs'!W$9*$F80,0))</f>
        <v>0</v>
      </c>
      <c r="BA80" s="214">
        <f>IF(AND(($D80+$C$1)&gt;AF$3,AF$3&gt;=$C$1),'General Inputs'!D$10*$I80,IF(AND(($C80+$C$1)&gt;AF$3,AF$3&gt;=$C$1),'General Inputs'!D$10*$H80,0))</f>
        <v>0</v>
      </c>
      <c r="BB80" s="214">
        <f>IF(AND(($D80+$C$1)&gt;AG$3,AG$3&gt;=$C$1),'General Inputs'!E$10*$I80,IF(AND(($C80+$C$1)&gt;AG$3,AG$3&gt;=$C$1),'General Inputs'!E$10*$H80,0))</f>
        <v>0</v>
      </c>
      <c r="BC80" s="214">
        <f>IF(AND(($D80+$C$1)&gt;AH$3,AH$3&gt;=$C$1),'General Inputs'!F$10*$I80,IF(AND(($C80+$C$1)&gt;AH$3,AH$3&gt;=$C$1),'General Inputs'!F$10*$H80,0))</f>
        <v>0.73448169019885878</v>
      </c>
      <c r="BD80" s="214">
        <f>IF(AND(($D80+$C$1)&gt;AI$3,AI$3&gt;=$C$1),'General Inputs'!G$10*$I80,IF(AND(($C80+$C$1)&gt;AI$3,AI$3&gt;=$C$1),'General Inputs'!G$10*$H80,0))</f>
        <v>0.74549891555184167</v>
      </c>
      <c r="BE80" s="214">
        <f>IF(AND(($D80+$C$1)&gt;AJ$3,AJ$3&gt;=$C$1),'General Inputs'!H$10*$I80,IF(AND(($C80+$C$1)&gt;AJ$3,AJ$3&gt;=$C$1),'General Inputs'!H$10*$H80,0))</f>
        <v>0.75668139928511924</v>
      </c>
      <c r="BF80" s="214">
        <f>IF(AND(($D80+$C$1)&gt;AK$3,AK$3&gt;=$C$1),'General Inputs'!I$10*$I80,IF(AND(($C80+$C$1)&gt;AK$3,AK$3&gt;=$C$1),'General Inputs'!I$10*$H80,0))</f>
        <v>0.76803162027439587</v>
      </c>
      <c r="BG80" s="214">
        <f>IF(AND(($D80+$C$1)&gt;AL$3,AL$3&gt;=$C$1),'General Inputs'!J$10*$I80,IF(AND(($C80+$C$1)&gt;AL$3,AL$3&gt;=$C$1),'General Inputs'!J$10*$H80,0))</f>
        <v>0.77955209457851171</v>
      </c>
      <c r="BH80" s="214">
        <f>IF(AND(($D80+$C$1)&gt;AM$3,AM$3&gt;=$C$1),'General Inputs'!K$10*$I80,IF(AND(($C80+$C$1)&gt;AM$3,AM$3&gt;=$C$1),'General Inputs'!K$10*$H80,0))</f>
        <v>0.79124537599718925</v>
      </c>
      <c r="BI80" s="214">
        <f>IF(AND(($D80+$C$1)&gt;AN$3,AN$3&gt;=$C$1),'General Inputs'!L$10*$I80,IF(AND(($C80+$C$1)&gt;AN$3,AN$3&gt;=$C$1),'General Inputs'!L$10*$H80,0))</f>
        <v>0.80311405663714708</v>
      </c>
      <c r="BJ80" s="214">
        <f>IF(AND(($D80+$C$1)&gt;AO$3,AO$3&gt;=$C$1),'General Inputs'!M$10*$I80,IF(AND(($C80+$C$1)&gt;AO$3,AO$3&gt;=$C$1),'General Inputs'!M$10*$H80,0))</f>
        <v>0.8151607674867043</v>
      </c>
      <c r="BK80" s="214">
        <f>IF(AND(($D80+$C$1)&gt;AP$3,AP$3&gt;=$C$1),'General Inputs'!N$10*$I80,IF(AND(($C80+$C$1)&gt;AP$3,AP$3&gt;=$C$1),'General Inputs'!N$10*$H80,0))</f>
        <v>0.82738817899900474</v>
      </c>
      <c r="BL80" s="214">
        <f>IF(AND(($D80+$C$1)&gt;AQ$3,AQ$3&gt;=$C$1),'General Inputs'!O$10*$I80,IF(AND(($C80+$C$1)&gt;AQ$3,AQ$3&gt;=$C$1),'General Inputs'!O$10*$H80,0))</f>
        <v>0.83979900168398969</v>
      </c>
      <c r="BM80" s="214">
        <f>IF(AND(($D80+$C$1)&gt;AR$3,AR$3&gt;=$C$1),'General Inputs'!P$10*$I80,IF(AND(($C80+$C$1)&gt;AR$3,AR$3&gt;=$C$1),'General Inputs'!P$10*$H80,0))</f>
        <v>0</v>
      </c>
      <c r="BN80" s="214">
        <f>IF(AND(($D80+$C$1)&gt;AS$3,AS$3&gt;=$C$1),'General Inputs'!Q$10*$I80,IF(AND(($C80+$C$1)&gt;AS$3,AS$3&gt;=$C$1),'General Inputs'!Q$10*$H80,0))</f>
        <v>0</v>
      </c>
      <c r="BO80" s="214">
        <f>IF(AND(($D80+$C$1)&gt;AT$3,AT$3&gt;=$C$1),'General Inputs'!R$10*$I80,IF(AND(($C80+$C$1)&gt;AT$3,AT$3&gt;=$C$1),'General Inputs'!R$10*$H80,0))</f>
        <v>0</v>
      </c>
      <c r="BP80" s="214">
        <f>IF(AND(($D80+$C$1)&gt;AU$3,AU$3&gt;=$C$1),'General Inputs'!S$10*$I80,IF(AND(($C80+$C$1)&gt;AU$3,AU$3&gt;=$C$1),'General Inputs'!S$10*$H80,0))</f>
        <v>0</v>
      </c>
      <c r="BQ80" s="214">
        <f>IF(AND(($D80+$C$1)&gt;AV$3,AV$3&gt;=$C$1),'General Inputs'!T$10*$I80,IF(AND(($C80+$C$1)&gt;AV$3,AV$3&gt;=$C$1),'General Inputs'!T$10*$H80,0))</f>
        <v>0</v>
      </c>
      <c r="BR80" s="214">
        <f>IF(AND(($D80+$C$1)&gt;AW$3,AW$3&gt;=$C$1),'General Inputs'!U$10*$I80,IF(AND(($C80+$C$1)&gt;AW$3,AW$3&gt;=$C$1),'General Inputs'!U$10*$H80,0))</f>
        <v>0</v>
      </c>
      <c r="BS80" s="214">
        <f>IF(AND(($D80+$C$1)&gt;AX$3,AX$3&gt;=$C$1),'General Inputs'!V$10*$I80,IF(AND(($C80+$C$1)&gt;AX$3,AX$3&gt;=$C$1),'General Inputs'!V$10*$H80,0))</f>
        <v>0</v>
      </c>
      <c r="BT80" s="214">
        <f>IF(AND(($D80+$C$1)&gt;AY$3,AY$3&gt;=$C$1),'General Inputs'!W$10*$I80,IF(AND(($C80+$C$1)&gt;AY$3,AY$3&gt;=$C$1),'General Inputs'!W$10*$H80,0))</f>
        <v>0</v>
      </c>
    </row>
    <row r="81" spans="1:72">
      <c r="A81" s="342" t="s">
        <v>112</v>
      </c>
      <c r="B81" s="427" t="str">
        <f>Sources!B81</f>
        <v>LED (5 ≤ 10W)</v>
      </c>
      <c r="C81" s="193">
        <f>Sources!C81</f>
        <v>10</v>
      </c>
      <c r="D81" s="193">
        <f>Sources!D81</f>
        <v>0</v>
      </c>
      <c r="F81" s="429">
        <f>Sources!F81*EnergyLineLoss</f>
        <v>255.61981499999999</v>
      </c>
      <c r="G81" s="429">
        <f>Sources!G81*EnergyLineLoss</f>
        <v>0</v>
      </c>
      <c r="H81" s="477">
        <f>Sources!H81*PeakLineLoss</f>
        <v>3.9526343999999998E-2</v>
      </c>
      <c r="I81" s="477">
        <f>Sources!I81*PeakLineLoss</f>
        <v>0</v>
      </c>
      <c r="K81" s="419">
        <f>Sources!J81</f>
        <v>40</v>
      </c>
      <c r="L81" s="419">
        <f>Sources!K81</f>
        <v>0</v>
      </c>
      <c r="N81" s="438">
        <f t="shared" si="22"/>
        <v>2.0667154096172142</v>
      </c>
      <c r="P81" s="215">
        <f t="shared" si="23"/>
        <v>65.949699357705285</v>
      </c>
      <c r="Q81" s="215">
        <f t="shared" si="24"/>
        <v>3.8355448694875349</v>
      </c>
      <c r="R81" s="215">
        <f t="shared" si="25"/>
        <v>33.766257271057007</v>
      </c>
      <c r="T81" s="214">
        <f t="shared" si="26"/>
        <v>0</v>
      </c>
      <c r="U81" s="214">
        <f t="shared" si="26"/>
        <v>0</v>
      </c>
      <c r="V81" s="214">
        <f t="shared" ref="V81:AD87" si="27">IF($C$1=V$3,$K81,IF($D81+$C$1=V$3,-$L81,0))</f>
        <v>40</v>
      </c>
      <c r="W81" s="214">
        <f t="shared" si="27"/>
        <v>0</v>
      </c>
      <c r="X81" s="214">
        <f t="shared" si="27"/>
        <v>0</v>
      </c>
      <c r="Y81" s="214">
        <f t="shared" si="27"/>
        <v>0</v>
      </c>
      <c r="Z81" s="214">
        <f t="shared" si="27"/>
        <v>0</v>
      </c>
      <c r="AA81" s="214">
        <f t="shared" si="27"/>
        <v>0</v>
      </c>
      <c r="AB81" s="214">
        <f t="shared" si="27"/>
        <v>0</v>
      </c>
      <c r="AC81" s="214">
        <f t="shared" si="27"/>
        <v>0</v>
      </c>
      <c r="AD81" s="214">
        <f t="shared" si="27"/>
        <v>0</v>
      </c>
      <c r="AF81" s="214">
        <f>IF(AND(($D81+$C$1)&gt;AF$3,AF$3&gt;=$C$1),'General Inputs'!D$9*$G81,IF(AND(($C81+$C$1)&gt;AF$3,AF$3&gt;=$C$1),'General Inputs'!D$9*$F81,0))</f>
        <v>0</v>
      </c>
      <c r="AG81" s="214">
        <f>IF(AND(($D81+$C$1)&gt;AG$3,AG$3&gt;=$C$1),'General Inputs'!E$9*$G81,IF(AND(($C81+$C$1)&gt;AG$3,AG$3&gt;=$C$1),'General Inputs'!E$9*$F81,0))</f>
        <v>0</v>
      </c>
      <c r="AH81" s="214">
        <f>IF(AND(($D81+$C$1)&gt;AH$3,AH$3&gt;=$C$1),'General Inputs'!F$9*$G81,IF(AND(($C81+$C$1)&gt;AH$3,AH$3&gt;=$C$1),'General Inputs'!F$9*$F81,0))</f>
        <v>10.484398825936674</v>
      </c>
      <c r="AI81" s="214">
        <f>IF(AND(($D81+$C$1)&gt;AI$3,AI$3&gt;=$C$1),'General Inputs'!G$9*$G81,IF(AND(($C81+$C$1)&gt;AI$3,AI$3&gt;=$C$1),'General Inputs'!G$9*$F81,0))</f>
        <v>10.641664808325723</v>
      </c>
      <c r="AJ81" s="214">
        <f>IF(AND(($D81+$C$1)&gt;AJ$3,AJ$3&gt;=$C$1),'General Inputs'!H$9*$G81,IF(AND(($C81+$C$1)&gt;AJ$3,AJ$3&gt;=$C$1),'General Inputs'!H$9*$F81,0))</f>
        <v>10.801289780450608</v>
      </c>
      <c r="AK81" s="214">
        <f>IF(AND(($D81+$C$1)&gt;AK$3,AK$3&gt;=$C$1),'General Inputs'!I$9*$G81,IF(AND(($C81+$C$1)&gt;AK$3,AK$3&gt;=$C$1),'General Inputs'!I$9*$F81,0))</f>
        <v>10.963309127157366</v>
      </c>
      <c r="AL81" s="214">
        <f>IF(AND(($D81+$C$1)&gt;AL$3,AL$3&gt;=$C$1),'General Inputs'!J$9*$G81,IF(AND(($C81+$C$1)&gt;AL$3,AL$3&gt;=$C$1),'General Inputs'!J$9*$F81,0))</f>
        <v>11.127758764064724</v>
      </c>
      <c r="AM81" s="214">
        <f>IF(AND(($D81+$C$1)&gt;AM$3,AM$3&gt;=$C$1),'General Inputs'!K$9*$G81,IF(AND(($C81+$C$1)&gt;AM$3,AM$3&gt;=$C$1),'General Inputs'!K$9*$F81,0))</f>
        <v>11.294675145525694</v>
      </c>
      <c r="AN81" s="214">
        <f>IF(AND(($D81+$C$1)&gt;AN$3,AN$3&gt;=$C$1),'General Inputs'!L$9*$G81,IF(AND(($C81+$C$1)&gt;AN$3,AN$3&gt;=$C$1),'General Inputs'!L$9*$F81,0))</f>
        <v>11.464095272708578</v>
      </c>
      <c r="AO81" s="214">
        <f>IF(AND(($D81+$C$1)&gt;AO$3,AO$3&gt;=$C$1),'General Inputs'!M$9*$G81,IF(AND(($C81+$C$1)&gt;AO$3,AO$3&gt;=$C$1),'General Inputs'!M$9*$F81,0))</f>
        <v>11.636056701799205</v>
      </c>
      <c r="AP81" s="214">
        <f>IF(AND(($D81+$C$1)&gt;AP$3,AP$3&gt;=$C$1),'General Inputs'!N$9*$G81,IF(AND(($C81+$C$1)&gt;AP$3,AP$3&gt;=$C$1),'General Inputs'!N$9*$F81,0))</f>
        <v>11.810597552326193</v>
      </c>
      <c r="AQ81" s="214">
        <f>IF(AND(($D81+$C$1)&gt;AQ$3,AQ$3&gt;=$C$1),'General Inputs'!O$9*$G81,IF(AND(($C81+$C$1)&gt;AQ$3,AQ$3&gt;=$C$1),'General Inputs'!O$9*$F81,0))</f>
        <v>11.987756515611084</v>
      </c>
      <c r="AR81" s="214">
        <f>IF(AND(($D81+$C$1)&gt;AR$3,AR$3&gt;=$C$1),'General Inputs'!P$9*$G81,IF(AND(($C81+$C$1)&gt;AR$3,AR$3&gt;=$C$1),'General Inputs'!P$9*$F81,0))</f>
        <v>0</v>
      </c>
      <c r="AS81" s="214">
        <f>IF(AND(($D81+$C$1)&gt;AS$3,AS$3&gt;=$C$1),'General Inputs'!Q$9*$G81,IF(AND(($C81+$C$1)&gt;AS$3,AS$3&gt;=$C$1),'General Inputs'!Q$9*$F81,0))</f>
        <v>0</v>
      </c>
      <c r="AT81" s="214">
        <f>IF(AND(($D81+$C$1)&gt;AT$3,AT$3&gt;=$C$1),'General Inputs'!R$9*$G81,IF(AND(($C81+$C$1)&gt;AT$3,AT$3&gt;=$C$1),'General Inputs'!R$9*$F81,0))</f>
        <v>0</v>
      </c>
      <c r="AU81" s="214">
        <f>IF(AND(($D81+$C$1)&gt;AU$3,AU$3&gt;=$C$1),'General Inputs'!S$9*$G81,IF(AND(($C81+$C$1)&gt;AU$3,AU$3&gt;=$C$1),'General Inputs'!S$9*$F81,0))</f>
        <v>0</v>
      </c>
      <c r="AV81" s="214">
        <f>IF(AND(($D81+$C$1)&gt;AV$3,AV$3&gt;=$C$1),'General Inputs'!T$9*$G81,IF(AND(($C81+$C$1)&gt;AV$3,AV$3&gt;=$C$1),'General Inputs'!T$9*$F81,0))</f>
        <v>0</v>
      </c>
      <c r="AW81" s="214">
        <f>IF(AND(($D81+$C$1)&gt;AW$3,AW$3&gt;=$C$1),'General Inputs'!U$9*$G81,IF(AND(($C81+$C$1)&gt;AW$3,AW$3&gt;=$C$1),'General Inputs'!U$9*$F81,0))</f>
        <v>0</v>
      </c>
      <c r="AX81" s="214">
        <f>IF(AND(($D81+$C$1)&gt;AX$3,AX$3&gt;=$C$1),'General Inputs'!V$9*$G81,IF(AND(($C81+$C$1)&gt;AX$3,AX$3&gt;=$C$1),'General Inputs'!V$9*$F81,0))</f>
        <v>0</v>
      </c>
      <c r="AY81" s="214">
        <f>IF(AND(($D81+$C$1)&gt;AY$3,AY$3&gt;=$C$1),'General Inputs'!W$9*$G81,IF(AND(($C81+$C$1)&gt;AY$3,AY$3&gt;=$C$1),'General Inputs'!W$9*$F81,0))</f>
        <v>0</v>
      </c>
      <c r="BA81" s="214">
        <f>IF(AND(($D81+$C$1)&gt;AF$3,AF$3&gt;=$C$1),'General Inputs'!D$10*$I81,IF(AND(($C81+$C$1)&gt;AF$3,AF$3&gt;=$C$1),'General Inputs'!D$10*$H81,0))</f>
        <v>0</v>
      </c>
      <c r="BB81" s="214">
        <f>IF(AND(($D81+$C$1)&gt;AG$3,AG$3&gt;=$C$1),'General Inputs'!E$10*$I81,IF(AND(($C81+$C$1)&gt;AG$3,AG$3&gt;=$C$1),'General Inputs'!E$10*$H81,0))</f>
        <v>0</v>
      </c>
      <c r="BC81" s="214">
        <f>IF(AND(($D81+$C$1)&gt;AH$3,AH$3&gt;=$C$1),'General Inputs'!F$10*$I81,IF(AND(($C81+$C$1)&gt;AH$3,AH$3&gt;=$C$1),'General Inputs'!F$10*$H81,0))</f>
        <v>0.60975838431603369</v>
      </c>
      <c r="BD81" s="214">
        <f>IF(AND(($D81+$C$1)&gt;AI$3,AI$3&gt;=$C$1),'General Inputs'!G$10*$I81,IF(AND(($C81+$C$1)&gt;AI$3,AI$3&gt;=$C$1),'General Inputs'!G$10*$H81,0))</f>
        <v>0.61890476008077411</v>
      </c>
      <c r="BE81" s="214">
        <f>IF(AND(($D81+$C$1)&gt;AJ$3,AJ$3&gt;=$C$1),'General Inputs'!H$10*$I81,IF(AND(($C81+$C$1)&gt;AJ$3,AJ$3&gt;=$C$1),'General Inputs'!H$10*$H81,0))</f>
        <v>0.62818833148198572</v>
      </c>
      <c r="BF81" s="214">
        <f>IF(AND(($D81+$C$1)&gt;AK$3,AK$3&gt;=$C$1),'General Inputs'!I$10*$I81,IF(AND(($C81+$C$1)&gt;AK$3,AK$3&gt;=$C$1),'General Inputs'!I$10*$H81,0))</f>
        <v>0.6376111564542154</v>
      </c>
      <c r="BG81" s="214">
        <f>IF(AND(($D81+$C$1)&gt;AL$3,AL$3&gt;=$C$1),'General Inputs'!J$10*$I81,IF(AND(($C81+$C$1)&gt;AL$3,AL$3&gt;=$C$1),'General Inputs'!J$10*$H81,0))</f>
        <v>0.64717532380102849</v>
      </c>
      <c r="BH81" s="214">
        <f>IF(AND(($D81+$C$1)&gt;AM$3,AM$3&gt;=$C$1),'General Inputs'!K$10*$I81,IF(AND(($C81+$C$1)&gt;AM$3,AM$3&gt;=$C$1),'General Inputs'!K$10*$H81,0))</f>
        <v>0.65688295365804394</v>
      </c>
      <c r="BI81" s="214">
        <f>IF(AND(($D81+$C$1)&gt;AN$3,AN$3&gt;=$C$1),'General Inputs'!L$10*$I81,IF(AND(($C81+$C$1)&gt;AN$3,AN$3&gt;=$C$1),'General Inputs'!L$10*$H81,0))</f>
        <v>0.6667361979629145</v>
      </c>
      <c r="BJ81" s="214">
        <f>IF(AND(($D81+$C$1)&gt;AO$3,AO$3&gt;=$C$1),'General Inputs'!M$10*$I81,IF(AND(($C81+$C$1)&gt;AO$3,AO$3&gt;=$C$1),'General Inputs'!M$10*$H81,0))</f>
        <v>0.67673724093235821</v>
      </c>
      <c r="BK81" s="214">
        <f>IF(AND(($D81+$C$1)&gt;AP$3,AP$3&gt;=$C$1),'General Inputs'!N$10*$I81,IF(AND(($C81+$C$1)&gt;AP$3,AP$3&gt;=$C$1),'General Inputs'!N$10*$H81,0))</f>
        <v>0.68688829954634345</v>
      </c>
      <c r="BL81" s="214">
        <f>IF(AND(($D81+$C$1)&gt;AQ$3,AQ$3&gt;=$C$1),'General Inputs'!O$10*$I81,IF(AND(($C81+$C$1)&gt;AQ$3,AQ$3&gt;=$C$1),'General Inputs'!O$10*$H81,0))</f>
        <v>0.6971916240395386</v>
      </c>
      <c r="BM81" s="214">
        <f>IF(AND(($D81+$C$1)&gt;AR$3,AR$3&gt;=$C$1),'General Inputs'!P$10*$I81,IF(AND(($C81+$C$1)&gt;AR$3,AR$3&gt;=$C$1),'General Inputs'!P$10*$H81,0))</f>
        <v>0</v>
      </c>
      <c r="BN81" s="214">
        <f>IF(AND(($D81+$C$1)&gt;AS$3,AS$3&gt;=$C$1),'General Inputs'!Q$10*$I81,IF(AND(($C81+$C$1)&gt;AS$3,AS$3&gt;=$C$1),'General Inputs'!Q$10*$H81,0))</f>
        <v>0</v>
      </c>
      <c r="BO81" s="214">
        <f>IF(AND(($D81+$C$1)&gt;AT$3,AT$3&gt;=$C$1),'General Inputs'!R$10*$I81,IF(AND(($C81+$C$1)&gt;AT$3,AT$3&gt;=$C$1),'General Inputs'!R$10*$H81,0))</f>
        <v>0</v>
      </c>
      <c r="BP81" s="214">
        <f>IF(AND(($D81+$C$1)&gt;AU$3,AU$3&gt;=$C$1),'General Inputs'!S$10*$I81,IF(AND(($C81+$C$1)&gt;AU$3,AU$3&gt;=$C$1),'General Inputs'!S$10*$H81,0))</f>
        <v>0</v>
      </c>
      <c r="BQ81" s="214">
        <f>IF(AND(($D81+$C$1)&gt;AV$3,AV$3&gt;=$C$1),'General Inputs'!T$10*$I81,IF(AND(($C81+$C$1)&gt;AV$3,AV$3&gt;=$C$1),'General Inputs'!T$10*$H81,0))</f>
        <v>0</v>
      </c>
      <c r="BR81" s="214">
        <f>IF(AND(($D81+$C$1)&gt;AW$3,AW$3&gt;=$C$1),'General Inputs'!U$10*$I81,IF(AND(($C81+$C$1)&gt;AW$3,AW$3&gt;=$C$1),'General Inputs'!U$10*$H81,0))</f>
        <v>0</v>
      </c>
      <c r="BS81" s="214">
        <f>IF(AND(($D81+$C$1)&gt;AX$3,AX$3&gt;=$C$1),'General Inputs'!V$10*$I81,IF(AND(($C81+$C$1)&gt;AX$3,AX$3&gt;=$C$1),'General Inputs'!V$10*$H81,0))</f>
        <v>0</v>
      </c>
      <c r="BT81" s="214">
        <f>IF(AND(($D81+$C$1)&gt;AY$3,AY$3&gt;=$C$1),'General Inputs'!W$10*$I81,IF(AND(($C81+$C$1)&gt;AY$3,AY$3&gt;=$C$1),'General Inputs'!W$10*$H81,0))</f>
        <v>0</v>
      </c>
    </row>
    <row r="82" spans="1:72">
      <c r="A82" s="342" t="s">
        <v>112</v>
      </c>
      <c r="B82" s="427" t="str">
        <f>Sources!B82</f>
        <v>LED (&gt;10W)</v>
      </c>
      <c r="C82" s="193">
        <f>Sources!C82</f>
        <v>10</v>
      </c>
      <c r="D82" s="193">
        <f>Sources!D82</f>
        <v>0</v>
      </c>
      <c r="F82" s="429">
        <f>Sources!F82*EnergyLineLoss</f>
        <v>580.95412499999998</v>
      </c>
      <c r="G82" s="429">
        <f>Sources!G82*EnergyLineLoss</f>
        <v>0</v>
      </c>
      <c r="H82" s="477">
        <f>Sources!H82*PeakLineLoss</f>
        <v>8.9832599999999999E-2</v>
      </c>
      <c r="I82" s="477">
        <f>Sources!I82*PeakLineLoss</f>
        <v>0</v>
      </c>
      <c r="K82" s="419">
        <f>Sources!J82</f>
        <v>65</v>
      </c>
      <c r="L82" s="419">
        <f>Sources!K82</f>
        <v>0</v>
      </c>
      <c r="N82" s="438">
        <f t="shared" si="22"/>
        <v>2.8905110624016981</v>
      </c>
      <c r="P82" s="215">
        <f t="shared" si="23"/>
        <v>149.8856803584211</v>
      </c>
      <c r="Q82" s="215">
        <f t="shared" si="24"/>
        <v>8.7171474306534904</v>
      </c>
      <c r="R82" s="215">
        <f t="shared" si="25"/>
        <v>54.870168065467638</v>
      </c>
      <c r="T82" s="214">
        <f t="shared" ref="T82:U87" si="28">IF($C$1=T$3,$K82,IF($D82+$C$1=T$3,-$L82,0))</f>
        <v>0</v>
      </c>
      <c r="U82" s="214">
        <f t="shared" si="28"/>
        <v>0</v>
      </c>
      <c r="V82" s="214">
        <f t="shared" si="27"/>
        <v>65</v>
      </c>
      <c r="W82" s="214">
        <f t="shared" si="27"/>
        <v>0</v>
      </c>
      <c r="X82" s="214">
        <f t="shared" si="27"/>
        <v>0</v>
      </c>
      <c r="Y82" s="214">
        <f t="shared" si="27"/>
        <v>0</v>
      </c>
      <c r="Z82" s="214">
        <f t="shared" si="27"/>
        <v>0</v>
      </c>
      <c r="AA82" s="214">
        <f t="shared" si="27"/>
        <v>0</v>
      </c>
      <c r="AB82" s="214">
        <f t="shared" si="27"/>
        <v>0</v>
      </c>
      <c r="AC82" s="214">
        <f t="shared" si="27"/>
        <v>0</v>
      </c>
      <c r="AD82" s="214">
        <f t="shared" si="27"/>
        <v>0</v>
      </c>
      <c r="AF82" s="214">
        <f>IF(AND(($D82+$C$1)&gt;AF$3,AF$3&gt;=$C$1),'General Inputs'!D$9*$G82,IF(AND(($C82+$C$1)&gt;AF$3,AF$3&gt;=$C$1),'General Inputs'!D$9*$F82,0))</f>
        <v>0</v>
      </c>
      <c r="AG82" s="214">
        <f>IF(AND(($D82+$C$1)&gt;AG$3,AG$3&gt;=$C$1),'General Inputs'!E$9*$G82,IF(AND(($C82+$C$1)&gt;AG$3,AG$3&gt;=$C$1),'General Inputs'!E$9*$F82,0))</f>
        <v>0</v>
      </c>
      <c r="AH82" s="214">
        <f>IF(AND(($D82+$C$1)&gt;AH$3,AH$3&gt;=$C$1),'General Inputs'!F$9*$G82,IF(AND(($C82+$C$1)&gt;AH$3,AH$3&gt;=$C$1),'General Inputs'!F$9*$F82,0))</f>
        <v>23.82817914985608</v>
      </c>
      <c r="AI82" s="214">
        <f>IF(AND(($D82+$C$1)&gt;AI$3,AI$3&gt;=$C$1),'General Inputs'!G$9*$G82,IF(AND(($C82+$C$1)&gt;AI$3,AI$3&gt;=$C$1),'General Inputs'!G$9*$F82,0))</f>
        <v>24.185601837103917</v>
      </c>
      <c r="AJ82" s="214">
        <f>IF(AND(($D82+$C$1)&gt;AJ$3,AJ$3&gt;=$C$1),'General Inputs'!H$9*$G82,IF(AND(($C82+$C$1)&gt;AJ$3,AJ$3&gt;=$C$1),'General Inputs'!H$9*$F82,0))</f>
        <v>24.548385864660474</v>
      </c>
      <c r="AK82" s="214">
        <f>IF(AND(($D82+$C$1)&gt;AK$3,AK$3&gt;=$C$1),'General Inputs'!I$9*$G82,IF(AND(($C82+$C$1)&gt;AK$3,AK$3&gt;=$C$1),'General Inputs'!I$9*$F82,0))</f>
        <v>24.916611652630376</v>
      </c>
      <c r="AL82" s="214">
        <f>IF(AND(($D82+$C$1)&gt;AL$3,AL$3&gt;=$C$1),'General Inputs'!J$9*$G82,IF(AND(($C82+$C$1)&gt;AL$3,AL$3&gt;=$C$1),'General Inputs'!J$9*$F82,0))</f>
        <v>25.290360827419828</v>
      </c>
      <c r="AM82" s="214">
        <f>IF(AND(($D82+$C$1)&gt;AM$3,AM$3&gt;=$C$1),'General Inputs'!K$9*$G82,IF(AND(($C82+$C$1)&gt;AM$3,AM$3&gt;=$C$1),'General Inputs'!K$9*$F82,0))</f>
        <v>25.669716239831121</v>
      </c>
      <c r="AN82" s="214">
        <f>IF(AND(($D82+$C$1)&gt;AN$3,AN$3&gt;=$C$1),'General Inputs'!L$9*$G82,IF(AND(($C82+$C$1)&gt;AN$3,AN$3&gt;=$C$1),'General Inputs'!L$9*$F82,0))</f>
        <v>26.054761983428588</v>
      </c>
      <c r="AO82" s="214">
        <f>IF(AND(($D82+$C$1)&gt;AO$3,AO$3&gt;=$C$1),'General Inputs'!M$9*$G82,IF(AND(($C82+$C$1)&gt;AO$3,AO$3&gt;=$C$1),'General Inputs'!M$9*$F82,0))</f>
        <v>26.44558341318001</v>
      </c>
      <c r="AP82" s="214">
        <f>IF(AND(($D82+$C$1)&gt;AP$3,AP$3&gt;=$C$1),'General Inputs'!N$9*$G82,IF(AND(($C82+$C$1)&gt;AP$3,AP$3&gt;=$C$1),'General Inputs'!N$9*$F82,0))</f>
        <v>26.842267164377709</v>
      </c>
      <c r="AQ82" s="214">
        <f>IF(AND(($D82+$C$1)&gt;AQ$3,AQ$3&gt;=$C$1),'General Inputs'!O$9*$G82,IF(AND(($C82+$C$1)&gt;AQ$3,AQ$3&gt;=$C$1),'General Inputs'!O$9*$F82,0))</f>
        <v>27.244901171843374</v>
      </c>
      <c r="AR82" s="214">
        <f>IF(AND(($D82+$C$1)&gt;AR$3,AR$3&gt;=$C$1),'General Inputs'!P$9*$G82,IF(AND(($C82+$C$1)&gt;AR$3,AR$3&gt;=$C$1),'General Inputs'!P$9*$F82,0))</f>
        <v>0</v>
      </c>
      <c r="AS82" s="214">
        <f>IF(AND(($D82+$C$1)&gt;AS$3,AS$3&gt;=$C$1),'General Inputs'!Q$9*$G82,IF(AND(($C82+$C$1)&gt;AS$3,AS$3&gt;=$C$1),'General Inputs'!Q$9*$F82,0))</f>
        <v>0</v>
      </c>
      <c r="AT82" s="214">
        <f>IF(AND(($D82+$C$1)&gt;AT$3,AT$3&gt;=$C$1),'General Inputs'!R$9*$G82,IF(AND(($C82+$C$1)&gt;AT$3,AT$3&gt;=$C$1),'General Inputs'!R$9*$F82,0))</f>
        <v>0</v>
      </c>
      <c r="AU82" s="214">
        <f>IF(AND(($D82+$C$1)&gt;AU$3,AU$3&gt;=$C$1),'General Inputs'!S$9*$G82,IF(AND(($C82+$C$1)&gt;AU$3,AU$3&gt;=$C$1),'General Inputs'!S$9*$F82,0))</f>
        <v>0</v>
      </c>
      <c r="AV82" s="214">
        <f>IF(AND(($D82+$C$1)&gt;AV$3,AV$3&gt;=$C$1),'General Inputs'!T$9*$G82,IF(AND(($C82+$C$1)&gt;AV$3,AV$3&gt;=$C$1),'General Inputs'!T$9*$F82,0))</f>
        <v>0</v>
      </c>
      <c r="AW82" s="214">
        <f>IF(AND(($D82+$C$1)&gt;AW$3,AW$3&gt;=$C$1),'General Inputs'!U$9*$G82,IF(AND(($C82+$C$1)&gt;AW$3,AW$3&gt;=$C$1),'General Inputs'!U$9*$F82,0))</f>
        <v>0</v>
      </c>
      <c r="AX82" s="214">
        <f>IF(AND(($D82+$C$1)&gt;AX$3,AX$3&gt;=$C$1),'General Inputs'!V$9*$G82,IF(AND(($C82+$C$1)&gt;AX$3,AX$3&gt;=$C$1),'General Inputs'!V$9*$F82,0))</f>
        <v>0</v>
      </c>
      <c r="AY82" s="214">
        <f>IF(AND(($D82+$C$1)&gt;AY$3,AY$3&gt;=$C$1),'General Inputs'!W$9*$G82,IF(AND(($C82+$C$1)&gt;AY$3,AY$3&gt;=$C$1),'General Inputs'!W$9*$F82,0))</f>
        <v>0</v>
      </c>
      <c r="BA82" s="214">
        <f>IF(AND(($D82+$C$1)&gt;AF$3,AF$3&gt;=$C$1),'General Inputs'!D$10*$I82,IF(AND(($C82+$C$1)&gt;AF$3,AF$3&gt;=$C$1),'General Inputs'!D$10*$H82,0))</f>
        <v>0</v>
      </c>
      <c r="BB82" s="214">
        <f>IF(AND(($D82+$C$1)&gt;AG$3,AG$3&gt;=$C$1),'General Inputs'!E$10*$I82,IF(AND(($C82+$C$1)&gt;AG$3,AG$3&gt;=$C$1),'General Inputs'!E$10*$H82,0))</f>
        <v>0</v>
      </c>
      <c r="BC82" s="214">
        <f>IF(AND(($D82+$C$1)&gt;AH$3,AH$3&gt;=$C$1),'General Inputs'!F$10*$I82,IF(AND(($C82+$C$1)&gt;AH$3,AH$3&gt;=$C$1),'General Inputs'!F$10*$H82,0))</f>
        <v>1.3858145098091676</v>
      </c>
      <c r="BD82" s="214">
        <f>IF(AND(($D82+$C$1)&gt;AI$3,AI$3&gt;=$C$1),'General Inputs'!G$10*$I82,IF(AND(($C82+$C$1)&gt;AI$3,AI$3&gt;=$C$1),'General Inputs'!G$10*$H82,0))</f>
        <v>1.406601727456305</v>
      </c>
      <c r="BE82" s="214">
        <f>IF(AND(($D82+$C$1)&gt;AJ$3,AJ$3&gt;=$C$1),'General Inputs'!H$10*$I82,IF(AND(($C82+$C$1)&gt;AJ$3,AJ$3&gt;=$C$1),'General Inputs'!H$10*$H82,0))</f>
        <v>1.4277007533681494</v>
      </c>
      <c r="BF82" s="214">
        <f>IF(AND(($D82+$C$1)&gt;AK$3,AK$3&gt;=$C$1),'General Inputs'!I$10*$I82,IF(AND(($C82+$C$1)&gt;AK$3,AK$3&gt;=$C$1),'General Inputs'!I$10*$H82,0))</f>
        <v>1.4491162646686713</v>
      </c>
      <c r="BG82" s="214">
        <f>IF(AND(($D82+$C$1)&gt;AL$3,AL$3&gt;=$C$1),'General Inputs'!J$10*$I82,IF(AND(($C82+$C$1)&gt;AL$3,AL$3&gt;=$C$1),'General Inputs'!J$10*$H82,0))</f>
        <v>1.4708530086387013</v>
      </c>
      <c r="BH82" s="214">
        <f>IF(AND(($D82+$C$1)&gt;AM$3,AM$3&gt;=$C$1),'General Inputs'!K$10*$I82,IF(AND(($C82+$C$1)&gt;AM$3,AM$3&gt;=$C$1),'General Inputs'!K$10*$H82,0))</f>
        <v>1.4929158037682817</v>
      </c>
      <c r="BI82" s="214">
        <f>IF(AND(($D82+$C$1)&gt;AN$3,AN$3&gt;=$C$1),'General Inputs'!L$10*$I82,IF(AND(($C82+$C$1)&gt;AN$3,AN$3&gt;=$C$1),'General Inputs'!L$10*$H82,0))</f>
        <v>1.5153095408248058</v>
      </c>
      <c r="BJ82" s="214">
        <f>IF(AND(($D82+$C$1)&gt;AO$3,AO$3&gt;=$C$1),'General Inputs'!M$10*$I82,IF(AND(($C82+$C$1)&gt;AO$3,AO$3&gt;=$C$1),'General Inputs'!M$10*$H82,0))</f>
        <v>1.5380391839371779</v>
      </c>
      <c r="BK82" s="214">
        <f>IF(AND(($D82+$C$1)&gt;AP$3,AP$3&gt;=$C$1),'General Inputs'!N$10*$I82,IF(AND(($C82+$C$1)&gt;AP$3,AP$3&gt;=$C$1),'General Inputs'!N$10*$H82,0))</f>
        <v>1.5611097716962352</v>
      </c>
      <c r="BL82" s="214">
        <f>IF(AND(($D82+$C$1)&gt;AQ$3,AQ$3&gt;=$C$1),'General Inputs'!O$10*$I82,IF(AND(($C82+$C$1)&gt;AQ$3,AQ$3&gt;=$C$1),'General Inputs'!O$10*$H82,0))</f>
        <v>1.5845264182716787</v>
      </c>
      <c r="BM82" s="214">
        <f>IF(AND(($D82+$C$1)&gt;AR$3,AR$3&gt;=$C$1),'General Inputs'!P$10*$I82,IF(AND(($C82+$C$1)&gt;AR$3,AR$3&gt;=$C$1),'General Inputs'!P$10*$H82,0))</f>
        <v>0</v>
      </c>
      <c r="BN82" s="214">
        <f>IF(AND(($D82+$C$1)&gt;AS$3,AS$3&gt;=$C$1),'General Inputs'!Q$10*$I82,IF(AND(($C82+$C$1)&gt;AS$3,AS$3&gt;=$C$1),'General Inputs'!Q$10*$H82,0))</f>
        <v>0</v>
      </c>
      <c r="BO82" s="214">
        <f>IF(AND(($D82+$C$1)&gt;AT$3,AT$3&gt;=$C$1),'General Inputs'!R$10*$I82,IF(AND(($C82+$C$1)&gt;AT$3,AT$3&gt;=$C$1),'General Inputs'!R$10*$H82,0))</f>
        <v>0</v>
      </c>
      <c r="BP82" s="214">
        <f>IF(AND(($D82+$C$1)&gt;AU$3,AU$3&gt;=$C$1),'General Inputs'!S$10*$I82,IF(AND(($C82+$C$1)&gt;AU$3,AU$3&gt;=$C$1),'General Inputs'!S$10*$H82,0))</f>
        <v>0</v>
      </c>
      <c r="BQ82" s="214">
        <f>IF(AND(($D82+$C$1)&gt;AV$3,AV$3&gt;=$C$1),'General Inputs'!T$10*$I82,IF(AND(($C82+$C$1)&gt;AV$3,AV$3&gt;=$C$1),'General Inputs'!T$10*$H82,0))</f>
        <v>0</v>
      </c>
      <c r="BR82" s="214">
        <f>IF(AND(($D82+$C$1)&gt;AW$3,AW$3&gt;=$C$1),'General Inputs'!U$10*$I82,IF(AND(($C82+$C$1)&gt;AW$3,AW$3&gt;=$C$1),'General Inputs'!U$10*$H82,0))</f>
        <v>0</v>
      </c>
      <c r="BS82" s="214">
        <f>IF(AND(($D82+$C$1)&gt;AX$3,AX$3&gt;=$C$1),'General Inputs'!V$10*$I82,IF(AND(($C82+$C$1)&gt;AX$3,AX$3&gt;=$C$1),'General Inputs'!V$10*$H82,0))</f>
        <v>0</v>
      </c>
      <c r="BT82" s="214">
        <f>IF(AND(($D82+$C$1)&gt;AY$3,AY$3&gt;=$C$1),'General Inputs'!W$10*$I82,IF(AND(($C82+$C$1)&gt;AY$3,AY$3&gt;=$C$1),'General Inputs'!W$10*$H82,0))</f>
        <v>0</v>
      </c>
    </row>
    <row r="83" spans="1:72">
      <c r="A83" s="342" t="s">
        <v>112</v>
      </c>
      <c r="B83" s="427" t="str">
        <f>Sources!B83</f>
        <v>LED Linear Replacement Lamp (≤4ft)</v>
      </c>
      <c r="C83" s="193">
        <f>Sources!C83</f>
        <v>16</v>
      </c>
      <c r="D83" s="193">
        <f>Sources!D83</f>
        <v>0</v>
      </c>
      <c r="F83" s="429">
        <f>Sources!F83*EnergyLineLoss</f>
        <v>261.42935624999996</v>
      </c>
      <c r="G83" s="429">
        <f>Sources!G83*EnergyLineLoss</f>
        <v>0</v>
      </c>
      <c r="H83" s="477">
        <f>Sources!H83*PeakLineLoss</f>
        <v>4.0424670000000003E-2</v>
      </c>
      <c r="I83" s="477">
        <f>Sources!I83*PeakLineLoss</f>
        <v>0</v>
      </c>
      <c r="K83" s="419">
        <f>Sources!J83</f>
        <v>9.5</v>
      </c>
      <c r="L83" s="419">
        <f>Sources!K83</f>
        <v>0</v>
      </c>
      <c r="N83" s="438">
        <f t="shared" si="22"/>
        <v>11.915052072651154</v>
      </c>
      <c r="P83" s="215">
        <f t="shared" si="23"/>
        <v>90.3008214686744</v>
      </c>
      <c r="Q83" s="215">
        <f t="shared" si="24"/>
        <v>5.25177303108081</v>
      </c>
      <c r="R83" s="215">
        <f t="shared" si="25"/>
        <v>8.0194861018760388</v>
      </c>
      <c r="T83" s="214">
        <f t="shared" si="28"/>
        <v>0</v>
      </c>
      <c r="U83" s="214">
        <f t="shared" si="28"/>
        <v>0</v>
      </c>
      <c r="V83" s="214">
        <f t="shared" si="27"/>
        <v>9.5</v>
      </c>
      <c r="W83" s="214">
        <f t="shared" si="27"/>
        <v>0</v>
      </c>
      <c r="X83" s="214">
        <f t="shared" si="27"/>
        <v>0</v>
      </c>
      <c r="Y83" s="214">
        <f t="shared" si="27"/>
        <v>0</v>
      </c>
      <c r="Z83" s="214">
        <f t="shared" si="27"/>
        <v>0</v>
      </c>
      <c r="AA83" s="214">
        <f t="shared" si="27"/>
        <v>0</v>
      </c>
      <c r="AB83" s="214">
        <f t="shared" si="27"/>
        <v>0</v>
      </c>
      <c r="AC83" s="214">
        <f t="shared" si="27"/>
        <v>0</v>
      </c>
      <c r="AD83" s="214">
        <f t="shared" si="27"/>
        <v>0</v>
      </c>
      <c r="AF83" s="214">
        <f>IF(AND(($D83+$C$1)&gt;AF$3,AF$3&gt;=$C$1),'General Inputs'!D$9*$G83,IF(AND(($C83+$C$1)&gt;AF$3,AF$3&gt;=$C$1),'General Inputs'!D$9*$F83,0))</f>
        <v>0</v>
      </c>
      <c r="AG83" s="214">
        <f>IF(AND(($D83+$C$1)&gt;AG$3,AG$3&gt;=$C$1),'General Inputs'!E$9*$G83,IF(AND(($C83+$C$1)&gt;AG$3,AG$3&gt;=$C$1),'General Inputs'!E$9*$F83,0))</f>
        <v>0</v>
      </c>
      <c r="AH83" s="214">
        <f>IF(AND(($D83+$C$1)&gt;AH$3,AH$3&gt;=$C$1),'General Inputs'!F$9*$G83,IF(AND(($C83+$C$1)&gt;AH$3,AH$3&gt;=$C$1),'General Inputs'!F$9*$F83,0))</f>
        <v>10.722680617435234</v>
      </c>
      <c r="AI83" s="214">
        <f>IF(AND(($D83+$C$1)&gt;AI$3,AI$3&gt;=$C$1),'General Inputs'!G$9*$G83,IF(AND(($C83+$C$1)&gt;AI$3,AI$3&gt;=$C$1),'General Inputs'!G$9*$F83,0))</f>
        <v>10.883520826696762</v>
      </c>
      <c r="AJ83" s="214">
        <f>IF(AND(($D83+$C$1)&gt;AJ$3,AJ$3&gt;=$C$1),'General Inputs'!H$9*$G83,IF(AND(($C83+$C$1)&gt;AJ$3,AJ$3&gt;=$C$1),'General Inputs'!H$9*$F83,0))</f>
        <v>11.046773639097211</v>
      </c>
      <c r="AK83" s="214">
        <f>IF(AND(($D83+$C$1)&gt;AK$3,AK$3&gt;=$C$1),'General Inputs'!I$9*$G83,IF(AND(($C83+$C$1)&gt;AK$3,AK$3&gt;=$C$1),'General Inputs'!I$9*$F83,0))</f>
        <v>11.212475243683668</v>
      </c>
      <c r="AL83" s="214">
        <f>IF(AND(($D83+$C$1)&gt;AL$3,AL$3&gt;=$C$1),'General Inputs'!J$9*$G83,IF(AND(($C83+$C$1)&gt;AL$3,AL$3&gt;=$C$1),'General Inputs'!J$9*$F83,0))</f>
        <v>11.380662372338922</v>
      </c>
      <c r="AM83" s="214">
        <f>IF(AND(($D83+$C$1)&gt;AM$3,AM$3&gt;=$C$1),'General Inputs'!K$9*$G83,IF(AND(($C83+$C$1)&gt;AM$3,AM$3&gt;=$C$1),'General Inputs'!K$9*$F83,0))</f>
        <v>11.551372307924003</v>
      </c>
      <c r="AN83" s="214">
        <f>IF(AND(($D83+$C$1)&gt;AN$3,AN$3&gt;=$C$1),'General Inputs'!L$9*$G83,IF(AND(($C83+$C$1)&gt;AN$3,AN$3&gt;=$C$1),'General Inputs'!L$9*$F83,0))</f>
        <v>11.724642892542862</v>
      </c>
      <c r="AO83" s="214">
        <f>IF(AND(($D83+$C$1)&gt;AO$3,AO$3&gt;=$C$1),'General Inputs'!M$9*$G83,IF(AND(($C83+$C$1)&gt;AO$3,AO$3&gt;=$C$1),'General Inputs'!M$9*$F83,0))</f>
        <v>11.900512535931004</v>
      </c>
      <c r="AP83" s="214">
        <f>IF(AND(($D83+$C$1)&gt;AP$3,AP$3&gt;=$C$1),'General Inputs'!N$9*$G83,IF(AND(($C83+$C$1)&gt;AP$3,AP$3&gt;=$C$1),'General Inputs'!N$9*$F83,0))</f>
        <v>12.079020223969968</v>
      </c>
      <c r="AQ83" s="214">
        <f>IF(AND(($D83+$C$1)&gt;AQ$3,AQ$3&gt;=$C$1),'General Inputs'!O$9*$G83,IF(AND(($C83+$C$1)&gt;AQ$3,AQ$3&gt;=$C$1),'General Inputs'!O$9*$F83,0))</f>
        <v>12.260205527329516</v>
      </c>
      <c r="AR83" s="214">
        <f>IF(AND(($D83+$C$1)&gt;AR$3,AR$3&gt;=$C$1),'General Inputs'!P$9*$G83,IF(AND(($C83+$C$1)&gt;AR$3,AR$3&gt;=$C$1),'General Inputs'!P$9*$F83,0))</f>
        <v>12.444108610239457</v>
      </c>
      <c r="AS83" s="214">
        <f>IF(AND(($D83+$C$1)&gt;AS$3,AS$3&gt;=$C$1),'General Inputs'!Q$9*$G83,IF(AND(($C83+$C$1)&gt;AS$3,AS$3&gt;=$C$1),'General Inputs'!Q$9*$F83,0))</f>
        <v>12.630770239393049</v>
      </c>
      <c r="AT83" s="214">
        <f>IF(AND(($D83+$C$1)&gt;AT$3,AT$3&gt;=$C$1),'General Inputs'!R$9*$G83,IF(AND(($C83+$C$1)&gt;AT$3,AT$3&gt;=$C$1),'General Inputs'!R$9*$F83,0))</f>
        <v>12.820231792983943</v>
      </c>
      <c r="AU83" s="214">
        <f>IF(AND(($D83+$C$1)&gt;AU$3,AU$3&gt;=$C$1),'General Inputs'!S$9*$G83,IF(AND(($C83+$C$1)&gt;AU$3,AU$3&gt;=$C$1),'General Inputs'!S$9*$F83,0))</f>
        <v>13.012535269878702</v>
      </c>
      <c r="AV83" s="214">
        <f>IF(AND(($D83+$C$1)&gt;AV$3,AV$3&gt;=$C$1),'General Inputs'!T$9*$G83,IF(AND(($C83+$C$1)&gt;AV$3,AV$3&gt;=$C$1),'General Inputs'!T$9*$F83,0))</f>
        <v>13.207723298926881</v>
      </c>
      <c r="AW83" s="214">
        <f>IF(AND(($D83+$C$1)&gt;AW$3,AW$3&gt;=$C$1),'General Inputs'!U$9*$G83,IF(AND(($C83+$C$1)&gt;AW$3,AW$3&gt;=$C$1),'General Inputs'!U$9*$F83,0))</f>
        <v>13.405839148410784</v>
      </c>
      <c r="AX83" s="214">
        <f>IF(AND(($D83+$C$1)&gt;AX$3,AX$3&gt;=$C$1),'General Inputs'!V$9*$G83,IF(AND(($C83+$C$1)&gt;AX$3,AX$3&gt;=$C$1),'General Inputs'!V$9*$F83,0))</f>
        <v>0</v>
      </c>
      <c r="AY83" s="214">
        <f>IF(AND(($D83+$C$1)&gt;AY$3,AY$3&gt;=$C$1),'General Inputs'!W$9*$G83,IF(AND(($C83+$C$1)&gt;AY$3,AY$3&gt;=$C$1),'General Inputs'!W$9*$F83,0))</f>
        <v>0</v>
      </c>
      <c r="BA83" s="214">
        <f>IF(AND(($D83+$C$1)&gt;AF$3,AF$3&gt;=$C$1),'General Inputs'!D$10*$I83,IF(AND(($C83+$C$1)&gt;AF$3,AF$3&gt;=$C$1),'General Inputs'!D$10*$H83,0))</f>
        <v>0</v>
      </c>
      <c r="BB83" s="214">
        <f>IF(AND(($D83+$C$1)&gt;AG$3,AG$3&gt;=$C$1),'General Inputs'!E$10*$I83,IF(AND(($C83+$C$1)&gt;AG$3,AG$3&gt;=$C$1),'General Inputs'!E$10*$H83,0))</f>
        <v>0</v>
      </c>
      <c r="BC83" s="214">
        <f>IF(AND(($D83+$C$1)&gt;AH$3,AH$3&gt;=$C$1),'General Inputs'!F$10*$I83,IF(AND(($C83+$C$1)&gt;AH$3,AH$3&gt;=$C$1),'General Inputs'!F$10*$H83,0))</f>
        <v>0.62361652941412549</v>
      </c>
      <c r="BD83" s="214">
        <f>IF(AND(($D83+$C$1)&gt;AI$3,AI$3&gt;=$C$1),'General Inputs'!G$10*$I83,IF(AND(($C83+$C$1)&gt;AI$3,AI$3&gt;=$C$1),'General Inputs'!G$10*$H83,0))</f>
        <v>0.63297077735533724</v>
      </c>
      <c r="BE83" s="214">
        <f>IF(AND(($D83+$C$1)&gt;AJ$3,AJ$3&gt;=$C$1),'General Inputs'!H$10*$I83,IF(AND(($C83+$C$1)&gt;AJ$3,AJ$3&gt;=$C$1),'General Inputs'!H$10*$H83,0))</f>
        <v>0.64246533901566727</v>
      </c>
      <c r="BF83" s="214">
        <f>IF(AND(($D83+$C$1)&gt;AK$3,AK$3&gt;=$C$1),'General Inputs'!I$10*$I83,IF(AND(($C83+$C$1)&gt;AK$3,AK$3&gt;=$C$1),'General Inputs'!I$10*$H83,0))</f>
        <v>0.65210231910090222</v>
      </c>
      <c r="BG83" s="214">
        <f>IF(AND(($D83+$C$1)&gt;AL$3,AL$3&gt;=$C$1),'General Inputs'!J$10*$I83,IF(AND(($C83+$C$1)&gt;AL$3,AL$3&gt;=$C$1),'General Inputs'!J$10*$H83,0))</f>
        <v>0.66188385388741566</v>
      </c>
      <c r="BH83" s="214">
        <f>IF(AND(($D83+$C$1)&gt;AM$3,AM$3&gt;=$C$1),'General Inputs'!K$10*$I83,IF(AND(($C83+$C$1)&gt;AM$3,AM$3&gt;=$C$1),'General Inputs'!K$10*$H83,0))</f>
        <v>0.67181211169572685</v>
      </c>
      <c r="BI83" s="214">
        <f>IF(AND(($D83+$C$1)&gt;AN$3,AN$3&gt;=$C$1),'General Inputs'!L$10*$I83,IF(AND(($C83+$C$1)&gt;AN$3,AN$3&gt;=$C$1),'General Inputs'!L$10*$H83,0))</f>
        <v>0.68188929337116266</v>
      </c>
      <c r="BJ83" s="214">
        <f>IF(AND(($D83+$C$1)&gt;AO$3,AO$3&gt;=$C$1),'General Inputs'!M$10*$I83,IF(AND(($C83+$C$1)&gt;AO$3,AO$3&gt;=$C$1),'General Inputs'!M$10*$H83,0))</f>
        <v>0.69211763277173011</v>
      </c>
      <c r="BK83" s="214">
        <f>IF(AND(($D83+$C$1)&gt;AP$3,AP$3&gt;=$C$1),'General Inputs'!N$10*$I83,IF(AND(($C83+$C$1)&gt;AP$3,AP$3&gt;=$C$1),'General Inputs'!N$10*$H83,0))</f>
        <v>0.7024993972633059</v>
      </c>
      <c r="BL83" s="214">
        <f>IF(AND(($D83+$C$1)&gt;AQ$3,AQ$3&gt;=$C$1),'General Inputs'!O$10*$I83,IF(AND(($C83+$C$1)&gt;AQ$3,AQ$3&gt;=$C$1),'General Inputs'!O$10*$H83,0))</f>
        <v>0.71303688822225542</v>
      </c>
      <c r="BM83" s="214">
        <f>IF(AND(($D83+$C$1)&gt;AR$3,AR$3&gt;=$C$1),'General Inputs'!P$10*$I83,IF(AND(($C83+$C$1)&gt;AR$3,AR$3&gt;=$C$1),'General Inputs'!P$10*$H83,0))</f>
        <v>0.72373244154558924</v>
      </c>
      <c r="BN83" s="214">
        <f>IF(AND(($D83+$C$1)&gt;AS$3,AS$3&gt;=$C$1),'General Inputs'!Q$10*$I83,IF(AND(($C83+$C$1)&gt;AS$3,AS$3&gt;=$C$1),'General Inputs'!Q$10*$H83,0))</f>
        <v>0.73458842816877301</v>
      </c>
      <c r="BO83" s="214">
        <f>IF(AND(($D83+$C$1)&gt;AT$3,AT$3&gt;=$C$1),'General Inputs'!R$10*$I83,IF(AND(($C83+$C$1)&gt;AT$3,AT$3&gt;=$C$1),'General Inputs'!R$10*$H83,0))</f>
        <v>0.7456072545913045</v>
      </c>
      <c r="BP83" s="214">
        <f>IF(AND(($D83+$C$1)&gt;AU$3,AU$3&gt;=$C$1),'General Inputs'!S$10*$I83,IF(AND(($C83+$C$1)&gt;AU$3,AU$3&gt;=$C$1),'General Inputs'!S$10*$H83,0))</f>
        <v>0.75679136341017406</v>
      </c>
      <c r="BQ83" s="214">
        <f>IF(AND(($D83+$C$1)&gt;AV$3,AV$3&gt;=$C$1),'General Inputs'!T$10*$I83,IF(AND(($C83+$C$1)&gt;AV$3,AV$3&gt;=$C$1),'General Inputs'!T$10*$H83,0))</f>
        <v>0.76814323386132655</v>
      </c>
      <c r="BR83" s="214">
        <f>IF(AND(($D83+$C$1)&gt;AW$3,AW$3&gt;=$C$1),'General Inputs'!U$10*$I83,IF(AND(($C83+$C$1)&gt;AW$3,AW$3&gt;=$C$1),'General Inputs'!U$10*$H83,0))</f>
        <v>0.77966538236924643</v>
      </c>
      <c r="BS83" s="214">
        <f>IF(AND(($D83+$C$1)&gt;AX$3,AX$3&gt;=$C$1),'General Inputs'!V$10*$I83,IF(AND(($C83+$C$1)&gt;AX$3,AX$3&gt;=$C$1),'General Inputs'!V$10*$H83,0))</f>
        <v>0</v>
      </c>
      <c r="BT83" s="214">
        <f>IF(AND(($D83+$C$1)&gt;AY$3,AY$3&gt;=$C$1),'General Inputs'!W$10*$I83,IF(AND(($C83+$C$1)&gt;AY$3,AY$3&gt;=$C$1),'General Inputs'!W$10*$H83,0))</f>
        <v>0</v>
      </c>
    </row>
    <row r="84" spans="1:72">
      <c r="A84" s="342" t="s">
        <v>112</v>
      </c>
      <c r="B84" s="427" t="str">
        <f>Sources!B84</f>
        <v>LED Linear Replacement Lamp (5-8ft)</v>
      </c>
      <c r="C84" s="193">
        <f>Sources!C84</f>
        <v>16</v>
      </c>
      <c r="D84" s="193">
        <f>Sources!D84</f>
        <v>0</v>
      </c>
      <c r="F84" s="429">
        <f>Sources!F84*EnergyLineLoss</f>
        <v>319.52476875000002</v>
      </c>
      <c r="G84" s="429">
        <f>Sources!G84*EnergyLineLoss</f>
        <v>0</v>
      </c>
      <c r="H84" s="477">
        <f>Sources!H84*PeakLineLoss</f>
        <v>4.9407930000000003E-2</v>
      </c>
      <c r="I84" s="477">
        <f>Sources!I84*PeakLineLoss</f>
        <v>0</v>
      </c>
      <c r="K84" s="419">
        <f>Sources!J84</f>
        <v>9.5</v>
      </c>
      <c r="L84" s="419">
        <f>Sources!K84</f>
        <v>0</v>
      </c>
      <c r="N84" s="438">
        <f t="shared" si="22"/>
        <v>14.562841422129187</v>
      </c>
      <c r="P84" s="215">
        <f t="shared" si="23"/>
        <v>110.36767068393539</v>
      </c>
      <c r="Q84" s="215">
        <f t="shared" si="24"/>
        <v>6.4188337046543218</v>
      </c>
      <c r="R84" s="215">
        <f t="shared" si="25"/>
        <v>8.0194861018760388</v>
      </c>
      <c r="T84" s="214">
        <f t="shared" si="28"/>
        <v>0</v>
      </c>
      <c r="U84" s="214">
        <f t="shared" si="28"/>
        <v>0</v>
      </c>
      <c r="V84" s="214">
        <f t="shared" si="27"/>
        <v>9.5</v>
      </c>
      <c r="W84" s="214">
        <f t="shared" si="27"/>
        <v>0</v>
      </c>
      <c r="X84" s="214">
        <f t="shared" si="27"/>
        <v>0</v>
      </c>
      <c r="Y84" s="214">
        <f t="shared" si="27"/>
        <v>0</v>
      </c>
      <c r="Z84" s="214">
        <f t="shared" si="27"/>
        <v>0</v>
      </c>
      <c r="AA84" s="214">
        <f t="shared" si="27"/>
        <v>0</v>
      </c>
      <c r="AB84" s="214">
        <f t="shared" si="27"/>
        <v>0</v>
      </c>
      <c r="AC84" s="214">
        <f t="shared" si="27"/>
        <v>0</v>
      </c>
      <c r="AD84" s="214">
        <f t="shared" si="27"/>
        <v>0</v>
      </c>
      <c r="AF84" s="214">
        <f>IF(AND(($D84+$C$1)&gt;AF$3,AF$3&gt;=$C$1),'General Inputs'!D$9*$G84,IF(AND(($C84+$C$1)&gt;AF$3,AF$3&gt;=$C$1),'General Inputs'!D$9*$F84,0))</f>
        <v>0</v>
      </c>
      <c r="AG84" s="214">
        <f>IF(AND(($D84+$C$1)&gt;AG$3,AG$3&gt;=$C$1),'General Inputs'!E$9*$G84,IF(AND(($C84+$C$1)&gt;AG$3,AG$3&gt;=$C$1),'General Inputs'!E$9*$F84,0))</f>
        <v>0</v>
      </c>
      <c r="AH84" s="214">
        <f>IF(AND(($D84+$C$1)&gt;AH$3,AH$3&gt;=$C$1),'General Inputs'!F$9*$G84,IF(AND(($C84+$C$1)&gt;AH$3,AH$3&gt;=$C$1),'General Inputs'!F$9*$F84,0))</f>
        <v>13.105498532420844</v>
      </c>
      <c r="AI84" s="214">
        <f>IF(AND(($D84+$C$1)&gt;AI$3,AI$3&gt;=$C$1),'General Inputs'!G$9*$G84,IF(AND(($C84+$C$1)&gt;AI$3,AI$3&gt;=$C$1),'General Inputs'!G$9*$F84,0))</f>
        <v>13.302081010407155</v>
      </c>
      <c r="AJ84" s="214">
        <f>IF(AND(($D84+$C$1)&gt;AJ$3,AJ$3&gt;=$C$1),'General Inputs'!H$9*$G84,IF(AND(($C84+$C$1)&gt;AJ$3,AJ$3&gt;=$C$1),'General Inputs'!H$9*$F84,0))</f>
        <v>13.501612225563262</v>
      </c>
      <c r="AK84" s="214">
        <f>IF(AND(($D84+$C$1)&gt;AK$3,AK$3&gt;=$C$1),'General Inputs'!I$9*$G84,IF(AND(($C84+$C$1)&gt;AK$3,AK$3&gt;=$C$1),'General Inputs'!I$9*$F84,0))</f>
        <v>13.704136408946708</v>
      </c>
      <c r="AL84" s="214">
        <f>IF(AND(($D84+$C$1)&gt;AL$3,AL$3&gt;=$C$1),'General Inputs'!J$9*$G84,IF(AND(($C84+$C$1)&gt;AL$3,AL$3&gt;=$C$1),'General Inputs'!J$9*$F84,0))</f>
        <v>13.909698455080907</v>
      </c>
      <c r="AM84" s="214">
        <f>IF(AND(($D84+$C$1)&gt;AM$3,AM$3&gt;=$C$1),'General Inputs'!K$9*$G84,IF(AND(($C84+$C$1)&gt;AM$3,AM$3&gt;=$C$1),'General Inputs'!K$9*$F84,0))</f>
        <v>14.118343931907118</v>
      </c>
      <c r="AN84" s="214">
        <f>IF(AND(($D84+$C$1)&gt;AN$3,AN$3&gt;=$C$1),'General Inputs'!L$9*$G84,IF(AND(($C84+$C$1)&gt;AN$3,AN$3&gt;=$C$1),'General Inputs'!L$9*$F84,0))</f>
        <v>14.330119090885724</v>
      </c>
      <c r="AO84" s="214">
        <f>IF(AND(($D84+$C$1)&gt;AO$3,AO$3&gt;=$C$1),'General Inputs'!M$9*$G84,IF(AND(($C84+$C$1)&gt;AO$3,AO$3&gt;=$C$1),'General Inputs'!M$9*$F84,0))</f>
        <v>14.545070877249008</v>
      </c>
      <c r="AP84" s="214">
        <f>IF(AND(($D84+$C$1)&gt;AP$3,AP$3&gt;=$C$1),'General Inputs'!N$9*$G84,IF(AND(($C84+$C$1)&gt;AP$3,AP$3&gt;=$C$1),'General Inputs'!N$9*$F84,0))</f>
        <v>14.763246940407742</v>
      </c>
      <c r="AQ84" s="214">
        <f>IF(AND(($D84+$C$1)&gt;AQ$3,AQ$3&gt;=$C$1),'General Inputs'!O$9*$G84,IF(AND(($C84+$C$1)&gt;AQ$3,AQ$3&gt;=$C$1),'General Inputs'!O$9*$F84,0))</f>
        <v>14.984695644513856</v>
      </c>
      <c r="AR84" s="214">
        <f>IF(AND(($D84+$C$1)&gt;AR$3,AR$3&gt;=$C$1),'General Inputs'!P$9*$G84,IF(AND(($C84+$C$1)&gt;AR$3,AR$3&gt;=$C$1),'General Inputs'!P$9*$F84,0))</f>
        <v>15.209466079181563</v>
      </c>
      <c r="AS84" s="214">
        <f>IF(AND(($D84+$C$1)&gt;AS$3,AS$3&gt;=$C$1),'General Inputs'!Q$9*$G84,IF(AND(($C84+$C$1)&gt;AS$3,AS$3&gt;=$C$1),'General Inputs'!Q$9*$F84,0))</f>
        <v>15.437608070369285</v>
      </c>
      <c r="AT84" s="214">
        <f>IF(AND(($D84+$C$1)&gt;AT$3,AT$3&gt;=$C$1),'General Inputs'!R$9*$G84,IF(AND(($C84+$C$1)&gt;AT$3,AT$3&gt;=$C$1),'General Inputs'!R$9*$F84,0))</f>
        <v>15.669172191424824</v>
      </c>
      <c r="AU84" s="214">
        <f>IF(AND(($D84+$C$1)&gt;AU$3,AU$3&gt;=$C$1),'General Inputs'!S$9*$G84,IF(AND(($C84+$C$1)&gt;AU$3,AU$3&gt;=$C$1),'General Inputs'!S$9*$F84,0))</f>
        <v>15.904209774296195</v>
      </c>
      <c r="AV84" s="214">
        <f>IF(AND(($D84+$C$1)&gt;AV$3,AV$3&gt;=$C$1),'General Inputs'!T$9*$G84,IF(AND(($C84+$C$1)&gt;AV$3,AV$3&gt;=$C$1),'General Inputs'!T$9*$F84,0))</f>
        <v>16.142772920910637</v>
      </c>
      <c r="AW84" s="214">
        <f>IF(AND(($D84+$C$1)&gt;AW$3,AW$3&gt;=$C$1),'General Inputs'!U$9*$G84,IF(AND(($C84+$C$1)&gt;AW$3,AW$3&gt;=$C$1),'General Inputs'!U$9*$F84,0))</f>
        <v>16.384914514724297</v>
      </c>
      <c r="AX84" s="214">
        <f>IF(AND(($D84+$C$1)&gt;AX$3,AX$3&gt;=$C$1),'General Inputs'!V$9*$G84,IF(AND(($C84+$C$1)&gt;AX$3,AX$3&gt;=$C$1),'General Inputs'!V$9*$F84,0))</f>
        <v>0</v>
      </c>
      <c r="AY84" s="214">
        <f>IF(AND(($D84+$C$1)&gt;AY$3,AY$3&gt;=$C$1),'General Inputs'!W$9*$G84,IF(AND(($C84+$C$1)&gt;AY$3,AY$3&gt;=$C$1),'General Inputs'!W$9*$F84,0))</f>
        <v>0</v>
      </c>
      <c r="BA84" s="214">
        <f>IF(AND(($D84+$C$1)&gt;AF$3,AF$3&gt;=$C$1),'General Inputs'!D$10*$I84,IF(AND(($C84+$C$1)&gt;AF$3,AF$3&gt;=$C$1),'General Inputs'!D$10*$H84,0))</f>
        <v>0</v>
      </c>
      <c r="BB84" s="214">
        <f>IF(AND(($D84+$C$1)&gt;AG$3,AG$3&gt;=$C$1),'General Inputs'!E$10*$I84,IF(AND(($C84+$C$1)&gt;AG$3,AG$3&gt;=$C$1),'General Inputs'!E$10*$H84,0))</f>
        <v>0</v>
      </c>
      <c r="BC84" s="214">
        <f>IF(AND(($D84+$C$1)&gt;AH$3,AH$3&gt;=$C$1),'General Inputs'!F$10*$I84,IF(AND(($C84+$C$1)&gt;AH$3,AH$3&gt;=$C$1),'General Inputs'!F$10*$H84,0))</f>
        <v>0.76219798039504216</v>
      </c>
      <c r="BD84" s="214">
        <f>IF(AND(($D84+$C$1)&gt;AI$3,AI$3&gt;=$C$1),'General Inputs'!G$10*$I84,IF(AND(($C84+$C$1)&gt;AI$3,AI$3&gt;=$C$1),'General Inputs'!G$10*$H84,0))</f>
        <v>0.77363095010096772</v>
      </c>
      <c r="BE84" s="214">
        <f>IF(AND(($D84+$C$1)&gt;AJ$3,AJ$3&gt;=$C$1),'General Inputs'!H$10*$I84,IF(AND(($C84+$C$1)&gt;AJ$3,AJ$3&gt;=$C$1),'General Inputs'!H$10*$H84,0))</f>
        <v>0.78523541435248223</v>
      </c>
      <c r="BF84" s="214">
        <f>IF(AND(($D84+$C$1)&gt;AK$3,AK$3&gt;=$C$1),'General Inputs'!I$10*$I84,IF(AND(($C84+$C$1)&gt;AK$3,AK$3&gt;=$C$1),'General Inputs'!I$10*$H84,0))</f>
        <v>0.79701394556776928</v>
      </c>
      <c r="BG84" s="214">
        <f>IF(AND(($D84+$C$1)&gt;AL$3,AL$3&gt;=$C$1),'General Inputs'!J$10*$I84,IF(AND(($C84+$C$1)&gt;AL$3,AL$3&gt;=$C$1),'General Inputs'!J$10*$H84,0))</f>
        <v>0.80896915475128572</v>
      </c>
      <c r="BH84" s="214">
        <f>IF(AND(($D84+$C$1)&gt;AM$3,AM$3&gt;=$C$1),'General Inputs'!K$10*$I84,IF(AND(($C84+$C$1)&gt;AM$3,AM$3&gt;=$C$1),'General Inputs'!K$10*$H84,0))</f>
        <v>0.82110369207255496</v>
      </c>
      <c r="BI84" s="214">
        <f>IF(AND(($D84+$C$1)&gt;AN$3,AN$3&gt;=$C$1),'General Inputs'!L$10*$I84,IF(AND(($C84+$C$1)&gt;AN$3,AN$3&gt;=$C$1),'General Inputs'!L$10*$H84,0))</f>
        <v>0.83342024745364329</v>
      </c>
      <c r="BJ84" s="214">
        <f>IF(AND(($D84+$C$1)&gt;AO$3,AO$3&gt;=$C$1),'General Inputs'!M$10*$I84,IF(AND(($C84+$C$1)&gt;AO$3,AO$3&gt;=$C$1),'General Inputs'!M$10*$H84,0))</f>
        <v>0.84592155116544787</v>
      </c>
      <c r="BK84" s="214">
        <f>IF(AND(($D84+$C$1)&gt;AP$3,AP$3&gt;=$C$1),'General Inputs'!N$10*$I84,IF(AND(($C84+$C$1)&gt;AP$3,AP$3&gt;=$C$1),'General Inputs'!N$10*$H84,0))</f>
        <v>0.85861037443292942</v>
      </c>
      <c r="BL84" s="214">
        <f>IF(AND(($D84+$C$1)&gt;AQ$3,AQ$3&gt;=$C$1),'General Inputs'!O$10*$I84,IF(AND(($C84+$C$1)&gt;AQ$3,AQ$3&gt;=$C$1),'General Inputs'!O$10*$H84,0))</f>
        <v>0.87148953004942331</v>
      </c>
      <c r="BM84" s="214">
        <f>IF(AND(($D84+$C$1)&gt;AR$3,AR$3&gt;=$C$1),'General Inputs'!P$10*$I84,IF(AND(($C84+$C$1)&gt;AR$3,AR$3&gt;=$C$1),'General Inputs'!P$10*$H84,0))</f>
        <v>0.88456187300016464</v>
      </c>
      <c r="BN84" s="214">
        <f>IF(AND(($D84+$C$1)&gt;AS$3,AS$3&gt;=$C$1),'General Inputs'!Q$10*$I84,IF(AND(($C84+$C$1)&gt;AS$3,AS$3&gt;=$C$1),'General Inputs'!Q$10*$H84,0))</f>
        <v>0.89783030109516704</v>
      </c>
      <c r="BO84" s="214">
        <f>IF(AND(($D84+$C$1)&gt;AT$3,AT$3&gt;=$C$1),'General Inputs'!R$10*$I84,IF(AND(($C84+$C$1)&gt;AT$3,AT$3&gt;=$C$1),'General Inputs'!R$10*$H84,0))</f>
        <v>0.91129775561159432</v>
      </c>
      <c r="BP84" s="214">
        <f>IF(AND(($D84+$C$1)&gt;AU$3,AU$3&gt;=$C$1),'General Inputs'!S$10*$I84,IF(AND(($C84+$C$1)&gt;AU$3,AU$3&gt;=$C$1),'General Inputs'!S$10*$H84,0))</f>
        <v>0.9249672219457683</v>
      </c>
      <c r="BQ84" s="214">
        <f>IF(AND(($D84+$C$1)&gt;AV$3,AV$3&gt;=$C$1),'General Inputs'!T$10*$I84,IF(AND(($C84+$C$1)&gt;AV$3,AV$3&gt;=$C$1),'General Inputs'!T$10*$H84,0))</f>
        <v>0.93884173027495466</v>
      </c>
      <c r="BR84" s="214">
        <f>IF(AND(($D84+$C$1)&gt;AW$3,AW$3&gt;=$C$1),'General Inputs'!U$10*$I84,IF(AND(($C84+$C$1)&gt;AW$3,AW$3&gt;=$C$1),'General Inputs'!U$10*$H84,0))</f>
        <v>0.95292435622907889</v>
      </c>
      <c r="BS84" s="214">
        <f>IF(AND(($D84+$C$1)&gt;AX$3,AX$3&gt;=$C$1),'General Inputs'!V$10*$I84,IF(AND(($C84+$C$1)&gt;AX$3,AX$3&gt;=$C$1),'General Inputs'!V$10*$H84,0))</f>
        <v>0</v>
      </c>
      <c r="BT84" s="214">
        <f>IF(AND(($D84+$C$1)&gt;AY$3,AY$3&gt;=$C$1),'General Inputs'!W$10*$I84,IF(AND(($C84+$C$1)&gt;AY$3,AY$3&gt;=$C$1),'General Inputs'!W$10*$H84,0))</f>
        <v>0</v>
      </c>
    </row>
    <row r="85" spans="1:72">
      <c r="A85" s="342" t="s">
        <v>112</v>
      </c>
      <c r="B85" s="427" t="str">
        <f>Sources!B85</f>
        <v>≤25 W LED Fixtures (Exterior/Parking Garage)</v>
      </c>
      <c r="C85" s="193">
        <f>Sources!C85</f>
        <v>15</v>
      </c>
      <c r="D85" s="193">
        <f>Sources!D85</f>
        <v>0</v>
      </c>
      <c r="F85" s="429">
        <f>Sources!F85*EnergyLineLoss</f>
        <v>391.76436599999994</v>
      </c>
      <c r="G85" s="429">
        <f>Sources!G85*EnergyLineLoss</f>
        <v>0</v>
      </c>
      <c r="H85" s="477">
        <f>Sources!H85*PeakLineLoss</f>
        <v>0</v>
      </c>
      <c r="I85" s="477">
        <f>Sources!I85*PeakLineLoss</f>
        <v>0</v>
      </c>
      <c r="K85" s="419">
        <f>Sources!J85</f>
        <v>125</v>
      </c>
      <c r="L85" s="419">
        <f>Sources!K85</f>
        <v>0</v>
      </c>
      <c r="N85" s="438">
        <f t="shared" si="22"/>
        <v>1.237311997247861</v>
      </c>
      <c r="P85" s="215">
        <f t="shared" si="23"/>
        <v>130.56061007386455</v>
      </c>
      <c r="Q85" s="215">
        <f t="shared" si="24"/>
        <v>0</v>
      </c>
      <c r="R85" s="215">
        <f t="shared" si="25"/>
        <v>105.51955397205315</v>
      </c>
      <c r="T85" s="214">
        <f t="shared" si="28"/>
        <v>0</v>
      </c>
      <c r="U85" s="214">
        <f t="shared" si="28"/>
        <v>0</v>
      </c>
      <c r="V85" s="214">
        <f t="shared" si="27"/>
        <v>125</v>
      </c>
      <c r="W85" s="214">
        <f t="shared" si="27"/>
        <v>0</v>
      </c>
      <c r="X85" s="214">
        <f t="shared" si="27"/>
        <v>0</v>
      </c>
      <c r="Y85" s="214">
        <f t="shared" si="27"/>
        <v>0</v>
      </c>
      <c r="Z85" s="214">
        <f t="shared" si="27"/>
        <v>0</v>
      </c>
      <c r="AA85" s="214">
        <f t="shared" si="27"/>
        <v>0</v>
      </c>
      <c r="AB85" s="214">
        <f t="shared" si="27"/>
        <v>0</v>
      </c>
      <c r="AC85" s="214">
        <f t="shared" si="27"/>
        <v>0</v>
      </c>
      <c r="AD85" s="214">
        <f t="shared" si="27"/>
        <v>0</v>
      </c>
      <c r="AF85" s="214">
        <f>IF(AND(($D85+$C$1)&gt;AF$3,AF$3&gt;=$C$1),'General Inputs'!D$9*$G85,IF(AND(($C85+$C$1)&gt;AF$3,AF$3&gt;=$C$1),'General Inputs'!D$9*$F85,0))</f>
        <v>0</v>
      </c>
      <c r="AG85" s="214">
        <f>IF(AND(($D85+$C$1)&gt;AG$3,AG$3&gt;=$C$1),'General Inputs'!E$9*$G85,IF(AND(($C85+$C$1)&gt;AG$3,AG$3&gt;=$C$1),'General Inputs'!E$9*$F85,0))</f>
        <v>0</v>
      </c>
      <c r="AH85" s="214">
        <f>IF(AND(($D85+$C$1)&gt;AH$3,AH$3&gt;=$C$1),'General Inputs'!F$9*$G85,IF(AND(($C85+$C$1)&gt;AH$3,AH$3&gt;=$C$1),'General Inputs'!F$9*$F85,0))</f>
        <v>16.068448601819952</v>
      </c>
      <c r="AI85" s="214">
        <f>IF(AND(($D85+$C$1)&gt;AI$3,AI$3&gt;=$C$1),'General Inputs'!G$9*$G85,IF(AND(($C85+$C$1)&gt;AI$3,AI$3&gt;=$C$1),'General Inputs'!G$9*$F85,0))</f>
        <v>16.309475330847253</v>
      </c>
      <c r="AJ85" s="214">
        <f>IF(AND(($D85+$C$1)&gt;AJ$3,AJ$3&gt;=$C$1),'General Inputs'!H$9*$G85,IF(AND(($C85+$C$1)&gt;AJ$3,AJ$3&gt;=$C$1),'General Inputs'!H$9*$F85,0))</f>
        <v>16.554117460809959</v>
      </c>
      <c r="AK85" s="214">
        <f>IF(AND(($D85+$C$1)&gt;AK$3,AK$3&gt;=$C$1),'General Inputs'!I$9*$G85,IF(AND(($C85+$C$1)&gt;AK$3,AK$3&gt;=$C$1),'General Inputs'!I$9*$F85,0))</f>
        <v>16.802429222722104</v>
      </c>
      <c r="AL85" s="214">
        <f>IF(AND(($D85+$C$1)&gt;AL$3,AL$3&gt;=$C$1),'General Inputs'!J$9*$G85,IF(AND(($C85+$C$1)&gt;AL$3,AL$3&gt;=$C$1),'General Inputs'!J$9*$F85,0))</f>
        <v>17.054465661062935</v>
      </c>
      <c r="AM85" s="214">
        <f>IF(AND(($D85+$C$1)&gt;AM$3,AM$3&gt;=$C$1),'General Inputs'!K$9*$G85,IF(AND(($C85+$C$1)&gt;AM$3,AM$3&gt;=$C$1),'General Inputs'!K$9*$F85,0))</f>
        <v>17.310282645978877</v>
      </c>
      <c r="AN85" s="214">
        <f>IF(AND(($D85+$C$1)&gt;AN$3,AN$3&gt;=$C$1),'General Inputs'!L$9*$G85,IF(AND(($C85+$C$1)&gt;AN$3,AN$3&gt;=$C$1),'General Inputs'!L$9*$F85,0))</f>
        <v>17.569936885668557</v>
      </c>
      <c r="AO85" s="214">
        <f>IF(AND(($D85+$C$1)&gt;AO$3,AO$3&gt;=$C$1),'General Inputs'!M$9*$G85,IF(AND(($C85+$C$1)&gt;AO$3,AO$3&gt;=$C$1),'General Inputs'!M$9*$F85,0))</f>
        <v>17.833485938953583</v>
      </c>
      <c r="AP85" s="214">
        <f>IF(AND(($D85+$C$1)&gt;AP$3,AP$3&gt;=$C$1),'General Inputs'!N$9*$G85,IF(AND(($C85+$C$1)&gt;AP$3,AP$3&gt;=$C$1),'General Inputs'!N$9*$F85,0))</f>
        <v>18.100988228037885</v>
      </c>
      <c r="AQ85" s="214">
        <f>IF(AND(($D85+$C$1)&gt;AQ$3,AQ$3&gt;=$C$1),'General Inputs'!O$9*$G85,IF(AND(($C85+$C$1)&gt;AQ$3,AQ$3&gt;=$C$1),'General Inputs'!O$9*$F85,0))</f>
        <v>18.372503051458452</v>
      </c>
      <c r="AR85" s="214">
        <f>IF(AND(($D85+$C$1)&gt;AR$3,AR$3&gt;=$C$1),'General Inputs'!P$9*$G85,IF(AND(($C85+$C$1)&gt;AR$3,AR$3&gt;=$C$1),'General Inputs'!P$9*$F85,0))</f>
        <v>18.648090597230325</v>
      </c>
      <c r="AS85" s="214">
        <f>IF(AND(($D85+$C$1)&gt;AS$3,AS$3&gt;=$C$1),'General Inputs'!Q$9*$G85,IF(AND(($C85+$C$1)&gt;AS$3,AS$3&gt;=$C$1),'General Inputs'!Q$9*$F85,0))</f>
        <v>18.92781195618878</v>
      </c>
      <c r="AT85" s="214">
        <f>IF(AND(($D85+$C$1)&gt;AT$3,AT$3&gt;=$C$1),'General Inputs'!R$9*$G85,IF(AND(($C85+$C$1)&gt;AT$3,AT$3&gt;=$C$1),'General Inputs'!R$9*$F85,0))</f>
        <v>19.211729135531609</v>
      </c>
      <c r="AU85" s="214">
        <f>IF(AND(($D85+$C$1)&gt;AU$3,AU$3&gt;=$C$1),'General Inputs'!S$9*$G85,IF(AND(($C85+$C$1)&gt;AU$3,AU$3&gt;=$C$1),'General Inputs'!S$9*$F85,0))</f>
        <v>19.499905072564584</v>
      </c>
      <c r="AV85" s="214">
        <f>IF(AND(($D85+$C$1)&gt;AV$3,AV$3&gt;=$C$1),'General Inputs'!T$9*$G85,IF(AND(($C85+$C$1)&gt;AV$3,AV$3&gt;=$C$1),'General Inputs'!T$9*$F85,0))</f>
        <v>19.792403648653053</v>
      </c>
      <c r="AW85" s="214">
        <f>IF(AND(($D85+$C$1)&gt;AW$3,AW$3&gt;=$C$1),'General Inputs'!U$9*$G85,IF(AND(($C85+$C$1)&gt;AW$3,AW$3&gt;=$C$1),'General Inputs'!U$9*$F85,0))</f>
        <v>0</v>
      </c>
      <c r="AX85" s="214">
        <f>IF(AND(($D85+$C$1)&gt;AX$3,AX$3&gt;=$C$1),'General Inputs'!V$9*$G85,IF(AND(($C85+$C$1)&gt;AX$3,AX$3&gt;=$C$1),'General Inputs'!V$9*$F85,0))</f>
        <v>0</v>
      </c>
      <c r="AY85" s="214">
        <f>IF(AND(($D85+$C$1)&gt;AY$3,AY$3&gt;=$C$1),'General Inputs'!W$9*$G85,IF(AND(($C85+$C$1)&gt;AY$3,AY$3&gt;=$C$1),'General Inputs'!W$9*$F85,0))</f>
        <v>0</v>
      </c>
      <c r="BA85" s="214">
        <f>IF(AND(($D85+$C$1)&gt;AF$3,AF$3&gt;=$C$1),'General Inputs'!D$10*$I85,IF(AND(($C85+$C$1)&gt;AF$3,AF$3&gt;=$C$1),'General Inputs'!D$10*$H85,0))</f>
        <v>0</v>
      </c>
      <c r="BB85" s="214">
        <f>IF(AND(($D85+$C$1)&gt;AG$3,AG$3&gt;=$C$1),'General Inputs'!E$10*$I85,IF(AND(($C85+$C$1)&gt;AG$3,AG$3&gt;=$C$1),'General Inputs'!E$10*$H85,0))</f>
        <v>0</v>
      </c>
      <c r="BC85" s="214">
        <f>IF(AND(($D85+$C$1)&gt;AH$3,AH$3&gt;=$C$1),'General Inputs'!F$10*$I85,IF(AND(($C85+$C$1)&gt;AH$3,AH$3&gt;=$C$1),'General Inputs'!F$10*$H85,0))</f>
        <v>0</v>
      </c>
      <c r="BD85" s="214">
        <f>IF(AND(($D85+$C$1)&gt;AI$3,AI$3&gt;=$C$1),'General Inputs'!G$10*$I85,IF(AND(($C85+$C$1)&gt;AI$3,AI$3&gt;=$C$1),'General Inputs'!G$10*$H85,0))</f>
        <v>0</v>
      </c>
      <c r="BE85" s="214">
        <f>IF(AND(($D85+$C$1)&gt;AJ$3,AJ$3&gt;=$C$1),'General Inputs'!H$10*$I85,IF(AND(($C85+$C$1)&gt;AJ$3,AJ$3&gt;=$C$1),'General Inputs'!H$10*$H85,0))</f>
        <v>0</v>
      </c>
      <c r="BF85" s="214">
        <f>IF(AND(($D85+$C$1)&gt;AK$3,AK$3&gt;=$C$1),'General Inputs'!I$10*$I85,IF(AND(($C85+$C$1)&gt;AK$3,AK$3&gt;=$C$1),'General Inputs'!I$10*$H85,0))</f>
        <v>0</v>
      </c>
      <c r="BG85" s="214">
        <f>IF(AND(($D85+$C$1)&gt;AL$3,AL$3&gt;=$C$1),'General Inputs'!J$10*$I85,IF(AND(($C85+$C$1)&gt;AL$3,AL$3&gt;=$C$1),'General Inputs'!J$10*$H85,0))</f>
        <v>0</v>
      </c>
      <c r="BH85" s="214">
        <f>IF(AND(($D85+$C$1)&gt;AM$3,AM$3&gt;=$C$1),'General Inputs'!K$10*$I85,IF(AND(($C85+$C$1)&gt;AM$3,AM$3&gt;=$C$1),'General Inputs'!K$10*$H85,0))</f>
        <v>0</v>
      </c>
      <c r="BI85" s="214">
        <f>IF(AND(($D85+$C$1)&gt;AN$3,AN$3&gt;=$C$1),'General Inputs'!L$10*$I85,IF(AND(($C85+$C$1)&gt;AN$3,AN$3&gt;=$C$1),'General Inputs'!L$10*$H85,0))</f>
        <v>0</v>
      </c>
      <c r="BJ85" s="214">
        <f>IF(AND(($D85+$C$1)&gt;AO$3,AO$3&gt;=$C$1),'General Inputs'!M$10*$I85,IF(AND(($C85+$C$1)&gt;AO$3,AO$3&gt;=$C$1),'General Inputs'!M$10*$H85,0))</f>
        <v>0</v>
      </c>
      <c r="BK85" s="214">
        <f>IF(AND(($D85+$C$1)&gt;AP$3,AP$3&gt;=$C$1),'General Inputs'!N$10*$I85,IF(AND(($C85+$C$1)&gt;AP$3,AP$3&gt;=$C$1),'General Inputs'!N$10*$H85,0))</f>
        <v>0</v>
      </c>
      <c r="BL85" s="214">
        <f>IF(AND(($D85+$C$1)&gt;AQ$3,AQ$3&gt;=$C$1),'General Inputs'!O$10*$I85,IF(AND(($C85+$C$1)&gt;AQ$3,AQ$3&gt;=$C$1),'General Inputs'!O$10*$H85,0))</f>
        <v>0</v>
      </c>
      <c r="BM85" s="214">
        <f>IF(AND(($D85+$C$1)&gt;AR$3,AR$3&gt;=$C$1),'General Inputs'!P$10*$I85,IF(AND(($C85+$C$1)&gt;AR$3,AR$3&gt;=$C$1),'General Inputs'!P$10*$H85,0))</f>
        <v>0</v>
      </c>
      <c r="BN85" s="214">
        <f>IF(AND(($D85+$C$1)&gt;AS$3,AS$3&gt;=$C$1),'General Inputs'!Q$10*$I85,IF(AND(($C85+$C$1)&gt;AS$3,AS$3&gt;=$C$1),'General Inputs'!Q$10*$H85,0))</f>
        <v>0</v>
      </c>
      <c r="BO85" s="214">
        <f>IF(AND(($D85+$C$1)&gt;AT$3,AT$3&gt;=$C$1),'General Inputs'!R$10*$I85,IF(AND(($C85+$C$1)&gt;AT$3,AT$3&gt;=$C$1),'General Inputs'!R$10*$H85,0))</f>
        <v>0</v>
      </c>
      <c r="BP85" s="214">
        <f>IF(AND(($D85+$C$1)&gt;AU$3,AU$3&gt;=$C$1),'General Inputs'!S$10*$I85,IF(AND(($C85+$C$1)&gt;AU$3,AU$3&gt;=$C$1),'General Inputs'!S$10*$H85,0))</f>
        <v>0</v>
      </c>
      <c r="BQ85" s="214">
        <f>IF(AND(($D85+$C$1)&gt;AV$3,AV$3&gt;=$C$1),'General Inputs'!T$10*$I85,IF(AND(($C85+$C$1)&gt;AV$3,AV$3&gt;=$C$1),'General Inputs'!T$10*$H85,0))</f>
        <v>0</v>
      </c>
      <c r="BR85" s="214">
        <f>IF(AND(($D85+$C$1)&gt;AW$3,AW$3&gt;=$C$1),'General Inputs'!U$10*$I85,IF(AND(($C85+$C$1)&gt;AW$3,AW$3&gt;=$C$1),'General Inputs'!U$10*$H85,0))</f>
        <v>0</v>
      </c>
      <c r="BS85" s="214">
        <f>IF(AND(($D85+$C$1)&gt;AX$3,AX$3&gt;=$C$1),'General Inputs'!V$10*$I85,IF(AND(($C85+$C$1)&gt;AX$3,AX$3&gt;=$C$1),'General Inputs'!V$10*$H85,0))</f>
        <v>0</v>
      </c>
      <c r="BT85" s="214">
        <f>IF(AND(($D85+$C$1)&gt;AY$3,AY$3&gt;=$C$1),'General Inputs'!W$10*$I85,IF(AND(($C85+$C$1)&gt;AY$3,AY$3&gt;=$C$1),'General Inputs'!W$10*$H85,0))</f>
        <v>0</v>
      </c>
    </row>
    <row r="86" spans="1:72">
      <c r="A86" s="342" t="s">
        <v>112</v>
      </c>
      <c r="B86" s="427" t="str">
        <f>Sources!B86</f>
        <v>25≤60 W LED Fixtures (Exterior/Parking Garage)</v>
      </c>
      <c r="C86" s="193">
        <f>Sources!C86</f>
        <v>15</v>
      </c>
      <c r="D86" s="193">
        <f>Sources!D86</f>
        <v>0</v>
      </c>
      <c r="F86" s="429">
        <f>Sources!F86*EnergyLineLoss</f>
        <v>483.31195200000002</v>
      </c>
      <c r="G86" s="429">
        <f>Sources!G86*EnergyLineLoss</f>
        <v>0</v>
      </c>
      <c r="H86" s="477">
        <f>Sources!H86*PeakLineLoss</f>
        <v>0</v>
      </c>
      <c r="I86" s="477">
        <f>Sources!I86*PeakLineLoss</f>
        <v>0</v>
      </c>
      <c r="K86" s="419">
        <f>Sources!J86</f>
        <v>250</v>
      </c>
      <c r="L86" s="419">
        <f>Sources!K86</f>
        <v>0</v>
      </c>
      <c r="N86" s="438">
        <f t="shared" si="22"/>
        <v>0.7632236728529852</v>
      </c>
      <c r="P86" s="215">
        <f t="shared" si="23"/>
        <v>161.07004308071842</v>
      </c>
      <c r="Q86" s="215">
        <f t="shared" si="24"/>
        <v>0</v>
      </c>
      <c r="R86" s="215">
        <f t="shared" si="25"/>
        <v>211.03910794410629</v>
      </c>
      <c r="T86" s="214">
        <f t="shared" si="28"/>
        <v>0</v>
      </c>
      <c r="U86" s="214">
        <f t="shared" si="28"/>
        <v>0</v>
      </c>
      <c r="V86" s="214">
        <f t="shared" si="27"/>
        <v>250</v>
      </c>
      <c r="W86" s="214">
        <f t="shared" si="27"/>
        <v>0</v>
      </c>
      <c r="X86" s="214">
        <f t="shared" si="27"/>
        <v>0</v>
      </c>
      <c r="Y86" s="214">
        <f t="shared" si="27"/>
        <v>0</v>
      </c>
      <c r="Z86" s="214">
        <f t="shared" si="27"/>
        <v>0</v>
      </c>
      <c r="AA86" s="214">
        <f t="shared" si="27"/>
        <v>0</v>
      </c>
      <c r="AB86" s="214">
        <f t="shared" si="27"/>
        <v>0</v>
      </c>
      <c r="AC86" s="214">
        <f t="shared" si="27"/>
        <v>0</v>
      </c>
      <c r="AD86" s="214">
        <f t="shared" si="27"/>
        <v>0</v>
      </c>
      <c r="AF86" s="214">
        <f>IF(AND(($D86+$C$1)&gt;AF$3,AF$3&gt;=$C$1),'General Inputs'!D$9*$G86,IF(AND(($C86+$C$1)&gt;AF$3,AF$3&gt;=$C$1),'General Inputs'!D$9*$F86,0))</f>
        <v>0</v>
      </c>
      <c r="AG86" s="214">
        <f>IF(AND(($D86+$C$1)&gt;AG$3,AG$3&gt;=$C$1),'General Inputs'!E$9*$G86,IF(AND(($C86+$C$1)&gt;AG$3,AG$3&gt;=$C$1),'General Inputs'!E$9*$F86,0))</f>
        <v>0</v>
      </c>
      <c r="AH86" s="214">
        <f>IF(AND(($D86+$C$1)&gt;AH$3,AH$3&gt;=$C$1),'General Inputs'!F$9*$G86,IF(AND(($C86+$C$1)&gt;AH$3,AH$3&gt;=$C$1),'General Inputs'!F$9*$F86,0))</f>
        <v>19.823327319558395</v>
      </c>
      <c r="AI86" s="214">
        <f>IF(AND(($D86+$C$1)&gt;AI$3,AI$3&gt;=$C$1),'General Inputs'!G$9*$G86,IF(AND(($C86+$C$1)&gt;AI$3,AI$3&gt;=$C$1),'General Inputs'!G$9*$F86,0))</f>
        <v>20.12067722935177</v>
      </c>
      <c r="AJ86" s="214">
        <f>IF(AND(($D86+$C$1)&gt;AJ$3,AJ$3&gt;=$C$1),'General Inputs'!H$9*$G86,IF(AND(($C86+$C$1)&gt;AJ$3,AJ$3&gt;=$C$1),'General Inputs'!H$9*$F86,0))</f>
        <v>20.422487387792042</v>
      </c>
      <c r="AK86" s="214">
        <f>IF(AND(($D86+$C$1)&gt;AK$3,AK$3&gt;=$C$1),'General Inputs'!I$9*$G86,IF(AND(($C86+$C$1)&gt;AK$3,AK$3&gt;=$C$1),'General Inputs'!I$9*$F86,0))</f>
        <v>20.728824698608921</v>
      </c>
      <c r="AL86" s="214">
        <f>IF(AND(($D86+$C$1)&gt;AL$3,AL$3&gt;=$C$1),'General Inputs'!J$9*$G86,IF(AND(($C86+$C$1)&gt;AL$3,AL$3&gt;=$C$1),'General Inputs'!J$9*$F86,0))</f>
        <v>21.039757069088051</v>
      </c>
      <c r="AM86" s="214">
        <f>IF(AND(($D86+$C$1)&gt;AM$3,AM$3&gt;=$C$1),'General Inputs'!K$9*$G86,IF(AND(($C86+$C$1)&gt;AM$3,AM$3&gt;=$C$1),'General Inputs'!K$9*$F86,0))</f>
        <v>21.35535342512437</v>
      </c>
      <c r="AN86" s="214">
        <f>IF(AND(($D86+$C$1)&gt;AN$3,AN$3&gt;=$C$1),'General Inputs'!L$9*$G86,IF(AND(($C86+$C$1)&gt;AN$3,AN$3&gt;=$C$1),'General Inputs'!L$9*$F86,0))</f>
        <v>21.675683726501234</v>
      </c>
      <c r="AO86" s="214">
        <f>IF(AND(($D86+$C$1)&gt;AO$3,AO$3&gt;=$C$1),'General Inputs'!M$9*$G86,IF(AND(($C86+$C$1)&gt;AO$3,AO$3&gt;=$C$1),'General Inputs'!M$9*$F86,0))</f>
        <v>22.000818982398748</v>
      </c>
      <c r="AP86" s="214">
        <f>IF(AND(($D86+$C$1)&gt;AP$3,AP$3&gt;=$C$1),'General Inputs'!N$9*$G86,IF(AND(($C86+$C$1)&gt;AP$3,AP$3&gt;=$C$1),'General Inputs'!N$9*$F86,0))</f>
        <v>22.330831267134727</v>
      </c>
      <c r="AQ86" s="214">
        <f>IF(AND(($D86+$C$1)&gt;AQ$3,AQ$3&gt;=$C$1),'General Inputs'!O$9*$G86,IF(AND(($C86+$C$1)&gt;AQ$3,AQ$3&gt;=$C$1),'General Inputs'!O$9*$F86,0))</f>
        <v>22.665793736141744</v>
      </c>
      <c r="AR86" s="214">
        <f>IF(AND(($D86+$C$1)&gt;AR$3,AR$3&gt;=$C$1),'General Inputs'!P$9*$G86,IF(AND(($C86+$C$1)&gt;AR$3,AR$3&gt;=$C$1),'General Inputs'!P$9*$F86,0))</f>
        <v>23.005780642183868</v>
      </c>
      <c r="AS86" s="214">
        <f>IF(AND(($D86+$C$1)&gt;AS$3,AS$3&gt;=$C$1),'General Inputs'!Q$9*$G86,IF(AND(($C86+$C$1)&gt;AS$3,AS$3&gt;=$C$1),'General Inputs'!Q$9*$F86,0))</f>
        <v>23.350867351816625</v>
      </c>
      <c r="AT86" s="214">
        <f>IF(AND(($D86+$C$1)&gt;AT$3,AT$3&gt;=$C$1),'General Inputs'!R$9*$G86,IF(AND(($C86+$C$1)&gt;AT$3,AT$3&gt;=$C$1),'General Inputs'!R$9*$F86,0))</f>
        <v>23.701130362093874</v>
      </c>
      <c r="AU86" s="214">
        <f>IF(AND(($D86+$C$1)&gt;AU$3,AU$3&gt;=$C$1),'General Inputs'!S$9*$G86,IF(AND(($C86+$C$1)&gt;AU$3,AU$3&gt;=$C$1),'General Inputs'!S$9*$F86,0))</f>
        <v>24.056647317525282</v>
      </c>
      <c r="AV86" s="214">
        <f>IF(AND(($D86+$C$1)&gt;AV$3,AV$3&gt;=$C$1),'General Inputs'!T$9*$G86,IF(AND(($C86+$C$1)&gt;AV$3,AV$3&gt;=$C$1),'General Inputs'!T$9*$F86,0))</f>
        <v>24.41749702728816</v>
      </c>
      <c r="AW86" s="214">
        <f>IF(AND(($D86+$C$1)&gt;AW$3,AW$3&gt;=$C$1),'General Inputs'!U$9*$G86,IF(AND(($C86+$C$1)&gt;AW$3,AW$3&gt;=$C$1),'General Inputs'!U$9*$F86,0))</f>
        <v>0</v>
      </c>
      <c r="AX86" s="214">
        <f>IF(AND(($D86+$C$1)&gt;AX$3,AX$3&gt;=$C$1),'General Inputs'!V$9*$G86,IF(AND(($C86+$C$1)&gt;AX$3,AX$3&gt;=$C$1),'General Inputs'!V$9*$F86,0))</f>
        <v>0</v>
      </c>
      <c r="AY86" s="214">
        <f>IF(AND(($D86+$C$1)&gt;AY$3,AY$3&gt;=$C$1),'General Inputs'!W$9*$G86,IF(AND(($C86+$C$1)&gt;AY$3,AY$3&gt;=$C$1),'General Inputs'!W$9*$F86,0))</f>
        <v>0</v>
      </c>
      <c r="BA86" s="214">
        <f>IF(AND(($D86+$C$1)&gt;AF$3,AF$3&gt;=$C$1),'General Inputs'!D$10*$I86,IF(AND(($C86+$C$1)&gt;AF$3,AF$3&gt;=$C$1),'General Inputs'!D$10*$H86,0))</f>
        <v>0</v>
      </c>
      <c r="BB86" s="214">
        <f>IF(AND(($D86+$C$1)&gt;AG$3,AG$3&gt;=$C$1),'General Inputs'!E$10*$I86,IF(AND(($C86+$C$1)&gt;AG$3,AG$3&gt;=$C$1),'General Inputs'!E$10*$H86,0))</f>
        <v>0</v>
      </c>
      <c r="BC86" s="214">
        <f>IF(AND(($D86+$C$1)&gt;AH$3,AH$3&gt;=$C$1),'General Inputs'!F$10*$I86,IF(AND(($C86+$C$1)&gt;AH$3,AH$3&gt;=$C$1),'General Inputs'!F$10*$H86,0))</f>
        <v>0</v>
      </c>
      <c r="BD86" s="214">
        <f>IF(AND(($D86+$C$1)&gt;AI$3,AI$3&gt;=$C$1),'General Inputs'!G$10*$I86,IF(AND(($C86+$C$1)&gt;AI$3,AI$3&gt;=$C$1),'General Inputs'!G$10*$H86,0))</f>
        <v>0</v>
      </c>
      <c r="BE86" s="214">
        <f>IF(AND(($D86+$C$1)&gt;AJ$3,AJ$3&gt;=$C$1),'General Inputs'!H$10*$I86,IF(AND(($C86+$C$1)&gt;AJ$3,AJ$3&gt;=$C$1),'General Inputs'!H$10*$H86,0))</f>
        <v>0</v>
      </c>
      <c r="BF86" s="214">
        <f>IF(AND(($D86+$C$1)&gt;AK$3,AK$3&gt;=$C$1),'General Inputs'!I$10*$I86,IF(AND(($C86+$C$1)&gt;AK$3,AK$3&gt;=$C$1),'General Inputs'!I$10*$H86,0))</f>
        <v>0</v>
      </c>
      <c r="BG86" s="214">
        <f>IF(AND(($D86+$C$1)&gt;AL$3,AL$3&gt;=$C$1),'General Inputs'!J$10*$I86,IF(AND(($C86+$C$1)&gt;AL$3,AL$3&gt;=$C$1),'General Inputs'!J$10*$H86,0))</f>
        <v>0</v>
      </c>
      <c r="BH86" s="214">
        <f>IF(AND(($D86+$C$1)&gt;AM$3,AM$3&gt;=$C$1),'General Inputs'!K$10*$I86,IF(AND(($C86+$C$1)&gt;AM$3,AM$3&gt;=$C$1),'General Inputs'!K$10*$H86,0))</f>
        <v>0</v>
      </c>
      <c r="BI86" s="214">
        <f>IF(AND(($D86+$C$1)&gt;AN$3,AN$3&gt;=$C$1),'General Inputs'!L$10*$I86,IF(AND(($C86+$C$1)&gt;AN$3,AN$3&gt;=$C$1),'General Inputs'!L$10*$H86,0))</f>
        <v>0</v>
      </c>
      <c r="BJ86" s="214">
        <f>IF(AND(($D86+$C$1)&gt;AO$3,AO$3&gt;=$C$1),'General Inputs'!M$10*$I86,IF(AND(($C86+$C$1)&gt;AO$3,AO$3&gt;=$C$1),'General Inputs'!M$10*$H86,0))</f>
        <v>0</v>
      </c>
      <c r="BK86" s="214">
        <f>IF(AND(($D86+$C$1)&gt;AP$3,AP$3&gt;=$C$1),'General Inputs'!N$10*$I86,IF(AND(($C86+$C$1)&gt;AP$3,AP$3&gt;=$C$1),'General Inputs'!N$10*$H86,0))</f>
        <v>0</v>
      </c>
      <c r="BL86" s="214">
        <f>IF(AND(($D86+$C$1)&gt;AQ$3,AQ$3&gt;=$C$1),'General Inputs'!O$10*$I86,IF(AND(($C86+$C$1)&gt;AQ$3,AQ$3&gt;=$C$1),'General Inputs'!O$10*$H86,0))</f>
        <v>0</v>
      </c>
      <c r="BM86" s="214">
        <f>IF(AND(($D86+$C$1)&gt;AR$3,AR$3&gt;=$C$1),'General Inputs'!P$10*$I86,IF(AND(($C86+$C$1)&gt;AR$3,AR$3&gt;=$C$1),'General Inputs'!P$10*$H86,0))</f>
        <v>0</v>
      </c>
      <c r="BN86" s="214">
        <f>IF(AND(($D86+$C$1)&gt;AS$3,AS$3&gt;=$C$1),'General Inputs'!Q$10*$I86,IF(AND(($C86+$C$1)&gt;AS$3,AS$3&gt;=$C$1),'General Inputs'!Q$10*$H86,0))</f>
        <v>0</v>
      </c>
      <c r="BO86" s="214">
        <f>IF(AND(($D86+$C$1)&gt;AT$3,AT$3&gt;=$C$1),'General Inputs'!R$10*$I86,IF(AND(($C86+$C$1)&gt;AT$3,AT$3&gt;=$C$1),'General Inputs'!R$10*$H86,0))</f>
        <v>0</v>
      </c>
      <c r="BP86" s="214">
        <f>IF(AND(($D86+$C$1)&gt;AU$3,AU$3&gt;=$C$1),'General Inputs'!S$10*$I86,IF(AND(($C86+$C$1)&gt;AU$3,AU$3&gt;=$C$1),'General Inputs'!S$10*$H86,0))</f>
        <v>0</v>
      </c>
      <c r="BQ86" s="214">
        <f>IF(AND(($D86+$C$1)&gt;AV$3,AV$3&gt;=$C$1),'General Inputs'!T$10*$I86,IF(AND(($C86+$C$1)&gt;AV$3,AV$3&gt;=$C$1),'General Inputs'!T$10*$H86,0))</f>
        <v>0</v>
      </c>
      <c r="BR86" s="214">
        <f>IF(AND(($D86+$C$1)&gt;AW$3,AW$3&gt;=$C$1),'General Inputs'!U$10*$I86,IF(AND(($C86+$C$1)&gt;AW$3,AW$3&gt;=$C$1),'General Inputs'!U$10*$H86,0))</f>
        <v>0</v>
      </c>
      <c r="BS86" s="214">
        <f>IF(AND(($D86+$C$1)&gt;AX$3,AX$3&gt;=$C$1),'General Inputs'!V$10*$I86,IF(AND(($C86+$C$1)&gt;AX$3,AX$3&gt;=$C$1),'General Inputs'!V$10*$H86,0))</f>
        <v>0</v>
      </c>
      <c r="BT86" s="214">
        <f>IF(AND(($D86+$C$1)&gt;AY$3,AY$3&gt;=$C$1),'General Inputs'!W$10*$I86,IF(AND(($C86+$C$1)&gt;AY$3,AY$3&gt;=$C$1),'General Inputs'!W$10*$H86,0))</f>
        <v>0</v>
      </c>
    </row>
    <row r="87" spans="1:72">
      <c r="A87" s="342" t="s">
        <v>112</v>
      </c>
      <c r="B87" s="427" t="str">
        <f>Sources!B87</f>
        <v>60≤155 W LED Fixtures (Exterior/Parking Garage)</v>
      </c>
      <c r="C87" s="193">
        <f>Sources!C87</f>
        <v>15</v>
      </c>
      <c r="D87" s="193">
        <f>Sources!D87</f>
        <v>0</v>
      </c>
      <c r="F87" s="429">
        <f>Sources!F87*EnergyLineLoss</f>
        <v>906.58054799999979</v>
      </c>
      <c r="G87" s="429">
        <f>Sources!G87*EnergyLineLoss</f>
        <v>0</v>
      </c>
      <c r="H87" s="477">
        <f>Sources!H87*PeakLineLoss</f>
        <v>0</v>
      </c>
      <c r="I87" s="477">
        <f>Sources!I87*PeakLineLoss</f>
        <v>0</v>
      </c>
      <c r="K87" s="419">
        <f>Sources!J87</f>
        <v>375</v>
      </c>
      <c r="L87" s="419">
        <f>Sources!K87</f>
        <v>0</v>
      </c>
      <c r="N87" s="438">
        <f t="shared" si="22"/>
        <v>0.95441978721799681</v>
      </c>
      <c r="P87" s="215">
        <f t="shared" si="23"/>
        <v>302.1298507480347</v>
      </c>
      <c r="Q87" s="215">
        <f t="shared" si="24"/>
        <v>0</v>
      </c>
      <c r="R87" s="215">
        <f t="shared" si="25"/>
        <v>316.55866191615945</v>
      </c>
      <c r="T87" s="214">
        <f t="shared" si="28"/>
        <v>0</v>
      </c>
      <c r="U87" s="214">
        <f t="shared" si="28"/>
        <v>0</v>
      </c>
      <c r="V87" s="214">
        <f t="shared" si="27"/>
        <v>375</v>
      </c>
      <c r="W87" s="214">
        <f t="shared" si="27"/>
        <v>0</v>
      </c>
      <c r="X87" s="214">
        <f t="shared" si="27"/>
        <v>0</v>
      </c>
      <c r="Y87" s="214">
        <f t="shared" si="27"/>
        <v>0</v>
      </c>
      <c r="Z87" s="214">
        <f t="shared" si="27"/>
        <v>0</v>
      </c>
      <c r="AA87" s="214">
        <f t="shared" si="27"/>
        <v>0</v>
      </c>
      <c r="AB87" s="214">
        <f t="shared" si="27"/>
        <v>0</v>
      </c>
      <c r="AC87" s="214">
        <f t="shared" si="27"/>
        <v>0</v>
      </c>
      <c r="AD87" s="214">
        <f t="shared" si="27"/>
        <v>0</v>
      </c>
      <c r="AF87" s="214">
        <f>IF(AND(($D87+$C$1)&gt;AF$3,AF$3&gt;=$C$1),'General Inputs'!D$9*$G87,IF(AND(($C87+$C$1)&gt;AF$3,AF$3&gt;=$C$1),'General Inputs'!D$9*$F87,0))</f>
        <v>0</v>
      </c>
      <c r="AG87" s="214">
        <f>IF(AND(($D87+$C$1)&gt;AG$3,AG$3&gt;=$C$1),'General Inputs'!E$9*$G87,IF(AND(($C87+$C$1)&gt;AG$3,AG$3&gt;=$C$1),'General Inputs'!E$9*$F87,0))</f>
        <v>0</v>
      </c>
      <c r="AH87" s="214">
        <f>IF(AND(($D87+$C$1)&gt;AH$3,AH$3&gt;=$C$1),'General Inputs'!F$9*$G87,IF(AND(($C87+$C$1)&gt;AH$3,AH$3&gt;=$C$1),'General Inputs'!F$9*$F87,0))</f>
        <v>37.183940662300479</v>
      </c>
      <c r="AI87" s="214">
        <f>IF(AND(($D87+$C$1)&gt;AI$3,AI$3&gt;=$C$1),'General Inputs'!G$9*$G87,IF(AND(($C87+$C$1)&gt;AI$3,AI$3&gt;=$C$1),'General Inputs'!G$9*$F87,0))</f>
        <v>37.741699772234981</v>
      </c>
      <c r="AJ87" s="214">
        <f>IF(AND(($D87+$C$1)&gt;AJ$3,AJ$3&gt;=$C$1),'General Inputs'!H$9*$G87,IF(AND(($C87+$C$1)&gt;AJ$3,AJ$3&gt;=$C$1),'General Inputs'!H$9*$F87,0))</f>
        <v>38.307825268818497</v>
      </c>
      <c r="AK87" s="214">
        <f>IF(AND(($D87+$C$1)&gt;AK$3,AK$3&gt;=$C$1),'General Inputs'!I$9*$G87,IF(AND(($C87+$C$1)&gt;AK$3,AK$3&gt;=$C$1),'General Inputs'!I$9*$F87,0))</f>
        <v>38.882442647850773</v>
      </c>
      <c r="AL87" s="214">
        <f>IF(AND(($D87+$C$1)&gt;AL$3,AL$3&gt;=$C$1),'General Inputs'!J$9*$G87,IF(AND(($C87+$C$1)&gt;AL$3,AL$3&gt;=$C$1),'General Inputs'!J$9*$F87,0))</f>
        <v>39.465679287568527</v>
      </c>
      <c r="AM87" s="214">
        <f>IF(AND(($D87+$C$1)&gt;AM$3,AM$3&gt;=$C$1),'General Inputs'!K$9*$G87,IF(AND(($C87+$C$1)&gt;AM$3,AM$3&gt;=$C$1),'General Inputs'!K$9*$F87,0))</f>
        <v>40.057664476882046</v>
      </c>
      <c r="AN87" s="214">
        <f>IF(AND(($D87+$C$1)&gt;AN$3,AN$3&gt;=$C$1),'General Inputs'!L$9*$G87,IF(AND(($C87+$C$1)&gt;AN$3,AN$3&gt;=$C$1),'General Inputs'!L$9*$F87,0))</f>
        <v>40.658529444035274</v>
      </c>
      <c r="AO87" s="214">
        <f>IF(AND(($D87+$C$1)&gt;AO$3,AO$3&gt;=$C$1),'General Inputs'!M$9*$G87,IF(AND(($C87+$C$1)&gt;AO$3,AO$3&gt;=$C$1),'General Inputs'!M$9*$F87,0))</f>
        <v>41.268407385695802</v>
      </c>
      <c r="AP87" s="214">
        <f>IF(AND(($D87+$C$1)&gt;AP$3,AP$3&gt;=$C$1),'General Inputs'!N$9*$G87,IF(AND(($C87+$C$1)&gt;AP$3,AP$3&gt;=$C$1),'General Inputs'!N$9*$F87,0))</f>
        <v>41.887433496481236</v>
      </c>
      <c r="AQ87" s="214">
        <f>IF(AND(($D87+$C$1)&gt;AQ$3,AQ$3&gt;=$C$1),'General Inputs'!O$9*$G87,IF(AND(($C87+$C$1)&gt;AQ$3,AQ$3&gt;=$C$1),'General Inputs'!O$9*$F87,0))</f>
        <v>42.515744998928447</v>
      </c>
      <c r="AR87" s="214">
        <f>IF(AND(($D87+$C$1)&gt;AR$3,AR$3&gt;=$C$1),'General Inputs'!P$9*$G87,IF(AND(($C87+$C$1)&gt;AR$3,AR$3&gt;=$C$1),'General Inputs'!P$9*$F87,0))</f>
        <v>43.153481173912368</v>
      </c>
      <c r="AS87" s="214">
        <f>IF(AND(($D87+$C$1)&gt;AS$3,AS$3&gt;=$C$1),'General Inputs'!Q$9*$G87,IF(AND(($C87+$C$1)&gt;AS$3,AS$3&gt;=$C$1),'General Inputs'!Q$9*$F87,0))</f>
        <v>43.800783391521051</v>
      </c>
      <c r="AT87" s="214">
        <f>IF(AND(($D87+$C$1)&gt;AT$3,AT$3&gt;=$C$1),'General Inputs'!R$9*$G87,IF(AND(($C87+$C$1)&gt;AT$3,AT$3&gt;=$C$1),'General Inputs'!R$9*$F87,0))</f>
        <v>44.457795142393863</v>
      </c>
      <c r="AU87" s="214">
        <f>IF(AND(($D87+$C$1)&gt;AU$3,AU$3&gt;=$C$1),'General Inputs'!S$9*$G87,IF(AND(($C87+$C$1)&gt;AU$3,AU$3&gt;=$C$1),'General Inputs'!S$9*$F87,0))</f>
        <v>45.124662069529769</v>
      </c>
      <c r="AV87" s="214">
        <f>IF(AND(($D87+$C$1)&gt;AV$3,AV$3&gt;=$C$1),'General Inputs'!T$9*$G87,IF(AND(($C87+$C$1)&gt;AV$3,AV$3&gt;=$C$1),'General Inputs'!T$9*$F87,0))</f>
        <v>45.801532000572713</v>
      </c>
      <c r="AW87" s="214">
        <f>IF(AND(($D87+$C$1)&gt;AW$3,AW$3&gt;=$C$1),'General Inputs'!U$9*$G87,IF(AND(($C87+$C$1)&gt;AW$3,AW$3&gt;=$C$1),'General Inputs'!U$9*$F87,0))</f>
        <v>0</v>
      </c>
      <c r="AX87" s="214">
        <f>IF(AND(($D87+$C$1)&gt;AX$3,AX$3&gt;=$C$1),'General Inputs'!V$9*$G87,IF(AND(($C87+$C$1)&gt;AX$3,AX$3&gt;=$C$1),'General Inputs'!V$9*$F87,0))</f>
        <v>0</v>
      </c>
      <c r="AY87" s="214">
        <f>IF(AND(($D87+$C$1)&gt;AY$3,AY$3&gt;=$C$1),'General Inputs'!W$9*$G87,IF(AND(($C87+$C$1)&gt;AY$3,AY$3&gt;=$C$1),'General Inputs'!W$9*$F87,0))</f>
        <v>0</v>
      </c>
      <c r="BA87" s="214">
        <f>IF(AND(($D87+$C$1)&gt;AF$3,AF$3&gt;=$C$1),'General Inputs'!D$10*$I87,IF(AND(($C87+$C$1)&gt;AF$3,AF$3&gt;=$C$1),'General Inputs'!D$10*$H87,0))</f>
        <v>0</v>
      </c>
      <c r="BB87" s="214">
        <f>IF(AND(($D87+$C$1)&gt;AG$3,AG$3&gt;=$C$1),'General Inputs'!E$10*$I87,IF(AND(($C87+$C$1)&gt;AG$3,AG$3&gt;=$C$1),'General Inputs'!E$10*$H87,0))</f>
        <v>0</v>
      </c>
      <c r="BC87" s="214">
        <f>IF(AND(($D87+$C$1)&gt;AH$3,AH$3&gt;=$C$1),'General Inputs'!F$10*$I87,IF(AND(($C87+$C$1)&gt;AH$3,AH$3&gt;=$C$1),'General Inputs'!F$10*$H87,0))</f>
        <v>0</v>
      </c>
      <c r="BD87" s="214">
        <f>IF(AND(($D87+$C$1)&gt;AI$3,AI$3&gt;=$C$1),'General Inputs'!G$10*$I87,IF(AND(($C87+$C$1)&gt;AI$3,AI$3&gt;=$C$1),'General Inputs'!G$10*$H87,0))</f>
        <v>0</v>
      </c>
      <c r="BE87" s="214">
        <f>IF(AND(($D87+$C$1)&gt;AJ$3,AJ$3&gt;=$C$1),'General Inputs'!H$10*$I87,IF(AND(($C87+$C$1)&gt;AJ$3,AJ$3&gt;=$C$1),'General Inputs'!H$10*$H87,0))</f>
        <v>0</v>
      </c>
      <c r="BF87" s="214">
        <f>IF(AND(($D87+$C$1)&gt;AK$3,AK$3&gt;=$C$1),'General Inputs'!I$10*$I87,IF(AND(($C87+$C$1)&gt;AK$3,AK$3&gt;=$C$1),'General Inputs'!I$10*$H87,0))</f>
        <v>0</v>
      </c>
      <c r="BG87" s="214">
        <f>IF(AND(($D87+$C$1)&gt;AL$3,AL$3&gt;=$C$1),'General Inputs'!J$10*$I87,IF(AND(($C87+$C$1)&gt;AL$3,AL$3&gt;=$C$1),'General Inputs'!J$10*$H87,0))</f>
        <v>0</v>
      </c>
      <c r="BH87" s="214">
        <f>IF(AND(($D87+$C$1)&gt;AM$3,AM$3&gt;=$C$1),'General Inputs'!K$10*$I87,IF(AND(($C87+$C$1)&gt;AM$3,AM$3&gt;=$C$1),'General Inputs'!K$10*$H87,0))</f>
        <v>0</v>
      </c>
      <c r="BI87" s="214">
        <f>IF(AND(($D87+$C$1)&gt;AN$3,AN$3&gt;=$C$1),'General Inputs'!L$10*$I87,IF(AND(($C87+$C$1)&gt;AN$3,AN$3&gt;=$C$1),'General Inputs'!L$10*$H87,0))</f>
        <v>0</v>
      </c>
      <c r="BJ87" s="214">
        <f>IF(AND(($D87+$C$1)&gt;AO$3,AO$3&gt;=$C$1),'General Inputs'!M$10*$I87,IF(AND(($C87+$C$1)&gt;AO$3,AO$3&gt;=$C$1),'General Inputs'!M$10*$H87,0))</f>
        <v>0</v>
      </c>
      <c r="BK87" s="214">
        <f>IF(AND(($D87+$C$1)&gt;AP$3,AP$3&gt;=$C$1),'General Inputs'!N$10*$I87,IF(AND(($C87+$C$1)&gt;AP$3,AP$3&gt;=$C$1),'General Inputs'!N$10*$H87,0))</f>
        <v>0</v>
      </c>
      <c r="BL87" s="214">
        <f>IF(AND(($D87+$C$1)&gt;AQ$3,AQ$3&gt;=$C$1),'General Inputs'!O$10*$I87,IF(AND(($C87+$C$1)&gt;AQ$3,AQ$3&gt;=$C$1),'General Inputs'!O$10*$H87,0))</f>
        <v>0</v>
      </c>
      <c r="BM87" s="214">
        <f>IF(AND(($D87+$C$1)&gt;AR$3,AR$3&gt;=$C$1),'General Inputs'!P$10*$I87,IF(AND(($C87+$C$1)&gt;AR$3,AR$3&gt;=$C$1),'General Inputs'!P$10*$H87,0))</f>
        <v>0</v>
      </c>
      <c r="BN87" s="214">
        <f>IF(AND(($D87+$C$1)&gt;AS$3,AS$3&gt;=$C$1),'General Inputs'!Q$10*$I87,IF(AND(($C87+$C$1)&gt;AS$3,AS$3&gt;=$C$1),'General Inputs'!Q$10*$H87,0))</f>
        <v>0</v>
      </c>
      <c r="BO87" s="214">
        <f>IF(AND(($D87+$C$1)&gt;AT$3,AT$3&gt;=$C$1),'General Inputs'!R$10*$I87,IF(AND(($C87+$C$1)&gt;AT$3,AT$3&gt;=$C$1),'General Inputs'!R$10*$H87,0))</f>
        <v>0</v>
      </c>
      <c r="BP87" s="214">
        <f>IF(AND(($D87+$C$1)&gt;AU$3,AU$3&gt;=$C$1),'General Inputs'!S$10*$I87,IF(AND(($C87+$C$1)&gt;AU$3,AU$3&gt;=$C$1),'General Inputs'!S$10*$H87,0))</f>
        <v>0</v>
      </c>
      <c r="BQ87" s="214">
        <f>IF(AND(($D87+$C$1)&gt;AV$3,AV$3&gt;=$C$1),'General Inputs'!T$10*$I87,IF(AND(($C87+$C$1)&gt;AV$3,AV$3&gt;=$C$1),'General Inputs'!T$10*$H87,0))</f>
        <v>0</v>
      </c>
      <c r="BR87" s="214">
        <f>IF(AND(($D87+$C$1)&gt;AW$3,AW$3&gt;=$C$1),'General Inputs'!U$10*$I87,IF(AND(($C87+$C$1)&gt;AW$3,AW$3&gt;=$C$1),'General Inputs'!U$10*$H87,0))</f>
        <v>0</v>
      </c>
      <c r="BS87" s="214">
        <f>IF(AND(($D87+$C$1)&gt;AX$3,AX$3&gt;=$C$1),'General Inputs'!V$10*$I87,IF(AND(($C87+$C$1)&gt;AX$3,AX$3&gt;=$C$1),'General Inputs'!V$10*$H87,0))</f>
        <v>0</v>
      </c>
      <c r="BT87" s="214">
        <f>IF(AND(($D87+$C$1)&gt;AY$3,AY$3&gt;=$C$1),'General Inputs'!W$10*$I87,IF(AND(($C87+$C$1)&gt;AY$3,AY$3&gt;=$C$1),'General Inputs'!W$10*$H87,0))</f>
        <v>0</v>
      </c>
    </row>
    <row r="88" spans="1:72">
      <c r="A88" s="342" t="s">
        <v>112</v>
      </c>
      <c r="B88" s="427" t="str">
        <f>Sources!B88</f>
        <v>CAC 65 - 135 kBtuh</v>
      </c>
      <c r="C88" s="193">
        <f>Sources!C88</f>
        <v>15</v>
      </c>
      <c r="D88" s="193">
        <f>Sources!D88</f>
        <v>0</v>
      </c>
      <c r="F88" s="429">
        <f>Sources!F88*EnergyLineLoss</f>
        <v>198.99711538461537</v>
      </c>
      <c r="G88" s="429">
        <f>Sources!G88*EnergyLineLoss</f>
        <v>0</v>
      </c>
      <c r="H88" s="477">
        <f>Sources!H88*PeakLineLoss</f>
        <v>0.30638173076923075</v>
      </c>
      <c r="I88" s="477">
        <f>Sources!I88*PeakLineLoss</f>
        <v>0</v>
      </c>
      <c r="K88" s="419">
        <f>Sources!J88</f>
        <v>700</v>
      </c>
      <c r="L88" s="419">
        <f>Sources!K88</f>
        <v>0</v>
      </c>
      <c r="N88" s="438">
        <f t="shared" ref="N88:N89" si="29">IF(R88&gt;0,(P88+Q88)/R88,"n/a")</f>
        <v>0.17722176051796826</v>
      </c>
      <c r="P88" s="215">
        <f t="shared" ref="P88:P89" si="30">AF88+NPV(DiscountRate,AG88:AY88)</f>
        <v>66.318397083502475</v>
      </c>
      <c r="Q88" s="215">
        <f t="shared" ref="Q88:Q89" si="31">BA88+NPV(DiscountRate,BB88:BT88)</f>
        <v>38.403625210886489</v>
      </c>
      <c r="R88" s="215">
        <f t="shared" ref="R88:R89" si="32">T88+NPV(DiscountRate,U88:AD88)</f>
        <v>590.90950224349763</v>
      </c>
      <c r="T88" s="214">
        <f t="shared" ref="T88:U89" si="33">IF($C$1=T$3,$K88,IF($D88+$C$1=T$3,-$L88,0))</f>
        <v>0</v>
      </c>
      <c r="U88" s="214">
        <f t="shared" si="33"/>
        <v>0</v>
      </c>
      <c r="V88" s="214">
        <f t="shared" ref="V88:AD89" si="34">IF($C$1=V$3,$K88,IF($D88+$C$1=V$3,-$L88,0))</f>
        <v>700</v>
      </c>
      <c r="W88" s="214">
        <f t="shared" si="34"/>
        <v>0</v>
      </c>
      <c r="X88" s="214">
        <f t="shared" si="34"/>
        <v>0</v>
      </c>
      <c r="Y88" s="214">
        <f t="shared" si="34"/>
        <v>0</v>
      </c>
      <c r="Z88" s="214">
        <f t="shared" si="34"/>
        <v>0</v>
      </c>
      <c r="AA88" s="214">
        <f t="shared" si="34"/>
        <v>0</v>
      </c>
      <c r="AB88" s="214">
        <f t="shared" si="34"/>
        <v>0</v>
      </c>
      <c r="AC88" s="214">
        <f t="shared" si="34"/>
        <v>0</v>
      </c>
      <c r="AD88" s="214">
        <f t="shared" si="34"/>
        <v>0</v>
      </c>
      <c r="AF88" s="214">
        <f>IF(AND(($D88+$C$1)&gt;AF$3,AF$3&gt;=$C$1),'General Inputs'!D$9*$G88,IF(AND(($C88+$C$1)&gt;AF$3,AF$3&gt;=$C$1),'General Inputs'!D$9*$F88,0))</f>
        <v>0</v>
      </c>
      <c r="AG88" s="214">
        <f>IF(AND(($D88+$C$1)&gt;AG$3,AG$3&gt;=$C$1),'General Inputs'!E$9*$G88,IF(AND(($C88+$C$1)&gt;AG$3,AG$3&gt;=$C$1),'General Inputs'!E$9*$F88,0))</f>
        <v>0</v>
      </c>
      <c r="AH88" s="214">
        <f>IF(AND(($D88+$C$1)&gt;AH$3,AH$3&gt;=$C$1),'General Inputs'!F$9*$G88,IF(AND(($C88+$C$1)&gt;AH$3,AH$3&gt;=$C$1),'General Inputs'!F$9*$F88,0))</f>
        <v>8.1619851062925086</v>
      </c>
      <c r="AI88" s="214">
        <f>IF(AND(($D88+$C$1)&gt;AI$3,AI$3&gt;=$C$1),'General Inputs'!G$9*$G88,IF(AND(($C88+$C$1)&gt;AI$3,AI$3&gt;=$C$1),'General Inputs'!G$9*$F88,0))</f>
        <v>8.284414882886896</v>
      </c>
      <c r="AJ88" s="214">
        <f>IF(AND(($D88+$C$1)&gt;AJ$3,AJ$3&gt;=$C$1),'General Inputs'!H$9*$G88,IF(AND(($C88+$C$1)&gt;AJ$3,AJ$3&gt;=$C$1),'General Inputs'!H$9*$F88,0))</f>
        <v>8.4086811061301976</v>
      </c>
      <c r="AK88" s="214">
        <f>IF(AND(($D88+$C$1)&gt;AK$3,AK$3&gt;=$C$1),'General Inputs'!I$9*$G88,IF(AND(($C88+$C$1)&gt;AK$3,AK$3&gt;=$C$1),'General Inputs'!I$9*$F88,0))</f>
        <v>8.5348113227221489</v>
      </c>
      <c r="AL88" s="214">
        <f>IF(AND(($D88+$C$1)&gt;AL$3,AL$3&gt;=$C$1),'General Inputs'!J$9*$G88,IF(AND(($C88+$C$1)&gt;AL$3,AL$3&gt;=$C$1),'General Inputs'!J$9*$F88,0))</f>
        <v>8.6628334925629815</v>
      </c>
      <c r="AM88" s="214">
        <f>IF(AND(($D88+$C$1)&gt;AM$3,AM$3&gt;=$C$1),'General Inputs'!K$9*$G88,IF(AND(($C88+$C$1)&gt;AM$3,AM$3&gt;=$C$1),'General Inputs'!K$9*$F88,0))</f>
        <v>8.7927759949514233</v>
      </c>
      <c r="AN88" s="214">
        <f>IF(AND(($D88+$C$1)&gt;AN$3,AN$3&gt;=$C$1),'General Inputs'!L$9*$G88,IF(AND(($C88+$C$1)&gt;AN$3,AN$3&gt;=$C$1),'General Inputs'!L$9*$F88,0))</f>
        <v>8.9246676348756946</v>
      </c>
      <c r="AO88" s="214">
        <f>IF(AND(($D88+$C$1)&gt;AO$3,AO$3&gt;=$C$1),'General Inputs'!M$9*$G88,IF(AND(($C88+$C$1)&gt;AO$3,AO$3&gt;=$C$1),'General Inputs'!M$9*$F88,0))</f>
        <v>9.0585376493988292</v>
      </c>
      <c r="AP88" s="214">
        <f>IF(AND(($D88+$C$1)&gt;AP$3,AP$3&gt;=$C$1),'General Inputs'!N$9*$G88,IF(AND(($C88+$C$1)&gt;AP$3,AP$3&gt;=$C$1),'General Inputs'!N$9*$F88,0))</f>
        <v>9.1944157141398115</v>
      </c>
      <c r="AQ88" s="214">
        <f>IF(AND(($D88+$C$1)&gt;AQ$3,AQ$3&gt;=$C$1),'General Inputs'!O$9*$G88,IF(AND(($C88+$C$1)&gt;AQ$3,AQ$3&gt;=$C$1),'General Inputs'!O$9*$F88,0))</f>
        <v>9.3323319498519073</v>
      </c>
      <c r="AR88" s="214">
        <f>IF(AND(($D88+$C$1)&gt;AR$3,AR$3&gt;=$C$1),'General Inputs'!P$9*$G88,IF(AND(($C88+$C$1)&gt;AR$3,AR$3&gt;=$C$1),'General Inputs'!P$9*$F88,0))</f>
        <v>9.4723169290996836</v>
      </c>
      <c r="AS88" s="214">
        <f>IF(AND(($D88+$C$1)&gt;AS$3,AS$3&gt;=$C$1),'General Inputs'!Q$9*$G88,IF(AND(($C88+$C$1)&gt;AS$3,AS$3&gt;=$C$1),'General Inputs'!Q$9*$F88,0))</f>
        <v>9.6144016830361796</v>
      </c>
      <c r="AT88" s="214">
        <f>IF(AND(($D88+$C$1)&gt;AT$3,AT$3&gt;=$C$1),'General Inputs'!R$9*$G88,IF(AND(($C88+$C$1)&gt;AT$3,AT$3&gt;=$C$1),'General Inputs'!R$9*$F88,0))</f>
        <v>9.7586177082817205</v>
      </c>
      <c r="AU88" s="214">
        <f>IF(AND(($D88+$C$1)&gt;AU$3,AU$3&gt;=$C$1),'General Inputs'!S$9*$G88,IF(AND(($C88+$C$1)&gt;AU$3,AU$3&gt;=$C$1),'General Inputs'!S$9*$F88,0))</f>
        <v>9.9049969739059467</v>
      </c>
      <c r="AV88" s="214">
        <f>IF(AND(($D88+$C$1)&gt;AV$3,AV$3&gt;=$C$1),'General Inputs'!T$9*$G88,IF(AND(($C88+$C$1)&gt;AV$3,AV$3&gt;=$C$1),'General Inputs'!T$9*$F88,0))</f>
        <v>10.053571928514534</v>
      </c>
      <c r="AW88" s="214">
        <f>IF(AND(($D88+$C$1)&gt;AW$3,AW$3&gt;=$C$1),'General Inputs'!U$9*$G88,IF(AND(($C88+$C$1)&gt;AW$3,AW$3&gt;=$C$1),'General Inputs'!U$9*$F88,0))</f>
        <v>0</v>
      </c>
      <c r="AX88" s="214">
        <f>IF(AND(($D88+$C$1)&gt;AX$3,AX$3&gt;=$C$1),'General Inputs'!V$9*$G88,IF(AND(($C88+$C$1)&gt;AX$3,AX$3&gt;=$C$1),'General Inputs'!V$9*$F88,0))</f>
        <v>0</v>
      </c>
      <c r="AY88" s="214">
        <f>IF(AND(($D88+$C$1)&gt;AY$3,AY$3&gt;=$C$1),'General Inputs'!W$9*$G88,IF(AND(($C88+$C$1)&gt;AY$3,AY$3&gt;=$C$1),'General Inputs'!W$9*$F88,0))</f>
        <v>0</v>
      </c>
      <c r="BA88" s="214">
        <f>IF(AND(($D88+$C$1)&gt;AF$3,AF$3&gt;=$C$1),'General Inputs'!D$10*$I88,IF(AND(($C88+$C$1)&gt;AF$3,AF$3&gt;=$C$1),'General Inputs'!D$10*$H88,0))</f>
        <v>0</v>
      </c>
      <c r="BB88" s="214">
        <f>IF(AND(($D88+$C$1)&gt;AG$3,AG$3&gt;=$C$1),'General Inputs'!E$10*$I88,IF(AND(($C88+$C$1)&gt;AG$3,AG$3&gt;=$C$1),'General Inputs'!E$10*$H88,0))</f>
        <v>0</v>
      </c>
      <c r="BC88" s="214">
        <f>IF(AND(($D88+$C$1)&gt;AH$3,AH$3&gt;=$C$1),'General Inputs'!F$10*$I88,IF(AND(($C88+$C$1)&gt;AH$3,AH$3&gt;=$C$1),'General Inputs'!F$10*$H88,0))</f>
        <v>4.7264383758284394</v>
      </c>
      <c r="BD88" s="214">
        <f>IF(AND(($D88+$C$1)&gt;AI$3,AI$3&gt;=$C$1),'General Inputs'!G$10*$I88,IF(AND(($C88+$C$1)&gt;AI$3,AI$3&gt;=$C$1),'General Inputs'!G$10*$H88,0))</f>
        <v>4.7973349514658654</v>
      </c>
      <c r="BE88" s="214">
        <f>IF(AND(($D88+$C$1)&gt;AJ$3,AJ$3&gt;=$C$1),'General Inputs'!H$10*$I88,IF(AND(($C88+$C$1)&gt;AJ$3,AJ$3&gt;=$C$1),'General Inputs'!H$10*$H88,0))</f>
        <v>4.8692949757378532</v>
      </c>
      <c r="BF88" s="214">
        <f>IF(AND(($D88+$C$1)&gt;AK$3,AK$3&gt;=$C$1),'General Inputs'!I$10*$I88,IF(AND(($C88+$C$1)&gt;AK$3,AK$3&gt;=$C$1),'General Inputs'!I$10*$H88,0))</f>
        <v>4.9423344003739205</v>
      </c>
      <c r="BG88" s="214">
        <f>IF(AND(($D88+$C$1)&gt;AL$3,AL$3&gt;=$C$1),'General Inputs'!J$10*$I88,IF(AND(($C88+$C$1)&gt;AL$3,AL$3&gt;=$C$1),'General Inputs'!J$10*$H88,0))</f>
        <v>5.016469416379528</v>
      </c>
      <c r="BH88" s="214">
        <f>IF(AND(($D88+$C$1)&gt;AM$3,AM$3&gt;=$C$1),'General Inputs'!K$10*$I88,IF(AND(($C88+$C$1)&gt;AM$3,AM$3&gt;=$C$1),'General Inputs'!K$10*$H88,0))</f>
        <v>5.0917164576252212</v>
      </c>
      <c r="BI88" s="214">
        <f>IF(AND(($D88+$C$1)&gt;AN$3,AN$3&gt;=$C$1),'General Inputs'!L$10*$I88,IF(AND(($C88+$C$1)&gt;AN$3,AN$3&gt;=$C$1),'General Inputs'!L$10*$H88,0))</f>
        <v>5.1680922044895992</v>
      </c>
      <c r="BJ88" s="214">
        <f>IF(AND(($D88+$C$1)&gt;AO$3,AO$3&gt;=$C$1),'General Inputs'!M$10*$I88,IF(AND(($C88+$C$1)&gt;AO$3,AO$3&gt;=$C$1),'General Inputs'!M$10*$H88,0))</f>
        <v>5.2456135875569423</v>
      </c>
      <c r="BK88" s="214">
        <f>IF(AND(($D88+$C$1)&gt;AP$3,AP$3&gt;=$C$1),'General Inputs'!N$10*$I88,IF(AND(($C88+$C$1)&gt;AP$3,AP$3&gt;=$C$1),'General Inputs'!N$10*$H88,0))</f>
        <v>5.324297791370296</v>
      </c>
      <c r="BL88" s="214">
        <f>IF(AND(($D88+$C$1)&gt;AQ$3,AQ$3&gt;=$C$1),'General Inputs'!O$10*$I88,IF(AND(($C88+$C$1)&gt;AQ$3,AQ$3&gt;=$C$1),'General Inputs'!O$10*$H88,0))</f>
        <v>5.4041622582408495</v>
      </c>
      <c r="BM88" s="214">
        <f>IF(AND(($D88+$C$1)&gt;AR$3,AR$3&gt;=$C$1),'General Inputs'!P$10*$I88,IF(AND(($C88+$C$1)&gt;AR$3,AR$3&gt;=$C$1),'General Inputs'!P$10*$H88,0))</f>
        <v>5.4852246921144623</v>
      </c>
      <c r="BN88" s="214">
        <f>IF(AND(($D88+$C$1)&gt;AS$3,AS$3&gt;=$C$1),'General Inputs'!Q$10*$I88,IF(AND(($C88+$C$1)&gt;AS$3,AS$3&gt;=$C$1),'General Inputs'!Q$10*$H88,0))</f>
        <v>5.5675030624961783</v>
      </c>
      <c r="BO88" s="214">
        <f>IF(AND(($D88+$C$1)&gt;AT$3,AT$3&gt;=$C$1),'General Inputs'!R$10*$I88,IF(AND(($C88+$C$1)&gt;AT$3,AT$3&gt;=$C$1),'General Inputs'!R$10*$H88,0))</f>
        <v>5.6510156084336201</v>
      </c>
      <c r="BP88" s="214">
        <f>IF(AND(($D88+$C$1)&gt;AU$3,AU$3&gt;=$C$1),'General Inputs'!S$10*$I88,IF(AND(($C88+$C$1)&gt;AU$3,AU$3&gt;=$C$1),'General Inputs'!S$10*$H88,0))</f>
        <v>5.7357808425601249</v>
      </c>
      <c r="BQ88" s="214">
        <f>IF(AND(($D88+$C$1)&gt;AV$3,AV$3&gt;=$C$1),'General Inputs'!T$10*$I88,IF(AND(($C88+$C$1)&gt;AV$3,AV$3&gt;=$C$1),'General Inputs'!T$10*$H88,0))</f>
        <v>5.8218175551985256</v>
      </c>
      <c r="BR88" s="214">
        <f>IF(AND(($D88+$C$1)&gt;AW$3,AW$3&gt;=$C$1),'General Inputs'!U$10*$I88,IF(AND(($C88+$C$1)&gt;AW$3,AW$3&gt;=$C$1),'General Inputs'!U$10*$H88,0))</f>
        <v>0</v>
      </c>
      <c r="BS88" s="214">
        <f>IF(AND(($D88+$C$1)&gt;AX$3,AX$3&gt;=$C$1),'General Inputs'!V$10*$I88,IF(AND(($C88+$C$1)&gt;AX$3,AX$3&gt;=$C$1),'General Inputs'!V$10*$H88,0))</f>
        <v>0</v>
      </c>
      <c r="BT88" s="214">
        <f>IF(AND(($D88+$C$1)&gt;AY$3,AY$3&gt;=$C$1),'General Inputs'!W$10*$I88,IF(AND(($C88+$C$1)&gt;AY$3,AY$3&gt;=$C$1),'General Inputs'!W$10*$H88,0))</f>
        <v>0</v>
      </c>
    </row>
    <row r="89" spans="1:72">
      <c r="A89" s="342" t="s">
        <v>112</v>
      </c>
      <c r="B89" s="427" t="str">
        <f>Sources!B89</f>
        <v>CAC 135 - 240 kBtuh</v>
      </c>
      <c r="C89" s="193">
        <f>Sources!C89</f>
        <v>15</v>
      </c>
      <c r="D89" s="193">
        <f>Sources!D89</f>
        <v>0</v>
      </c>
      <c r="F89" s="429">
        <f>Sources!F89*EnergyLineLoss</f>
        <v>405.23048951048952</v>
      </c>
      <c r="G89" s="429">
        <f>Sources!G89*EnergyLineLoss</f>
        <v>0</v>
      </c>
      <c r="H89" s="477">
        <f>Sources!H89*PeakLineLoss</f>
        <v>0.6239046153846155</v>
      </c>
      <c r="I89" s="477">
        <f>Sources!I89*PeakLineLoss</f>
        <v>0</v>
      </c>
      <c r="K89" s="419">
        <f>Sources!J89</f>
        <v>1000</v>
      </c>
      <c r="L89" s="419">
        <f>Sources!K89</f>
        <v>0</v>
      </c>
      <c r="N89" s="438">
        <f t="shared" si="29"/>
        <v>0.25262156408379488</v>
      </c>
      <c r="P89" s="215">
        <f t="shared" si="30"/>
        <v>135.04837224276875</v>
      </c>
      <c r="Q89" s="215">
        <f t="shared" si="31"/>
        <v>78.203745883987082</v>
      </c>
      <c r="R89" s="215">
        <f t="shared" si="32"/>
        <v>844.15643177642517</v>
      </c>
      <c r="T89" s="214">
        <f t="shared" si="33"/>
        <v>0</v>
      </c>
      <c r="U89" s="214">
        <f t="shared" si="33"/>
        <v>0</v>
      </c>
      <c r="V89" s="214">
        <f t="shared" si="34"/>
        <v>1000</v>
      </c>
      <c r="W89" s="214">
        <f t="shared" si="34"/>
        <v>0</v>
      </c>
      <c r="X89" s="214">
        <f t="shared" si="34"/>
        <v>0</v>
      </c>
      <c r="Y89" s="214">
        <f t="shared" si="34"/>
        <v>0</v>
      </c>
      <c r="Z89" s="214">
        <f t="shared" si="34"/>
        <v>0</v>
      </c>
      <c r="AA89" s="214">
        <f t="shared" si="34"/>
        <v>0</v>
      </c>
      <c r="AB89" s="214">
        <f t="shared" si="34"/>
        <v>0</v>
      </c>
      <c r="AC89" s="214">
        <f t="shared" si="34"/>
        <v>0</v>
      </c>
      <c r="AD89" s="214">
        <f t="shared" si="34"/>
        <v>0</v>
      </c>
      <c r="AF89" s="214">
        <f>IF(AND(($D89+$C$1)&gt;AF$3,AF$3&gt;=$C$1),'General Inputs'!D$9*$G89,IF(AND(($C89+$C$1)&gt;AF$3,AF$3&gt;=$C$1),'General Inputs'!D$9*$F89,0))</f>
        <v>0</v>
      </c>
      <c r="AG89" s="214">
        <f>IF(AND(($D89+$C$1)&gt;AG$3,AG$3&gt;=$C$1),'General Inputs'!E$9*$G89,IF(AND(($C89+$C$1)&gt;AG$3,AG$3&gt;=$C$1),'General Inputs'!E$9*$F89,0))</f>
        <v>0</v>
      </c>
      <c r="AH89" s="214">
        <f>IF(AND(($D89+$C$1)&gt;AH$3,AH$3&gt;=$C$1),'General Inputs'!F$9*$G89,IF(AND(($C89+$C$1)&gt;AH$3,AH$3&gt;=$C$1),'General Inputs'!F$9*$F89,0))</f>
        <v>16.620769670995656</v>
      </c>
      <c r="AI89" s="214">
        <f>IF(AND(($D89+$C$1)&gt;AI$3,AI$3&gt;=$C$1),'General Inputs'!G$9*$G89,IF(AND(($C89+$C$1)&gt;AI$3,AI$3&gt;=$C$1),'General Inputs'!G$9*$F89,0))</f>
        <v>16.870081216060591</v>
      </c>
      <c r="AJ89" s="214">
        <f>IF(AND(($D89+$C$1)&gt;AJ$3,AJ$3&gt;=$C$1),'General Inputs'!H$9*$G89,IF(AND(($C89+$C$1)&gt;AJ$3,AJ$3&gt;=$C$1),'General Inputs'!H$9*$F89,0))</f>
        <v>17.123132434301496</v>
      </c>
      <c r="AK89" s="214">
        <f>IF(AND(($D89+$C$1)&gt;AK$3,AK$3&gt;=$C$1),'General Inputs'!I$9*$G89,IF(AND(($C89+$C$1)&gt;AK$3,AK$3&gt;=$C$1),'General Inputs'!I$9*$F89,0))</f>
        <v>17.379979420816017</v>
      </c>
      <c r="AL89" s="214">
        <f>IF(AND(($D89+$C$1)&gt;AL$3,AL$3&gt;=$C$1),'General Inputs'!J$9*$G89,IF(AND(($C89+$C$1)&gt;AL$3,AL$3&gt;=$C$1),'General Inputs'!J$9*$F89,0))</f>
        <v>17.640679112128254</v>
      </c>
      <c r="AM89" s="214">
        <f>IF(AND(($D89+$C$1)&gt;AM$3,AM$3&gt;=$C$1),'General Inputs'!K$9*$G89,IF(AND(($C89+$C$1)&gt;AM$3,AM$3&gt;=$C$1),'General Inputs'!K$9*$F89,0))</f>
        <v>17.905289298810175</v>
      </c>
      <c r="AN89" s="214">
        <f>IF(AND(($D89+$C$1)&gt;AN$3,AN$3&gt;=$C$1),'General Inputs'!L$9*$G89,IF(AND(($C89+$C$1)&gt;AN$3,AN$3&gt;=$C$1),'General Inputs'!L$9*$F89,0))</f>
        <v>18.173868638292326</v>
      </c>
      <c r="AO89" s="214">
        <f>IF(AND(($D89+$C$1)&gt;AO$3,AO$3&gt;=$C$1),'General Inputs'!M$9*$G89,IF(AND(($C89+$C$1)&gt;AO$3,AO$3&gt;=$C$1),'General Inputs'!M$9*$F89,0))</f>
        <v>18.446476667866708</v>
      </c>
      <c r="AP89" s="214">
        <f>IF(AND(($D89+$C$1)&gt;AP$3,AP$3&gt;=$C$1),'General Inputs'!N$9*$G89,IF(AND(($C89+$C$1)&gt;AP$3,AP$3&gt;=$C$1),'General Inputs'!N$9*$F89,0))</f>
        <v>18.723173817884707</v>
      </c>
      <c r="AQ89" s="214">
        <f>IF(AND(($D89+$C$1)&gt;AQ$3,AQ$3&gt;=$C$1),'General Inputs'!O$9*$G89,IF(AND(($C89+$C$1)&gt;AQ$3,AQ$3&gt;=$C$1),'General Inputs'!O$9*$F89,0))</f>
        <v>19.004021425152974</v>
      </c>
      <c r="AR89" s="214">
        <f>IF(AND(($D89+$C$1)&gt;AR$3,AR$3&gt;=$C$1),'General Inputs'!P$9*$G89,IF(AND(($C89+$C$1)&gt;AR$3,AR$3&gt;=$C$1),'General Inputs'!P$9*$F89,0))</f>
        <v>19.289081746530268</v>
      </c>
      <c r="AS89" s="214">
        <f>IF(AND(($D89+$C$1)&gt;AS$3,AS$3&gt;=$C$1),'General Inputs'!Q$9*$G89,IF(AND(($C89+$C$1)&gt;AS$3,AS$3&gt;=$C$1),'General Inputs'!Q$9*$F89,0))</f>
        <v>19.578417972728221</v>
      </c>
      <c r="AT89" s="214">
        <f>IF(AND(($D89+$C$1)&gt;AT$3,AT$3&gt;=$C$1),'General Inputs'!R$9*$G89,IF(AND(($C89+$C$1)&gt;AT$3,AT$3&gt;=$C$1),'General Inputs'!R$9*$F89,0))</f>
        <v>19.872094242319143</v>
      </c>
      <c r="AU89" s="214">
        <f>IF(AND(($D89+$C$1)&gt;AU$3,AU$3&gt;=$C$1),'General Inputs'!S$9*$G89,IF(AND(($C89+$C$1)&gt;AU$3,AU$3&gt;=$C$1),'General Inputs'!S$9*$F89,0))</f>
        <v>20.17017565595393</v>
      </c>
      <c r="AV89" s="214">
        <f>IF(AND(($D89+$C$1)&gt;AV$3,AV$3&gt;=$C$1),'General Inputs'!T$9*$G89,IF(AND(($C89+$C$1)&gt;AV$3,AV$3&gt;=$C$1),'General Inputs'!T$9*$F89,0))</f>
        <v>20.472728290793238</v>
      </c>
      <c r="AW89" s="214">
        <f>IF(AND(($D89+$C$1)&gt;AW$3,AW$3&gt;=$C$1),'General Inputs'!U$9*$G89,IF(AND(($C89+$C$1)&gt;AW$3,AW$3&gt;=$C$1),'General Inputs'!U$9*$F89,0))</f>
        <v>0</v>
      </c>
      <c r="AX89" s="214">
        <f>IF(AND(($D89+$C$1)&gt;AX$3,AX$3&gt;=$C$1),'General Inputs'!V$9*$G89,IF(AND(($C89+$C$1)&gt;AX$3,AX$3&gt;=$C$1),'General Inputs'!V$9*$F89,0))</f>
        <v>0</v>
      </c>
      <c r="AY89" s="214">
        <f>IF(AND(($D89+$C$1)&gt;AY$3,AY$3&gt;=$C$1),'General Inputs'!W$9*$G89,IF(AND(($C89+$C$1)&gt;AY$3,AY$3&gt;=$C$1),'General Inputs'!W$9*$F89,0))</f>
        <v>0</v>
      </c>
      <c r="BA89" s="214">
        <f>IF(AND(($D89+$C$1)&gt;AF$3,AF$3&gt;=$C$1),'General Inputs'!D$10*$I89,IF(AND(($C89+$C$1)&gt;AF$3,AF$3&gt;=$C$1),'General Inputs'!D$10*$H89,0))</f>
        <v>0</v>
      </c>
      <c r="BB89" s="214">
        <f>IF(AND(($D89+$C$1)&gt;AG$3,AG$3&gt;=$C$1),'General Inputs'!E$10*$I89,IF(AND(($C89+$C$1)&gt;AG$3,AG$3&gt;=$C$1),'General Inputs'!E$10*$H89,0))</f>
        <v>0</v>
      </c>
      <c r="BC89" s="214">
        <f>IF(AND(($D89+$C$1)&gt;AH$3,AH$3&gt;=$C$1),'General Inputs'!F$10*$I89,IF(AND(($C89+$C$1)&gt;AH$3,AH$3&gt;=$C$1),'General Inputs'!F$10*$H89,0))</f>
        <v>9.6247472380506434</v>
      </c>
      <c r="BD89" s="214">
        <f>IF(AND(($D89+$C$1)&gt;AI$3,AI$3&gt;=$C$1),'General Inputs'!G$10*$I89,IF(AND(($C89+$C$1)&gt;AI$3,AI$3&gt;=$C$1),'General Inputs'!G$10*$H89,0))</f>
        <v>9.7691184466214018</v>
      </c>
      <c r="BE89" s="214">
        <f>IF(AND(($D89+$C$1)&gt;AJ$3,AJ$3&gt;=$C$1),'General Inputs'!H$10*$I89,IF(AND(($C89+$C$1)&gt;AJ$3,AJ$3&gt;=$C$1),'General Inputs'!H$10*$H89,0))</f>
        <v>9.9156552233207211</v>
      </c>
      <c r="BF89" s="214">
        <f>IF(AND(($D89+$C$1)&gt;AK$3,AK$3&gt;=$C$1),'General Inputs'!I$10*$I89,IF(AND(($C89+$C$1)&gt;AK$3,AK$3&gt;=$C$1),'General Inputs'!I$10*$H89,0))</f>
        <v>10.06439005167053</v>
      </c>
      <c r="BG89" s="214">
        <f>IF(AND(($D89+$C$1)&gt;AL$3,AL$3&gt;=$C$1),'General Inputs'!J$10*$I89,IF(AND(($C89+$C$1)&gt;AL$3,AL$3&gt;=$C$1),'General Inputs'!J$10*$H89,0))</f>
        <v>10.215355902445587</v>
      </c>
      <c r="BH89" s="214">
        <f>IF(AND(($D89+$C$1)&gt;AM$3,AM$3&gt;=$C$1),'General Inputs'!K$10*$I89,IF(AND(($C89+$C$1)&gt;AM$3,AM$3&gt;=$C$1),'General Inputs'!K$10*$H89,0))</f>
        <v>10.368586240982271</v>
      </c>
      <c r="BI89" s="214">
        <f>IF(AND(($D89+$C$1)&gt;AN$3,AN$3&gt;=$C$1),'General Inputs'!L$10*$I89,IF(AND(($C89+$C$1)&gt;AN$3,AN$3&gt;=$C$1),'General Inputs'!L$10*$H89,0))</f>
        <v>10.524115034597004</v>
      </c>
      <c r="BJ89" s="214">
        <f>IF(AND(($D89+$C$1)&gt;AO$3,AO$3&gt;=$C$1),'General Inputs'!M$10*$I89,IF(AND(($C89+$C$1)&gt;AO$3,AO$3&gt;=$C$1),'General Inputs'!M$10*$H89,0))</f>
        <v>10.681976760115958</v>
      </c>
      <c r="BK89" s="214">
        <f>IF(AND(($D89+$C$1)&gt;AP$3,AP$3&gt;=$C$1),'General Inputs'!N$10*$I89,IF(AND(($C89+$C$1)&gt;AP$3,AP$3&gt;=$C$1),'General Inputs'!N$10*$H89,0))</f>
        <v>10.842206411517695</v>
      </c>
      <c r="BL89" s="214">
        <f>IF(AND(($D89+$C$1)&gt;AQ$3,AQ$3&gt;=$C$1),'General Inputs'!O$10*$I89,IF(AND(($C89+$C$1)&gt;AQ$3,AQ$3&gt;=$C$1),'General Inputs'!O$10*$H89,0))</f>
        <v>11.004839507690461</v>
      </c>
      <c r="BM89" s="214">
        <f>IF(AND(($D89+$C$1)&gt;AR$3,AR$3&gt;=$C$1),'General Inputs'!P$10*$I89,IF(AND(($C89+$C$1)&gt;AR$3,AR$3&gt;=$C$1),'General Inputs'!P$10*$H89,0))</f>
        <v>11.169912100305817</v>
      </c>
      <c r="BN89" s="214">
        <f>IF(AND(($D89+$C$1)&gt;AS$3,AS$3&gt;=$C$1),'General Inputs'!Q$10*$I89,IF(AND(($C89+$C$1)&gt;AS$3,AS$3&gt;=$C$1),'General Inputs'!Q$10*$H89,0))</f>
        <v>11.337460781810403</v>
      </c>
      <c r="BO89" s="214">
        <f>IF(AND(($D89+$C$1)&gt;AT$3,AT$3&gt;=$C$1),'General Inputs'!R$10*$I89,IF(AND(($C89+$C$1)&gt;AT$3,AT$3&gt;=$C$1),'General Inputs'!R$10*$H89,0))</f>
        <v>11.507522693537558</v>
      </c>
      <c r="BP89" s="214">
        <f>IF(AND(($D89+$C$1)&gt;AU$3,AU$3&gt;=$C$1),'General Inputs'!S$10*$I89,IF(AND(($C89+$C$1)&gt;AU$3,AU$3&gt;=$C$1),'General Inputs'!S$10*$H89,0))</f>
        <v>11.68013553394062</v>
      </c>
      <c r="BQ89" s="214">
        <f>IF(AND(($D89+$C$1)&gt;AV$3,AV$3&gt;=$C$1),'General Inputs'!T$10*$I89,IF(AND(($C89+$C$1)&gt;AV$3,AV$3&gt;=$C$1),'General Inputs'!T$10*$H89,0))</f>
        <v>11.855337566949729</v>
      </c>
      <c r="BR89" s="214">
        <f>IF(AND(($D89+$C$1)&gt;AW$3,AW$3&gt;=$C$1),'General Inputs'!U$10*$I89,IF(AND(($C89+$C$1)&gt;AW$3,AW$3&gt;=$C$1),'General Inputs'!U$10*$H89,0))</f>
        <v>0</v>
      </c>
      <c r="BS89" s="214">
        <f>IF(AND(($D89+$C$1)&gt;AX$3,AX$3&gt;=$C$1),'General Inputs'!V$10*$I89,IF(AND(($C89+$C$1)&gt;AX$3,AX$3&gt;=$C$1),'General Inputs'!V$10*$H89,0))</f>
        <v>0</v>
      </c>
      <c r="BT89" s="214">
        <f>IF(AND(($D89+$C$1)&gt;AY$3,AY$3&gt;=$C$1),'General Inputs'!W$10*$I89,IF(AND(($C89+$C$1)&gt;AY$3,AY$3&gt;=$C$1),'General Inputs'!W$10*$H89,0))</f>
        <v>0</v>
      </c>
    </row>
    <row r="90" spans="1:72">
      <c r="A90" s="342" t="s">
        <v>112</v>
      </c>
      <c r="B90" s="427" t="str">
        <f>Sources!B90</f>
        <v>CAC 240 - 760 kBtuh</v>
      </c>
      <c r="C90" s="193">
        <f>Sources!C90</f>
        <v>15</v>
      </c>
      <c r="D90" s="193">
        <f>Sources!D90</f>
        <v>0</v>
      </c>
      <c r="F90" s="429">
        <f>Sources!F90*EnergyLineLoss</f>
        <v>709.56685714285868</v>
      </c>
      <c r="G90" s="429">
        <f>Sources!G90*EnergyLineLoss</f>
        <v>0</v>
      </c>
      <c r="H90" s="477">
        <f>Sources!H90*PeakLineLoss</f>
        <v>1.0924697142857167</v>
      </c>
      <c r="I90" s="477">
        <f>Sources!I90*PeakLineLoss</f>
        <v>0</v>
      </c>
      <c r="K90" s="419">
        <f>Sources!J90</f>
        <v>2000</v>
      </c>
      <c r="L90" s="419">
        <f>Sources!K90</f>
        <v>0</v>
      </c>
      <c r="N90" s="438">
        <f t="shared" ref="N90:N104" si="35">IF(R90&gt;0,(P90+Q90)/R90,"n/a")</f>
        <v>0.22117275712642495</v>
      </c>
      <c r="P90" s="215">
        <f t="shared" ref="P90:P104" si="36">AF90+NPV(DiscountRate,AG90:AY90)</f>
        <v>236.47245588631799</v>
      </c>
      <c r="Q90" s="215">
        <f t="shared" ref="Q90:Q104" si="37">BA90+NPV(DiscountRate,BB90:BT90)</f>
        <v>136.93635503767561</v>
      </c>
      <c r="R90" s="215">
        <f t="shared" ref="R90:R104" si="38">T90+NPV(DiscountRate,U90:AD90)</f>
        <v>1688.3128635528503</v>
      </c>
      <c r="T90" s="214">
        <f t="shared" ref="T90:AD104" si="39">IF($C$1=T$3,$K90,IF($D90+$C$1=T$3,-$L90,0))</f>
        <v>0</v>
      </c>
      <c r="U90" s="214">
        <f t="shared" si="39"/>
        <v>0</v>
      </c>
      <c r="V90" s="214">
        <f t="shared" si="39"/>
        <v>2000</v>
      </c>
      <c r="W90" s="214">
        <f t="shared" si="39"/>
        <v>0</v>
      </c>
      <c r="X90" s="214">
        <f t="shared" si="39"/>
        <v>0</v>
      </c>
      <c r="Y90" s="214">
        <f t="shared" si="39"/>
        <v>0</v>
      </c>
      <c r="Z90" s="214">
        <f t="shared" si="39"/>
        <v>0</v>
      </c>
      <c r="AA90" s="214">
        <f t="shared" si="39"/>
        <v>0</v>
      </c>
      <c r="AB90" s="214">
        <f t="shared" si="39"/>
        <v>0</v>
      </c>
      <c r="AC90" s="214">
        <f t="shared" si="39"/>
        <v>0</v>
      </c>
      <c r="AD90" s="214">
        <f t="shared" si="39"/>
        <v>0</v>
      </c>
      <c r="AF90" s="214">
        <f>IF(AND(($D90+$C$1)&gt;AF$3,AF$3&gt;=$C$1),'General Inputs'!D$9*$G90,IF(AND(($C90+$C$1)&gt;AF$3,AF$3&gt;=$C$1),'General Inputs'!D$9*$F90,0))</f>
        <v>0</v>
      </c>
      <c r="AG90" s="214">
        <f>IF(AND(($D90+$C$1)&gt;AG$3,AG$3&gt;=$C$1),'General Inputs'!E$9*$G90,IF(AND(($C90+$C$1)&gt;AG$3,AG$3&gt;=$C$1),'General Inputs'!E$9*$F90,0))</f>
        <v>0</v>
      </c>
      <c r="AH90" s="214">
        <f>IF(AND(($D90+$C$1)&gt;AH$3,AH$3&gt;=$C$1),'General Inputs'!F$9*$G90,IF(AND(($C90+$C$1)&gt;AH$3,AH$3&gt;=$C$1),'General Inputs'!F$9*$F90,0))</f>
        <v>29.103306893294498</v>
      </c>
      <c r="AI90" s="214">
        <f>IF(AND(($D90+$C$1)&gt;AI$3,AI$3&gt;=$C$1),'General Inputs'!G$9*$G90,IF(AND(($C90+$C$1)&gt;AI$3,AI$3&gt;=$C$1),'General Inputs'!G$9*$F90,0))</f>
        <v>29.539856496693911</v>
      </c>
      <c r="AJ90" s="214">
        <f>IF(AND(($D90+$C$1)&gt;AJ$3,AJ$3&gt;=$C$1),'General Inputs'!H$9*$G90,IF(AND(($C90+$C$1)&gt;AJ$3,AJ$3&gt;=$C$1),'General Inputs'!H$9*$F90,0))</f>
        <v>29.982954344144318</v>
      </c>
      <c r="AK90" s="214">
        <f>IF(AND(($D90+$C$1)&gt;AK$3,AK$3&gt;=$C$1),'General Inputs'!I$9*$G90,IF(AND(($C90+$C$1)&gt;AK$3,AK$3&gt;=$C$1),'General Inputs'!I$9*$F90,0))</f>
        <v>30.432698659306478</v>
      </c>
      <c r="AL90" s="214">
        <f>IF(AND(($D90+$C$1)&gt;AL$3,AL$3&gt;=$C$1),'General Inputs'!J$9*$G90,IF(AND(($C90+$C$1)&gt;AL$3,AL$3&gt;=$C$1),'General Inputs'!J$9*$F90,0))</f>
        <v>30.88918913919607</v>
      </c>
      <c r="AM90" s="214">
        <f>IF(AND(($D90+$C$1)&gt;AM$3,AM$3&gt;=$C$1),'General Inputs'!K$9*$G90,IF(AND(($C90+$C$1)&gt;AM$3,AM$3&gt;=$C$1),'General Inputs'!K$9*$F90,0))</f>
        <v>31.352526976284004</v>
      </c>
      <c r="AN90" s="214">
        <f>IF(AND(($D90+$C$1)&gt;AN$3,AN$3&gt;=$C$1),'General Inputs'!L$9*$G90,IF(AND(($C90+$C$1)&gt;AN$3,AN$3&gt;=$C$1),'General Inputs'!L$9*$F90,0))</f>
        <v>31.822814880928263</v>
      </c>
      <c r="AO90" s="214">
        <f>IF(AND(($D90+$C$1)&gt;AO$3,AO$3&gt;=$C$1),'General Inputs'!M$9*$G90,IF(AND(($C90+$C$1)&gt;AO$3,AO$3&gt;=$C$1),'General Inputs'!M$9*$F90,0))</f>
        <v>32.30015710414218</v>
      </c>
      <c r="AP90" s="214">
        <f>IF(AND(($D90+$C$1)&gt;AP$3,AP$3&gt;=$C$1),'General Inputs'!N$9*$G90,IF(AND(($C90+$C$1)&gt;AP$3,AP$3&gt;=$C$1),'General Inputs'!N$9*$F90,0))</f>
        <v>32.784659460704312</v>
      </c>
      <c r="AQ90" s="214">
        <f>IF(AND(($D90+$C$1)&gt;AQ$3,AQ$3&gt;=$C$1),'General Inputs'!O$9*$G90,IF(AND(($C90+$C$1)&gt;AQ$3,AQ$3&gt;=$C$1),'General Inputs'!O$9*$F90,0))</f>
        <v>33.276429352614876</v>
      </c>
      <c r="AR90" s="214">
        <f>IF(AND(($D90+$C$1)&gt;AR$3,AR$3&gt;=$C$1),'General Inputs'!P$9*$G90,IF(AND(($C90+$C$1)&gt;AR$3,AR$3&gt;=$C$1),'General Inputs'!P$9*$F90,0))</f>
        <v>33.775575792904093</v>
      </c>
      <c r="AS90" s="214">
        <f>IF(AND(($D90+$C$1)&gt;AS$3,AS$3&gt;=$C$1),'General Inputs'!Q$9*$G90,IF(AND(($C90+$C$1)&gt;AS$3,AS$3&gt;=$C$1),'General Inputs'!Q$9*$F90,0))</f>
        <v>34.282209429797653</v>
      </c>
      <c r="AT90" s="214">
        <f>IF(AND(($D90+$C$1)&gt;AT$3,AT$3&gt;=$C$1),'General Inputs'!R$9*$G90,IF(AND(($C90+$C$1)&gt;AT$3,AT$3&gt;=$C$1),'General Inputs'!R$9*$F90,0))</f>
        <v>34.796442571244611</v>
      </c>
      <c r="AU90" s="214">
        <f>IF(AND(($D90+$C$1)&gt;AU$3,AU$3&gt;=$C$1),'General Inputs'!S$9*$G90,IF(AND(($C90+$C$1)&gt;AU$3,AU$3&gt;=$C$1),'General Inputs'!S$9*$F90,0))</f>
        <v>35.318389209813283</v>
      </c>
      <c r="AV90" s="214">
        <f>IF(AND(($D90+$C$1)&gt;AV$3,AV$3&gt;=$C$1),'General Inputs'!T$9*$G90,IF(AND(($C90+$C$1)&gt;AV$3,AV$3&gt;=$C$1),'General Inputs'!T$9*$F90,0))</f>
        <v>35.848165047960478</v>
      </c>
      <c r="AW90" s="214">
        <f>IF(AND(($D90+$C$1)&gt;AW$3,AW$3&gt;=$C$1),'General Inputs'!U$9*$G90,IF(AND(($C90+$C$1)&gt;AW$3,AW$3&gt;=$C$1),'General Inputs'!U$9*$F90,0))</f>
        <v>0</v>
      </c>
      <c r="AX90" s="214">
        <f>IF(AND(($D90+$C$1)&gt;AX$3,AX$3&gt;=$C$1),'General Inputs'!V$9*$G90,IF(AND(($C90+$C$1)&gt;AX$3,AX$3&gt;=$C$1),'General Inputs'!V$9*$F90,0))</f>
        <v>0</v>
      </c>
      <c r="AY90" s="214">
        <f>IF(AND(($D90+$C$1)&gt;AY$3,AY$3&gt;=$C$1),'General Inputs'!W$9*$G90,IF(AND(($C90+$C$1)&gt;AY$3,AY$3&gt;=$C$1),'General Inputs'!W$9*$F90,0))</f>
        <v>0</v>
      </c>
      <c r="BA90" s="214">
        <f>IF(AND(($D90+$C$1)&gt;AF$3,AF$3&gt;=$C$1),'General Inputs'!D$10*$I90,IF(AND(($C90+$C$1)&gt;AF$3,AF$3&gt;=$C$1),'General Inputs'!D$10*$H90,0))</f>
        <v>0</v>
      </c>
      <c r="BB90" s="214">
        <f>IF(AND(($D90+$C$1)&gt;AG$3,AG$3&gt;=$C$1),'General Inputs'!E$10*$I90,IF(AND(($C90+$C$1)&gt;AG$3,AG$3&gt;=$C$1),'General Inputs'!E$10*$H90,0))</f>
        <v>0</v>
      </c>
      <c r="BC90" s="214">
        <f>IF(AND(($D90+$C$1)&gt;AH$3,AH$3&gt;=$C$1),'General Inputs'!F$10*$I90,IF(AND(($C90+$C$1)&gt;AH$3,AH$3&gt;=$C$1),'General Inputs'!F$10*$H90,0))</f>
        <v>16.85312883723973</v>
      </c>
      <c r="BD90" s="214">
        <f>IF(AND(($D90+$C$1)&gt;AI$3,AI$3&gt;=$C$1),'General Inputs'!G$10*$I90,IF(AND(($C90+$C$1)&gt;AI$3,AI$3&gt;=$C$1),'General Inputs'!G$10*$H90,0))</f>
        <v>17.105925769798326</v>
      </c>
      <c r="BE90" s="214">
        <f>IF(AND(($D90+$C$1)&gt;AJ$3,AJ$3&gt;=$C$1),'General Inputs'!H$10*$I90,IF(AND(($C90+$C$1)&gt;AJ$3,AJ$3&gt;=$C$1),'General Inputs'!H$10*$H90,0))</f>
        <v>17.362514656345297</v>
      </c>
      <c r="BF90" s="214">
        <f>IF(AND(($D90+$C$1)&gt;AK$3,AK$3&gt;=$C$1),'General Inputs'!I$10*$I90,IF(AND(($C90+$C$1)&gt;AK$3,AK$3&gt;=$C$1),'General Inputs'!I$10*$H90,0))</f>
        <v>17.622952376190476</v>
      </c>
      <c r="BG90" s="214">
        <f>IF(AND(($D90+$C$1)&gt;AL$3,AL$3&gt;=$C$1),'General Inputs'!J$10*$I90,IF(AND(($C90+$C$1)&gt;AL$3,AL$3&gt;=$C$1),'General Inputs'!J$10*$H90,0))</f>
        <v>17.887296661833329</v>
      </c>
      <c r="BH90" s="214">
        <f>IF(AND(($D90+$C$1)&gt;AM$3,AM$3&gt;=$C$1),'General Inputs'!K$10*$I90,IF(AND(($C90+$C$1)&gt;AM$3,AM$3&gt;=$C$1),'General Inputs'!K$10*$H90,0))</f>
        <v>18.155606111760829</v>
      </c>
      <c r="BI90" s="214">
        <f>IF(AND(($D90+$C$1)&gt;AN$3,AN$3&gt;=$C$1),'General Inputs'!L$10*$I90,IF(AND(($C90+$C$1)&gt;AN$3,AN$3&gt;=$C$1),'General Inputs'!L$10*$H90,0))</f>
        <v>18.427940203437238</v>
      </c>
      <c r="BJ90" s="214">
        <f>IF(AND(($D90+$C$1)&gt;AO$3,AO$3&gt;=$C$1),'General Inputs'!M$10*$I90,IF(AND(($C90+$C$1)&gt;AO$3,AO$3&gt;=$C$1),'General Inputs'!M$10*$H90,0))</f>
        <v>18.704359306488797</v>
      </c>
      <c r="BK90" s="214">
        <f>IF(AND(($D90+$C$1)&gt;AP$3,AP$3&gt;=$C$1),'General Inputs'!N$10*$I90,IF(AND(($C90+$C$1)&gt;AP$3,AP$3&gt;=$C$1),'General Inputs'!N$10*$H90,0))</f>
        <v>18.984924696086129</v>
      </c>
      <c r="BL90" s="214">
        <f>IF(AND(($D90+$C$1)&gt;AQ$3,AQ$3&gt;=$C$1),'General Inputs'!O$10*$I90,IF(AND(($C90+$C$1)&gt;AQ$3,AQ$3&gt;=$C$1),'General Inputs'!O$10*$H90,0))</f>
        <v>19.269698566527417</v>
      </c>
      <c r="BM90" s="214">
        <f>IF(AND(($D90+$C$1)&gt;AR$3,AR$3&gt;=$C$1),'General Inputs'!P$10*$I90,IF(AND(($C90+$C$1)&gt;AR$3,AR$3&gt;=$C$1),'General Inputs'!P$10*$H90,0))</f>
        <v>19.558744045025328</v>
      </c>
      <c r="BN90" s="214">
        <f>IF(AND(($D90+$C$1)&gt;AS$3,AS$3&gt;=$C$1),'General Inputs'!Q$10*$I90,IF(AND(($C90+$C$1)&gt;AS$3,AS$3&gt;=$C$1),'General Inputs'!Q$10*$H90,0))</f>
        <v>19.852125205700705</v>
      </c>
      <c r="BO90" s="214">
        <f>IF(AND(($D90+$C$1)&gt;AT$3,AT$3&gt;=$C$1),'General Inputs'!R$10*$I90,IF(AND(($C90+$C$1)&gt;AT$3,AT$3&gt;=$C$1),'General Inputs'!R$10*$H90,0))</f>
        <v>20.149907083786214</v>
      </c>
      <c r="BP90" s="214">
        <f>IF(AND(($D90+$C$1)&gt;AU$3,AU$3&gt;=$C$1),'General Inputs'!S$10*$I90,IF(AND(($C90+$C$1)&gt;AU$3,AU$3&gt;=$C$1),'General Inputs'!S$10*$H90,0))</f>
        <v>20.452155690043007</v>
      </c>
      <c r="BQ90" s="214">
        <f>IF(AND(($D90+$C$1)&gt;AV$3,AV$3&gt;=$C$1),'General Inputs'!T$10*$I90,IF(AND(($C90+$C$1)&gt;AV$3,AV$3&gt;=$C$1),'General Inputs'!T$10*$H90,0))</f>
        <v>20.758938025393647</v>
      </c>
      <c r="BR90" s="214">
        <f>IF(AND(($D90+$C$1)&gt;AW$3,AW$3&gt;=$C$1),'General Inputs'!U$10*$I90,IF(AND(($C90+$C$1)&gt;AW$3,AW$3&gt;=$C$1),'General Inputs'!U$10*$H90,0))</f>
        <v>0</v>
      </c>
      <c r="BS90" s="214">
        <f>IF(AND(($D90+$C$1)&gt;AX$3,AX$3&gt;=$C$1),'General Inputs'!V$10*$I90,IF(AND(($C90+$C$1)&gt;AX$3,AX$3&gt;=$C$1),'General Inputs'!V$10*$H90,0))</f>
        <v>0</v>
      </c>
      <c r="BT90" s="214">
        <f>IF(AND(($D90+$C$1)&gt;AY$3,AY$3&gt;=$C$1),'General Inputs'!W$10*$I90,IF(AND(($C90+$C$1)&gt;AY$3,AY$3&gt;=$C$1),'General Inputs'!W$10*$H90,0))</f>
        <v>0</v>
      </c>
    </row>
    <row r="91" spans="1:72">
      <c r="A91" s="342" t="s">
        <v>112</v>
      </c>
      <c r="B91" s="427" t="str">
        <f>Sources!B91</f>
        <v>CAC &gt;760 kBtuh</v>
      </c>
      <c r="C91" s="193">
        <f>Sources!C91</f>
        <v>15</v>
      </c>
      <c r="D91" s="193">
        <f>Sources!D91</f>
        <v>0</v>
      </c>
      <c r="F91" s="429">
        <f>Sources!F91*EnergyLineLoss</f>
        <v>982.73864417370055</v>
      </c>
      <c r="G91" s="429">
        <f>Sources!G91*EnergyLineLoss</f>
        <v>0</v>
      </c>
      <c r="H91" s="477">
        <f>Sources!H91*PeakLineLoss</f>
        <v>1.5130529209622066</v>
      </c>
      <c r="I91" s="477">
        <f>Sources!I91*PeakLineLoss</f>
        <v>0</v>
      </c>
      <c r="K91" s="419">
        <f>Sources!J91</f>
        <v>6333.333333333333</v>
      </c>
      <c r="L91" s="419">
        <f>Sources!K91</f>
        <v>0</v>
      </c>
      <c r="N91" s="438">
        <f t="shared" si="35"/>
        <v>9.6732852226490404E-2</v>
      </c>
      <c r="P91" s="215">
        <f t="shared" si="36"/>
        <v>327.51053455045701</v>
      </c>
      <c r="Q91" s="215">
        <f t="shared" si="37"/>
        <v>189.65464146632198</v>
      </c>
      <c r="R91" s="215">
        <f t="shared" si="38"/>
        <v>5346.3240679173596</v>
      </c>
      <c r="T91" s="214">
        <f t="shared" si="39"/>
        <v>0</v>
      </c>
      <c r="U91" s="214">
        <f t="shared" si="39"/>
        <v>0</v>
      </c>
      <c r="V91" s="214">
        <f t="shared" si="39"/>
        <v>6333.333333333333</v>
      </c>
      <c r="W91" s="214">
        <f t="shared" si="39"/>
        <v>0</v>
      </c>
      <c r="X91" s="214">
        <f t="shared" si="39"/>
        <v>0</v>
      </c>
      <c r="Y91" s="214">
        <f t="shared" si="39"/>
        <v>0</v>
      </c>
      <c r="Z91" s="214">
        <f t="shared" si="39"/>
        <v>0</v>
      </c>
      <c r="AA91" s="214">
        <f t="shared" si="39"/>
        <v>0</v>
      </c>
      <c r="AB91" s="214">
        <f t="shared" si="39"/>
        <v>0</v>
      </c>
      <c r="AC91" s="214">
        <f t="shared" si="39"/>
        <v>0</v>
      </c>
      <c r="AD91" s="214">
        <f t="shared" si="39"/>
        <v>0</v>
      </c>
      <c r="AF91" s="214">
        <f>IF(AND(($D91+$C$1)&gt;AF$3,AF$3&gt;=$C$1),'General Inputs'!D$9*$G91,IF(AND(($C91+$C$1)&gt;AF$3,AF$3&gt;=$C$1),'General Inputs'!D$9*$F91,0))</f>
        <v>0</v>
      </c>
      <c r="AG91" s="214">
        <f>IF(AND(($D91+$C$1)&gt;AG$3,AG$3&gt;=$C$1),'General Inputs'!E$9*$G91,IF(AND(($C91+$C$1)&gt;AG$3,AG$3&gt;=$C$1),'General Inputs'!E$9*$F91,0))</f>
        <v>0</v>
      </c>
      <c r="AH91" s="214">
        <f>IF(AND(($D91+$C$1)&gt;AH$3,AH$3&gt;=$C$1),'General Inputs'!F$9*$G91,IF(AND(($C91+$C$1)&gt;AH$3,AH$3&gt;=$C$1),'General Inputs'!F$9*$F91,0))</f>
        <v>40.307610296867423</v>
      </c>
      <c r="AI91" s="214">
        <f>IF(AND(($D91+$C$1)&gt;AI$3,AI$3&gt;=$C$1),'General Inputs'!G$9*$G91,IF(AND(($C91+$C$1)&gt;AI$3,AI$3&gt;=$C$1),'General Inputs'!G$9*$F91,0))</f>
        <v>40.912224451320434</v>
      </c>
      <c r="AJ91" s="214">
        <f>IF(AND(($D91+$C$1)&gt;AJ$3,AJ$3&gt;=$C$1),'General Inputs'!H$9*$G91,IF(AND(($C91+$C$1)&gt;AJ$3,AJ$3&gt;=$C$1),'General Inputs'!H$9*$F91,0))</f>
        <v>41.525907818090232</v>
      </c>
      <c r="AK91" s="214">
        <f>IF(AND(($D91+$C$1)&gt;AK$3,AK$3&gt;=$C$1),'General Inputs'!I$9*$G91,IF(AND(($C91+$C$1)&gt;AK$3,AK$3&gt;=$C$1),'General Inputs'!I$9*$F91,0))</f>
        <v>42.148796435361582</v>
      </c>
      <c r="AL91" s="214">
        <f>IF(AND(($D91+$C$1)&gt;AL$3,AL$3&gt;=$C$1),'General Inputs'!J$9*$G91,IF(AND(($C91+$C$1)&gt;AL$3,AL$3&gt;=$C$1),'General Inputs'!J$9*$F91,0))</f>
        <v>42.781028381892</v>
      </c>
      <c r="AM91" s="214">
        <f>IF(AND(($D91+$C$1)&gt;AM$3,AM$3&gt;=$C$1),'General Inputs'!K$9*$G91,IF(AND(($C91+$C$1)&gt;AM$3,AM$3&gt;=$C$1),'General Inputs'!K$9*$F91,0))</f>
        <v>43.422743807620371</v>
      </c>
      <c r="AN91" s="214">
        <f>IF(AND(($D91+$C$1)&gt;AN$3,AN$3&gt;=$C$1),'General Inputs'!L$9*$G91,IF(AND(($C91+$C$1)&gt;AN$3,AN$3&gt;=$C$1),'General Inputs'!L$9*$F91,0))</f>
        <v>44.074084964734674</v>
      </c>
      <c r="AO91" s="214">
        <f>IF(AND(($D91+$C$1)&gt;AO$3,AO$3&gt;=$C$1),'General Inputs'!M$9*$G91,IF(AND(($C91+$C$1)&gt;AO$3,AO$3&gt;=$C$1),'General Inputs'!M$9*$F91,0))</f>
        <v>44.735196239205685</v>
      </c>
      <c r="AP91" s="214">
        <f>IF(AND(($D91+$C$1)&gt;AP$3,AP$3&gt;=$C$1),'General Inputs'!N$9*$G91,IF(AND(($C91+$C$1)&gt;AP$3,AP$3&gt;=$C$1),'General Inputs'!N$9*$F91,0))</f>
        <v>45.406224182793771</v>
      </c>
      <c r="AQ91" s="214">
        <f>IF(AND(($D91+$C$1)&gt;AQ$3,AQ$3&gt;=$C$1),'General Inputs'!O$9*$G91,IF(AND(($C91+$C$1)&gt;AQ$3,AQ$3&gt;=$C$1),'General Inputs'!O$9*$F91,0))</f>
        <v>46.087317545535669</v>
      </c>
      <c r="AR91" s="214">
        <f>IF(AND(($D91+$C$1)&gt;AR$3,AR$3&gt;=$C$1),'General Inputs'!P$9*$G91,IF(AND(($C91+$C$1)&gt;AR$3,AR$3&gt;=$C$1),'General Inputs'!P$9*$F91,0))</f>
        <v>46.778627308718697</v>
      </c>
      <c r="AS91" s="214">
        <f>IF(AND(($D91+$C$1)&gt;AS$3,AS$3&gt;=$C$1),'General Inputs'!Q$9*$G91,IF(AND(($C91+$C$1)&gt;AS$3,AS$3&gt;=$C$1),'General Inputs'!Q$9*$F91,0))</f>
        <v>47.480306718349475</v>
      </c>
      <c r="AT91" s="214">
        <f>IF(AND(($D91+$C$1)&gt;AT$3,AT$3&gt;=$C$1),'General Inputs'!R$9*$G91,IF(AND(($C91+$C$1)&gt;AT$3,AT$3&gt;=$C$1),'General Inputs'!R$9*$F91,0))</f>
        <v>48.192511319124719</v>
      </c>
      <c r="AU91" s="214">
        <f>IF(AND(($D91+$C$1)&gt;AU$3,AU$3&gt;=$C$1),'General Inputs'!S$9*$G91,IF(AND(($C91+$C$1)&gt;AU$3,AU$3&gt;=$C$1),'General Inputs'!S$9*$F91,0))</f>
        <v>48.915398988911583</v>
      </c>
      <c r="AV91" s="214">
        <f>IF(AND(($D91+$C$1)&gt;AV$3,AV$3&gt;=$C$1),'General Inputs'!T$9*$G91,IF(AND(($C91+$C$1)&gt;AV$3,AV$3&gt;=$C$1),'General Inputs'!T$9*$F91,0))</f>
        <v>49.649129973745254</v>
      </c>
      <c r="AW91" s="214">
        <f>IF(AND(($D91+$C$1)&gt;AW$3,AW$3&gt;=$C$1),'General Inputs'!U$9*$G91,IF(AND(($C91+$C$1)&gt;AW$3,AW$3&gt;=$C$1),'General Inputs'!U$9*$F91,0))</f>
        <v>0</v>
      </c>
      <c r="AX91" s="214">
        <f>IF(AND(($D91+$C$1)&gt;AX$3,AX$3&gt;=$C$1),'General Inputs'!V$9*$G91,IF(AND(($C91+$C$1)&gt;AX$3,AX$3&gt;=$C$1),'General Inputs'!V$9*$F91,0))</f>
        <v>0</v>
      </c>
      <c r="AY91" s="214">
        <f>IF(AND(($D91+$C$1)&gt;AY$3,AY$3&gt;=$C$1),'General Inputs'!W$9*$G91,IF(AND(($C91+$C$1)&gt;AY$3,AY$3&gt;=$C$1),'General Inputs'!W$9*$F91,0))</f>
        <v>0</v>
      </c>
      <c r="BA91" s="214">
        <f>IF(AND(($D91+$C$1)&gt;AF$3,AF$3&gt;=$C$1),'General Inputs'!D$10*$I91,IF(AND(($C91+$C$1)&gt;AF$3,AF$3&gt;=$C$1),'General Inputs'!D$10*$H91,0))</f>
        <v>0</v>
      </c>
      <c r="BB91" s="214">
        <f>IF(AND(($D91+$C$1)&gt;AG$3,AG$3&gt;=$C$1),'General Inputs'!E$10*$I91,IF(AND(($C91+$C$1)&gt;AG$3,AG$3&gt;=$C$1),'General Inputs'!E$10*$H91,0))</f>
        <v>0</v>
      </c>
      <c r="BC91" s="214">
        <f>IF(AND(($D91+$C$1)&gt;AH$3,AH$3&gt;=$C$1),'General Inputs'!F$10*$I91,IF(AND(($C91+$C$1)&gt;AH$3,AH$3&gt;=$C$1),'General Inputs'!F$10*$H91,0))</f>
        <v>23.341311416774861</v>
      </c>
      <c r="BD91" s="214">
        <f>IF(AND(($D91+$C$1)&gt;AI$3,AI$3&gt;=$C$1),'General Inputs'!G$10*$I91,IF(AND(($C91+$C$1)&gt;AI$3,AI$3&gt;=$C$1),'General Inputs'!G$10*$H91,0))</f>
        <v>23.691431088026484</v>
      </c>
      <c r="BE91" s="214">
        <f>IF(AND(($D91+$C$1)&gt;AJ$3,AJ$3&gt;=$C$1),'General Inputs'!H$10*$I91,IF(AND(($C91+$C$1)&gt;AJ$3,AJ$3&gt;=$C$1),'General Inputs'!H$10*$H91,0))</f>
        <v>24.046802554346879</v>
      </c>
      <c r="BF91" s="214">
        <f>IF(AND(($D91+$C$1)&gt;AK$3,AK$3&gt;=$C$1),'General Inputs'!I$10*$I91,IF(AND(($C91+$C$1)&gt;AK$3,AK$3&gt;=$C$1),'General Inputs'!I$10*$H91,0))</f>
        <v>24.407504592662075</v>
      </c>
      <c r="BG91" s="214">
        <f>IF(AND(($D91+$C$1)&gt;AL$3,AL$3&gt;=$C$1),'General Inputs'!J$10*$I91,IF(AND(($C91+$C$1)&gt;AL$3,AL$3&gt;=$C$1),'General Inputs'!J$10*$H91,0))</f>
        <v>24.773617161552004</v>
      </c>
      <c r="BH91" s="214">
        <f>IF(AND(($D91+$C$1)&gt;AM$3,AM$3&gt;=$C$1),'General Inputs'!K$10*$I91,IF(AND(($C91+$C$1)&gt;AM$3,AM$3&gt;=$C$1),'General Inputs'!K$10*$H91,0))</f>
        <v>25.145221418975282</v>
      </c>
      <c r="BI91" s="214">
        <f>IF(AND(($D91+$C$1)&gt;AN$3,AN$3&gt;=$C$1),'General Inputs'!L$10*$I91,IF(AND(($C91+$C$1)&gt;AN$3,AN$3&gt;=$C$1),'General Inputs'!L$10*$H91,0))</f>
        <v>25.52239974025991</v>
      </c>
      <c r="BJ91" s="214">
        <f>IF(AND(($D91+$C$1)&gt;AO$3,AO$3&gt;=$C$1),'General Inputs'!M$10*$I91,IF(AND(($C91+$C$1)&gt;AO$3,AO$3&gt;=$C$1),'General Inputs'!M$10*$H91,0))</f>
        <v>25.90523573636381</v>
      </c>
      <c r="BK91" s="214">
        <f>IF(AND(($D91+$C$1)&gt;AP$3,AP$3&gt;=$C$1),'General Inputs'!N$10*$I91,IF(AND(($C91+$C$1)&gt;AP$3,AP$3&gt;=$C$1),'General Inputs'!N$10*$H91,0))</f>
        <v>26.293814272409261</v>
      </c>
      <c r="BL91" s="214">
        <f>IF(AND(($D91+$C$1)&gt;AQ$3,AQ$3&gt;=$C$1),'General Inputs'!O$10*$I91,IF(AND(($C91+$C$1)&gt;AQ$3,AQ$3&gt;=$C$1),'General Inputs'!O$10*$H91,0))</f>
        <v>26.688221486495397</v>
      </c>
      <c r="BM91" s="214">
        <f>IF(AND(($D91+$C$1)&gt;AR$3,AR$3&gt;=$C$1),'General Inputs'!P$10*$I91,IF(AND(($C91+$C$1)&gt;AR$3,AR$3&gt;=$C$1),'General Inputs'!P$10*$H91,0))</f>
        <v>27.088544808792829</v>
      </c>
      <c r="BN91" s="214">
        <f>IF(AND(($D91+$C$1)&gt;AS$3,AS$3&gt;=$C$1),'General Inputs'!Q$10*$I91,IF(AND(($C91+$C$1)&gt;AS$3,AS$3&gt;=$C$1),'General Inputs'!Q$10*$H91,0))</f>
        <v>27.494872980924718</v>
      </c>
      <c r="BO91" s="214">
        <f>IF(AND(($D91+$C$1)&gt;AT$3,AT$3&gt;=$C$1),'General Inputs'!R$10*$I91,IF(AND(($C91+$C$1)&gt;AT$3,AT$3&gt;=$C$1),'General Inputs'!R$10*$H91,0))</f>
        <v>27.907296075638584</v>
      </c>
      <c r="BP91" s="214">
        <f>IF(AND(($D91+$C$1)&gt;AU$3,AU$3&gt;=$C$1),'General Inputs'!S$10*$I91,IF(AND(($C91+$C$1)&gt;AU$3,AU$3&gt;=$C$1),'General Inputs'!S$10*$H91,0))</f>
        <v>28.325905516773162</v>
      </c>
      <c r="BQ91" s="214">
        <f>IF(AND(($D91+$C$1)&gt;AV$3,AV$3&gt;=$C$1),'General Inputs'!T$10*$I91,IF(AND(($C91+$C$1)&gt;AV$3,AV$3&gt;=$C$1),'General Inputs'!T$10*$H91,0))</f>
        <v>28.750794099524754</v>
      </c>
      <c r="BR91" s="214">
        <f>IF(AND(($D91+$C$1)&gt;AW$3,AW$3&gt;=$C$1),'General Inputs'!U$10*$I91,IF(AND(($C91+$C$1)&gt;AW$3,AW$3&gt;=$C$1),'General Inputs'!U$10*$H91,0))</f>
        <v>0</v>
      </c>
      <c r="BS91" s="214">
        <f>IF(AND(($D91+$C$1)&gt;AX$3,AX$3&gt;=$C$1),'General Inputs'!V$10*$I91,IF(AND(($C91+$C$1)&gt;AX$3,AX$3&gt;=$C$1),'General Inputs'!V$10*$H91,0))</f>
        <v>0</v>
      </c>
      <c r="BT91" s="214">
        <f>IF(AND(($D91+$C$1)&gt;AY$3,AY$3&gt;=$C$1),'General Inputs'!W$10*$I91,IF(AND(($C91+$C$1)&gt;AY$3,AY$3&gt;=$C$1),'General Inputs'!W$10*$H91,0))</f>
        <v>0</v>
      </c>
    </row>
    <row r="92" spans="1:72">
      <c r="A92" s="342" t="s">
        <v>112</v>
      </c>
      <c r="B92" s="427" t="str">
        <f>Sources!B92</f>
        <v>Split Package Heat Pump</v>
      </c>
      <c r="C92" s="193">
        <f>Sources!C92</f>
        <v>15</v>
      </c>
      <c r="D92" s="193">
        <f>Sources!D92</f>
        <v>0</v>
      </c>
      <c r="F92" s="429">
        <f>Sources!F92*EnergyLineLoss</f>
        <v>2073.6377357936167</v>
      </c>
      <c r="G92" s="429">
        <f>Sources!G92*EnergyLineLoss</f>
        <v>0</v>
      </c>
      <c r="H92" s="477">
        <f>Sources!H92*PeakLineLoss</f>
        <v>0.31513549450549494</v>
      </c>
      <c r="I92" s="477">
        <f>Sources!I92*PeakLineLoss</f>
        <v>0</v>
      </c>
      <c r="K92" s="419">
        <f>Sources!J92</f>
        <v>370</v>
      </c>
      <c r="L92" s="419">
        <f>Sources!K92</f>
        <v>0</v>
      </c>
      <c r="N92" s="438">
        <f t="shared" si="35"/>
        <v>2.3390305016902353</v>
      </c>
      <c r="P92" s="215">
        <f t="shared" si="36"/>
        <v>691.06695594004532</v>
      </c>
      <c r="Q92" s="215">
        <f t="shared" si="37"/>
        <v>39.500871645483315</v>
      </c>
      <c r="R92" s="215">
        <f t="shared" si="38"/>
        <v>312.33787975727728</v>
      </c>
      <c r="T92" s="214">
        <f t="shared" si="39"/>
        <v>0</v>
      </c>
      <c r="U92" s="214">
        <f t="shared" si="39"/>
        <v>0</v>
      </c>
      <c r="V92" s="214">
        <f t="shared" si="39"/>
        <v>370</v>
      </c>
      <c r="W92" s="214">
        <f t="shared" si="39"/>
        <v>0</v>
      </c>
      <c r="X92" s="214">
        <f t="shared" si="39"/>
        <v>0</v>
      </c>
      <c r="Y92" s="214">
        <f t="shared" si="39"/>
        <v>0</v>
      </c>
      <c r="Z92" s="214">
        <f t="shared" si="39"/>
        <v>0</v>
      </c>
      <c r="AA92" s="214">
        <f t="shared" si="39"/>
        <v>0</v>
      </c>
      <c r="AB92" s="214">
        <f t="shared" si="39"/>
        <v>0</v>
      </c>
      <c r="AC92" s="214">
        <f t="shared" si="39"/>
        <v>0</v>
      </c>
      <c r="AD92" s="214">
        <f t="shared" si="39"/>
        <v>0</v>
      </c>
      <c r="AF92" s="214">
        <f>IF(AND(($D92+$C$1)&gt;AF$3,AF$3&gt;=$C$1),'General Inputs'!D$9*$G92,IF(AND(($C92+$C$1)&gt;AF$3,AF$3&gt;=$C$1),'General Inputs'!D$9*$F92,0))</f>
        <v>0</v>
      </c>
      <c r="AG92" s="214">
        <f>IF(AND(($D92+$C$1)&gt;AG$3,AG$3&gt;=$C$1),'General Inputs'!E$9*$G92,IF(AND(($C92+$C$1)&gt;AG$3,AG$3&gt;=$C$1),'General Inputs'!E$9*$F92,0))</f>
        <v>0</v>
      </c>
      <c r="AH92" s="214">
        <f>IF(AND(($D92+$C$1)&gt;AH$3,AH$3&gt;=$C$1),'General Inputs'!F$9*$G92,IF(AND(($C92+$C$1)&gt;AH$3,AH$3&gt;=$C$1),'General Inputs'!F$9*$F92,0))</f>
        <v>85.051485709637106</v>
      </c>
      <c r="AI92" s="214">
        <f>IF(AND(($D92+$C$1)&gt;AI$3,AI$3&gt;=$C$1),'General Inputs'!G$9*$G92,IF(AND(($C92+$C$1)&gt;AI$3,AI$3&gt;=$C$1),'General Inputs'!G$9*$F92,0))</f>
        <v>86.327257995281656</v>
      </c>
      <c r="AJ92" s="214">
        <f>IF(AND(($D92+$C$1)&gt;AJ$3,AJ$3&gt;=$C$1),'General Inputs'!H$9*$G92,IF(AND(($C92+$C$1)&gt;AJ$3,AJ$3&gt;=$C$1),'General Inputs'!H$9*$F92,0))</f>
        <v>87.622166865210858</v>
      </c>
      <c r="AK92" s="214">
        <f>IF(AND(($D92+$C$1)&gt;AK$3,AK$3&gt;=$C$1),'General Inputs'!I$9*$G92,IF(AND(($C92+$C$1)&gt;AK$3,AK$3&gt;=$C$1),'General Inputs'!I$9*$F92,0))</f>
        <v>88.936499368189018</v>
      </c>
      <c r="AL92" s="214">
        <f>IF(AND(($D92+$C$1)&gt;AL$3,AL$3&gt;=$C$1),'General Inputs'!J$9*$G92,IF(AND(($C92+$C$1)&gt;AL$3,AL$3&gt;=$C$1),'General Inputs'!J$9*$F92,0))</f>
        <v>90.270546858711839</v>
      </c>
      <c r="AM92" s="214">
        <f>IF(AND(($D92+$C$1)&gt;AM$3,AM$3&gt;=$C$1),'General Inputs'!K$9*$G92,IF(AND(($C92+$C$1)&gt;AM$3,AM$3&gt;=$C$1),'General Inputs'!K$9*$F92,0))</f>
        <v>91.624605061592504</v>
      </c>
      <c r="AN92" s="214">
        <f>IF(AND(($D92+$C$1)&gt;AN$3,AN$3&gt;=$C$1),'General Inputs'!L$9*$G92,IF(AND(($C92+$C$1)&gt;AN$3,AN$3&gt;=$C$1),'General Inputs'!L$9*$F92,0))</f>
        <v>92.998974137516385</v>
      </c>
      <c r="AO92" s="214">
        <f>IF(AND(($D92+$C$1)&gt;AO$3,AO$3&gt;=$C$1),'General Inputs'!M$9*$G92,IF(AND(($C92+$C$1)&gt;AO$3,AO$3&gt;=$C$1),'General Inputs'!M$9*$F92,0))</f>
        <v>94.393958749579113</v>
      </c>
      <c r="AP92" s="214">
        <f>IF(AND(($D92+$C$1)&gt;AP$3,AP$3&gt;=$C$1),'General Inputs'!N$9*$G92,IF(AND(($C92+$C$1)&gt;AP$3,AP$3&gt;=$C$1),'General Inputs'!N$9*$F92,0))</f>
        <v>95.809868130822792</v>
      </c>
      <c r="AQ92" s="214">
        <f>IF(AND(($D92+$C$1)&gt;AQ$3,AQ$3&gt;=$C$1),'General Inputs'!O$9*$G92,IF(AND(($C92+$C$1)&gt;AQ$3,AQ$3&gt;=$C$1),'General Inputs'!O$9*$F92,0))</f>
        <v>97.247016152785122</v>
      </c>
      <c r="AR92" s="214">
        <f>IF(AND(($D92+$C$1)&gt;AR$3,AR$3&gt;=$C$1),'General Inputs'!P$9*$G92,IF(AND(($C92+$C$1)&gt;AR$3,AR$3&gt;=$C$1),'General Inputs'!P$9*$F92,0))</f>
        <v>98.705721395076893</v>
      </c>
      <c r="AS92" s="214">
        <f>IF(AND(($D92+$C$1)&gt;AS$3,AS$3&gt;=$C$1),'General Inputs'!Q$9*$G92,IF(AND(($C92+$C$1)&gt;AS$3,AS$3&gt;=$C$1),'General Inputs'!Q$9*$F92,0))</f>
        <v>100.18630721600303</v>
      </c>
      <c r="AT92" s="214">
        <f>IF(AND(($D92+$C$1)&gt;AT$3,AT$3&gt;=$C$1),'General Inputs'!R$9*$G92,IF(AND(($C92+$C$1)&gt;AT$3,AT$3&gt;=$C$1),'General Inputs'!R$9*$F92,0))</f>
        <v>101.68910182424308</v>
      </c>
      <c r="AU92" s="214">
        <f>IF(AND(($D92+$C$1)&gt;AU$3,AU$3&gt;=$C$1),'General Inputs'!S$9*$G92,IF(AND(($C92+$C$1)&gt;AU$3,AU$3&gt;=$C$1),'General Inputs'!S$9*$F92,0))</f>
        <v>103.21443835160672</v>
      </c>
      <c r="AV92" s="214">
        <f>IF(AND(($D92+$C$1)&gt;AV$3,AV$3&gt;=$C$1),'General Inputs'!T$9*$G92,IF(AND(($C92+$C$1)&gt;AV$3,AV$3&gt;=$C$1),'General Inputs'!T$9*$F92,0))</f>
        <v>104.76265492688081</v>
      </c>
      <c r="AW92" s="214">
        <f>IF(AND(($D92+$C$1)&gt;AW$3,AW$3&gt;=$C$1),'General Inputs'!U$9*$G92,IF(AND(($C92+$C$1)&gt;AW$3,AW$3&gt;=$C$1),'General Inputs'!U$9*$F92,0))</f>
        <v>0</v>
      </c>
      <c r="AX92" s="214">
        <f>IF(AND(($D92+$C$1)&gt;AX$3,AX$3&gt;=$C$1),'General Inputs'!V$9*$G92,IF(AND(($C92+$C$1)&gt;AX$3,AX$3&gt;=$C$1),'General Inputs'!V$9*$F92,0))</f>
        <v>0</v>
      </c>
      <c r="AY92" s="214">
        <f>IF(AND(($D92+$C$1)&gt;AY$3,AY$3&gt;=$C$1),'General Inputs'!W$9*$G92,IF(AND(($C92+$C$1)&gt;AY$3,AY$3&gt;=$C$1),'General Inputs'!W$9*$F92,0))</f>
        <v>0</v>
      </c>
      <c r="BA92" s="214">
        <f>IF(AND(($D92+$C$1)&gt;AF$3,AF$3&gt;=$C$1),'General Inputs'!D$10*$I92,IF(AND(($C92+$C$1)&gt;AF$3,AF$3&gt;=$C$1),'General Inputs'!D$10*$H92,0))</f>
        <v>0</v>
      </c>
      <c r="BB92" s="214">
        <f>IF(AND(($D92+$C$1)&gt;AG$3,AG$3&gt;=$C$1),'General Inputs'!E$10*$I92,IF(AND(($C92+$C$1)&gt;AG$3,AG$3&gt;=$C$1),'General Inputs'!E$10*$H92,0))</f>
        <v>0</v>
      </c>
      <c r="BC92" s="214">
        <f>IF(AND(($D92+$C$1)&gt;AH$3,AH$3&gt;=$C$1),'General Inputs'!F$10*$I92,IF(AND(($C92+$C$1)&gt;AH$3,AH$3&gt;=$C$1),'General Inputs'!F$10*$H92,0))</f>
        <v>4.8614794722806876</v>
      </c>
      <c r="BD92" s="214">
        <f>IF(AND(($D92+$C$1)&gt;AI$3,AI$3&gt;=$C$1),'General Inputs'!G$10*$I92,IF(AND(($C92+$C$1)&gt;AI$3,AI$3&gt;=$C$1),'General Inputs'!G$10*$H92,0))</f>
        <v>4.9344016643648976</v>
      </c>
      <c r="BE92" s="214">
        <f>IF(AND(($D92+$C$1)&gt;AJ$3,AJ$3&gt;=$C$1),'General Inputs'!H$10*$I92,IF(AND(($C92+$C$1)&gt;AJ$3,AJ$3&gt;=$C$1),'General Inputs'!H$10*$H92,0))</f>
        <v>5.0084176893303702</v>
      </c>
      <c r="BF92" s="214">
        <f>IF(AND(($D92+$C$1)&gt;AK$3,AK$3&gt;=$C$1),'General Inputs'!I$10*$I92,IF(AND(($C92+$C$1)&gt;AK$3,AK$3&gt;=$C$1),'General Inputs'!I$10*$H92,0))</f>
        <v>5.0835439546703247</v>
      </c>
      <c r="BG92" s="214">
        <f>IF(AND(($D92+$C$1)&gt;AL$3,AL$3&gt;=$C$1),'General Inputs'!J$10*$I92,IF(AND(($C92+$C$1)&gt;AL$3,AL$3&gt;=$C$1),'General Inputs'!J$10*$H92,0))</f>
        <v>5.1597971139903791</v>
      </c>
      <c r="BH92" s="214">
        <f>IF(AND(($D92+$C$1)&gt;AM$3,AM$3&gt;=$C$1),'General Inputs'!K$10*$I92,IF(AND(($C92+$C$1)&gt;AM$3,AM$3&gt;=$C$1),'General Inputs'!K$10*$H92,0))</f>
        <v>5.2371940707002347</v>
      </c>
      <c r="BI92" s="214">
        <f>IF(AND(($D92+$C$1)&gt;AN$3,AN$3&gt;=$C$1),'General Inputs'!L$10*$I92,IF(AND(($C92+$C$1)&gt;AN$3,AN$3&gt;=$C$1),'General Inputs'!L$10*$H92,0))</f>
        <v>5.3157519817607382</v>
      </c>
      <c r="BJ92" s="214">
        <f>IF(AND(($D92+$C$1)&gt;AO$3,AO$3&gt;=$C$1),'General Inputs'!M$10*$I92,IF(AND(($C92+$C$1)&gt;AO$3,AO$3&gt;=$C$1),'General Inputs'!M$10*$H92,0))</f>
        <v>5.3954882614871487</v>
      </c>
      <c r="BK92" s="214">
        <f>IF(AND(($D92+$C$1)&gt;AP$3,AP$3&gt;=$C$1),'General Inputs'!N$10*$I92,IF(AND(($C92+$C$1)&gt;AP$3,AP$3&gt;=$C$1),'General Inputs'!N$10*$H92,0))</f>
        <v>5.4764205854094552</v>
      </c>
      <c r="BL92" s="214">
        <f>IF(AND(($D92+$C$1)&gt;AQ$3,AQ$3&gt;=$C$1),'General Inputs'!O$10*$I92,IF(AND(($C92+$C$1)&gt;AQ$3,AQ$3&gt;=$C$1),'General Inputs'!O$10*$H92,0))</f>
        <v>5.5585668941905961</v>
      </c>
      <c r="BM92" s="214">
        <f>IF(AND(($D92+$C$1)&gt;AR$3,AR$3&gt;=$C$1),'General Inputs'!P$10*$I92,IF(AND(($C92+$C$1)&gt;AR$3,AR$3&gt;=$C$1),'General Inputs'!P$10*$H92,0))</f>
        <v>5.6419453976034548</v>
      </c>
      <c r="BN92" s="214">
        <f>IF(AND(($D92+$C$1)&gt;AS$3,AS$3&gt;=$C$1),'General Inputs'!Q$10*$I92,IF(AND(($C92+$C$1)&gt;AS$3,AS$3&gt;=$C$1),'General Inputs'!Q$10*$H92,0))</f>
        <v>5.7265745785675062</v>
      </c>
      <c r="BO92" s="214">
        <f>IF(AND(($D92+$C$1)&gt;AT$3,AT$3&gt;=$C$1),'General Inputs'!R$10*$I92,IF(AND(($C92+$C$1)&gt;AT$3,AT$3&gt;=$C$1),'General Inputs'!R$10*$H92,0))</f>
        <v>5.8124731972460175</v>
      </c>
      <c r="BP92" s="214">
        <f>IF(AND(($D92+$C$1)&gt;AU$3,AU$3&gt;=$C$1),'General Inputs'!S$10*$I92,IF(AND(($C92+$C$1)&gt;AU$3,AU$3&gt;=$C$1),'General Inputs'!S$10*$H92,0))</f>
        <v>5.8996602952047077</v>
      </c>
      <c r="BQ92" s="214">
        <f>IF(AND(($D92+$C$1)&gt;AV$3,AV$3&gt;=$C$1),'General Inputs'!T$10*$I92,IF(AND(($C92+$C$1)&gt;AV$3,AV$3&gt;=$C$1),'General Inputs'!T$10*$H92,0))</f>
        <v>5.9881551996327778</v>
      </c>
      <c r="BR92" s="214">
        <f>IF(AND(($D92+$C$1)&gt;AW$3,AW$3&gt;=$C$1),'General Inputs'!U$10*$I92,IF(AND(($C92+$C$1)&gt;AW$3,AW$3&gt;=$C$1),'General Inputs'!U$10*$H92,0))</f>
        <v>0</v>
      </c>
      <c r="BS92" s="214">
        <f>IF(AND(($D92+$C$1)&gt;AX$3,AX$3&gt;=$C$1),'General Inputs'!V$10*$I92,IF(AND(($C92+$C$1)&gt;AX$3,AX$3&gt;=$C$1),'General Inputs'!V$10*$H92,0))</f>
        <v>0</v>
      </c>
      <c r="BT92" s="214">
        <f>IF(AND(($D92+$C$1)&gt;AY$3,AY$3&gt;=$C$1),'General Inputs'!W$10*$I92,IF(AND(($C92+$C$1)&gt;AY$3,AY$3&gt;=$C$1),'General Inputs'!W$10*$H92,0))</f>
        <v>0</v>
      </c>
    </row>
    <row r="93" spans="1:72">
      <c r="A93" s="342" t="s">
        <v>112</v>
      </c>
      <c r="B93" s="427" t="str">
        <f>Sources!B93</f>
        <v>Single System Heat Pump</v>
      </c>
      <c r="C93" s="193">
        <f>Sources!C93</f>
        <v>15</v>
      </c>
      <c r="D93" s="193">
        <f>Sources!D93</f>
        <v>0</v>
      </c>
      <c r="F93" s="429">
        <f>Sources!F93*EnergyLineLoss</f>
        <v>949.34450049949885</v>
      </c>
      <c r="G93" s="429">
        <f>Sources!G93*EnergyLineLoss</f>
        <v>0</v>
      </c>
      <c r="H93" s="477">
        <f>Sources!H93*PeakLineLoss</f>
        <v>0.31513549450549494</v>
      </c>
      <c r="I93" s="477">
        <f>Sources!I93*PeakLineLoss</f>
        <v>0</v>
      </c>
      <c r="K93" s="419">
        <f>Sources!J93</f>
        <v>370</v>
      </c>
      <c r="L93" s="419">
        <f>Sources!K93</f>
        <v>0</v>
      </c>
      <c r="N93" s="438">
        <f t="shared" si="35"/>
        <v>1.1394146953127289</v>
      </c>
      <c r="P93" s="215">
        <f t="shared" si="36"/>
        <v>316.38149845277854</v>
      </c>
      <c r="Q93" s="215">
        <f t="shared" si="37"/>
        <v>39.500871645483315</v>
      </c>
      <c r="R93" s="215">
        <f t="shared" si="38"/>
        <v>312.33787975727728</v>
      </c>
      <c r="T93" s="214">
        <f t="shared" si="39"/>
        <v>0</v>
      </c>
      <c r="U93" s="214">
        <f t="shared" si="39"/>
        <v>0</v>
      </c>
      <c r="V93" s="214">
        <f t="shared" si="39"/>
        <v>370</v>
      </c>
      <c r="W93" s="214">
        <f t="shared" si="39"/>
        <v>0</v>
      </c>
      <c r="X93" s="214">
        <f t="shared" si="39"/>
        <v>0</v>
      </c>
      <c r="Y93" s="214">
        <f t="shared" si="39"/>
        <v>0</v>
      </c>
      <c r="Z93" s="214">
        <f t="shared" si="39"/>
        <v>0</v>
      </c>
      <c r="AA93" s="214">
        <f t="shared" si="39"/>
        <v>0</v>
      </c>
      <c r="AB93" s="214">
        <f t="shared" si="39"/>
        <v>0</v>
      </c>
      <c r="AC93" s="214">
        <f t="shared" si="39"/>
        <v>0</v>
      </c>
      <c r="AD93" s="214">
        <f t="shared" si="39"/>
        <v>0</v>
      </c>
      <c r="AF93" s="214">
        <f>IF(AND(($D93+$C$1)&gt;AF$3,AF$3&gt;=$C$1),'General Inputs'!D$9*$G93,IF(AND(($C93+$C$1)&gt;AF$3,AF$3&gt;=$C$1),'General Inputs'!D$9*$F93,0))</f>
        <v>0</v>
      </c>
      <c r="AG93" s="214">
        <f>IF(AND(($D93+$C$1)&gt;AG$3,AG$3&gt;=$C$1),'General Inputs'!E$9*$G93,IF(AND(($C93+$C$1)&gt;AG$3,AG$3&gt;=$C$1),'General Inputs'!E$9*$F93,0))</f>
        <v>0</v>
      </c>
      <c r="AH93" s="214">
        <f>IF(AND(($D93+$C$1)&gt;AH$3,AH$3&gt;=$C$1),'General Inputs'!F$9*$G93,IF(AND(($C93+$C$1)&gt;AH$3,AH$3&gt;=$C$1),'General Inputs'!F$9*$F93,0))</f>
        <v>38.93792962195198</v>
      </c>
      <c r="AI93" s="214">
        <f>IF(AND(($D93+$C$1)&gt;AI$3,AI$3&gt;=$C$1),'General Inputs'!G$9*$G93,IF(AND(($C93+$C$1)&gt;AI$3,AI$3&gt;=$C$1),'General Inputs'!G$9*$F93,0))</f>
        <v>39.521998566281255</v>
      </c>
      <c r="AJ93" s="214">
        <f>IF(AND(($D93+$C$1)&gt;AJ$3,AJ$3&gt;=$C$1),'General Inputs'!H$9*$G93,IF(AND(($C93+$C$1)&gt;AJ$3,AJ$3&gt;=$C$1),'General Inputs'!H$9*$F93,0))</f>
        <v>40.11482854477547</v>
      </c>
      <c r="AK93" s="214">
        <f>IF(AND(($D93+$C$1)&gt;AK$3,AK$3&gt;=$C$1),'General Inputs'!I$9*$G93,IF(AND(($C93+$C$1)&gt;AK$3,AK$3&gt;=$C$1),'General Inputs'!I$9*$F93,0))</f>
        <v>40.716550972947097</v>
      </c>
      <c r="AL93" s="214">
        <f>IF(AND(($D93+$C$1)&gt;AL$3,AL$3&gt;=$C$1),'General Inputs'!J$9*$G93,IF(AND(($C93+$C$1)&gt;AL$3,AL$3&gt;=$C$1),'General Inputs'!J$9*$F93,0))</f>
        <v>41.327299237541297</v>
      </c>
      <c r="AM93" s="214">
        <f>IF(AND(($D93+$C$1)&gt;AM$3,AM$3&gt;=$C$1),'General Inputs'!K$9*$G93,IF(AND(($C93+$C$1)&gt;AM$3,AM$3&gt;=$C$1),'General Inputs'!K$9*$F93,0))</f>
        <v>41.947208726104407</v>
      </c>
      <c r="AN93" s="214">
        <f>IF(AND(($D93+$C$1)&gt;AN$3,AN$3&gt;=$C$1),'General Inputs'!L$9*$G93,IF(AND(($C93+$C$1)&gt;AN$3,AN$3&gt;=$C$1),'General Inputs'!L$9*$F93,0))</f>
        <v>42.576416856995969</v>
      </c>
      <c r="AO93" s="214">
        <f>IF(AND(($D93+$C$1)&gt;AO$3,AO$3&gt;=$C$1),'General Inputs'!M$9*$G93,IF(AND(($C93+$C$1)&gt;AO$3,AO$3&gt;=$C$1),'General Inputs'!M$9*$F93,0))</f>
        <v>43.215063109850902</v>
      </c>
      <c r="AP93" s="214">
        <f>IF(AND(($D93+$C$1)&gt;AP$3,AP$3&gt;=$C$1),'General Inputs'!N$9*$G93,IF(AND(($C93+$C$1)&gt;AP$3,AP$3&gt;=$C$1),'General Inputs'!N$9*$F93,0))</f>
        <v>43.863289056498665</v>
      </c>
      <c r="AQ93" s="214">
        <f>IF(AND(($D93+$C$1)&gt;AQ$3,AQ$3&gt;=$C$1),'General Inputs'!O$9*$G93,IF(AND(($C93+$C$1)&gt;AQ$3,AQ$3&gt;=$C$1),'General Inputs'!O$9*$F93,0))</f>
        <v>44.521238392346142</v>
      </c>
      <c r="AR93" s="214">
        <f>IF(AND(($D93+$C$1)&gt;AR$3,AR$3&gt;=$C$1),'General Inputs'!P$9*$G93,IF(AND(($C93+$C$1)&gt;AR$3,AR$3&gt;=$C$1),'General Inputs'!P$9*$F93,0))</f>
        <v>45.189056968231327</v>
      </c>
      <c r="AS93" s="214">
        <f>IF(AND(($D93+$C$1)&gt;AS$3,AS$3&gt;=$C$1),'General Inputs'!Q$9*$G93,IF(AND(($C93+$C$1)&gt;AS$3,AS$3&gt;=$C$1),'General Inputs'!Q$9*$F93,0))</f>
        <v>45.866892822754792</v>
      </c>
      <c r="AT93" s="214">
        <f>IF(AND(($D93+$C$1)&gt;AT$3,AT$3&gt;=$C$1),'General Inputs'!R$9*$G93,IF(AND(($C93+$C$1)&gt;AT$3,AT$3&gt;=$C$1),'General Inputs'!R$9*$F93,0))</f>
        <v>46.554896215096115</v>
      </c>
      <c r="AU93" s="214">
        <f>IF(AND(($D93+$C$1)&gt;AU$3,AU$3&gt;=$C$1),'General Inputs'!S$9*$G93,IF(AND(($C93+$C$1)&gt;AU$3,AU$3&gt;=$C$1),'General Inputs'!S$9*$F93,0))</f>
        <v>47.25321965832255</v>
      </c>
      <c r="AV93" s="214">
        <f>IF(AND(($D93+$C$1)&gt;AV$3,AV$3&gt;=$C$1),'General Inputs'!T$9*$G93,IF(AND(($C93+$C$1)&gt;AV$3,AV$3&gt;=$C$1),'General Inputs'!T$9*$F93,0))</f>
        <v>47.962017953197389</v>
      </c>
      <c r="AW93" s="214">
        <f>IF(AND(($D93+$C$1)&gt;AW$3,AW$3&gt;=$C$1),'General Inputs'!U$9*$G93,IF(AND(($C93+$C$1)&gt;AW$3,AW$3&gt;=$C$1),'General Inputs'!U$9*$F93,0))</f>
        <v>0</v>
      </c>
      <c r="AX93" s="214">
        <f>IF(AND(($D93+$C$1)&gt;AX$3,AX$3&gt;=$C$1),'General Inputs'!V$9*$G93,IF(AND(($C93+$C$1)&gt;AX$3,AX$3&gt;=$C$1),'General Inputs'!V$9*$F93,0))</f>
        <v>0</v>
      </c>
      <c r="AY93" s="214">
        <f>IF(AND(($D93+$C$1)&gt;AY$3,AY$3&gt;=$C$1),'General Inputs'!W$9*$G93,IF(AND(($C93+$C$1)&gt;AY$3,AY$3&gt;=$C$1),'General Inputs'!W$9*$F93,0))</f>
        <v>0</v>
      </c>
      <c r="BA93" s="214">
        <f>IF(AND(($D93+$C$1)&gt;AF$3,AF$3&gt;=$C$1),'General Inputs'!D$10*$I93,IF(AND(($C93+$C$1)&gt;AF$3,AF$3&gt;=$C$1),'General Inputs'!D$10*$H93,0))</f>
        <v>0</v>
      </c>
      <c r="BB93" s="214">
        <f>IF(AND(($D93+$C$1)&gt;AG$3,AG$3&gt;=$C$1),'General Inputs'!E$10*$I93,IF(AND(($C93+$C$1)&gt;AG$3,AG$3&gt;=$C$1),'General Inputs'!E$10*$H93,0))</f>
        <v>0</v>
      </c>
      <c r="BC93" s="214">
        <f>IF(AND(($D93+$C$1)&gt;AH$3,AH$3&gt;=$C$1),'General Inputs'!F$10*$I93,IF(AND(($C93+$C$1)&gt;AH$3,AH$3&gt;=$C$1),'General Inputs'!F$10*$H93,0))</f>
        <v>4.8614794722806876</v>
      </c>
      <c r="BD93" s="214">
        <f>IF(AND(($D93+$C$1)&gt;AI$3,AI$3&gt;=$C$1),'General Inputs'!G$10*$I93,IF(AND(($C93+$C$1)&gt;AI$3,AI$3&gt;=$C$1),'General Inputs'!G$10*$H93,0))</f>
        <v>4.9344016643648976</v>
      </c>
      <c r="BE93" s="214">
        <f>IF(AND(($D93+$C$1)&gt;AJ$3,AJ$3&gt;=$C$1),'General Inputs'!H$10*$I93,IF(AND(($C93+$C$1)&gt;AJ$3,AJ$3&gt;=$C$1),'General Inputs'!H$10*$H93,0))</f>
        <v>5.0084176893303702</v>
      </c>
      <c r="BF93" s="214">
        <f>IF(AND(($D93+$C$1)&gt;AK$3,AK$3&gt;=$C$1),'General Inputs'!I$10*$I93,IF(AND(($C93+$C$1)&gt;AK$3,AK$3&gt;=$C$1),'General Inputs'!I$10*$H93,0))</f>
        <v>5.0835439546703247</v>
      </c>
      <c r="BG93" s="214">
        <f>IF(AND(($D93+$C$1)&gt;AL$3,AL$3&gt;=$C$1),'General Inputs'!J$10*$I93,IF(AND(($C93+$C$1)&gt;AL$3,AL$3&gt;=$C$1),'General Inputs'!J$10*$H93,0))</f>
        <v>5.1597971139903791</v>
      </c>
      <c r="BH93" s="214">
        <f>IF(AND(($D93+$C$1)&gt;AM$3,AM$3&gt;=$C$1),'General Inputs'!K$10*$I93,IF(AND(($C93+$C$1)&gt;AM$3,AM$3&gt;=$C$1),'General Inputs'!K$10*$H93,0))</f>
        <v>5.2371940707002347</v>
      </c>
      <c r="BI93" s="214">
        <f>IF(AND(($D93+$C$1)&gt;AN$3,AN$3&gt;=$C$1),'General Inputs'!L$10*$I93,IF(AND(($C93+$C$1)&gt;AN$3,AN$3&gt;=$C$1),'General Inputs'!L$10*$H93,0))</f>
        <v>5.3157519817607382</v>
      </c>
      <c r="BJ93" s="214">
        <f>IF(AND(($D93+$C$1)&gt;AO$3,AO$3&gt;=$C$1),'General Inputs'!M$10*$I93,IF(AND(($C93+$C$1)&gt;AO$3,AO$3&gt;=$C$1),'General Inputs'!M$10*$H93,0))</f>
        <v>5.3954882614871487</v>
      </c>
      <c r="BK93" s="214">
        <f>IF(AND(($D93+$C$1)&gt;AP$3,AP$3&gt;=$C$1),'General Inputs'!N$10*$I93,IF(AND(($C93+$C$1)&gt;AP$3,AP$3&gt;=$C$1),'General Inputs'!N$10*$H93,0))</f>
        <v>5.4764205854094552</v>
      </c>
      <c r="BL93" s="214">
        <f>IF(AND(($D93+$C$1)&gt;AQ$3,AQ$3&gt;=$C$1),'General Inputs'!O$10*$I93,IF(AND(($C93+$C$1)&gt;AQ$3,AQ$3&gt;=$C$1),'General Inputs'!O$10*$H93,0))</f>
        <v>5.5585668941905961</v>
      </c>
      <c r="BM93" s="214">
        <f>IF(AND(($D93+$C$1)&gt;AR$3,AR$3&gt;=$C$1),'General Inputs'!P$10*$I93,IF(AND(($C93+$C$1)&gt;AR$3,AR$3&gt;=$C$1),'General Inputs'!P$10*$H93,0))</f>
        <v>5.6419453976034548</v>
      </c>
      <c r="BN93" s="214">
        <f>IF(AND(($D93+$C$1)&gt;AS$3,AS$3&gt;=$C$1),'General Inputs'!Q$10*$I93,IF(AND(($C93+$C$1)&gt;AS$3,AS$3&gt;=$C$1),'General Inputs'!Q$10*$H93,0))</f>
        <v>5.7265745785675062</v>
      </c>
      <c r="BO93" s="214">
        <f>IF(AND(($D93+$C$1)&gt;AT$3,AT$3&gt;=$C$1),'General Inputs'!R$10*$I93,IF(AND(($C93+$C$1)&gt;AT$3,AT$3&gt;=$C$1),'General Inputs'!R$10*$H93,0))</f>
        <v>5.8124731972460175</v>
      </c>
      <c r="BP93" s="214">
        <f>IF(AND(($D93+$C$1)&gt;AU$3,AU$3&gt;=$C$1),'General Inputs'!S$10*$I93,IF(AND(($C93+$C$1)&gt;AU$3,AU$3&gt;=$C$1),'General Inputs'!S$10*$H93,0))</f>
        <v>5.8996602952047077</v>
      </c>
      <c r="BQ93" s="214">
        <f>IF(AND(($D93+$C$1)&gt;AV$3,AV$3&gt;=$C$1),'General Inputs'!T$10*$I93,IF(AND(($C93+$C$1)&gt;AV$3,AV$3&gt;=$C$1),'General Inputs'!T$10*$H93,0))</f>
        <v>5.9881551996327778</v>
      </c>
      <c r="BR93" s="214">
        <f>IF(AND(($D93+$C$1)&gt;AW$3,AW$3&gt;=$C$1),'General Inputs'!U$10*$I93,IF(AND(($C93+$C$1)&gt;AW$3,AW$3&gt;=$C$1),'General Inputs'!U$10*$H93,0))</f>
        <v>0</v>
      </c>
      <c r="BS93" s="214">
        <f>IF(AND(($D93+$C$1)&gt;AX$3,AX$3&gt;=$C$1),'General Inputs'!V$10*$I93,IF(AND(($C93+$C$1)&gt;AX$3,AX$3&gt;=$C$1),'General Inputs'!V$10*$H93,0))</f>
        <v>0</v>
      </c>
      <c r="BT93" s="214">
        <f>IF(AND(($D93+$C$1)&gt;AY$3,AY$3&gt;=$C$1),'General Inputs'!W$10*$I93,IF(AND(($C93+$C$1)&gt;AY$3,AY$3&gt;=$C$1),'General Inputs'!W$10*$H93,0))</f>
        <v>0</v>
      </c>
    </row>
    <row r="94" spans="1:72">
      <c r="A94" s="342" t="s">
        <v>112</v>
      </c>
      <c r="B94" s="427" t="str">
        <f>Sources!B94</f>
        <v>Heat Pump 65 &lt; 135 kBtuh</v>
      </c>
      <c r="C94" s="193">
        <f>Sources!C94</f>
        <v>15</v>
      </c>
      <c r="D94" s="193">
        <f>Sources!D94</f>
        <v>0</v>
      </c>
      <c r="F94" s="429">
        <f>Sources!F94*EnergyLineLoss</f>
        <v>1950.6050348316223</v>
      </c>
      <c r="G94" s="429">
        <f>Sources!G94*EnergyLineLoss</f>
        <v>0</v>
      </c>
      <c r="H94" s="477">
        <f>Sources!H94*PeakLineLoss</f>
        <v>6.5762918918918348E-2</v>
      </c>
      <c r="I94" s="477">
        <f>Sources!I94*PeakLineLoss</f>
        <v>0</v>
      </c>
      <c r="K94" s="419">
        <f>Sources!J94</f>
        <v>700</v>
      </c>
      <c r="L94" s="419">
        <f>Sources!K94</f>
        <v>0</v>
      </c>
      <c r="N94" s="438">
        <f t="shared" si="35"/>
        <v>1.114058566864204</v>
      </c>
      <c r="P94" s="215">
        <f t="shared" si="36"/>
        <v>650.0646956767082</v>
      </c>
      <c r="Q94" s="215">
        <f t="shared" si="37"/>
        <v>8.2430975391228891</v>
      </c>
      <c r="R94" s="215">
        <f t="shared" si="38"/>
        <v>590.90950224349763</v>
      </c>
      <c r="T94" s="214">
        <f t="shared" si="39"/>
        <v>0</v>
      </c>
      <c r="U94" s="214">
        <f t="shared" si="39"/>
        <v>0</v>
      </c>
      <c r="V94" s="214">
        <f t="shared" si="39"/>
        <v>700</v>
      </c>
      <c r="W94" s="214">
        <f t="shared" si="39"/>
        <v>0</v>
      </c>
      <c r="X94" s="214">
        <f t="shared" si="39"/>
        <v>0</v>
      </c>
      <c r="Y94" s="214">
        <f t="shared" si="39"/>
        <v>0</v>
      </c>
      <c r="Z94" s="214">
        <f t="shared" si="39"/>
        <v>0</v>
      </c>
      <c r="AA94" s="214">
        <f t="shared" si="39"/>
        <v>0</v>
      </c>
      <c r="AB94" s="214">
        <f t="shared" si="39"/>
        <v>0</v>
      </c>
      <c r="AC94" s="214">
        <f t="shared" si="39"/>
        <v>0</v>
      </c>
      <c r="AD94" s="214">
        <f t="shared" si="39"/>
        <v>0</v>
      </c>
      <c r="AF94" s="214">
        <f>IF(AND(($D94+$C$1)&gt;AF$3,AF$3&gt;=$C$1),'General Inputs'!D$9*$G94,IF(AND(($C94+$C$1)&gt;AF$3,AF$3&gt;=$C$1),'General Inputs'!D$9*$F94,0))</f>
        <v>0</v>
      </c>
      <c r="AG94" s="214">
        <f>IF(AND(($D94+$C$1)&gt;AG$3,AG$3&gt;=$C$1),'General Inputs'!E$9*$G94,IF(AND(($C94+$C$1)&gt;AG$3,AG$3&gt;=$C$1),'General Inputs'!E$9*$F94,0))</f>
        <v>0</v>
      </c>
      <c r="AH94" s="214">
        <f>IF(AND(($D94+$C$1)&gt;AH$3,AH$3&gt;=$C$1),'General Inputs'!F$9*$G94,IF(AND(($C94+$C$1)&gt;AH$3,AH$3&gt;=$C$1),'General Inputs'!F$9*$F94,0))</f>
        <v>80.005226265635272</v>
      </c>
      <c r="AI94" s="214">
        <f>IF(AND(($D94+$C$1)&gt;AI$3,AI$3&gt;=$C$1),'General Inputs'!G$9*$G94,IF(AND(($C94+$C$1)&gt;AI$3,AI$3&gt;=$C$1),'General Inputs'!G$9*$F94,0))</f>
        <v>81.205304659619785</v>
      </c>
      <c r="AJ94" s="214">
        <f>IF(AND(($D94+$C$1)&gt;AJ$3,AJ$3&gt;=$C$1),'General Inputs'!H$9*$G94,IF(AND(($C94+$C$1)&gt;AJ$3,AJ$3&gt;=$C$1),'General Inputs'!H$9*$F94,0))</f>
        <v>82.42338422951407</v>
      </c>
      <c r="AK94" s="214">
        <f>IF(AND(($D94+$C$1)&gt;AK$3,AK$3&gt;=$C$1),'General Inputs'!I$9*$G94,IF(AND(($C94+$C$1)&gt;AK$3,AK$3&gt;=$C$1),'General Inputs'!I$9*$F94,0))</f>
        <v>83.659734992956771</v>
      </c>
      <c r="AL94" s="214">
        <f>IF(AND(($D94+$C$1)&gt;AL$3,AL$3&gt;=$C$1),'General Inputs'!J$9*$G94,IF(AND(($C94+$C$1)&gt;AL$3,AL$3&gt;=$C$1),'General Inputs'!J$9*$F94,0))</f>
        <v>84.914631017851121</v>
      </c>
      <c r="AM94" s="214">
        <f>IF(AND(($D94+$C$1)&gt;AM$3,AM$3&gt;=$C$1),'General Inputs'!K$9*$G94,IF(AND(($C94+$C$1)&gt;AM$3,AM$3&gt;=$C$1),'General Inputs'!K$9*$F94,0))</f>
        <v>86.188350483118867</v>
      </c>
      <c r="AN94" s="214">
        <f>IF(AND(($D94+$C$1)&gt;AN$3,AN$3&gt;=$C$1),'General Inputs'!L$9*$G94,IF(AND(($C94+$C$1)&gt;AN$3,AN$3&gt;=$C$1),'General Inputs'!L$9*$F94,0))</f>
        <v>87.481175740365643</v>
      </c>
      <c r="AO94" s="214">
        <f>IF(AND(($D94+$C$1)&gt;AO$3,AO$3&gt;=$C$1),'General Inputs'!M$9*$G94,IF(AND(($C94+$C$1)&gt;AO$3,AO$3&gt;=$C$1),'General Inputs'!M$9*$F94,0))</f>
        <v>88.793393376471116</v>
      </c>
      <c r="AP94" s="214">
        <f>IF(AND(($D94+$C$1)&gt;AP$3,AP$3&gt;=$C$1),'General Inputs'!N$9*$G94,IF(AND(($C94+$C$1)&gt;AP$3,AP$3&gt;=$C$1),'General Inputs'!N$9*$F94,0))</f>
        <v>90.125294277118172</v>
      </c>
      <c r="AQ94" s="214">
        <f>IF(AND(($D94+$C$1)&gt;AQ$3,AQ$3&gt;=$C$1),'General Inputs'!O$9*$G94,IF(AND(($C94+$C$1)&gt;AQ$3,AQ$3&gt;=$C$1),'General Inputs'!O$9*$F94,0))</f>
        <v>91.477173691274942</v>
      </c>
      <c r="AR94" s="214">
        <f>IF(AND(($D94+$C$1)&gt;AR$3,AR$3&gt;=$C$1),'General Inputs'!P$9*$G94,IF(AND(($C94+$C$1)&gt;AR$3,AR$3&gt;=$C$1),'General Inputs'!P$9*$F94,0))</f>
        <v>92.849331296644053</v>
      </c>
      <c r="AS94" s="214">
        <f>IF(AND(($D94+$C$1)&gt;AS$3,AS$3&gt;=$C$1),'General Inputs'!Q$9*$G94,IF(AND(($C94+$C$1)&gt;AS$3,AS$3&gt;=$C$1),'General Inputs'!Q$9*$F94,0))</f>
        <v>94.242071266093703</v>
      </c>
      <c r="AT94" s="214">
        <f>IF(AND(($D94+$C$1)&gt;AT$3,AT$3&gt;=$C$1),'General Inputs'!R$9*$G94,IF(AND(($C94+$C$1)&gt;AT$3,AT$3&gt;=$C$1),'General Inputs'!R$9*$F94,0))</f>
        <v>95.65570233508511</v>
      </c>
      <c r="AU94" s="214">
        <f>IF(AND(($D94+$C$1)&gt;AU$3,AU$3&gt;=$C$1),'General Inputs'!S$9*$G94,IF(AND(($C94+$C$1)&gt;AU$3,AU$3&gt;=$C$1),'General Inputs'!S$9*$F94,0))</f>
        <v>97.090537870111376</v>
      </c>
      <c r="AV94" s="214">
        <f>IF(AND(($D94+$C$1)&gt;AV$3,AV$3&gt;=$C$1),'General Inputs'!T$9*$G94,IF(AND(($C94+$C$1)&gt;AV$3,AV$3&gt;=$C$1),'General Inputs'!T$9*$F94,0))</f>
        <v>98.546895938163047</v>
      </c>
      <c r="AW94" s="214">
        <f>IF(AND(($D94+$C$1)&gt;AW$3,AW$3&gt;=$C$1),'General Inputs'!U$9*$G94,IF(AND(($C94+$C$1)&gt;AW$3,AW$3&gt;=$C$1),'General Inputs'!U$9*$F94,0))</f>
        <v>0</v>
      </c>
      <c r="AX94" s="214">
        <f>IF(AND(($D94+$C$1)&gt;AX$3,AX$3&gt;=$C$1),'General Inputs'!V$9*$G94,IF(AND(($C94+$C$1)&gt;AX$3,AX$3&gt;=$C$1),'General Inputs'!V$9*$F94,0))</f>
        <v>0</v>
      </c>
      <c r="AY94" s="214">
        <f>IF(AND(($D94+$C$1)&gt;AY$3,AY$3&gt;=$C$1),'General Inputs'!W$9*$G94,IF(AND(($C94+$C$1)&gt;AY$3,AY$3&gt;=$C$1),'General Inputs'!W$9*$F94,0))</f>
        <v>0</v>
      </c>
      <c r="BA94" s="214">
        <f>IF(AND(($D94+$C$1)&gt;AF$3,AF$3&gt;=$C$1),'General Inputs'!D$10*$I94,IF(AND(($C94+$C$1)&gt;AF$3,AF$3&gt;=$C$1),'General Inputs'!D$10*$H94,0))</f>
        <v>0</v>
      </c>
      <c r="BB94" s="214">
        <f>IF(AND(($D94+$C$1)&gt;AG$3,AG$3&gt;=$C$1),'General Inputs'!E$10*$I94,IF(AND(($C94+$C$1)&gt;AG$3,AG$3&gt;=$C$1),'General Inputs'!E$10*$H94,0))</f>
        <v>0</v>
      </c>
      <c r="BC94" s="214">
        <f>IF(AND(($D94+$C$1)&gt;AH$3,AH$3&gt;=$C$1),'General Inputs'!F$10*$I94,IF(AND(($C94+$C$1)&gt;AH$3,AH$3&gt;=$C$1),'General Inputs'!F$10*$H94,0))</f>
        <v>1.014500384551275</v>
      </c>
      <c r="BD94" s="214">
        <f>IF(AND(($D94+$C$1)&gt;AI$3,AI$3&gt;=$C$1),'General Inputs'!G$10*$I94,IF(AND(($C94+$C$1)&gt;AI$3,AI$3&gt;=$C$1),'General Inputs'!G$10*$H94,0))</f>
        <v>1.0297178903195441</v>
      </c>
      <c r="BE94" s="214">
        <f>IF(AND(($D94+$C$1)&gt;AJ$3,AJ$3&gt;=$C$1),'General Inputs'!H$10*$I94,IF(AND(($C94+$C$1)&gt;AJ$3,AJ$3&gt;=$C$1),'General Inputs'!H$10*$H94,0))</f>
        <v>1.0451636586743371</v>
      </c>
      <c r="BF94" s="214">
        <f>IF(AND(($D94+$C$1)&gt;AK$3,AK$3&gt;=$C$1),'General Inputs'!I$10*$I94,IF(AND(($C94+$C$1)&gt;AK$3,AK$3&gt;=$C$1),'General Inputs'!I$10*$H94,0))</f>
        <v>1.060841113554452</v>
      </c>
      <c r="BG94" s="214">
        <f>IF(AND(($D94+$C$1)&gt;AL$3,AL$3&gt;=$C$1),'General Inputs'!J$10*$I94,IF(AND(($C94+$C$1)&gt;AL$3,AL$3&gt;=$C$1),'General Inputs'!J$10*$H94,0))</f>
        <v>1.0767537302577685</v>
      </c>
      <c r="BH94" s="214">
        <f>IF(AND(($D94+$C$1)&gt;AM$3,AM$3&gt;=$C$1),'General Inputs'!K$10*$I94,IF(AND(($C94+$C$1)&gt;AM$3,AM$3&gt;=$C$1),'General Inputs'!K$10*$H94,0))</f>
        <v>1.092905036211635</v>
      </c>
      <c r="BI94" s="214">
        <f>IF(AND(($D94+$C$1)&gt;AN$3,AN$3&gt;=$C$1),'General Inputs'!L$10*$I94,IF(AND(($C94+$C$1)&gt;AN$3,AN$3&gt;=$C$1),'General Inputs'!L$10*$H94,0))</f>
        <v>1.1092986117548094</v>
      </c>
      <c r="BJ94" s="214">
        <f>IF(AND(($D94+$C$1)&gt;AO$3,AO$3&gt;=$C$1),'General Inputs'!M$10*$I94,IF(AND(($C94+$C$1)&gt;AO$3,AO$3&gt;=$C$1),'General Inputs'!M$10*$H94,0))</f>
        <v>1.1259380909311316</v>
      </c>
      <c r="BK94" s="214">
        <f>IF(AND(($D94+$C$1)&gt;AP$3,AP$3&gt;=$C$1),'General Inputs'!N$10*$I94,IF(AND(($C94+$C$1)&gt;AP$3,AP$3&gt;=$C$1),'General Inputs'!N$10*$H94,0))</f>
        <v>1.1428271622950983</v>
      </c>
      <c r="BL94" s="214">
        <f>IF(AND(($D94+$C$1)&gt;AQ$3,AQ$3&gt;=$C$1),'General Inputs'!O$10*$I94,IF(AND(($C94+$C$1)&gt;AQ$3,AQ$3&gt;=$C$1),'General Inputs'!O$10*$H94,0))</f>
        <v>1.1599695697295247</v>
      </c>
      <c r="BM94" s="214">
        <f>IF(AND(($D94+$C$1)&gt;AR$3,AR$3&gt;=$C$1),'General Inputs'!P$10*$I94,IF(AND(($C94+$C$1)&gt;AR$3,AR$3&gt;=$C$1),'General Inputs'!P$10*$H94,0))</f>
        <v>1.1773691132754676</v>
      </c>
      <c r="BN94" s="214">
        <f>IF(AND(($D94+$C$1)&gt;AS$3,AS$3&gt;=$C$1),'General Inputs'!Q$10*$I94,IF(AND(($C94+$C$1)&gt;AS$3,AS$3&gt;=$C$1),'General Inputs'!Q$10*$H94,0))</f>
        <v>1.1950296499745994</v>
      </c>
      <c r="BO94" s="214">
        <f>IF(AND(($D94+$C$1)&gt;AT$3,AT$3&gt;=$C$1),'General Inputs'!R$10*$I94,IF(AND(($C94+$C$1)&gt;AT$3,AT$3&gt;=$C$1),'General Inputs'!R$10*$H94,0))</f>
        <v>1.2129550947242183</v>
      </c>
      <c r="BP94" s="214">
        <f>IF(AND(($D94+$C$1)&gt;AU$3,AU$3&gt;=$C$1),'General Inputs'!S$10*$I94,IF(AND(($C94+$C$1)&gt;AU$3,AU$3&gt;=$C$1),'General Inputs'!S$10*$H94,0))</f>
        <v>1.2311494211450815</v>
      </c>
      <c r="BQ94" s="214">
        <f>IF(AND(($D94+$C$1)&gt;AV$3,AV$3&gt;=$C$1),'General Inputs'!T$10*$I94,IF(AND(($C94+$C$1)&gt;AV$3,AV$3&gt;=$C$1),'General Inputs'!T$10*$H94,0))</f>
        <v>1.2496166624622576</v>
      </c>
      <c r="BR94" s="214">
        <f>IF(AND(($D94+$C$1)&gt;AW$3,AW$3&gt;=$C$1),'General Inputs'!U$10*$I94,IF(AND(($C94+$C$1)&gt;AW$3,AW$3&gt;=$C$1),'General Inputs'!U$10*$H94,0))</f>
        <v>0</v>
      </c>
      <c r="BS94" s="214">
        <f>IF(AND(($D94+$C$1)&gt;AX$3,AX$3&gt;=$C$1),'General Inputs'!V$10*$I94,IF(AND(($C94+$C$1)&gt;AX$3,AX$3&gt;=$C$1),'General Inputs'!V$10*$H94,0))</f>
        <v>0</v>
      </c>
      <c r="BT94" s="214">
        <f>IF(AND(($D94+$C$1)&gt;AY$3,AY$3&gt;=$C$1),'General Inputs'!W$10*$I94,IF(AND(($C94+$C$1)&gt;AY$3,AY$3&gt;=$C$1),'General Inputs'!W$10*$H94,0))</f>
        <v>0</v>
      </c>
    </row>
    <row r="95" spans="1:72">
      <c r="A95" s="342" t="s">
        <v>112</v>
      </c>
      <c r="B95" s="427" t="str">
        <f>Sources!B95</f>
        <v>Heat Pump 135 &lt; 240 kBtuh</v>
      </c>
      <c r="C95" s="193">
        <f>Sources!C95</f>
        <v>15</v>
      </c>
      <c r="D95" s="193">
        <f>Sources!D95</f>
        <v>0</v>
      </c>
      <c r="F95" s="429">
        <f>Sources!F95*EnergyLineLoss</f>
        <v>193.45123766661013</v>
      </c>
      <c r="G95" s="429">
        <f>Sources!G95*EnergyLineLoss</f>
        <v>0</v>
      </c>
      <c r="H95" s="477">
        <f>Sources!H95*PeakLineLoss</f>
        <v>0.2978431365760793</v>
      </c>
      <c r="I95" s="477">
        <f>Sources!I95*PeakLineLoss</f>
        <v>0</v>
      </c>
      <c r="K95" s="419">
        <f>Sources!J95</f>
        <v>1000</v>
      </c>
      <c r="L95" s="419">
        <f>Sources!K95</f>
        <v>0</v>
      </c>
      <c r="N95" s="438">
        <f t="shared" si="35"/>
        <v>0.12059792019183681</v>
      </c>
      <c r="P95" s="215">
        <f t="shared" si="36"/>
        <v>64.470160640635669</v>
      </c>
      <c r="Q95" s="215">
        <f t="shared" si="37"/>
        <v>37.333349348163381</v>
      </c>
      <c r="R95" s="215">
        <f t="shared" si="38"/>
        <v>844.15643177642517</v>
      </c>
      <c r="T95" s="214">
        <f t="shared" si="39"/>
        <v>0</v>
      </c>
      <c r="U95" s="214">
        <f t="shared" si="39"/>
        <v>0</v>
      </c>
      <c r="V95" s="214">
        <f t="shared" si="39"/>
        <v>1000</v>
      </c>
      <c r="W95" s="214">
        <f t="shared" si="39"/>
        <v>0</v>
      </c>
      <c r="X95" s="214">
        <f t="shared" si="39"/>
        <v>0</v>
      </c>
      <c r="Y95" s="214">
        <f t="shared" si="39"/>
        <v>0</v>
      </c>
      <c r="Z95" s="214">
        <f t="shared" si="39"/>
        <v>0</v>
      </c>
      <c r="AA95" s="214">
        <f t="shared" si="39"/>
        <v>0</v>
      </c>
      <c r="AB95" s="214">
        <f t="shared" si="39"/>
        <v>0</v>
      </c>
      <c r="AC95" s="214">
        <f t="shared" si="39"/>
        <v>0</v>
      </c>
      <c r="AD95" s="214">
        <f t="shared" si="39"/>
        <v>0</v>
      </c>
      <c r="AF95" s="214">
        <f>IF(AND(($D95+$C$1)&gt;AF$3,AF$3&gt;=$C$1),'General Inputs'!D$9*$G95,IF(AND(($C95+$C$1)&gt;AF$3,AF$3&gt;=$C$1),'General Inputs'!D$9*$F95,0))</f>
        <v>0</v>
      </c>
      <c r="AG95" s="214">
        <f>IF(AND(($D95+$C$1)&gt;AG$3,AG$3&gt;=$C$1),'General Inputs'!E$9*$G95,IF(AND(($C95+$C$1)&gt;AG$3,AG$3&gt;=$C$1),'General Inputs'!E$9*$F95,0))</f>
        <v>0</v>
      </c>
      <c r="AH95" s="214">
        <f>IF(AND(($D95+$C$1)&gt;AH$3,AH$3&gt;=$C$1),'General Inputs'!F$9*$G95,IF(AND(($C95+$C$1)&gt;AH$3,AH$3&gt;=$C$1),'General Inputs'!F$9*$F95,0))</f>
        <v>7.9345176314590633</v>
      </c>
      <c r="AI95" s="214">
        <f>IF(AND(($D95+$C$1)&gt;AI$3,AI$3&gt;=$C$1),'General Inputs'!G$9*$G95,IF(AND(($C95+$C$1)&gt;AI$3,AI$3&gt;=$C$1),'General Inputs'!G$9*$F95,0))</f>
        <v>8.0535353959309486</v>
      </c>
      <c r="AJ95" s="214">
        <f>IF(AND(($D95+$C$1)&gt;AJ$3,AJ$3&gt;=$C$1),'General Inputs'!H$9*$G95,IF(AND(($C95+$C$1)&gt;AJ$3,AJ$3&gt;=$C$1),'General Inputs'!H$9*$F95,0))</f>
        <v>8.1743384268699106</v>
      </c>
      <c r="AK95" s="214">
        <f>IF(AND(($D95+$C$1)&gt;AK$3,AK$3&gt;=$C$1),'General Inputs'!I$9*$G95,IF(AND(($C95+$C$1)&gt;AK$3,AK$3&gt;=$C$1),'General Inputs'!I$9*$F95,0))</f>
        <v>8.2969535032729596</v>
      </c>
      <c r="AL95" s="214">
        <f>IF(AND(($D95+$C$1)&gt;AL$3,AL$3&gt;=$C$1),'General Inputs'!J$9*$G95,IF(AND(($C95+$C$1)&gt;AL$3,AL$3&gt;=$C$1),'General Inputs'!J$9*$F95,0))</f>
        <v>8.4214078058220529</v>
      </c>
      <c r="AM95" s="214">
        <f>IF(AND(($D95+$C$1)&gt;AM$3,AM$3&gt;=$C$1),'General Inputs'!K$9*$G95,IF(AND(($C95+$C$1)&gt;AM$3,AM$3&gt;=$C$1),'General Inputs'!K$9*$F95,0))</f>
        <v>8.547728922909382</v>
      </c>
      <c r="AN95" s="214">
        <f>IF(AND(($D95+$C$1)&gt;AN$3,AN$3&gt;=$C$1),'General Inputs'!L$9*$G95,IF(AND(($C95+$C$1)&gt;AN$3,AN$3&gt;=$C$1),'General Inputs'!L$9*$F95,0))</f>
        <v>8.6759448567530217</v>
      </c>
      <c r="AO95" s="214">
        <f>IF(AND(($D95+$C$1)&gt;AO$3,AO$3&gt;=$C$1),'General Inputs'!M$9*$G95,IF(AND(($C95+$C$1)&gt;AO$3,AO$3&gt;=$C$1),'General Inputs'!M$9*$F95,0))</f>
        <v>8.8060840296043157</v>
      </c>
      <c r="AP95" s="214">
        <f>IF(AND(($D95+$C$1)&gt;AP$3,AP$3&gt;=$C$1),'General Inputs'!N$9*$G95,IF(AND(($C95+$C$1)&gt;AP$3,AP$3&gt;=$C$1),'General Inputs'!N$9*$F95,0))</f>
        <v>8.9381752900483793</v>
      </c>
      <c r="AQ95" s="214">
        <f>IF(AND(($D95+$C$1)&gt;AQ$3,AQ$3&gt;=$C$1),'General Inputs'!O$9*$G95,IF(AND(($C95+$C$1)&gt;AQ$3,AQ$3&gt;=$C$1),'General Inputs'!O$9*$F95,0))</f>
        <v>9.0722479193991035</v>
      </c>
      <c r="AR95" s="214">
        <f>IF(AND(($D95+$C$1)&gt;AR$3,AR$3&gt;=$C$1),'General Inputs'!P$9*$G95,IF(AND(($C95+$C$1)&gt;AR$3,AR$3&gt;=$C$1),'General Inputs'!P$9*$F95,0))</f>
        <v>9.2083316381900904</v>
      </c>
      <c r="AS95" s="214">
        <f>IF(AND(($D95+$C$1)&gt;AS$3,AS$3&gt;=$C$1),'General Inputs'!Q$9*$G95,IF(AND(($C95+$C$1)&gt;AS$3,AS$3&gt;=$C$1),'General Inputs'!Q$9*$F95,0))</f>
        <v>9.3464566127629407</v>
      </c>
      <c r="AT95" s="214">
        <f>IF(AND(($D95+$C$1)&gt;AT$3,AT$3&gt;=$C$1),'General Inputs'!R$9*$G95,IF(AND(($C95+$C$1)&gt;AT$3,AT$3&gt;=$C$1),'General Inputs'!R$9*$F95,0))</f>
        <v>9.4866534619543845</v>
      </c>
      <c r="AU95" s="214">
        <f>IF(AND(($D95+$C$1)&gt;AU$3,AU$3&gt;=$C$1),'General Inputs'!S$9*$G95,IF(AND(($C95+$C$1)&gt;AU$3,AU$3&gt;=$C$1),'General Inputs'!S$9*$F95,0))</f>
        <v>9.6289532638836999</v>
      </c>
      <c r="AV95" s="214">
        <f>IF(AND(($D95+$C$1)&gt;AV$3,AV$3&gt;=$C$1),'General Inputs'!T$9*$G95,IF(AND(($C95+$C$1)&gt;AV$3,AV$3&gt;=$C$1),'General Inputs'!T$9*$F95,0))</f>
        <v>9.773387562841954</v>
      </c>
      <c r="AW95" s="214">
        <f>IF(AND(($D95+$C$1)&gt;AW$3,AW$3&gt;=$C$1),'General Inputs'!U$9*$G95,IF(AND(($C95+$C$1)&gt;AW$3,AW$3&gt;=$C$1),'General Inputs'!U$9*$F95,0))</f>
        <v>0</v>
      </c>
      <c r="AX95" s="214">
        <f>IF(AND(($D95+$C$1)&gt;AX$3,AX$3&gt;=$C$1),'General Inputs'!V$9*$G95,IF(AND(($C95+$C$1)&gt;AX$3,AX$3&gt;=$C$1),'General Inputs'!V$9*$F95,0))</f>
        <v>0</v>
      </c>
      <c r="AY95" s="214">
        <f>IF(AND(($D95+$C$1)&gt;AY$3,AY$3&gt;=$C$1),'General Inputs'!W$9*$G95,IF(AND(($C95+$C$1)&gt;AY$3,AY$3&gt;=$C$1),'General Inputs'!W$9*$F95,0))</f>
        <v>0</v>
      </c>
      <c r="BA95" s="214">
        <f>IF(AND(($D95+$C$1)&gt;AF$3,AF$3&gt;=$C$1),'General Inputs'!D$10*$I95,IF(AND(($C95+$C$1)&gt;AF$3,AF$3&gt;=$C$1),'General Inputs'!D$10*$H95,0))</f>
        <v>0</v>
      </c>
      <c r="BB95" s="214">
        <f>IF(AND(($D95+$C$1)&gt;AG$3,AG$3&gt;=$C$1),'General Inputs'!E$10*$I95,IF(AND(($C95+$C$1)&gt;AG$3,AG$3&gt;=$C$1),'General Inputs'!E$10*$H95,0))</f>
        <v>0</v>
      </c>
      <c r="BC95" s="214">
        <f>IF(AND(($D95+$C$1)&gt;AH$3,AH$3&gt;=$C$1),'General Inputs'!F$10*$I95,IF(AND(($C95+$C$1)&gt;AH$3,AH$3&gt;=$C$1),'General Inputs'!F$10*$H95,0))</f>
        <v>4.5947166208503845</v>
      </c>
      <c r="BD95" s="214">
        <f>IF(AND(($D95+$C$1)&gt;AI$3,AI$3&gt;=$C$1),'General Inputs'!G$10*$I95,IF(AND(($C95+$C$1)&gt;AI$3,AI$3&gt;=$C$1),'General Inputs'!G$10*$H95,0))</f>
        <v>4.6636373701631406</v>
      </c>
      <c r="BE95" s="214">
        <f>IF(AND(($D95+$C$1)&gt;AJ$3,AJ$3&gt;=$C$1),'General Inputs'!H$10*$I95,IF(AND(($C95+$C$1)&gt;AJ$3,AJ$3&gt;=$C$1),'General Inputs'!H$10*$H95,0))</f>
        <v>4.7335919307155869</v>
      </c>
      <c r="BF95" s="214">
        <f>IF(AND(($D95+$C$1)&gt;AK$3,AK$3&gt;=$C$1),'General Inputs'!I$10*$I95,IF(AND(($C95+$C$1)&gt;AK$3,AK$3&gt;=$C$1),'General Inputs'!I$10*$H95,0))</f>
        <v>4.8045958096763197</v>
      </c>
      <c r="BG95" s="214">
        <f>IF(AND(($D95+$C$1)&gt;AL$3,AL$3&gt;=$C$1),'General Inputs'!J$10*$I95,IF(AND(($C95+$C$1)&gt;AL$3,AL$3&gt;=$C$1),'General Inputs'!J$10*$H95,0))</f>
        <v>4.8766647468214641</v>
      </c>
      <c r="BH95" s="214">
        <f>IF(AND(($D95+$C$1)&gt;AM$3,AM$3&gt;=$C$1),'General Inputs'!K$10*$I95,IF(AND(($C95+$C$1)&gt;AM$3,AM$3&gt;=$C$1),'General Inputs'!K$10*$H95,0))</f>
        <v>4.9498147180237861</v>
      </c>
      <c r="BI95" s="214">
        <f>IF(AND(($D95+$C$1)&gt;AN$3,AN$3&gt;=$C$1),'General Inputs'!L$10*$I95,IF(AND(($C95+$C$1)&gt;AN$3,AN$3&gt;=$C$1),'General Inputs'!L$10*$H95,0))</f>
        <v>5.0240619387941425</v>
      </c>
      <c r="BJ95" s="214">
        <f>IF(AND(($D95+$C$1)&gt;AO$3,AO$3&gt;=$C$1),'General Inputs'!M$10*$I95,IF(AND(($C95+$C$1)&gt;AO$3,AO$3&gt;=$C$1),'General Inputs'!M$10*$H95,0))</f>
        <v>5.0994228678760543</v>
      </c>
      <c r="BK95" s="214">
        <f>IF(AND(($D95+$C$1)&gt;AP$3,AP$3&gt;=$C$1),'General Inputs'!N$10*$I95,IF(AND(($C95+$C$1)&gt;AP$3,AP$3&gt;=$C$1),'General Inputs'!N$10*$H95,0))</f>
        <v>5.1759142108941942</v>
      </c>
      <c r="BL95" s="214">
        <f>IF(AND(($D95+$C$1)&gt;AQ$3,AQ$3&gt;=$C$1),'General Inputs'!O$10*$I95,IF(AND(($C95+$C$1)&gt;AQ$3,AQ$3&gt;=$C$1),'General Inputs'!O$10*$H95,0))</f>
        <v>5.2535529240576064</v>
      </c>
      <c r="BM95" s="214">
        <f>IF(AND(($D95+$C$1)&gt;AR$3,AR$3&gt;=$C$1),'General Inputs'!P$10*$I95,IF(AND(($C95+$C$1)&gt;AR$3,AR$3&gt;=$C$1),'General Inputs'!P$10*$H95,0))</f>
        <v>5.3323562179184707</v>
      </c>
      <c r="BN95" s="214">
        <f>IF(AND(($D95+$C$1)&gt;AS$3,AS$3&gt;=$C$1),'General Inputs'!Q$10*$I95,IF(AND(($C95+$C$1)&gt;AS$3,AS$3&gt;=$C$1),'General Inputs'!Q$10*$H95,0))</f>
        <v>5.4123415611872465</v>
      </c>
      <c r="BO95" s="214">
        <f>IF(AND(($D95+$C$1)&gt;AT$3,AT$3&gt;=$C$1),'General Inputs'!R$10*$I95,IF(AND(($C95+$C$1)&gt;AT$3,AT$3&gt;=$C$1),'General Inputs'!R$10*$H95,0))</f>
        <v>5.4935266846050546</v>
      </c>
      <c r="BP95" s="214">
        <f>IF(AND(($D95+$C$1)&gt;AU$3,AU$3&gt;=$C$1),'General Inputs'!S$10*$I95,IF(AND(($C95+$C$1)&gt;AU$3,AU$3&gt;=$C$1),'General Inputs'!S$10*$H95,0))</f>
        <v>5.5759295848741308</v>
      </c>
      <c r="BQ95" s="214">
        <f>IF(AND(($D95+$C$1)&gt;AV$3,AV$3&gt;=$C$1),'General Inputs'!T$10*$I95,IF(AND(($C95+$C$1)&gt;AV$3,AV$3&gt;=$C$1),'General Inputs'!T$10*$H95,0))</f>
        <v>5.6595685286472417</v>
      </c>
      <c r="BR95" s="214">
        <f>IF(AND(($D95+$C$1)&gt;AW$3,AW$3&gt;=$C$1),'General Inputs'!U$10*$I95,IF(AND(($C95+$C$1)&gt;AW$3,AW$3&gt;=$C$1),'General Inputs'!U$10*$H95,0))</f>
        <v>0</v>
      </c>
      <c r="BS95" s="214">
        <f>IF(AND(($D95+$C$1)&gt;AX$3,AX$3&gt;=$C$1),'General Inputs'!V$10*$I95,IF(AND(($C95+$C$1)&gt;AX$3,AX$3&gt;=$C$1),'General Inputs'!V$10*$H95,0))</f>
        <v>0</v>
      </c>
      <c r="BT95" s="214">
        <f>IF(AND(($D95+$C$1)&gt;AY$3,AY$3&gt;=$C$1),'General Inputs'!W$10*$I95,IF(AND(($C95+$C$1)&gt;AY$3,AY$3&gt;=$C$1),'General Inputs'!W$10*$H95,0))</f>
        <v>0</v>
      </c>
    </row>
    <row r="96" spans="1:72">
      <c r="A96" s="342" t="s">
        <v>112</v>
      </c>
      <c r="B96" s="427" t="str">
        <f>Sources!B96</f>
        <v>Heat Pump &gt;240 kBtuh</v>
      </c>
      <c r="C96" s="193">
        <f>Sources!C96</f>
        <v>15</v>
      </c>
      <c r="D96" s="193">
        <f>Sources!D96</f>
        <v>0</v>
      </c>
      <c r="F96" s="429">
        <f>Sources!F96*EnergyLineLoss</f>
        <v>931.79180823345325</v>
      </c>
      <c r="G96" s="429">
        <f>Sources!G96*EnergyLineLoss</f>
        <v>0</v>
      </c>
      <c r="H96" s="477">
        <f>Sources!H96*PeakLineLoss</f>
        <v>1.4346136946326187</v>
      </c>
      <c r="I96" s="477">
        <f>Sources!I96*PeakLineLoss</f>
        <v>0</v>
      </c>
      <c r="K96" s="419">
        <f>Sources!J96</f>
        <v>2000</v>
      </c>
      <c r="L96" s="419">
        <f>Sources!K96</f>
        <v>0</v>
      </c>
      <c r="N96" s="438">
        <f t="shared" si="35"/>
        <v>0.29044051482990552</v>
      </c>
      <c r="P96" s="215">
        <f t="shared" si="36"/>
        <v>310.5318336808333</v>
      </c>
      <c r="Q96" s="215">
        <f t="shared" si="37"/>
        <v>179.8226236034086</v>
      </c>
      <c r="R96" s="215">
        <f t="shared" si="38"/>
        <v>1688.3128635528503</v>
      </c>
      <c r="T96" s="214">
        <f t="shared" si="39"/>
        <v>0</v>
      </c>
      <c r="U96" s="214">
        <f t="shared" si="39"/>
        <v>0</v>
      </c>
      <c r="V96" s="214">
        <f t="shared" si="39"/>
        <v>2000</v>
      </c>
      <c r="W96" s="214">
        <f t="shared" si="39"/>
        <v>0</v>
      </c>
      <c r="X96" s="214">
        <f t="shared" si="39"/>
        <v>0</v>
      </c>
      <c r="Y96" s="214">
        <f t="shared" si="39"/>
        <v>0</v>
      </c>
      <c r="Z96" s="214">
        <f t="shared" si="39"/>
        <v>0</v>
      </c>
      <c r="AA96" s="214">
        <f t="shared" si="39"/>
        <v>0</v>
      </c>
      <c r="AB96" s="214">
        <f t="shared" si="39"/>
        <v>0</v>
      </c>
      <c r="AC96" s="214">
        <f t="shared" si="39"/>
        <v>0</v>
      </c>
      <c r="AD96" s="214">
        <f t="shared" si="39"/>
        <v>0</v>
      </c>
      <c r="AF96" s="214">
        <f>IF(AND(($D96+$C$1)&gt;AF$3,AF$3&gt;=$C$1),'General Inputs'!D$9*$G96,IF(AND(($C96+$C$1)&gt;AF$3,AF$3&gt;=$C$1),'General Inputs'!D$9*$F96,0))</f>
        <v>0</v>
      </c>
      <c r="AG96" s="214">
        <f>IF(AND(($D96+$C$1)&gt;AG$3,AG$3&gt;=$C$1),'General Inputs'!E$9*$G96,IF(AND(($C96+$C$1)&gt;AG$3,AG$3&gt;=$C$1),'General Inputs'!E$9*$F96,0))</f>
        <v>0</v>
      </c>
      <c r="AH96" s="214">
        <f>IF(AND(($D96+$C$1)&gt;AH$3,AH$3&gt;=$C$1),'General Inputs'!F$9*$G96,IF(AND(($C96+$C$1)&gt;AH$3,AH$3&gt;=$C$1),'General Inputs'!F$9*$F96,0))</f>
        <v>38.21799550344025</v>
      </c>
      <c r="AI96" s="214">
        <f>IF(AND(($D96+$C$1)&gt;AI$3,AI$3&gt;=$C$1),'General Inputs'!G$9*$G96,IF(AND(($C96+$C$1)&gt;AI$3,AI$3&gt;=$C$1),'General Inputs'!G$9*$F96,0))</f>
        <v>38.791265435991853</v>
      </c>
      <c r="AJ96" s="214">
        <f>IF(AND(($D96+$C$1)&gt;AJ$3,AJ$3&gt;=$C$1),'General Inputs'!H$9*$G96,IF(AND(($C96+$C$1)&gt;AJ$3,AJ$3&gt;=$C$1),'General Inputs'!H$9*$F96,0))</f>
        <v>39.373134417531723</v>
      </c>
      <c r="AK96" s="214">
        <f>IF(AND(($D96+$C$1)&gt;AK$3,AK$3&gt;=$C$1),'General Inputs'!I$9*$G96,IF(AND(($C96+$C$1)&gt;AK$3,AK$3&gt;=$C$1),'General Inputs'!I$9*$F96,0))</f>
        <v>39.963731433794692</v>
      </c>
      <c r="AL96" s="214">
        <f>IF(AND(($D96+$C$1)&gt;AL$3,AL$3&gt;=$C$1),'General Inputs'!J$9*$G96,IF(AND(($C96+$C$1)&gt;AL$3,AL$3&gt;=$C$1),'General Inputs'!J$9*$F96,0))</f>
        <v>40.563187405301605</v>
      </c>
      <c r="AM96" s="214">
        <f>IF(AND(($D96+$C$1)&gt;AM$3,AM$3&gt;=$C$1),'General Inputs'!K$9*$G96,IF(AND(($C96+$C$1)&gt;AM$3,AM$3&gt;=$C$1),'General Inputs'!K$9*$F96,0))</f>
        <v>41.171635216381127</v>
      </c>
      <c r="AN96" s="214">
        <f>IF(AND(($D96+$C$1)&gt;AN$3,AN$3&gt;=$C$1),'General Inputs'!L$9*$G96,IF(AND(($C96+$C$1)&gt;AN$3,AN$3&gt;=$C$1),'General Inputs'!L$9*$F96,0))</f>
        <v>41.789209744626838</v>
      </c>
      <c r="AO96" s="214">
        <f>IF(AND(($D96+$C$1)&gt;AO$3,AO$3&gt;=$C$1),'General Inputs'!M$9*$G96,IF(AND(($C96+$C$1)&gt;AO$3,AO$3&gt;=$C$1),'General Inputs'!M$9*$F96,0))</f>
        <v>42.416047890796236</v>
      </c>
      <c r="AP96" s="214">
        <f>IF(AND(($D96+$C$1)&gt;AP$3,AP$3&gt;=$C$1),'General Inputs'!N$9*$G96,IF(AND(($C96+$C$1)&gt;AP$3,AP$3&gt;=$C$1),'General Inputs'!N$9*$F96,0))</f>
        <v>43.052288609158175</v>
      </c>
      <c r="AQ96" s="214">
        <f>IF(AND(($D96+$C$1)&gt;AQ$3,AQ$3&gt;=$C$1),'General Inputs'!O$9*$G96,IF(AND(($C96+$C$1)&gt;AQ$3,AQ$3&gt;=$C$1),'General Inputs'!O$9*$F96,0))</f>
        <v>43.698072938295546</v>
      </c>
      <c r="AR96" s="214">
        <f>IF(AND(($D96+$C$1)&gt;AR$3,AR$3&gt;=$C$1),'General Inputs'!P$9*$G96,IF(AND(($C96+$C$1)&gt;AR$3,AR$3&gt;=$C$1),'General Inputs'!P$9*$F96,0))</f>
        <v>44.353544032369975</v>
      </c>
      <c r="AS96" s="214">
        <f>IF(AND(($D96+$C$1)&gt;AS$3,AS$3&gt;=$C$1),'General Inputs'!Q$9*$G96,IF(AND(($C96+$C$1)&gt;AS$3,AS$3&gt;=$C$1),'General Inputs'!Q$9*$F96,0))</f>
        <v>45.018847192855517</v>
      </c>
      <c r="AT96" s="214">
        <f>IF(AND(($D96+$C$1)&gt;AT$3,AT$3&gt;=$C$1),'General Inputs'!R$9*$G96,IF(AND(($C96+$C$1)&gt;AT$3,AT$3&gt;=$C$1),'General Inputs'!R$9*$F96,0))</f>
        <v>45.694129900748351</v>
      </c>
      <c r="AU96" s="214">
        <f>IF(AND(($D96+$C$1)&gt;AU$3,AU$3&gt;=$C$1),'General Inputs'!S$9*$G96,IF(AND(($C96+$C$1)&gt;AU$3,AU$3&gt;=$C$1),'General Inputs'!S$9*$F96,0))</f>
        <v>46.379541849259574</v>
      </c>
      <c r="AV96" s="214">
        <f>IF(AND(($D96+$C$1)&gt;AV$3,AV$3&gt;=$C$1),'General Inputs'!T$9*$G96,IF(AND(($C96+$C$1)&gt;AV$3,AV$3&gt;=$C$1),'General Inputs'!T$9*$F96,0))</f>
        <v>47.075234976998466</v>
      </c>
      <c r="AW96" s="214">
        <f>IF(AND(($D96+$C$1)&gt;AW$3,AW$3&gt;=$C$1),'General Inputs'!U$9*$G96,IF(AND(($C96+$C$1)&gt;AW$3,AW$3&gt;=$C$1),'General Inputs'!U$9*$F96,0))</f>
        <v>0</v>
      </c>
      <c r="AX96" s="214">
        <f>IF(AND(($D96+$C$1)&gt;AX$3,AX$3&gt;=$C$1),'General Inputs'!V$9*$G96,IF(AND(($C96+$C$1)&gt;AX$3,AX$3&gt;=$C$1),'General Inputs'!V$9*$F96,0))</f>
        <v>0</v>
      </c>
      <c r="AY96" s="214">
        <f>IF(AND(($D96+$C$1)&gt;AY$3,AY$3&gt;=$C$1),'General Inputs'!W$9*$G96,IF(AND(($C96+$C$1)&gt;AY$3,AY$3&gt;=$C$1),'General Inputs'!W$9*$F96,0))</f>
        <v>0</v>
      </c>
      <c r="BA96" s="214">
        <f>IF(AND(($D96+$C$1)&gt;AF$3,AF$3&gt;=$C$1),'General Inputs'!D$10*$I96,IF(AND(($C96+$C$1)&gt;AF$3,AF$3&gt;=$C$1),'General Inputs'!D$10*$H96,0))</f>
        <v>0</v>
      </c>
      <c r="BB96" s="214">
        <f>IF(AND(($D96+$C$1)&gt;AG$3,AG$3&gt;=$C$1),'General Inputs'!E$10*$I96,IF(AND(($C96+$C$1)&gt;AG$3,AG$3&gt;=$C$1),'General Inputs'!E$10*$H96,0))</f>
        <v>0</v>
      </c>
      <c r="BC96" s="214">
        <f>IF(AND(($D96+$C$1)&gt;AH$3,AH$3&gt;=$C$1),'General Inputs'!F$10*$I96,IF(AND(($C96+$C$1)&gt;AH$3,AH$3&gt;=$C$1),'General Inputs'!F$10*$H96,0))</f>
        <v>22.131258295906179</v>
      </c>
      <c r="BD96" s="214">
        <f>IF(AND(($D96+$C$1)&gt;AI$3,AI$3&gt;=$C$1),'General Inputs'!G$10*$I96,IF(AND(($C96+$C$1)&gt;AI$3,AI$3&gt;=$C$1),'General Inputs'!G$10*$H96,0))</f>
        <v>22.463227170344769</v>
      </c>
      <c r="BE96" s="214">
        <f>IF(AND(($D96+$C$1)&gt;AJ$3,AJ$3&gt;=$C$1),'General Inputs'!H$10*$I96,IF(AND(($C96+$C$1)&gt;AJ$3,AJ$3&gt;=$C$1),'General Inputs'!H$10*$H96,0))</f>
        <v>22.800175577899939</v>
      </c>
      <c r="BF96" s="214">
        <f>IF(AND(($D96+$C$1)&gt;AK$3,AK$3&gt;=$C$1),'General Inputs'!I$10*$I96,IF(AND(($C96+$C$1)&gt;AK$3,AK$3&gt;=$C$1),'General Inputs'!I$10*$H96,0))</f>
        <v>23.142178211568432</v>
      </c>
      <c r="BG96" s="214">
        <f>IF(AND(($D96+$C$1)&gt;AL$3,AL$3&gt;=$C$1),'General Inputs'!J$10*$I96,IF(AND(($C96+$C$1)&gt;AL$3,AL$3&gt;=$C$1),'General Inputs'!J$10*$H96,0))</f>
        <v>23.489310884741958</v>
      </c>
      <c r="BH96" s="214">
        <f>IF(AND(($D96+$C$1)&gt;AM$3,AM$3&gt;=$C$1),'General Inputs'!K$10*$I96,IF(AND(($C96+$C$1)&gt;AM$3,AM$3&gt;=$C$1),'General Inputs'!K$10*$H96,0))</f>
        <v>23.841650548013085</v>
      </c>
      <c r="BI96" s="214">
        <f>IF(AND(($D96+$C$1)&gt;AN$3,AN$3&gt;=$C$1),'General Inputs'!L$10*$I96,IF(AND(($C96+$C$1)&gt;AN$3,AN$3&gt;=$C$1),'General Inputs'!L$10*$H96,0))</f>
        <v>24.199275306233279</v>
      </c>
      <c r="BJ96" s="214">
        <f>IF(AND(($D96+$C$1)&gt;AO$3,AO$3&gt;=$C$1),'General Inputs'!M$10*$I96,IF(AND(($C96+$C$1)&gt;AO$3,AO$3&gt;=$C$1),'General Inputs'!M$10*$H96,0))</f>
        <v>24.562264435826776</v>
      </c>
      <c r="BK96" s="214">
        <f>IF(AND(($D96+$C$1)&gt;AP$3,AP$3&gt;=$C$1),'General Inputs'!N$10*$I96,IF(AND(($C96+$C$1)&gt;AP$3,AP$3&gt;=$C$1),'General Inputs'!N$10*$H96,0))</f>
        <v>24.930698402364175</v>
      </c>
      <c r="BL96" s="214">
        <f>IF(AND(($D96+$C$1)&gt;AQ$3,AQ$3&gt;=$C$1),'General Inputs'!O$10*$I96,IF(AND(($C96+$C$1)&gt;AQ$3,AQ$3&gt;=$C$1),'General Inputs'!O$10*$H96,0))</f>
        <v>25.304658878399636</v>
      </c>
      <c r="BM96" s="214">
        <f>IF(AND(($D96+$C$1)&gt;AR$3,AR$3&gt;=$C$1),'General Inputs'!P$10*$I96,IF(AND(($C96+$C$1)&gt;AR$3,AR$3&gt;=$C$1),'General Inputs'!P$10*$H96,0))</f>
        <v>25.684228761575628</v>
      </c>
      <c r="BN96" s="214">
        <f>IF(AND(($D96+$C$1)&gt;AS$3,AS$3&gt;=$C$1),'General Inputs'!Q$10*$I96,IF(AND(($C96+$C$1)&gt;AS$3,AS$3&gt;=$C$1),'General Inputs'!Q$10*$H96,0))</f>
        <v>26.06949219299926</v>
      </c>
      <c r="BO96" s="214">
        <f>IF(AND(($D96+$C$1)&gt;AT$3,AT$3&gt;=$C$1),'General Inputs'!R$10*$I96,IF(AND(($C96+$C$1)&gt;AT$3,AT$3&gt;=$C$1),'General Inputs'!R$10*$H96,0))</f>
        <v>26.460534575894243</v>
      </c>
      <c r="BP96" s="214">
        <f>IF(AND(($D96+$C$1)&gt;AU$3,AU$3&gt;=$C$1),'General Inputs'!S$10*$I96,IF(AND(($C96+$C$1)&gt;AU$3,AU$3&gt;=$C$1),'General Inputs'!S$10*$H96,0))</f>
        <v>26.857442594532657</v>
      </c>
      <c r="BQ96" s="214">
        <f>IF(AND(($D96+$C$1)&gt;AV$3,AV$3&gt;=$C$1),'General Inputs'!T$10*$I96,IF(AND(($C96+$C$1)&gt;AV$3,AV$3&gt;=$C$1),'General Inputs'!T$10*$H96,0))</f>
        <v>27.260304233450643</v>
      </c>
      <c r="BR96" s="214">
        <f>IF(AND(($D96+$C$1)&gt;AW$3,AW$3&gt;=$C$1),'General Inputs'!U$10*$I96,IF(AND(($C96+$C$1)&gt;AW$3,AW$3&gt;=$C$1),'General Inputs'!U$10*$H96,0))</f>
        <v>0</v>
      </c>
      <c r="BS96" s="214">
        <f>IF(AND(($D96+$C$1)&gt;AX$3,AX$3&gt;=$C$1),'General Inputs'!V$10*$I96,IF(AND(($C96+$C$1)&gt;AX$3,AX$3&gt;=$C$1),'General Inputs'!V$10*$H96,0))</f>
        <v>0</v>
      </c>
      <c r="BT96" s="214">
        <f>IF(AND(($D96+$C$1)&gt;AY$3,AY$3&gt;=$C$1),'General Inputs'!W$10*$I96,IF(AND(($C96+$C$1)&gt;AY$3,AY$3&gt;=$C$1),'General Inputs'!W$10*$H96,0))</f>
        <v>0</v>
      </c>
    </row>
    <row r="97" spans="1:72">
      <c r="A97" s="342" t="s">
        <v>112</v>
      </c>
      <c r="B97" s="427" t="str">
        <f>Sources!B97</f>
        <v>Geothermal Heat Pump</v>
      </c>
      <c r="C97" s="193">
        <f>Sources!C97</f>
        <v>15</v>
      </c>
      <c r="D97" s="193">
        <f>Sources!D97</f>
        <v>0</v>
      </c>
      <c r="F97" s="429">
        <f>Sources!F97*EnergyLineLoss</f>
        <v>23256.790058789316</v>
      </c>
      <c r="G97" s="429">
        <f>Sources!G97*EnergyLineLoss</f>
        <v>0</v>
      </c>
      <c r="H97" s="477">
        <f>Sources!H97*PeakLineLoss</f>
        <v>2.1947909920326034</v>
      </c>
      <c r="I97" s="477">
        <f>Sources!I97*PeakLineLoss</f>
        <v>0</v>
      </c>
      <c r="K97" s="419">
        <f>Sources!J97</f>
        <v>4100</v>
      </c>
      <c r="L97" s="419">
        <f>Sources!K97</f>
        <v>0</v>
      </c>
      <c r="N97" s="438">
        <f t="shared" si="35"/>
        <v>2.3188794443423668</v>
      </c>
      <c r="P97" s="215">
        <f t="shared" si="36"/>
        <v>7750.6301286098133</v>
      </c>
      <c r="Q97" s="215">
        <f t="shared" si="37"/>
        <v>275.10756095877088</v>
      </c>
      <c r="R97" s="215">
        <f t="shared" si="38"/>
        <v>3461.0413702833434</v>
      </c>
      <c r="T97" s="214">
        <f t="shared" si="39"/>
        <v>0</v>
      </c>
      <c r="U97" s="214">
        <f t="shared" si="39"/>
        <v>0</v>
      </c>
      <c r="V97" s="214">
        <f t="shared" si="39"/>
        <v>4100</v>
      </c>
      <c r="W97" s="214">
        <f t="shared" si="39"/>
        <v>0</v>
      </c>
      <c r="X97" s="214">
        <f t="shared" si="39"/>
        <v>0</v>
      </c>
      <c r="Y97" s="214">
        <f t="shared" si="39"/>
        <v>0</v>
      </c>
      <c r="Z97" s="214">
        <f t="shared" si="39"/>
        <v>0</v>
      </c>
      <c r="AA97" s="214">
        <f t="shared" si="39"/>
        <v>0</v>
      </c>
      <c r="AB97" s="214">
        <f t="shared" si="39"/>
        <v>0</v>
      </c>
      <c r="AC97" s="214">
        <f t="shared" si="39"/>
        <v>0</v>
      </c>
      <c r="AD97" s="214">
        <f t="shared" si="39"/>
        <v>0</v>
      </c>
      <c r="AF97" s="214">
        <f>IF(AND(($D97+$C$1)&gt;AF$3,AF$3&gt;=$C$1),'General Inputs'!D$9*$G97,IF(AND(($C97+$C$1)&gt;AF$3,AF$3&gt;=$C$1),'General Inputs'!D$9*$F97,0))</f>
        <v>0</v>
      </c>
      <c r="AG97" s="214">
        <f>IF(AND(($D97+$C$1)&gt;AG$3,AG$3&gt;=$C$1),'General Inputs'!E$9*$G97,IF(AND(($C97+$C$1)&gt;AG$3,AG$3&gt;=$C$1),'General Inputs'!E$9*$F97,0))</f>
        <v>0</v>
      </c>
      <c r="AH97" s="214">
        <f>IF(AND(($D97+$C$1)&gt;AH$3,AH$3&gt;=$C$1),'General Inputs'!F$9*$G97,IF(AND(($C97+$C$1)&gt;AH$3,AH$3&gt;=$C$1),'General Inputs'!F$9*$F97,0))</f>
        <v>953.89108386384851</v>
      </c>
      <c r="AI97" s="214">
        <f>IF(AND(($D97+$C$1)&gt;AI$3,AI$3&gt;=$C$1),'General Inputs'!G$9*$G97,IF(AND(($C97+$C$1)&gt;AI$3,AI$3&gt;=$C$1),'General Inputs'!G$9*$F97,0))</f>
        <v>968.19945012180619</v>
      </c>
      <c r="AJ97" s="214">
        <f>IF(AND(($D97+$C$1)&gt;AJ$3,AJ$3&gt;=$C$1),'General Inputs'!H$9*$G97,IF(AND(($C97+$C$1)&gt;AJ$3,AJ$3&gt;=$C$1),'General Inputs'!H$9*$F97,0))</f>
        <v>982.7224418736331</v>
      </c>
      <c r="AK97" s="214">
        <f>IF(AND(($D97+$C$1)&gt;AK$3,AK$3&gt;=$C$1),'General Inputs'!I$9*$G97,IF(AND(($C97+$C$1)&gt;AK$3,AK$3&gt;=$C$1),'General Inputs'!I$9*$F97,0))</f>
        <v>997.46327850173748</v>
      </c>
      <c r="AL97" s="214">
        <f>IF(AND(($D97+$C$1)&gt;AL$3,AL$3&gt;=$C$1),'General Inputs'!J$9*$G97,IF(AND(($C97+$C$1)&gt;AL$3,AL$3&gt;=$C$1),'General Inputs'!J$9*$F97,0))</f>
        <v>1012.4252276792633</v>
      </c>
      <c r="AM97" s="214">
        <f>IF(AND(($D97+$C$1)&gt;AM$3,AM$3&gt;=$C$1),'General Inputs'!K$9*$G97,IF(AND(($C97+$C$1)&gt;AM$3,AM$3&gt;=$C$1),'General Inputs'!K$9*$F97,0))</f>
        <v>1027.6116060944521</v>
      </c>
      <c r="AN97" s="214">
        <f>IF(AND(($D97+$C$1)&gt;AN$3,AN$3&gt;=$C$1),'General Inputs'!L$9*$G97,IF(AND(($C97+$C$1)&gt;AN$3,AN$3&gt;=$C$1),'General Inputs'!L$9*$F97,0))</f>
        <v>1043.0257801858688</v>
      </c>
      <c r="AO97" s="214">
        <f>IF(AND(($D97+$C$1)&gt;AO$3,AO$3&gt;=$C$1),'General Inputs'!M$9*$G97,IF(AND(($C97+$C$1)&gt;AO$3,AO$3&gt;=$C$1),'General Inputs'!M$9*$F97,0))</f>
        <v>1058.6711668886567</v>
      </c>
      <c r="AP97" s="214">
        <f>IF(AND(($D97+$C$1)&gt;AP$3,AP$3&gt;=$C$1),'General Inputs'!N$9*$G97,IF(AND(($C97+$C$1)&gt;AP$3,AP$3&gt;=$C$1),'General Inputs'!N$9*$F97,0))</f>
        <v>1074.5512343919866</v>
      </c>
      <c r="AQ97" s="214">
        <f>IF(AND(($D97+$C$1)&gt;AQ$3,AQ$3&gt;=$C$1),'General Inputs'!O$9*$G97,IF(AND(($C97+$C$1)&gt;AQ$3,AQ$3&gt;=$C$1),'General Inputs'!O$9*$F97,0))</f>
        <v>1090.6695029078662</v>
      </c>
      <c r="AR97" s="214">
        <f>IF(AND(($D97+$C$1)&gt;AR$3,AR$3&gt;=$C$1),'General Inputs'!P$9*$G97,IF(AND(($C97+$C$1)&gt;AR$3,AR$3&gt;=$C$1),'General Inputs'!P$9*$F97,0))</f>
        <v>1107.0295454514842</v>
      </c>
      <c r="AS97" s="214">
        <f>IF(AND(($D97+$C$1)&gt;AS$3,AS$3&gt;=$C$1),'General Inputs'!Q$9*$G97,IF(AND(($C97+$C$1)&gt;AS$3,AS$3&gt;=$C$1),'General Inputs'!Q$9*$F97,0))</f>
        <v>1123.6349886332562</v>
      </c>
      <c r="AT97" s="214">
        <f>IF(AND(($D97+$C$1)&gt;AT$3,AT$3&gt;=$C$1),'General Inputs'!R$9*$G97,IF(AND(($C97+$C$1)&gt;AT$3,AT$3&gt;=$C$1),'General Inputs'!R$9*$F97,0))</f>
        <v>1140.489513462755</v>
      </c>
      <c r="AU97" s="214">
        <f>IF(AND(($D97+$C$1)&gt;AU$3,AU$3&gt;=$C$1),'General Inputs'!S$9*$G97,IF(AND(($C97+$C$1)&gt;AU$3,AU$3&gt;=$C$1),'General Inputs'!S$9*$F97,0))</f>
        <v>1157.5968561646964</v>
      </c>
      <c r="AV97" s="214">
        <f>IF(AND(($D97+$C$1)&gt;AV$3,AV$3&gt;=$C$1),'General Inputs'!T$9*$G97,IF(AND(($C97+$C$1)&gt;AV$3,AV$3&gt;=$C$1),'General Inputs'!T$9*$F97,0))</f>
        <v>1174.9608090071667</v>
      </c>
      <c r="AW97" s="214">
        <f>IF(AND(($D97+$C$1)&gt;AW$3,AW$3&gt;=$C$1),'General Inputs'!U$9*$G97,IF(AND(($C97+$C$1)&gt;AW$3,AW$3&gt;=$C$1),'General Inputs'!U$9*$F97,0))</f>
        <v>0</v>
      </c>
      <c r="AX97" s="214">
        <f>IF(AND(($D97+$C$1)&gt;AX$3,AX$3&gt;=$C$1),'General Inputs'!V$9*$G97,IF(AND(($C97+$C$1)&gt;AX$3,AX$3&gt;=$C$1),'General Inputs'!V$9*$F97,0))</f>
        <v>0</v>
      </c>
      <c r="AY97" s="214">
        <f>IF(AND(($D97+$C$1)&gt;AY$3,AY$3&gt;=$C$1),'General Inputs'!W$9*$G97,IF(AND(($C97+$C$1)&gt;AY$3,AY$3&gt;=$C$1),'General Inputs'!W$9*$F97,0))</f>
        <v>0</v>
      </c>
      <c r="BA97" s="214">
        <f>IF(AND(($D97+$C$1)&gt;AF$3,AF$3&gt;=$C$1),'General Inputs'!D$10*$I97,IF(AND(($C97+$C$1)&gt;AF$3,AF$3&gt;=$C$1),'General Inputs'!D$10*$H97,0))</f>
        <v>0</v>
      </c>
      <c r="BB97" s="214">
        <f>IF(AND(($D97+$C$1)&gt;AG$3,AG$3&gt;=$C$1),'General Inputs'!E$10*$I97,IF(AND(($C97+$C$1)&gt;AG$3,AG$3&gt;=$C$1),'General Inputs'!E$10*$H97,0))</f>
        <v>0</v>
      </c>
      <c r="BC97" s="214">
        <f>IF(AND(($D97+$C$1)&gt;AH$3,AH$3&gt;=$C$1),'General Inputs'!F$10*$I97,IF(AND(($C97+$C$1)&gt;AH$3,AH$3&gt;=$C$1),'General Inputs'!F$10*$H97,0))</f>
        <v>33.858234123884188</v>
      </c>
      <c r="BD97" s="214">
        <f>IF(AND(($D97+$C$1)&gt;AI$3,AI$3&gt;=$C$1),'General Inputs'!G$10*$I97,IF(AND(($C97+$C$1)&gt;AI$3,AI$3&gt;=$C$1),'General Inputs'!G$10*$H97,0))</f>
        <v>34.366107635742452</v>
      </c>
      <c r="BE97" s="214">
        <f>IF(AND(($D97+$C$1)&gt;AJ$3,AJ$3&gt;=$C$1),'General Inputs'!H$10*$I97,IF(AND(($C97+$C$1)&gt;AJ$3,AJ$3&gt;=$C$1),'General Inputs'!H$10*$H97,0))</f>
        <v>34.881599250278583</v>
      </c>
      <c r="BF97" s="214">
        <f>IF(AND(($D97+$C$1)&gt;AK$3,AK$3&gt;=$C$1),'General Inputs'!I$10*$I97,IF(AND(($C97+$C$1)&gt;AK$3,AK$3&gt;=$C$1),'General Inputs'!I$10*$H97,0))</f>
        <v>35.404823239032758</v>
      </c>
      <c r="BG97" s="214">
        <f>IF(AND(($D97+$C$1)&gt;AL$3,AL$3&gt;=$C$1),'General Inputs'!J$10*$I97,IF(AND(($C97+$C$1)&gt;AL$3,AL$3&gt;=$C$1),'General Inputs'!J$10*$H97,0))</f>
        <v>35.935895587618241</v>
      </c>
      <c r="BH97" s="214">
        <f>IF(AND(($D97+$C$1)&gt;AM$3,AM$3&gt;=$C$1),'General Inputs'!K$10*$I97,IF(AND(($C97+$C$1)&gt;AM$3,AM$3&gt;=$C$1),'General Inputs'!K$10*$H97,0))</f>
        <v>36.474934021432517</v>
      </c>
      <c r="BI97" s="214">
        <f>IF(AND(($D97+$C$1)&gt;AN$3,AN$3&gt;=$C$1),'General Inputs'!L$10*$I97,IF(AND(($C97+$C$1)&gt;AN$3,AN$3&gt;=$C$1),'General Inputs'!L$10*$H97,0))</f>
        <v>37.022058031754</v>
      </c>
      <c r="BJ97" s="214">
        <f>IF(AND(($D97+$C$1)&gt;AO$3,AO$3&gt;=$C$1),'General Inputs'!M$10*$I97,IF(AND(($C97+$C$1)&gt;AO$3,AO$3&gt;=$C$1),'General Inputs'!M$10*$H97,0))</f>
        <v>37.577388902230311</v>
      </c>
      <c r="BK97" s="214">
        <f>IF(AND(($D97+$C$1)&gt;AP$3,AP$3&gt;=$C$1),'General Inputs'!N$10*$I97,IF(AND(($C97+$C$1)&gt;AP$3,AP$3&gt;=$C$1),'General Inputs'!N$10*$H97,0))</f>
        <v>38.141049735763758</v>
      </c>
      <c r="BL97" s="214">
        <f>IF(AND(($D97+$C$1)&gt;AQ$3,AQ$3&gt;=$C$1),'General Inputs'!O$10*$I97,IF(AND(($C97+$C$1)&gt;AQ$3,AQ$3&gt;=$C$1),'General Inputs'!O$10*$H97,0))</f>
        <v>38.71316548180021</v>
      </c>
      <c r="BM97" s="214">
        <f>IF(AND(($D97+$C$1)&gt;AR$3,AR$3&gt;=$C$1),'General Inputs'!P$10*$I97,IF(AND(($C97+$C$1)&gt;AR$3,AR$3&gt;=$C$1),'General Inputs'!P$10*$H97,0))</f>
        <v>39.293862964027213</v>
      </c>
      <c r="BN97" s="214">
        <f>IF(AND(($D97+$C$1)&gt;AS$3,AS$3&gt;=$C$1),'General Inputs'!Q$10*$I97,IF(AND(($C97+$C$1)&gt;AS$3,AS$3&gt;=$C$1),'General Inputs'!Q$10*$H97,0))</f>
        <v>39.883270908487617</v>
      </c>
      <c r="BO97" s="214">
        <f>IF(AND(($D97+$C$1)&gt;AT$3,AT$3&gt;=$C$1),'General Inputs'!R$10*$I97,IF(AND(($C97+$C$1)&gt;AT$3,AT$3&gt;=$C$1),'General Inputs'!R$10*$H97,0))</f>
        <v>40.481519972114924</v>
      </c>
      <c r="BP97" s="214">
        <f>IF(AND(($D97+$C$1)&gt;AU$3,AU$3&gt;=$C$1),'General Inputs'!S$10*$I97,IF(AND(($C97+$C$1)&gt;AU$3,AU$3&gt;=$C$1),'General Inputs'!S$10*$H97,0))</f>
        <v>41.088742771696644</v>
      </c>
      <c r="BQ97" s="214">
        <f>IF(AND(($D97+$C$1)&gt;AV$3,AV$3&gt;=$C$1),'General Inputs'!T$10*$I97,IF(AND(($C97+$C$1)&gt;AV$3,AV$3&gt;=$C$1),'General Inputs'!T$10*$H97,0))</f>
        <v>41.705073913272088</v>
      </c>
      <c r="BR97" s="214">
        <f>IF(AND(($D97+$C$1)&gt;AW$3,AW$3&gt;=$C$1),'General Inputs'!U$10*$I97,IF(AND(($C97+$C$1)&gt;AW$3,AW$3&gt;=$C$1),'General Inputs'!U$10*$H97,0))</f>
        <v>0</v>
      </c>
      <c r="BS97" s="214">
        <f>IF(AND(($D97+$C$1)&gt;AX$3,AX$3&gt;=$C$1),'General Inputs'!V$10*$I97,IF(AND(($C97+$C$1)&gt;AX$3,AX$3&gt;=$C$1),'General Inputs'!V$10*$H97,0))</f>
        <v>0</v>
      </c>
      <c r="BT97" s="214">
        <f>IF(AND(($D97+$C$1)&gt;AY$3,AY$3&gt;=$C$1),'General Inputs'!W$10*$I97,IF(AND(($C97+$C$1)&gt;AY$3,AY$3&gt;=$C$1),'General Inputs'!W$10*$H97,0))</f>
        <v>0</v>
      </c>
    </row>
    <row r="98" spans="1:72">
      <c r="A98" s="342" t="s">
        <v>112</v>
      </c>
      <c r="B98" s="427" t="str">
        <f>Sources!B98</f>
        <v>Electric Storage Water Heater (&gt;50 gallons)</v>
      </c>
      <c r="C98" s="193">
        <f>Sources!C98</f>
        <v>5</v>
      </c>
      <c r="D98" s="193">
        <f>Sources!D98</f>
        <v>0</v>
      </c>
      <c r="F98" s="429">
        <f>Sources!F98*EnergyLineLoss</f>
        <v>1864.5499499999999</v>
      </c>
      <c r="G98" s="429">
        <f>Sources!G98*EnergyLineLoss</f>
        <v>0</v>
      </c>
      <c r="H98" s="477">
        <f>Sources!H98*PeakLineLoss</f>
        <v>0.2094</v>
      </c>
      <c r="I98" s="477">
        <f>Sources!I98*PeakLineLoss</f>
        <v>0</v>
      </c>
      <c r="K98" s="419">
        <f>Sources!J98</f>
        <v>1050</v>
      </c>
      <c r="L98" s="419">
        <f>Sources!K98</f>
        <v>0</v>
      </c>
      <c r="N98" s="438">
        <f t="shared" si="35"/>
        <v>0.33169690761564269</v>
      </c>
      <c r="P98" s="215">
        <f t="shared" si="36"/>
        <v>282.08882616089045</v>
      </c>
      <c r="Q98" s="215">
        <f t="shared" si="37"/>
        <v>11.91545570140981</v>
      </c>
      <c r="R98" s="215">
        <f t="shared" si="38"/>
        <v>886.36425336524644</v>
      </c>
      <c r="T98" s="214">
        <f t="shared" si="39"/>
        <v>0</v>
      </c>
      <c r="U98" s="214">
        <f t="shared" si="39"/>
        <v>0</v>
      </c>
      <c r="V98" s="214">
        <f t="shared" si="39"/>
        <v>1050</v>
      </c>
      <c r="W98" s="214">
        <f t="shared" si="39"/>
        <v>0</v>
      </c>
      <c r="X98" s="214">
        <f t="shared" si="39"/>
        <v>0</v>
      </c>
      <c r="Y98" s="214">
        <f t="shared" si="39"/>
        <v>0</v>
      </c>
      <c r="Z98" s="214">
        <f t="shared" si="39"/>
        <v>0</v>
      </c>
      <c r="AA98" s="214">
        <f t="shared" si="39"/>
        <v>0</v>
      </c>
      <c r="AB98" s="214">
        <f t="shared" si="39"/>
        <v>0</v>
      </c>
      <c r="AC98" s="214">
        <f t="shared" si="39"/>
        <v>0</v>
      </c>
      <c r="AD98" s="214">
        <f t="shared" si="39"/>
        <v>0</v>
      </c>
      <c r="AF98" s="214">
        <f>IF(AND(($D98+$C$1)&gt;AF$3,AF$3&gt;=$C$1),'General Inputs'!D$9*$G98,IF(AND(($C98+$C$1)&gt;AF$3,AF$3&gt;=$C$1),'General Inputs'!D$9*$F98,0))</f>
        <v>0</v>
      </c>
      <c r="AG98" s="214">
        <f>IF(AND(($D98+$C$1)&gt;AG$3,AG$3&gt;=$C$1),'General Inputs'!E$9*$G98,IF(AND(($C98+$C$1)&gt;AG$3,AG$3&gt;=$C$1),'General Inputs'!E$9*$F98,0))</f>
        <v>0</v>
      </c>
      <c r="AH98" s="214">
        <f>IF(AND(($D98+$C$1)&gt;AH$3,AH$3&gt;=$C$1),'General Inputs'!F$9*$G98,IF(AND(($C98+$C$1)&gt;AH$3,AH$3&gt;=$C$1),'General Inputs'!F$9*$F98,0))</f>
        <v>76.475625751784094</v>
      </c>
      <c r="AI98" s="214">
        <f>IF(AND(($D98+$C$1)&gt;AI$3,AI$3&gt;=$C$1),'General Inputs'!G$9*$G98,IF(AND(($C98+$C$1)&gt;AI$3,AI$3&gt;=$C$1),'General Inputs'!G$9*$F98,0))</f>
        <v>77.622760138060841</v>
      </c>
      <c r="AJ98" s="214">
        <f>IF(AND(($D98+$C$1)&gt;AJ$3,AJ$3&gt;=$C$1),'General Inputs'!H$9*$G98,IF(AND(($C98+$C$1)&gt;AJ$3,AJ$3&gt;=$C$1),'General Inputs'!H$9*$F98,0))</f>
        <v>78.787101540131744</v>
      </c>
      <c r="AK98" s="214">
        <f>IF(AND(($D98+$C$1)&gt;AK$3,AK$3&gt;=$C$1),'General Inputs'!I$9*$G98,IF(AND(($C98+$C$1)&gt;AK$3,AK$3&gt;=$C$1),'General Inputs'!I$9*$F98,0))</f>
        <v>79.968908063233712</v>
      </c>
      <c r="AL98" s="214">
        <f>IF(AND(($D98+$C$1)&gt;AL$3,AL$3&gt;=$C$1),'General Inputs'!J$9*$G98,IF(AND(($C98+$C$1)&gt;AL$3,AL$3&gt;=$C$1),'General Inputs'!J$9*$F98,0))</f>
        <v>81.168441684182199</v>
      </c>
      <c r="AM98" s="214">
        <f>IF(AND(($D98+$C$1)&gt;AM$3,AM$3&gt;=$C$1),'General Inputs'!K$9*$G98,IF(AND(($C98+$C$1)&gt;AM$3,AM$3&gt;=$C$1),'General Inputs'!K$9*$F98,0))</f>
        <v>0</v>
      </c>
      <c r="AN98" s="214">
        <f>IF(AND(($D98+$C$1)&gt;AN$3,AN$3&gt;=$C$1),'General Inputs'!L$9*$G98,IF(AND(($C98+$C$1)&gt;AN$3,AN$3&gt;=$C$1),'General Inputs'!L$9*$F98,0))</f>
        <v>0</v>
      </c>
      <c r="AO98" s="214">
        <f>IF(AND(($D98+$C$1)&gt;AO$3,AO$3&gt;=$C$1),'General Inputs'!M$9*$G98,IF(AND(($C98+$C$1)&gt;AO$3,AO$3&gt;=$C$1),'General Inputs'!M$9*$F98,0))</f>
        <v>0</v>
      </c>
      <c r="AP98" s="214">
        <f>IF(AND(($D98+$C$1)&gt;AP$3,AP$3&gt;=$C$1),'General Inputs'!N$9*$G98,IF(AND(($C98+$C$1)&gt;AP$3,AP$3&gt;=$C$1),'General Inputs'!N$9*$F98,0))</f>
        <v>0</v>
      </c>
      <c r="AQ98" s="214">
        <f>IF(AND(($D98+$C$1)&gt;AQ$3,AQ$3&gt;=$C$1),'General Inputs'!O$9*$G98,IF(AND(($C98+$C$1)&gt;AQ$3,AQ$3&gt;=$C$1),'General Inputs'!O$9*$F98,0))</f>
        <v>0</v>
      </c>
      <c r="AR98" s="214">
        <f>IF(AND(($D98+$C$1)&gt;AR$3,AR$3&gt;=$C$1),'General Inputs'!P$9*$G98,IF(AND(($C98+$C$1)&gt;AR$3,AR$3&gt;=$C$1),'General Inputs'!P$9*$F98,0))</f>
        <v>0</v>
      </c>
      <c r="AS98" s="214">
        <f>IF(AND(($D98+$C$1)&gt;AS$3,AS$3&gt;=$C$1),'General Inputs'!Q$9*$G98,IF(AND(($C98+$C$1)&gt;AS$3,AS$3&gt;=$C$1),'General Inputs'!Q$9*$F98,0))</f>
        <v>0</v>
      </c>
      <c r="AT98" s="214">
        <f>IF(AND(($D98+$C$1)&gt;AT$3,AT$3&gt;=$C$1),'General Inputs'!R$9*$G98,IF(AND(($C98+$C$1)&gt;AT$3,AT$3&gt;=$C$1),'General Inputs'!R$9*$F98,0))</f>
        <v>0</v>
      </c>
      <c r="AU98" s="214">
        <f>IF(AND(($D98+$C$1)&gt;AU$3,AU$3&gt;=$C$1),'General Inputs'!S$9*$G98,IF(AND(($C98+$C$1)&gt;AU$3,AU$3&gt;=$C$1),'General Inputs'!S$9*$F98,0))</f>
        <v>0</v>
      </c>
      <c r="AV98" s="214">
        <f>IF(AND(($D98+$C$1)&gt;AV$3,AV$3&gt;=$C$1),'General Inputs'!T$9*$G98,IF(AND(($C98+$C$1)&gt;AV$3,AV$3&gt;=$C$1),'General Inputs'!T$9*$F98,0))</f>
        <v>0</v>
      </c>
      <c r="AW98" s="214">
        <f>IF(AND(($D98+$C$1)&gt;AW$3,AW$3&gt;=$C$1),'General Inputs'!U$9*$G98,IF(AND(($C98+$C$1)&gt;AW$3,AW$3&gt;=$C$1),'General Inputs'!U$9*$F98,0))</f>
        <v>0</v>
      </c>
      <c r="AX98" s="214">
        <f>IF(AND(($D98+$C$1)&gt;AX$3,AX$3&gt;=$C$1),'General Inputs'!V$9*$G98,IF(AND(($C98+$C$1)&gt;AX$3,AX$3&gt;=$C$1),'General Inputs'!V$9*$F98,0))</f>
        <v>0</v>
      </c>
      <c r="AY98" s="214">
        <f>IF(AND(($D98+$C$1)&gt;AY$3,AY$3&gt;=$C$1),'General Inputs'!W$9*$G98,IF(AND(($C98+$C$1)&gt;AY$3,AY$3&gt;=$C$1),'General Inputs'!W$9*$F98,0))</f>
        <v>0</v>
      </c>
      <c r="BA98" s="214">
        <f>IF(AND(($D98+$C$1)&gt;AF$3,AF$3&gt;=$C$1),'General Inputs'!D$10*$I98,IF(AND(($C98+$C$1)&gt;AF$3,AF$3&gt;=$C$1),'General Inputs'!D$10*$H98,0))</f>
        <v>0</v>
      </c>
      <c r="BB98" s="214">
        <f>IF(AND(($D98+$C$1)&gt;AG$3,AG$3&gt;=$C$1),'General Inputs'!E$10*$I98,IF(AND(($C98+$C$1)&gt;AG$3,AG$3&gt;=$C$1),'General Inputs'!E$10*$H98,0))</f>
        <v>0</v>
      </c>
      <c r="BC98" s="214">
        <f>IF(AND(($D98+$C$1)&gt;AH$3,AH$3&gt;=$C$1),'General Inputs'!F$10*$I98,IF(AND(($C98+$C$1)&gt;AH$3,AH$3&gt;=$C$1),'General Inputs'!F$10*$H98,0))</f>
        <v>3.2303368527020222</v>
      </c>
      <c r="BD98" s="214">
        <f>IF(AND(($D98+$C$1)&gt;AI$3,AI$3&gt;=$C$1),'General Inputs'!G$10*$I98,IF(AND(($C98+$C$1)&gt;AI$3,AI$3&gt;=$C$1),'General Inputs'!G$10*$H98,0))</f>
        <v>3.2787919054925525</v>
      </c>
      <c r="BE98" s="214">
        <f>IF(AND(($D98+$C$1)&gt;AJ$3,AJ$3&gt;=$C$1),'General Inputs'!H$10*$I98,IF(AND(($C98+$C$1)&gt;AJ$3,AJ$3&gt;=$C$1),'General Inputs'!H$10*$H98,0))</f>
        <v>3.3279737840749406</v>
      </c>
      <c r="BF98" s="214">
        <f>IF(AND(($D98+$C$1)&gt;AK$3,AK$3&gt;=$C$1),'General Inputs'!I$10*$I98,IF(AND(($C98+$C$1)&gt;AK$3,AK$3&gt;=$C$1),'General Inputs'!I$10*$H98,0))</f>
        <v>3.3778933908360638</v>
      </c>
      <c r="BG98" s="214">
        <f>IF(AND(($D98+$C$1)&gt;AL$3,AL$3&gt;=$C$1),'General Inputs'!J$10*$I98,IF(AND(($C98+$C$1)&gt;AL$3,AL$3&gt;=$C$1),'General Inputs'!J$10*$H98,0))</f>
        <v>3.4285617916986046</v>
      </c>
      <c r="BH98" s="214">
        <f>IF(AND(($D98+$C$1)&gt;AM$3,AM$3&gt;=$C$1),'General Inputs'!K$10*$I98,IF(AND(($C98+$C$1)&gt;AM$3,AM$3&gt;=$C$1),'General Inputs'!K$10*$H98,0))</f>
        <v>0</v>
      </c>
      <c r="BI98" s="214">
        <f>IF(AND(($D98+$C$1)&gt;AN$3,AN$3&gt;=$C$1),'General Inputs'!L$10*$I98,IF(AND(($C98+$C$1)&gt;AN$3,AN$3&gt;=$C$1),'General Inputs'!L$10*$H98,0))</f>
        <v>0</v>
      </c>
      <c r="BJ98" s="214">
        <f>IF(AND(($D98+$C$1)&gt;AO$3,AO$3&gt;=$C$1),'General Inputs'!M$10*$I98,IF(AND(($C98+$C$1)&gt;AO$3,AO$3&gt;=$C$1),'General Inputs'!M$10*$H98,0))</f>
        <v>0</v>
      </c>
      <c r="BK98" s="214">
        <f>IF(AND(($D98+$C$1)&gt;AP$3,AP$3&gt;=$C$1),'General Inputs'!N$10*$I98,IF(AND(($C98+$C$1)&gt;AP$3,AP$3&gt;=$C$1),'General Inputs'!N$10*$H98,0))</f>
        <v>0</v>
      </c>
      <c r="BL98" s="214">
        <f>IF(AND(($D98+$C$1)&gt;AQ$3,AQ$3&gt;=$C$1),'General Inputs'!O$10*$I98,IF(AND(($C98+$C$1)&gt;AQ$3,AQ$3&gt;=$C$1),'General Inputs'!O$10*$H98,0))</f>
        <v>0</v>
      </c>
      <c r="BM98" s="214">
        <f>IF(AND(($D98+$C$1)&gt;AR$3,AR$3&gt;=$C$1),'General Inputs'!P$10*$I98,IF(AND(($C98+$C$1)&gt;AR$3,AR$3&gt;=$C$1),'General Inputs'!P$10*$H98,0))</f>
        <v>0</v>
      </c>
      <c r="BN98" s="214">
        <f>IF(AND(($D98+$C$1)&gt;AS$3,AS$3&gt;=$C$1),'General Inputs'!Q$10*$I98,IF(AND(($C98+$C$1)&gt;AS$3,AS$3&gt;=$C$1),'General Inputs'!Q$10*$H98,0))</f>
        <v>0</v>
      </c>
      <c r="BO98" s="214">
        <f>IF(AND(($D98+$C$1)&gt;AT$3,AT$3&gt;=$C$1),'General Inputs'!R$10*$I98,IF(AND(($C98+$C$1)&gt;AT$3,AT$3&gt;=$C$1),'General Inputs'!R$10*$H98,0))</f>
        <v>0</v>
      </c>
      <c r="BP98" s="214">
        <f>IF(AND(($D98+$C$1)&gt;AU$3,AU$3&gt;=$C$1),'General Inputs'!S$10*$I98,IF(AND(($C98+$C$1)&gt;AU$3,AU$3&gt;=$C$1),'General Inputs'!S$10*$H98,0))</f>
        <v>0</v>
      </c>
      <c r="BQ98" s="214">
        <f>IF(AND(($D98+$C$1)&gt;AV$3,AV$3&gt;=$C$1),'General Inputs'!T$10*$I98,IF(AND(($C98+$C$1)&gt;AV$3,AV$3&gt;=$C$1),'General Inputs'!T$10*$H98,0))</f>
        <v>0</v>
      </c>
      <c r="BR98" s="214">
        <f>IF(AND(($D98+$C$1)&gt;AW$3,AW$3&gt;=$C$1),'General Inputs'!U$10*$I98,IF(AND(($C98+$C$1)&gt;AW$3,AW$3&gt;=$C$1),'General Inputs'!U$10*$H98,0))</f>
        <v>0</v>
      </c>
      <c r="BS98" s="214">
        <f>IF(AND(($D98+$C$1)&gt;AX$3,AX$3&gt;=$C$1),'General Inputs'!V$10*$I98,IF(AND(($C98+$C$1)&gt;AX$3,AX$3&gt;=$C$1),'General Inputs'!V$10*$H98,0))</f>
        <v>0</v>
      </c>
      <c r="BT98" s="214">
        <f>IF(AND(($D98+$C$1)&gt;AY$3,AY$3&gt;=$C$1),'General Inputs'!W$10*$I98,IF(AND(($C98+$C$1)&gt;AY$3,AY$3&gt;=$C$1),'General Inputs'!W$10*$H98,0))</f>
        <v>0</v>
      </c>
    </row>
    <row r="99" spans="1:72">
      <c r="A99" s="342" t="s">
        <v>112</v>
      </c>
      <c r="B99" s="427" t="str">
        <f>Sources!B99</f>
        <v>Heat Pump Water Heater</v>
      </c>
      <c r="C99" s="193">
        <f>Sources!C99</f>
        <v>15</v>
      </c>
      <c r="D99" s="193">
        <f>Sources!D99</f>
        <v>0</v>
      </c>
      <c r="F99" s="429">
        <f>Sources!F99*EnergyLineLoss</f>
        <v>1815.1933588429342</v>
      </c>
      <c r="G99" s="429">
        <f>Sources!G99*EnergyLineLoss</f>
        <v>0</v>
      </c>
      <c r="H99" s="477">
        <f>Sources!H99*PeakLineLoss</f>
        <v>8.5994158334446152E-2</v>
      </c>
      <c r="I99" s="477">
        <f>Sources!I99*PeakLineLoss</f>
        <v>0</v>
      </c>
      <c r="K99" s="419">
        <f>Sources!J99</f>
        <v>700</v>
      </c>
      <c r="L99" s="419">
        <f>Sources!K99</f>
        <v>0</v>
      </c>
      <c r="N99" s="438">
        <f t="shared" si="35"/>
        <v>1.0419801565425408</v>
      </c>
      <c r="P99" s="215">
        <f t="shared" si="36"/>
        <v>604.93697972663722</v>
      </c>
      <c r="Q99" s="215">
        <f t="shared" si="37"/>
        <v>10.778995923517261</v>
      </c>
      <c r="R99" s="215">
        <f t="shared" si="38"/>
        <v>590.90950224349763</v>
      </c>
      <c r="T99" s="214">
        <f t="shared" si="39"/>
        <v>0</v>
      </c>
      <c r="U99" s="214">
        <f t="shared" si="39"/>
        <v>0</v>
      </c>
      <c r="V99" s="214">
        <f t="shared" si="39"/>
        <v>700</v>
      </c>
      <c r="W99" s="214">
        <f t="shared" si="39"/>
        <v>0</v>
      </c>
      <c r="X99" s="214">
        <f t="shared" si="39"/>
        <v>0</v>
      </c>
      <c r="Y99" s="214">
        <f t="shared" si="39"/>
        <v>0</v>
      </c>
      <c r="Z99" s="214">
        <f t="shared" si="39"/>
        <v>0</v>
      </c>
      <c r="AA99" s="214">
        <f t="shared" si="39"/>
        <v>0</v>
      </c>
      <c r="AB99" s="214">
        <f t="shared" si="39"/>
        <v>0</v>
      </c>
      <c r="AC99" s="214">
        <f t="shared" si="39"/>
        <v>0</v>
      </c>
      <c r="AD99" s="214">
        <f t="shared" si="39"/>
        <v>0</v>
      </c>
      <c r="AF99" s="214">
        <f>IF(AND(($D99+$C$1)&gt;AF$3,AF$3&gt;=$C$1),'General Inputs'!D$9*$G99,IF(AND(($C99+$C$1)&gt;AF$3,AF$3&gt;=$C$1),'General Inputs'!D$9*$F99,0))</f>
        <v>0</v>
      </c>
      <c r="AG99" s="214">
        <f>IF(AND(($D99+$C$1)&gt;AG$3,AG$3&gt;=$C$1),'General Inputs'!E$9*$G99,IF(AND(($C99+$C$1)&gt;AG$3,AG$3&gt;=$C$1),'General Inputs'!E$9*$F99,0))</f>
        <v>0</v>
      </c>
      <c r="AH99" s="214">
        <f>IF(AND(($D99+$C$1)&gt;AH$3,AH$3&gt;=$C$1),'General Inputs'!F$9*$G99,IF(AND(($C99+$C$1)&gt;AH$3,AH$3&gt;=$C$1),'General Inputs'!F$9*$F99,0))</f>
        <v>74.451235794458697</v>
      </c>
      <c r="AI99" s="214">
        <f>IF(AND(($D99+$C$1)&gt;AI$3,AI$3&gt;=$C$1),'General Inputs'!G$9*$G99,IF(AND(($C99+$C$1)&gt;AI$3,AI$3&gt;=$C$1),'General Inputs'!G$9*$F99,0))</f>
        <v>75.568004331375562</v>
      </c>
      <c r="AJ99" s="214">
        <f>IF(AND(($D99+$C$1)&gt;AJ$3,AJ$3&gt;=$C$1),'General Inputs'!H$9*$G99,IF(AND(($C99+$C$1)&gt;AJ$3,AJ$3&gt;=$C$1),'General Inputs'!H$9*$F99,0))</f>
        <v>76.701524396346187</v>
      </c>
      <c r="AK99" s="214">
        <f>IF(AND(($D99+$C$1)&gt;AK$3,AK$3&gt;=$C$1),'General Inputs'!I$9*$G99,IF(AND(($C99+$C$1)&gt;AK$3,AK$3&gt;=$C$1),'General Inputs'!I$9*$F99,0))</f>
        <v>77.852047262291379</v>
      </c>
      <c r="AL99" s="214">
        <f>IF(AND(($D99+$C$1)&gt;AL$3,AL$3&gt;=$C$1),'General Inputs'!J$9*$G99,IF(AND(($C99+$C$1)&gt;AL$3,AL$3&gt;=$C$1),'General Inputs'!J$9*$F99,0))</f>
        <v>79.019827971225737</v>
      </c>
      <c r="AM99" s="214">
        <f>IF(AND(($D99+$C$1)&gt;AM$3,AM$3&gt;=$C$1),'General Inputs'!K$9*$G99,IF(AND(($C99+$C$1)&gt;AM$3,AM$3&gt;=$C$1),'General Inputs'!K$9*$F99,0))</f>
        <v>80.205125390794109</v>
      </c>
      <c r="AN99" s="214">
        <f>IF(AND(($D99+$C$1)&gt;AN$3,AN$3&gt;=$C$1),'General Inputs'!L$9*$G99,IF(AND(($C99+$C$1)&gt;AN$3,AN$3&gt;=$C$1),'General Inputs'!L$9*$F99,0))</f>
        <v>81.408202271656009</v>
      </c>
      <c r="AO99" s="214">
        <f>IF(AND(($D99+$C$1)&gt;AO$3,AO$3&gt;=$C$1),'General Inputs'!M$9*$G99,IF(AND(($C99+$C$1)&gt;AO$3,AO$3&gt;=$C$1),'General Inputs'!M$9*$F99,0))</f>
        <v>82.629325305730831</v>
      </c>
      <c r="AP99" s="214">
        <f>IF(AND(($D99+$C$1)&gt;AP$3,AP$3&gt;=$C$1),'General Inputs'!N$9*$G99,IF(AND(($C99+$C$1)&gt;AP$3,AP$3&gt;=$C$1),'General Inputs'!N$9*$F99,0))</f>
        <v>83.868765185316789</v>
      </c>
      <c r="AQ99" s="214">
        <f>IF(AND(($D99+$C$1)&gt;AQ$3,AQ$3&gt;=$C$1),'General Inputs'!O$9*$G99,IF(AND(($C99+$C$1)&gt;AQ$3,AQ$3&gt;=$C$1),'General Inputs'!O$9*$F99,0))</f>
        <v>85.126796663096542</v>
      </c>
      <c r="AR99" s="214">
        <f>IF(AND(($D99+$C$1)&gt;AR$3,AR$3&gt;=$C$1),'General Inputs'!P$9*$G99,IF(AND(($C99+$C$1)&gt;AR$3,AR$3&gt;=$C$1),'General Inputs'!P$9*$F99,0))</f>
        <v>86.403698613042977</v>
      </c>
      <c r="AS99" s="214">
        <f>IF(AND(($D99+$C$1)&gt;AS$3,AS$3&gt;=$C$1),'General Inputs'!Q$9*$G99,IF(AND(($C99+$C$1)&gt;AS$3,AS$3&gt;=$C$1),'General Inputs'!Q$9*$F99,0))</f>
        <v>87.699754092238621</v>
      </c>
      <c r="AT99" s="214">
        <f>IF(AND(($D99+$C$1)&gt;AT$3,AT$3&gt;=$C$1),'General Inputs'!R$9*$G99,IF(AND(($C99+$C$1)&gt;AT$3,AT$3&gt;=$C$1),'General Inputs'!R$9*$F99,0))</f>
        <v>89.01525040362219</v>
      </c>
      <c r="AU99" s="214">
        <f>IF(AND(($D99+$C$1)&gt;AU$3,AU$3&gt;=$C$1),'General Inputs'!S$9*$G99,IF(AND(($C99+$C$1)&gt;AU$3,AU$3&gt;=$C$1),'General Inputs'!S$9*$F99,0))</f>
        <v>90.35047915967651</v>
      </c>
      <c r="AV99" s="214">
        <f>IF(AND(($D99+$C$1)&gt;AV$3,AV$3&gt;=$C$1),'General Inputs'!T$9*$G99,IF(AND(($C99+$C$1)&gt;AV$3,AV$3&gt;=$C$1),'General Inputs'!T$9*$F99,0))</f>
        <v>91.705736347071664</v>
      </c>
      <c r="AW99" s="214">
        <f>IF(AND(($D99+$C$1)&gt;AW$3,AW$3&gt;=$C$1),'General Inputs'!U$9*$G99,IF(AND(($C99+$C$1)&gt;AW$3,AW$3&gt;=$C$1),'General Inputs'!U$9*$F99,0))</f>
        <v>0</v>
      </c>
      <c r="AX99" s="214">
        <f>IF(AND(($D99+$C$1)&gt;AX$3,AX$3&gt;=$C$1),'General Inputs'!V$9*$G99,IF(AND(($C99+$C$1)&gt;AX$3,AX$3&gt;=$C$1),'General Inputs'!V$9*$F99,0))</f>
        <v>0</v>
      </c>
      <c r="AY99" s="214">
        <f>IF(AND(($D99+$C$1)&gt;AY$3,AY$3&gt;=$C$1),'General Inputs'!W$9*$G99,IF(AND(($C99+$C$1)&gt;AY$3,AY$3&gt;=$C$1),'General Inputs'!W$9*$F99,0))</f>
        <v>0</v>
      </c>
      <c r="BA99" s="214">
        <f>IF(AND(($D99+$C$1)&gt;AF$3,AF$3&gt;=$C$1),'General Inputs'!D$10*$I99,IF(AND(($C99+$C$1)&gt;AF$3,AF$3&gt;=$C$1),'General Inputs'!D$10*$H99,0))</f>
        <v>0</v>
      </c>
      <c r="BB99" s="214">
        <f>IF(AND(($D99+$C$1)&gt;AG$3,AG$3&gt;=$C$1),'General Inputs'!E$10*$I99,IF(AND(($C99+$C$1)&gt;AG$3,AG$3&gt;=$C$1),'General Inputs'!E$10*$H99,0))</f>
        <v>0</v>
      </c>
      <c r="BC99" s="214">
        <f>IF(AND(($D99+$C$1)&gt;AH$3,AH$3&gt;=$C$1),'General Inputs'!F$10*$I99,IF(AND(($C99+$C$1)&gt;AH$3,AH$3&gt;=$C$1),'General Inputs'!F$10*$H99,0))</f>
        <v>1.3266002807299626</v>
      </c>
      <c r="BD99" s="214">
        <f>IF(AND(($D99+$C$1)&gt;AI$3,AI$3&gt;=$C$1),'General Inputs'!G$10*$I99,IF(AND(($C99+$C$1)&gt;AI$3,AI$3&gt;=$C$1),'General Inputs'!G$10*$H99,0))</f>
        <v>1.3464992849409119</v>
      </c>
      <c r="BE99" s="214">
        <f>IF(AND(($D99+$C$1)&gt;AJ$3,AJ$3&gt;=$C$1),'General Inputs'!H$10*$I99,IF(AND(($C99+$C$1)&gt;AJ$3,AJ$3&gt;=$C$1),'General Inputs'!H$10*$H99,0))</f>
        <v>1.3666967742150256</v>
      </c>
      <c r="BF99" s="214">
        <f>IF(AND(($D99+$C$1)&gt;AK$3,AK$3&gt;=$C$1),'General Inputs'!I$10*$I99,IF(AND(($C99+$C$1)&gt;AK$3,AK$3&gt;=$C$1),'General Inputs'!I$10*$H99,0))</f>
        <v>1.3871972258282506</v>
      </c>
      <c r="BG99" s="214">
        <f>IF(AND(($D99+$C$1)&gt;AL$3,AL$3&gt;=$C$1),'General Inputs'!J$10*$I99,IF(AND(($C99+$C$1)&gt;AL$3,AL$3&gt;=$C$1),'General Inputs'!J$10*$H99,0))</f>
        <v>1.4080051842156742</v>
      </c>
      <c r="BH99" s="214">
        <f>IF(AND(($D99+$C$1)&gt;AM$3,AM$3&gt;=$C$1),'General Inputs'!K$10*$I99,IF(AND(($C99+$C$1)&gt;AM$3,AM$3&gt;=$C$1),'General Inputs'!K$10*$H99,0))</f>
        <v>1.4291252619789092</v>
      </c>
      <c r="BI99" s="214">
        <f>IF(AND(($D99+$C$1)&gt;AN$3,AN$3&gt;=$C$1),'General Inputs'!L$10*$I99,IF(AND(($C99+$C$1)&gt;AN$3,AN$3&gt;=$C$1),'General Inputs'!L$10*$H99,0))</f>
        <v>1.4505621409085927</v>
      </c>
      <c r="BJ99" s="214">
        <f>IF(AND(($D99+$C$1)&gt;AO$3,AO$3&gt;=$C$1),'General Inputs'!M$10*$I99,IF(AND(($C99+$C$1)&gt;AO$3,AO$3&gt;=$C$1),'General Inputs'!M$10*$H99,0))</f>
        <v>1.4723205730222215</v>
      </c>
      <c r="BK99" s="214">
        <f>IF(AND(($D99+$C$1)&gt;AP$3,AP$3&gt;=$C$1),'General Inputs'!N$10*$I99,IF(AND(($C99+$C$1)&gt;AP$3,AP$3&gt;=$C$1),'General Inputs'!N$10*$H99,0))</f>
        <v>1.4944053816175547</v>
      </c>
      <c r="BL99" s="214">
        <f>IF(AND(($D99+$C$1)&gt;AQ$3,AQ$3&gt;=$C$1),'General Inputs'!O$10*$I99,IF(AND(($C99+$C$1)&gt;AQ$3,AQ$3&gt;=$C$1),'General Inputs'!O$10*$H99,0))</f>
        <v>1.5168214623418179</v>
      </c>
      <c r="BM99" s="214">
        <f>IF(AND(($D99+$C$1)&gt;AR$3,AR$3&gt;=$C$1),'General Inputs'!P$10*$I99,IF(AND(($C99+$C$1)&gt;AR$3,AR$3&gt;=$C$1),'General Inputs'!P$10*$H99,0))</f>
        <v>1.539573784276945</v>
      </c>
      <c r="BN99" s="214">
        <f>IF(AND(($D99+$C$1)&gt;AS$3,AS$3&gt;=$C$1),'General Inputs'!Q$10*$I99,IF(AND(($C99+$C$1)&gt;AS$3,AS$3&gt;=$C$1),'General Inputs'!Q$10*$H99,0))</f>
        <v>1.5626673910410991</v>
      </c>
      <c r="BO99" s="214">
        <f>IF(AND(($D99+$C$1)&gt;AT$3,AT$3&gt;=$C$1),'General Inputs'!R$10*$I99,IF(AND(($C99+$C$1)&gt;AT$3,AT$3&gt;=$C$1),'General Inputs'!R$10*$H99,0))</f>
        <v>1.5861074019067152</v>
      </c>
      <c r="BP99" s="214">
        <f>IF(AND(($D99+$C$1)&gt;AU$3,AU$3&gt;=$C$1),'General Inputs'!S$10*$I99,IF(AND(($C99+$C$1)&gt;AU$3,AU$3&gt;=$C$1),'General Inputs'!S$10*$H99,0))</f>
        <v>1.6098990129353159</v>
      </c>
      <c r="BQ99" s="214">
        <f>IF(AND(($D99+$C$1)&gt;AV$3,AV$3&gt;=$C$1),'General Inputs'!T$10*$I99,IF(AND(($C99+$C$1)&gt;AV$3,AV$3&gt;=$C$1),'General Inputs'!T$10*$H99,0))</f>
        <v>1.6340474981293456</v>
      </c>
      <c r="BR99" s="214">
        <f>IF(AND(($D99+$C$1)&gt;AW$3,AW$3&gt;=$C$1),'General Inputs'!U$10*$I99,IF(AND(($C99+$C$1)&gt;AW$3,AW$3&gt;=$C$1),'General Inputs'!U$10*$H99,0))</f>
        <v>0</v>
      </c>
      <c r="BS99" s="214">
        <f>IF(AND(($D99+$C$1)&gt;AX$3,AX$3&gt;=$C$1),'General Inputs'!V$10*$I99,IF(AND(($C99+$C$1)&gt;AX$3,AX$3&gt;=$C$1),'General Inputs'!V$10*$H99,0))</f>
        <v>0</v>
      </c>
      <c r="BT99" s="214">
        <f>IF(AND(($D99+$C$1)&gt;AY$3,AY$3&gt;=$C$1),'General Inputs'!W$10*$I99,IF(AND(($C99+$C$1)&gt;AY$3,AY$3&gt;=$C$1),'General Inputs'!W$10*$H99,0))</f>
        <v>0</v>
      </c>
    </row>
    <row r="100" spans="1:72">
      <c r="A100" s="342" t="s">
        <v>112</v>
      </c>
      <c r="B100" s="427" t="str">
        <f>Sources!B100</f>
        <v>VFD Fan</v>
      </c>
      <c r="C100" s="193">
        <f>Sources!C100</f>
        <v>15</v>
      </c>
      <c r="D100" s="193">
        <f>Sources!D100</f>
        <v>0</v>
      </c>
      <c r="F100" s="429">
        <f>Sources!F100*EnergyLineLoss</f>
        <v>18326.59441340782</v>
      </c>
      <c r="G100" s="429">
        <f>Sources!G100*EnergyLineLoss</f>
        <v>0</v>
      </c>
      <c r="H100" s="477">
        <f>Sources!H100*PeakLineLoss</f>
        <v>3.8896887599999999</v>
      </c>
      <c r="I100" s="477">
        <f>Sources!I100*PeakLineLoss</f>
        <v>0</v>
      </c>
      <c r="K100" s="419">
        <f>Sources!J100</f>
        <v>2518</v>
      </c>
      <c r="L100" s="419">
        <f>Sources!K100</f>
        <v>0</v>
      </c>
      <c r="N100" s="438">
        <f t="shared" si="35"/>
        <v>3.1027367509190582</v>
      </c>
      <c r="P100" s="215">
        <f t="shared" si="36"/>
        <v>6107.5778065808136</v>
      </c>
      <c r="Q100" s="215">
        <f t="shared" si="37"/>
        <v>487.55566773186843</v>
      </c>
      <c r="R100" s="215">
        <f t="shared" si="38"/>
        <v>2125.5858952130388</v>
      </c>
      <c r="T100" s="214">
        <f t="shared" si="39"/>
        <v>0</v>
      </c>
      <c r="U100" s="214">
        <f t="shared" si="39"/>
        <v>0</v>
      </c>
      <c r="V100" s="214">
        <f t="shared" si="39"/>
        <v>2518</v>
      </c>
      <c r="W100" s="214">
        <f t="shared" si="39"/>
        <v>0</v>
      </c>
      <c r="X100" s="214">
        <f t="shared" si="39"/>
        <v>0</v>
      </c>
      <c r="Y100" s="214">
        <f t="shared" si="39"/>
        <v>0</v>
      </c>
      <c r="Z100" s="214">
        <f t="shared" si="39"/>
        <v>0</v>
      </c>
      <c r="AA100" s="214">
        <f t="shared" si="39"/>
        <v>0</v>
      </c>
      <c r="AB100" s="214">
        <f t="shared" si="39"/>
        <v>0</v>
      </c>
      <c r="AC100" s="214">
        <f t="shared" si="39"/>
        <v>0</v>
      </c>
      <c r="AD100" s="214">
        <f t="shared" si="39"/>
        <v>0</v>
      </c>
      <c r="AF100" s="214">
        <f>IF(AND(($D100+$C$1)&gt;AF$3,AF$3&gt;=$C$1),'General Inputs'!D$9*$G100,IF(AND(($C100+$C$1)&gt;AF$3,AF$3&gt;=$C$1),'General Inputs'!D$9*$F100,0))</f>
        <v>0</v>
      </c>
      <c r="AG100" s="214">
        <f>IF(AND(($D100+$C$1)&gt;AG$3,AG$3&gt;=$C$1),'General Inputs'!E$9*$G100,IF(AND(($C100+$C$1)&gt;AG$3,AG$3&gt;=$C$1),'General Inputs'!E$9*$F100,0))</f>
        <v>0</v>
      </c>
      <c r="AH100" s="214">
        <f>IF(AND(($D100+$C$1)&gt;AH$3,AH$3&gt;=$C$1),'General Inputs'!F$9*$G100,IF(AND(($C100+$C$1)&gt;AH$3,AH$3&gt;=$C$1),'General Inputs'!F$9*$F100,0))</f>
        <v>751.67617561788222</v>
      </c>
      <c r="AI100" s="214">
        <f>IF(AND(($D100+$C$1)&gt;AI$3,AI$3&gt;=$C$1),'General Inputs'!G$9*$G100,IF(AND(($C100+$C$1)&gt;AI$3,AI$3&gt;=$C$1),'General Inputs'!G$9*$F100,0))</f>
        <v>762.95131825215049</v>
      </c>
      <c r="AJ100" s="214">
        <f>IF(AND(($D100+$C$1)&gt;AJ$3,AJ$3&gt;=$C$1),'General Inputs'!H$9*$G100,IF(AND(($C100+$C$1)&gt;AJ$3,AJ$3&gt;=$C$1),'General Inputs'!H$9*$F100,0))</f>
        <v>774.39558802593262</v>
      </c>
      <c r="AK100" s="214">
        <f>IF(AND(($D100+$C$1)&gt;AK$3,AK$3&gt;=$C$1),'General Inputs'!I$9*$G100,IF(AND(($C100+$C$1)&gt;AK$3,AK$3&gt;=$C$1),'General Inputs'!I$9*$F100,0))</f>
        <v>786.01152184632144</v>
      </c>
      <c r="AL100" s="214">
        <f>IF(AND(($D100+$C$1)&gt;AL$3,AL$3&gt;=$C$1),'General Inputs'!J$9*$G100,IF(AND(($C100+$C$1)&gt;AL$3,AL$3&gt;=$C$1),'General Inputs'!J$9*$F100,0))</f>
        <v>797.80169467401618</v>
      </c>
      <c r="AM100" s="214">
        <f>IF(AND(($D100+$C$1)&gt;AM$3,AM$3&gt;=$C$1),'General Inputs'!K$9*$G100,IF(AND(($C100+$C$1)&gt;AM$3,AM$3&gt;=$C$1),'General Inputs'!K$9*$F100,0))</f>
        <v>809.76872009412625</v>
      </c>
      <c r="AN100" s="214">
        <f>IF(AND(($D100+$C$1)&gt;AN$3,AN$3&gt;=$C$1),'General Inputs'!L$9*$G100,IF(AND(($C100+$C$1)&gt;AN$3,AN$3&gt;=$C$1),'General Inputs'!L$9*$F100,0))</f>
        <v>821.91525089553807</v>
      </c>
      <c r="AO100" s="214">
        <f>IF(AND(($D100+$C$1)&gt;AO$3,AO$3&gt;=$C$1),'General Inputs'!M$9*$G100,IF(AND(($C100+$C$1)&gt;AO$3,AO$3&gt;=$C$1),'General Inputs'!M$9*$F100,0))</f>
        <v>834.24397965897106</v>
      </c>
      <c r="AP100" s="214">
        <f>IF(AND(($D100+$C$1)&gt;AP$3,AP$3&gt;=$C$1),'General Inputs'!N$9*$G100,IF(AND(($C100+$C$1)&gt;AP$3,AP$3&gt;=$C$1),'General Inputs'!N$9*$F100,0))</f>
        <v>846.75763935385555</v>
      </c>
      <c r="AQ100" s="214">
        <f>IF(AND(($D100+$C$1)&gt;AQ$3,AQ$3&gt;=$C$1),'General Inputs'!O$9*$G100,IF(AND(($C100+$C$1)&gt;AQ$3,AQ$3&gt;=$C$1),'General Inputs'!O$9*$F100,0))</f>
        <v>859.45900394416333</v>
      </c>
      <c r="AR100" s="214">
        <f>IF(AND(($D100+$C$1)&gt;AR$3,AR$3&gt;=$C$1),'General Inputs'!P$9*$G100,IF(AND(($C100+$C$1)&gt;AR$3,AR$3&gt;=$C$1),'General Inputs'!P$9*$F100,0))</f>
        <v>872.35088900332562</v>
      </c>
      <c r="AS100" s="214">
        <f>IF(AND(($D100+$C$1)&gt;AS$3,AS$3&gt;=$C$1),'General Inputs'!Q$9*$G100,IF(AND(($C100+$C$1)&gt;AS$3,AS$3&gt;=$C$1),'General Inputs'!Q$9*$F100,0))</f>
        <v>885.43615233837545</v>
      </c>
      <c r="AT100" s="214">
        <f>IF(AND(($D100+$C$1)&gt;AT$3,AT$3&gt;=$C$1),'General Inputs'!R$9*$G100,IF(AND(($C100+$C$1)&gt;AT$3,AT$3&gt;=$C$1),'General Inputs'!R$9*$F100,0))</f>
        <v>898.71769462345105</v>
      </c>
      <c r="AU100" s="214">
        <f>IF(AND(($D100+$C$1)&gt;AU$3,AU$3&gt;=$C$1),'General Inputs'!S$9*$G100,IF(AND(($C100+$C$1)&gt;AU$3,AU$3&gt;=$C$1),'General Inputs'!S$9*$F100,0))</f>
        <v>912.19846004280282</v>
      </c>
      <c r="AV100" s="214">
        <f>IF(AND(($D100+$C$1)&gt;AV$3,AV$3&gt;=$C$1),'General Inputs'!T$9*$G100,IF(AND(($C100+$C$1)&gt;AV$3,AV$3&gt;=$C$1),'General Inputs'!T$9*$F100,0))</f>
        <v>925.88143694344478</v>
      </c>
      <c r="AW100" s="214">
        <f>IF(AND(($D100+$C$1)&gt;AW$3,AW$3&gt;=$C$1),'General Inputs'!U$9*$G100,IF(AND(($C100+$C$1)&gt;AW$3,AW$3&gt;=$C$1),'General Inputs'!U$9*$F100,0))</f>
        <v>0</v>
      </c>
      <c r="AX100" s="214">
        <f>IF(AND(($D100+$C$1)&gt;AX$3,AX$3&gt;=$C$1),'General Inputs'!V$9*$G100,IF(AND(($C100+$C$1)&gt;AX$3,AX$3&gt;=$C$1),'General Inputs'!V$9*$F100,0))</f>
        <v>0</v>
      </c>
      <c r="AY100" s="214">
        <f>IF(AND(($D100+$C$1)&gt;AY$3,AY$3&gt;=$C$1),'General Inputs'!W$9*$G100,IF(AND(($C100+$C$1)&gt;AY$3,AY$3&gt;=$C$1),'General Inputs'!W$9*$F100,0))</f>
        <v>0</v>
      </c>
      <c r="BA100" s="214">
        <f>IF(AND(($D100+$C$1)&gt;AF$3,AF$3&gt;=$C$1),'General Inputs'!D$10*$I100,IF(AND(($C100+$C$1)&gt;AF$3,AF$3&gt;=$C$1),'General Inputs'!D$10*$H100,0))</f>
        <v>0</v>
      </c>
      <c r="BB100" s="214">
        <f>IF(AND(($D100+$C$1)&gt;AG$3,AG$3&gt;=$C$1),'General Inputs'!E$10*$I100,IF(AND(($C100+$C$1)&gt;AG$3,AG$3&gt;=$C$1),'General Inputs'!E$10*$H100,0))</f>
        <v>0</v>
      </c>
      <c r="BC100" s="214">
        <f>IF(AND(($D100+$C$1)&gt;AH$3,AH$3&gt;=$C$1),'General Inputs'!F$10*$I100,IF(AND(($C100+$C$1)&gt;AH$3,AH$3&gt;=$C$1),'General Inputs'!F$10*$H100,0))</f>
        <v>60.004799173681143</v>
      </c>
      <c r="BD100" s="214">
        <f>IF(AND(($D100+$C$1)&gt;AI$3,AI$3&gt;=$C$1),'General Inputs'!G$10*$I100,IF(AND(($C100+$C$1)&gt;AI$3,AI$3&gt;=$C$1),'General Inputs'!G$10*$H100,0))</f>
        <v>60.904871161286358</v>
      </c>
      <c r="BE100" s="214">
        <f>IF(AND(($D100+$C$1)&gt;AJ$3,AJ$3&gt;=$C$1),'General Inputs'!H$10*$I100,IF(AND(($C100+$C$1)&gt;AJ$3,AJ$3&gt;=$C$1),'General Inputs'!H$10*$H100,0))</f>
        <v>61.818444228705644</v>
      </c>
      <c r="BF100" s="214">
        <f>IF(AND(($D100+$C$1)&gt;AK$3,AK$3&gt;=$C$1),'General Inputs'!I$10*$I100,IF(AND(($C100+$C$1)&gt;AK$3,AK$3&gt;=$C$1),'General Inputs'!I$10*$H100,0))</f>
        <v>62.74572089213622</v>
      </c>
      <c r="BG100" s="214">
        <f>IF(AND(($D100+$C$1)&gt;AL$3,AL$3&gt;=$C$1),'General Inputs'!J$10*$I100,IF(AND(($C100+$C$1)&gt;AL$3,AL$3&gt;=$C$1),'General Inputs'!J$10*$H100,0))</f>
        <v>63.686906705518254</v>
      </c>
      <c r="BH100" s="214">
        <f>IF(AND(($D100+$C$1)&gt;AM$3,AM$3&gt;=$C$1),'General Inputs'!K$10*$I100,IF(AND(($C100+$C$1)&gt;AM$3,AM$3&gt;=$C$1),'General Inputs'!K$10*$H100,0))</f>
        <v>64.64221030610102</v>
      </c>
      <c r="BI100" s="214">
        <f>IF(AND(($D100+$C$1)&gt;AN$3,AN$3&gt;=$C$1),'General Inputs'!L$10*$I100,IF(AND(($C100+$C$1)&gt;AN$3,AN$3&gt;=$C$1),'General Inputs'!L$10*$H100,0))</f>
        <v>65.61184346069254</v>
      </c>
      <c r="BJ100" s="214">
        <f>IF(AND(($D100+$C$1)&gt;AO$3,AO$3&gt;=$C$1),'General Inputs'!M$10*$I100,IF(AND(($C100+$C$1)&gt;AO$3,AO$3&gt;=$C$1),'General Inputs'!M$10*$H100,0))</f>
        <v>66.596021112602926</v>
      </c>
      <c r="BK100" s="214">
        <f>IF(AND(($D100+$C$1)&gt;AP$3,AP$3&gt;=$C$1),'General Inputs'!N$10*$I100,IF(AND(($C100+$C$1)&gt;AP$3,AP$3&gt;=$C$1),'General Inputs'!N$10*$H100,0))</f>
        <v>67.594961429291956</v>
      </c>
      <c r="BL100" s="214">
        <f>IF(AND(($D100+$C$1)&gt;AQ$3,AQ$3&gt;=$C$1),'General Inputs'!O$10*$I100,IF(AND(($C100+$C$1)&gt;AQ$3,AQ$3&gt;=$C$1),'General Inputs'!O$10*$H100,0))</f>
        <v>68.608885850731326</v>
      </c>
      <c r="BM100" s="214">
        <f>IF(AND(($D100+$C$1)&gt;AR$3,AR$3&gt;=$C$1),'General Inputs'!P$10*$I100,IF(AND(($C100+$C$1)&gt;AR$3,AR$3&gt;=$C$1),'General Inputs'!P$10*$H100,0))</f>
        <v>69.638019138492297</v>
      </c>
      <c r="BN100" s="214">
        <f>IF(AND(($D100+$C$1)&gt;AS$3,AS$3&gt;=$C$1),'General Inputs'!Q$10*$I100,IF(AND(($C100+$C$1)&gt;AS$3,AS$3&gt;=$C$1),'General Inputs'!Q$10*$H100,0))</f>
        <v>70.682589425569674</v>
      </c>
      <c r="BO100" s="214">
        <f>IF(AND(($D100+$C$1)&gt;AT$3,AT$3&gt;=$C$1),'General Inputs'!R$10*$I100,IF(AND(($C100+$C$1)&gt;AT$3,AT$3&gt;=$C$1),'General Inputs'!R$10*$H100,0))</f>
        <v>71.742828266953197</v>
      </c>
      <c r="BP100" s="214">
        <f>IF(AND(($D100+$C$1)&gt;AU$3,AU$3&gt;=$C$1),'General Inputs'!S$10*$I100,IF(AND(($C100+$C$1)&gt;AU$3,AU$3&gt;=$C$1),'General Inputs'!S$10*$H100,0))</f>
        <v>72.818970690957499</v>
      </c>
      <c r="BQ100" s="214">
        <f>IF(AND(($D100+$C$1)&gt;AV$3,AV$3&gt;=$C$1),'General Inputs'!T$10*$I100,IF(AND(($C100+$C$1)&gt;AV$3,AV$3&gt;=$C$1),'General Inputs'!T$10*$H100,0))</f>
        <v>73.911255251321847</v>
      </c>
      <c r="BR100" s="214">
        <f>IF(AND(($D100+$C$1)&gt;AW$3,AW$3&gt;=$C$1),'General Inputs'!U$10*$I100,IF(AND(($C100+$C$1)&gt;AW$3,AW$3&gt;=$C$1),'General Inputs'!U$10*$H100,0))</f>
        <v>0</v>
      </c>
      <c r="BS100" s="214">
        <f>IF(AND(($D100+$C$1)&gt;AX$3,AX$3&gt;=$C$1),'General Inputs'!V$10*$I100,IF(AND(($C100+$C$1)&gt;AX$3,AX$3&gt;=$C$1),'General Inputs'!V$10*$H100,0))</f>
        <v>0</v>
      </c>
      <c r="BT100" s="214">
        <f>IF(AND(($D100+$C$1)&gt;AY$3,AY$3&gt;=$C$1),'General Inputs'!W$10*$I100,IF(AND(($C100+$C$1)&gt;AY$3,AY$3&gt;=$C$1),'General Inputs'!W$10*$H100,0))</f>
        <v>0</v>
      </c>
    </row>
    <row r="101" spans="1:72">
      <c r="A101" s="342" t="s">
        <v>112</v>
      </c>
      <c r="B101" s="427" t="str">
        <f>Sources!B101</f>
        <v>VFD Pump</v>
      </c>
      <c r="C101" s="193">
        <f>Sources!C101</f>
        <v>15</v>
      </c>
      <c r="D101" s="193">
        <f>Sources!D101</f>
        <v>0</v>
      </c>
      <c r="F101" s="429">
        <f>Sources!F101*EnergyLineLoss</f>
        <v>30201.063999999991</v>
      </c>
      <c r="G101" s="429">
        <f>Sources!G101*EnergyLineLoss</f>
        <v>0</v>
      </c>
      <c r="H101" s="477">
        <f>Sources!H101*PeakLineLoss</f>
        <v>2.35490193</v>
      </c>
      <c r="I101" s="477">
        <f>Sources!I101*PeakLineLoss</f>
        <v>0</v>
      </c>
      <c r="K101" s="419">
        <f>Sources!J101</f>
        <v>2518</v>
      </c>
      <c r="L101" s="419">
        <f>Sources!K101</f>
        <v>0</v>
      </c>
      <c r="N101" s="438">
        <f t="shared" si="35"/>
        <v>4.8739866220415573</v>
      </c>
      <c r="P101" s="215">
        <f t="shared" si="36"/>
        <v>10064.900442527298</v>
      </c>
      <c r="Q101" s="215">
        <f t="shared" si="37"/>
        <v>295.1767747412818</v>
      </c>
      <c r="R101" s="215">
        <f t="shared" si="38"/>
        <v>2125.5858952130388</v>
      </c>
      <c r="T101" s="214">
        <f t="shared" si="39"/>
        <v>0</v>
      </c>
      <c r="U101" s="214">
        <f t="shared" si="39"/>
        <v>0</v>
      </c>
      <c r="V101" s="214">
        <f t="shared" si="39"/>
        <v>2518</v>
      </c>
      <c r="W101" s="214">
        <f t="shared" si="39"/>
        <v>0</v>
      </c>
      <c r="X101" s="214">
        <f t="shared" si="39"/>
        <v>0</v>
      </c>
      <c r="Y101" s="214">
        <f t="shared" si="39"/>
        <v>0</v>
      </c>
      <c r="Z101" s="214">
        <f t="shared" si="39"/>
        <v>0</v>
      </c>
      <c r="AA101" s="214">
        <f t="shared" si="39"/>
        <v>0</v>
      </c>
      <c r="AB101" s="214">
        <f t="shared" si="39"/>
        <v>0</v>
      </c>
      <c r="AC101" s="214">
        <f t="shared" si="39"/>
        <v>0</v>
      </c>
      <c r="AD101" s="214">
        <f t="shared" si="39"/>
        <v>0</v>
      </c>
      <c r="AF101" s="214">
        <f>IF(AND(($D101+$C$1)&gt;AF$3,AF$3&gt;=$C$1),'General Inputs'!D$9*$G101,IF(AND(($C101+$C$1)&gt;AF$3,AF$3&gt;=$C$1),'General Inputs'!D$9*$F101,0))</f>
        <v>0</v>
      </c>
      <c r="AG101" s="214">
        <f>IF(AND(($D101+$C$1)&gt;AG$3,AG$3&gt;=$C$1),'General Inputs'!E$9*$G101,IF(AND(($C101+$C$1)&gt;AG$3,AG$3&gt;=$C$1),'General Inputs'!E$9*$F101,0))</f>
        <v>0</v>
      </c>
      <c r="AH101" s="214">
        <f>IF(AND(($D101+$C$1)&gt;AH$3,AH$3&gt;=$C$1),'General Inputs'!F$9*$G101,IF(AND(($C101+$C$1)&gt;AH$3,AH$3&gt;=$C$1),'General Inputs'!F$9*$F101,0))</f>
        <v>1238.7146119468018</v>
      </c>
      <c r="AI101" s="214">
        <f>IF(AND(($D101+$C$1)&gt;AI$3,AI$3&gt;=$C$1),'General Inputs'!G$9*$G101,IF(AND(($C101+$C$1)&gt;AI$3,AI$3&gt;=$C$1),'General Inputs'!G$9*$F101,0))</f>
        <v>1257.2953311260039</v>
      </c>
      <c r="AJ101" s="214">
        <f>IF(AND(($D101+$C$1)&gt;AJ$3,AJ$3&gt;=$C$1),'General Inputs'!H$9*$G101,IF(AND(($C101+$C$1)&gt;AJ$3,AJ$3&gt;=$C$1),'General Inputs'!H$9*$F101,0))</f>
        <v>1276.1547610928938</v>
      </c>
      <c r="AK101" s="214">
        <f>IF(AND(($D101+$C$1)&gt;AK$3,AK$3&gt;=$C$1),'General Inputs'!I$9*$G101,IF(AND(($C101+$C$1)&gt;AK$3,AK$3&gt;=$C$1),'General Inputs'!I$9*$F101,0))</f>
        <v>1295.2970825092868</v>
      </c>
      <c r="AL101" s="214">
        <f>IF(AND(($D101+$C$1)&gt;AL$3,AL$3&gt;=$C$1),'General Inputs'!J$9*$G101,IF(AND(($C101+$C$1)&gt;AL$3,AL$3&gt;=$C$1),'General Inputs'!J$9*$F101,0))</f>
        <v>1314.7265387469261</v>
      </c>
      <c r="AM101" s="214">
        <f>IF(AND(($D101+$C$1)&gt;AM$3,AM$3&gt;=$C$1),'General Inputs'!K$9*$G101,IF(AND(($C101+$C$1)&gt;AM$3,AM$3&gt;=$C$1),'General Inputs'!K$9*$F101,0))</f>
        <v>1334.4474368281296</v>
      </c>
      <c r="AN101" s="214">
        <f>IF(AND(($D101+$C$1)&gt;AN$3,AN$3&gt;=$C$1),'General Inputs'!L$9*$G101,IF(AND(($C101+$C$1)&gt;AN$3,AN$3&gt;=$C$1),'General Inputs'!L$9*$F101,0))</f>
        <v>1354.4641483805515</v>
      </c>
      <c r="AO101" s="214">
        <f>IF(AND(($D101+$C$1)&gt;AO$3,AO$3&gt;=$C$1),'General Inputs'!M$9*$G101,IF(AND(($C101+$C$1)&gt;AO$3,AO$3&gt;=$C$1),'General Inputs'!M$9*$F101,0))</f>
        <v>1374.7811106062595</v>
      </c>
      <c r="AP101" s="214">
        <f>IF(AND(($D101+$C$1)&gt;AP$3,AP$3&gt;=$C$1),'General Inputs'!N$9*$G101,IF(AND(($C101+$C$1)&gt;AP$3,AP$3&gt;=$C$1),'General Inputs'!N$9*$F101,0))</f>
        <v>1395.4028272653534</v>
      </c>
      <c r="AQ101" s="214">
        <f>IF(AND(($D101+$C$1)&gt;AQ$3,AQ$3&gt;=$C$1),'General Inputs'!O$9*$G101,IF(AND(($C101+$C$1)&gt;AQ$3,AQ$3&gt;=$C$1),'General Inputs'!O$9*$F101,0))</f>
        <v>1416.3338696743335</v>
      </c>
      <c r="AR101" s="214">
        <f>IF(AND(($D101+$C$1)&gt;AR$3,AR$3&gt;=$C$1),'General Inputs'!P$9*$G101,IF(AND(($C101+$C$1)&gt;AR$3,AR$3&gt;=$C$1),'General Inputs'!P$9*$F101,0))</f>
        <v>1437.5788777194484</v>
      </c>
      <c r="AS101" s="214">
        <f>IF(AND(($D101+$C$1)&gt;AS$3,AS$3&gt;=$C$1),'General Inputs'!Q$9*$G101,IF(AND(($C101+$C$1)&gt;AS$3,AS$3&gt;=$C$1),'General Inputs'!Q$9*$F101,0))</f>
        <v>1459.1425608852401</v>
      </c>
      <c r="AT101" s="214">
        <f>IF(AND(($D101+$C$1)&gt;AT$3,AT$3&gt;=$C$1),'General Inputs'!R$9*$G101,IF(AND(($C101+$C$1)&gt;AT$3,AT$3&gt;=$C$1),'General Inputs'!R$9*$F101,0))</f>
        <v>1481.0296992985186</v>
      </c>
      <c r="AU101" s="214">
        <f>IF(AND(($D101+$C$1)&gt;AU$3,AU$3&gt;=$C$1),'General Inputs'!S$9*$G101,IF(AND(($C101+$C$1)&gt;AU$3,AU$3&gt;=$C$1),'General Inputs'!S$9*$F101,0))</f>
        <v>1503.2451447879962</v>
      </c>
      <c r="AV101" s="214">
        <f>IF(AND(($D101+$C$1)&gt;AV$3,AV$3&gt;=$C$1),'General Inputs'!T$9*$G101,IF(AND(($C101+$C$1)&gt;AV$3,AV$3&gt;=$C$1),'General Inputs'!T$9*$F101,0))</f>
        <v>1525.7938219598161</v>
      </c>
      <c r="AW101" s="214">
        <f>IF(AND(($D101+$C$1)&gt;AW$3,AW$3&gt;=$C$1),'General Inputs'!U$9*$G101,IF(AND(($C101+$C$1)&gt;AW$3,AW$3&gt;=$C$1),'General Inputs'!U$9*$F101,0))</f>
        <v>0</v>
      </c>
      <c r="AX101" s="214">
        <f>IF(AND(($D101+$C$1)&gt;AX$3,AX$3&gt;=$C$1),'General Inputs'!V$9*$G101,IF(AND(($C101+$C$1)&gt;AX$3,AX$3&gt;=$C$1),'General Inputs'!V$9*$F101,0))</f>
        <v>0</v>
      </c>
      <c r="AY101" s="214">
        <f>IF(AND(($D101+$C$1)&gt;AY$3,AY$3&gt;=$C$1),'General Inputs'!W$9*$G101,IF(AND(($C101+$C$1)&gt;AY$3,AY$3&gt;=$C$1),'General Inputs'!W$9*$F101,0))</f>
        <v>0</v>
      </c>
      <c r="BA101" s="214">
        <f>IF(AND(($D101+$C$1)&gt;AF$3,AF$3&gt;=$C$1),'General Inputs'!D$10*$I101,IF(AND(($C101+$C$1)&gt;AF$3,AF$3&gt;=$C$1),'General Inputs'!D$10*$H101,0))</f>
        <v>0</v>
      </c>
      <c r="BB101" s="214">
        <f>IF(AND(($D101+$C$1)&gt;AG$3,AG$3&gt;=$C$1),'General Inputs'!E$10*$I101,IF(AND(($C101+$C$1)&gt;AG$3,AG$3&gt;=$C$1),'General Inputs'!E$10*$H101,0))</f>
        <v>0</v>
      </c>
      <c r="BC101" s="214">
        <f>IF(AND(($D101+$C$1)&gt;AH$3,AH$3&gt;=$C$1),'General Inputs'!F$10*$I101,IF(AND(($C101+$C$1)&gt;AH$3,AH$3&gt;=$C$1),'General Inputs'!F$10*$H101,0))</f>
        <v>36.328206728644311</v>
      </c>
      <c r="BD101" s="214">
        <f>IF(AND(($D101+$C$1)&gt;AI$3,AI$3&gt;=$C$1),'General Inputs'!G$10*$I101,IF(AND(($C101+$C$1)&gt;AI$3,AI$3&gt;=$C$1),'General Inputs'!G$10*$H101,0))</f>
        <v>36.873129829573969</v>
      </c>
      <c r="BE101" s="214">
        <f>IF(AND(($D101+$C$1)&gt;AJ$3,AJ$3&gt;=$C$1),'General Inputs'!H$10*$I101,IF(AND(($C101+$C$1)&gt;AJ$3,AJ$3&gt;=$C$1),'General Inputs'!H$10*$H101,0))</f>
        <v>37.426226777017575</v>
      </c>
      <c r="BF101" s="214">
        <f>IF(AND(($D101+$C$1)&gt;AK$3,AK$3&gt;=$C$1),'General Inputs'!I$10*$I101,IF(AND(($C101+$C$1)&gt;AK$3,AK$3&gt;=$C$1),'General Inputs'!I$10*$H101,0))</f>
        <v>37.987620178672834</v>
      </c>
      <c r="BG101" s="214">
        <f>IF(AND(($D101+$C$1)&gt;AL$3,AL$3&gt;=$C$1),'General Inputs'!J$10*$I101,IF(AND(($C101+$C$1)&gt;AL$3,AL$3&gt;=$C$1),'General Inputs'!J$10*$H101,0))</f>
        <v>38.557434481352921</v>
      </c>
      <c r="BH101" s="214">
        <f>IF(AND(($D101+$C$1)&gt;AM$3,AM$3&gt;=$C$1),'General Inputs'!K$10*$I101,IF(AND(($C101+$C$1)&gt;AM$3,AM$3&gt;=$C$1),'General Inputs'!K$10*$H101,0))</f>
        <v>39.135795998573215</v>
      </c>
      <c r="BI101" s="214">
        <f>IF(AND(($D101+$C$1)&gt;AN$3,AN$3&gt;=$C$1),'General Inputs'!L$10*$I101,IF(AND(($C101+$C$1)&gt;AN$3,AN$3&gt;=$C$1),'General Inputs'!L$10*$H101,0))</f>
        <v>39.722832938551804</v>
      </c>
      <c r="BJ101" s="214">
        <f>IF(AND(($D101+$C$1)&gt;AO$3,AO$3&gt;=$C$1),'General Inputs'!M$10*$I101,IF(AND(($C101+$C$1)&gt;AO$3,AO$3&gt;=$C$1),'General Inputs'!M$10*$H101,0))</f>
        <v>40.318675432630087</v>
      </c>
      <c r="BK101" s="214">
        <f>IF(AND(($D101+$C$1)&gt;AP$3,AP$3&gt;=$C$1),'General Inputs'!N$10*$I101,IF(AND(($C101+$C$1)&gt;AP$3,AP$3&gt;=$C$1),'General Inputs'!N$10*$H101,0))</f>
        <v>40.923455564119529</v>
      </c>
      <c r="BL101" s="214">
        <f>IF(AND(($D101+$C$1)&gt;AQ$3,AQ$3&gt;=$C$1),'General Inputs'!O$10*$I101,IF(AND(($C101+$C$1)&gt;AQ$3,AQ$3&gt;=$C$1),'General Inputs'!O$10*$H101,0))</f>
        <v>41.537307397581316</v>
      </c>
      <c r="BM101" s="214">
        <f>IF(AND(($D101+$C$1)&gt;AR$3,AR$3&gt;=$C$1),'General Inputs'!P$10*$I101,IF(AND(($C101+$C$1)&gt;AR$3,AR$3&gt;=$C$1),'General Inputs'!P$10*$H101,0))</f>
        <v>42.160367008545037</v>
      </c>
      <c r="BN101" s="214">
        <f>IF(AND(($D101+$C$1)&gt;AS$3,AS$3&gt;=$C$1),'General Inputs'!Q$10*$I101,IF(AND(($C101+$C$1)&gt;AS$3,AS$3&gt;=$C$1),'General Inputs'!Q$10*$H101,0))</f>
        <v>42.792772513673206</v>
      </c>
      <c r="BO101" s="214">
        <f>IF(AND(($D101+$C$1)&gt;AT$3,AT$3&gt;=$C$1),'General Inputs'!R$10*$I101,IF(AND(($C101+$C$1)&gt;AT$3,AT$3&gt;=$C$1),'General Inputs'!R$10*$H101,0))</f>
        <v>43.434664101378296</v>
      </c>
      <c r="BP101" s="214">
        <f>IF(AND(($D101+$C$1)&gt;AU$3,AU$3&gt;=$C$1),'General Inputs'!S$10*$I101,IF(AND(($C101+$C$1)&gt;AU$3,AU$3&gt;=$C$1),'General Inputs'!S$10*$H101,0))</f>
        <v>44.086184062898973</v>
      </c>
      <c r="BQ101" s="214">
        <f>IF(AND(($D101+$C$1)&gt;AV$3,AV$3&gt;=$C$1),'General Inputs'!T$10*$I101,IF(AND(($C101+$C$1)&gt;AV$3,AV$3&gt;=$C$1),'General Inputs'!T$10*$H101,0))</f>
        <v>44.747476823842447</v>
      </c>
      <c r="BR101" s="214">
        <f>IF(AND(($D101+$C$1)&gt;AW$3,AW$3&gt;=$C$1),'General Inputs'!U$10*$I101,IF(AND(($C101+$C$1)&gt;AW$3,AW$3&gt;=$C$1),'General Inputs'!U$10*$H101,0))</f>
        <v>0</v>
      </c>
      <c r="BS101" s="214">
        <f>IF(AND(($D101+$C$1)&gt;AX$3,AX$3&gt;=$C$1),'General Inputs'!V$10*$I101,IF(AND(($C101+$C$1)&gt;AX$3,AX$3&gt;=$C$1),'General Inputs'!V$10*$H101,0))</f>
        <v>0</v>
      </c>
      <c r="BT101" s="214">
        <f>IF(AND(($D101+$C$1)&gt;AY$3,AY$3&gt;=$C$1),'General Inputs'!W$10*$I101,IF(AND(($C101+$C$1)&gt;AY$3,AY$3&gt;=$C$1),'General Inputs'!W$10*$H101,0))</f>
        <v>0</v>
      </c>
    </row>
    <row r="102" spans="1:72">
      <c r="A102" s="342" t="s">
        <v>112</v>
      </c>
      <c r="B102" s="427" t="str">
        <f>Sources!B102</f>
        <v>ODC Motor</v>
      </c>
      <c r="C102" s="193">
        <f>Sources!C102</f>
        <v>15</v>
      </c>
      <c r="D102" s="193">
        <f>Sources!D102</f>
        <v>0</v>
      </c>
      <c r="F102" s="429">
        <f>Sources!F102*EnergyLineLoss</f>
        <v>370.34687387451163</v>
      </c>
      <c r="G102" s="429">
        <f>Sources!G102*EnergyLineLoss</f>
        <v>0</v>
      </c>
      <c r="H102" s="477">
        <f>Sources!H102*PeakLineLoss</f>
        <v>8.4169744062389001E-2</v>
      </c>
      <c r="I102" s="477">
        <f>Sources!I102*PeakLineLoss</f>
        <v>0</v>
      </c>
      <c r="K102" s="419">
        <f>Sources!J102</f>
        <v>115</v>
      </c>
      <c r="L102" s="419">
        <f>Sources!K102</f>
        <v>0</v>
      </c>
      <c r="N102" s="438">
        <f t="shared" si="35"/>
        <v>1.3800580754755849</v>
      </c>
      <c r="P102" s="215">
        <f t="shared" si="36"/>
        <v>123.42295009037346</v>
      </c>
      <c r="Q102" s="215">
        <f t="shared" si="37"/>
        <v>10.550313482963233</v>
      </c>
      <c r="R102" s="215">
        <f t="shared" si="38"/>
        <v>97.077989654288899</v>
      </c>
      <c r="T102" s="214">
        <f t="shared" si="39"/>
        <v>0</v>
      </c>
      <c r="U102" s="214">
        <f t="shared" si="39"/>
        <v>0</v>
      </c>
      <c r="V102" s="214">
        <f t="shared" si="39"/>
        <v>115</v>
      </c>
      <c r="W102" s="214">
        <f t="shared" si="39"/>
        <v>0</v>
      </c>
      <c r="X102" s="214">
        <f t="shared" si="39"/>
        <v>0</v>
      </c>
      <c r="Y102" s="214">
        <f t="shared" si="39"/>
        <v>0</v>
      </c>
      <c r="Z102" s="214">
        <f t="shared" si="39"/>
        <v>0</v>
      </c>
      <c r="AA102" s="214">
        <f t="shared" si="39"/>
        <v>0</v>
      </c>
      <c r="AB102" s="214">
        <f t="shared" si="39"/>
        <v>0</v>
      </c>
      <c r="AC102" s="214">
        <f t="shared" si="39"/>
        <v>0</v>
      </c>
      <c r="AD102" s="214">
        <f t="shared" si="39"/>
        <v>0</v>
      </c>
      <c r="AF102" s="214">
        <f>IF(AND(($D102+$C$1)&gt;AF$3,AF$3&gt;=$C$1),'General Inputs'!D$9*$G102,IF(AND(($C102+$C$1)&gt;AF$3,AF$3&gt;=$C$1),'General Inputs'!D$9*$F102,0))</f>
        <v>0</v>
      </c>
      <c r="AG102" s="214">
        <f>IF(AND(($D102+$C$1)&gt;AG$3,AG$3&gt;=$C$1),'General Inputs'!E$9*$G102,IF(AND(($C102+$C$1)&gt;AG$3,AG$3&gt;=$C$1),'General Inputs'!E$9*$F102,0))</f>
        <v>0</v>
      </c>
      <c r="AH102" s="214">
        <f>IF(AND(($D102+$C$1)&gt;AH$3,AH$3&gt;=$C$1),'General Inputs'!F$9*$G102,IF(AND(($C102+$C$1)&gt;AH$3,AH$3&gt;=$C$1),'General Inputs'!F$9*$F102,0))</f>
        <v>15.189997417216063</v>
      </c>
      <c r="AI102" s="214">
        <f>IF(AND(($D102+$C$1)&gt;AI$3,AI$3&gt;=$C$1),'General Inputs'!G$9*$G102,IF(AND(($C102+$C$1)&gt;AI$3,AI$3&gt;=$C$1),'General Inputs'!G$9*$F102,0))</f>
        <v>15.417847378474303</v>
      </c>
      <c r="AJ102" s="214">
        <f>IF(AND(($D102+$C$1)&gt;AJ$3,AJ$3&gt;=$C$1),'General Inputs'!H$9*$G102,IF(AND(($C102+$C$1)&gt;AJ$3,AJ$3&gt;=$C$1),'General Inputs'!H$9*$F102,0))</f>
        <v>15.649115089151413</v>
      </c>
      <c r="AK102" s="214">
        <f>IF(AND(($D102+$C$1)&gt;AK$3,AK$3&gt;=$C$1),'General Inputs'!I$9*$G102,IF(AND(($C102+$C$1)&gt;AK$3,AK$3&gt;=$C$1),'General Inputs'!I$9*$F102,0))</f>
        <v>15.883851815488683</v>
      </c>
      <c r="AL102" s="214">
        <f>IF(AND(($D102+$C$1)&gt;AL$3,AL$3&gt;=$C$1),'General Inputs'!J$9*$G102,IF(AND(($C102+$C$1)&gt;AL$3,AL$3&gt;=$C$1),'General Inputs'!J$9*$F102,0))</f>
        <v>16.12210959272101</v>
      </c>
      <c r="AM102" s="214">
        <f>IF(AND(($D102+$C$1)&gt;AM$3,AM$3&gt;=$C$1),'General Inputs'!K$9*$G102,IF(AND(($C102+$C$1)&gt;AM$3,AM$3&gt;=$C$1),'General Inputs'!K$9*$F102,0))</f>
        <v>16.363941236611822</v>
      </c>
      <c r="AN102" s="214">
        <f>IF(AND(($D102+$C$1)&gt;AN$3,AN$3&gt;=$C$1),'General Inputs'!L$9*$G102,IF(AND(($C102+$C$1)&gt;AN$3,AN$3&gt;=$C$1),'General Inputs'!L$9*$F102,0))</f>
        <v>16.609400355161</v>
      </c>
      <c r="AO102" s="214">
        <f>IF(AND(($D102+$C$1)&gt;AO$3,AO$3&gt;=$C$1),'General Inputs'!M$9*$G102,IF(AND(($C102+$C$1)&gt;AO$3,AO$3&gt;=$C$1),'General Inputs'!M$9*$F102,0))</f>
        <v>16.858541360488413</v>
      </c>
      <c r="AP102" s="214">
        <f>IF(AND(($D102+$C$1)&gt;AP$3,AP$3&gt;=$C$1),'General Inputs'!N$9*$G102,IF(AND(($C102+$C$1)&gt;AP$3,AP$3&gt;=$C$1),'General Inputs'!N$9*$F102,0))</f>
        <v>17.111419480895737</v>
      </c>
      <c r="AQ102" s="214">
        <f>IF(AND(($D102+$C$1)&gt;AQ$3,AQ$3&gt;=$C$1),'General Inputs'!O$9*$G102,IF(AND(($C102+$C$1)&gt;AQ$3,AQ$3&gt;=$C$1),'General Inputs'!O$9*$F102,0))</f>
        <v>17.36809077310917</v>
      </c>
      <c r="AR102" s="214">
        <f>IF(AND(($D102+$C$1)&gt;AR$3,AR$3&gt;=$C$1),'General Inputs'!P$9*$G102,IF(AND(($C102+$C$1)&gt;AR$3,AR$3&gt;=$C$1),'General Inputs'!P$9*$F102,0))</f>
        <v>17.628612134705808</v>
      </c>
      <c r="AS102" s="214">
        <f>IF(AND(($D102+$C$1)&gt;AS$3,AS$3&gt;=$C$1),'General Inputs'!Q$9*$G102,IF(AND(($C102+$C$1)&gt;AS$3,AS$3&gt;=$C$1),'General Inputs'!Q$9*$F102,0))</f>
        <v>17.893041316726393</v>
      </c>
      <c r="AT102" s="214">
        <f>IF(AND(($D102+$C$1)&gt;AT$3,AT$3&gt;=$C$1),'General Inputs'!R$9*$G102,IF(AND(($C102+$C$1)&gt;AT$3,AT$3&gt;=$C$1),'General Inputs'!R$9*$F102,0))</f>
        <v>18.161436936477287</v>
      </c>
      <c r="AU102" s="214">
        <f>IF(AND(($D102+$C$1)&gt;AU$3,AU$3&gt;=$C$1),'General Inputs'!S$9*$G102,IF(AND(($C102+$C$1)&gt;AU$3,AU$3&gt;=$C$1),'General Inputs'!S$9*$F102,0))</f>
        <v>18.433858490524447</v>
      </c>
      <c r="AV102" s="214">
        <f>IF(AND(($D102+$C$1)&gt;AV$3,AV$3&gt;=$C$1),'General Inputs'!T$9*$G102,IF(AND(($C102+$C$1)&gt;AV$3,AV$3&gt;=$C$1),'General Inputs'!T$9*$F102,0))</f>
        <v>18.710366367882312</v>
      </c>
      <c r="AW102" s="214">
        <f>IF(AND(($D102+$C$1)&gt;AW$3,AW$3&gt;=$C$1),'General Inputs'!U$9*$G102,IF(AND(($C102+$C$1)&gt;AW$3,AW$3&gt;=$C$1),'General Inputs'!U$9*$F102,0))</f>
        <v>0</v>
      </c>
      <c r="AX102" s="214">
        <f>IF(AND(($D102+$C$1)&gt;AX$3,AX$3&gt;=$C$1),'General Inputs'!V$9*$G102,IF(AND(($C102+$C$1)&gt;AX$3,AX$3&gt;=$C$1),'General Inputs'!V$9*$F102,0))</f>
        <v>0</v>
      </c>
      <c r="AY102" s="214">
        <f>IF(AND(($D102+$C$1)&gt;AY$3,AY$3&gt;=$C$1),'General Inputs'!W$9*$G102,IF(AND(($C102+$C$1)&gt;AY$3,AY$3&gt;=$C$1),'General Inputs'!W$9*$F102,0))</f>
        <v>0</v>
      </c>
      <c r="BA102" s="214">
        <f>IF(AND(($D102+$C$1)&gt;AF$3,AF$3&gt;=$C$1),'General Inputs'!D$10*$I102,IF(AND(($C102+$C$1)&gt;AF$3,AF$3&gt;=$C$1),'General Inputs'!D$10*$H102,0))</f>
        <v>0</v>
      </c>
      <c r="BB102" s="214">
        <f>IF(AND(($D102+$C$1)&gt;AG$3,AG$3&gt;=$C$1),'General Inputs'!E$10*$I102,IF(AND(($C102+$C$1)&gt;AG$3,AG$3&gt;=$C$1),'General Inputs'!E$10*$H102,0))</f>
        <v>0</v>
      </c>
      <c r="BC102" s="214">
        <f>IF(AND(($D102+$C$1)&gt;AH$3,AH$3&gt;=$C$1),'General Inputs'!F$10*$I102,IF(AND(($C102+$C$1)&gt;AH$3,AH$3&gt;=$C$1),'General Inputs'!F$10*$H102,0))</f>
        <v>1.2984557121644338</v>
      </c>
      <c r="BD102" s="214">
        <f>IF(AND(($D102+$C$1)&gt;AI$3,AI$3&gt;=$C$1),'General Inputs'!G$10*$I102,IF(AND(($C102+$C$1)&gt;AI$3,AI$3&gt;=$C$1),'General Inputs'!G$10*$H102,0))</f>
        <v>1.3179325478469002</v>
      </c>
      <c r="BE102" s="214">
        <f>IF(AND(($D102+$C$1)&gt;AJ$3,AJ$3&gt;=$C$1),'General Inputs'!H$10*$I102,IF(AND(($C102+$C$1)&gt;AJ$3,AJ$3&gt;=$C$1),'General Inputs'!H$10*$H102,0))</f>
        <v>1.3377015360646034</v>
      </c>
      <c r="BF102" s="214">
        <f>IF(AND(($D102+$C$1)&gt;AK$3,AK$3&gt;=$C$1),'General Inputs'!I$10*$I102,IF(AND(($C102+$C$1)&gt;AK$3,AK$3&gt;=$C$1),'General Inputs'!I$10*$H102,0))</f>
        <v>1.3577670591055722</v>
      </c>
      <c r="BG102" s="214">
        <f>IF(AND(($D102+$C$1)&gt;AL$3,AL$3&gt;=$C$1),'General Inputs'!J$10*$I102,IF(AND(($C102+$C$1)&gt;AL$3,AL$3&gt;=$C$1),'General Inputs'!J$10*$H102,0))</f>
        <v>1.3781335649921558</v>
      </c>
      <c r="BH102" s="214">
        <f>IF(AND(($D102+$C$1)&gt;AM$3,AM$3&gt;=$C$1),'General Inputs'!K$10*$I102,IF(AND(($C102+$C$1)&gt;AM$3,AM$3&gt;=$C$1),'General Inputs'!K$10*$H102,0))</f>
        <v>1.398805568467038</v>
      </c>
      <c r="BI102" s="214">
        <f>IF(AND(($D102+$C$1)&gt;AN$3,AN$3&gt;=$C$1),'General Inputs'!L$10*$I102,IF(AND(($C102+$C$1)&gt;AN$3,AN$3&gt;=$C$1),'General Inputs'!L$10*$H102,0))</f>
        <v>1.4197876519940433</v>
      </c>
      <c r="BJ102" s="214">
        <f>IF(AND(($D102+$C$1)&gt;AO$3,AO$3&gt;=$C$1),'General Inputs'!M$10*$I102,IF(AND(($C102+$C$1)&gt;AO$3,AO$3&gt;=$C$1),'General Inputs'!M$10*$H102,0))</f>
        <v>1.441084466773954</v>
      </c>
      <c r="BK102" s="214">
        <f>IF(AND(($D102+$C$1)&gt;AP$3,AP$3&gt;=$C$1),'General Inputs'!N$10*$I102,IF(AND(($C102+$C$1)&gt;AP$3,AP$3&gt;=$C$1),'General Inputs'!N$10*$H102,0))</f>
        <v>1.4627007337755631</v>
      </c>
      <c r="BL102" s="214">
        <f>IF(AND(($D102+$C$1)&gt;AQ$3,AQ$3&gt;=$C$1),'General Inputs'!O$10*$I102,IF(AND(($C102+$C$1)&gt;AQ$3,AQ$3&gt;=$C$1),'General Inputs'!O$10*$H102,0))</f>
        <v>1.4846412447821964</v>
      </c>
      <c r="BM102" s="214">
        <f>IF(AND(($D102+$C$1)&gt;AR$3,AR$3&gt;=$C$1),'General Inputs'!P$10*$I102,IF(AND(($C102+$C$1)&gt;AR$3,AR$3&gt;=$C$1),'General Inputs'!P$10*$H102,0))</f>
        <v>1.5069108634539292</v>
      </c>
      <c r="BN102" s="214">
        <f>IF(AND(($D102+$C$1)&gt;AS$3,AS$3&gt;=$C$1),'General Inputs'!Q$10*$I102,IF(AND(($C102+$C$1)&gt;AS$3,AS$3&gt;=$C$1),'General Inputs'!Q$10*$H102,0))</f>
        <v>1.5295145264057382</v>
      </c>
      <c r="BO102" s="214">
        <f>IF(AND(($D102+$C$1)&gt;AT$3,AT$3&gt;=$C$1),'General Inputs'!R$10*$I102,IF(AND(($C102+$C$1)&gt;AT$3,AT$3&gt;=$C$1),'General Inputs'!R$10*$H102,0))</f>
        <v>1.5524572443018239</v>
      </c>
      <c r="BP102" s="214">
        <f>IF(AND(($D102+$C$1)&gt;AU$3,AU$3&gt;=$C$1),'General Inputs'!S$10*$I102,IF(AND(($C102+$C$1)&gt;AU$3,AU$3&gt;=$C$1),'General Inputs'!S$10*$H102,0))</f>
        <v>1.5757441029663513</v>
      </c>
      <c r="BQ102" s="214">
        <f>IF(AND(($D102+$C$1)&gt;AV$3,AV$3&gt;=$C$1),'General Inputs'!T$10*$I102,IF(AND(($C102+$C$1)&gt;AV$3,AV$3&gt;=$C$1),'General Inputs'!T$10*$H102,0))</f>
        <v>1.5993802645108464</v>
      </c>
      <c r="BR102" s="214">
        <f>IF(AND(($D102+$C$1)&gt;AW$3,AW$3&gt;=$C$1),'General Inputs'!U$10*$I102,IF(AND(($C102+$C$1)&gt;AW$3,AW$3&gt;=$C$1),'General Inputs'!U$10*$H102,0))</f>
        <v>0</v>
      </c>
      <c r="BS102" s="214">
        <f>IF(AND(($D102+$C$1)&gt;AX$3,AX$3&gt;=$C$1),'General Inputs'!V$10*$I102,IF(AND(($C102+$C$1)&gt;AX$3,AX$3&gt;=$C$1),'General Inputs'!V$10*$H102,0))</f>
        <v>0</v>
      </c>
      <c r="BT102" s="214">
        <f>IF(AND(($D102+$C$1)&gt;AY$3,AY$3&gt;=$C$1),'General Inputs'!W$10*$I102,IF(AND(($C102+$C$1)&gt;AY$3,AY$3&gt;=$C$1),'General Inputs'!W$10*$H102,0))</f>
        <v>0</v>
      </c>
    </row>
    <row r="103" spans="1:72">
      <c r="A103" s="342" t="s">
        <v>112</v>
      </c>
      <c r="B103" s="427" t="str">
        <f>Sources!B103</f>
        <v>TEFC Motor</v>
      </c>
      <c r="C103" s="193">
        <f>Sources!C103</f>
        <v>15</v>
      </c>
      <c r="D103" s="193">
        <f>Sources!D103</f>
        <v>0</v>
      </c>
      <c r="F103" s="429">
        <f>Sources!F103*EnergyLineLoss</f>
        <v>260.92620659340469</v>
      </c>
      <c r="G103" s="429">
        <f>Sources!G103*EnergyLineLoss</f>
        <v>0</v>
      </c>
      <c r="H103" s="477">
        <f>Sources!H103*PeakLineLoss</f>
        <v>5.9301410589410158E-2</v>
      </c>
      <c r="I103" s="477">
        <f>Sources!I103*PeakLineLoss</f>
        <v>0</v>
      </c>
      <c r="K103" s="419">
        <f>Sources!J103</f>
        <v>115</v>
      </c>
      <c r="L103" s="419">
        <f>Sources!K103</f>
        <v>0</v>
      </c>
      <c r="N103" s="438">
        <f t="shared" si="35"/>
        <v>0.97231364408506693</v>
      </c>
      <c r="P103" s="215">
        <f t="shared" si="36"/>
        <v>86.957078472762731</v>
      </c>
      <c r="Q103" s="215">
        <f t="shared" si="37"/>
        <v>7.4331754084513335</v>
      </c>
      <c r="R103" s="215">
        <f t="shared" si="38"/>
        <v>97.077989654288899</v>
      </c>
      <c r="T103" s="214">
        <f t="shared" si="39"/>
        <v>0</v>
      </c>
      <c r="U103" s="214">
        <f t="shared" si="39"/>
        <v>0</v>
      </c>
      <c r="V103" s="214">
        <f t="shared" si="39"/>
        <v>115</v>
      </c>
      <c r="W103" s="214">
        <f t="shared" si="39"/>
        <v>0</v>
      </c>
      <c r="X103" s="214">
        <f t="shared" si="39"/>
        <v>0</v>
      </c>
      <c r="Y103" s="214">
        <f t="shared" si="39"/>
        <v>0</v>
      </c>
      <c r="Z103" s="214">
        <f t="shared" si="39"/>
        <v>0</v>
      </c>
      <c r="AA103" s="214">
        <f t="shared" si="39"/>
        <v>0</v>
      </c>
      <c r="AB103" s="214">
        <f t="shared" si="39"/>
        <v>0</v>
      </c>
      <c r="AC103" s="214">
        <f t="shared" si="39"/>
        <v>0</v>
      </c>
      <c r="AD103" s="214">
        <f t="shared" si="39"/>
        <v>0</v>
      </c>
      <c r="AF103" s="214">
        <f>IF(AND(($D103+$C$1)&gt;AF$3,AF$3&gt;=$C$1),'General Inputs'!D$9*$G103,IF(AND(($C103+$C$1)&gt;AF$3,AF$3&gt;=$C$1),'General Inputs'!D$9*$F103,0))</f>
        <v>0</v>
      </c>
      <c r="AG103" s="214">
        <f>IF(AND(($D103+$C$1)&gt;AG$3,AG$3&gt;=$C$1),'General Inputs'!E$9*$G103,IF(AND(($C103+$C$1)&gt;AG$3,AG$3&gt;=$C$1),'General Inputs'!E$9*$F103,0))</f>
        <v>0</v>
      </c>
      <c r="AH103" s="214">
        <f>IF(AND(($D103+$C$1)&gt;AH$3,AH$3&gt;=$C$1),'General Inputs'!F$9*$G103,IF(AND(($C103+$C$1)&gt;AH$3,AH$3&gt;=$C$1),'General Inputs'!F$9*$F103,0))</f>
        <v>10.70204363485672</v>
      </c>
      <c r="AI103" s="214">
        <f>IF(AND(($D103+$C$1)&gt;AI$3,AI$3&gt;=$C$1),'General Inputs'!G$9*$G103,IF(AND(($C103+$C$1)&gt;AI$3,AI$3&gt;=$C$1),'General Inputs'!G$9*$F103,0))</f>
        <v>10.86257428937957</v>
      </c>
      <c r="AJ103" s="214">
        <f>IF(AND(($D103+$C$1)&gt;AJ$3,AJ$3&gt;=$C$1),'General Inputs'!H$9*$G103,IF(AND(($C103+$C$1)&gt;AJ$3,AJ$3&gt;=$C$1),'General Inputs'!H$9*$F103,0))</f>
        <v>11.025512903720262</v>
      </c>
      <c r="AK103" s="214">
        <f>IF(AND(($D103+$C$1)&gt;AK$3,AK$3&gt;=$C$1),'General Inputs'!I$9*$G103,IF(AND(($C103+$C$1)&gt;AK$3,AK$3&gt;=$C$1),'General Inputs'!I$9*$F103,0))</f>
        <v>11.190895597276064</v>
      </c>
      <c r="AL103" s="214">
        <f>IF(AND(($D103+$C$1)&gt;AL$3,AL$3&gt;=$C$1),'General Inputs'!J$9*$G103,IF(AND(($C103+$C$1)&gt;AL$3,AL$3&gt;=$C$1),'General Inputs'!J$9*$F103,0))</f>
        <v>11.358759031235204</v>
      </c>
      <c r="AM103" s="214">
        <f>IF(AND(($D103+$C$1)&gt;AM$3,AM$3&gt;=$C$1),'General Inputs'!K$9*$G103,IF(AND(($C103+$C$1)&gt;AM$3,AM$3&gt;=$C$1),'General Inputs'!K$9*$F103,0))</f>
        <v>11.529140416703729</v>
      </c>
      <c r="AN103" s="214">
        <f>IF(AND(($D103+$C$1)&gt;AN$3,AN$3&gt;=$C$1),'General Inputs'!L$9*$G103,IF(AND(($C103+$C$1)&gt;AN$3,AN$3&gt;=$C$1),'General Inputs'!L$9*$F103,0))</f>
        <v>11.702077522954285</v>
      </c>
      <c r="AO103" s="214">
        <f>IF(AND(($D103+$C$1)&gt;AO$3,AO$3&gt;=$C$1),'General Inputs'!M$9*$G103,IF(AND(($C103+$C$1)&gt;AO$3,AO$3&gt;=$C$1),'General Inputs'!M$9*$F103,0))</f>
        <v>11.877608685798597</v>
      </c>
      <c r="AP103" s="214">
        <f>IF(AND(($D103+$C$1)&gt;AP$3,AP$3&gt;=$C$1),'General Inputs'!N$9*$G103,IF(AND(($C103+$C$1)&gt;AP$3,AP$3&gt;=$C$1),'General Inputs'!N$9*$F103,0))</f>
        <v>12.055772816085575</v>
      </c>
      <c r="AQ103" s="214">
        <f>IF(AND(($D103+$C$1)&gt;AQ$3,AQ$3&gt;=$C$1),'General Inputs'!O$9*$G103,IF(AND(($C103+$C$1)&gt;AQ$3,AQ$3&gt;=$C$1),'General Inputs'!O$9*$F103,0))</f>
        <v>12.236609408326858</v>
      </c>
      <c r="AR103" s="214">
        <f>IF(AND(($D103+$C$1)&gt;AR$3,AR$3&gt;=$C$1),'General Inputs'!P$9*$G103,IF(AND(($C103+$C$1)&gt;AR$3,AR$3&gt;=$C$1),'General Inputs'!P$9*$F103,0))</f>
        <v>12.420158549451759</v>
      </c>
      <c r="AS103" s="214">
        <f>IF(AND(($D103+$C$1)&gt;AS$3,AS$3&gt;=$C$1),'General Inputs'!Q$9*$G103,IF(AND(($C103+$C$1)&gt;AS$3,AS$3&gt;=$C$1),'General Inputs'!Q$9*$F103,0))</f>
        <v>12.606460927693535</v>
      </c>
      <c r="AT103" s="214">
        <f>IF(AND(($D103+$C$1)&gt;AT$3,AT$3&gt;=$C$1),'General Inputs'!R$9*$G103,IF(AND(($C103+$C$1)&gt;AT$3,AT$3&gt;=$C$1),'General Inputs'!R$9*$F103,0))</f>
        <v>12.795557841608938</v>
      </c>
      <c r="AU103" s="214">
        <f>IF(AND(($D103+$C$1)&gt;AU$3,AU$3&gt;=$C$1),'General Inputs'!S$9*$G103,IF(AND(($C103+$C$1)&gt;AU$3,AU$3&gt;=$C$1),'General Inputs'!S$9*$F103,0))</f>
        <v>12.98749120923307</v>
      </c>
      <c r="AV103" s="214">
        <f>IF(AND(($D103+$C$1)&gt;AV$3,AV$3&gt;=$C$1),'General Inputs'!T$9*$G103,IF(AND(($C103+$C$1)&gt;AV$3,AV$3&gt;=$C$1),'General Inputs'!T$9*$F103,0))</f>
        <v>13.182303577371567</v>
      </c>
      <c r="AW103" s="214">
        <f>IF(AND(($D103+$C$1)&gt;AW$3,AW$3&gt;=$C$1),'General Inputs'!U$9*$G103,IF(AND(($C103+$C$1)&gt;AW$3,AW$3&gt;=$C$1),'General Inputs'!U$9*$F103,0))</f>
        <v>0</v>
      </c>
      <c r="AX103" s="214">
        <f>IF(AND(($D103+$C$1)&gt;AX$3,AX$3&gt;=$C$1),'General Inputs'!V$9*$G103,IF(AND(($C103+$C$1)&gt;AX$3,AX$3&gt;=$C$1),'General Inputs'!V$9*$F103,0))</f>
        <v>0</v>
      </c>
      <c r="AY103" s="214">
        <f>IF(AND(($D103+$C$1)&gt;AY$3,AY$3&gt;=$C$1),'General Inputs'!W$9*$G103,IF(AND(($C103+$C$1)&gt;AY$3,AY$3&gt;=$C$1),'General Inputs'!W$9*$F103,0))</f>
        <v>0</v>
      </c>
      <c r="BA103" s="214">
        <f>IF(AND(($D103+$C$1)&gt;AF$3,AF$3&gt;=$C$1),'General Inputs'!D$10*$I103,IF(AND(($C103+$C$1)&gt;AF$3,AF$3&gt;=$C$1),'General Inputs'!D$10*$H103,0))</f>
        <v>0</v>
      </c>
      <c r="BB103" s="214">
        <f>IF(AND(($D103+$C$1)&gt;AG$3,AG$3&gt;=$C$1),'General Inputs'!E$10*$I103,IF(AND(($C103+$C$1)&gt;AG$3,AG$3&gt;=$C$1),'General Inputs'!E$10*$H103,0))</f>
        <v>0</v>
      </c>
      <c r="BC103" s="214">
        <f>IF(AND(($D103+$C$1)&gt;AH$3,AH$3&gt;=$C$1),'General Inputs'!F$10*$I103,IF(AND(($C103+$C$1)&gt;AH$3,AH$3&gt;=$C$1),'General Inputs'!F$10*$H103,0))</f>
        <v>0.91482106993402856</v>
      </c>
      <c r="BD103" s="214">
        <f>IF(AND(($D103+$C$1)&gt;AI$3,AI$3&gt;=$C$1),'General Inputs'!G$10*$I103,IF(AND(($C103+$C$1)&gt;AI$3,AI$3&gt;=$C$1),'General Inputs'!G$10*$H103,0))</f>
        <v>0.92854338598303898</v>
      </c>
      <c r="BE103" s="214">
        <f>IF(AND(($D103+$C$1)&gt;AJ$3,AJ$3&gt;=$C$1),'General Inputs'!H$10*$I103,IF(AND(($C103+$C$1)&gt;AJ$3,AJ$3&gt;=$C$1),'General Inputs'!H$10*$H103,0))</f>
        <v>0.9424715367727845</v>
      </c>
      <c r="BF103" s="214">
        <f>IF(AND(($D103+$C$1)&gt;AK$3,AK$3&gt;=$C$1),'General Inputs'!I$10*$I103,IF(AND(($C103+$C$1)&gt;AK$3,AK$3&gt;=$C$1),'General Inputs'!I$10*$H103,0))</f>
        <v>0.95660860982437601</v>
      </c>
      <c r="BG103" s="214">
        <f>IF(AND(($D103+$C$1)&gt;AL$3,AL$3&gt;=$C$1),'General Inputs'!J$10*$I103,IF(AND(($C103+$C$1)&gt;AL$3,AL$3&gt;=$C$1),'General Inputs'!J$10*$H103,0))</f>
        <v>0.97095773897174154</v>
      </c>
      <c r="BH103" s="214">
        <f>IF(AND(($D103+$C$1)&gt;AM$3,AM$3&gt;=$C$1),'General Inputs'!K$10*$I103,IF(AND(($C103+$C$1)&gt;AM$3,AM$3&gt;=$C$1),'General Inputs'!K$10*$H103,0))</f>
        <v>0.98552210505631765</v>
      </c>
      <c r="BI103" s="214">
        <f>IF(AND(($D103+$C$1)&gt;AN$3,AN$3&gt;=$C$1),'General Inputs'!L$10*$I103,IF(AND(($C103+$C$1)&gt;AN$3,AN$3&gt;=$C$1),'General Inputs'!L$10*$H103,0))</f>
        <v>1.0003049366321624</v>
      </c>
      <c r="BJ103" s="214">
        <f>IF(AND(($D103+$C$1)&gt;AO$3,AO$3&gt;=$C$1),'General Inputs'!M$10*$I103,IF(AND(($C103+$C$1)&gt;AO$3,AO$3&gt;=$C$1),'General Inputs'!M$10*$H103,0))</f>
        <v>1.0153095106816448</v>
      </c>
      <c r="BK103" s="214">
        <f>IF(AND(($D103+$C$1)&gt;AP$3,AP$3&gt;=$C$1),'General Inputs'!N$10*$I103,IF(AND(($C103+$C$1)&gt;AP$3,AP$3&gt;=$C$1),'General Inputs'!N$10*$H103,0))</f>
        <v>1.0305391533418693</v>
      </c>
      <c r="BL103" s="214">
        <f>IF(AND(($D103+$C$1)&gt;AQ$3,AQ$3&gt;=$C$1),'General Inputs'!O$10*$I103,IF(AND(($C103+$C$1)&gt;AQ$3,AQ$3&gt;=$C$1),'General Inputs'!O$10*$H103,0))</f>
        <v>1.0459972406419973</v>
      </c>
      <c r="BM103" s="214">
        <f>IF(AND(($D103+$C$1)&gt;AR$3,AR$3&gt;=$C$1),'General Inputs'!P$10*$I103,IF(AND(($C103+$C$1)&gt;AR$3,AR$3&gt;=$C$1),'General Inputs'!P$10*$H103,0))</f>
        <v>1.061687199251627</v>
      </c>
      <c r="BN103" s="214">
        <f>IF(AND(($D103+$C$1)&gt;AS$3,AS$3&gt;=$C$1),'General Inputs'!Q$10*$I103,IF(AND(($C103+$C$1)&gt;AS$3,AS$3&gt;=$C$1),'General Inputs'!Q$10*$H103,0))</f>
        <v>1.0776125072404015</v>
      </c>
      <c r="BO103" s="214">
        <f>IF(AND(($D103+$C$1)&gt;AT$3,AT$3&gt;=$C$1),'General Inputs'!R$10*$I103,IF(AND(($C103+$C$1)&gt;AT$3,AT$3&gt;=$C$1),'General Inputs'!R$10*$H103,0))</f>
        <v>1.0937766948490073</v>
      </c>
      <c r="BP103" s="214">
        <f>IF(AND(($D103+$C$1)&gt;AU$3,AU$3&gt;=$C$1),'General Inputs'!S$10*$I103,IF(AND(($C103+$C$1)&gt;AU$3,AU$3&gt;=$C$1),'General Inputs'!S$10*$H103,0))</f>
        <v>1.1101833452717422</v>
      </c>
      <c r="BQ103" s="214">
        <f>IF(AND(($D103+$C$1)&gt;AV$3,AV$3&gt;=$C$1),'General Inputs'!T$10*$I103,IF(AND(($C103+$C$1)&gt;AV$3,AV$3&gt;=$C$1),'General Inputs'!T$10*$H103,0))</f>
        <v>1.1268360954508183</v>
      </c>
      <c r="BR103" s="214">
        <f>IF(AND(($D103+$C$1)&gt;AW$3,AW$3&gt;=$C$1),'General Inputs'!U$10*$I103,IF(AND(($C103+$C$1)&gt;AW$3,AW$3&gt;=$C$1),'General Inputs'!U$10*$H103,0))</f>
        <v>0</v>
      </c>
      <c r="BS103" s="214">
        <f>IF(AND(($D103+$C$1)&gt;AX$3,AX$3&gt;=$C$1),'General Inputs'!V$10*$I103,IF(AND(($C103+$C$1)&gt;AX$3,AX$3&gt;=$C$1),'General Inputs'!V$10*$H103,0))</f>
        <v>0</v>
      </c>
      <c r="BT103" s="214">
        <f>IF(AND(($D103+$C$1)&gt;AY$3,AY$3&gt;=$C$1),'General Inputs'!W$10*$I103,IF(AND(($C103+$C$1)&gt;AY$3,AY$3&gt;=$C$1),'General Inputs'!W$10*$H103,0))</f>
        <v>0</v>
      </c>
    </row>
    <row r="104" spans="1:72">
      <c r="A104" s="342" t="s">
        <v>112</v>
      </c>
      <c r="B104" s="427" t="str">
        <f>Sources!B104</f>
        <v>Chiller</v>
      </c>
      <c r="C104" s="193">
        <f>Sources!C104</f>
        <v>20</v>
      </c>
      <c r="D104" s="193">
        <f>Sources!D104</f>
        <v>0</v>
      </c>
      <c r="F104" s="429">
        <f>Sources!F104*EnergyLineLoss</f>
        <v>2805.6139928885227</v>
      </c>
      <c r="G104" s="429">
        <f>Sources!G104*EnergyLineLoss</f>
        <v>0</v>
      </c>
      <c r="H104" s="477">
        <f>Sources!H104*PeakLineLoss</f>
        <v>1.9279603848567284</v>
      </c>
      <c r="I104" s="477">
        <f>Sources!I104*PeakLineLoss</f>
        <v>0</v>
      </c>
      <c r="K104" s="419">
        <f>Sources!J104</f>
        <v>6350</v>
      </c>
      <c r="L104" s="419">
        <f>Sources!K104</f>
        <v>0</v>
      </c>
      <c r="N104" s="438">
        <f t="shared" si="35"/>
        <v>0.24193551635303467</v>
      </c>
      <c r="P104" s="215">
        <f t="shared" si="36"/>
        <v>1030.5215627905939</v>
      </c>
      <c r="Q104" s="215">
        <f t="shared" si="37"/>
        <v>266.3479682083921</v>
      </c>
      <c r="R104" s="215">
        <f t="shared" si="38"/>
        <v>5360.3933417803</v>
      </c>
      <c r="T104" s="214">
        <f t="shared" si="39"/>
        <v>0</v>
      </c>
      <c r="U104" s="214">
        <f t="shared" si="39"/>
        <v>0</v>
      </c>
      <c r="V104" s="214">
        <f t="shared" si="39"/>
        <v>6350</v>
      </c>
      <c r="W104" s="214">
        <f t="shared" si="39"/>
        <v>0</v>
      </c>
      <c r="X104" s="214">
        <f t="shared" si="39"/>
        <v>0</v>
      </c>
      <c r="Y104" s="214">
        <f t="shared" si="39"/>
        <v>0</v>
      </c>
      <c r="Z104" s="214">
        <f t="shared" si="39"/>
        <v>0</v>
      </c>
      <c r="AA104" s="214">
        <f t="shared" si="39"/>
        <v>0</v>
      </c>
      <c r="AB104" s="214">
        <f t="shared" si="39"/>
        <v>0</v>
      </c>
      <c r="AC104" s="214">
        <f t="shared" si="39"/>
        <v>0</v>
      </c>
      <c r="AD104" s="214">
        <f t="shared" si="39"/>
        <v>0</v>
      </c>
      <c r="AF104" s="214">
        <f>IF(AND(($D104+$C$1)&gt;AF$3,AF$3&gt;=$C$1),'General Inputs'!D$9*$G104,IF(AND(($C104+$C$1)&gt;AF$3,AF$3&gt;=$C$1),'General Inputs'!D$9*$F104,0))</f>
        <v>0</v>
      </c>
      <c r="AG104" s="214">
        <f>IF(AND(($D104+$C$1)&gt;AG$3,AG$3&gt;=$C$1),'General Inputs'!E$9*$G104,IF(AND(($C104+$C$1)&gt;AG$3,AG$3&gt;=$C$1),'General Inputs'!E$9*$F104,0))</f>
        <v>0</v>
      </c>
      <c r="AH104" s="214">
        <f>IF(AND(($D104+$C$1)&gt;AH$3,AH$3&gt;=$C$1),'General Inputs'!F$9*$G104,IF(AND(($C104+$C$1)&gt;AH$3,AH$3&gt;=$C$1),'General Inputs'!F$9*$F104,0))</f>
        <v>115.07392747730427</v>
      </c>
      <c r="AI104" s="214">
        <f>IF(AND(($D104+$C$1)&gt;AI$3,AI$3&gt;=$C$1),'General Inputs'!G$9*$G104,IF(AND(($C104+$C$1)&gt;AI$3,AI$3&gt;=$C$1),'General Inputs'!G$9*$F104,0))</f>
        <v>116.80003638946383</v>
      </c>
      <c r="AJ104" s="214">
        <f>IF(AND(($D104+$C$1)&gt;AJ$3,AJ$3&gt;=$C$1),'General Inputs'!H$9*$G104,IF(AND(($C104+$C$1)&gt;AJ$3,AJ$3&gt;=$C$1),'General Inputs'!H$9*$F104,0))</f>
        <v>118.55203693530576</v>
      </c>
      <c r="AK104" s="214">
        <f>IF(AND(($D104+$C$1)&gt;AK$3,AK$3&gt;=$C$1),'General Inputs'!I$9*$G104,IF(AND(($C104+$C$1)&gt;AK$3,AK$3&gt;=$C$1),'General Inputs'!I$9*$F104,0))</f>
        <v>120.33031748933533</v>
      </c>
      <c r="AL104" s="214">
        <f>IF(AND(($D104+$C$1)&gt;AL$3,AL$3&gt;=$C$1),'General Inputs'!J$9*$G104,IF(AND(($C104+$C$1)&gt;AL$3,AL$3&gt;=$C$1),'General Inputs'!J$9*$F104,0))</f>
        <v>122.13527225167535</v>
      </c>
      <c r="AM104" s="214">
        <f>IF(AND(($D104+$C$1)&gt;AM$3,AM$3&gt;=$C$1),'General Inputs'!K$9*$G104,IF(AND(($C104+$C$1)&gt;AM$3,AM$3&gt;=$C$1),'General Inputs'!K$9*$F104,0))</f>
        <v>123.96730133545046</v>
      </c>
      <c r="AN104" s="214">
        <f>IF(AND(($D104+$C$1)&gt;AN$3,AN$3&gt;=$C$1),'General Inputs'!L$9*$G104,IF(AND(($C104+$C$1)&gt;AN$3,AN$3&gt;=$C$1),'General Inputs'!L$9*$F104,0))</f>
        <v>125.82681085548221</v>
      </c>
      <c r="AO104" s="214">
        <f>IF(AND(($D104+$C$1)&gt;AO$3,AO$3&gt;=$C$1),'General Inputs'!M$9*$G104,IF(AND(($C104+$C$1)&gt;AO$3,AO$3&gt;=$C$1),'General Inputs'!M$9*$F104,0))</f>
        <v>127.71421301831441</v>
      </c>
      <c r="AP104" s="214">
        <f>IF(AND(($D104+$C$1)&gt;AP$3,AP$3&gt;=$C$1),'General Inputs'!N$9*$G104,IF(AND(($C104+$C$1)&gt;AP$3,AP$3&gt;=$C$1),'General Inputs'!N$9*$F104,0))</f>
        <v>129.62992621358913</v>
      </c>
      <c r="AQ104" s="214">
        <f>IF(AND(($D104+$C$1)&gt;AQ$3,AQ$3&gt;=$C$1),'General Inputs'!O$9*$G104,IF(AND(($C104+$C$1)&gt;AQ$3,AQ$3&gt;=$C$1),'General Inputs'!O$9*$F104,0))</f>
        <v>131.57437510679296</v>
      </c>
      <c r="AR104" s="214">
        <f>IF(AND(($D104+$C$1)&gt;AR$3,AR$3&gt;=$C$1),'General Inputs'!P$9*$G104,IF(AND(($C104+$C$1)&gt;AR$3,AR$3&gt;=$C$1),'General Inputs'!P$9*$F104,0))</f>
        <v>133.54799073339484</v>
      </c>
      <c r="AS104" s="214">
        <f>IF(AND(($D104+$C$1)&gt;AS$3,AS$3&gt;=$C$1),'General Inputs'!Q$9*$G104,IF(AND(($C104+$C$1)&gt;AS$3,AS$3&gt;=$C$1),'General Inputs'!Q$9*$F104,0))</f>
        <v>135.55121059439574</v>
      </c>
      <c r="AT104" s="214">
        <f>IF(AND(($D104+$C$1)&gt;AT$3,AT$3&gt;=$C$1),'General Inputs'!R$9*$G104,IF(AND(($C104+$C$1)&gt;AT$3,AT$3&gt;=$C$1),'General Inputs'!R$9*$F104,0))</f>
        <v>137.58447875331169</v>
      </c>
      <c r="AU104" s="214">
        <f>IF(AND(($D104+$C$1)&gt;AU$3,AU$3&gt;=$C$1),'General Inputs'!S$9*$G104,IF(AND(($C104+$C$1)&gt;AU$3,AU$3&gt;=$C$1),'General Inputs'!S$9*$F104,0))</f>
        <v>139.64824593461134</v>
      </c>
      <c r="AV104" s="214">
        <f>IF(AND(($D104+$C$1)&gt;AV$3,AV$3&gt;=$C$1),'General Inputs'!T$9*$G104,IF(AND(($C104+$C$1)&gt;AV$3,AV$3&gt;=$C$1),'General Inputs'!T$9*$F104,0))</f>
        <v>141.7429696236305</v>
      </c>
      <c r="AW104" s="214">
        <f>IF(AND(($D104+$C$1)&gt;AW$3,AW$3&gt;=$C$1),'General Inputs'!U$9*$G104,IF(AND(($C104+$C$1)&gt;AW$3,AW$3&gt;=$C$1),'General Inputs'!U$9*$F104,0))</f>
        <v>143.86911416798495</v>
      </c>
      <c r="AX104" s="214">
        <f>IF(AND(($D104+$C$1)&gt;AX$3,AX$3&gt;=$C$1),'General Inputs'!V$9*$G104,IF(AND(($C104+$C$1)&gt;AX$3,AX$3&gt;=$C$1),'General Inputs'!V$9*$F104,0))</f>
        <v>146.02715088050471</v>
      </c>
      <c r="AY104" s="214">
        <f>IF(AND(($D104+$C$1)&gt;AY$3,AY$3&gt;=$C$1),'General Inputs'!W$9*$G104,IF(AND(($C104+$C$1)&gt;AY$3,AY$3&gt;=$C$1),'General Inputs'!W$9*$F104,0))</f>
        <v>148.21755814371227</v>
      </c>
      <c r="BA104" s="214">
        <f>IF(AND(($D104+$C$1)&gt;AF$3,AF$3&gt;=$C$1),'General Inputs'!D$10*$I104,IF(AND(($C104+$C$1)&gt;AF$3,AF$3&gt;=$C$1),'General Inputs'!D$10*$H104,0))</f>
        <v>0</v>
      </c>
      <c r="BB104" s="214">
        <f>IF(AND(($D104+$C$1)&gt;AG$3,AG$3&gt;=$C$1),'General Inputs'!E$10*$I104,IF(AND(($C104+$C$1)&gt;AG$3,AG$3&gt;=$C$1),'General Inputs'!E$10*$H104,0))</f>
        <v>0</v>
      </c>
      <c r="BC104" s="214">
        <f>IF(AND(($D104+$C$1)&gt;AH$3,AH$3&gt;=$C$1),'General Inputs'!F$10*$I104,IF(AND(($C104+$C$1)&gt;AH$3,AH$3&gt;=$C$1),'General Inputs'!F$10*$H104,0))</f>
        <v>29.741936398052836</v>
      </c>
      <c r="BD104" s="214">
        <f>IF(AND(($D104+$C$1)&gt;AI$3,AI$3&gt;=$C$1),'General Inputs'!G$10*$I104,IF(AND(($C104+$C$1)&gt;AI$3,AI$3&gt;=$C$1),'General Inputs'!G$10*$H104,0))</f>
        <v>30.188065444023625</v>
      </c>
      <c r="BE104" s="214">
        <f>IF(AND(($D104+$C$1)&gt;AJ$3,AJ$3&gt;=$C$1),'General Inputs'!H$10*$I104,IF(AND(($C104+$C$1)&gt;AJ$3,AJ$3&gt;=$C$1),'General Inputs'!H$10*$H104,0))</f>
        <v>30.640886425683977</v>
      </c>
      <c r="BF104" s="214">
        <f>IF(AND(($D104+$C$1)&gt;AK$3,AK$3&gt;=$C$1),'General Inputs'!I$10*$I104,IF(AND(($C104+$C$1)&gt;AK$3,AK$3&gt;=$C$1),'General Inputs'!I$10*$H104,0))</f>
        <v>31.10049972206923</v>
      </c>
      <c r="BG104" s="214">
        <f>IF(AND(($D104+$C$1)&gt;AL$3,AL$3&gt;=$C$1),'General Inputs'!J$10*$I104,IF(AND(($C104+$C$1)&gt;AL$3,AL$3&gt;=$C$1),'General Inputs'!J$10*$H104,0))</f>
        <v>31.567007217900265</v>
      </c>
      <c r="BH104" s="214">
        <f>IF(AND(($D104+$C$1)&gt;AM$3,AM$3&gt;=$C$1),'General Inputs'!K$10*$I104,IF(AND(($C104+$C$1)&gt;AM$3,AM$3&gt;=$C$1),'General Inputs'!K$10*$H104,0))</f>
        <v>32.040512326168766</v>
      </c>
      <c r="BI104" s="214">
        <f>IF(AND(($D104+$C$1)&gt;AN$3,AN$3&gt;=$C$1),'General Inputs'!L$10*$I104,IF(AND(($C104+$C$1)&gt;AN$3,AN$3&gt;=$C$1),'General Inputs'!L$10*$H104,0))</f>
        <v>32.521120011061299</v>
      </c>
      <c r="BJ104" s="214">
        <f>IF(AND(($D104+$C$1)&gt;AO$3,AO$3&gt;=$C$1),'General Inputs'!M$10*$I104,IF(AND(($C104+$C$1)&gt;AO$3,AO$3&gt;=$C$1),'General Inputs'!M$10*$H104,0))</f>
        <v>33.008936811227215</v>
      </c>
      <c r="BK104" s="214">
        <f>IF(AND(($D104+$C$1)&gt;AP$3,AP$3&gt;=$C$1),'General Inputs'!N$10*$I104,IF(AND(($C104+$C$1)&gt;AP$3,AP$3&gt;=$C$1),'General Inputs'!N$10*$H104,0))</f>
        <v>33.504070863395619</v>
      </c>
      <c r="BL104" s="214">
        <f>IF(AND(($D104+$C$1)&gt;AQ$3,AQ$3&gt;=$C$1),'General Inputs'!O$10*$I104,IF(AND(($C104+$C$1)&gt;AQ$3,AQ$3&gt;=$C$1),'General Inputs'!O$10*$H104,0))</f>
        <v>34.00663192634655</v>
      </c>
      <c r="BM104" s="214">
        <f>IF(AND(($D104+$C$1)&gt;AR$3,AR$3&gt;=$C$1),'General Inputs'!P$10*$I104,IF(AND(($C104+$C$1)&gt;AR$3,AR$3&gt;=$C$1),'General Inputs'!P$10*$H104,0))</f>
        <v>34.516731405241742</v>
      </c>
      <c r="BN104" s="214">
        <f>IF(AND(($D104+$C$1)&gt;AS$3,AS$3&gt;=$C$1),'General Inputs'!Q$10*$I104,IF(AND(($C104+$C$1)&gt;AS$3,AS$3&gt;=$C$1),'General Inputs'!Q$10*$H104,0))</f>
        <v>35.034482376320369</v>
      </c>
      <c r="BO104" s="214">
        <f>IF(AND(($D104+$C$1)&gt;AT$3,AT$3&gt;=$C$1),'General Inputs'!R$10*$I104,IF(AND(($C104+$C$1)&gt;AT$3,AT$3&gt;=$C$1),'General Inputs'!R$10*$H104,0))</f>
        <v>35.559999611965168</v>
      </c>
      <c r="BP104" s="214">
        <f>IF(AND(($D104+$C$1)&gt;AU$3,AU$3&gt;=$C$1),'General Inputs'!S$10*$I104,IF(AND(($C104+$C$1)&gt;AU$3,AU$3&gt;=$C$1),'General Inputs'!S$10*$H104,0))</f>
        <v>36.093399606144644</v>
      </c>
      <c r="BQ104" s="214">
        <f>IF(AND(($D104+$C$1)&gt;AV$3,AV$3&gt;=$C$1),'General Inputs'!T$10*$I104,IF(AND(($C104+$C$1)&gt;AV$3,AV$3&gt;=$C$1),'General Inputs'!T$10*$H104,0))</f>
        <v>36.634800600236808</v>
      </c>
      <c r="BR104" s="214">
        <f>IF(AND(($D104+$C$1)&gt;AW$3,AW$3&gt;=$C$1),'General Inputs'!U$10*$I104,IF(AND(($C104+$C$1)&gt;AW$3,AW$3&gt;=$C$1),'General Inputs'!U$10*$H104,0))</f>
        <v>37.184322609240361</v>
      </c>
      <c r="BS104" s="214">
        <f>IF(AND(($D104+$C$1)&gt;AX$3,AX$3&gt;=$C$1),'General Inputs'!V$10*$I104,IF(AND(($C104+$C$1)&gt;AX$3,AX$3&gt;=$C$1),'General Inputs'!V$10*$H104,0))</f>
        <v>37.74208744837896</v>
      </c>
      <c r="BT104" s="214">
        <f>IF(AND(($D104+$C$1)&gt;AY$3,AY$3&gt;=$C$1),'General Inputs'!W$10*$I104,IF(AND(($C104+$C$1)&gt;AY$3,AY$3&gt;=$C$1),'General Inputs'!W$10*$H104,0))</f>
        <v>38.308218760104637</v>
      </c>
    </row>
  </sheetData>
  <mergeCells count="5">
    <mergeCell ref="BA2:BT2"/>
    <mergeCell ref="F2:I2"/>
    <mergeCell ref="P2:R2"/>
    <mergeCell ref="T2:AD2"/>
    <mergeCell ref="AF2:AY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30"/>
  <sheetViews>
    <sheetView topLeftCell="A196" workbookViewId="0">
      <selection activeCell="B227" sqref="B227"/>
    </sheetView>
  </sheetViews>
  <sheetFormatPr defaultColWidth="9.109375" defaultRowHeight="10.199999999999999"/>
  <cols>
    <col min="1" max="1" width="34.109375" style="3" customWidth="1"/>
    <col min="2" max="5" width="15" style="3" customWidth="1"/>
    <col min="6" max="6" width="24.33203125" style="3" bestFit="1" customWidth="1"/>
    <col min="7" max="7" width="14.88671875" style="3" customWidth="1"/>
    <col min="8" max="8" width="15.88671875" style="3" customWidth="1"/>
    <col min="9" max="9" width="10.109375" style="3" customWidth="1"/>
    <col min="10" max="10" width="16.44140625" style="3" bestFit="1" customWidth="1"/>
    <col min="11" max="11" width="14.88671875" style="3" customWidth="1"/>
    <col min="12" max="13" width="12.6640625" style="3" bestFit="1" customWidth="1"/>
    <col min="14" max="14" width="10.88671875" style="3" bestFit="1" customWidth="1"/>
    <col min="15" max="15" width="10.109375" style="3" bestFit="1" customWidth="1"/>
    <col min="16" max="16" width="9.44140625" style="3" bestFit="1" customWidth="1"/>
    <col min="17" max="17" width="8.33203125" style="3" bestFit="1" customWidth="1"/>
    <col min="18" max="18" width="7" style="3" bestFit="1" customWidth="1"/>
    <col min="19" max="19" width="6" style="3" customWidth="1"/>
    <col min="20" max="20" width="9.88671875" style="3" bestFit="1" customWidth="1"/>
    <col min="21" max="21" width="3.88671875" style="3" customWidth="1"/>
    <col min="22" max="22" width="7.5546875" style="3" bestFit="1" customWidth="1"/>
    <col min="23" max="23" width="4.5546875" style="3" bestFit="1" customWidth="1"/>
    <col min="24" max="24" width="5" style="3" bestFit="1" customWidth="1"/>
    <col min="25" max="25" width="8.33203125" style="3" customWidth="1"/>
    <col min="26" max="26" width="11.44140625" style="3" bestFit="1" customWidth="1"/>
    <col min="27" max="16384" width="9.109375" style="3"/>
  </cols>
  <sheetData>
    <row r="2" spans="1:5">
      <c r="B2" s="480" t="s">
        <v>82</v>
      </c>
      <c r="C2" s="480" t="s">
        <v>81</v>
      </c>
    </row>
    <row r="3" spans="1:5">
      <c r="A3" s="27" t="s">
        <v>308</v>
      </c>
      <c r="B3" s="42">
        <v>53</v>
      </c>
      <c r="C3" s="42">
        <v>53</v>
      </c>
      <c r="D3" s="3" t="s">
        <v>118</v>
      </c>
    </row>
    <row r="4" spans="1:5">
      <c r="A4" s="71" t="s">
        <v>78</v>
      </c>
      <c r="B4" s="39">
        <v>15</v>
      </c>
      <c r="C4" s="39">
        <v>17</v>
      </c>
      <c r="D4" s="3" t="s">
        <v>118</v>
      </c>
    </row>
    <row r="5" spans="1:5">
      <c r="A5" s="71" t="s">
        <v>45</v>
      </c>
      <c r="B5" s="39">
        <f>3*365</f>
        <v>1095</v>
      </c>
      <c r="C5" s="39">
        <f>3*365</f>
        <v>1095</v>
      </c>
      <c r="D5" s="3" t="s">
        <v>118</v>
      </c>
    </row>
    <row r="6" spans="1:5">
      <c r="A6" s="71" t="s">
        <v>494</v>
      </c>
      <c r="B6" s="41">
        <v>1.06</v>
      </c>
      <c r="C6" s="41">
        <v>1.06</v>
      </c>
      <c r="D6" s="3" t="s">
        <v>40</v>
      </c>
    </row>
    <row r="7" spans="1:5">
      <c r="A7" s="71" t="s">
        <v>495</v>
      </c>
      <c r="B7" s="41">
        <v>1.1100000000000001</v>
      </c>
      <c r="C7" s="41">
        <v>1.1100000000000001</v>
      </c>
      <c r="D7" s="3" t="s">
        <v>40</v>
      </c>
    </row>
    <row r="8" spans="1:5">
      <c r="A8" s="71" t="s">
        <v>83</v>
      </c>
      <c r="B8" s="167">
        <v>0.69499999999999995</v>
      </c>
      <c r="C8" s="167">
        <v>0.95</v>
      </c>
      <c r="D8" s="3" t="s">
        <v>40</v>
      </c>
    </row>
    <row r="9" spans="1:5">
      <c r="A9" s="21" t="s">
        <v>43</v>
      </c>
      <c r="B9" s="128">
        <v>9.5000000000000001E-2</v>
      </c>
      <c r="C9" s="128">
        <v>9.5000000000000001E-2</v>
      </c>
      <c r="D9" s="3" t="s">
        <v>40</v>
      </c>
    </row>
    <row r="10" spans="1:5">
      <c r="A10" s="71" t="s">
        <v>456</v>
      </c>
      <c r="B10" s="132">
        <f>(B3-B4)/1000*B8*B9*B7</f>
        <v>2.7849344999999999E-3</v>
      </c>
      <c r="C10" s="132">
        <f>(C3-C4)/1000*C8*C9*C7</f>
        <v>3.6063899999999997E-3</v>
      </c>
    </row>
    <row r="11" spans="1:5">
      <c r="A11" s="21" t="s">
        <v>42</v>
      </c>
      <c r="B11" s="101">
        <f>(B3-B4)*B5/1000*B8*B6</f>
        <v>30.654087000000001</v>
      </c>
      <c r="C11" s="101">
        <f>(C3-C4)*C5/1000*C8*C6</f>
        <v>39.69594</v>
      </c>
    </row>
    <row r="12" spans="1:5">
      <c r="A12" s="23" t="s">
        <v>7</v>
      </c>
      <c r="B12" s="75">
        <v>1.5</v>
      </c>
      <c r="C12" s="74">
        <v>20</v>
      </c>
      <c r="D12" s="3" t="s">
        <v>497</v>
      </c>
    </row>
    <row r="13" spans="1:5">
      <c r="A13" s="21" t="s">
        <v>41</v>
      </c>
      <c r="B13" s="73">
        <v>5</v>
      </c>
      <c r="C13" s="73">
        <v>10</v>
      </c>
      <c r="D13" s="3" t="s">
        <v>40</v>
      </c>
    </row>
    <row r="14" spans="1:5">
      <c r="B14" s="230"/>
      <c r="C14" s="230"/>
      <c r="D14" s="230"/>
      <c r="E14" s="230"/>
    </row>
    <row r="15" spans="1:5">
      <c r="A15" s="16" t="s">
        <v>204</v>
      </c>
      <c r="B15" s="16"/>
      <c r="C15" s="16"/>
    </row>
    <row r="16" spans="1:5">
      <c r="A16" s="27" t="s">
        <v>79</v>
      </c>
      <c r="B16" s="42">
        <v>72</v>
      </c>
      <c r="C16" s="3" t="s">
        <v>40</v>
      </c>
    </row>
    <row r="17" spans="1:14">
      <c r="A17" s="71" t="s">
        <v>78</v>
      </c>
      <c r="B17" s="39">
        <v>18</v>
      </c>
      <c r="C17" s="3" t="s">
        <v>118</v>
      </c>
    </row>
    <row r="18" spans="1:14">
      <c r="A18" s="71" t="s">
        <v>45</v>
      </c>
      <c r="B18" s="39">
        <f>5*365</f>
        <v>1825</v>
      </c>
      <c r="C18" s="3" t="s">
        <v>118</v>
      </c>
    </row>
    <row r="19" spans="1:14">
      <c r="A19" s="71" t="s">
        <v>83</v>
      </c>
      <c r="B19" s="167">
        <v>0.875</v>
      </c>
      <c r="C19" s="3" t="s">
        <v>40</v>
      </c>
    </row>
    <row r="20" spans="1:14">
      <c r="A20" s="21" t="s">
        <v>43</v>
      </c>
      <c r="B20" s="128">
        <v>4.0000000000000001E-3</v>
      </c>
      <c r="C20" s="3" t="s">
        <v>40</v>
      </c>
    </row>
    <row r="21" spans="1:14">
      <c r="A21" s="71" t="s">
        <v>456</v>
      </c>
      <c r="B21" s="166">
        <f>(B16-B17)/1000*B19*B20</f>
        <v>1.8900000000000001E-4</v>
      </c>
    </row>
    <row r="22" spans="1:14">
      <c r="A22" s="21" t="s">
        <v>42</v>
      </c>
      <c r="B22" s="319">
        <f>(B16-B17)*$B$18/1000*B19</f>
        <v>86.231250000000003</v>
      </c>
    </row>
    <row r="23" spans="1:14">
      <c r="A23" s="23" t="s">
        <v>7</v>
      </c>
      <c r="B23" s="74">
        <v>17</v>
      </c>
      <c r="C23" s="3" t="s">
        <v>40</v>
      </c>
    </row>
    <row r="24" spans="1:14">
      <c r="A24" s="21" t="s">
        <v>41</v>
      </c>
      <c r="B24" s="73">
        <v>8</v>
      </c>
      <c r="C24" s="3" t="s">
        <v>40</v>
      </c>
    </row>
    <row r="25" spans="1:14">
      <c r="B25" s="16"/>
    </row>
    <row r="26" spans="1:14">
      <c r="A26" s="90" t="s">
        <v>203</v>
      </c>
    </row>
    <row r="27" spans="1:14">
      <c r="A27" s="151" t="s">
        <v>202</v>
      </c>
      <c r="B27" s="262">
        <v>1.5</v>
      </c>
      <c r="C27" s="3" t="s">
        <v>105</v>
      </c>
    </row>
    <row r="28" spans="1:14">
      <c r="A28" s="142" t="s">
        <v>201</v>
      </c>
      <c r="B28" s="263">
        <v>1.85</v>
      </c>
      <c r="C28" s="3" t="s">
        <v>118</v>
      </c>
    </row>
    <row r="29" spans="1:14">
      <c r="A29" s="33" t="s">
        <v>200</v>
      </c>
      <c r="B29" s="165">
        <v>40</v>
      </c>
      <c r="C29" s="3" t="s">
        <v>118</v>
      </c>
      <c r="N29" s="49"/>
    </row>
    <row r="30" spans="1:14">
      <c r="A30" s="71" t="s">
        <v>45</v>
      </c>
      <c r="B30" s="164">
        <v>1620</v>
      </c>
      <c r="C30" s="3" t="s">
        <v>118</v>
      </c>
    </row>
    <row r="31" spans="1:14">
      <c r="A31" s="163" t="s">
        <v>199</v>
      </c>
      <c r="B31" s="162">
        <v>0.47299999999999998</v>
      </c>
      <c r="C31" s="3" t="s">
        <v>118</v>
      </c>
    </row>
    <row r="32" spans="1:14">
      <c r="A32" s="87" t="s">
        <v>43</v>
      </c>
      <c r="B32" s="133">
        <v>0.37</v>
      </c>
      <c r="C32" s="3" t="s">
        <v>439</v>
      </c>
    </row>
    <row r="33" spans="1:3">
      <c r="A33" s="71" t="s">
        <v>456</v>
      </c>
      <c r="B33" s="161">
        <f>B34/$B$30*B32</f>
        <v>3.678888888888892E-2</v>
      </c>
    </row>
    <row r="34" spans="1:3">
      <c r="A34" s="80" t="s">
        <v>42</v>
      </c>
      <c r="B34" s="160">
        <f>B29*$B$31/B27*$B$30/24-B29*$B$31/B28*$B$30/24</f>
        <v>161.07567567567583</v>
      </c>
    </row>
    <row r="35" spans="1:3">
      <c r="A35" s="23" t="s">
        <v>7</v>
      </c>
      <c r="B35" s="91">
        <v>45</v>
      </c>
      <c r="C35" s="3" t="s">
        <v>40</v>
      </c>
    </row>
    <row r="36" spans="1:3">
      <c r="A36" s="21" t="s">
        <v>41</v>
      </c>
      <c r="B36" s="160">
        <v>12</v>
      </c>
      <c r="C36" s="3" t="s">
        <v>118</v>
      </c>
    </row>
    <row r="38" spans="1:3">
      <c r="A38" s="146" t="s">
        <v>198</v>
      </c>
    </row>
    <row r="39" spans="1:3">
      <c r="A39" s="145" t="s">
        <v>197</v>
      </c>
    </row>
    <row r="40" spans="1:3">
      <c r="A40" s="36" t="s">
        <v>196</v>
      </c>
      <c r="B40" s="103">
        <v>3.5</v>
      </c>
      <c r="C40" s="3" t="s">
        <v>118</v>
      </c>
    </row>
    <row r="41" spans="1:3">
      <c r="A41" s="142" t="s">
        <v>195</v>
      </c>
      <c r="B41" s="153">
        <v>1.29</v>
      </c>
      <c r="C41" s="3" t="s">
        <v>105</v>
      </c>
    </row>
    <row r="42" spans="1:3">
      <c r="A42" s="142" t="s">
        <v>194</v>
      </c>
      <c r="B42" s="153">
        <v>2.6</v>
      </c>
      <c r="C42" s="3" t="s">
        <v>118</v>
      </c>
    </row>
    <row r="43" spans="1:3">
      <c r="A43" s="159" t="s">
        <v>193</v>
      </c>
      <c r="B43" s="20">
        <v>295</v>
      </c>
      <c r="C43" s="3" t="s">
        <v>118</v>
      </c>
    </row>
    <row r="44" spans="1:3">
      <c r="A44" s="36" t="s">
        <v>192</v>
      </c>
      <c r="B44" s="264">
        <v>7.0000000000000007E-2</v>
      </c>
      <c r="C44" s="3" t="s">
        <v>439</v>
      </c>
    </row>
    <row r="45" spans="1:3">
      <c r="A45" s="142" t="s">
        <v>181</v>
      </c>
      <c r="B45" s="150">
        <v>0.33</v>
      </c>
      <c r="C45" s="3" t="s">
        <v>439</v>
      </c>
    </row>
    <row r="46" spans="1:3">
      <c r="A46" s="142" t="s">
        <v>191</v>
      </c>
      <c r="B46" s="150">
        <v>0.59</v>
      </c>
      <c r="C46" s="3" t="s">
        <v>439</v>
      </c>
    </row>
    <row r="47" spans="1:3">
      <c r="A47" s="142" t="s">
        <v>190</v>
      </c>
      <c r="B47" s="150">
        <v>0.39</v>
      </c>
      <c r="C47" s="3" t="s">
        <v>439</v>
      </c>
    </row>
    <row r="48" spans="1:3">
      <c r="A48" s="142" t="s">
        <v>189</v>
      </c>
      <c r="B48" s="150">
        <v>0.81</v>
      </c>
      <c r="C48" s="3" t="s">
        <v>439</v>
      </c>
    </row>
    <row r="49" spans="1:4">
      <c r="A49" s="159" t="s">
        <v>180</v>
      </c>
      <c r="B49" s="158">
        <v>3.7999999999999999E-2</v>
      </c>
      <c r="C49" s="3" t="s">
        <v>40</v>
      </c>
    </row>
    <row r="50" spans="1:4">
      <c r="A50" s="71" t="s">
        <v>456</v>
      </c>
      <c r="B50" s="135">
        <f>B51/B43*B49</f>
        <v>3.5147292188431718E-2</v>
      </c>
      <c r="C50" s="157"/>
    </row>
    <row r="51" spans="1:4">
      <c r="A51" s="80" t="s">
        <v>42</v>
      </c>
      <c r="B51" s="20">
        <f>(B40*(1/B41-1/B42)*B43)*(B44+(B45*B47)+(B46*B48))</f>
        <v>272.85397883124625</v>
      </c>
    </row>
    <row r="52" spans="1:4">
      <c r="A52" s="23" t="s">
        <v>7</v>
      </c>
      <c r="B52" s="156">
        <v>450</v>
      </c>
      <c r="C52" s="3" t="s">
        <v>118</v>
      </c>
    </row>
    <row r="53" spans="1:4">
      <c r="A53" s="21" t="s">
        <v>41</v>
      </c>
      <c r="B53" s="73">
        <v>14</v>
      </c>
      <c r="C53" s="3" t="s">
        <v>40</v>
      </c>
    </row>
    <row r="55" spans="1:4">
      <c r="A55" s="146" t="s">
        <v>442</v>
      </c>
    </row>
    <row r="56" spans="1:4">
      <c r="A56" s="145" t="s">
        <v>310</v>
      </c>
    </row>
    <row r="57" spans="1:4">
      <c r="A57" s="36"/>
      <c r="B57" s="59" t="s">
        <v>441</v>
      </c>
      <c r="C57" s="480" t="s">
        <v>285</v>
      </c>
    </row>
    <row r="58" spans="1:4">
      <c r="A58" s="36" t="s">
        <v>188</v>
      </c>
      <c r="B58" s="154">
        <v>25.8</v>
      </c>
      <c r="C58" s="154">
        <v>26.64</v>
      </c>
      <c r="D58" s="3" t="s">
        <v>40</v>
      </c>
    </row>
    <row r="59" spans="1:4">
      <c r="A59" s="142" t="s">
        <v>180</v>
      </c>
      <c r="B59" s="150">
        <v>1</v>
      </c>
      <c r="C59" s="150">
        <v>1</v>
      </c>
      <c r="D59" s="3" t="s">
        <v>439</v>
      </c>
    </row>
    <row r="60" spans="1:4">
      <c r="A60" s="71" t="s">
        <v>456</v>
      </c>
      <c r="B60" s="148">
        <f>B61/8760*B59</f>
        <v>1.1799315068493153E-2</v>
      </c>
      <c r="C60" s="148">
        <f>C61/8760*C59</f>
        <v>3.4528767123287694E-3</v>
      </c>
    </row>
    <row r="61" spans="1:4">
      <c r="A61" s="87" t="s">
        <v>42</v>
      </c>
      <c r="B61" s="46">
        <f>(9.15*$B$58+264.9)-(7.26*$B$58+210.3)</f>
        <v>103.36200000000002</v>
      </c>
      <c r="C61" s="46">
        <f>(7.29*C58+107.8)-(6.56*C58+97)</f>
        <v>30.247200000000021</v>
      </c>
      <c r="D61" s="3" t="s">
        <v>311</v>
      </c>
    </row>
    <row r="62" spans="1:4">
      <c r="A62" s="320" t="s">
        <v>7</v>
      </c>
      <c r="B62" s="147">
        <v>40</v>
      </c>
      <c r="C62" s="147">
        <v>40</v>
      </c>
      <c r="D62" s="3" t="s">
        <v>439</v>
      </c>
    </row>
    <row r="63" spans="1:4">
      <c r="A63" s="87" t="s">
        <v>41</v>
      </c>
      <c r="B63" s="84">
        <v>14</v>
      </c>
      <c r="C63" s="84">
        <v>11</v>
      </c>
      <c r="D63" s="3" t="s">
        <v>439</v>
      </c>
    </row>
    <row r="65" spans="1:4">
      <c r="A65" s="152" t="s">
        <v>187</v>
      </c>
    </row>
    <row r="66" spans="1:4">
      <c r="A66" s="151"/>
      <c r="B66" s="621" t="s">
        <v>186</v>
      </c>
      <c r="C66" s="621" t="s">
        <v>185</v>
      </c>
    </row>
    <row r="67" spans="1:4">
      <c r="A67" s="151" t="s">
        <v>184</v>
      </c>
      <c r="B67" s="134">
        <v>307</v>
      </c>
      <c r="C67" s="134">
        <v>307</v>
      </c>
      <c r="D67" s="3" t="s">
        <v>105</v>
      </c>
    </row>
    <row r="68" spans="1:4">
      <c r="A68" s="142" t="s">
        <v>183</v>
      </c>
      <c r="B68" s="46">
        <v>295</v>
      </c>
      <c r="C68" s="46">
        <v>295</v>
      </c>
      <c r="D68" s="3" t="s">
        <v>118</v>
      </c>
    </row>
    <row r="69" spans="1:4">
      <c r="A69" s="142" t="s">
        <v>182</v>
      </c>
      <c r="B69" s="46">
        <v>208</v>
      </c>
      <c r="C69" s="46">
        <v>208</v>
      </c>
      <c r="D69" s="3" t="s">
        <v>118</v>
      </c>
    </row>
    <row r="70" spans="1:4">
      <c r="A70" s="142" t="s">
        <v>181</v>
      </c>
      <c r="B70" s="150">
        <v>0.56000000000000005</v>
      </c>
      <c r="C70" s="150">
        <v>0.56000000000000005</v>
      </c>
      <c r="D70" s="3" t="s">
        <v>118</v>
      </c>
    </row>
    <row r="71" spans="1:4">
      <c r="A71" s="142" t="s">
        <v>180</v>
      </c>
      <c r="B71" s="149">
        <v>0.1</v>
      </c>
      <c r="C71" s="149">
        <v>0.1</v>
      </c>
      <c r="D71" s="3" t="s">
        <v>439</v>
      </c>
    </row>
    <row r="72" spans="1:4">
      <c r="A72" s="27" t="s">
        <v>456</v>
      </c>
      <c r="B72" s="148">
        <f>B73/B69*B71</f>
        <v>5.7692307692307696E-3</v>
      </c>
      <c r="C72" s="148">
        <f>C73/C69*C71</f>
        <v>2.5384615384615393E-3</v>
      </c>
    </row>
    <row r="73" spans="1:4">
      <c r="A73" s="21" t="s">
        <v>42</v>
      </c>
      <c r="B73" s="46">
        <f>B67-B68</f>
        <v>12</v>
      </c>
      <c r="C73" s="46">
        <f>(C67*(1-C70))-(C68*(1-C70))</f>
        <v>5.2800000000000011</v>
      </c>
    </row>
    <row r="74" spans="1:4">
      <c r="A74" s="23" t="s">
        <v>7</v>
      </c>
      <c r="B74" s="147">
        <v>50</v>
      </c>
      <c r="C74" s="147">
        <v>50</v>
      </c>
      <c r="D74" s="3" t="s">
        <v>40</v>
      </c>
    </row>
    <row r="75" spans="1:4">
      <c r="A75" s="21" t="s">
        <v>41</v>
      </c>
      <c r="B75" s="84">
        <v>10</v>
      </c>
      <c r="C75" s="84">
        <v>10</v>
      </c>
      <c r="D75" s="3" t="s">
        <v>118</v>
      </c>
    </row>
    <row r="77" spans="1:4">
      <c r="A77" s="146" t="s">
        <v>179</v>
      </c>
    </row>
    <row r="78" spans="1:4">
      <c r="A78" s="145" t="s">
        <v>178</v>
      </c>
    </row>
    <row r="79" spans="1:4">
      <c r="A79" s="36" t="s">
        <v>139</v>
      </c>
      <c r="B79" s="144">
        <v>10000</v>
      </c>
      <c r="C79" s="3" t="s">
        <v>118</v>
      </c>
    </row>
    <row r="80" spans="1:4">
      <c r="A80" s="142" t="s">
        <v>132</v>
      </c>
      <c r="B80" s="143">
        <v>10.9</v>
      </c>
      <c r="C80" s="3" t="s">
        <v>105</v>
      </c>
    </row>
    <row r="81" spans="1:8">
      <c r="A81" s="142" t="s">
        <v>135</v>
      </c>
      <c r="B81" s="141">
        <v>11.3</v>
      </c>
      <c r="C81" s="3" t="s">
        <v>118</v>
      </c>
    </row>
    <row r="82" spans="1:8">
      <c r="A82" s="80" t="s">
        <v>45</v>
      </c>
      <c r="B82" s="140">
        <v>1178</v>
      </c>
      <c r="C82" s="3" t="s">
        <v>118</v>
      </c>
    </row>
    <row r="83" spans="1:8">
      <c r="A83" s="80" t="s">
        <v>43</v>
      </c>
      <c r="B83" s="139">
        <v>0.9</v>
      </c>
      <c r="C83" s="3" t="s">
        <v>439</v>
      </c>
    </row>
    <row r="84" spans="1:8">
      <c r="A84" s="71" t="s">
        <v>456</v>
      </c>
      <c r="B84" s="229">
        <f>(B79/1000*(1/B80-1/B81))*B83</f>
        <v>2.9227896403344902E-2</v>
      </c>
    </row>
    <row r="85" spans="1:8">
      <c r="A85" s="21" t="s">
        <v>42</v>
      </c>
      <c r="B85" s="138">
        <f>'Measure Calculations'!B79/1000*(1/B80-1/B81)*'Measure Calculations'!B82</f>
        <v>38.256068847933662</v>
      </c>
    </row>
    <row r="86" spans="1:8">
      <c r="A86" s="23" t="s">
        <v>7</v>
      </c>
      <c r="B86" s="137">
        <v>200</v>
      </c>
      <c r="C86" s="3" t="s">
        <v>56</v>
      </c>
    </row>
    <row r="87" spans="1:8">
      <c r="A87" s="21" t="s">
        <v>41</v>
      </c>
      <c r="B87" s="136">
        <v>9</v>
      </c>
      <c r="C87" s="3" t="s">
        <v>439</v>
      </c>
    </row>
    <row r="88" spans="1:8">
      <c r="A88" s="16"/>
    </row>
    <row r="89" spans="1:8">
      <c r="A89" s="16" t="s">
        <v>242</v>
      </c>
      <c r="H89" s="266"/>
    </row>
    <row r="90" spans="1:8">
      <c r="A90" s="103"/>
      <c r="B90" s="227" t="s">
        <v>286</v>
      </c>
      <c r="C90" s="227" t="s">
        <v>285</v>
      </c>
    </row>
    <row r="91" spans="1:8">
      <c r="A91" s="27" t="s">
        <v>456</v>
      </c>
      <c r="B91" s="77">
        <f>B92/8760</f>
        <v>0.14714611872146119</v>
      </c>
      <c r="C91" s="77">
        <f>C92/8760</f>
        <v>0.12614155251141554</v>
      </c>
    </row>
    <row r="92" spans="1:8">
      <c r="A92" s="71" t="s">
        <v>42</v>
      </c>
      <c r="B92" s="101">
        <v>1289</v>
      </c>
      <c r="C92" s="100">
        <v>1105</v>
      </c>
      <c r="D92" s="3" t="s">
        <v>96</v>
      </c>
    </row>
    <row r="93" spans="1:8">
      <c r="A93" s="108" t="s">
        <v>41</v>
      </c>
      <c r="B93" s="228">
        <v>8</v>
      </c>
      <c r="C93" s="228">
        <v>8</v>
      </c>
      <c r="D93" s="3" t="s">
        <v>40</v>
      </c>
    </row>
    <row r="95" spans="1:8">
      <c r="A95" s="267" t="s">
        <v>15</v>
      </c>
    </row>
    <row r="96" spans="1:8">
      <c r="A96" s="267"/>
      <c r="B96" s="3" t="s">
        <v>478</v>
      </c>
      <c r="C96" s="3" t="s">
        <v>479</v>
      </c>
    </row>
    <row r="97" spans="1:8">
      <c r="A97" s="36" t="s">
        <v>177</v>
      </c>
      <c r="B97" s="268">
        <f>B98/0.75</f>
        <v>3000</v>
      </c>
      <c r="C97" s="268">
        <f>C98/0.75</f>
        <v>3000</v>
      </c>
      <c r="D97" s="269"/>
    </row>
    <row r="98" spans="1:8">
      <c r="A98" s="33" t="s">
        <v>176</v>
      </c>
      <c r="B98" s="270">
        <v>2250</v>
      </c>
      <c r="C98" s="270">
        <v>2250</v>
      </c>
      <c r="D98" s="269"/>
    </row>
    <row r="99" spans="1:8">
      <c r="A99" s="33" t="s">
        <v>312</v>
      </c>
      <c r="B99" s="271">
        <v>18.5</v>
      </c>
      <c r="C99" s="271">
        <v>18.5</v>
      </c>
    </row>
    <row r="100" spans="1:8">
      <c r="A100" s="27" t="s">
        <v>456</v>
      </c>
      <c r="B100" s="92">
        <f>(((B97-B98)/B99*60*24*G111*G109*0.018)/(1000*G107))/$J$165*$G$113+((B97-B98)/B99*60*24*G112*0.018)/(G108*3412)/J164*G113</f>
        <v>0.57204084546305578</v>
      </c>
      <c r="C100" s="580">
        <f>(((C97-C98)/C99*60*24*G111*G109*0.018)/(1000*G107))/$J$165*$G$113</f>
        <v>8.8163780137641853E-2</v>
      </c>
      <c r="D100" s="3" t="s">
        <v>40</v>
      </c>
    </row>
    <row r="101" spans="1:8">
      <c r="A101" s="21" t="s">
        <v>42</v>
      </c>
      <c r="B101" s="21">
        <f>(((B97-B98)/B99*60*24*$G$111*$G$109*0.018)/(1000*$G$107))+((B97-B98)/B99*60*24*G112*0.018)/(G108*3412)</f>
        <v>1344.3037143428187</v>
      </c>
      <c r="C101" s="21">
        <f>(((C97-C98)/C99*60*24*$G$111*$G$109*0.018)/(1000*$G$107))</f>
        <v>57.137837837837836</v>
      </c>
      <c r="D101" s="3" t="s">
        <v>40</v>
      </c>
    </row>
    <row r="102" spans="1:8">
      <c r="A102" s="23" t="s">
        <v>7</v>
      </c>
      <c r="B102" s="131">
        <v>272</v>
      </c>
      <c r="C102" s="131">
        <v>272</v>
      </c>
      <c r="D102" s="3" t="s">
        <v>74</v>
      </c>
    </row>
    <row r="103" spans="1:8">
      <c r="A103" s="21" t="s">
        <v>41</v>
      </c>
      <c r="B103" s="84">
        <v>15</v>
      </c>
      <c r="C103" s="84">
        <v>15</v>
      </c>
      <c r="D103" s="3" t="s">
        <v>40</v>
      </c>
    </row>
    <row r="105" spans="1:8">
      <c r="A105" s="275" t="s">
        <v>175</v>
      </c>
    </row>
    <row r="106" spans="1:8" ht="20.399999999999999">
      <c r="A106" s="622"/>
      <c r="B106" s="622" t="s">
        <v>316</v>
      </c>
      <c r="C106" s="622" t="s">
        <v>317</v>
      </c>
    </row>
    <row r="107" spans="1:8">
      <c r="A107" s="36" t="s">
        <v>174</v>
      </c>
      <c r="B107" s="276">
        <v>19</v>
      </c>
      <c r="C107" s="155">
        <v>3</v>
      </c>
      <c r="D107" s="3" t="s">
        <v>74</v>
      </c>
      <c r="F107" s="36" t="s">
        <v>172</v>
      </c>
      <c r="G107" s="276">
        <v>10</v>
      </c>
    </row>
    <row r="108" spans="1:8">
      <c r="A108" s="33" t="s">
        <v>173</v>
      </c>
      <c r="B108" s="272">
        <v>38</v>
      </c>
      <c r="C108" s="271">
        <v>11</v>
      </c>
      <c r="D108" s="3" t="s">
        <v>315</v>
      </c>
      <c r="F108" s="33" t="s">
        <v>153</v>
      </c>
      <c r="G108" s="279">
        <f>6.8/3.413*0.85</f>
        <v>1.6935247582771755</v>
      </c>
    </row>
    <row r="109" spans="1:8">
      <c r="A109" s="33" t="s">
        <v>313</v>
      </c>
      <c r="B109" s="277">
        <v>750</v>
      </c>
      <c r="C109" s="278">
        <f>B272</f>
        <v>765.33333333333337</v>
      </c>
      <c r="F109" s="33" t="s">
        <v>171</v>
      </c>
      <c r="G109" s="272">
        <v>0.75</v>
      </c>
    </row>
    <row r="110" spans="1:8">
      <c r="A110" s="27" t="s">
        <v>456</v>
      </c>
      <c r="B110" s="130">
        <f>(((1/B107-1/B108)*B109*(1-$G$110)*24*$G$111*$G$109)/(1000*$G$107)/$J$165+((1/B107-1/B108)*$B$109*(1-$G$110)*24*$G$112)/($G$108*3412)/$J$164)*$G$113</f>
        <v>0.21918475377452615</v>
      </c>
      <c r="C110" s="130">
        <f>(((1/C107-1/C108)*C109*(1-$G$110)*24*$G$111*$G$109)/(1000*$G$107)/$J$165+((1/C107-1/C108)*$C$109*(1-$G$110)*24*$G$112)/($G$108*3412)/$J$164)*$G$113</f>
        <v>2.060437052909883</v>
      </c>
      <c r="D110" s="3" t="s">
        <v>40</v>
      </c>
      <c r="F110" s="33" t="s">
        <v>314</v>
      </c>
      <c r="G110" s="274">
        <v>0.15</v>
      </c>
    </row>
    <row r="111" spans="1:8">
      <c r="A111" s="21" t="s">
        <v>42</v>
      </c>
      <c r="B111" s="21">
        <f>((1/B107-1/B108)*B109*(1-$G$110)*24*$G$111*$G$109)/(1000*$G$107)+((1/B107-1/B108)*$B$109*(1-$G$110)*24*$G$112)/($G$108*3412)</f>
        <v>515.08713226220334</v>
      </c>
      <c r="C111" s="21">
        <f>((1/C107-1/C108)*C109*(1-$G$110)*24*$G$111*$G$109)/(1000*$G$107)+((1/C107-1/C108)*$C$109*(1-$G$110)*24*$G$112)/($G$108*3412)</f>
        <v>4842.0549080794826</v>
      </c>
      <c r="D111" s="3" t="s">
        <v>40</v>
      </c>
      <c r="F111" s="33" t="s">
        <v>170</v>
      </c>
      <c r="G111" s="273">
        <f>'Measure Calculations'!$B$275</f>
        <v>725</v>
      </c>
      <c r="H111" s="3" t="s">
        <v>304</v>
      </c>
    </row>
    <row r="112" spans="1:8">
      <c r="A112" s="23" t="s">
        <v>7</v>
      </c>
      <c r="B112" s="131">
        <f>B109/1000*767</f>
        <v>575.25</v>
      </c>
      <c r="C112" s="131">
        <f>C109/1000*1322</f>
        <v>1011.7706666666668</v>
      </c>
      <c r="D112" s="3" t="s">
        <v>74</v>
      </c>
      <c r="F112" s="33" t="s">
        <v>169</v>
      </c>
      <c r="G112" s="273">
        <f>'Measure Calculations'!$B$274</f>
        <v>7078</v>
      </c>
      <c r="H112" s="3" t="s">
        <v>304</v>
      </c>
    </row>
    <row r="113" spans="1:8">
      <c r="A113" s="21" t="s">
        <v>41</v>
      </c>
      <c r="B113" s="73">
        <v>20</v>
      </c>
      <c r="C113" s="84">
        <v>20</v>
      </c>
      <c r="D113" s="3" t="s">
        <v>74</v>
      </c>
      <c r="F113" s="87" t="s">
        <v>43</v>
      </c>
      <c r="G113" s="321">
        <v>0.91500000000000004</v>
      </c>
      <c r="H113" s="12" t="s">
        <v>40</v>
      </c>
    </row>
    <row r="114" spans="1:8">
      <c r="B114" s="265"/>
    </row>
    <row r="115" spans="1:8" ht="20.399999999999999">
      <c r="A115" s="123"/>
      <c r="B115" s="622" t="s">
        <v>165</v>
      </c>
      <c r="C115" s="622" t="s">
        <v>164</v>
      </c>
      <c r="D115" s="622" t="s">
        <v>16</v>
      </c>
    </row>
    <row r="116" spans="1:8">
      <c r="A116" s="107" t="s">
        <v>163</v>
      </c>
      <c r="B116" s="103">
        <v>1.2</v>
      </c>
      <c r="C116" s="281">
        <v>1.2</v>
      </c>
      <c r="D116" s="103">
        <v>2.35</v>
      </c>
    </row>
    <row r="117" spans="1:8">
      <c r="A117" s="80" t="s">
        <v>162</v>
      </c>
      <c r="B117" s="95">
        <v>0.94</v>
      </c>
      <c r="C117" s="282">
        <v>0.94</v>
      </c>
      <c r="D117" s="283">
        <v>2</v>
      </c>
    </row>
    <row r="118" spans="1:8">
      <c r="A118" s="80" t="s">
        <v>161</v>
      </c>
      <c r="B118" s="95">
        <v>9.85</v>
      </c>
      <c r="C118" s="282">
        <v>9.85</v>
      </c>
      <c r="D118" s="283">
        <v>8.1999999999999993</v>
      </c>
    </row>
    <row r="119" spans="1:8">
      <c r="A119" s="80" t="s">
        <v>160</v>
      </c>
      <c r="B119" s="283"/>
      <c r="C119" s="284"/>
      <c r="D119" s="95">
        <v>0.75</v>
      </c>
    </row>
    <row r="120" spans="1:8">
      <c r="A120" s="80" t="s">
        <v>159</v>
      </c>
      <c r="B120" s="129">
        <v>2.56</v>
      </c>
      <c r="C120" s="285">
        <v>2.56</v>
      </c>
      <c r="D120" s="285">
        <v>2.56</v>
      </c>
    </row>
    <row r="121" spans="1:8">
      <c r="A121" s="80" t="s">
        <v>158</v>
      </c>
      <c r="B121" s="286">
        <v>0.75</v>
      </c>
      <c r="C121" s="287">
        <v>0.9</v>
      </c>
      <c r="D121" s="286"/>
    </row>
    <row r="122" spans="1:8">
      <c r="A122" s="80" t="s">
        <v>157</v>
      </c>
      <c r="B122" s="280">
        <v>1</v>
      </c>
      <c r="C122" s="285">
        <v>2.83</v>
      </c>
      <c r="D122" s="129">
        <v>1.79</v>
      </c>
    </row>
    <row r="123" spans="1:8">
      <c r="A123" s="80" t="s">
        <v>156</v>
      </c>
      <c r="B123" s="288">
        <f>((8.33*1*(90-54))/0.98)/3412</f>
        <v>8.9683470105509963E-2</v>
      </c>
      <c r="C123" s="288">
        <f>((8.33*1*(90-54))/0.98)/3412</f>
        <v>8.9683470105509963E-2</v>
      </c>
      <c r="D123" s="288">
        <f>(8.33*1*(105-54))/(0.98*3412)</f>
        <v>0.12705158264947244</v>
      </c>
    </row>
    <row r="124" spans="1:8">
      <c r="A124" s="80" t="s">
        <v>155</v>
      </c>
      <c r="B124" s="39">
        <v>197</v>
      </c>
      <c r="C124" s="39">
        <v>197</v>
      </c>
      <c r="D124" s="39">
        <v>380</v>
      </c>
    </row>
    <row r="125" spans="1:8">
      <c r="A125" s="80" t="s">
        <v>43</v>
      </c>
      <c r="B125" s="289">
        <v>2.1999999999999999E-2</v>
      </c>
      <c r="C125" s="290">
        <v>2.1999999999999999E-2</v>
      </c>
      <c r="D125" s="289">
        <v>2.7799999999999998E-2</v>
      </c>
    </row>
    <row r="126" spans="1:8">
      <c r="A126" s="27" t="s">
        <v>456</v>
      </c>
      <c r="B126" s="77">
        <f>B127/B124*B125</f>
        <v>1.797515029308323E-2</v>
      </c>
      <c r="C126" s="77">
        <f>C127/C124*C125</f>
        <v>7.6219718557243394E-3</v>
      </c>
      <c r="D126" s="77">
        <f>D127/D124*D125</f>
        <v>1.0443936858788862E-2</v>
      </c>
      <c r="E126" s="3" t="s">
        <v>40</v>
      </c>
    </row>
    <row r="127" spans="1:8">
      <c r="A127" s="21" t="s">
        <v>42</v>
      </c>
      <c r="B127" s="39">
        <f>((B116*B118-B117*B118)*B120*365*B121/B122)*B123</f>
        <v>160.95930035169985</v>
      </c>
      <c r="C127" s="39">
        <f>((C116*C118-C117*C118)*C120*365*C121/C122)*C123</f>
        <v>68.251293435349766</v>
      </c>
      <c r="D127" s="39">
        <f>((D116*D118-D117*D118)*D120*365*D119/D122)*D123</f>
        <v>142.7588491489125</v>
      </c>
      <c r="E127" s="3" t="s">
        <v>40</v>
      </c>
    </row>
    <row r="128" spans="1:8">
      <c r="A128" s="23" t="s">
        <v>7</v>
      </c>
      <c r="B128" s="74">
        <v>8</v>
      </c>
      <c r="C128" s="74">
        <v>8</v>
      </c>
      <c r="D128" s="74">
        <v>12</v>
      </c>
      <c r="E128" s="3" t="s">
        <v>40</v>
      </c>
    </row>
    <row r="129" spans="1:5">
      <c r="A129" s="21" t="s">
        <v>41</v>
      </c>
      <c r="B129" s="84">
        <v>9</v>
      </c>
      <c r="C129" s="84">
        <v>9</v>
      </c>
      <c r="D129" s="84">
        <v>10</v>
      </c>
      <c r="E129" s="3" t="s">
        <v>40</v>
      </c>
    </row>
    <row r="131" spans="1:5">
      <c r="A131" s="90" t="s">
        <v>130</v>
      </c>
    </row>
    <row r="132" spans="1:5">
      <c r="A132" s="36" t="s">
        <v>43</v>
      </c>
      <c r="B132" s="93">
        <v>1</v>
      </c>
      <c r="C132" s="3" t="s">
        <v>44</v>
      </c>
    </row>
    <row r="133" spans="1:5">
      <c r="A133" s="27" t="s">
        <v>456</v>
      </c>
      <c r="B133" s="92">
        <v>8.9999999999999993E-3</v>
      </c>
      <c r="C133" s="3" t="s">
        <v>44</v>
      </c>
    </row>
    <row r="134" spans="1:5">
      <c r="A134" s="21" t="s">
        <v>42</v>
      </c>
      <c r="B134" s="76">
        <v>79</v>
      </c>
      <c r="C134" s="3" t="s">
        <v>44</v>
      </c>
    </row>
    <row r="135" spans="1:5">
      <c r="A135" s="23" t="s">
        <v>7</v>
      </c>
      <c r="B135" s="91">
        <v>10</v>
      </c>
      <c r="C135" s="3" t="s">
        <v>129</v>
      </c>
    </row>
    <row r="136" spans="1:5">
      <c r="A136" s="21" t="s">
        <v>41</v>
      </c>
      <c r="B136" s="84">
        <v>5</v>
      </c>
      <c r="C136" s="3" t="s">
        <v>44</v>
      </c>
    </row>
    <row r="138" spans="1:5">
      <c r="A138" s="90" t="s">
        <v>39</v>
      </c>
    </row>
    <row r="139" spans="1:5">
      <c r="A139" s="35" t="s">
        <v>128</v>
      </c>
      <c r="B139" s="42">
        <v>1</v>
      </c>
    </row>
    <row r="140" spans="1:5">
      <c r="A140" s="32" t="s">
        <v>127</v>
      </c>
      <c r="B140" s="39">
        <v>5</v>
      </c>
    </row>
    <row r="141" spans="1:5">
      <c r="A141" s="32" t="s">
        <v>126</v>
      </c>
      <c r="B141" s="72">
        <v>5</v>
      </c>
    </row>
    <row r="142" spans="1:5">
      <c r="A142" s="32" t="s">
        <v>125</v>
      </c>
      <c r="B142" s="41">
        <v>0.19600000000000001</v>
      </c>
    </row>
    <row r="143" spans="1:5">
      <c r="A143" s="32" t="s">
        <v>124</v>
      </c>
      <c r="B143" s="39">
        <v>120</v>
      </c>
      <c r="C143" s="3" t="s">
        <v>50</v>
      </c>
    </row>
    <row r="144" spans="1:5">
      <c r="A144" s="32" t="s">
        <v>123</v>
      </c>
      <c r="B144" s="72">
        <v>54</v>
      </c>
      <c r="C144" s="3" t="s">
        <v>40</v>
      </c>
    </row>
    <row r="145" spans="1:3">
      <c r="A145" s="32" t="s">
        <v>122</v>
      </c>
      <c r="B145" s="41">
        <v>0.98</v>
      </c>
    </row>
    <row r="146" spans="1:3">
      <c r="A146" s="79" t="s">
        <v>43</v>
      </c>
      <c r="B146" s="89">
        <v>1</v>
      </c>
      <c r="C146" s="3" t="s">
        <v>44</v>
      </c>
    </row>
    <row r="147" spans="1:3">
      <c r="A147" s="27" t="s">
        <v>456</v>
      </c>
      <c r="B147" s="88">
        <f>B148/8760*B146</f>
        <v>1.547026076765309E-2</v>
      </c>
      <c r="C147" s="3" t="s">
        <v>44</v>
      </c>
    </row>
    <row r="148" spans="1:3">
      <c r="A148" s="87" t="s">
        <v>42</v>
      </c>
      <c r="B148" s="86">
        <f>((1/B139-1/B140)*(B141*B142)*(B143-B144)*8760)/B145/3413</f>
        <v>135.51948432464107</v>
      </c>
      <c r="C148" s="3" t="s">
        <v>44</v>
      </c>
    </row>
    <row r="149" spans="1:3">
      <c r="A149" s="23" t="s">
        <v>7</v>
      </c>
      <c r="B149" s="85">
        <f>3*B141</f>
        <v>15</v>
      </c>
      <c r="C149" s="3" t="s">
        <v>44</v>
      </c>
    </row>
    <row r="150" spans="1:3">
      <c r="A150" s="21" t="s">
        <v>41</v>
      </c>
      <c r="B150" s="84">
        <v>15</v>
      </c>
      <c r="C150" s="3" t="s">
        <v>44</v>
      </c>
    </row>
    <row r="152" spans="1:3">
      <c r="A152" s="16" t="s">
        <v>482</v>
      </c>
    </row>
    <row r="153" spans="1:3">
      <c r="A153" s="500" t="s">
        <v>133</v>
      </c>
      <c r="B153" s="154">
        <v>10</v>
      </c>
    </row>
    <row r="154" spans="1:3">
      <c r="A154" s="465" t="s">
        <v>132</v>
      </c>
      <c r="B154" s="109">
        <v>9.1999999999999993</v>
      </c>
    </row>
    <row r="155" spans="1:3">
      <c r="A155" s="465" t="s">
        <v>451</v>
      </c>
      <c r="B155" s="70">
        <v>0.05</v>
      </c>
      <c r="C155" s="3" t="s">
        <v>439</v>
      </c>
    </row>
    <row r="156" spans="1:3">
      <c r="A156" s="465" t="s">
        <v>452</v>
      </c>
      <c r="B156" s="70">
        <v>0.02</v>
      </c>
      <c r="C156" s="3" t="s">
        <v>439</v>
      </c>
    </row>
    <row r="157" spans="1:3">
      <c r="A157" s="465" t="s">
        <v>43</v>
      </c>
      <c r="B157" s="70">
        <v>0.9</v>
      </c>
    </row>
    <row r="158" spans="1:3">
      <c r="A158" s="27" t="s">
        <v>456</v>
      </c>
      <c r="B158" s="102">
        <f>$J$166*1/B154/1000*B156*B157</f>
        <v>7.0434782608695665E-2</v>
      </c>
    </row>
    <row r="159" spans="1:3">
      <c r="A159" s="21" t="s">
        <v>42</v>
      </c>
      <c r="B159" s="76">
        <f>$J$165*$J$166*1/B153/1000*B155</f>
        <v>106.74000000000001</v>
      </c>
    </row>
    <row r="160" spans="1:3">
      <c r="A160" s="23" t="s">
        <v>7</v>
      </c>
      <c r="B160" s="85">
        <v>175</v>
      </c>
      <c r="C160" s="3" t="s">
        <v>439</v>
      </c>
    </row>
    <row r="161" spans="1:15">
      <c r="A161" s="21" t="s">
        <v>41</v>
      </c>
      <c r="B161" s="84">
        <v>2</v>
      </c>
      <c r="C161" s="3" t="s">
        <v>439</v>
      </c>
    </row>
    <row r="163" spans="1:15">
      <c r="A163" s="16" t="s">
        <v>148</v>
      </c>
      <c r="B163" s="803" t="s">
        <v>420</v>
      </c>
      <c r="C163" s="808"/>
      <c r="D163" s="804"/>
      <c r="E163" s="809" t="s">
        <v>419</v>
      </c>
      <c r="F163" s="809"/>
      <c r="G163" s="809"/>
    </row>
    <row r="164" spans="1:15">
      <c r="A164" s="82"/>
      <c r="B164" s="480" t="s">
        <v>498</v>
      </c>
      <c r="C164" s="111" t="s">
        <v>143</v>
      </c>
      <c r="D164" s="111" t="s">
        <v>142</v>
      </c>
      <c r="E164" s="480" t="s">
        <v>498</v>
      </c>
      <c r="F164" s="111" t="s">
        <v>143</v>
      </c>
      <c r="G164" s="111" t="s">
        <v>142</v>
      </c>
      <c r="I164" s="125" t="s">
        <v>305</v>
      </c>
      <c r="J164" s="291">
        <v>2434</v>
      </c>
      <c r="K164" s="124" t="s">
        <v>118</v>
      </c>
    </row>
    <row r="165" spans="1:15">
      <c r="A165" s="297" t="s">
        <v>138</v>
      </c>
      <c r="B165" s="297">
        <v>14.5</v>
      </c>
      <c r="C165" s="298">
        <v>15</v>
      </c>
      <c r="D165" s="298">
        <v>16</v>
      </c>
      <c r="E165" s="297">
        <v>14.5</v>
      </c>
      <c r="F165" s="298">
        <v>15</v>
      </c>
      <c r="G165" s="298">
        <v>16</v>
      </c>
      <c r="H165" s="466"/>
      <c r="I165" s="127" t="s">
        <v>306</v>
      </c>
      <c r="J165" s="292">
        <v>593</v>
      </c>
      <c r="K165" s="293" t="s">
        <v>118</v>
      </c>
    </row>
    <row r="166" spans="1:15">
      <c r="A166" s="300" t="s">
        <v>135</v>
      </c>
      <c r="B166" s="300">
        <v>12</v>
      </c>
      <c r="C166" s="301">
        <v>12.72</v>
      </c>
      <c r="D166" s="301">
        <v>13</v>
      </c>
      <c r="E166" s="300">
        <v>12</v>
      </c>
      <c r="F166" s="301">
        <v>12.72</v>
      </c>
      <c r="G166" s="301">
        <v>13</v>
      </c>
      <c r="H166" s="466"/>
      <c r="I166" s="127" t="s">
        <v>139</v>
      </c>
      <c r="J166" s="126">
        <v>36000</v>
      </c>
      <c r="K166" s="293" t="s">
        <v>118</v>
      </c>
    </row>
    <row r="167" spans="1:15">
      <c r="A167" s="465" t="s">
        <v>133</v>
      </c>
      <c r="B167" s="110">
        <v>13</v>
      </c>
      <c r="C167" s="110">
        <v>13</v>
      </c>
      <c r="D167" s="110">
        <v>13</v>
      </c>
      <c r="E167" s="300">
        <v>10</v>
      </c>
      <c r="F167" s="301">
        <v>10</v>
      </c>
      <c r="G167" s="301">
        <v>10</v>
      </c>
      <c r="H167" s="466" t="s">
        <v>105</v>
      </c>
      <c r="I167" s="294" t="s">
        <v>43</v>
      </c>
      <c r="J167" s="295">
        <v>0.91500000000000004</v>
      </c>
      <c r="K167" s="293" t="s">
        <v>40</v>
      </c>
    </row>
    <row r="168" spans="1:15">
      <c r="A168" s="465" t="s">
        <v>132</v>
      </c>
      <c r="B168" s="109">
        <v>11</v>
      </c>
      <c r="C168" s="109">
        <v>11</v>
      </c>
      <c r="D168" s="109">
        <v>11</v>
      </c>
      <c r="E168" s="300">
        <v>9.1999999999999993</v>
      </c>
      <c r="F168" s="308">
        <v>9.1999999999999993</v>
      </c>
      <c r="G168" s="308">
        <v>9.1999999999999993</v>
      </c>
      <c r="H168" s="466" t="s">
        <v>105</v>
      </c>
      <c r="I168" s="805" t="s">
        <v>152</v>
      </c>
      <c r="J168" s="806"/>
      <c r="K168" s="807"/>
    </row>
    <row r="169" spans="1:15">
      <c r="A169" s="27" t="s">
        <v>456</v>
      </c>
      <c r="B169" s="102">
        <f t="shared" ref="B169:G169" si="0">($J$166*(1/B168-1/B166))/1000*$J$167</f>
        <v>0.24954545454545479</v>
      </c>
      <c r="C169" s="102">
        <f t="shared" si="0"/>
        <v>0.40492281303602079</v>
      </c>
      <c r="D169" s="102">
        <f t="shared" si="0"/>
        <v>0.46069930069930065</v>
      </c>
      <c r="E169" s="102">
        <f t="shared" si="0"/>
        <v>0.83543478260869619</v>
      </c>
      <c r="F169" s="102">
        <f t="shared" si="0"/>
        <v>0.99081214109926219</v>
      </c>
      <c r="G169" s="102">
        <f t="shared" si="0"/>
        <v>1.0465886287625421</v>
      </c>
      <c r="I169" s="125" t="s">
        <v>151</v>
      </c>
      <c r="J169" s="296">
        <v>6.8000000000000005E-2</v>
      </c>
      <c r="K169" s="124" t="s">
        <v>149</v>
      </c>
    </row>
    <row r="170" spans="1:15">
      <c r="A170" s="21" t="s">
        <v>42</v>
      </c>
      <c r="B170" s="76">
        <f t="shared" ref="B170:G170" si="1">($J$165*$J$166*(1/B167-1/B165))/1000</f>
        <v>169.87798408488072</v>
      </c>
      <c r="C170" s="76">
        <f t="shared" si="1"/>
        <v>218.95384615384629</v>
      </c>
      <c r="D170" s="76">
        <f t="shared" si="1"/>
        <v>307.90384615384625</v>
      </c>
      <c r="E170" s="76">
        <f t="shared" si="1"/>
        <v>662.52413793103472</v>
      </c>
      <c r="F170" s="76">
        <f t="shared" si="1"/>
        <v>711.60000000000014</v>
      </c>
      <c r="G170" s="76">
        <f t="shared" si="1"/>
        <v>800.55000000000007</v>
      </c>
      <c r="I170" s="127" t="s">
        <v>150</v>
      </c>
      <c r="J170" s="468">
        <v>0.09</v>
      </c>
      <c r="K170" s="293" t="s">
        <v>149</v>
      </c>
    </row>
    <row r="171" spans="1:15" ht="20.399999999999999">
      <c r="I171" s="469" t="s">
        <v>41</v>
      </c>
      <c r="J171" s="470">
        <v>18</v>
      </c>
      <c r="K171" s="471" t="s">
        <v>439</v>
      </c>
    </row>
    <row r="172" spans="1:15">
      <c r="A172" s="16" t="s">
        <v>144</v>
      </c>
      <c r="C172" s="303"/>
    </row>
    <row r="173" spans="1:15">
      <c r="A173" s="3" t="s">
        <v>140</v>
      </c>
      <c r="C173" s="303"/>
      <c r="I173" s="123" t="s">
        <v>36</v>
      </c>
      <c r="J173" s="618" t="s">
        <v>499</v>
      </c>
      <c r="K173" s="618" t="s">
        <v>26</v>
      </c>
      <c r="L173" s="622" t="s">
        <v>27</v>
      </c>
      <c r="M173" s="619" t="s">
        <v>147</v>
      </c>
      <c r="N173" s="622" t="s">
        <v>146</v>
      </c>
    </row>
    <row r="174" spans="1:15">
      <c r="A174" s="103"/>
      <c r="B174" s="803" t="s">
        <v>420</v>
      </c>
      <c r="C174" s="804"/>
      <c r="D174" s="803" t="s">
        <v>419</v>
      </c>
      <c r="E174" s="804"/>
      <c r="I174" s="122" t="s">
        <v>425</v>
      </c>
      <c r="J174" s="474">
        <v>549.55081515962524</v>
      </c>
      <c r="K174" s="474">
        <v>549.55081515962524</v>
      </c>
      <c r="L174" s="474">
        <v>549.55081515962524</v>
      </c>
      <c r="M174" s="121">
        <v>728.78063032674402</v>
      </c>
      <c r="N174" s="121">
        <v>728.78063032674402</v>
      </c>
      <c r="O174" s="3" t="s">
        <v>56</v>
      </c>
    </row>
    <row r="175" spans="1:15">
      <c r="A175" s="112"/>
      <c r="B175" s="111" t="s">
        <v>143</v>
      </c>
      <c r="C175" s="111" t="s">
        <v>142</v>
      </c>
      <c r="D175" s="111" t="s">
        <v>143</v>
      </c>
      <c r="E175" s="111" t="s">
        <v>142</v>
      </c>
      <c r="I175" s="120" t="s">
        <v>145</v>
      </c>
      <c r="J175" s="475">
        <v>688.47888614605176</v>
      </c>
      <c r="K175" s="118">
        <v>734.78824314152735</v>
      </c>
      <c r="L175" s="119">
        <v>827.4069571324784</v>
      </c>
      <c r="M175" s="118">
        <v>826.71671301267088</v>
      </c>
      <c r="N175" s="118">
        <v>924.65279569859774</v>
      </c>
      <c r="O175" s="3" t="s">
        <v>56</v>
      </c>
    </row>
    <row r="176" spans="1:15">
      <c r="A176" s="297" t="s">
        <v>138</v>
      </c>
      <c r="B176" s="297">
        <v>15</v>
      </c>
      <c r="C176" s="298">
        <v>16</v>
      </c>
      <c r="D176" s="304">
        <v>15</v>
      </c>
      <c r="E176" s="298">
        <v>16</v>
      </c>
    </row>
    <row r="177" spans="1:14">
      <c r="A177" s="300" t="s">
        <v>135</v>
      </c>
      <c r="B177" s="300">
        <v>12.5</v>
      </c>
      <c r="C177" s="301">
        <v>12.5</v>
      </c>
      <c r="D177" s="305">
        <v>12.5</v>
      </c>
      <c r="E177" s="301">
        <v>12.5</v>
      </c>
      <c r="I177" s="13" t="s">
        <v>7</v>
      </c>
      <c r="J177" s="302">
        <f>(J175-J174)*3</f>
        <v>416.78421295927956</v>
      </c>
      <c r="K177" s="302">
        <f>(K175-K174)*3</f>
        <v>555.7122839457063</v>
      </c>
      <c r="L177" s="302">
        <f>(L175-L174)*3</f>
        <v>833.56842591855946</v>
      </c>
      <c r="M177" s="302">
        <f>(M175-M174)*3</f>
        <v>293.80824805778059</v>
      </c>
      <c r="N177" s="302">
        <f>(N175-N174)*3</f>
        <v>587.61649611556118</v>
      </c>
    </row>
    <row r="178" spans="1:14">
      <c r="A178" s="300" t="s">
        <v>137</v>
      </c>
      <c r="B178" s="301">
        <v>8.5</v>
      </c>
      <c r="C178" s="301">
        <v>8.5</v>
      </c>
      <c r="D178" s="305">
        <v>8.5</v>
      </c>
      <c r="E178" s="301">
        <v>8.5</v>
      </c>
      <c r="I178" s="472" t="s">
        <v>425</v>
      </c>
      <c r="J178" s="473">
        <f t="shared" ref="J178:N179" si="2">J174*3</f>
        <v>1648.6524454788757</v>
      </c>
      <c r="K178" s="473">
        <f t="shared" si="2"/>
        <v>1648.6524454788757</v>
      </c>
      <c r="L178" s="473">
        <f t="shared" si="2"/>
        <v>1648.6524454788757</v>
      </c>
      <c r="M178" s="473">
        <f t="shared" si="2"/>
        <v>2186.3418909802322</v>
      </c>
      <c r="N178" s="473">
        <f t="shared" si="2"/>
        <v>2186.3418909802322</v>
      </c>
    </row>
    <row r="179" spans="1:14">
      <c r="A179" s="465" t="s">
        <v>133</v>
      </c>
      <c r="B179" s="306">
        <v>14</v>
      </c>
      <c r="C179" s="306">
        <v>14</v>
      </c>
      <c r="D179" s="306">
        <v>10</v>
      </c>
      <c r="E179" s="306">
        <v>10</v>
      </c>
      <c r="F179" s="3" t="s">
        <v>105</v>
      </c>
      <c r="I179" s="472" t="s">
        <v>424</v>
      </c>
      <c r="J179" s="473">
        <f t="shared" si="2"/>
        <v>2065.4366584381551</v>
      </c>
      <c r="K179" s="473">
        <f t="shared" si="2"/>
        <v>2204.364729424582</v>
      </c>
      <c r="L179" s="473">
        <f t="shared" si="2"/>
        <v>2482.2208713974351</v>
      </c>
      <c r="M179" s="473">
        <f t="shared" si="2"/>
        <v>2480.1501390380126</v>
      </c>
      <c r="N179" s="473">
        <f t="shared" si="2"/>
        <v>2773.9583870957931</v>
      </c>
    </row>
    <row r="180" spans="1:14">
      <c r="A180" s="465" t="s">
        <v>132</v>
      </c>
      <c r="B180" s="301">
        <v>11</v>
      </c>
      <c r="C180" s="301">
        <v>11</v>
      </c>
      <c r="D180" s="301">
        <v>9.1999999999999993</v>
      </c>
      <c r="E180" s="301">
        <v>9.1999999999999993</v>
      </c>
      <c r="F180" s="3" t="s">
        <v>105</v>
      </c>
      <c r="J180" s="15"/>
    </row>
    <row r="181" spans="1:14">
      <c r="A181" s="467" t="s">
        <v>131</v>
      </c>
      <c r="B181" s="307">
        <v>8.1999999999999993</v>
      </c>
      <c r="C181" s="307">
        <v>8.1999999999999993</v>
      </c>
      <c r="D181" s="307">
        <v>6.8</v>
      </c>
      <c r="E181" s="307">
        <v>6.8</v>
      </c>
      <c r="F181" s="3" t="s">
        <v>105</v>
      </c>
      <c r="J181" s="15"/>
    </row>
    <row r="182" spans="1:14">
      <c r="A182" s="27" t="s">
        <v>456</v>
      </c>
      <c r="B182" s="102">
        <f>($J$166/1000*((1/B180-1/B177)+(1/B181-1/B178)))*$J$167</f>
        <v>0.50112450763010352</v>
      </c>
      <c r="C182" s="102">
        <f>($J$166/1000*((1/C180-1/C177)+(1/C181-1/C178)))*$J$167</f>
        <v>0.50112450763010352</v>
      </c>
      <c r="D182" s="102">
        <f>($J$166/1000*((1/D180-1/D177)+(1/D181-1/D178)))*$J$167</f>
        <v>1.9140583120204608</v>
      </c>
      <c r="E182" s="102">
        <f>($J$166/1000*((1/E180-1/E177)+(1/E181-1/E178)))*$J$167</f>
        <v>1.9140583120204608</v>
      </c>
    </row>
    <row r="183" spans="1:14">
      <c r="A183" s="21" t="s">
        <v>42</v>
      </c>
      <c r="B183" s="76">
        <f>($J$166/1000*((1/B179-1/B176)*$J$165+(1/B181-1/B178)*$J$164))</f>
        <v>478.80491904078809</v>
      </c>
      <c r="C183" s="76">
        <f>($J$166/1000*((1/C179-1/C176)*$J$165+(1/C181-1/C178)*$J$164))</f>
        <v>567.75491904078808</v>
      </c>
      <c r="D183" s="76">
        <f>($J$166/1000*((1/D179-1/D176)*$J$165+(1/D181-1/D178)*$J$164))</f>
        <v>3288.776470588236</v>
      </c>
      <c r="E183" s="76">
        <f>($J$166/1000*((1/E179-1/E176)*$J$165+(1/E181-1/E178)*$J$164))</f>
        <v>3377.7264705882358</v>
      </c>
    </row>
    <row r="185" spans="1:14">
      <c r="A185" s="16" t="s">
        <v>593</v>
      </c>
    </row>
    <row r="186" spans="1:14">
      <c r="A186" s="297" t="s">
        <v>138</v>
      </c>
      <c r="B186" s="304">
        <v>15</v>
      </c>
    </row>
    <row r="187" spans="1:14">
      <c r="A187" s="300" t="s">
        <v>135</v>
      </c>
      <c r="B187" s="305">
        <v>12.5</v>
      </c>
    </row>
    <row r="188" spans="1:14">
      <c r="A188" s="300" t="s">
        <v>137</v>
      </c>
      <c r="B188" s="301">
        <v>8.5</v>
      </c>
    </row>
    <row r="189" spans="1:14">
      <c r="A189" s="465" t="s">
        <v>594</v>
      </c>
      <c r="B189" s="301">
        <v>0</v>
      </c>
      <c r="C189" s="3" t="s">
        <v>40</v>
      </c>
    </row>
    <row r="190" spans="1:14">
      <c r="A190" s="465" t="s">
        <v>595</v>
      </c>
      <c r="B190" s="301">
        <v>0</v>
      </c>
      <c r="C190" s="3" t="s">
        <v>40</v>
      </c>
    </row>
    <row r="191" spans="1:14">
      <c r="A191" s="467" t="s">
        <v>596</v>
      </c>
      <c r="B191" s="307">
        <v>3.41</v>
      </c>
      <c r="C191" s="3" t="s">
        <v>40</v>
      </c>
    </row>
    <row r="192" spans="1:14">
      <c r="A192" s="27" t="s">
        <v>456</v>
      </c>
      <c r="B192" s="102">
        <f>($J$166/1000*((0-1/B187)+(1/B191-1/B188)))*$J$167</f>
        <v>3.1493299292737613</v>
      </c>
    </row>
    <row r="193" spans="1:8">
      <c r="A193" s="21" t="s">
        <v>42</v>
      </c>
      <c r="B193" s="76">
        <f>J166*J165*(0-1/B186)/1000+J166*J164*(1/B191-1/B188)/1000</f>
        <v>13964.281800931512</v>
      </c>
    </row>
    <row r="195" spans="1:8">
      <c r="A195" s="16" t="s">
        <v>209</v>
      </c>
    </row>
    <row r="196" spans="1:8">
      <c r="A196" s="82"/>
      <c r="B196" s="117" t="s">
        <v>117</v>
      </c>
      <c r="C196" s="111" t="s">
        <v>154</v>
      </c>
    </row>
    <row r="197" spans="1:8">
      <c r="A197" s="27" t="s">
        <v>456</v>
      </c>
      <c r="B197" s="116">
        <f>($J$166/12000)*12/C166*$J$170*J167</f>
        <v>0.23306603773584905</v>
      </c>
      <c r="C197" s="106">
        <f>($J$166/12000)*12/B177*$J$170*J167</f>
        <v>0.23716799999999999</v>
      </c>
    </row>
    <row r="198" spans="1:8">
      <c r="A198" s="87" t="s">
        <v>42</v>
      </c>
      <c r="B198" s="115">
        <f>($J$166/12000)*12/C165*$J$165*$J$170</f>
        <v>128.08799999999999</v>
      </c>
      <c r="C198" s="105">
        <f>($J$166/12000)*12/B176*$J$165*$J$170+($J$166/1000)*$J$164/B178*$J$169</f>
        <v>829.07999999999993</v>
      </c>
    </row>
    <row r="199" spans="1:8">
      <c r="A199" s="23" t="s">
        <v>7</v>
      </c>
      <c r="B199" s="114">
        <v>30</v>
      </c>
      <c r="C199" s="104">
        <v>30</v>
      </c>
      <c r="D199" s="3" t="s">
        <v>40</v>
      </c>
    </row>
    <row r="200" spans="1:8">
      <c r="A200" s="21" t="s">
        <v>41</v>
      </c>
      <c r="B200" s="113">
        <v>10</v>
      </c>
      <c r="C200" s="24">
        <v>10</v>
      </c>
      <c r="D200" s="3" t="s">
        <v>40</v>
      </c>
    </row>
    <row r="201" spans="1:8">
      <c r="G201" s="12"/>
      <c r="H201" s="12"/>
    </row>
    <row r="202" spans="1:8">
      <c r="A202" s="16" t="s">
        <v>443</v>
      </c>
    </row>
    <row r="203" spans="1:8">
      <c r="A203" s="490" t="s">
        <v>43</v>
      </c>
      <c r="B203" s="491">
        <v>0.9</v>
      </c>
      <c r="C203" s="3" t="s">
        <v>439</v>
      </c>
    </row>
    <row r="204" spans="1:8">
      <c r="A204" s="27" t="s">
        <v>456</v>
      </c>
      <c r="B204" s="102">
        <f>73/1000*B203</f>
        <v>6.5699999999999995E-2</v>
      </c>
      <c r="C204" s="3" t="s">
        <v>439</v>
      </c>
    </row>
    <row r="205" spans="1:8">
      <c r="A205" s="21" t="s">
        <v>42</v>
      </c>
      <c r="B205" s="76">
        <f>418+251+51</f>
        <v>720</v>
      </c>
      <c r="C205" s="3" t="s">
        <v>439</v>
      </c>
    </row>
    <row r="206" spans="1:8">
      <c r="A206" s="23" t="s">
        <v>7</v>
      </c>
      <c r="B206" s="74">
        <v>250</v>
      </c>
      <c r="C206" s="3" t="s">
        <v>439</v>
      </c>
    </row>
    <row r="207" spans="1:8">
      <c r="A207" s="21" t="s">
        <v>41</v>
      </c>
      <c r="B207" s="24">
        <v>20</v>
      </c>
      <c r="C207" s="3" t="s">
        <v>439</v>
      </c>
    </row>
    <row r="209" spans="1:4">
      <c r="A209" s="16" t="s">
        <v>141</v>
      </c>
      <c r="C209" s="303"/>
    </row>
    <row r="210" spans="1:4">
      <c r="A210" s="3" t="s">
        <v>140</v>
      </c>
      <c r="B210" s="303"/>
      <c r="C210" s="303"/>
    </row>
    <row r="211" spans="1:4">
      <c r="A211" s="35" t="s">
        <v>139</v>
      </c>
      <c r="B211" s="27">
        <f>1.5*12000</f>
        <v>18000</v>
      </c>
      <c r="C211" s="299" t="s">
        <v>55</v>
      </c>
    </row>
    <row r="212" spans="1:4">
      <c r="A212" s="305" t="s">
        <v>138</v>
      </c>
      <c r="B212" s="306">
        <v>21</v>
      </c>
      <c r="C212" s="303"/>
    </row>
    <row r="213" spans="1:4">
      <c r="A213" s="305" t="s">
        <v>135</v>
      </c>
      <c r="B213" s="308">
        <v>12.5</v>
      </c>
      <c r="C213" s="303"/>
    </row>
    <row r="214" spans="1:4">
      <c r="A214" s="305" t="s">
        <v>137</v>
      </c>
      <c r="B214" s="309">
        <v>10</v>
      </c>
      <c r="C214" s="303"/>
    </row>
    <row r="215" spans="1:4">
      <c r="A215" s="27" t="s">
        <v>456</v>
      </c>
      <c r="B215" s="102">
        <f>(B211/1000*(1/B180-1/B213))+(B211/1000*(1/B181-1/B214))*J167</f>
        <v>0.55790022172949016</v>
      </c>
      <c r="C215" s="303"/>
      <c r="D215" s="299"/>
    </row>
    <row r="216" spans="1:4">
      <c r="A216" s="71" t="s">
        <v>42</v>
      </c>
      <c r="B216" s="101">
        <f>(B211/1000*(1/B179-1/B212)*J165)+(B211/1000*(1/B181-1/B214)*J164)</f>
        <v>1215.8696864111503</v>
      </c>
      <c r="C216" s="303"/>
    </row>
    <row r="217" spans="1:4">
      <c r="A217" s="23" t="s">
        <v>7</v>
      </c>
      <c r="B217" s="74">
        <f>B211/12000*703.914330743707</f>
        <v>1055.8714961155604</v>
      </c>
      <c r="C217" s="3" t="s">
        <v>56</v>
      </c>
    </row>
    <row r="218" spans="1:4">
      <c r="A218" s="21" t="s">
        <v>41</v>
      </c>
      <c r="B218" s="97">
        <v>18</v>
      </c>
      <c r="C218" s="299" t="s">
        <v>55</v>
      </c>
    </row>
    <row r="220" spans="1:4">
      <c r="A220" s="90" t="s">
        <v>136</v>
      </c>
      <c r="B220" s="622" t="s">
        <v>500</v>
      </c>
      <c r="C220" s="622" t="s">
        <v>501</v>
      </c>
    </row>
    <row r="221" spans="1:4">
      <c r="A221" s="304" t="s">
        <v>135</v>
      </c>
      <c r="B221" s="310">
        <v>21.1</v>
      </c>
      <c r="C221" s="310">
        <v>21.1</v>
      </c>
    </row>
    <row r="222" spans="1:4">
      <c r="A222" s="305" t="s">
        <v>134</v>
      </c>
      <c r="B222" s="311">
        <v>4.0999999999999996</v>
      </c>
      <c r="C222" s="311">
        <v>4.0999999999999996</v>
      </c>
    </row>
    <row r="223" spans="1:4">
      <c r="A223" s="305" t="s">
        <v>133</v>
      </c>
      <c r="B223" s="312"/>
      <c r="C223" s="311">
        <v>9.1199999999999992</v>
      </c>
    </row>
    <row r="224" spans="1:4">
      <c r="A224" s="305" t="s">
        <v>132</v>
      </c>
      <c r="B224" s="311"/>
      <c r="C224" s="311">
        <v>8.5500000000000007</v>
      </c>
    </row>
    <row r="225" spans="1:7">
      <c r="A225" s="305" t="s">
        <v>131</v>
      </c>
      <c r="B225" s="311"/>
      <c r="C225" s="311">
        <v>5.44</v>
      </c>
    </row>
    <row r="226" spans="1:7">
      <c r="A226" s="27" t="s">
        <v>456</v>
      </c>
      <c r="B226" s="102">
        <f>$J$166*(1/B180-1/(-0.02*(B221*1.02)^2+(1.12*(B221*1.02))))/1000*$J$167</f>
        <v>0.77497514492162278</v>
      </c>
      <c r="C226" s="102">
        <f>$J$166*(1/C224-1/(-0.02*(C221*1.02)^2+(1.12*(C221*1.02))))/1000*$J$167</f>
        <v>1.6330612693235365</v>
      </c>
      <c r="D226" s="3" t="s">
        <v>40</v>
      </c>
    </row>
    <row r="227" spans="1:7">
      <c r="A227" s="21" t="s">
        <v>42</v>
      </c>
      <c r="B227" s="101">
        <f>$J$165*$J$166*(1/B179-(1/(B221*1.02)))/1000+$J$164*$J$166*(1/B181-(1/(B222*3.412)))/1000</f>
        <v>4955.1064202657835</v>
      </c>
      <c r="C227" s="101">
        <f>$J$165*$J$166*(1/C223-(1/(C221*1.02)))/1000+$J$164*$J$166*(1/C225-(1/(C222*3.412)))/1000</f>
        <v>11192.538033732733</v>
      </c>
      <c r="D227" s="3" t="s">
        <v>40</v>
      </c>
      <c r="F227" s="12"/>
      <c r="G227" s="12"/>
    </row>
    <row r="228" spans="1:7">
      <c r="A228" s="23" t="s">
        <v>7</v>
      </c>
      <c r="B228" s="98">
        <f>410*3</f>
        <v>1230</v>
      </c>
      <c r="C228" s="98"/>
      <c r="D228" s="3" t="s">
        <v>503</v>
      </c>
    </row>
    <row r="229" spans="1:7">
      <c r="A229" s="21" t="s">
        <v>41</v>
      </c>
      <c r="B229" s="96">
        <v>18</v>
      </c>
      <c r="C229" s="96">
        <v>6</v>
      </c>
      <c r="D229" s="3" t="s">
        <v>40</v>
      </c>
    </row>
    <row r="231" spans="1:7">
      <c r="A231" s="90" t="s">
        <v>238</v>
      </c>
    </row>
    <row r="232" spans="1:7">
      <c r="A232" s="35" t="s">
        <v>511</v>
      </c>
      <c r="B232" s="582">
        <v>40</v>
      </c>
      <c r="C232" s="3" t="s">
        <v>483</v>
      </c>
    </row>
    <row r="233" spans="1:7">
      <c r="A233" s="32" t="s">
        <v>124</v>
      </c>
      <c r="B233" s="39">
        <v>130</v>
      </c>
      <c r="C233" s="3" t="s">
        <v>483</v>
      </c>
    </row>
    <row r="234" spans="1:7">
      <c r="A234" s="32" t="s">
        <v>123</v>
      </c>
      <c r="B234" s="39">
        <v>54</v>
      </c>
      <c r="C234" s="3" t="s">
        <v>40</v>
      </c>
    </row>
    <row r="235" spans="1:7">
      <c r="A235" s="32" t="s">
        <v>289</v>
      </c>
      <c r="B235" s="581">
        <f>0.93-(0.00132*B232)</f>
        <v>0.87720000000000009</v>
      </c>
      <c r="C235" s="3" t="s">
        <v>105</v>
      </c>
    </row>
    <row r="236" spans="1:7">
      <c r="A236" s="32" t="s">
        <v>288</v>
      </c>
      <c r="B236" s="72">
        <v>2</v>
      </c>
      <c r="C236" s="3" t="s">
        <v>118</v>
      </c>
    </row>
    <row r="237" spans="1:7">
      <c r="A237" s="32" t="s">
        <v>45</v>
      </c>
      <c r="B237" s="39">
        <v>2533</v>
      </c>
    </row>
    <row r="238" spans="1:7">
      <c r="A238" s="79" t="s">
        <v>43</v>
      </c>
      <c r="B238" s="89">
        <v>0.12</v>
      </c>
    </row>
    <row r="239" spans="1:7">
      <c r="A239" s="27" t="s">
        <v>456</v>
      </c>
      <c r="B239" s="583">
        <f>B240/B237*B238</f>
        <v>8.2133866604055542E-2</v>
      </c>
      <c r="C239" s="3" t="s">
        <v>40</v>
      </c>
    </row>
    <row r="240" spans="1:7">
      <c r="A240" s="21" t="s">
        <v>42</v>
      </c>
      <c r="B240" s="76">
        <f>(((1/B235-1/B236)*B232*365*8.33*(B233-B234)*1)/3412)</f>
        <v>1733.7090342339393</v>
      </c>
      <c r="C240" s="3" t="s">
        <v>40</v>
      </c>
    </row>
    <row r="241" spans="1:3">
      <c r="A241" s="23" t="s">
        <v>7</v>
      </c>
      <c r="B241" s="91">
        <v>700</v>
      </c>
      <c r="C241" s="3" t="s">
        <v>56</v>
      </c>
    </row>
    <row r="242" spans="1:3">
      <c r="A242" s="21" t="s">
        <v>41</v>
      </c>
      <c r="B242" s="84">
        <v>15</v>
      </c>
      <c r="C242" s="3" t="s">
        <v>56</v>
      </c>
    </row>
    <row r="244" spans="1:3">
      <c r="A244" s="90" t="s">
        <v>512</v>
      </c>
    </row>
    <row r="245" spans="1:3">
      <c r="A245" s="35" t="s">
        <v>511</v>
      </c>
      <c r="B245" s="582">
        <v>40</v>
      </c>
      <c r="C245" s="3" t="s">
        <v>483</v>
      </c>
    </row>
    <row r="246" spans="1:3">
      <c r="A246" s="32" t="s">
        <v>124</v>
      </c>
      <c r="B246" s="39">
        <v>130</v>
      </c>
      <c r="C246" s="3" t="s">
        <v>483</v>
      </c>
    </row>
    <row r="247" spans="1:3">
      <c r="A247" s="32" t="s">
        <v>123</v>
      </c>
      <c r="B247" s="39">
        <v>54</v>
      </c>
      <c r="C247" s="3" t="s">
        <v>40</v>
      </c>
    </row>
    <row r="248" spans="1:3">
      <c r="A248" s="32" t="s">
        <v>508</v>
      </c>
      <c r="B248" s="39">
        <v>70</v>
      </c>
      <c r="C248" s="3" t="s">
        <v>149</v>
      </c>
    </row>
    <row r="249" spans="1:3">
      <c r="A249" s="32" t="s">
        <v>505</v>
      </c>
      <c r="B249" s="72">
        <v>50</v>
      </c>
      <c r="C249" s="3" t="s">
        <v>40</v>
      </c>
    </row>
    <row r="250" spans="1:3">
      <c r="A250" s="32" t="s">
        <v>506</v>
      </c>
      <c r="B250" s="41">
        <f>0.97-(0.00132*B245)</f>
        <v>0.91720000000000002</v>
      </c>
      <c r="C250" s="3" t="s">
        <v>105</v>
      </c>
    </row>
    <row r="251" spans="1:3">
      <c r="A251" s="32" t="s">
        <v>507</v>
      </c>
      <c r="B251" s="41">
        <v>0.95</v>
      </c>
    </row>
    <row r="252" spans="1:3">
      <c r="A252" s="35" t="s">
        <v>513</v>
      </c>
      <c r="B252" s="582">
        <f>(1/B250-1/B254)/(67.5*(0.000584-1/(B254*B255)))</f>
        <v>1.7004201967872994</v>
      </c>
    </row>
    <row r="253" spans="1:3">
      <c r="A253" s="32" t="s">
        <v>514</v>
      </c>
      <c r="B253" s="72">
        <f>(1/B251-1/B254)/(67.5*(0.000584-1/(B254*B255)))</f>
        <v>0.6218602091281108</v>
      </c>
    </row>
    <row r="254" spans="1:3">
      <c r="A254" s="32" t="s">
        <v>509</v>
      </c>
      <c r="B254" s="41">
        <v>0.97</v>
      </c>
      <c r="C254" s="3" t="s">
        <v>149</v>
      </c>
    </row>
    <row r="255" spans="1:3">
      <c r="A255" s="32" t="s">
        <v>510</v>
      </c>
      <c r="B255" s="39">
        <v>15400</v>
      </c>
      <c r="C255" s="3" t="s">
        <v>149</v>
      </c>
    </row>
    <row r="256" spans="1:3">
      <c r="A256" s="79" t="s">
        <v>43</v>
      </c>
      <c r="B256" s="89">
        <v>0.8</v>
      </c>
      <c r="C256" s="3" t="s">
        <v>149</v>
      </c>
    </row>
    <row r="257" spans="1:3">
      <c r="A257" s="71" t="s">
        <v>456</v>
      </c>
      <c r="B257" s="583">
        <f>((B252-B253)*(B246-B248))/3413*B256</f>
        <v>1.5168731147858494E-2</v>
      </c>
    </row>
    <row r="258" spans="1:3">
      <c r="A258" s="21" t="s">
        <v>42</v>
      </c>
      <c r="B258" s="76">
        <f>(B249*365*8.33*(B246-B247))/3413*(1/B250-1/B251)</f>
        <v>127.42990712124168</v>
      </c>
    </row>
    <row r="259" spans="1:3">
      <c r="A259" s="23" t="s">
        <v>7</v>
      </c>
      <c r="B259" s="91">
        <v>50</v>
      </c>
    </row>
    <row r="260" spans="1:3">
      <c r="A260" s="21" t="s">
        <v>41</v>
      </c>
      <c r="B260" s="84">
        <v>15</v>
      </c>
      <c r="C260" s="3" t="s">
        <v>56</v>
      </c>
    </row>
    <row r="262" spans="1:3">
      <c r="A262" s="90" t="s">
        <v>34</v>
      </c>
    </row>
    <row r="263" spans="1:3">
      <c r="A263" s="35" t="s">
        <v>43</v>
      </c>
      <c r="B263" s="93">
        <v>1</v>
      </c>
    </row>
    <row r="264" spans="1:3">
      <c r="A264" s="79" t="s">
        <v>45</v>
      </c>
      <c r="B264" s="24">
        <v>8766</v>
      </c>
    </row>
    <row r="265" spans="1:3">
      <c r="A265" s="27" t="s">
        <v>456</v>
      </c>
      <c r="B265" s="95">
        <f>B266/B264*B263</f>
        <v>9.8562628336755654E-3</v>
      </c>
      <c r="C265" s="3" t="s">
        <v>40</v>
      </c>
    </row>
    <row r="266" spans="1:3">
      <c r="A266" s="21" t="s">
        <v>42</v>
      </c>
      <c r="B266" s="76">
        <v>86.4</v>
      </c>
      <c r="C266" s="3" t="s">
        <v>40</v>
      </c>
    </row>
    <row r="267" spans="1:3">
      <c r="A267" s="23" t="s">
        <v>7</v>
      </c>
      <c r="B267" s="91">
        <v>5</v>
      </c>
      <c r="C267" s="3" t="s">
        <v>40</v>
      </c>
    </row>
    <row r="268" spans="1:3">
      <c r="A268" s="21" t="s">
        <v>41</v>
      </c>
      <c r="B268" s="84">
        <v>2</v>
      </c>
      <c r="C268" s="3" t="s">
        <v>40</v>
      </c>
    </row>
    <row r="269" spans="1:3">
      <c r="A269" s="94"/>
      <c r="B269" s="11"/>
    </row>
    <row r="270" spans="1:3">
      <c r="A270" s="3" t="s">
        <v>303</v>
      </c>
    </row>
    <row r="271" spans="1:3">
      <c r="A271" s="13" t="s">
        <v>168</v>
      </c>
      <c r="B271" s="584">
        <v>2296</v>
      </c>
    </row>
    <row r="272" spans="1:3">
      <c r="A272" s="585" t="s">
        <v>167</v>
      </c>
      <c r="B272" s="586">
        <f>B271/3</f>
        <v>765.33333333333337</v>
      </c>
    </row>
    <row r="273" spans="1:22">
      <c r="A273" s="13" t="s">
        <v>166</v>
      </c>
      <c r="B273" s="584">
        <v>400</v>
      </c>
      <c r="C273" s="145"/>
    </row>
    <row r="274" spans="1:22">
      <c r="A274" s="13" t="s">
        <v>206</v>
      </c>
      <c r="B274" s="587">
        <v>7078</v>
      </c>
    </row>
    <row r="275" spans="1:22">
      <c r="A275" s="13" t="s">
        <v>205</v>
      </c>
      <c r="B275" s="587">
        <v>725</v>
      </c>
    </row>
    <row r="276" spans="1:22">
      <c r="A276" s="3" t="s">
        <v>483</v>
      </c>
    </row>
    <row r="278" spans="1:22" s="529" customFormat="1">
      <c r="A278" s="529" t="s">
        <v>467</v>
      </c>
    </row>
    <row r="279" spans="1:22" s="2" customFormat="1">
      <c r="A279" s="624"/>
      <c r="C279" s="625"/>
      <c r="D279" s="625"/>
      <c r="E279" s="626"/>
      <c r="F279" s="627"/>
      <c r="G279" s="627"/>
      <c r="H279" s="627"/>
      <c r="I279" s="627"/>
      <c r="L279" s="628"/>
      <c r="M279" s="7"/>
      <c r="N279" s="7"/>
      <c r="O279" s="7"/>
      <c r="P279" s="7"/>
      <c r="Q279" s="7"/>
      <c r="R279" s="3"/>
      <c r="S279" s="3"/>
      <c r="T279" s="3"/>
      <c r="U279" s="3"/>
      <c r="V279" s="3"/>
    </row>
    <row r="280" spans="1:22">
      <c r="A280" s="107" t="s">
        <v>45</v>
      </c>
      <c r="B280" s="339">
        <v>4439</v>
      </c>
      <c r="C280" s="3" t="s">
        <v>493</v>
      </c>
      <c r="D280" s="19"/>
      <c r="E280" s="19"/>
      <c r="F280" s="18"/>
      <c r="G280" s="15"/>
      <c r="H280" s="5"/>
      <c r="I280" s="5"/>
    </row>
    <row r="281" spans="1:22">
      <c r="A281" s="80" t="s">
        <v>494</v>
      </c>
      <c r="B281" s="614">
        <v>1.25</v>
      </c>
      <c r="C281" s="3" t="s">
        <v>493</v>
      </c>
      <c r="D281" s="19"/>
      <c r="E281" s="19"/>
      <c r="F281" s="18"/>
      <c r="G281" s="15"/>
      <c r="H281" s="5"/>
      <c r="I281" s="5"/>
    </row>
    <row r="282" spans="1:22">
      <c r="A282" s="80" t="s">
        <v>495</v>
      </c>
      <c r="B282" s="614">
        <v>1.3</v>
      </c>
      <c r="C282" s="3" t="s">
        <v>493</v>
      </c>
      <c r="D282" s="19"/>
      <c r="E282" s="19"/>
      <c r="F282" s="18"/>
      <c r="G282" s="15"/>
      <c r="H282" s="5"/>
      <c r="I282" s="5"/>
    </row>
    <row r="283" spans="1:22">
      <c r="A283" s="87" t="s">
        <v>43</v>
      </c>
      <c r="B283" s="331">
        <v>0.66</v>
      </c>
      <c r="C283" s="3" t="s">
        <v>40</v>
      </c>
      <c r="D283" s="19"/>
      <c r="E283" s="19"/>
      <c r="F283" s="18"/>
      <c r="G283" s="15"/>
      <c r="H283" s="5"/>
      <c r="I283" s="5"/>
    </row>
    <row r="284" spans="1:22">
      <c r="B284" s="15"/>
      <c r="C284" s="19"/>
      <c r="D284" s="19"/>
      <c r="E284" s="19"/>
      <c r="F284" s="18"/>
      <c r="G284" s="15"/>
      <c r="H284" s="5"/>
      <c r="I284" s="5"/>
    </row>
    <row r="285" spans="1:22">
      <c r="B285" s="820" t="s">
        <v>358</v>
      </c>
      <c r="C285" s="818" t="s">
        <v>490</v>
      </c>
      <c r="D285" s="818" t="s">
        <v>491</v>
      </c>
      <c r="E285" s="814" t="s">
        <v>23</v>
      </c>
      <c r="F285" s="815"/>
      <c r="G285" s="18"/>
      <c r="H285" s="15"/>
      <c r="I285" s="5"/>
      <c r="J285" s="5"/>
    </row>
    <row r="286" spans="1:22">
      <c r="B286" s="821"/>
      <c r="C286" s="819"/>
      <c r="D286" s="819"/>
      <c r="E286" s="636" t="s">
        <v>366</v>
      </c>
      <c r="F286" s="636" t="s">
        <v>367</v>
      </c>
      <c r="G286" s="19"/>
      <c r="H286" s="19"/>
      <c r="I286" s="18"/>
      <c r="J286" s="15"/>
      <c r="K286" s="5"/>
      <c r="L286" s="5"/>
    </row>
    <row r="287" spans="1:22">
      <c r="A287" s="227" t="s">
        <v>86</v>
      </c>
      <c r="B287" s="636" t="s">
        <v>487</v>
      </c>
      <c r="C287" s="636" t="s">
        <v>488</v>
      </c>
      <c r="D287" s="636" t="s">
        <v>489</v>
      </c>
      <c r="E287" s="83" t="s">
        <v>368</v>
      </c>
      <c r="F287" s="83" t="s">
        <v>368</v>
      </c>
    </row>
    <row r="288" spans="1:22">
      <c r="A288" s="35" t="s">
        <v>84</v>
      </c>
      <c r="B288" s="81">
        <v>19.399999999999999</v>
      </c>
      <c r="C288" s="81">
        <f>33.7+I299</f>
        <v>129.69999999999999</v>
      </c>
      <c r="D288" s="81">
        <f>33.7+J299*2</f>
        <v>375.7</v>
      </c>
      <c r="E288" s="39">
        <v>32</v>
      </c>
      <c r="F288" s="39">
        <v>59</v>
      </c>
      <c r="G288" s="3" t="s">
        <v>40</v>
      </c>
    </row>
    <row r="289" spans="1:12">
      <c r="A289" s="32" t="s">
        <v>78</v>
      </c>
      <c r="B289" s="81">
        <v>0</v>
      </c>
      <c r="C289" s="81">
        <f>I300</f>
        <v>55</v>
      </c>
      <c r="D289" s="81">
        <f>J300*2</f>
        <v>216</v>
      </c>
      <c r="E289" s="39">
        <v>22</v>
      </c>
      <c r="F289" s="39">
        <v>43</v>
      </c>
      <c r="G289" s="3" t="s">
        <v>40</v>
      </c>
    </row>
    <row r="290" spans="1:12">
      <c r="A290" s="27" t="s">
        <v>456</v>
      </c>
      <c r="B290" s="69">
        <f>(B288-B289)/1000*$B283*$B282</f>
        <v>1.6645199999999999E-2</v>
      </c>
      <c r="C290" s="69">
        <f t="shared" ref="C290:F290" si="3">(C288-C289)/1000*$B283*$B282</f>
        <v>6.4092599999999986E-2</v>
      </c>
      <c r="D290" s="69">
        <f t="shared" si="3"/>
        <v>0.13702259999999999</v>
      </c>
      <c r="E290" s="69">
        <f t="shared" si="3"/>
        <v>8.5800000000000008E-3</v>
      </c>
      <c r="F290" s="69">
        <f t="shared" si="3"/>
        <v>1.3728000000000001E-2</v>
      </c>
    </row>
    <row r="291" spans="1:12">
      <c r="A291" s="21" t="s">
        <v>42</v>
      </c>
      <c r="B291" s="68">
        <f>((B288-B289)/1000)*$B$280*$B281</f>
        <v>107.64574999999999</v>
      </c>
      <c r="C291" s="68">
        <f t="shared" ref="C291:F291" si="4">((C288-C289)/1000)*$B$280*$B281</f>
        <v>414.49162499999994</v>
      </c>
      <c r="D291" s="68">
        <f t="shared" si="4"/>
        <v>886.13537499999995</v>
      </c>
      <c r="E291" s="68">
        <f t="shared" si="4"/>
        <v>55.487499999999997</v>
      </c>
      <c r="F291" s="68">
        <f t="shared" si="4"/>
        <v>88.78</v>
      </c>
    </row>
    <row r="292" spans="1:12">
      <c r="A292" s="23" t="s">
        <v>7</v>
      </c>
      <c r="B292" s="22">
        <v>12</v>
      </c>
      <c r="C292" s="22">
        <f>B292+I303</f>
        <v>55</v>
      </c>
      <c r="D292" s="22">
        <f>B292+J303*2</f>
        <v>122</v>
      </c>
      <c r="E292" s="22">
        <v>15</v>
      </c>
      <c r="F292" s="22">
        <v>18</v>
      </c>
      <c r="G292" s="3" t="s">
        <v>40</v>
      </c>
    </row>
    <row r="293" spans="1:12">
      <c r="A293" s="599" t="s">
        <v>395</v>
      </c>
      <c r="B293" s="397"/>
      <c r="C293" s="397"/>
      <c r="D293" s="397"/>
      <c r="E293" s="397">
        <v>32.5</v>
      </c>
      <c r="F293" s="397">
        <v>32.5</v>
      </c>
      <c r="G293" s="3" t="s">
        <v>40</v>
      </c>
    </row>
    <row r="294" spans="1:12">
      <c r="A294" s="21" t="s">
        <v>41</v>
      </c>
      <c r="B294" s="67">
        <v>11</v>
      </c>
      <c r="C294" s="67">
        <v>11</v>
      </c>
      <c r="D294" s="67">
        <v>11</v>
      </c>
      <c r="E294" s="67">
        <v>15</v>
      </c>
      <c r="F294" s="67">
        <v>15</v>
      </c>
      <c r="G294" s="3" t="s">
        <v>40</v>
      </c>
    </row>
    <row r="295" spans="1:12">
      <c r="B295" s="303"/>
      <c r="C295" s="303"/>
      <c r="D295" s="303"/>
      <c r="E295" s="303"/>
      <c r="F295" s="303"/>
    </row>
    <row r="296" spans="1:12">
      <c r="B296" s="303"/>
      <c r="C296" s="813" t="s">
        <v>414</v>
      </c>
      <c r="D296" s="813"/>
      <c r="E296" s="813"/>
      <c r="F296" s="813"/>
      <c r="I296" s="810" t="s">
        <v>363</v>
      </c>
      <c r="J296" s="811"/>
      <c r="K296" s="812"/>
    </row>
    <row r="297" spans="1:12" ht="30.6">
      <c r="B297" s="480" t="s">
        <v>357</v>
      </c>
      <c r="C297" s="620" t="s">
        <v>353</v>
      </c>
      <c r="D297" s="620" t="s">
        <v>354</v>
      </c>
      <c r="E297" s="620" t="s">
        <v>355</v>
      </c>
      <c r="F297" s="620" t="s">
        <v>356</v>
      </c>
      <c r="G297" s="333" t="s">
        <v>412</v>
      </c>
      <c r="H297" s="598" t="s">
        <v>413</v>
      </c>
      <c r="I297" s="636" t="s">
        <v>364</v>
      </c>
      <c r="J297" s="636" t="s">
        <v>365</v>
      </c>
      <c r="K297" s="636" t="s">
        <v>360</v>
      </c>
    </row>
    <row r="298" spans="1:12">
      <c r="A298" s="227" t="s">
        <v>86</v>
      </c>
      <c r="B298" s="338"/>
      <c r="C298" s="328" t="s">
        <v>85</v>
      </c>
      <c r="D298" s="328" t="s">
        <v>85</v>
      </c>
      <c r="E298" s="328" t="s">
        <v>85</v>
      </c>
      <c r="F298" s="83" t="s">
        <v>85</v>
      </c>
      <c r="G298" s="78" t="s">
        <v>346</v>
      </c>
      <c r="H298" s="78" t="s">
        <v>346</v>
      </c>
      <c r="I298" s="83" t="s">
        <v>361</v>
      </c>
      <c r="J298" s="83" t="s">
        <v>361</v>
      </c>
      <c r="K298" s="83" t="s">
        <v>362</v>
      </c>
    </row>
    <row r="299" spans="1:12">
      <c r="A299" s="35" t="s">
        <v>84</v>
      </c>
      <c r="B299" s="39">
        <v>313</v>
      </c>
      <c r="C299" s="330">
        <v>402</v>
      </c>
      <c r="D299" s="39">
        <v>376</v>
      </c>
      <c r="E299" s="81">
        <v>589</v>
      </c>
      <c r="F299" s="81">
        <v>1404</v>
      </c>
      <c r="G299" s="42">
        <v>75</v>
      </c>
      <c r="H299" s="42">
        <v>85</v>
      </c>
      <c r="I299" s="81">
        <v>96</v>
      </c>
      <c r="J299" s="81">
        <v>171</v>
      </c>
      <c r="K299" s="81">
        <v>122</v>
      </c>
      <c r="L299" s="19" t="s">
        <v>74</v>
      </c>
    </row>
    <row r="300" spans="1:12">
      <c r="A300" s="32" t="s">
        <v>78</v>
      </c>
      <c r="B300" s="39">
        <v>99</v>
      </c>
      <c r="C300" s="330">
        <v>233</v>
      </c>
      <c r="D300" s="39">
        <v>258</v>
      </c>
      <c r="E300" s="81">
        <v>508</v>
      </c>
      <c r="F300" s="81">
        <v>1053</v>
      </c>
      <c r="G300" s="39">
        <v>30</v>
      </c>
      <c r="H300" s="39">
        <v>30</v>
      </c>
      <c r="I300" s="81">
        <v>55</v>
      </c>
      <c r="J300" s="81">
        <v>108</v>
      </c>
      <c r="K300" s="81">
        <v>62</v>
      </c>
      <c r="L300" s="19" t="s">
        <v>74</v>
      </c>
    </row>
    <row r="301" spans="1:12">
      <c r="A301" s="27" t="s">
        <v>456</v>
      </c>
      <c r="B301" s="69">
        <f>(B299-B300)/1000*$B283*$B282</f>
        <v>0.18361200000000003</v>
      </c>
      <c r="C301" s="69">
        <f t="shared" ref="C301:K301" si="5">(C299-C300)/1000*$B283*$B282</f>
        <v>0.14500200000000002</v>
      </c>
      <c r="D301" s="69">
        <f t="shared" si="5"/>
        <v>0.10124400000000001</v>
      </c>
      <c r="E301" s="69">
        <f t="shared" si="5"/>
        <v>6.9498000000000018E-2</v>
      </c>
      <c r="F301" s="69">
        <f t="shared" si="5"/>
        <v>0.30115800000000004</v>
      </c>
      <c r="G301" s="69">
        <f t="shared" si="5"/>
        <v>3.8610000000000005E-2</v>
      </c>
      <c r="H301" s="69">
        <f t="shared" si="5"/>
        <v>4.7190000000000003E-2</v>
      </c>
      <c r="I301" s="69">
        <f t="shared" si="5"/>
        <v>3.5178000000000001E-2</v>
      </c>
      <c r="J301" s="69">
        <f t="shared" si="5"/>
        <v>5.4053999999999998E-2</v>
      </c>
      <c r="K301" s="69">
        <f t="shared" si="5"/>
        <v>5.1480000000000005E-2</v>
      </c>
      <c r="L301" s="2"/>
    </row>
    <row r="302" spans="1:12">
      <c r="A302" s="80" t="s">
        <v>42</v>
      </c>
      <c r="B302" s="68">
        <f>((B299-B300)/1000)*$B$280*$B281</f>
        <v>1187.4325000000001</v>
      </c>
      <c r="C302" s="68">
        <f t="shared" ref="C302:K302" si="6">((C299-C300)/1000)*$B$280*$B281</f>
        <v>937.73874999999998</v>
      </c>
      <c r="D302" s="68">
        <f t="shared" si="6"/>
        <v>654.75250000000005</v>
      </c>
      <c r="E302" s="68">
        <f t="shared" si="6"/>
        <v>449.44875000000002</v>
      </c>
      <c r="F302" s="68">
        <f t="shared" si="6"/>
        <v>1947.6112499999999</v>
      </c>
      <c r="G302" s="68">
        <f t="shared" si="6"/>
        <v>249.69374999999999</v>
      </c>
      <c r="H302" s="68">
        <f t="shared" si="6"/>
        <v>305.18125000000003</v>
      </c>
      <c r="I302" s="68">
        <f t="shared" si="6"/>
        <v>227.49875</v>
      </c>
      <c r="J302" s="68">
        <f t="shared" si="6"/>
        <v>349.57124999999996</v>
      </c>
      <c r="K302" s="68">
        <f t="shared" si="6"/>
        <v>332.92499999999995</v>
      </c>
      <c r="L302" s="2"/>
    </row>
    <row r="303" spans="1:12">
      <c r="A303" s="23" t="s">
        <v>7</v>
      </c>
      <c r="B303" s="456">
        <v>98</v>
      </c>
      <c r="C303" s="22">
        <v>161</v>
      </c>
      <c r="D303" s="22">
        <v>185</v>
      </c>
      <c r="E303" s="22">
        <v>283</v>
      </c>
      <c r="F303" s="22">
        <v>381</v>
      </c>
      <c r="G303" s="458">
        <v>9.5</v>
      </c>
      <c r="H303" s="75">
        <v>9.5</v>
      </c>
      <c r="I303" s="22">
        <v>43</v>
      </c>
      <c r="J303" s="22">
        <v>55</v>
      </c>
      <c r="K303" s="22">
        <v>93</v>
      </c>
      <c r="L303" s="19" t="s">
        <v>74</v>
      </c>
    </row>
    <row r="304" spans="1:12">
      <c r="A304" s="21" t="s">
        <v>41</v>
      </c>
      <c r="B304" s="457">
        <v>18</v>
      </c>
      <c r="C304" s="79">
        <v>18</v>
      </c>
      <c r="D304" s="67">
        <v>18</v>
      </c>
      <c r="E304" s="67">
        <v>18</v>
      </c>
      <c r="F304" s="67">
        <v>18</v>
      </c>
      <c r="G304" s="459">
        <v>16</v>
      </c>
      <c r="H304" s="73">
        <v>16</v>
      </c>
      <c r="I304" s="67">
        <v>18</v>
      </c>
      <c r="J304" s="67">
        <v>18</v>
      </c>
      <c r="K304" s="67">
        <v>18</v>
      </c>
      <c r="L304" s="19" t="s">
        <v>74</v>
      </c>
    </row>
    <row r="305" spans="1:14">
      <c r="B305" s="303"/>
      <c r="C305" s="303"/>
      <c r="D305" s="303"/>
      <c r="E305" s="303"/>
      <c r="G305" s="303"/>
      <c r="H305" s="303"/>
    </row>
    <row r="306" spans="1:14">
      <c r="B306" s="816" t="s">
        <v>87</v>
      </c>
      <c r="C306" s="817"/>
    </row>
    <row r="307" spans="1:14" ht="30.6">
      <c r="B307" s="480" t="s">
        <v>410</v>
      </c>
      <c r="C307" s="480" t="s">
        <v>411</v>
      </c>
      <c r="D307" s="637" t="s">
        <v>369</v>
      </c>
      <c r="E307" s="620" t="s">
        <v>407</v>
      </c>
      <c r="F307" s="620" t="s">
        <v>408</v>
      </c>
      <c r="G307" s="620" t="s">
        <v>409</v>
      </c>
      <c r="H307" s="334" t="s">
        <v>349</v>
      </c>
      <c r="I307" s="334" t="s">
        <v>347</v>
      </c>
      <c r="J307" s="334" t="s">
        <v>348</v>
      </c>
      <c r="K307" s="83" t="s">
        <v>404</v>
      </c>
      <c r="L307" s="83" t="s">
        <v>405</v>
      </c>
      <c r="M307" s="83" t="s">
        <v>406</v>
      </c>
    </row>
    <row r="308" spans="1:14">
      <c r="A308" s="227" t="s">
        <v>86</v>
      </c>
      <c r="B308" s="621" t="s">
        <v>85</v>
      </c>
      <c r="C308" s="621" t="s">
        <v>85</v>
      </c>
      <c r="D308" s="621" t="s">
        <v>368</v>
      </c>
      <c r="E308" s="621" t="s">
        <v>80</v>
      </c>
      <c r="F308" s="621" t="s">
        <v>85</v>
      </c>
      <c r="G308" s="621" t="s">
        <v>85</v>
      </c>
      <c r="H308" s="78" t="s">
        <v>80</v>
      </c>
      <c r="I308" s="78" t="s">
        <v>80</v>
      </c>
      <c r="J308" s="78" t="s">
        <v>80</v>
      </c>
      <c r="K308" s="621" t="s">
        <v>80</v>
      </c>
      <c r="L308" s="621" t="s">
        <v>80</v>
      </c>
      <c r="M308" s="621" t="s">
        <v>80</v>
      </c>
    </row>
    <row r="309" spans="1:14">
      <c r="A309" s="36" t="s">
        <v>84</v>
      </c>
      <c r="B309" s="42">
        <v>550</v>
      </c>
      <c r="C309" s="605">
        <v>1397</v>
      </c>
      <c r="D309" s="42">
        <v>35</v>
      </c>
      <c r="E309" s="605">
        <v>229</v>
      </c>
      <c r="F309" s="42">
        <v>483</v>
      </c>
      <c r="G309" s="605">
        <v>590</v>
      </c>
      <c r="H309" s="42">
        <v>59</v>
      </c>
      <c r="I309" s="605">
        <v>52</v>
      </c>
      <c r="J309" s="42">
        <v>117</v>
      </c>
      <c r="K309" s="605">
        <v>83</v>
      </c>
      <c r="L309" s="42">
        <v>153</v>
      </c>
      <c r="M309" s="42">
        <v>257</v>
      </c>
      <c r="N309" s="19" t="s">
        <v>74</v>
      </c>
    </row>
    <row r="310" spans="1:14">
      <c r="A310" s="33" t="s">
        <v>78</v>
      </c>
      <c r="B310" s="24">
        <v>308</v>
      </c>
      <c r="C310" s="113">
        <v>909</v>
      </c>
      <c r="D310" s="24">
        <v>28</v>
      </c>
      <c r="E310" s="113">
        <v>66</v>
      </c>
      <c r="F310" s="24">
        <v>300</v>
      </c>
      <c r="G310" s="113">
        <v>505</v>
      </c>
      <c r="H310" s="24">
        <v>6</v>
      </c>
      <c r="I310" s="113">
        <v>8</v>
      </c>
      <c r="J310" s="24">
        <v>17</v>
      </c>
      <c r="K310" s="113">
        <v>20</v>
      </c>
      <c r="L310" s="24">
        <v>43</v>
      </c>
      <c r="M310" s="24">
        <v>72</v>
      </c>
      <c r="N310" s="19" t="s">
        <v>74</v>
      </c>
    </row>
    <row r="311" spans="1:14">
      <c r="A311" s="107" t="s">
        <v>456</v>
      </c>
      <c r="B311" s="69">
        <f>(B309-B310)/1000*$B283*$B282</f>
        <v>0.20763600000000001</v>
      </c>
      <c r="C311" s="69">
        <f t="shared" ref="C311:M311" si="7">(C309-C310)/1000*$B283*$B282</f>
        <v>0.41870400000000008</v>
      </c>
      <c r="D311" s="69">
        <f t="shared" si="7"/>
        <v>6.0060000000000001E-3</v>
      </c>
      <c r="E311" s="69">
        <f t="shared" si="7"/>
        <v>0.13985400000000001</v>
      </c>
      <c r="F311" s="69">
        <f t="shared" si="7"/>
        <v>0.15701400000000001</v>
      </c>
      <c r="G311" s="69">
        <f t="shared" si="7"/>
        <v>7.2930000000000009E-2</v>
      </c>
      <c r="H311" s="69">
        <f t="shared" si="7"/>
        <v>4.5474000000000001E-2</v>
      </c>
      <c r="I311" s="69">
        <f t="shared" si="7"/>
        <v>3.7752000000000001E-2</v>
      </c>
      <c r="J311" s="69">
        <f t="shared" si="7"/>
        <v>8.5800000000000001E-2</v>
      </c>
      <c r="K311" s="69">
        <f t="shared" si="7"/>
        <v>5.4053999999999998E-2</v>
      </c>
      <c r="L311" s="69">
        <f t="shared" si="7"/>
        <v>9.4380000000000006E-2</v>
      </c>
      <c r="M311" s="69">
        <f t="shared" si="7"/>
        <v>0.15873000000000001</v>
      </c>
      <c r="N311" s="2"/>
    </row>
    <row r="312" spans="1:14">
      <c r="A312" s="80" t="s">
        <v>42</v>
      </c>
      <c r="B312" s="67">
        <f>((B309-B310)/1000)*$B$280*$B281</f>
        <v>1342.7975000000001</v>
      </c>
      <c r="C312" s="67">
        <f t="shared" ref="C312:M312" si="8">((C309-C310)/1000)*$B$280*$B281</f>
        <v>2707.79</v>
      </c>
      <c r="D312" s="67">
        <f t="shared" si="8"/>
        <v>38.841250000000002</v>
      </c>
      <c r="E312" s="67">
        <f t="shared" si="8"/>
        <v>904.44624999999996</v>
      </c>
      <c r="F312" s="67">
        <f t="shared" si="8"/>
        <v>1015.42125</v>
      </c>
      <c r="G312" s="67">
        <f t="shared" si="8"/>
        <v>471.64375000000007</v>
      </c>
      <c r="H312" s="67">
        <f t="shared" si="8"/>
        <v>294.08375000000001</v>
      </c>
      <c r="I312" s="67">
        <f t="shared" si="8"/>
        <v>244.14500000000001</v>
      </c>
      <c r="J312" s="67">
        <f t="shared" si="8"/>
        <v>554.875</v>
      </c>
      <c r="K312" s="67">
        <f t="shared" si="8"/>
        <v>349.57124999999996</v>
      </c>
      <c r="L312" s="67">
        <f t="shared" si="8"/>
        <v>610.36250000000007</v>
      </c>
      <c r="M312" s="67">
        <f t="shared" si="8"/>
        <v>1026.51875</v>
      </c>
      <c r="N312" s="2"/>
    </row>
    <row r="313" spans="1:14">
      <c r="A313" s="320" t="s">
        <v>7</v>
      </c>
      <c r="B313" s="22">
        <v>102</v>
      </c>
      <c r="C313" s="602">
        <v>169</v>
      </c>
      <c r="D313" s="22">
        <v>2</v>
      </c>
      <c r="E313" s="602">
        <v>145</v>
      </c>
      <c r="F313" s="22">
        <v>98</v>
      </c>
      <c r="G313" s="602">
        <v>42</v>
      </c>
      <c r="H313" s="74">
        <v>34</v>
      </c>
      <c r="I313" s="603">
        <v>40</v>
      </c>
      <c r="J313" s="74">
        <v>65</v>
      </c>
      <c r="K313" s="602">
        <v>20</v>
      </c>
      <c r="L313" s="22">
        <v>40</v>
      </c>
      <c r="M313" s="22">
        <v>50</v>
      </c>
      <c r="N313" s="19" t="s">
        <v>74</v>
      </c>
    </row>
    <row r="314" spans="1:14">
      <c r="A314" s="599" t="s">
        <v>395</v>
      </c>
      <c r="B314" s="397">
        <f>B313+180</f>
        <v>282</v>
      </c>
      <c r="C314" s="600">
        <f>C313+355</f>
        <v>524</v>
      </c>
      <c r="D314" s="397">
        <v>4</v>
      </c>
      <c r="E314" s="600">
        <f>E313+59</f>
        <v>204</v>
      </c>
      <c r="F314" s="397">
        <f>F313+192</f>
        <v>290</v>
      </c>
      <c r="G314" s="600">
        <f>G313+253</f>
        <v>295</v>
      </c>
      <c r="H314" s="104">
        <f>H313+6</f>
        <v>40</v>
      </c>
      <c r="I314" s="114">
        <f>I313+5</f>
        <v>45</v>
      </c>
      <c r="J314" s="104">
        <f>J313+5</f>
        <v>70</v>
      </c>
      <c r="K314" s="600">
        <f>20+18</f>
        <v>38</v>
      </c>
      <c r="L314" s="397">
        <f>40+36</f>
        <v>76</v>
      </c>
      <c r="M314" s="397">
        <f>50+53</f>
        <v>103</v>
      </c>
      <c r="N314" s="19" t="s">
        <v>74</v>
      </c>
    </row>
    <row r="315" spans="1:14">
      <c r="A315" s="87" t="s">
        <v>41</v>
      </c>
      <c r="B315" s="67">
        <v>18</v>
      </c>
      <c r="C315" s="601">
        <v>18</v>
      </c>
      <c r="D315" s="67">
        <v>6</v>
      </c>
      <c r="E315" s="601">
        <v>18</v>
      </c>
      <c r="F315" s="67">
        <v>18</v>
      </c>
      <c r="G315" s="601">
        <v>18</v>
      </c>
      <c r="H315" s="73">
        <v>10</v>
      </c>
      <c r="I315" s="604">
        <v>10</v>
      </c>
      <c r="J315" s="73">
        <v>10</v>
      </c>
      <c r="K315" s="601">
        <v>10</v>
      </c>
      <c r="L315" s="67">
        <v>10</v>
      </c>
      <c r="M315" s="67">
        <v>10</v>
      </c>
      <c r="N315" s="19" t="s">
        <v>74</v>
      </c>
    </row>
    <row r="316" spans="1:14">
      <c r="B316" s="303"/>
      <c r="C316" s="303"/>
      <c r="D316" s="303"/>
      <c r="E316" s="303"/>
    </row>
    <row r="317" spans="1:14">
      <c r="B317" s="802" t="s">
        <v>521</v>
      </c>
      <c r="C317" s="802"/>
      <c r="D317" s="802"/>
      <c r="E317" s="802"/>
    </row>
    <row r="318" spans="1:14">
      <c r="B318" s="480" t="s">
        <v>517</v>
      </c>
      <c r="C318" s="480" t="s">
        <v>518</v>
      </c>
      <c r="D318" s="480" t="s">
        <v>519</v>
      </c>
      <c r="E318" s="480" t="s">
        <v>520</v>
      </c>
      <c r="F318" s="58" t="s">
        <v>527</v>
      </c>
    </row>
    <row r="319" spans="1:14">
      <c r="A319" s="36" t="s">
        <v>84</v>
      </c>
      <c r="B319" s="42">
        <v>50</v>
      </c>
      <c r="C319" s="605">
        <v>86</v>
      </c>
      <c r="D319" s="42">
        <v>83</v>
      </c>
      <c r="E319" s="638">
        <v>158</v>
      </c>
      <c r="F319" s="42">
        <v>88.33</v>
      </c>
    </row>
    <row r="320" spans="1:14">
      <c r="A320" s="33" t="s">
        <v>78</v>
      </c>
      <c r="B320" s="24">
        <v>30</v>
      </c>
      <c r="C320" s="113">
        <v>60</v>
      </c>
      <c r="D320" s="24">
        <v>60</v>
      </c>
      <c r="E320" s="639">
        <v>109</v>
      </c>
      <c r="F320" s="24">
        <v>61.33</v>
      </c>
    </row>
    <row r="321" spans="1:18">
      <c r="A321" s="27" t="s">
        <v>456</v>
      </c>
      <c r="B321" s="69">
        <f>(B319-B320)/1000*$B283*$B282</f>
        <v>1.7160000000000002E-2</v>
      </c>
      <c r="C321" s="69">
        <f t="shared" ref="C321:F321" si="9">(C319-C320)/1000*$B283*$B282</f>
        <v>2.2308000000000001E-2</v>
      </c>
      <c r="D321" s="69">
        <f t="shared" si="9"/>
        <v>1.9734000000000002E-2</v>
      </c>
      <c r="E321" s="69">
        <f t="shared" si="9"/>
        <v>4.2042000000000003E-2</v>
      </c>
      <c r="F321" s="335">
        <f t="shared" si="9"/>
        <v>2.3165999999999999E-2</v>
      </c>
    </row>
    <row r="322" spans="1:18">
      <c r="A322" s="21" t="s">
        <v>42</v>
      </c>
      <c r="B322" s="67">
        <f>((B319-B320)/1000)*$B$280*$B281</f>
        <v>110.97499999999999</v>
      </c>
      <c r="C322" s="67">
        <f t="shared" ref="C322:E322" si="10">((C319-C320)/1000)*$B$280*$B281</f>
        <v>144.26750000000001</v>
      </c>
      <c r="D322" s="67">
        <f t="shared" si="10"/>
        <v>127.62124999999999</v>
      </c>
      <c r="E322" s="67">
        <f t="shared" si="10"/>
        <v>271.88875000000002</v>
      </c>
      <c r="F322" s="67">
        <f t="shared" ref="F322" si="11">((F319-F320)/1000)*$B$280*$B281</f>
        <v>149.81625</v>
      </c>
    </row>
    <row r="323" spans="1:18">
      <c r="A323" s="3" t="s">
        <v>522</v>
      </c>
      <c r="B323" s="303"/>
      <c r="C323" s="303"/>
      <c r="D323" s="303"/>
      <c r="E323" s="303"/>
    </row>
    <row r="324" spans="1:18">
      <c r="B324" s="303"/>
      <c r="C324" s="303"/>
      <c r="D324" s="303"/>
      <c r="E324" s="303"/>
    </row>
    <row r="325" spans="1:18">
      <c r="A325" s="16" t="s">
        <v>17</v>
      </c>
      <c r="B325" s="596"/>
      <c r="C325" s="596"/>
      <c r="D325" s="596"/>
      <c r="E325" s="596"/>
      <c r="F325" s="596"/>
      <c r="G325" s="596"/>
      <c r="H325" s="596"/>
      <c r="I325" s="596"/>
      <c r="J325" s="596"/>
      <c r="K325" s="596"/>
      <c r="L325" s="596"/>
    </row>
    <row r="326" spans="1:18" s="49" customFormat="1" ht="20.399999999999999">
      <c r="A326" s="332"/>
      <c r="B326" s="111" t="s">
        <v>342</v>
      </c>
      <c r="C326" s="329" t="s">
        <v>343</v>
      </c>
      <c r="D326" s="329" t="s">
        <v>344</v>
      </c>
      <c r="E326" s="329" t="s">
        <v>341</v>
      </c>
      <c r="F326" s="18"/>
      <c r="H326" s="18"/>
      <c r="I326" s="62"/>
      <c r="J326" s="62"/>
    </row>
    <row r="327" spans="1:18">
      <c r="A327" s="33" t="s">
        <v>350</v>
      </c>
      <c r="B327" s="35">
        <v>275</v>
      </c>
      <c r="C327" s="35">
        <v>275</v>
      </c>
      <c r="D327" s="35">
        <v>275</v>
      </c>
      <c r="E327" s="35">
        <v>275</v>
      </c>
      <c r="F327" s="19" t="s">
        <v>74</v>
      </c>
      <c r="G327" s="19"/>
      <c r="H327" s="18"/>
    </row>
    <row r="328" spans="1:18">
      <c r="A328" s="33" t="s">
        <v>351</v>
      </c>
      <c r="B328" s="32">
        <v>192</v>
      </c>
      <c r="C328" s="32">
        <v>192</v>
      </c>
      <c r="D328" s="32">
        <v>192</v>
      </c>
      <c r="E328" s="32">
        <v>178</v>
      </c>
      <c r="F328" s="19" t="s">
        <v>74</v>
      </c>
      <c r="G328" s="19"/>
      <c r="H328" s="18"/>
    </row>
    <row r="329" spans="1:18">
      <c r="A329" s="33" t="s">
        <v>340</v>
      </c>
      <c r="B329" s="32">
        <v>3100</v>
      </c>
      <c r="C329" s="32">
        <v>3100</v>
      </c>
      <c r="D329" s="32">
        <v>3100</v>
      </c>
      <c r="E329" s="32">
        <v>3100</v>
      </c>
      <c r="F329" s="3" t="s">
        <v>324</v>
      </c>
      <c r="G329" s="19"/>
      <c r="H329" s="18"/>
    </row>
    <row r="330" spans="1:18">
      <c r="A330" s="33" t="s">
        <v>345</v>
      </c>
      <c r="B330" s="79">
        <v>0.15</v>
      </c>
      <c r="C330" s="336">
        <v>0.15</v>
      </c>
      <c r="D330" s="336">
        <v>0.15</v>
      </c>
      <c r="E330" s="336">
        <v>0.25</v>
      </c>
      <c r="F330" s="3" t="s">
        <v>324</v>
      </c>
      <c r="G330" s="19"/>
      <c r="H330" s="18"/>
    </row>
    <row r="331" spans="1:18">
      <c r="A331" s="27" t="s">
        <v>456</v>
      </c>
      <c r="B331" s="335">
        <f>(B327-B328)/1000*B330*$B283*$B282</f>
        <v>1.0682100000000002E-2</v>
      </c>
      <c r="C331" s="335">
        <f>(C327-C328)/1000*C330*$B283*$B282</f>
        <v>1.0682100000000002E-2</v>
      </c>
      <c r="D331" s="335">
        <f>(D327-D328)/1000*D330*$B283*$B282</f>
        <v>1.0682100000000002E-2</v>
      </c>
      <c r="E331" s="335">
        <f>(E327-E328)/1000*E330*$B283*$B282</f>
        <v>2.0806500000000002E-2</v>
      </c>
      <c r="F331" s="19"/>
      <c r="G331" s="19"/>
      <c r="H331" s="18"/>
    </row>
    <row r="332" spans="1:18">
      <c r="A332" s="80" t="s">
        <v>42</v>
      </c>
      <c r="B332" s="71">
        <f>(B327-B328)/1000*$B329*$B282</f>
        <v>334.49</v>
      </c>
      <c r="C332" s="71">
        <f>(C327-C328)/1000*$B329*$B282</f>
        <v>334.49</v>
      </c>
      <c r="D332" s="71">
        <f>(D327-D328)/1000*$B329*$B282</f>
        <v>334.49</v>
      </c>
      <c r="E332" s="71">
        <f>(E327-E328)/1000*$B329*$B282</f>
        <v>390.91</v>
      </c>
      <c r="F332" s="19"/>
      <c r="G332" s="19"/>
      <c r="H332" s="18"/>
    </row>
    <row r="333" spans="1:18">
      <c r="A333" s="23" t="s">
        <v>7</v>
      </c>
      <c r="B333" s="23">
        <v>125</v>
      </c>
      <c r="C333" s="22">
        <v>55</v>
      </c>
      <c r="D333" s="22">
        <v>55</v>
      </c>
      <c r="E333" s="22">
        <v>65</v>
      </c>
      <c r="F333" s="19" t="s">
        <v>74</v>
      </c>
      <c r="G333" s="19"/>
      <c r="H333" s="18"/>
    </row>
    <row r="334" spans="1:18">
      <c r="A334" s="21" t="s">
        <v>41</v>
      </c>
      <c r="B334" s="67">
        <v>8</v>
      </c>
      <c r="C334" s="67">
        <v>8</v>
      </c>
      <c r="D334" s="67">
        <v>8</v>
      </c>
      <c r="E334" s="67">
        <v>8</v>
      </c>
      <c r="F334" s="15" t="s">
        <v>40</v>
      </c>
      <c r="G334" s="19"/>
      <c r="H334" s="18"/>
    </row>
    <row r="335" spans="1:18">
      <c r="C335" s="19"/>
      <c r="D335" s="18"/>
      <c r="E335" s="15"/>
      <c r="F335" s="5"/>
      <c r="G335" s="5"/>
      <c r="R335" s="7"/>
    </row>
    <row r="336" spans="1:18">
      <c r="A336" s="16" t="s">
        <v>529</v>
      </c>
      <c r="C336" s="19"/>
      <c r="D336" s="18"/>
      <c r="E336" s="15"/>
      <c r="F336" s="5"/>
      <c r="G336" s="5"/>
      <c r="R336" s="7"/>
    </row>
    <row r="337" spans="1:18">
      <c r="B337" s="480" t="s">
        <v>530</v>
      </c>
      <c r="C337" s="634" t="s">
        <v>532</v>
      </c>
      <c r="D337" s="480" t="s">
        <v>533</v>
      </c>
      <c r="E337" s="15"/>
      <c r="F337" s="5"/>
      <c r="G337" s="5"/>
      <c r="R337" s="7"/>
    </row>
    <row r="338" spans="1:18">
      <c r="A338" s="227" t="s">
        <v>86</v>
      </c>
      <c r="B338" s="635" t="s">
        <v>531</v>
      </c>
      <c r="C338" s="640" t="s">
        <v>531</v>
      </c>
      <c r="D338" s="635" t="s">
        <v>531</v>
      </c>
      <c r="E338" s="15"/>
      <c r="F338" s="5"/>
      <c r="G338" s="5"/>
      <c r="R338" s="7"/>
    </row>
    <row r="339" spans="1:18">
      <c r="A339" s="36" t="s">
        <v>84</v>
      </c>
      <c r="B339" s="42">
        <v>124.3</v>
      </c>
      <c r="C339" s="42">
        <v>182.9</v>
      </c>
      <c r="D339" s="42">
        <v>361.4</v>
      </c>
      <c r="E339" s="15"/>
      <c r="F339" s="5"/>
      <c r="G339" s="5"/>
      <c r="R339" s="7"/>
    </row>
    <row r="340" spans="1:18">
      <c r="A340" s="33" t="s">
        <v>78</v>
      </c>
      <c r="B340" s="39">
        <v>18.600000000000001</v>
      </c>
      <c r="C340" s="39">
        <v>52.5</v>
      </c>
      <c r="D340" s="39">
        <v>116.8</v>
      </c>
      <c r="E340" s="15"/>
      <c r="F340" s="5"/>
      <c r="G340" s="5"/>
      <c r="R340" s="7"/>
    </row>
    <row r="341" spans="1:18">
      <c r="A341" s="33" t="s">
        <v>155</v>
      </c>
      <c r="B341" s="39">
        <v>3540</v>
      </c>
      <c r="C341" s="39">
        <v>3540</v>
      </c>
      <c r="D341" s="39">
        <v>3540</v>
      </c>
      <c r="E341" s="15"/>
      <c r="F341" s="5"/>
      <c r="G341" s="5"/>
      <c r="R341" s="7"/>
    </row>
    <row r="342" spans="1:18">
      <c r="A342" s="33" t="s">
        <v>302</v>
      </c>
      <c r="B342" s="24">
        <v>0</v>
      </c>
      <c r="C342" s="24">
        <v>0</v>
      </c>
      <c r="D342" s="24">
        <v>0</v>
      </c>
      <c r="E342" s="15"/>
      <c r="F342" s="5"/>
      <c r="G342" s="5"/>
      <c r="R342" s="7"/>
    </row>
    <row r="343" spans="1:18">
      <c r="A343" s="107" t="s">
        <v>456</v>
      </c>
      <c r="B343" s="335">
        <f>(B339-B340)/1000*B342</f>
        <v>0</v>
      </c>
      <c r="C343" s="335">
        <f t="shared" ref="C343:D343" si="12">(C339-C340)/1000*C342</f>
        <v>0</v>
      </c>
      <c r="D343" s="335">
        <f t="shared" si="12"/>
        <v>0</v>
      </c>
      <c r="E343" s="15"/>
      <c r="F343" s="5"/>
      <c r="G343" s="5"/>
      <c r="R343" s="7"/>
    </row>
    <row r="344" spans="1:18">
      <c r="A344" s="80" t="s">
        <v>42</v>
      </c>
      <c r="B344" s="67">
        <f>((B339-B340)/1000)*B341</f>
        <v>374.17799999999994</v>
      </c>
      <c r="C344" s="67">
        <f t="shared" ref="C344:D344" si="13">((C339-C340)/1000)*C341</f>
        <v>461.61600000000004</v>
      </c>
      <c r="D344" s="67">
        <f t="shared" si="13"/>
        <v>865.8839999999999</v>
      </c>
      <c r="E344" s="15"/>
      <c r="F344" s="5"/>
      <c r="G344" s="5"/>
      <c r="R344" s="7"/>
    </row>
    <row r="345" spans="1:18">
      <c r="A345" s="320" t="s">
        <v>7</v>
      </c>
      <c r="B345" s="22">
        <v>125</v>
      </c>
      <c r="C345" s="602">
        <v>250</v>
      </c>
      <c r="D345" s="22">
        <v>375</v>
      </c>
      <c r="E345" s="15"/>
      <c r="F345" s="5"/>
      <c r="G345" s="5"/>
      <c r="R345" s="7"/>
    </row>
    <row r="346" spans="1:18">
      <c r="A346" s="87" t="s">
        <v>41</v>
      </c>
      <c r="B346" s="67">
        <v>15</v>
      </c>
      <c r="C346" s="601">
        <v>15</v>
      </c>
      <c r="D346" s="67">
        <v>15</v>
      </c>
      <c r="E346" s="15"/>
      <c r="F346" s="5"/>
      <c r="G346" s="5"/>
      <c r="R346" s="7"/>
    </row>
    <row r="347" spans="1:18">
      <c r="C347" s="19"/>
      <c r="D347" s="18"/>
      <c r="E347" s="15"/>
      <c r="F347" s="5"/>
      <c r="G347" s="5"/>
      <c r="R347" s="7"/>
    </row>
    <row r="348" spans="1:18">
      <c r="A348" s="16" t="s">
        <v>77</v>
      </c>
      <c r="B348" s="15"/>
      <c r="C348" s="19"/>
      <c r="D348" s="19"/>
      <c r="E348" s="19"/>
      <c r="F348" s="15"/>
    </row>
    <row r="349" spans="1:18">
      <c r="A349" s="35" t="s">
        <v>76</v>
      </c>
      <c r="B349" s="42">
        <v>40</v>
      </c>
      <c r="C349" s="19" t="s">
        <v>74</v>
      </c>
      <c r="D349" s="19"/>
    </row>
    <row r="350" spans="1:18">
      <c r="A350" s="79" t="s">
        <v>75</v>
      </c>
      <c r="B350" s="72">
        <v>2</v>
      </c>
      <c r="C350" s="19" t="s">
        <v>74</v>
      </c>
      <c r="D350" s="19"/>
    </row>
    <row r="351" spans="1:18">
      <c r="A351" s="27" t="s">
        <v>456</v>
      </c>
      <c r="B351" s="69">
        <f>(B349-B350)/1000*B283*B282</f>
        <v>3.2604000000000001E-2</v>
      </c>
      <c r="C351" s="19"/>
      <c r="D351" s="19"/>
    </row>
    <row r="352" spans="1:18">
      <c r="A352" s="21" t="s">
        <v>42</v>
      </c>
      <c r="B352" s="68">
        <f>B351*B280*B281</f>
        <v>180.91144500000001</v>
      </c>
      <c r="C352" s="19"/>
      <c r="D352" s="19"/>
    </row>
    <row r="353" spans="1:27">
      <c r="A353" s="23" t="s">
        <v>7</v>
      </c>
      <c r="B353" s="22">
        <v>25</v>
      </c>
      <c r="C353" s="19" t="s">
        <v>56</v>
      </c>
      <c r="D353" s="19"/>
    </row>
    <row r="354" spans="1:27">
      <c r="A354" s="396" t="s">
        <v>395</v>
      </c>
      <c r="B354" s="397">
        <v>35</v>
      </c>
      <c r="C354" s="19" t="s">
        <v>56</v>
      </c>
      <c r="D354" s="19"/>
    </row>
    <row r="355" spans="1:27">
      <c r="A355" s="21" t="s">
        <v>41</v>
      </c>
      <c r="B355" s="67">
        <v>15</v>
      </c>
      <c r="C355" s="15" t="s">
        <v>50</v>
      </c>
      <c r="D355" s="19"/>
    </row>
    <row r="356" spans="1:27">
      <c r="B356" s="15"/>
      <c r="C356" s="19"/>
      <c r="D356" s="19"/>
    </row>
    <row r="357" spans="1:27">
      <c r="A357" s="16" t="s">
        <v>73</v>
      </c>
      <c r="B357" s="19"/>
      <c r="C357" s="18"/>
      <c r="D357" s="15"/>
      <c r="E357" s="5"/>
      <c r="F357" s="5"/>
      <c r="Q357" s="7"/>
    </row>
    <row r="358" spans="1:27">
      <c r="A358" s="60"/>
      <c r="B358" s="66" t="s">
        <v>72</v>
      </c>
      <c r="C358" s="65" t="s">
        <v>71</v>
      </c>
      <c r="D358" s="65" t="s">
        <v>70</v>
      </c>
      <c r="E358" s="65" t="s">
        <v>69</v>
      </c>
      <c r="F358" s="15"/>
      <c r="G358" s="5"/>
      <c r="H358" s="19"/>
      <c r="I358" s="19"/>
      <c r="J358" s="18"/>
      <c r="K358" s="15"/>
      <c r="L358" s="5"/>
      <c r="M358" s="5"/>
      <c r="X358" s="7"/>
    </row>
    <row r="359" spans="1:27">
      <c r="A359" s="35" t="s">
        <v>62</v>
      </c>
      <c r="B359" s="35">
        <v>84</v>
      </c>
      <c r="C359" s="64">
        <v>120</v>
      </c>
      <c r="D359" s="64">
        <v>240</v>
      </c>
      <c r="E359" s="64">
        <v>760</v>
      </c>
      <c r="F359" s="15"/>
      <c r="G359" s="5"/>
      <c r="H359" s="19"/>
      <c r="I359" s="19"/>
      <c r="J359" s="18"/>
      <c r="K359" s="15"/>
      <c r="L359" s="5"/>
      <c r="M359" s="5"/>
      <c r="X359" s="7"/>
    </row>
    <row r="360" spans="1:27">
      <c r="A360" s="30" t="s">
        <v>59</v>
      </c>
      <c r="B360" s="48">
        <v>11.7</v>
      </c>
      <c r="C360" s="48">
        <v>11.7</v>
      </c>
      <c r="D360" s="48">
        <v>10.5</v>
      </c>
      <c r="E360" s="48">
        <v>9.9</v>
      </c>
      <c r="F360" s="3" t="s">
        <v>57</v>
      </c>
      <c r="G360" s="5"/>
      <c r="H360" s="5"/>
      <c r="J360" s="5"/>
      <c r="K360" s="5"/>
      <c r="V360" s="7"/>
      <c r="X360" s="15"/>
    </row>
    <row r="361" spans="1:27">
      <c r="A361" s="623" t="s">
        <v>60</v>
      </c>
      <c r="B361" s="63">
        <v>11.2</v>
      </c>
      <c r="C361" s="63">
        <v>11</v>
      </c>
      <c r="D361" s="63">
        <v>10</v>
      </c>
      <c r="E361" s="63">
        <v>9.6999999999999993</v>
      </c>
      <c r="F361" s="3" t="s">
        <v>40</v>
      </c>
      <c r="G361" s="5"/>
      <c r="H361" s="5"/>
      <c r="J361" s="5"/>
      <c r="K361" s="5"/>
      <c r="V361" s="7"/>
    </row>
    <row r="362" spans="1:27">
      <c r="A362" s="71" t="s">
        <v>456</v>
      </c>
      <c r="B362" s="52">
        <f>B359*(1/B361-1/B360)*I370</f>
        <v>0.29262820512820514</v>
      </c>
      <c r="C362" s="52">
        <f>C359*(1/C361-1/C360)*I370</f>
        <v>0.59589743589743605</v>
      </c>
      <c r="D362" s="52">
        <f>D359*(1/D361-1/D360)*I370</f>
        <v>1.0434285714285738</v>
      </c>
      <c r="E362" s="52">
        <f>E359*(1/E361-1/E360)*I370</f>
        <v>1.4451317296678192</v>
      </c>
      <c r="F362" s="19"/>
      <c r="G362" s="5"/>
      <c r="H362" s="5"/>
      <c r="N362" s="1"/>
      <c r="Y362" s="7"/>
    </row>
    <row r="363" spans="1:27">
      <c r="A363" s="21" t="s">
        <v>42</v>
      </c>
      <c r="B363" s="25">
        <f>B359*(1/B361-1/B360)*$I$368</f>
        <v>190.06410256410257</v>
      </c>
      <c r="C363" s="25">
        <f>C359*(1/C361-1/C360)*$I$368</f>
        <v>387.03962703962708</v>
      </c>
      <c r="D363" s="25">
        <f>D359*(1/D361-1/D360)*$I$368</f>
        <v>677.71428571428726</v>
      </c>
      <c r="E363" s="25">
        <f>E359*(1/E361-1/E360)*$I$368</f>
        <v>938.62334687077418</v>
      </c>
      <c r="G363" s="5"/>
      <c r="H363" s="5"/>
      <c r="N363" s="1"/>
      <c r="Y363" s="7"/>
      <c r="AA363" s="9"/>
    </row>
    <row r="364" spans="1:27">
      <c r="A364" s="23" t="s">
        <v>7</v>
      </c>
      <c r="B364" s="22">
        <f>100*B359/12</f>
        <v>700</v>
      </c>
      <c r="C364" s="22">
        <f t="shared" ref="C364:E364" si="14">100*C359/12</f>
        <v>1000</v>
      </c>
      <c r="D364" s="22">
        <f t="shared" si="14"/>
        <v>2000</v>
      </c>
      <c r="E364" s="22">
        <f t="shared" si="14"/>
        <v>6333.333333333333</v>
      </c>
      <c r="F364" s="19" t="s">
        <v>56</v>
      </c>
      <c r="G364" s="5"/>
      <c r="H364" s="5"/>
      <c r="N364" s="1"/>
      <c r="Y364" s="7"/>
    </row>
    <row r="365" spans="1:27">
      <c r="A365" s="21" t="s">
        <v>41</v>
      </c>
      <c r="B365" s="20">
        <v>15</v>
      </c>
      <c r="C365" s="20">
        <v>15</v>
      </c>
      <c r="D365" s="20">
        <v>15</v>
      </c>
      <c r="E365" s="20">
        <v>15</v>
      </c>
      <c r="F365" s="3" t="s">
        <v>40</v>
      </c>
      <c r="G365" s="5"/>
      <c r="H365" s="5"/>
      <c r="N365" s="1"/>
      <c r="Y365" s="7"/>
      <c r="AA365" s="9"/>
    </row>
    <row r="366" spans="1:27">
      <c r="B366" s="5"/>
      <c r="C366" s="5"/>
      <c r="D366" s="5"/>
      <c r="E366" s="5"/>
      <c r="F366" s="62"/>
      <c r="G366" s="5"/>
      <c r="H366" s="5"/>
      <c r="I366" s="1"/>
      <c r="M366" s="10"/>
      <c r="N366" s="6"/>
      <c r="O366" s="6"/>
      <c r="P366" s="61"/>
      <c r="Q366" s="8"/>
      <c r="R366" s="7"/>
      <c r="S366" s="9"/>
      <c r="T366" s="7"/>
      <c r="U366" s="8"/>
      <c r="V366" s="9"/>
    </row>
    <row r="367" spans="1:27">
      <c r="A367" s="16" t="s">
        <v>320</v>
      </c>
      <c r="B367" s="5"/>
      <c r="C367" s="5"/>
      <c r="D367" s="4"/>
      <c r="E367" s="4"/>
      <c r="F367" s="4"/>
      <c r="M367" s="6"/>
      <c r="N367" s="6"/>
      <c r="O367" s="8"/>
      <c r="P367" s="7"/>
      <c r="Q367" s="9"/>
      <c r="R367" s="7"/>
      <c r="S367" s="8"/>
      <c r="T367" s="9"/>
    </row>
    <row r="368" spans="1:27">
      <c r="A368" s="60"/>
      <c r="B368" s="59" t="s">
        <v>68</v>
      </c>
      <c r="C368" s="59" t="s">
        <v>67</v>
      </c>
      <c r="D368" s="59" t="s">
        <v>66</v>
      </c>
      <c r="E368" s="59" t="s">
        <v>65</v>
      </c>
      <c r="F368" s="58" t="s">
        <v>64</v>
      </c>
      <c r="H368" s="57" t="s">
        <v>63</v>
      </c>
      <c r="I368" s="323">
        <v>593</v>
      </c>
      <c r="N368" s="6"/>
      <c r="O368" s="6"/>
      <c r="P368" s="6"/>
      <c r="Q368" s="8"/>
      <c r="R368" s="7"/>
      <c r="S368" s="9"/>
      <c r="T368" s="7"/>
      <c r="U368" s="8"/>
      <c r="V368" s="9"/>
    </row>
    <row r="369" spans="1:22">
      <c r="A369" s="35" t="s">
        <v>62</v>
      </c>
      <c r="B369" s="35">
        <v>60</v>
      </c>
      <c r="C369" s="35">
        <v>60</v>
      </c>
      <c r="D369" s="35">
        <v>84</v>
      </c>
      <c r="E369" s="35">
        <v>120</v>
      </c>
      <c r="F369" s="35">
        <v>240</v>
      </c>
      <c r="H369" s="56" t="s">
        <v>61</v>
      </c>
      <c r="I369" s="324">
        <v>2434</v>
      </c>
      <c r="N369" s="6"/>
      <c r="O369" s="6"/>
      <c r="P369" s="6"/>
      <c r="Q369" s="8"/>
      <c r="R369" s="7"/>
      <c r="S369" s="9"/>
      <c r="T369" s="7"/>
      <c r="U369" s="8"/>
      <c r="V369" s="9"/>
    </row>
    <row r="370" spans="1:22">
      <c r="A370" s="30" t="s">
        <v>59</v>
      </c>
      <c r="B370" s="54">
        <v>14</v>
      </c>
      <c r="C370" s="54">
        <v>14</v>
      </c>
      <c r="D370" s="54">
        <v>11.1</v>
      </c>
      <c r="E370" s="54">
        <v>10.9</v>
      </c>
      <c r="F370" s="54">
        <v>10.1</v>
      </c>
      <c r="G370" s="3" t="s">
        <v>57</v>
      </c>
      <c r="H370" s="55" t="s">
        <v>43</v>
      </c>
      <c r="I370" s="325">
        <v>0.91300000000000003</v>
      </c>
      <c r="N370" s="6"/>
      <c r="O370" s="6"/>
      <c r="P370" s="6"/>
      <c r="Q370" s="8"/>
      <c r="R370" s="7"/>
      <c r="S370" s="9"/>
      <c r="T370" s="7"/>
      <c r="U370" s="8"/>
      <c r="V370" s="9"/>
    </row>
    <row r="371" spans="1:22">
      <c r="A371" s="30" t="s">
        <v>504</v>
      </c>
      <c r="B371" s="54">
        <v>8.5</v>
      </c>
      <c r="C371" s="54">
        <v>8</v>
      </c>
      <c r="D371" s="54">
        <v>3.4</v>
      </c>
      <c r="E371" s="54">
        <v>3.2</v>
      </c>
      <c r="F371" s="54">
        <v>3.2</v>
      </c>
      <c r="G371" s="3" t="s">
        <v>57</v>
      </c>
      <c r="H371" s="5"/>
      <c r="I371" s="5"/>
      <c r="M371" s="10"/>
      <c r="N371" s="6"/>
      <c r="O371" s="6"/>
      <c r="P371" s="6"/>
      <c r="Q371" s="8"/>
      <c r="R371" s="7"/>
      <c r="S371" s="9"/>
      <c r="T371" s="7"/>
      <c r="U371" s="8"/>
      <c r="V371" s="9"/>
    </row>
    <row r="372" spans="1:22">
      <c r="A372" s="30" t="s">
        <v>60</v>
      </c>
      <c r="B372" s="54">
        <v>13</v>
      </c>
      <c r="C372" s="54">
        <v>13</v>
      </c>
      <c r="D372" s="54">
        <v>11</v>
      </c>
      <c r="E372" s="54">
        <v>10.6</v>
      </c>
      <c r="F372" s="54">
        <v>9.5</v>
      </c>
      <c r="G372" s="3" t="s">
        <v>40</v>
      </c>
      <c r="M372" s="10"/>
      <c r="N372" s="6"/>
      <c r="O372" s="6"/>
      <c r="P372" s="6"/>
      <c r="Q372" s="8"/>
      <c r="R372" s="7"/>
      <c r="S372" s="9"/>
      <c r="T372" s="7"/>
      <c r="U372" s="8"/>
      <c r="V372" s="9"/>
    </row>
    <row r="373" spans="1:22">
      <c r="A373" s="623" t="s">
        <v>58</v>
      </c>
      <c r="B373" s="53">
        <v>7.7</v>
      </c>
      <c r="C373" s="53">
        <v>7.7</v>
      </c>
      <c r="D373" s="53">
        <v>3.3</v>
      </c>
      <c r="E373" s="53">
        <v>3.2</v>
      </c>
      <c r="F373" s="53">
        <v>3.2</v>
      </c>
      <c r="G373" s="3" t="s">
        <v>40</v>
      </c>
      <c r="M373" s="10"/>
      <c r="N373" s="6"/>
      <c r="O373" s="6"/>
      <c r="P373" s="6"/>
      <c r="Q373" s="8"/>
      <c r="R373" s="7"/>
      <c r="S373" s="9"/>
      <c r="T373" s="7"/>
      <c r="U373" s="8"/>
      <c r="V373" s="9"/>
    </row>
    <row r="374" spans="1:22">
      <c r="A374" s="71" t="s">
        <v>456</v>
      </c>
      <c r="B374" s="52">
        <f>B369*(1/B372-1/B370)*I370</f>
        <v>0.30098901098901143</v>
      </c>
      <c r="C374" s="52">
        <f>C369*(1/C372-1/C370)*I370</f>
        <v>0.30098901098901143</v>
      </c>
      <c r="D374" s="52">
        <f>D369*(1/D372-1/D370)*I370</f>
        <v>6.2810810810810275E-2</v>
      </c>
      <c r="E374" s="52">
        <f>E369*(1/E372-1/E370)*I370</f>
        <v>0.28447290981478446</v>
      </c>
      <c r="F374" s="52">
        <f>F369*(1/F372-1/F370)*I370</f>
        <v>1.3702136529442395</v>
      </c>
      <c r="G374" s="19"/>
      <c r="M374" s="10"/>
      <c r="N374" s="6"/>
      <c r="O374" s="6"/>
      <c r="P374" s="6"/>
      <c r="Q374" s="8"/>
      <c r="R374" s="7"/>
      <c r="S374" s="9"/>
      <c r="T374" s="7"/>
      <c r="U374" s="8"/>
      <c r="V374" s="9"/>
    </row>
    <row r="375" spans="1:22">
      <c r="A375" s="21" t="s">
        <v>42</v>
      </c>
      <c r="B375" s="28">
        <f>B369*(1/B372-1/B370)*$I$368+B369*(1/B373-1/B371)*$I$369</f>
        <v>1980.5518011400352</v>
      </c>
      <c r="C375" s="28">
        <f>C369*(1/C372-1/C370)*$I$368+C369*(1/C373-1/C371)*$I$369</f>
        <v>906.72827172827022</v>
      </c>
      <c r="D375" s="28">
        <f>D369*(1/D372-1/D370)*$I$368+D369*(1/D373-1/D371)*$I$369</f>
        <v>1863.0420581008811</v>
      </c>
      <c r="E375" s="28">
        <f>E369*(1/E372-1/E370)*$I$368+E369*(1/E373-1/E371)*$I$369</f>
        <v>184.76718019733536</v>
      </c>
      <c r="F375" s="28">
        <f>F369*(1/F372-1/F370)*$I$368+F369*(1/F373-1/F371)*$I$369</f>
        <v>889.96352266805479</v>
      </c>
      <c r="M375" s="10"/>
      <c r="N375" s="6"/>
      <c r="O375" s="6"/>
      <c r="P375" s="6"/>
      <c r="Q375" s="8"/>
      <c r="R375" s="7"/>
      <c r="S375" s="9"/>
      <c r="T375" s="7"/>
      <c r="U375" s="8"/>
      <c r="V375" s="9"/>
    </row>
    <row r="376" spans="1:22">
      <c r="A376" s="23" t="s">
        <v>7</v>
      </c>
      <c r="B376" s="22">
        <f>74*B369/12</f>
        <v>370</v>
      </c>
      <c r="C376" s="22">
        <f>74*C369/12</f>
        <v>370</v>
      </c>
      <c r="D376" s="22">
        <f>D369/12*100</f>
        <v>700</v>
      </c>
      <c r="E376" s="22">
        <f t="shared" ref="E376:F376" si="15">E369/12*100</f>
        <v>1000</v>
      </c>
      <c r="F376" s="22">
        <f t="shared" si="15"/>
        <v>2000</v>
      </c>
      <c r="G376" s="19" t="s">
        <v>56</v>
      </c>
      <c r="I376" s="1"/>
      <c r="M376" s="10"/>
      <c r="N376" s="6"/>
      <c r="O376" s="6"/>
      <c r="P376" s="6"/>
      <c r="Q376" s="8"/>
      <c r="R376" s="7"/>
      <c r="S376" s="9"/>
      <c r="T376" s="7"/>
      <c r="U376" s="8"/>
      <c r="V376" s="9"/>
    </row>
    <row r="377" spans="1:22">
      <c r="A377" s="21" t="s">
        <v>41</v>
      </c>
      <c r="B377" s="20">
        <v>15</v>
      </c>
      <c r="C377" s="20">
        <v>15</v>
      </c>
      <c r="D377" s="20">
        <v>15</v>
      </c>
      <c r="E377" s="20">
        <v>15</v>
      </c>
      <c r="F377" s="20">
        <v>15</v>
      </c>
      <c r="G377" s="3" t="s">
        <v>40</v>
      </c>
      <c r="I377" s="1"/>
      <c r="M377" s="10"/>
      <c r="N377" s="6"/>
      <c r="O377" s="6"/>
      <c r="P377" s="6"/>
      <c r="Q377" s="8"/>
      <c r="R377" s="7"/>
      <c r="S377" s="9"/>
      <c r="T377" s="7"/>
      <c r="U377" s="8"/>
      <c r="V377" s="9"/>
    </row>
    <row r="378" spans="1:22">
      <c r="B378" s="409">
        <f>B369/12</f>
        <v>5</v>
      </c>
      <c r="C378" s="409">
        <f t="shared" ref="C378:F378" si="16">C369/12</f>
        <v>5</v>
      </c>
      <c r="D378" s="409">
        <f t="shared" si="16"/>
        <v>7</v>
      </c>
      <c r="E378" s="409">
        <f t="shared" si="16"/>
        <v>10</v>
      </c>
      <c r="F378" s="409">
        <f t="shared" si="16"/>
        <v>20</v>
      </c>
      <c r="G378" s="51"/>
      <c r="H378" s="1"/>
      <c r="L378" s="10"/>
      <c r="M378" s="6"/>
      <c r="N378" s="6"/>
      <c r="O378" s="6"/>
      <c r="P378" s="8"/>
      <c r="Q378" s="7"/>
      <c r="R378" s="9"/>
      <c r="S378" s="7"/>
      <c r="T378" s="8"/>
      <c r="U378" s="9"/>
    </row>
    <row r="379" spans="1:22">
      <c r="A379" s="16" t="s">
        <v>136</v>
      </c>
      <c r="B379" s="5"/>
      <c r="C379" s="50"/>
      <c r="D379" s="19"/>
      <c r="E379" s="19"/>
      <c r="F379" s="18"/>
      <c r="G379" s="15"/>
      <c r="H379" s="5"/>
      <c r="I379" s="5"/>
    </row>
    <row r="380" spans="1:22">
      <c r="A380" s="35" t="s">
        <v>139</v>
      </c>
      <c r="B380" s="134">
        <f>10*12000</f>
        <v>120000</v>
      </c>
      <c r="C380" s="50"/>
      <c r="D380" s="19"/>
      <c r="E380" s="19"/>
      <c r="F380" s="18"/>
      <c r="G380" s="15"/>
      <c r="H380" s="5"/>
      <c r="I380" s="5"/>
    </row>
    <row r="381" spans="1:22">
      <c r="A381" s="30" t="s">
        <v>135</v>
      </c>
      <c r="B381" s="54">
        <v>17.100000000000001</v>
      </c>
      <c r="C381" s="50"/>
      <c r="D381" s="19"/>
      <c r="E381" s="19"/>
      <c r="F381" s="18"/>
      <c r="G381" s="15"/>
      <c r="H381" s="5"/>
      <c r="I381" s="5"/>
    </row>
    <row r="382" spans="1:22">
      <c r="A382" s="30" t="s">
        <v>134</v>
      </c>
      <c r="B382" s="54">
        <v>3.6</v>
      </c>
      <c r="C382" s="50"/>
      <c r="D382" s="19"/>
      <c r="E382" s="19"/>
      <c r="F382" s="18"/>
      <c r="G382" s="15"/>
      <c r="H382" s="5"/>
      <c r="I382" s="5"/>
    </row>
    <row r="383" spans="1:22">
      <c r="A383" s="30" t="s">
        <v>132</v>
      </c>
      <c r="B383" s="54">
        <v>13.4</v>
      </c>
      <c r="C383" s="50"/>
      <c r="D383" s="19"/>
      <c r="E383" s="19"/>
      <c r="F383" s="18"/>
      <c r="G383" s="15"/>
      <c r="H383" s="5"/>
      <c r="I383" s="5"/>
    </row>
    <row r="384" spans="1:22">
      <c r="A384" s="30" t="s">
        <v>321</v>
      </c>
      <c r="B384" s="54">
        <v>3.1</v>
      </c>
      <c r="C384" s="50"/>
      <c r="D384" s="19"/>
      <c r="E384" s="19"/>
      <c r="F384" s="18"/>
      <c r="G384" s="15"/>
      <c r="H384" s="5"/>
      <c r="I384" s="5"/>
    </row>
    <row r="385" spans="1:9">
      <c r="A385" s="27" t="s">
        <v>456</v>
      </c>
      <c r="B385" s="629">
        <f>$B$380*(1/B383-1/(-0.02*(B381*1.02)^2+(1.12*(C221*1.02))))/1000*$I$370</f>
        <v>2.0962664680349605</v>
      </c>
      <c r="C385" s="3" t="s">
        <v>40</v>
      </c>
      <c r="D385" s="19"/>
      <c r="E385" s="19"/>
      <c r="F385" s="18"/>
      <c r="G385" s="15"/>
      <c r="H385" s="5"/>
      <c r="I385" s="5"/>
    </row>
    <row r="386" spans="1:9">
      <c r="A386" s="21" t="s">
        <v>42</v>
      </c>
      <c r="B386" s="20">
        <f>I369*B380*(1/B383-(1/(B381*1.02)))/1000+I368*B380*(1/B384-(1/(B382*3.412)))/1000</f>
        <v>22212.788976876138</v>
      </c>
      <c r="C386" s="3" t="s">
        <v>40</v>
      </c>
      <c r="D386" s="19"/>
      <c r="E386" s="19"/>
      <c r="F386" s="18"/>
      <c r="G386" s="15"/>
      <c r="H386" s="5"/>
      <c r="I386" s="5"/>
    </row>
    <row r="387" spans="1:9">
      <c r="A387" s="23" t="s">
        <v>7</v>
      </c>
      <c r="B387" s="99">
        <f>410*10</f>
        <v>4100</v>
      </c>
      <c r="C387" s="3" t="s">
        <v>40</v>
      </c>
      <c r="D387" s="19"/>
      <c r="E387" s="19"/>
      <c r="F387" s="18"/>
      <c r="G387" s="15"/>
      <c r="H387" s="5"/>
      <c r="I387" s="5"/>
    </row>
    <row r="388" spans="1:9">
      <c r="A388" s="21" t="s">
        <v>41</v>
      </c>
      <c r="B388" s="97">
        <v>15</v>
      </c>
      <c r="C388" s="3" t="s">
        <v>40</v>
      </c>
      <c r="D388" s="19"/>
      <c r="E388" s="19"/>
      <c r="F388" s="18"/>
      <c r="G388" s="15"/>
      <c r="H388" s="5"/>
      <c r="I388" s="5"/>
    </row>
    <row r="389" spans="1:9">
      <c r="B389" s="15"/>
      <c r="C389" s="14"/>
      <c r="D389" s="19"/>
      <c r="E389" s="19"/>
      <c r="F389" s="18"/>
      <c r="G389" s="15"/>
      <c r="H389" s="5"/>
      <c r="I389" s="5"/>
    </row>
    <row r="390" spans="1:9">
      <c r="A390" s="16" t="s">
        <v>322</v>
      </c>
      <c r="B390" s="326" t="s">
        <v>485</v>
      </c>
      <c r="C390" s="327" t="s">
        <v>323</v>
      </c>
    </row>
    <row r="391" spans="1:9">
      <c r="A391" s="27" t="s">
        <v>456</v>
      </c>
      <c r="B391" s="590">
        <v>0.2</v>
      </c>
      <c r="C391" s="589">
        <f>B239</f>
        <v>8.2133866604055542E-2</v>
      </c>
      <c r="D391" s="19" t="s">
        <v>40</v>
      </c>
      <c r="F391" s="15"/>
      <c r="G391" s="5"/>
      <c r="H391" s="5"/>
    </row>
    <row r="392" spans="1:9">
      <c r="A392" s="87" t="s">
        <v>42</v>
      </c>
      <c r="B392" s="591">
        <v>1780.85</v>
      </c>
      <c r="C392" s="588">
        <f>B240</f>
        <v>1733.7090342339393</v>
      </c>
      <c r="D392" s="19" t="s">
        <v>40</v>
      </c>
      <c r="F392" s="15"/>
      <c r="G392" s="5"/>
      <c r="H392" s="5"/>
    </row>
    <row r="393" spans="1:9">
      <c r="A393" s="23" t="s">
        <v>7</v>
      </c>
      <c r="B393" s="29">
        <v>1050</v>
      </c>
      <c r="C393" s="29">
        <f>B241</f>
        <v>700</v>
      </c>
      <c r="D393" s="19" t="s">
        <v>484</v>
      </c>
      <c r="F393" s="15"/>
      <c r="G393" s="5"/>
      <c r="H393" s="5"/>
    </row>
    <row r="394" spans="1:9">
      <c r="A394" s="21" t="s">
        <v>41</v>
      </c>
      <c r="B394" s="28">
        <v>5</v>
      </c>
      <c r="C394" s="588">
        <f>B242</f>
        <v>15</v>
      </c>
      <c r="D394" s="19" t="s">
        <v>484</v>
      </c>
      <c r="F394" s="15"/>
      <c r="G394" s="5"/>
      <c r="H394" s="5"/>
    </row>
    <row r="395" spans="1:9">
      <c r="B395" s="15"/>
      <c r="C395" s="19"/>
      <c r="D395" s="19"/>
      <c r="E395" s="19"/>
      <c r="F395" s="18"/>
      <c r="G395" s="15"/>
      <c r="H395" s="5"/>
      <c r="I395" s="5"/>
    </row>
    <row r="396" spans="1:9">
      <c r="A396" s="16" t="s">
        <v>49</v>
      </c>
      <c r="B396" s="327" t="s">
        <v>326</v>
      </c>
      <c r="C396" s="326" t="s">
        <v>327</v>
      </c>
      <c r="D396" s="15"/>
      <c r="E396" s="15"/>
      <c r="F396" s="18"/>
      <c r="G396" s="15"/>
      <c r="H396" s="5"/>
      <c r="I396" s="5"/>
    </row>
    <row r="397" spans="1:9">
      <c r="A397" s="36" t="s">
        <v>48</v>
      </c>
      <c r="B397" s="35">
        <v>15</v>
      </c>
      <c r="C397" s="35">
        <v>15</v>
      </c>
      <c r="D397" s="15"/>
      <c r="E397" s="15"/>
      <c r="F397" s="18"/>
      <c r="G397" s="15"/>
      <c r="H397" s="5"/>
      <c r="I397" s="5"/>
    </row>
    <row r="398" spans="1:9">
      <c r="A398" s="33" t="s">
        <v>47</v>
      </c>
      <c r="B398" s="34">
        <v>0.89500000000000002</v>
      </c>
      <c r="C398" s="34">
        <v>0.9</v>
      </c>
      <c r="D398" s="15"/>
      <c r="E398" s="15"/>
      <c r="F398" s="15"/>
    </row>
    <row r="399" spans="1:9">
      <c r="A399" s="33" t="s">
        <v>46</v>
      </c>
      <c r="B399" s="32">
        <v>0.35</v>
      </c>
      <c r="C399" s="32">
        <v>0.57999999999999996</v>
      </c>
      <c r="D399" s="15" t="s">
        <v>328</v>
      </c>
      <c r="E399" s="15"/>
      <c r="F399" s="15"/>
    </row>
    <row r="400" spans="1:9">
      <c r="A400" s="33" t="s">
        <v>287</v>
      </c>
      <c r="B400" s="32">
        <v>0.33200000000000002</v>
      </c>
      <c r="C400" s="32">
        <v>0.20100000000000001</v>
      </c>
      <c r="D400" s="15" t="s">
        <v>328</v>
      </c>
      <c r="E400" s="15"/>
      <c r="F400" s="15"/>
    </row>
    <row r="401" spans="1:9">
      <c r="A401" s="31" t="s">
        <v>45</v>
      </c>
      <c r="B401" s="20">
        <v>4000</v>
      </c>
      <c r="C401" s="20">
        <v>4000</v>
      </c>
      <c r="D401" s="15" t="s">
        <v>329</v>
      </c>
      <c r="E401" s="15"/>
      <c r="F401" s="15"/>
    </row>
    <row r="402" spans="1:9">
      <c r="A402" s="27" t="s">
        <v>456</v>
      </c>
      <c r="B402" s="26">
        <f>B397*0.746*B400</f>
        <v>3.7150799999999999</v>
      </c>
      <c r="C402" s="26">
        <f>C397*0.746*C400</f>
        <v>2.24919</v>
      </c>
      <c r="D402" s="15"/>
      <c r="E402" s="19"/>
      <c r="F402" s="18"/>
      <c r="G402" s="15"/>
      <c r="H402" s="5"/>
      <c r="I402" s="5"/>
    </row>
    <row r="403" spans="1:9">
      <c r="A403" s="21" t="s">
        <v>42</v>
      </c>
      <c r="B403" s="25">
        <f>0.746*B397/B398*B401*B399</f>
        <v>17503.910614525139</v>
      </c>
      <c r="C403" s="25">
        <f>0.746*C397/C398*C401*C399</f>
        <v>28845.333333333328</v>
      </c>
      <c r="D403" s="19"/>
      <c r="E403" s="19"/>
      <c r="F403" s="18"/>
      <c r="G403" s="15"/>
      <c r="H403" s="5"/>
      <c r="I403" s="5"/>
    </row>
    <row r="404" spans="1:9">
      <c r="A404" s="23" t="s">
        <v>7</v>
      </c>
      <c r="B404" s="22">
        <v>2518</v>
      </c>
      <c r="C404" s="22">
        <v>2518</v>
      </c>
      <c r="D404" s="19" t="s">
        <v>44</v>
      </c>
      <c r="E404" s="19"/>
      <c r="F404" s="18"/>
      <c r="G404" s="15"/>
      <c r="H404" s="5"/>
      <c r="I404" s="5"/>
    </row>
    <row r="405" spans="1:9">
      <c r="A405" s="21" t="s">
        <v>41</v>
      </c>
      <c r="B405" s="20">
        <v>15</v>
      </c>
      <c r="C405" s="20">
        <v>15</v>
      </c>
      <c r="D405" s="19" t="s">
        <v>44</v>
      </c>
      <c r="E405" s="19"/>
      <c r="F405" s="18"/>
      <c r="G405" s="15"/>
      <c r="H405" s="5"/>
      <c r="I405" s="5"/>
    </row>
    <row r="406" spans="1:9">
      <c r="B406" s="15"/>
      <c r="C406" s="19"/>
      <c r="D406" s="19"/>
      <c r="E406" s="19"/>
      <c r="F406" s="18"/>
      <c r="G406" s="15"/>
      <c r="H406" s="5"/>
      <c r="I406" s="5"/>
    </row>
    <row r="407" spans="1:9">
      <c r="A407" s="16" t="s">
        <v>53</v>
      </c>
      <c r="B407" s="326" t="s">
        <v>333</v>
      </c>
      <c r="C407" s="326" t="s">
        <v>334</v>
      </c>
      <c r="E407" s="19"/>
      <c r="F407" s="18"/>
      <c r="G407" s="15"/>
      <c r="H407" s="5"/>
      <c r="I407" s="5"/>
    </row>
    <row r="408" spans="1:9">
      <c r="A408" s="36" t="s">
        <v>48</v>
      </c>
      <c r="B408" s="39">
        <v>15</v>
      </c>
      <c r="C408" s="39">
        <v>15</v>
      </c>
      <c r="E408" s="19"/>
      <c r="F408" s="18"/>
      <c r="G408" s="15"/>
    </row>
    <row r="409" spans="1:9">
      <c r="A409" s="33" t="s">
        <v>52</v>
      </c>
      <c r="B409" s="40">
        <v>0.91</v>
      </c>
      <c r="C409" s="40">
        <v>0.91</v>
      </c>
      <c r="E409" s="19"/>
      <c r="F409" s="18"/>
      <c r="G409" s="15"/>
    </row>
    <row r="410" spans="1:9">
      <c r="A410" s="33" t="s">
        <v>51</v>
      </c>
      <c r="B410" s="40">
        <v>0.93</v>
      </c>
      <c r="C410" s="40">
        <v>0.92400000000000004</v>
      </c>
      <c r="D410" s="3" t="s">
        <v>335</v>
      </c>
      <c r="E410" s="15"/>
      <c r="F410" s="15"/>
    </row>
    <row r="411" spans="1:9">
      <c r="A411" s="33" t="s">
        <v>45</v>
      </c>
      <c r="B411" s="39">
        <v>4400</v>
      </c>
      <c r="C411" s="39">
        <v>4400</v>
      </c>
      <c r="D411" s="3" t="s">
        <v>88</v>
      </c>
      <c r="E411" s="15"/>
      <c r="F411" s="15"/>
    </row>
    <row r="412" spans="1:9">
      <c r="A412" s="31" t="s">
        <v>43</v>
      </c>
      <c r="B412" s="38">
        <v>0.38</v>
      </c>
      <c r="C412" s="38">
        <v>0.38</v>
      </c>
      <c r="D412" s="19" t="s">
        <v>44</v>
      </c>
      <c r="E412" s="15"/>
      <c r="F412" s="15"/>
    </row>
    <row r="413" spans="1:9">
      <c r="A413" s="27" t="s">
        <v>456</v>
      </c>
      <c r="B413" s="37">
        <f>B408*0.746*0.8*(1/B409-1/B410)*B412</f>
        <v>8.0391350584898769E-2</v>
      </c>
      <c r="C413" s="37">
        <f>C408*0.746*0.8*(1/C409-1/C410)*C412</f>
        <v>5.6639360639360231E-2</v>
      </c>
      <c r="E413" s="15"/>
      <c r="F413" s="15"/>
    </row>
    <row r="414" spans="1:9">
      <c r="A414" s="21" t="s">
        <v>42</v>
      </c>
      <c r="B414" s="25">
        <f>B413*B411</f>
        <v>353.7219425735546</v>
      </c>
      <c r="C414" s="25">
        <f>C413*C411</f>
        <v>249.21318681318502</v>
      </c>
      <c r="E414" s="15"/>
      <c r="F414" s="4"/>
      <c r="G414" s="15"/>
      <c r="H414" s="5"/>
      <c r="I414" s="5"/>
    </row>
    <row r="415" spans="1:9">
      <c r="A415" s="23" t="s">
        <v>7</v>
      </c>
      <c r="B415" s="22">
        <v>115</v>
      </c>
      <c r="C415" s="22">
        <v>115</v>
      </c>
      <c r="D415" s="19" t="s">
        <v>44</v>
      </c>
      <c r="E415" s="15"/>
      <c r="F415" s="18"/>
      <c r="G415" s="15"/>
      <c r="H415" s="5"/>
      <c r="I415" s="5"/>
    </row>
    <row r="416" spans="1:9">
      <c r="A416" s="21" t="s">
        <v>41</v>
      </c>
      <c r="B416" s="20">
        <v>15</v>
      </c>
      <c r="C416" s="20">
        <v>15</v>
      </c>
      <c r="D416" s="19" t="s">
        <v>44</v>
      </c>
      <c r="E416" s="15"/>
      <c r="F416" s="18"/>
      <c r="G416" s="15"/>
      <c r="H416" s="5"/>
      <c r="I416" s="5"/>
    </row>
    <row r="418" spans="1:10">
      <c r="A418" s="16" t="s">
        <v>13</v>
      </c>
      <c r="B418" s="15"/>
      <c r="C418" s="19"/>
      <c r="D418" s="49"/>
      <c r="E418" s="5"/>
      <c r="F418" s="5"/>
    </row>
    <row r="419" spans="1:10">
      <c r="A419" s="36" t="s">
        <v>54</v>
      </c>
      <c r="B419" s="35">
        <v>50</v>
      </c>
      <c r="C419" s="19"/>
      <c r="F419" s="19"/>
      <c r="G419" s="5"/>
    </row>
    <row r="420" spans="1:10">
      <c r="A420" s="44" t="s">
        <v>337</v>
      </c>
      <c r="B420" s="48">
        <v>9.5619999999999994</v>
      </c>
      <c r="C420" s="19"/>
      <c r="F420" s="11"/>
      <c r="G420" s="5"/>
    </row>
    <row r="421" spans="1:10">
      <c r="A421" s="44" t="s">
        <v>338</v>
      </c>
      <c r="B421" s="48">
        <v>10</v>
      </c>
      <c r="C421" s="19"/>
      <c r="E421" s="15"/>
      <c r="F421" s="47"/>
      <c r="G421" s="5"/>
    </row>
    <row r="422" spans="1:10">
      <c r="A422" s="33" t="s">
        <v>45</v>
      </c>
      <c r="B422" s="46">
        <v>975</v>
      </c>
      <c r="C422" s="3" t="s">
        <v>339</v>
      </c>
      <c r="E422" s="15"/>
      <c r="F422" s="45"/>
      <c r="G422" s="5"/>
    </row>
    <row r="423" spans="1:10">
      <c r="A423" s="44" t="s">
        <v>43</v>
      </c>
      <c r="B423" s="43">
        <v>0.67</v>
      </c>
      <c r="C423" s="11" t="s">
        <v>40</v>
      </c>
      <c r="E423" s="15"/>
      <c r="G423" s="5"/>
    </row>
    <row r="424" spans="1:10">
      <c r="A424" s="27" t="s">
        <v>456</v>
      </c>
      <c r="B424" s="37">
        <f>B419*(12/B420-12/B421)*B423</f>
        <v>1.8414139301401418</v>
      </c>
      <c r="E424" s="15"/>
      <c r="G424" s="5"/>
    </row>
    <row r="425" spans="1:10">
      <c r="A425" s="21" t="s">
        <v>42</v>
      </c>
      <c r="B425" s="25">
        <f>B419*(12/B420-12/B421)*B422</f>
        <v>2679.6695252039376</v>
      </c>
      <c r="E425" s="15"/>
      <c r="G425" s="5"/>
    </row>
    <row r="426" spans="1:10">
      <c r="A426" s="23" t="s">
        <v>7</v>
      </c>
      <c r="B426" s="22">
        <f>127*B419</f>
        <v>6350</v>
      </c>
      <c r="C426" s="19" t="s">
        <v>40</v>
      </c>
      <c r="G426" s="5"/>
      <c r="J426" s="15"/>
    </row>
    <row r="427" spans="1:10">
      <c r="A427" s="21" t="s">
        <v>41</v>
      </c>
      <c r="B427" s="20">
        <v>20</v>
      </c>
      <c r="C427" s="3" t="s">
        <v>40</v>
      </c>
      <c r="E427" s="15"/>
      <c r="G427" s="5"/>
    </row>
    <row r="428" spans="1:10">
      <c r="A428" s="19"/>
      <c r="B428" s="15"/>
      <c r="C428" s="15"/>
      <c r="D428" s="19"/>
      <c r="H428" s="5"/>
      <c r="I428" s="5"/>
    </row>
    <row r="429" spans="1:10">
      <c r="B429" s="15"/>
      <c r="C429" s="19"/>
      <c r="D429" s="19"/>
      <c r="E429" s="19"/>
      <c r="F429" s="18"/>
      <c r="G429" s="15"/>
      <c r="H429" s="5"/>
      <c r="I429" s="5"/>
    </row>
    <row r="430" spans="1:10">
      <c r="B430" s="15"/>
      <c r="C430" s="19"/>
      <c r="D430" s="19"/>
      <c r="E430" s="19"/>
      <c r="F430" s="18"/>
      <c r="G430" s="15"/>
      <c r="H430" s="5"/>
      <c r="I430" s="5"/>
    </row>
  </sheetData>
  <mergeCells count="13">
    <mergeCell ref="B317:E317"/>
    <mergeCell ref="D174:E174"/>
    <mergeCell ref="B174:C174"/>
    <mergeCell ref="I168:K168"/>
    <mergeCell ref="B163:D163"/>
    <mergeCell ref="E163:G163"/>
    <mergeCell ref="I296:K296"/>
    <mergeCell ref="C296:F296"/>
    <mergeCell ref="E285:F285"/>
    <mergeCell ref="B306:C306"/>
    <mergeCell ref="C285:C286"/>
    <mergeCell ref="D285:D286"/>
    <mergeCell ref="B285:B28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W25"/>
  <sheetViews>
    <sheetView showGridLines="0" zoomScaleNormal="100" workbookViewId="0">
      <selection activeCell="E27" sqref="E27"/>
    </sheetView>
  </sheetViews>
  <sheetFormatPr defaultColWidth="33.88671875" defaultRowHeight="11.4"/>
  <cols>
    <col min="1" max="1" width="31.6640625" style="197" bestFit="1" customWidth="1"/>
    <col min="2" max="2" width="13.5546875" style="197" bestFit="1" customWidth="1"/>
    <col min="3" max="3" width="13.5546875" style="197" customWidth="1"/>
    <col min="4" max="10" width="8.44140625" style="198" bestFit="1" customWidth="1"/>
    <col min="11" max="23" width="8.44140625" style="197" bestFit="1" customWidth="1"/>
    <col min="24" max="16384" width="33.88671875" style="197"/>
  </cols>
  <sheetData>
    <row r="1" spans="1:23" ht="12">
      <c r="A1" s="208" t="s">
        <v>281</v>
      </c>
    </row>
    <row r="3" spans="1:23">
      <c r="A3" s="200" t="s">
        <v>231</v>
      </c>
      <c r="B3" s="202">
        <v>8.8400000000000006E-2</v>
      </c>
      <c r="C3" s="493"/>
      <c r="F3" s="197"/>
      <c r="G3" s="197"/>
      <c r="H3" s="197"/>
      <c r="I3" s="197"/>
      <c r="J3" s="197"/>
    </row>
    <row r="4" spans="1:23">
      <c r="A4" s="200"/>
      <c r="G4" s="197"/>
      <c r="H4" s="197"/>
      <c r="I4" s="197"/>
      <c r="J4" s="197"/>
    </row>
    <row r="5" spans="1:23">
      <c r="A5" s="200" t="s">
        <v>241</v>
      </c>
      <c r="B5" s="231">
        <v>1.0469999999999999</v>
      </c>
      <c r="C5" s="494"/>
      <c r="D5" s="201"/>
      <c r="E5" s="201"/>
      <c r="F5" s="197"/>
      <c r="G5" s="197"/>
      <c r="H5" s="197"/>
      <c r="I5" s="197"/>
      <c r="J5" s="197"/>
    </row>
    <row r="6" spans="1:23">
      <c r="A6" s="200" t="s">
        <v>232</v>
      </c>
      <c r="B6" s="231">
        <f>B5</f>
        <v>1.0469999999999999</v>
      </c>
      <c r="C6" s="494"/>
      <c r="D6" s="494"/>
      <c r="E6" s="494"/>
      <c r="F6" s="494"/>
      <c r="G6" s="494"/>
      <c r="H6" s="613"/>
      <c r="I6" s="197"/>
      <c r="J6" s="197"/>
    </row>
    <row r="7" spans="1:23">
      <c r="A7" s="200"/>
      <c r="G7" s="197"/>
      <c r="H7" s="197"/>
      <c r="I7" s="197"/>
      <c r="J7" s="197"/>
    </row>
    <row r="8" spans="1:23" ht="12">
      <c r="A8" s="207"/>
      <c r="B8" s="207" t="s">
        <v>230</v>
      </c>
      <c r="C8" s="497">
        <v>2008</v>
      </c>
      <c r="D8" s="498">
        <v>2014</v>
      </c>
      <c r="E8" s="498">
        <f t="shared" ref="E8:W8" si="0">D8+1</f>
        <v>2015</v>
      </c>
      <c r="F8" s="498">
        <f t="shared" si="0"/>
        <v>2016</v>
      </c>
      <c r="G8" s="498">
        <f t="shared" si="0"/>
        <v>2017</v>
      </c>
      <c r="H8" s="498">
        <f t="shared" si="0"/>
        <v>2018</v>
      </c>
      <c r="I8" s="498">
        <f t="shared" si="0"/>
        <v>2019</v>
      </c>
      <c r="J8" s="498">
        <f t="shared" si="0"/>
        <v>2020</v>
      </c>
      <c r="K8" s="498">
        <f t="shared" si="0"/>
        <v>2021</v>
      </c>
      <c r="L8" s="498">
        <f t="shared" si="0"/>
        <v>2022</v>
      </c>
      <c r="M8" s="498">
        <f t="shared" si="0"/>
        <v>2023</v>
      </c>
      <c r="N8" s="498">
        <f t="shared" si="0"/>
        <v>2024</v>
      </c>
      <c r="O8" s="498">
        <f t="shared" si="0"/>
        <v>2025</v>
      </c>
      <c r="P8" s="498">
        <f t="shared" si="0"/>
        <v>2026</v>
      </c>
      <c r="Q8" s="498">
        <f t="shared" si="0"/>
        <v>2027</v>
      </c>
      <c r="R8" s="498">
        <f t="shared" si="0"/>
        <v>2028</v>
      </c>
      <c r="S8" s="498">
        <f t="shared" si="0"/>
        <v>2029</v>
      </c>
      <c r="T8" s="498">
        <f t="shared" si="0"/>
        <v>2030</v>
      </c>
      <c r="U8" s="498">
        <f t="shared" si="0"/>
        <v>2031</v>
      </c>
      <c r="V8" s="498">
        <f t="shared" si="0"/>
        <v>2032</v>
      </c>
      <c r="W8" s="498">
        <f t="shared" si="0"/>
        <v>2033</v>
      </c>
    </row>
    <row r="9" spans="1:23">
      <c r="A9" s="206" t="s">
        <v>226</v>
      </c>
      <c r="B9" s="205">
        <v>1.4999999999999999E-2</v>
      </c>
      <c r="C9" s="495">
        <v>3.6409999999999998E-2</v>
      </c>
      <c r="D9" s="199">
        <f>C9*(1+B9)^(D8-C8)</f>
        <v>3.9812269240151507E-2</v>
      </c>
      <c r="E9" s="199">
        <f t="shared" ref="E9:W9" si="1">D9*(1+$B9)</f>
        <v>4.0409453278753775E-2</v>
      </c>
      <c r="F9" s="199">
        <f t="shared" si="1"/>
        <v>4.1015595077935077E-2</v>
      </c>
      <c r="G9" s="199">
        <f t="shared" si="1"/>
        <v>4.16308290041041E-2</v>
      </c>
      <c r="H9" s="199">
        <f t="shared" si="1"/>
        <v>4.2255291439165656E-2</v>
      </c>
      <c r="I9" s="199">
        <f t="shared" si="1"/>
        <v>4.2889120810753134E-2</v>
      </c>
      <c r="J9" s="199">
        <f t="shared" si="1"/>
        <v>4.3532457622914425E-2</v>
      </c>
      <c r="K9" s="199">
        <f t="shared" si="1"/>
        <v>4.4185444487258134E-2</v>
      </c>
      <c r="L9" s="199">
        <f t="shared" si="1"/>
        <v>4.4848226154567003E-2</v>
      </c>
      <c r="M9" s="199">
        <f t="shared" si="1"/>
        <v>4.55209495468855E-2</v>
      </c>
      <c r="N9" s="199">
        <f t="shared" si="1"/>
        <v>4.6203763790088781E-2</v>
      </c>
      <c r="O9" s="199">
        <f t="shared" si="1"/>
        <v>4.6896820246940106E-2</v>
      </c>
      <c r="P9" s="199">
        <f t="shared" si="1"/>
        <v>4.7600272550644203E-2</v>
      </c>
      <c r="Q9" s="199">
        <f t="shared" si="1"/>
        <v>4.8314276638903864E-2</v>
      </c>
      <c r="R9" s="199">
        <f t="shared" si="1"/>
        <v>4.9038990788487419E-2</v>
      </c>
      <c r="S9" s="199">
        <f t="shared" si="1"/>
        <v>4.9774575650314727E-2</v>
      </c>
      <c r="T9" s="199">
        <f t="shared" si="1"/>
        <v>5.0521194285069446E-2</v>
      </c>
      <c r="U9" s="199">
        <f t="shared" si="1"/>
        <v>5.1279012199345483E-2</v>
      </c>
      <c r="V9" s="199">
        <f t="shared" si="1"/>
        <v>5.2048197382335661E-2</v>
      </c>
      <c r="W9" s="199">
        <f t="shared" si="1"/>
        <v>5.2828920343070691E-2</v>
      </c>
    </row>
    <row r="10" spans="1:23">
      <c r="A10" s="206" t="s">
        <v>227</v>
      </c>
      <c r="B10" s="205">
        <v>1.4999999999999999E-2</v>
      </c>
      <c r="C10" s="496">
        <v>13.694393303571427</v>
      </c>
      <c r="D10" s="199">
        <f>C10*(1+B10)^(D8-C8)</f>
        <v>14.97404211157137</v>
      </c>
      <c r="E10" s="199">
        <f t="shared" ref="E10:W10" si="2">D10*(1+$B10)</f>
        <v>15.198652743244939</v>
      </c>
      <c r="F10" s="199">
        <f t="shared" si="2"/>
        <v>15.426632534393612</v>
      </c>
      <c r="G10" s="199">
        <f t="shared" si="2"/>
        <v>15.658032022409515</v>
      </c>
      <c r="H10" s="199">
        <f t="shared" si="2"/>
        <v>15.892902502745656</v>
      </c>
      <c r="I10" s="199">
        <f t="shared" si="2"/>
        <v>16.131296040286838</v>
      </c>
      <c r="J10" s="199">
        <f t="shared" si="2"/>
        <v>16.373265480891138</v>
      </c>
      <c r="K10" s="199">
        <f t="shared" si="2"/>
        <v>16.618864463104504</v>
      </c>
      <c r="L10" s="199">
        <f t="shared" si="2"/>
        <v>16.868147430051071</v>
      </c>
      <c r="M10" s="199">
        <f t="shared" si="2"/>
        <v>17.121169641501837</v>
      </c>
      <c r="N10" s="199">
        <f t="shared" si="2"/>
        <v>17.377987186124361</v>
      </c>
      <c r="O10" s="199">
        <f t="shared" si="2"/>
        <v>17.638656993916225</v>
      </c>
      <c r="P10" s="199">
        <f t="shared" si="2"/>
        <v>17.903236848824967</v>
      </c>
      <c r="Q10" s="199">
        <f t="shared" si="2"/>
        <v>18.17178540155734</v>
      </c>
      <c r="R10" s="199">
        <f t="shared" si="2"/>
        <v>18.444362182580697</v>
      </c>
      <c r="S10" s="199">
        <f t="shared" si="2"/>
        <v>18.721027615319407</v>
      </c>
      <c r="T10" s="199">
        <f t="shared" si="2"/>
        <v>19.001843029549196</v>
      </c>
      <c r="U10" s="199">
        <f t="shared" si="2"/>
        <v>19.286870674992432</v>
      </c>
      <c r="V10" s="199">
        <f t="shared" si="2"/>
        <v>19.576173735117315</v>
      </c>
      <c r="W10" s="199">
        <f t="shared" si="2"/>
        <v>19.869816341144073</v>
      </c>
    </row>
    <row r="11" spans="1:23">
      <c r="A11" s="206" t="s">
        <v>278</v>
      </c>
      <c r="B11" s="205">
        <v>0</v>
      </c>
      <c r="C11" s="496">
        <v>1.14E-2</v>
      </c>
      <c r="D11" s="199">
        <f>C11*(1+B11)^(D8-C8)</f>
        <v>1.14E-2</v>
      </c>
      <c r="E11" s="199">
        <f t="shared" ref="E11:W11" si="3">D11*(1+$B11)</f>
        <v>1.14E-2</v>
      </c>
      <c r="F11" s="199">
        <f t="shared" si="3"/>
        <v>1.14E-2</v>
      </c>
      <c r="G11" s="199">
        <f t="shared" si="3"/>
        <v>1.14E-2</v>
      </c>
      <c r="H11" s="199">
        <f t="shared" si="3"/>
        <v>1.14E-2</v>
      </c>
      <c r="I11" s="199">
        <f t="shared" si="3"/>
        <v>1.14E-2</v>
      </c>
      <c r="J11" s="199">
        <f t="shared" si="3"/>
        <v>1.14E-2</v>
      </c>
      <c r="K11" s="199">
        <f t="shared" si="3"/>
        <v>1.14E-2</v>
      </c>
      <c r="L11" s="199">
        <f t="shared" si="3"/>
        <v>1.14E-2</v>
      </c>
      <c r="M11" s="199">
        <f t="shared" si="3"/>
        <v>1.14E-2</v>
      </c>
      <c r="N11" s="199">
        <f t="shared" si="3"/>
        <v>1.14E-2</v>
      </c>
      <c r="O11" s="199">
        <f t="shared" si="3"/>
        <v>1.14E-2</v>
      </c>
      <c r="P11" s="199">
        <f t="shared" si="3"/>
        <v>1.14E-2</v>
      </c>
      <c r="Q11" s="199">
        <f t="shared" si="3"/>
        <v>1.14E-2</v>
      </c>
      <c r="R11" s="199">
        <f t="shared" si="3"/>
        <v>1.14E-2</v>
      </c>
      <c r="S11" s="199">
        <f t="shared" si="3"/>
        <v>1.14E-2</v>
      </c>
      <c r="T11" s="199">
        <f t="shared" si="3"/>
        <v>1.14E-2</v>
      </c>
      <c r="U11" s="199">
        <f t="shared" si="3"/>
        <v>1.14E-2</v>
      </c>
      <c r="V11" s="199">
        <f t="shared" si="3"/>
        <v>1.14E-2</v>
      </c>
      <c r="W11" s="199">
        <f t="shared" si="3"/>
        <v>1.14E-2</v>
      </c>
    </row>
    <row r="13" spans="1:23">
      <c r="A13" s="197" t="s">
        <v>280</v>
      </c>
    </row>
    <row r="14" spans="1:23">
      <c r="A14" s="200" t="s">
        <v>12</v>
      </c>
      <c r="B14" s="205">
        <v>1.4999999999999999E-2</v>
      </c>
      <c r="C14" s="205"/>
      <c r="D14" s="204">
        <f>0.124287370838228*1.08</f>
        <v>0.13423036050528625</v>
      </c>
      <c r="E14" s="203">
        <f t="shared" ref="E14:W14" si="4">D14*(1+$B14)</f>
        <v>0.13624381591286552</v>
      </c>
      <c r="F14" s="203">
        <f t="shared" si="4"/>
        <v>0.13828747315155848</v>
      </c>
      <c r="G14" s="203">
        <f t="shared" si="4"/>
        <v>0.14036178524883183</v>
      </c>
      <c r="H14" s="203">
        <f t="shared" si="4"/>
        <v>0.14246721202756429</v>
      </c>
      <c r="I14" s="203">
        <f t="shared" si="4"/>
        <v>0.14460422020797775</v>
      </c>
      <c r="J14" s="203">
        <f t="shared" si="4"/>
        <v>0.14677328351109739</v>
      </c>
      <c r="K14" s="203">
        <f t="shared" si="4"/>
        <v>0.14897488276376383</v>
      </c>
      <c r="L14" s="203">
        <f t="shared" si="4"/>
        <v>0.15120950600522026</v>
      </c>
      <c r="M14" s="203">
        <f t="shared" si="4"/>
        <v>0.15347764859529855</v>
      </c>
      <c r="N14" s="203">
        <f t="shared" si="4"/>
        <v>0.15577981332422802</v>
      </c>
      <c r="O14" s="203">
        <f t="shared" si="4"/>
        <v>0.15811651052409142</v>
      </c>
      <c r="P14" s="203">
        <f t="shared" si="4"/>
        <v>0.16048825818195278</v>
      </c>
      <c r="Q14" s="203">
        <f t="shared" si="4"/>
        <v>0.16289558205468205</v>
      </c>
      <c r="R14" s="203">
        <f t="shared" si="4"/>
        <v>0.16533901578550225</v>
      </c>
      <c r="S14" s="203">
        <f t="shared" si="4"/>
        <v>0.16781910102228478</v>
      </c>
      <c r="T14" s="203">
        <f t="shared" si="4"/>
        <v>0.17033638753761904</v>
      </c>
      <c r="U14" s="203">
        <f t="shared" si="4"/>
        <v>0.1728914333506833</v>
      </c>
      <c r="V14" s="203">
        <f t="shared" si="4"/>
        <v>0.17548480485094353</v>
      </c>
      <c r="W14" s="203">
        <f t="shared" si="4"/>
        <v>0.17811707692370768</v>
      </c>
    </row>
    <row r="15" spans="1:23">
      <c r="A15" s="200" t="s">
        <v>279</v>
      </c>
      <c r="B15" s="205">
        <v>1.4999999999999999E-2</v>
      </c>
      <c r="C15" s="205"/>
      <c r="D15" s="204">
        <f>0.101108805254185*1.08</f>
        <v>0.10919750967451981</v>
      </c>
      <c r="E15" s="203">
        <f t="shared" ref="E15:W15" si="5">D15*(1+$B15)</f>
        <v>0.1108354723196376</v>
      </c>
      <c r="F15" s="203">
        <f t="shared" si="5"/>
        <v>0.11249800440443215</v>
      </c>
      <c r="G15" s="203">
        <f t="shared" si="5"/>
        <v>0.11418547447049862</v>
      </c>
      <c r="H15" s="203">
        <f t="shared" si="5"/>
        <v>0.11589825658755609</v>
      </c>
      <c r="I15" s="203">
        <f t="shared" si="5"/>
        <v>0.11763673043636942</v>
      </c>
      <c r="J15" s="203">
        <f t="shared" si="5"/>
        <v>0.11940128139291495</v>
      </c>
      <c r="K15" s="203">
        <f t="shared" si="5"/>
        <v>0.12119230061380866</v>
      </c>
      <c r="L15" s="203">
        <f t="shared" si="5"/>
        <v>0.12301018512301577</v>
      </c>
      <c r="M15" s="203">
        <f t="shared" si="5"/>
        <v>0.124855337899861</v>
      </c>
      <c r="N15" s="203">
        <f t="shared" si="5"/>
        <v>0.1267281679683589</v>
      </c>
      <c r="O15" s="203">
        <f t="shared" si="5"/>
        <v>0.12862909048788426</v>
      </c>
      <c r="P15" s="203">
        <f t="shared" si="5"/>
        <v>0.13055852684520253</v>
      </c>
      <c r="Q15" s="203">
        <f t="shared" si="5"/>
        <v>0.13251690474788055</v>
      </c>
      <c r="R15" s="203">
        <f t="shared" si="5"/>
        <v>0.13450465831909875</v>
      </c>
      <c r="S15" s="203">
        <f t="shared" si="5"/>
        <v>0.13652222819388521</v>
      </c>
      <c r="T15" s="203">
        <f t="shared" si="5"/>
        <v>0.13857006161679347</v>
      </c>
      <c r="U15" s="203">
        <f t="shared" si="5"/>
        <v>0.14064861254104535</v>
      </c>
      <c r="V15" s="203">
        <f t="shared" si="5"/>
        <v>0.14275834172916102</v>
      </c>
      <c r="W15" s="203">
        <f t="shared" si="5"/>
        <v>0.14489971685509842</v>
      </c>
    </row>
    <row r="16" spans="1:23">
      <c r="A16" s="200" t="s">
        <v>229</v>
      </c>
      <c r="B16" s="205">
        <v>1.4999999999999999E-2</v>
      </c>
      <c r="C16" s="205"/>
      <c r="D16" s="204">
        <f>0.118093337319287*1.08</f>
        <v>0.12754080430482997</v>
      </c>
      <c r="E16" s="203">
        <f t="shared" ref="E16:W16" si="6">D16*(1+$B16)</f>
        <v>0.1294539163694024</v>
      </c>
      <c r="F16" s="203">
        <f t="shared" si="6"/>
        <v>0.13139572511494343</v>
      </c>
      <c r="G16" s="203">
        <f t="shared" si="6"/>
        <v>0.13336666099166758</v>
      </c>
      <c r="H16" s="203">
        <f t="shared" si="6"/>
        <v>0.13536716090654258</v>
      </c>
      <c r="I16" s="203">
        <f t="shared" si="6"/>
        <v>0.13739766832014069</v>
      </c>
      <c r="J16" s="203">
        <f t="shared" si="6"/>
        <v>0.1394586333449428</v>
      </c>
      <c r="K16" s="203">
        <f t="shared" si="6"/>
        <v>0.14155051284511691</v>
      </c>
      <c r="L16" s="203">
        <f t="shared" si="6"/>
        <v>0.14367377053779365</v>
      </c>
      <c r="M16" s="203">
        <f t="shared" si="6"/>
        <v>0.14582887709586054</v>
      </c>
      <c r="N16" s="203">
        <f t="shared" si="6"/>
        <v>0.14801631025229844</v>
      </c>
      <c r="O16" s="203">
        <f t="shared" si="6"/>
        <v>0.1502365549060829</v>
      </c>
      <c r="P16" s="203">
        <f t="shared" si="6"/>
        <v>0.15249010322967413</v>
      </c>
      <c r="Q16" s="203">
        <f t="shared" si="6"/>
        <v>0.15477745477811922</v>
      </c>
      <c r="R16" s="203">
        <f t="shared" si="6"/>
        <v>0.15709911659979098</v>
      </c>
      <c r="S16" s="203">
        <f t="shared" si="6"/>
        <v>0.15945560334878783</v>
      </c>
      <c r="T16" s="203">
        <f t="shared" si="6"/>
        <v>0.16184743739901963</v>
      </c>
      <c r="U16" s="203">
        <f t="shared" si="6"/>
        <v>0.16427514896000492</v>
      </c>
      <c r="V16" s="203">
        <f t="shared" si="6"/>
        <v>0.16673927619440498</v>
      </c>
      <c r="W16" s="203">
        <f t="shared" si="6"/>
        <v>0.16924036533732104</v>
      </c>
    </row>
    <row r="17" spans="1:23">
      <c r="A17" s="200" t="s">
        <v>228</v>
      </c>
      <c r="B17" s="205">
        <v>1.4999999999999999E-2</v>
      </c>
      <c r="C17" s="205"/>
      <c r="D17" s="204">
        <f>0.0753637903036966*1.08</f>
        <v>8.1392893527992324E-2</v>
      </c>
      <c r="E17" s="203">
        <f t="shared" ref="E17:W17" si="7">D17*(1+$B17)</f>
        <v>8.2613786930912203E-2</v>
      </c>
      <c r="F17" s="203">
        <f t="shared" si="7"/>
        <v>8.3852993734875883E-2</v>
      </c>
      <c r="G17" s="203">
        <f t="shared" si="7"/>
        <v>8.5110788640899007E-2</v>
      </c>
      <c r="H17" s="203">
        <f t="shared" si="7"/>
        <v>8.6387450470512481E-2</v>
      </c>
      <c r="I17" s="203">
        <f t="shared" si="7"/>
        <v>8.7683262227570155E-2</v>
      </c>
      <c r="J17" s="203">
        <f t="shared" si="7"/>
        <v>8.8998511160983701E-2</v>
      </c>
      <c r="K17" s="203">
        <f t="shared" si="7"/>
        <v>9.0333488828398451E-2</v>
      </c>
      <c r="L17" s="203">
        <f t="shared" si="7"/>
        <v>9.168849116082442E-2</v>
      </c>
      <c r="M17" s="203">
        <f t="shared" si="7"/>
        <v>9.306381852823678E-2</v>
      </c>
      <c r="N17" s="203">
        <f t="shared" si="7"/>
        <v>9.4459775806160329E-2</v>
      </c>
      <c r="O17" s="203">
        <f t="shared" si="7"/>
        <v>9.5876672443252722E-2</v>
      </c>
      <c r="P17" s="203">
        <f t="shared" si="7"/>
        <v>9.7314822529901507E-2</v>
      </c>
      <c r="Q17" s="203">
        <f t="shared" si="7"/>
        <v>9.877454486785002E-2</v>
      </c>
      <c r="R17" s="203">
        <f t="shared" si="7"/>
        <v>0.10025616304086776</v>
      </c>
      <c r="S17" s="203">
        <f t="shared" si="7"/>
        <v>0.10176000548648077</v>
      </c>
      <c r="T17" s="203">
        <f t="shared" si="7"/>
        <v>0.10328640556877798</v>
      </c>
      <c r="U17" s="203">
        <f t="shared" si="7"/>
        <v>0.10483570165230964</v>
      </c>
      <c r="V17" s="203">
        <f t="shared" si="7"/>
        <v>0.10640823717709427</v>
      </c>
      <c r="W17" s="203">
        <f t="shared" si="7"/>
        <v>0.10800436073475067</v>
      </c>
    </row>
    <row r="19" spans="1:23">
      <c r="A19" s="200" t="s">
        <v>112</v>
      </c>
      <c r="B19" s="205"/>
      <c r="C19" s="205"/>
      <c r="D19" s="204">
        <f t="shared" ref="D19:W19" si="8">AVERAGE(D16:D17)</f>
        <v>0.10446684891641114</v>
      </c>
      <c r="E19" s="204">
        <f t="shared" si="8"/>
        <v>0.1060338516501573</v>
      </c>
      <c r="F19" s="204">
        <f t="shared" si="8"/>
        <v>0.10762435942490967</v>
      </c>
      <c r="G19" s="204">
        <f t="shared" si="8"/>
        <v>0.1092387248162833</v>
      </c>
      <c r="H19" s="204">
        <f t="shared" si="8"/>
        <v>0.11087730568852752</v>
      </c>
      <c r="I19" s="204">
        <f t="shared" si="8"/>
        <v>0.11254046527385542</v>
      </c>
      <c r="J19" s="204">
        <f t="shared" si="8"/>
        <v>0.11422857225296325</v>
      </c>
      <c r="K19" s="204">
        <f t="shared" si="8"/>
        <v>0.11594200083675768</v>
      </c>
      <c r="L19" s="204">
        <f t="shared" si="8"/>
        <v>0.11768113084930903</v>
      </c>
      <c r="M19" s="204">
        <f t="shared" si="8"/>
        <v>0.11944634781204866</v>
      </c>
      <c r="N19" s="204">
        <f t="shared" si="8"/>
        <v>0.12123804302922939</v>
      </c>
      <c r="O19" s="204">
        <f t="shared" si="8"/>
        <v>0.1230566136746678</v>
      </c>
      <c r="P19" s="204">
        <f t="shared" si="8"/>
        <v>0.12490246287978782</v>
      </c>
      <c r="Q19" s="204">
        <f t="shared" si="8"/>
        <v>0.12677599982298463</v>
      </c>
      <c r="R19" s="204">
        <f t="shared" si="8"/>
        <v>0.12867763982032937</v>
      </c>
      <c r="S19" s="204">
        <f t="shared" si="8"/>
        <v>0.13060780441763431</v>
      </c>
      <c r="T19" s="204">
        <f t="shared" si="8"/>
        <v>0.13256692148389881</v>
      </c>
      <c r="U19" s="204">
        <f t="shared" si="8"/>
        <v>0.13455542530615727</v>
      </c>
      <c r="V19" s="204">
        <f t="shared" si="8"/>
        <v>0.13657375668574961</v>
      </c>
      <c r="W19" s="204">
        <f t="shared" si="8"/>
        <v>0.13862236303603587</v>
      </c>
    </row>
    <row r="20" spans="1:23">
      <c r="A20" s="478" t="s">
        <v>437</v>
      </c>
      <c r="B20" s="423"/>
      <c r="C20" s="423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</row>
    <row r="21" spans="1:23">
      <c r="A21" s="478" t="s">
        <v>436</v>
      </c>
      <c r="B21" s="423"/>
      <c r="C21" s="423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</row>
    <row r="22" spans="1:23">
      <c r="B22" s="423"/>
      <c r="C22" s="423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424"/>
    </row>
    <row r="23" spans="1:23">
      <c r="B23" s="423"/>
      <c r="C23" s="423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4"/>
      <c r="W23" s="424"/>
    </row>
    <row r="24" spans="1:23">
      <c r="B24" s="423"/>
      <c r="C24" s="423"/>
      <c r="D24" s="424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</row>
    <row r="25" spans="1:23">
      <c r="B25" s="423"/>
      <c r="C25" s="423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</row>
  </sheetData>
  <conditionalFormatting sqref="A9:A11 C10:C11">
    <cfRule type="expression" dxfId="1" priority="18">
      <formula>"d29='Yes'"</formula>
    </cfRule>
  </conditionalFormatting>
  <conditionalFormatting sqref="A9:A11 C10:C11">
    <cfRule type="expression" dxfId="0" priority="20">
      <formula>#REF!="Yes"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E16" workbookViewId="0">
      <selection activeCell="K19" sqref="K19"/>
    </sheetView>
  </sheetViews>
  <sheetFormatPr defaultColWidth="8.88671875" defaultRowHeight="15.6"/>
  <cols>
    <col min="1" max="2" width="4.6640625" style="652" customWidth="1"/>
    <col min="3" max="3" width="18.88671875" style="652" bestFit="1" customWidth="1"/>
    <col min="4" max="4" width="41.109375" style="652" customWidth="1"/>
    <col min="5" max="5" width="5.6640625" style="652" customWidth="1"/>
    <col min="6" max="6" width="14.6640625" style="652" customWidth="1"/>
    <col min="7" max="7" width="0.88671875" style="652" customWidth="1"/>
    <col min="8" max="8" width="14.6640625" style="652" customWidth="1"/>
    <col min="9" max="9" width="15.109375" style="652" customWidth="1"/>
    <col min="10" max="13" width="8.88671875" style="652"/>
    <col min="14" max="14" width="14.88671875" style="652" bestFit="1" customWidth="1"/>
    <col min="15" max="16384" width="8.88671875" style="652"/>
  </cols>
  <sheetData>
    <row r="1" spans="1:9" ht="21">
      <c r="A1" s="651" t="s">
        <v>543</v>
      </c>
    </row>
    <row r="2" spans="1:9" ht="18">
      <c r="A2" s="653" t="s">
        <v>544</v>
      </c>
    </row>
    <row r="4" spans="1:9">
      <c r="A4" s="652" t="s">
        <v>545</v>
      </c>
    </row>
    <row r="6" spans="1:9">
      <c r="H6" s="665" t="s">
        <v>571</v>
      </c>
    </row>
    <row r="7" spans="1:9" ht="16.2" thickBot="1">
      <c r="A7" s="654" t="s">
        <v>546</v>
      </c>
      <c r="F7" s="666" t="s">
        <v>12</v>
      </c>
      <c r="H7" s="666" t="s">
        <v>228</v>
      </c>
    </row>
    <row r="8" spans="1:9">
      <c r="A8" s="655">
        <v>1</v>
      </c>
      <c r="B8" s="652" t="s">
        <v>547</v>
      </c>
    </row>
    <row r="10" spans="1:9">
      <c r="A10" s="655">
        <v>2</v>
      </c>
      <c r="C10" s="652" t="s">
        <v>548</v>
      </c>
      <c r="D10" s="652" t="s">
        <v>549</v>
      </c>
      <c r="F10" s="656">
        <v>342439</v>
      </c>
      <c r="G10" s="656"/>
      <c r="H10" s="656">
        <v>698590</v>
      </c>
    </row>
    <row r="11" spans="1:9">
      <c r="F11" s="657"/>
      <c r="G11" s="657"/>
      <c r="H11" s="657"/>
    </row>
    <row r="12" spans="1:9">
      <c r="A12" s="655">
        <v>3</v>
      </c>
      <c r="C12" s="652" t="s">
        <v>550</v>
      </c>
      <c r="D12" s="652" t="s">
        <v>551</v>
      </c>
      <c r="F12" s="656">
        <f>41*17600</f>
        <v>721600</v>
      </c>
      <c r="G12" s="656"/>
      <c r="H12" s="656">
        <f>41*12300</f>
        <v>504300</v>
      </c>
    </row>
    <row r="13" spans="1:9">
      <c r="D13" s="652" t="s">
        <v>572</v>
      </c>
      <c r="F13" s="658"/>
      <c r="G13" s="658"/>
      <c r="H13" s="658"/>
    </row>
    <row r="14" spans="1:9" ht="16.2" thickBot="1">
      <c r="F14" s="659"/>
      <c r="G14" s="667"/>
      <c r="H14" s="659"/>
    </row>
    <row r="15" spans="1:9" ht="16.2" thickTop="1">
      <c r="A15" s="655">
        <v>4</v>
      </c>
      <c r="D15" s="652" t="s">
        <v>553</v>
      </c>
      <c r="F15" s="660">
        <f>+F10+F12</f>
        <v>1064039</v>
      </c>
      <c r="G15" s="660"/>
      <c r="H15" s="660">
        <f>+H10+H12</f>
        <v>1202890</v>
      </c>
      <c r="I15" s="652" t="s">
        <v>554</v>
      </c>
    </row>
    <row r="19" spans="1:15">
      <c r="A19" s="655">
        <v>5</v>
      </c>
      <c r="B19" s="652" t="s">
        <v>555</v>
      </c>
      <c r="N19" s="658">
        <f>4000*5</f>
        <v>20000</v>
      </c>
      <c r="O19" s="652" t="s">
        <v>556</v>
      </c>
    </row>
    <row r="20" spans="1:15">
      <c r="N20" s="658">
        <v>15000</v>
      </c>
      <c r="O20" s="652" t="s">
        <v>265</v>
      </c>
    </row>
    <row r="21" spans="1:15">
      <c r="C21" s="652" t="s">
        <v>557</v>
      </c>
      <c r="N21" s="658">
        <v>90440</v>
      </c>
      <c r="O21" s="652" t="s">
        <v>558</v>
      </c>
    </row>
    <row r="22" spans="1:15">
      <c r="A22" s="655">
        <v>6</v>
      </c>
      <c r="D22" s="652" t="s">
        <v>559</v>
      </c>
      <c r="F22" s="656">
        <f>((N19+N20+N27)*50%)+N23</f>
        <v>39938.625</v>
      </c>
      <c r="G22" s="656"/>
      <c r="H22" s="656">
        <f>((N19+N20+N27)*50%)+N21+N22</f>
        <v>160061.375</v>
      </c>
      <c r="N22" s="658">
        <v>50000</v>
      </c>
      <c r="O22" s="652" t="s">
        <v>560</v>
      </c>
    </row>
    <row r="23" spans="1:15">
      <c r="N23" s="661">
        <v>20317.25</v>
      </c>
      <c r="O23" s="652" t="s">
        <v>561</v>
      </c>
    </row>
    <row r="24" spans="1:15">
      <c r="A24" s="655">
        <v>7</v>
      </c>
      <c r="C24" s="652" t="s">
        <v>562</v>
      </c>
      <c r="F24" s="656">
        <f>50000*50%</f>
        <v>25000</v>
      </c>
      <c r="G24" s="656"/>
      <c r="H24" s="656">
        <f>50000*50%</f>
        <v>25000</v>
      </c>
      <c r="N24" s="662">
        <f>SUM(N19:N23)</f>
        <v>195757.25</v>
      </c>
    </row>
    <row r="26" spans="1:15">
      <c r="C26" s="652" t="s">
        <v>563</v>
      </c>
      <c r="N26" s="658">
        <v>200000</v>
      </c>
    </row>
    <row r="27" spans="1:15">
      <c r="A27" s="655">
        <v>8</v>
      </c>
      <c r="D27" s="652" t="s">
        <v>564</v>
      </c>
      <c r="F27" s="656">
        <f>SUM(Tables!E16:E22)</f>
        <v>101584.53</v>
      </c>
      <c r="G27" s="656"/>
      <c r="H27" s="656">
        <f>SUM(Tables!E23:E25)</f>
        <v>305474</v>
      </c>
      <c r="N27" s="662">
        <f>+N26-N24</f>
        <v>4242.75</v>
      </c>
    </row>
    <row r="28" spans="1:15">
      <c r="A28" s="655">
        <v>9</v>
      </c>
      <c r="D28" s="652" t="s">
        <v>565</v>
      </c>
      <c r="F28" s="656">
        <f>SUM(Tables!E29:E35)</f>
        <v>296240.3125</v>
      </c>
      <c r="G28" s="656"/>
      <c r="H28" s="656">
        <f>SUM(Tables!E36:E38)</f>
        <v>479989.86000000004</v>
      </c>
    </row>
    <row r="29" spans="1:15" ht="16.2" thickBot="1">
      <c r="A29" s="655">
        <v>10</v>
      </c>
      <c r="D29" s="652" t="s">
        <v>566</v>
      </c>
      <c r="F29" s="663">
        <f>SUM(Tables!E42:E48)</f>
        <v>339088.75</v>
      </c>
      <c r="G29" s="668"/>
      <c r="H29" s="663">
        <f>SUM(Tables!E49:E51)</f>
        <v>579592.43999999994</v>
      </c>
    </row>
    <row r="30" spans="1:15" ht="16.2" thickTop="1">
      <c r="A30" s="655">
        <v>11</v>
      </c>
      <c r="D30" s="664" t="s">
        <v>567</v>
      </c>
      <c r="F30" s="660">
        <f>SUM(F27:F29)</f>
        <v>736913.59250000003</v>
      </c>
      <c r="G30" s="660"/>
      <c r="H30" s="660">
        <f>SUM(H27:H29)</f>
        <v>1365056.3</v>
      </c>
      <c r="I30" s="652" t="s">
        <v>568</v>
      </c>
    </row>
    <row r="31" spans="1:15">
      <c r="A31" s="655"/>
      <c r="D31" s="664"/>
      <c r="F31" s="660"/>
      <c r="G31" s="660"/>
      <c r="H31" s="660"/>
    </row>
    <row r="32" spans="1:15">
      <c r="A32" s="655">
        <v>12</v>
      </c>
      <c r="C32" s="652" t="s">
        <v>574</v>
      </c>
      <c r="D32" s="664"/>
      <c r="F32" s="660">
        <f>+F22+F24+F30</f>
        <v>801852.21750000003</v>
      </c>
      <c r="G32" s="660"/>
      <c r="H32" s="660">
        <f>+H22+H24+H30</f>
        <v>1550117.675</v>
      </c>
      <c r="I32" s="652" t="s">
        <v>570</v>
      </c>
    </row>
    <row r="33" spans="1:9">
      <c r="A33" s="655"/>
      <c r="D33" s="664"/>
      <c r="F33" s="660"/>
      <c r="G33" s="660"/>
      <c r="H33" s="660"/>
    </row>
    <row r="34" spans="1:9">
      <c r="A34" s="655">
        <v>13</v>
      </c>
      <c r="C34" s="652" t="s">
        <v>573</v>
      </c>
      <c r="D34" s="664"/>
      <c r="F34" s="660">
        <f>ROUND(F32*30%,0)</f>
        <v>240556</v>
      </c>
      <c r="G34" s="660"/>
      <c r="H34" s="660">
        <f>ROUND(H32*30%,0)</f>
        <v>465035</v>
      </c>
      <c r="I34" s="652" t="s">
        <v>575</v>
      </c>
    </row>
    <row r="35" spans="1:9" ht="16.2" thickBot="1">
      <c r="F35" s="659"/>
      <c r="G35" s="667"/>
      <c r="H35" s="659"/>
    </row>
    <row r="36" spans="1:9" ht="16.2" thickTop="1">
      <c r="A36" s="655">
        <v>14</v>
      </c>
      <c r="D36" s="652" t="s">
        <v>569</v>
      </c>
      <c r="F36" s="660">
        <f>+F32+F34</f>
        <v>1042408.2175</v>
      </c>
      <c r="G36" s="660"/>
      <c r="H36" s="660">
        <f>+H32+H34</f>
        <v>2015152.675</v>
      </c>
      <c r="I36" s="652" t="s">
        <v>576</v>
      </c>
    </row>
  </sheetData>
  <pageMargins left="0.75" right="0.5" top="0.75" bottom="0.5" header="0.3" footer="0.3"/>
  <pageSetup scale="76" orientation="portrait" r:id="rId1"/>
  <headerFooter>
    <oddHeader>&amp;CAttachment 3
Overall Summary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workbookViewId="0">
      <selection activeCell="H45" sqref="H45"/>
    </sheetView>
  </sheetViews>
  <sheetFormatPr defaultColWidth="8.88671875" defaultRowHeight="15.6"/>
  <cols>
    <col min="1" max="2" width="4.6640625" style="652" customWidth="1"/>
    <col min="3" max="3" width="18.88671875" style="652" bestFit="1" customWidth="1"/>
    <col min="4" max="4" width="41.109375" style="652" customWidth="1"/>
    <col min="5" max="5" width="5.6640625" style="652" customWidth="1"/>
    <col min="6" max="6" width="14.6640625" style="652" customWidth="1"/>
    <col min="7" max="7" width="0.88671875" style="652" customWidth="1"/>
    <col min="8" max="8" width="14.6640625" style="652" customWidth="1"/>
    <col min="9" max="9" width="6.109375" style="652" customWidth="1"/>
    <col min="10" max="10" width="17.5546875" style="652" customWidth="1"/>
    <col min="11" max="11" width="12.33203125" style="652" bestFit="1" customWidth="1"/>
    <col min="12" max="14" width="8.88671875" style="652"/>
    <col min="15" max="15" width="14.88671875" style="652" bestFit="1" customWidth="1"/>
    <col min="16" max="16384" width="8.88671875" style="652"/>
  </cols>
  <sheetData>
    <row r="1" spans="1:10" ht="21">
      <c r="A1" s="651" t="s">
        <v>543</v>
      </c>
    </row>
    <row r="2" spans="1:10" ht="18">
      <c r="A2" s="653" t="s">
        <v>544</v>
      </c>
    </row>
    <row r="4" spans="1:10">
      <c r="A4" s="652" t="s">
        <v>545</v>
      </c>
    </row>
    <row r="6" spans="1:10">
      <c r="H6" s="665" t="s">
        <v>571</v>
      </c>
      <c r="I6" s="665"/>
    </row>
    <row r="7" spans="1:10" ht="16.2" thickBot="1">
      <c r="A7" s="654" t="s">
        <v>546</v>
      </c>
      <c r="F7" s="666" t="s">
        <v>12</v>
      </c>
      <c r="H7" s="666" t="s">
        <v>228</v>
      </c>
      <c r="I7" s="672"/>
    </row>
    <row r="8" spans="1:10">
      <c r="A8" s="655">
        <v>1</v>
      </c>
      <c r="B8" s="652" t="s">
        <v>547</v>
      </c>
    </row>
    <row r="10" spans="1:10">
      <c r="A10" s="655">
        <v>2</v>
      </c>
      <c r="C10" s="652" t="s">
        <v>548</v>
      </c>
      <c r="D10" s="652" t="s">
        <v>549</v>
      </c>
      <c r="F10" s="656">
        <v>342439</v>
      </c>
      <c r="G10" s="656"/>
      <c r="H10" s="656">
        <v>698590</v>
      </c>
      <c r="I10" s="656"/>
    </row>
    <row r="11" spans="1:10">
      <c r="F11" s="657"/>
      <c r="G11" s="657"/>
      <c r="H11" s="657"/>
      <c r="I11" s="657"/>
    </row>
    <row r="12" spans="1:10">
      <c r="A12" s="655">
        <v>3</v>
      </c>
      <c r="C12" s="652" t="s">
        <v>550</v>
      </c>
      <c r="D12" s="652" t="s">
        <v>559</v>
      </c>
      <c r="F12" s="656">
        <f>5*17600</f>
        <v>88000</v>
      </c>
      <c r="G12" s="656"/>
      <c r="H12" s="656">
        <f>5*12300</f>
        <v>61500</v>
      </c>
      <c r="I12" s="656"/>
    </row>
    <row r="13" spans="1:10">
      <c r="D13" s="652" t="s">
        <v>577</v>
      </c>
      <c r="F13" s="658"/>
      <c r="G13" s="658"/>
      <c r="H13" s="658"/>
      <c r="I13" s="658"/>
    </row>
    <row r="14" spans="1:10" ht="16.2" thickBot="1">
      <c r="F14" s="659"/>
      <c r="G14" s="667"/>
      <c r="H14" s="659"/>
      <c r="I14" s="667"/>
    </row>
    <row r="15" spans="1:10" ht="16.2" thickTop="1">
      <c r="A15" s="655">
        <v>4</v>
      </c>
      <c r="D15" s="652" t="s">
        <v>553</v>
      </c>
      <c r="F15" s="660">
        <f>+F10+F12</f>
        <v>430439</v>
      </c>
      <c r="G15" s="660"/>
      <c r="H15" s="660">
        <f>+H10+H12</f>
        <v>760090</v>
      </c>
      <c r="I15" s="660"/>
      <c r="J15" s="652" t="s">
        <v>554</v>
      </c>
    </row>
    <row r="19" spans="1:16">
      <c r="A19" s="655">
        <v>5</v>
      </c>
      <c r="B19" s="652" t="s">
        <v>555</v>
      </c>
      <c r="O19" s="658">
        <f>4000*5</f>
        <v>20000</v>
      </c>
      <c r="P19" s="652" t="s">
        <v>556</v>
      </c>
    </row>
    <row r="20" spans="1:16">
      <c r="O20" s="658">
        <v>15000</v>
      </c>
      <c r="P20" s="652" t="s">
        <v>265</v>
      </c>
    </row>
    <row r="21" spans="1:16">
      <c r="C21" s="652" t="s">
        <v>557</v>
      </c>
      <c r="O21" s="658">
        <v>90440</v>
      </c>
      <c r="P21" s="652" t="s">
        <v>558</v>
      </c>
    </row>
    <row r="22" spans="1:16">
      <c r="A22" s="655">
        <v>6</v>
      </c>
      <c r="D22" s="652" t="s">
        <v>559</v>
      </c>
      <c r="F22" s="656">
        <f>((O19+O20+O27)*50%)+O23</f>
        <v>39938.625</v>
      </c>
      <c r="G22" s="656"/>
      <c r="H22" s="656">
        <f>((O19+O20+O27)*50%)+O21+O22</f>
        <v>160061.375</v>
      </c>
      <c r="I22" s="656"/>
      <c r="O22" s="658">
        <v>50000</v>
      </c>
      <c r="P22" s="652" t="s">
        <v>560</v>
      </c>
    </row>
    <row r="23" spans="1:16">
      <c r="O23" s="661">
        <v>20317.25</v>
      </c>
      <c r="P23" s="652" t="s">
        <v>561</v>
      </c>
    </row>
    <row r="24" spans="1:16">
      <c r="A24" s="655">
        <v>7</v>
      </c>
      <c r="C24" s="652" t="s">
        <v>562</v>
      </c>
      <c r="F24" s="656">
        <f>50000*50%</f>
        <v>25000</v>
      </c>
      <c r="G24" s="656"/>
      <c r="H24" s="656">
        <f>50000*50%</f>
        <v>25000</v>
      </c>
      <c r="I24" s="656"/>
      <c r="O24" s="662">
        <f>SUM(O19:O23)</f>
        <v>195757.25</v>
      </c>
    </row>
    <row r="26" spans="1:16">
      <c r="C26" s="652" t="s">
        <v>563</v>
      </c>
      <c r="O26" s="658">
        <v>200000</v>
      </c>
    </row>
    <row r="27" spans="1:16">
      <c r="A27" s="655">
        <v>8</v>
      </c>
      <c r="D27" s="652" t="s">
        <v>564</v>
      </c>
      <c r="F27" s="656">
        <f>SUM(Tables!E16:E22)</f>
        <v>101584.53</v>
      </c>
      <c r="G27" s="656"/>
      <c r="H27" s="656">
        <f>SUM(Tables!E23:E25)</f>
        <v>305474</v>
      </c>
      <c r="I27" s="656"/>
      <c r="K27" s="660">
        <f>+F27+H27</f>
        <v>407058.53</v>
      </c>
      <c r="O27" s="662">
        <f>+O26-O24</f>
        <v>4242.75</v>
      </c>
    </row>
    <row r="28" spans="1:16">
      <c r="A28" s="655">
        <v>9</v>
      </c>
      <c r="D28" s="652" t="s">
        <v>565</v>
      </c>
      <c r="F28" s="656">
        <f>SUM(Tables!E29:E35)</f>
        <v>296240.3125</v>
      </c>
      <c r="G28" s="656"/>
      <c r="H28" s="656">
        <f>SUM(Tables!E36:E38)</f>
        <v>479989.86000000004</v>
      </c>
      <c r="I28" s="656"/>
      <c r="K28" s="660">
        <f t="shared" ref="K28:K29" si="0">+F28+H28</f>
        <v>776230.1725000001</v>
      </c>
    </row>
    <row r="29" spans="1:16" ht="16.2" thickBot="1">
      <c r="A29" s="655">
        <v>10</v>
      </c>
      <c r="D29" s="652" t="s">
        <v>566</v>
      </c>
      <c r="F29" s="663">
        <f>SUM(Tables!E42:E48)</f>
        <v>339088.75</v>
      </c>
      <c r="G29" s="668"/>
      <c r="H29" s="663">
        <f>SUM(Tables!E49:E51)</f>
        <v>579592.43999999994</v>
      </c>
      <c r="I29" s="668"/>
      <c r="K29" s="675">
        <f t="shared" si="0"/>
        <v>918681.19</v>
      </c>
    </row>
    <row r="30" spans="1:16" ht="16.2" thickTop="1">
      <c r="A30" s="655">
        <v>11</v>
      </c>
      <c r="D30" s="664" t="s">
        <v>567</v>
      </c>
      <c r="F30" s="660">
        <f>SUM(F27:F29)</f>
        <v>736913.59250000003</v>
      </c>
      <c r="G30" s="660"/>
      <c r="H30" s="660">
        <f>SUM(H27:H29)</f>
        <v>1365056.3</v>
      </c>
      <c r="I30" s="660"/>
      <c r="J30" s="652" t="s">
        <v>568</v>
      </c>
      <c r="K30" s="660">
        <f>SUM(K27:K29)</f>
        <v>2101969.8925000001</v>
      </c>
    </row>
    <row r="31" spans="1:16">
      <c r="A31" s="655"/>
      <c r="D31" s="664"/>
      <c r="F31" s="660"/>
      <c r="G31" s="660"/>
      <c r="H31" s="660"/>
      <c r="I31" s="660"/>
    </row>
    <row r="32" spans="1:16">
      <c r="A32" s="655">
        <v>12</v>
      </c>
      <c r="C32" s="652" t="s">
        <v>574</v>
      </c>
      <c r="D32" s="664"/>
      <c r="F32" s="660">
        <f>+F22+F24+F30</f>
        <v>801852.21750000003</v>
      </c>
      <c r="G32" s="660"/>
      <c r="H32" s="660">
        <f>+H22+H24+H30</f>
        <v>1550117.675</v>
      </c>
      <c r="I32" s="660"/>
      <c r="J32" s="652" t="s">
        <v>570</v>
      </c>
    </row>
    <row r="33" spans="1:10">
      <c r="A33" s="655"/>
      <c r="D33" s="664"/>
      <c r="F33" s="660"/>
      <c r="G33" s="660"/>
      <c r="H33" s="660"/>
      <c r="I33" s="660"/>
    </row>
    <row r="34" spans="1:10">
      <c r="A34" s="655">
        <v>13</v>
      </c>
      <c r="C34" s="652" t="s">
        <v>573</v>
      </c>
      <c r="D34" s="664"/>
      <c r="F34" s="660">
        <f>ROUND(F32*30%,0)</f>
        <v>240556</v>
      </c>
      <c r="G34" s="660"/>
      <c r="H34" s="660">
        <f>ROUND(H32*30%,0)</f>
        <v>465035</v>
      </c>
      <c r="I34" s="660"/>
      <c r="J34" s="652" t="s">
        <v>575</v>
      </c>
    </row>
    <row r="35" spans="1:10" ht="16.2" thickBot="1">
      <c r="F35" s="659"/>
      <c r="G35" s="667"/>
      <c r="H35" s="659"/>
      <c r="I35" s="667"/>
    </row>
    <row r="36" spans="1:10" ht="16.2" thickTop="1">
      <c r="A36" s="655">
        <v>14</v>
      </c>
      <c r="D36" s="652" t="s">
        <v>569</v>
      </c>
      <c r="F36" s="660">
        <f>+F32+F34</f>
        <v>1042408.2175</v>
      </c>
      <c r="G36" s="660"/>
      <c r="H36" s="660">
        <f>+H32+H34</f>
        <v>2015152.675</v>
      </c>
      <c r="I36" s="660"/>
      <c r="J36" s="652" t="s">
        <v>576</v>
      </c>
    </row>
    <row r="39" spans="1:10">
      <c r="A39" s="655">
        <v>15</v>
      </c>
      <c r="C39" s="652" t="s">
        <v>583</v>
      </c>
      <c r="F39" s="660">
        <f>+F36-F15</f>
        <v>611969.21750000003</v>
      </c>
      <c r="G39" s="660"/>
      <c r="H39" s="660">
        <f>+H36-H15</f>
        <v>1255062.675</v>
      </c>
      <c r="I39" s="660"/>
      <c r="J39" s="652" t="s">
        <v>578</v>
      </c>
    </row>
    <row r="40" spans="1:10">
      <c r="A40" s="655"/>
    </row>
    <row r="41" spans="1:10">
      <c r="A41" s="655">
        <v>16</v>
      </c>
      <c r="C41" s="652" t="s">
        <v>582</v>
      </c>
      <c r="D41" s="652" t="s">
        <v>580</v>
      </c>
      <c r="F41" s="670">
        <f>43400000*36</f>
        <v>1562400000</v>
      </c>
      <c r="H41" s="670">
        <f>60000000*36</f>
        <v>2160000000</v>
      </c>
      <c r="I41" s="670"/>
    </row>
    <row r="42" spans="1:10">
      <c r="A42" s="655">
        <v>17</v>
      </c>
      <c r="D42" s="652" t="s">
        <v>579</v>
      </c>
    </row>
    <row r="43" spans="1:10">
      <c r="A43" s="655">
        <v>18</v>
      </c>
      <c r="D43" s="652" t="s">
        <v>581</v>
      </c>
    </row>
    <row r="44" spans="1:10">
      <c r="A44" s="655"/>
    </row>
    <row r="45" spans="1:10">
      <c r="A45" s="655">
        <v>19</v>
      </c>
      <c r="C45" s="652" t="s">
        <v>584</v>
      </c>
      <c r="F45" s="671">
        <f>+F39/F41</f>
        <v>3.9168536706349208E-4</v>
      </c>
      <c r="H45" s="671">
        <f>+H39/H41</f>
        <v>5.8104753472222224E-4</v>
      </c>
      <c r="I45" s="673" t="s">
        <v>586</v>
      </c>
      <c r="J45" s="652" t="s">
        <v>585</v>
      </c>
    </row>
    <row r="49" spans="1:11">
      <c r="A49" s="652" t="s">
        <v>587</v>
      </c>
    </row>
    <row r="50" spans="1:11">
      <c r="C50" s="652" t="s">
        <v>588</v>
      </c>
      <c r="F50" s="671">
        <v>8.9999999999999998E-4</v>
      </c>
      <c r="H50" s="671">
        <v>8.0000000000000004E-4</v>
      </c>
      <c r="I50" s="673" t="s">
        <v>586</v>
      </c>
    </row>
    <row r="51" spans="1:11">
      <c r="J51" s="665" t="s">
        <v>590</v>
      </c>
    </row>
    <row r="52" spans="1:11">
      <c r="C52" s="652" t="s">
        <v>589</v>
      </c>
      <c r="J52" s="665" t="s">
        <v>591</v>
      </c>
    </row>
    <row r="53" spans="1:11">
      <c r="D53" s="652" t="s">
        <v>473</v>
      </c>
      <c r="F53" s="674">
        <v>220920</v>
      </c>
      <c r="H53" s="674">
        <v>251304</v>
      </c>
      <c r="J53" s="674">
        <v>116000</v>
      </c>
      <c r="K53" s="674">
        <f>+F53+H53+J53</f>
        <v>588224</v>
      </c>
    </row>
    <row r="54" spans="1:11">
      <c r="D54" s="652" t="s">
        <v>476</v>
      </c>
      <c r="F54" s="674">
        <v>307288</v>
      </c>
      <c r="H54" s="674">
        <v>385812</v>
      </c>
      <c r="J54" s="674">
        <v>116000</v>
      </c>
      <c r="K54" s="674">
        <f t="shared" ref="K54:K55" si="1">+F54+H54+J54</f>
        <v>809100</v>
      </c>
    </row>
    <row r="55" spans="1:11">
      <c r="D55" s="652" t="s">
        <v>475</v>
      </c>
      <c r="F55" s="674">
        <v>391838</v>
      </c>
      <c r="H55" s="674">
        <v>519464</v>
      </c>
      <c r="J55" s="674">
        <v>116000</v>
      </c>
      <c r="K55" s="674">
        <f t="shared" si="1"/>
        <v>1027302</v>
      </c>
    </row>
    <row r="56" spans="1:11" ht="16.2" thickBot="1">
      <c r="K56" s="659"/>
    </row>
    <row r="57" spans="1:11" ht="16.2" thickTop="1">
      <c r="K57" s="674">
        <f>SUM(K53:K56)</f>
        <v>2424626</v>
      </c>
    </row>
  </sheetData>
  <pageMargins left="0.75" right="0.5" top="0.75" bottom="0.5" header="0.3" footer="0.3"/>
  <pageSetup scale="65" orientation="portrait" r:id="rId1"/>
  <headerFooter>
    <oddHeader>&amp;CAttachment 3
Overall Summary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9"/>
  <sheetViews>
    <sheetView workbookViewId="0">
      <selection activeCell="D41" sqref="D41"/>
    </sheetView>
  </sheetViews>
  <sheetFormatPr defaultColWidth="9.109375" defaultRowHeight="11.4"/>
  <cols>
    <col min="1" max="1" width="29.109375" style="17" bestFit="1" customWidth="1"/>
    <col min="2" max="3" width="13.44140625" style="17" bestFit="1" customWidth="1"/>
    <col min="4" max="4" width="20.33203125" style="17" bestFit="1" customWidth="1"/>
    <col min="5" max="5" width="11.109375" style="17" bestFit="1" customWidth="1"/>
    <col min="6" max="6" width="20.109375" style="17" bestFit="1" customWidth="1"/>
    <col min="7" max="15" width="9.109375" style="17"/>
    <col min="16" max="17" width="10.44140625" style="17" bestFit="1" customWidth="1"/>
    <col min="18" max="16384" width="9.109375" style="17"/>
  </cols>
  <sheetData>
    <row r="2" spans="1:6" ht="12">
      <c r="A2" s="461"/>
      <c r="B2" s="462" t="s">
        <v>222</v>
      </c>
      <c r="C2" s="462" t="s">
        <v>417</v>
      </c>
      <c r="D2" s="462" t="s">
        <v>418</v>
      </c>
      <c r="E2" s="462" t="s">
        <v>390</v>
      </c>
      <c r="F2" s="462" t="s">
        <v>474</v>
      </c>
    </row>
    <row r="3" spans="1:6">
      <c r="A3" s="463">
        <v>2014</v>
      </c>
      <c r="B3" s="234">
        <f>'Portfolio Inputs'!C4</f>
        <v>1795</v>
      </c>
      <c r="C3" s="234">
        <f>'Portfolio Inputs'!G4/1000</f>
        <v>3140.7938813435921</v>
      </c>
      <c r="D3" s="234">
        <f>'Portfolio Inputs'!K4</f>
        <v>708.87715782658415</v>
      </c>
      <c r="E3" s="385">
        <f>'Portfolio Inputs'!AJ4</f>
        <v>407058.53</v>
      </c>
      <c r="F3" s="579">
        <f>E3/$C$63</f>
        <v>3.0654787603636882E-3</v>
      </c>
    </row>
    <row r="4" spans="1:6">
      <c r="A4" s="463">
        <v>2015</v>
      </c>
      <c r="B4" s="234">
        <f>'Portfolio Inputs'!D4</f>
        <v>16009</v>
      </c>
      <c r="C4" s="234">
        <f>'Portfolio Inputs'!H4/1000</f>
        <v>4105.513556700078</v>
      </c>
      <c r="D4" s="234">
        <f>'Portfolio Inputs'!L4</f>
        <v>620.90872704405069</v>
      </c>
      <c r="E4" s="385">
        <f>'Portfolio Inputs'!AK4</f>
        <v>776230.17249999999</v>
      </c>
      <c r="F4" s="579">
        <f t="shared" ref="F4:F5" si="0">E4/$C$63</f>
        <v>5.8456387265786855E-3</v>
      </c>
    </row>
    <row r="5" spans="1:6">
      <c r="A5" s="463">
        <v>2016</v>
      </c>
      <c r="B5" s="234">
        <f>'Portfolio Inputs'!E4</f>
        <v>19019</v>
      </c>
      <c r="C5" s="234">
        <f>'Portfolio Inputs'!I4/1000</f>
        <v>4899.9534785842852</v>
      </c>
      <c r="D5" s="234">
        <f>'Portfolio Inputs'!M4</f>
        <v>738.19227360682237</v>
      </c>
      <c r="E5" s="385">
        <f>'Portfolio Inputs'!AL4</f>
        <v>918681.19000000006</v>
      </c>
      <c r="F5" s="579">
        <f t="shared" si="0"/>
        <v>6.9184096829776245E-3</v>
      </c>
    </row>
    <row r="6" spans="1:6">
      <c r="D6" s="392"/>
    </row>
    <row r="7" spans="1:6">
      <c r="D7" s="392"/>
    </row>
    <row r="8" spans="1:6" ht="12">
      <c r="A8" s="461"/>
      <c r="B8" s="462">
        <v>2014</v>
      </c>
      <c r="C8" s="462">
        <v>2015</v>
      </c>
      <c r="D8" s="462">
        <v>2016</v>
      </c>
    </row>
    <row r="9" spans="1:6">
      <c r="A9" s="463" t="s">
        <v>541</v>
      </c>
      <c r="B9" s="314">
        <f>'Portfolio Inputs'!AN5</f>
        <v>0.49804560051875668</v>
      </c>
      <c r="C9" s="314">
        <f>'Portfolio Inputs'!AO5</f>
        <v>1.2512654865713042</v>
      </c>
      <c r="D9" s="314">
        <f>'Portfolio Inputs'!AP5</f>
        <v>1.2796426702381469</v>
      </c>
    </row>
    <row r="10" spans="1:6">
      <c r="A10" s="463" t="s">
        <v>542</v>
      </c>
      <c r="B10" s="314">
        <f>'Portfolio Inputs'!AN40</f>
        <v>3.5890904274045412</v>
      </c>
      <c r="C10" s="314">
        <f>'Portfolio Inputs'!AO40</f>
        <v>1.5475386380178238</v>
      </c>
      <c r="D10" s="314">
        <f>'Portfolio Inputs'!AP40</f>
        <v>1.5772654049524453</v>
      </c>
    </row>
    <row r="11" spans="1:6">
      <c r="A11" s="463" t="s">
        <v>387</v>
      </c>
      <c r="B11" s="314">
        <f>'Portfolio Inputs'!AN4</f>
        <v>2.3258536845063658</v>
      </c>
      <c r="C11" s="314">
        <f>'Portfolio Inputs'!AO4</f>
        <v>1.4347952497019012</v>
      </c>
      <c r="D11" s="314">
        <f>'Portfolio Inputs'!AP4</f>
        <v>1.4679090030848141</v>
      </c>
    </row>
    <row r="12" spans="1:6">
      <c r="D12" s="392"/>
    </row>
    <row r="13" spans="1:6">
      <c r="D13" s="392"/>
    </row>
    <row r="14" spans="1:6" ht="12">
      <c r="A14" s="191" t="s">
        <v>473</v>
      </c>
    </row>
    <row r="15" spans="1:6" ht="12">
      <c r="A15" s="461"/>
      <c r="B15" s="462" t="s">
        <v>222</v>
      </c>
      <c r="C15" s="462" t="s">
        <v>417</v>
      </c>
      <c r="D15" s="462" t="s">
        <v>418</v>
      </c>
      <c r="E15" s="462" t="s">
        <v>390</v>
      </c>
    </row>
    <row r="16" spans="1:6">
      <c r="A16" s="171" t="s">
        <v>438</v>
      </c>
      <c r="B16" s="169">
        <f>'Portfolio Inputs'!C6</f>
        <v>1008</v>
      </c>
      <c r="C16" s="169">
        <f>'Portfolio Inputs'!G6/1000</f>
        <v>46.665427212000004</v>
      </c>
      <c r="D16" s="169">
        <f>'Portfolio Inputs'!K6</f>
        <v>3.4663683600136985</v>
      </c>
      <c r="E16" s="170">
        <f>'Portfolio Inputs'!AJ6</f>
        <v>15787.53</v>
      </c>
    </row>
    <row r="17" spans="1:5">
      <c r="A17" s="171" t="s">
        <v>242</v>
      </c>
      <c r="B17" s="169">
        <f>'Portfolio Inputs'!C12</f>
        <v>71</v>
      </c>
      <c r="C17" s="169">
        <f>'Portfolio Inputs'!G12/1000</f>
        <v>90.415000000000006</v>
      </c>
      <c r="D17" s="169">
        <f>'Portfolio Inputs'!K12</f>
        <v>10.321347031963469</v>
      </c>
      <c r="E17" s="170">
        <f>'Portfolio Inputs'!AJ12</f>
        <v>11827</v>
      </c>
    </row>
    <row r="18" spans="1:5">
      <c r="A18" s="171" t="s">
        <v>450</v>
      </c>
      <c r="B18" s="169">
        <f>'Portfolio Inputs'!C15</f>
        <v>56</v>
      </c>
      <c r="C18" s="169">
        <f>'Portfolio Inputs'!G15/1000</f>
        <v>84.867131020619965</v>
      </c>
      <c r="D18" s="169">
        <f>'Portfolio Inputs'!K15</f>
        <v>26.311038520275883</v>
      </c>
      <c r="E18" s="170">
        <f>'Portfolio Inputs'!AJ15</f>
        <v>20899</v>
      </c>
    </row>
    <row r="19" spans="1:5">
      <c r="A19" s="171" t="s">
        <v>455</v>
      </c>
      <c r="B19" s="169">
        <f>'Portfolio Inputs'!C23</f>
        <v>26</v>
      </c>
      <c r="C19" s="169">
        <f>'Portfolio Inputs'!G23/1000</f>
        <v>22.244764700136628</v>
      </c>
      <c r="D19" s="169">
        <f>'Portfolio Inputs'!K23</f>
        <v>5.778296878686918</v>
      </c>
      <c r="E19" s="170">
        <f>'Portfolio Inputs'!AJ23</f>
        <v>23068</v>
      </c>
    </row>
    <row r="20" spans="1:5">
      <c r="A20" s="171" t="s">
        <v>516</v>
      </c>
      <c r="B20" s="169">
        <f>'Portfolio Inputs'!C32</f>
        <v>208</v>
      </c>
      <c r="C20" s="169">
        <f>'Portfolio Inputs'!G32/1000</f>
        <v>19.649081494777445</v>
      </c>
      <c r="D20" s="169">
        <f>'Portfolio Inputs'!K32</f>
        <v>2.2430458327371512</v>
      </c>
      <c r="E20" s="170">
        <f>'Portfolio Inputs'!AJ32</f>
        <v>10335</v>
      </c>
    </row>
    <row r="21" spans="1:5">
      <c r="A21" s="171" t="s">
        <v>457</v>
      </c>
      <c r="B21" s="169">
        <f>'Portfolio Inputs'!C33</f>
        <v>325</v>
      </c>
      <c r="C21" s="169">
        <f>'Portfolio Inputs'!G33/1000</f>
        <v>108.42860943988524</v>
      </c>
      <c r="D21" s="169">
        <f>'Portfolio Inputs'!K33</f>
        <v>9.491835182216791</v>
      </c>
      <c r="E21" s="170">
        <f>'Portfolio Inputs'!AJ33</f>
        <v>15589</v>
      </c>
    </row>
    <row r="22" spans="1:5">
      <c r="A22" s="171" t="s">
        <v>257</v>
      </c>
      <c r="B22" s="169">
        <f>'Portfolio Inputs'!C34</f>
        <v>19</v>
      </c>
      <c r="C22" s="169">
        <f>'Portfolio Inputs'!G34/1000</f>
        <v>15.643405357716238</v>
      </c>
      <c r="D22" s="169">
        <f>'Portfolio Inputs'!K34</f>
        <v>2.807887898712329</v>
      </c>
      <c r="E22" s="170">
        <f>'Portfolio Inputs'!AJ34</f>
        <v>4079</v>
      </c>
    </row>
    <row r="23" spans="1:5">
      <c r="A23" s="171" t="s">
        <v>496</v>
      </c>
      <c r="B23" s="169">
        <f>'Portfolio Inputs'!C41</f>
        <v>0</v>
      </c>
      <c r="C23" s="169">
        <f>'Portfolio Inputs'!G41/1000</f>
        <v>0</v>
      </c>
      <c r="D23" s="169">
        <f>'Portfolio Inputs'!K41</f>
        <v>0</v>
      </c>
      <c r="E23" s="170">
        <f>'Portfolio Inputs'!AJ41</f>
        <v>0</v>
      </c>
    </row>
    <row r="24" spans="1:5">
      <c r="A24" s="171" t="s">
        <v>233</v>
      </c>
      <c r="B24" s="234">
        <f>'Portfolio Inputs'!C42</f>
        <v>30</v>
      </c>
      <c r="C24" s="234">
        <f>'Portfolio Inputs'!G42/1000</f>
        <v>1337.5820000000001</v>
      </c>
      <c r="D24" s="234">
        <f>'Portfolio Inputs'!K42</f>
        <v>330.02</v>
      </c>
      <c r="E24" s="464">
        <f>'Portfolio Inputs'!AJ42</f>
        <v>155603</v>
      </c>
    </row>
    <row r="25" spans="1:5">
      <c r="A25" s="171" t="s">
        <v>35</v>
      </c>
      <c r="B25" s="234">
        <f>'Portfolio Inputs'!C43</f>
        <v>52</v>
      </c>
      <c r="C25" s="234">
        <f>'Portfolio Inputs'!G43/1000</f>
        <v>1415.2984621184567</v>
      </c>
      <c r="D25" s="234">
        <f>'Portfolio Inputs'!K43</f>
        <v>318.43733812197797</v>
      </c>
      <c r="E25" s="464">
        <f>'Portfolio Inputs'!AJ43</f>
        <v>149871</v>
      </c>
    </row>
    <row r="27" spans="1:5" ht="12">
      <c r="A27" s="191" t="s">
        <v>476</v>
      </c>
    </row>
    <row r="28" spans="1:5" ht="12">
      <c r="A28" s="461"/>
      <c r="B28" s="462" t="s">
        <v>222</v>
      </c>
      <c r="C28" s="462" t="s">
        <v>417</v>
      </c>
      <c r="D28" s="462" t="s">
        <v>418</v>
      </c>
      <c r="E28" s="462" t="s">
        <v>390</v>
      </c>
    </row>
    <row r="29" spans="1:5">
      <c r="A29" s="171" t="s">
        <v>438</v>
      </c>
      <c r="B29" s="171">
        <f>'Portfolio Inputs'!D6</f>
        <v>14190</v>
      </c>
      <c r="C29" s="171">
        <f>'Portfolio Inputs'!H6/1000</f>
        <v>507.43615150000005</v>
      </c>
      <c r="D29" s="171">
        <f>'Portfolio Inputs'!L6</f>
        <v>44.952315777653794</v>
      </c>
      <c r="E29" s="358">
        <f>'Portfolio Inputs'!AK6</f>
        <v>42900</v>
      </c>
    </row>
    <row r="30" spans="1:5">
      <c r="A30" s="171" t="s">
        <v>242</v>
      </c>
      <c r="B30" s="171">
        <f>'Portfolio Inputs'!D12</f>
        <v>350</v>
      </c>
      <c r="C30" s="171">
        <f>'Portfolio Inputs'!H12/1000</f>
        <v>432.75</v>
      </c>
      <c r="D30" s="171">
        <f>'Portfolio Inputs'!L12</f>
        <v>49.400684931506852</v>
      </c>
      <c r="E30" s="358">
        <f>'Portfolio Inputs'!AK12</f>
        <v>76256.25</v>
      </c>
    </row>
    <row r="31" spans="1:5">
      <c r="A31" s="171" t="s">
        <v>450</v>
      </c>
      <c r="B31" s="171">
        <f>'Portfolio Inputs'!D15</f>
        <v>316</v>
      </c>
      <c r="C31" s="171">
        <f>'Portfolio Inputs'!H15/1000</f>
        <v>392.04189885234683</v>
      </c>
      <c r="D31" s="171">
        <f>'Portfolio Inputs'!L15</f>
        <v>114.67063703143437</v>
      </c>
      <c r="E31" s="358">
        <f>'Portfolio Inputs'!AK15</f>
        <v>84625</v>
      </c>
    </row>
    <row r="32" spans="1:5">
      <c r="A32" s="171" t="s">
        <v>455</v>
      </c>
      <c r="B32" s="171">
        <f>'Portfolio Inputs'!D23</f>
        <v>125</v>
      </c>
      <c r="C32" s="171">
        <f>'Portfolio Inputs'!H23/1000</f>
        <v>106.70015804476911</v>
      </c>
      <c r="D32" s="171">
        <f>'Portfolio Inputs'!L23</f>
        <v>27.674454099443082</v>
      </c>
      <c r="E32" s="358">
        <f>'Portfolio Inputs'!AK23</f>
        <v>35010.9375</v>
      </c>
    </row>
    <row r="33" spans="1:5">
      <c r="A33" s="171" t="s">
        <v>516</v>
      </c>
      <c r="B33" s="171">
        <f>'Portfolio Inputs'!D32</f>
        <v>400</v>
      </c>
      <c r="C33" s="171">
        <f>'Portfolio Inputs'!H32/1000</f>
        <v>37.786695182264317</v>
      </c>
      <c r="D33" s="171">
        <f>'Portfolio Inputs'!L32</f>
        <v>4.3135496783406753</v>
      </c>
      <c r="E33" s="358">
        <f>'Portfolio Inputs'!AK32</f>
        <v>13860</v>
      </c>
    </row>
    <row r="34" spans="1:5">
      <c r="A34" s="171" t="s">
        <v>457</v>
      </c>
      <c r="B34" s="171">
        <f>'Portfolio Inputs'!D33</f>
        <v>300</v>
      </c>
      <c r="C34" s="171">
        <f>'Portfolio Inputs'!H33/1000</f>
        <v>100.08794717527866</v>
      </c>
      <c r="D34" s="171">
        <f>'Portfolio Inputs'!L33</f>
        <v>8.7616940143539619</v>
      </c>
      <c r="E34" s="358">
        <f>'Portfolio Inputs'!AK33</f>
        <v>18191.25</v>
      </c>
    </row>
    <row r="35" spans="1:5">
      <c r="A35" s="171" t="s">
        <v>257</v>
      </c>
      <c r="B35" s="171">
        <f>'Portfolio Inputs'!D34</f>
        <v>30</v>
      </c>
      <c r="C35" s="171">
        <f>'Portfolio Inputs'!H34/1000</f>
        <v>33.727698252449088</v>
      </c>
      <c r="D35" s="171">
        <f>'Portfolio Inputs'!L34</f>
        <v>5.4633029165330091</v>
      </c>
      <c r="E35" s="358">
        <f>'Portfolio Inputs'!AK34</f>
        <v>25396.875</v>
      </c>
    </row>
    <row r="36" spans="1:5">
      <c r="A36" s="171" t="s">
        <v>496</v>
      </c>
      <c r="B36" s="171">
        <f>'Portfolio Inputs'!D41</f>
        <v>125</v>
      </c>
      <c r="C36" s="171">
        <f>'Portfolio Inputs'!H41/1000</f>
        <v>1116.4112743749999</v>
      </c>
      <c r="D36" s="171">
        <f>'Portfolio Inputs'!L41</f>
        <v>173.20875000000001</v>
      </c>
      <c r="E36" s="358">
        <f>'Portfolio Inputs'!AK41</f>
        <v>399215.25</v>
      </c>
    </row>
    <row r="37" spans="1:5">
      <c r="A37" s="171" t="s">
        <v>233</v>
      </c>
      <c r="B37" s="171">
        <f>'Portfolio Inputs'!D42</f>
        <v>25</v>
      </c>
      <c r="C37" s="171">
        <f>'Portfolio Inputs'!H42/1000</f>
        <v>753.77266304152795</v>
      </c>
      <c r="D37" s="171">
        <f>'Portfolio Inputs'!L42</f>
        <v>112.92836474379691</v>
      </c>
      <c r="E37" s="358">
        <f>'Portfolio Inputs'!AK42</f>
        <v>27061.65</v>
      </c>
    </row>
    <row r="38" spans="1:5">
      <c r="A38" s="171" t="s">
        <v>35</v>
      </c>
      <c r="B38" s="171">
        <f>'Portfolio Inputs'!D43</f>
        <v>148</v>
      </c>
      <c r="C38" s="171">
        <f>'Portfolio Inputs'!H43/1000</f>
        <v>624.79907027644197</v>
      </c>
      <c r="D38" s="171">
        <f>'Portfolio Inputs'!L43</f>
        <v>79.534973850988024</v>
      </c>
      <c r="E38" s="358">
        <f>'Portfolio Inputs'!AK43</f>
        <v>53712.959999999999</v>
      </c>
    </row>
    <row r="39" spans="1:5">
      <c r="B39" s="190"/>
      <c r="C39" s="190"/>
      <c r="D39" s="190"/>
      <c r="E39" s="190"/>
    </row>
    <row r="40" spans="1:5" ht="12">
      <c r="A40" s="191" t="s">
        <v>475</v>
      </c>
    </row>
    <row r="41" spans="1:5" ht="12">
      <c r="A41" s="461"/>
      <c r="B41" s="462" t="s">
        <v>222</v>
      </c>
      <c r="C41" s="462" t="s">
        <v>417</v>
      </c>
      <c r="D41" s="462" t="s">
        <v>418</v>
      </c>
      <c r="E41" s="462" t="s">
        <v>390</v>
      </c>
    </row>
    <row r="42" spans="1:5">
      <c r="A42" s="171" t="s">
        <v>438</v>
      </c>
      <c r="B42" s="171">
        <f>'Portfolio Inputs'!E6</f>
        <v>17000</v>
      </c>
      <c r="C42" s="171">
        <f>'Portfolio Inputs'!I6/1000</f>
        <v>607.75128799999993</v>
      </c>
      <c r="D42" s="171">
        <f>'Portfolio Inputs'!M6</f>
        <v>53.57946690257716</v>
      </c>
      <c r="E42" s="358">
        <f>'Portfolio Inputs'!AL6</f>
        <v>51250</v>
      </c>
    </row>
    <row r="43" spans="1:5">
      <c r="A43" s="171" t="s">
        <v>242</v>
      </c>
      <c r="B43" s="171">
        <f>'Portfolio Inputs'!E12</f>
        <v>425</v>
      </c>
      <c r="C43" s="171">
        <f>'Portfolio Inputs'!I12/1000</f>
        <v>524.82500000000005</v>
      </c>
      <c r="D43" s="171">
        <f>'Portfolio Inputs'!M12</f>
        <v>59.911529680365305</v>
      </c>
      <c r="E43" s="358">
        <f>'Portfolio Inputs'!AL12</f>
        <v>92596.875</v>
      </c>
    </row>
    <row r="44" spans="1:5">
      <c r="A44" s="171" t="s">
        <v>450</v>
      </c>
      <c r="B44" s="171">
        <f>'Portfolio Inputs'!E15</f>
        <v>370</v>
      </c>
      <c r="C44" s="171">
        <f>'Portfolio Inputs'!I15/1000</f>
        <v>444.83786151818549</v>
      </c>
      <c r="D44" s="171">
        <f>'Portfolio Inputs'!M15</f>
        <v>133.77729881754311</v>
      </c>
      <c r="E44" s="358">
        <f>'Portfolio Inputs'!AL15</f>
        <v>98550</v>
      </c>
    </row>
    <row r="45" spans="1:5">
      <c r="A45" s="171" t="s">
        <v>455</v>
      </c>
      <c r="B45" s="171">
        <f>'Portfolio Inputs'!E23</f>
        <v>125</v>
      </c>
      <c r="C45" s="171">
        <f>'Portfolio Inputs'!I23/1000</f>
        <v>106.70015804476911</v>
      </c>
      <c r="D45" s="171">
        <f>'Portfolio Inputs'!M23</f>
        <v>27.674454099443082</v>
      </c>
      <c r="E45" s="358">
        <f>'Portfolio Inputs'!AL23</f>
        <v>35010.9375</v>
      </c>
    </row>
    <row r="46" spans="1:5">
      <c r="A46" s="171" t="s">
        <v>516</v>
      </c>
      <c r="B46" s="171">
        <f>'Portfolio Inputs'!E32</f>
        <v>400</v>
      </c>
      <c r="C46" s="171">
        <f>'Portfolio Inputs'!I32/1000</f>
        <v>37.786695182264317</v>
      </c>
      <c r="D46" s="171">
        <f>'Portfolio Inputs'!M32</f>
        <v>4.3135496783406753</v>
      </c>
      <c r="E46" s="358">
        <f>'Portfolio Inputs'!AL32</f>
        <v>13860</v>
      </c>
    </row>
    <row r="47" spans="1:5">
      <c r="A47" s="171" t="s">
        <v>457</v>
      </c>
      <c r="B47" s="171">
        <f>'Portfolio Inputs'!E33</f>
        <v>300</v>
      </c>
      <c r="C47" s="171">
        <f>'Portfolio Inputs'!I33/1000</f>
        <v>100.08794717527866</v>
      </c>
      <c r="D47" s="171">
        <f>'Portfolio Inputs'!M33</f>
        <v>8.7616940143539619</v>
      </c>
      <c r="E47" s="358">
        <f>'Portfolio Inputs'!AL33</f>
        <v>18191.25</v>
      </c>
    </row>
    <row r="48" spans="1:5">
      <c r="A48" s="171" t="s">
        <v>257</v>
      </c>
      <c r="B48" s="171">
        <f>'Portfolio Inputs'!E34</f>
        <v>35</v>
      </c>
      <c r="C48" s="171">
        <f>'Portfolio Inputs'!I34/1000</f>
        <v>39.348981294523924</v>
      </c>
      <c r="D48" s="171">
        <f>'Portfolio Inputs'!M34</f>
        <v>6.3738534026218456</v>
      </c>
      <c r="E48" s="358">
        <f>'Portfolio Inputs'!AL34</f>
        <v>29629.6875</v>
      </c>
    </row>
    <row r="49" spans="1:7">
      <c r="A49" s="171" t="s">
        <v>496</v>
      </c>
      <c r="B49" s="171">
        <f>'Portfolio Inputs'!E41</f>
        <v>150</v>
      </c>
      <c r="C49" s="171">
        <f>'Portfolio Inputs'!I41/1000</f>
        <v>1339.69352925</v>
      </c>
      <c r="D49" s="171">
        <f>'Portfolio Inputs'!M41</f>
        <v>207.85050000000004</v>
      </c>
      <c r="E49" s="358">
        <f>'Portfolio Inputs'!AL41</f>
        <v>479058.3</v>
      </c>
    </row>
    <row r="50" spans="1:7">
      <c r="A50" s="171" t="s">
        <v>233</v>
      </c>
      <c r="B50" s="171">
        <f>'Portfolio Inputs'!E42</f>
        <v>30</v>
      </c>
      <c r="C50" s="171">
        <f>'Portfolio Inputs'!I42/1000</f>
        <v>904.52719564983363</v>
      </c>
      <c r="D50" s="171">
        <f>'Portfolio Inputs'!M42</f>
        <v>135.51403769255629</v>
      </c>
      <c r="E50" s="358">
        <f>'Portfolio Inputs'!AL42</f>
        <v>32473.980000000003</v>
      </c>
    </row>
    <row r="51" spans="1:7">
      <c r="A51" s="171" t="s">
        <v>35</v>
      </c>
      <c r="B51" s="171">
        <f>'Portfolio Inputs'!E43</f>
        <v>184</v>
      </c>
      <c r="C51" s="171">
        <f>'Portfolio Inputs'!I43/1000</f>
        <v>794.39482246942998</v>
      </c>
      <c r="D51" s="171">
        <f>'Portfolio Inputs'!M43</f>
        <v>100.43588931902092</v>
      </c>
      <c r="E51" s="358">
        <f>'Portfolio Inputs'!AL43</f>
        <v>68060.160000000003</v>
      </c>
    </row>
    <row r="54" spans="1:7">
      <c r="A54" s="562"/>
      <c r="B54" s="562"/>
      <c r="C54" s="563"/>
      <c r="D54" s="562"/>
      <c r="F54" s="561"/>
      <c r="G54" s="561"/>
    </row>
    <row r="55" spans="1:7">
      <c r="A55" s="562"/>
      <c r="B55" s="562"/>
      <c r="C55" s="563"/>
      <c r="D55" s="562"/>
      <c r="F55" s="561"/>
      <c r="G55" s="561"/>
    </row>
    <row r="56" spans="1:7">
      <c r="A56" s="562"/>
      <c r="B56" s="562"/>
      <c r="C56" s="563"/>
      <c r="D56" s="562"/>
      <c r="F56" s="561"/>
      <c r="G56" s="561"/>
    </row>
    <row r="57" spans="1:7" ht="12">
      <c r="A57" s="751" t="s">
        <v>472</v>
      </c>
      <c r="B57" s="751"/>
      <c r="C57" s="751"/>
      <c r="D57" s="562"/>
      <c r="E57" s="562"/>
      <c r="F57" s="561"/>
      <c r="G57" s="561"/>
    </row>
    <row r="58" spans="1:7" ht="12">
      <c r="A58" s="577"/>
      <c r="B58" s="571" t="s">
        <v>462</v>
      </c>
      <c r="C58" s="571" t="s">
        <v>461</v>
      </c>
      <c r="D58" s="562"/>
      <c r="F58" s="561"/>
      <c r="G58" s="561"/>
    </row>
    <row r="59" spans="1:7">
      <c r="A59" s="568" t="s">
        <v>460</v>
      </c>
      <c r="B59" s="570">
        <v>7.4999999999999997E-3</v>
      </c>
      <c r="C59" s="574">
        <f>B59*$C$63</f>
        <v>995909.35499999998</v>
      </c>
      <c r="D59" s="562"/>
      <c r="F59" s="561"/>
      <c r="G59" s="561"/>
    </row>
    <row r="60" spans="1:7">
      <c r="A60" s="568" t="s">
        <v>459</v>
      </c>
      <c r="B60" s="570">
        <v>0.01</v>
      </c>
      <c r="C60" s="574">
        <f>B60*$C$63</f>
        <v>1327879.1400000001</v>
      </c>
      <c r="D60" s="562"/>
      <c r="F60" s="561"/>
      <c r="G60" s="561"/>
    </row>
    <row r="61" spans="1:7">
      <c r="A61" s="568" t="s">
        <v>458</v>
      </c>
      <c r="B61" s="570">
        <v>1.2500000000000001E-2</v>
      </c>
      <c r="C61" s="574">
        <f>B61*$C$63</f>
        <v>1659848.925</v>
      </c>
      <c r="D61" s="562"/>
      <c r="F61" s="561"/>
      <c r="G61" s="561"/>
    </row>
    <row r="62" spans="1:7">
      <c r="A62" s="562"/>
      <c r="C62" s="575"/>
      <c r="D62" s="562"/>
      <c r="E62" s="562"/>
      <c r="F62" s="561"/>
      <c r="G62" s="561"/>
    </row>
    <row r="63" spans="1:7">
      <c r="A63" s="561"/>
      <c r="B63" s="573" t="s">
        <v>471</v>
      </c>
      <c r="C63" s="576">
        <v>132787914</v>
      </c>
      <c r="D63" s="562"/>
      <c r="E63" s="561"/>
      <c r="F63" s="561"/>
      <c r="G63" s="561"/>
    </row>
    <row r="64" spans="1:7">
      <c r="A64" s="562"/>
      <c r="B64" s="562"/>
      <c r="C64" s="562"/>
      <c r="D64" s="562"/>
      <c r="E64" s="562"/>
      <c r="F64" s="562"/>
      <c r="G64" s="561"/>
    </row>
    <row r="65" spans="1:7">
      <c r="A65" s="562"/>
      <c r="B65" s="562"/>
      <c r="C65" s="562"/>
      <c r="D65" s="562"/>
      <c r="E65" s="562"/>
      <c r="F65" s="562"/>
      <c r="G65" s="561"/>
    </row>
    <row r="66" spans="1:7" ht="12">
      <c r="A66" s="571"/>
      <c r="B66" s="571" t="s">
        <v>469</v>
      </c>
      <c r="C66" s="562"/>
      <c r="D66" s="562"/>
      <c r="E66" s="562"/>
      <c r="F66" s="562"/>
      <c r="G66" s="561"/>
    </row>
    <row r="67" spans="1:7">
      <c r="A67" s="566" t="s">
        <v>12</v>
      </c>
      <c r="B67" s="567">
        <v>41779.743838383831</v>
      </c>
      <c r="C67" s="593">
        <f>B67/($B$67+$B$68)</f>
        <v>0.86361669242088046</v>
      </c>
      <c r="D67" s="562"/>
      <c r="E67" s="562"/>
      <c r="F67" s="564"/>
      <c r="G67" s="561"/>
    </row>
    <row r="68" spans="1:7">
      <c r="A68" s="566" t="s">
        <v>250</v>
      </c>
      <c r="B68" s="567">
        <v>6597.9035658914736</v>
      </c>
      <c r="C68" s="593">
        <f>B68/($B$67+$B$68)</f>
        <v>0.13638330757911957</v>
      </c>
      <c r="D68" s="562"/>
      <c r="E68" s="562"/>
      <c r="F68" s="562"/>
      <c r="G68" s="561"/>
    </row>
    <row r="69" spans="1:7">
      <c r="A69" s="568" t="s">
        <v>249</v>
      </c>
      <c r="B69" s="569">
        <v>52369.061437963253</v>
      </c>
      <c r="C69" s="562"/>
      <c r="D69" s="562"/>
      <c r="E69" s="562"/>
      <c r="F69" s="562"/>
      <c r="G69" s="561"/>
    </row>
    <row r="70" spans="1:7">
      <c r="A70" s="560"/>
      <c r="B70" s="560"/>
      <c r="C70" s="562"/>
      <c r="D70" s="562"/>
      <c r="E70" s="562"/>
      <c r="F70" s="562"/>
      <c r="G70" s="561"/>
    </row>
    <row r="71" spans="1:7">
      <c r="A71" s="566" t="s">
        <v>248</v>
      </c>
      <c r="B71" s="567">
        <v>7177.3728030303037</v>
      </c>
      <c r="C71" s="562"/>
      <c r="D71" s="562"/>
      <c r="E71" s="562"/>
      <c r="F71" s="562"/>
      <c r="G71" s="561"/>
    </row>
    <row r="72" spans="1:7">
      <c r="A72" s="566" t="s">
        <v>247</v>
      </c>
      <c r="B72" s="567">
        <v>832.74444444444453</v>
      </c>
      <c r="C72" s="562"/>
      <c r="D72" s="562"/>
      <c r="E72" s="562"/>
      <c r="F72" s="562"/>
      <c r="G72" s="561"/>
    </row>
    <row r="73" spans="1:7">
      <c r="A73" s="568" t="s">
        <v>246</v>
      </c>
      <c r="B73" s="569">
        <v>11851.338162068727</v>
      </c>
      <c r="C73" s="562"/>
      <c r="D73" s="562"/>
      <c r="E73" s="562"/>
      <c r="F73" s="562"/>
      <c r="G73" s="561"/>
    </row>
    <row r="74" spans="1:7">
      <c r="A74" s="560"/>
      <c r="B74" s="565"/>
      <c r="C74" s="562"/>
      <c r="D74" s="562"/>
      <c r="E74" s="562"/>
      <c r="F74" s="562"/>
      <c r="G74" s="561"/>
    </row>
    <row r="75" spans="1:7">
      <c r="A75" s="566" t="s">
        <v>245</v>
      </c>
      <c r="B75" s="569">
        <v>637</v>
      </c>
      <c r="C75" s="562"/>
      <c r="D75" s="562"/>
      <c r="E75" s="562"/>
      <c r="F75" s="562"/>
      <c r="G75" s="561"/>
    </row>
    <row r="76" spans="1:7">
      <c r="A76" s="572" t="s">
        <v>470</v>
      </c>
      <c r="B76" s="569">
        <v>155.36666666666667</v>
      </c>
      <c r="C76" s="562"/>
      <c r="D76" s="562"/>
      <c r="E76" s="562"/>
      <c r="F76" s="562"/>
      <c r="G76" s="561"/>
    </row>
    <row r="77" spans="1:7">
      <c r="A77" s="562"/>
      <c r="B77" s="562"/>
      <c r="C77" s="562"/>
      <c r="D77" s="562"/>
      <c r="E77" s="562"/>
      <c r="F77" s="562"/>
      <c r="G77" s="561"/>
    </row>
    <row r="78" spans="1:7">
      <c r="A78" s="562"/>
      <c r="B78" s="562"/>
      <c r="C78" s="562"/>
      <c r="D78" s="562"/>
      <c r="E78" s="562"/>
      <c r="F78" s="562"/>
      <c r="G78" s="561"/>
    </row>
    <row r="79" spans="1:7">
      <c r="A79" s="561"/>
      <c r="B79" s="561"/>
      <c r="C79" s="561"/>
      <c r="D79" s="561"/>
      <c r="E79" s="561"/>
      <c r="F79" s="561"/>
      <c r="G79" s="561"/>
    </row>
    <row r="80" spans="1:7">
      <c r="A80" s="561"/>
      <c r="B80" s="561"/>
      <c r="C80" s="561"/>
      <c r="D80" s="561"/>
      <c r="E80" s="561"/>
      <c r="F80" s="561"/>
      <c r="G80" s="561"/>
    </row>
    <row r="81" spans="1:7">
      <c r="A81" s="561"/>
      <c r="B81" s="561"/>
      <c r="C81" s="561"/>
      <c r="D81" s="561"/>
      <c r="E81" s="561"/>
      <c r="F81" s="561"/>
      <c r="G81" s="561"/>
    </row>
    <row r="82" spans="1:7">
      <c r="A82" s="561"/>
      <c r="B82" s="561"/>
      <c r="C82" s="561"/>
      <c r="D82" s="561"/>
      <c r="E82" s="561"/>
      <c r="F82" s="561"/>
      <c r="G82" s="561"/>
    </row>
    <row r="83" spans="1:7">
      <c r="A83" s="561"/>
      <c r="B83" s="561"/>
      <c r="C83" s="561"/>
      <c r="D83" s="561"/>
      <c r="E83" s="561"/>
      <c r="F83" s="561"/>
      <c r="G83" s="561"/>
    </row>
    <row r="84" spans="1:7">
      <c r="A84" s="561"/>
      <c r="B84" s="561"/>
      <c r="C84" s="561"/>
      <c r="D84" s="561"/>
      <c r="E84" s="561"/>
      <c r="F84" s="561"/>
      <c r="G84" s="561"/>
    </row>
    <row r="85" spans="1:7">
      <c r="A85" s="561"/>
      <c r="B85" s="561"/>
      <c r="C85" s="561"/>
      <c r="D85" s="561"/>
      <c r="E85" s="561"/>
      <c r="F85" s="561"/>
      <c r="G85" s="561"/>
    </row>
    <row r="86" spans="1:7">
      <c r="A86" s="561"/>
      <c r="B86" s="561"/>
      <c r="C86" s="561"/>
      <c r="D86" s="561"/>
      <c r="E86" s="561"/>
      <c r="F86" s="561"/>
      <c r="G86" s="561"/>
    </row>
    <row r="87" spans="1:7">
      <c r="A87" s="561"/>
      <c r="B87" s="561"/>
      <c r="C87" s="561"/>
      <c r="D87" s="561"/>
      <c r="E87" s="561"/>
      <c r="F87" s="561"/>
      <c r="G87" s="561"/>
    </row>
    <row r="88" spans="1:7">
      <c r="A88" s="561"/>
      <c r="B88" s="561"/>
      <c r="C88" s="561"/>
      <c r="D88" s="561"/>
      <c r="E88" s="561"/>
      <c r="F88" s="561"/>
      <c r="G88" s="561"/>
    </row>
    <row r="89" spans="1:7">
      <c r="A89" s="561"/>
      <c r="B89" s="561"/>
      <c r="C89" s="561"/>
      <c r="D89" s="561"/>
      <c r="E89" s="561"/>
      <c r="F89" s="561"/>
      <c r="G89" s="561"/>
    </row>
  </sheetData>
  <mergeCells count="1">
    <mergeCell ref="A57:C57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4"/>
  <sheetViews>
    <sheetView tabSelected="1" workbookViewId="0">
      <selection activeCell="H9" sqref="H9"/>
    </sheetView>
  </sheetViews>
  <sheetFormatPr defaultRowHeight="14.4"/>
  <cols>
    <col min="2" max="2" width="39.5546875" customWidth="1"/>
    <col min="4" max="4" width="11.33203125" bestFit="1" customWidth="1"/>
  </cols>
  <sheetData>
    <row r="2" spans="2:5" ht="15" thickBot="1">
      <c r="B2" s="686" t="s">
        <v>600</v>
      </c>
    </row>
    <row r="3" spans="2:5" ht="24.6" thickBot="1">
      <c r="B3" s="687" t="s">
        <v>90</v>
      </c>
      <c r="C3" s="688" t="s">
        <v>601</v>
      </c>
      <c r="D3" s="688" t="s">
        <v>602</v>
      </c>
      <c r="E3" s="688" t="s">
        <v>603</v>
      </c>
    </row>
    <row r="4" spans="2:5" ht="15" thickBot="1">
      <c r="B4" s="689" t="s">
        <v>12</v>
      </c>
      <c r="C4" s="691">
        <v>300132</v>
      </c>
      <c r="D4" s="691">
        <v>101584</v>
      </c>
      <c r="E4" s="692">
        <f>D4/C4</f>
        <v>0.33846440899337626</v>
      </c>
    </row>
    <row r="5" spans="2:5" ht="15" thickBot="1">
      <c r="B5" s="689" t="s">
        <v>540</v>
      </c>
      <c r="C5" s="691">
        <v>378666</v>
      </c>
      <c r="D5" s="691">
        <v>305474</v>
      </c>
      <c r="E5" s="692">
        <f>D5/C5</f>
        <v>0.80671092730797056</v>
      </c>
    </row>
    <row r="6" spans="2:5" ht="15" thickBot="1">
      <c r="B6" s="689" t="s">
        <v>265</v>
      </c>
      <c r="C6" s="693"/>
      <c r="D6" s="691">
        <v>86853</v>
      </c>
      <c r="E6" s="693"/>
    </row>
    <row r="7" spans="2:5" ht="15" thickBot="1">
      <c r="B7" s="689" t="s">
        <v>266</v>
      </c>
      <c r="C7" s="693"/>
      <c r="D7" s="691">
        <v>103345</v>
      </c>
      <c r="E7" s="693"/>
    </row>
    <row r="8" spans="2:5" ht="15" thickBot="1">
      <c r="B8" s="694" t="s">
        <v>604</v>
      </c>
      <c r="C8" s="695">
        <v>678798</v>
      </c>
      <c r="D8" s="695">
        <v>597256</v>
      </c>
      <c r="E8" s="696">
        <f>D8/C8</f>
        <v>0.87987295189437797</v>
      </c>
    </row>
    <row r="11" spans="2:5" ht="15" thickBot="1">
      <c r="B11" s="686" t="s">
        <v>605</v>
      </c>
    </row>
    <row r="12" spans="2:5" ht="24.6" thickBot="1">
      <c r="B12" s="697"/>
      <c r="C12" s="688" t="s">
        <v>606</v>
      </c>
      <c r="D12" s="688" t="s">
        <v>607</v>
      </c>
      <c r="E12" s="688" t="s">
        <v>603</v>
      </c>
    </row>
    <row r="13" spans="2:5" ht="15" thickBot="1">
      <c r="B13" s="755" t="s">
        <v>541</v>
      </c>
      <c r="C13" s="756"/>
      <c r="D13" s="756"/>
      <c r="E13" s="757"/>
    </row>
    <row r="14" spans="2:5" ht="15" thickBot="1">
      <c r="B14" s="698" t="s">
        <v>608</v>
      </c>
      <c r="C14" s="699">
        <v>62858</v>
      </c>
      <c r="D14" s="699">
        <v>15788</v>
      </c>
      <c r="E14" s="700">
        <f>D14/C14</f>
        <v>0.25116930223678768</v>
      </c>
    </row>
    <row r="15" spans="2:5" ht="15" thickBot="1">
      <c r="B15" s="698" t="s">
        <v>242</v>
      </c>
      <c r="C15" s="699">
        <v>59916</v>
      </c>
      <c r="D15" s="699">
        <v>11827</v>
      </c>
      <c r="E15" s="700">
        <f t="shared" ref="E15:E20" si="0">D15/C15</f>
        <v>0.19739301689031311</v>
      </c>
    </row>
    <row r="16" spans="2:5" ht="15" thickBot="1">
      <c r="B16" s="698" t="s">
        <v>609</v>
      </c>
      <c r="C16" s="691">
        <v>96134</v>
      </c>
      <c r="D16" s="691">
        <v>20899</v>
      </c>
      <c r="E16" s="700">
        <f t="shared" si="0"/>
        <v>0.21739447021865313</v>
      </c>
    </row>
    <row r="17" spans="2:5" ht="15" thickBot="1">
      <c r="B17" s="701" t="s">
        <v>610</v>
      </c>
      <c r="C17" s="699">
        <v>28009</v>
      </c>
      <c r="D17" s="699">
        <v>23068</v>
      </c>
      <c r="E17" s="700">
        <f t="shared" si="0"/>
        <v>0.82359241672319616</v>
      </c>
    </row>
    <row r="18" spans="2:5" ht="15" thickBot="1">
      <c r="B18" s="701" t="s">
        <v>611</v>
      </c>
      <c r="C18" s="699">
        <v>13860</v>
      </c>
      <c r="D18" s="699">
        <v>10335</v>
      </c>
      <c r="E18" s="700">
        <f t="shared" si="0"/>
        <v>0.74567099567099571</v>
      </c>
    </row>
    <row r="19" spans="2:5" ht="15" thickBot="1">
      <c r="B19" s="701" t="s">
        <v>457</v>
      </c>
      <c r="C19" s="699">
        <v>18191</v>
      </c>
      <c r="D19" s="699">
        <v>15589</v>
      </c>
      <c r="E19" s="700">
        <f t="shared" si="0"/>
        <v>0.85696223407179373</v>
      </c>
    </row>
    <row r="20" spans="2:5" ht="15" thickBot="1">
      <c r="B20" s="701" t="s">
        <v>257</v>
      </c>
      <c r="C20" s="699">
        <v>21164</v>
      </c>
      <c r="D20" s="699">
        <v>4079</v>
      </c>
      <c r="E20" s="700">
        <f t="shared" si="0"/>
        <v>0.19273294273294272</v>
      </c>
    </row>
    <row r="21" spans="2:5" ht="15" thickBot="1">
      <c r="B21" s="758" t="s">
        <v>540</v>
      </c>
      <c r="C21" s="759"/>
      <c r="D21" s="759"/>
      <c r="E21" s="760"/>
    </row>
    <row r="22" spans="2:5" ht="15" thickBot="1">
      <c r="B22" s="701" t="s">
        <v>496</v>
      </c>
      <c r="C22" s="702">
        <v>319372</v>
      </c>
      <c r="D22" s="703"/>
      <c r="E22" s="703"/>
    </row>
    <row r="23" spans="2:5" ht="15" thickBot="1">
      <c r="B23" s="701" t="s">
        <v>612</v>
      </c>
      <c r="C23" s="702">
        <v>37645</v>
      </c>
      <c r="D23" s="702">
        <v>149871</v>
      </c>
      <c r="E23" s="700">
        <f t="shared" ref="E23:E24" si="1">D23/C23</f>
        <v>3.9811661575242394</v>
      </c>
    </row>
    <row r="24" spans="2:5" ht="15" thickBot="1">
      <c r="B24" s="701" t="s">
        <v>393</v>
      </c>
      <c r="C24" s="699">
        <v>21649</v>
      </c>
      <c r="D24" s="699">
        <v>155603</v>
      </c>
      <c r="E24" s="700">
        <f t="shared" si="1"/>
        <v>7.1875375306018752</v>
      </c>
    </row>
    <row r="25" spans="2:5" ht="15" thickBot="1">
      <c r="B25" s="689" t="s">
        <v>265</v>
      </c>
      <c r="C25" s="705"/>
      <c r="D25" s="706">
        <v>86853</v>
      </c>
      <c r="E25" s="707"/>
    </row>
    <row r="26" spans="2:5" ht="15" thickBot="1">
      <c r="B26" s="689" t="s">
        <v>266</v>
      </c>
      <c r="C26" s="707" t="s">
        <v>613</v>
      </c>
      <c r="D26" s="706">
        <v>103345</v>
      </c>
      <c r="E26" s="705"/>
    </row>
    <row r="27" spans="2:5" ht="15" thickBot="1">
      <c r="B27" s="708" t="s">
        <v>614</v>
      </c>
      <c r="C27" s="709">
        <v>678798</v>
      </c>
      <c r="D27" s="709">
        <v>597256</v>
      </c>
      <c r="E27" s="710">
        <f>D27/C27</f>
        <v>0.87987295189437797</v>
      </c>
    </row>
    <row r="30" spans="2:5" ht="15" thickBot="1">
      <c r="B30" s="686" t="s">
        <v>615</v>
      </c>
    </row>
    <row r="31" spans="2:5" ht="15" thickBot="1">
      <c r="B31" s="697"/>
      <c r="C31" s="688" t="s">
        <v>601</v>
      </c>
      <c r="D31" s="688" t="s">
        <v>602</v>
      </c>
      <c r="E31" s="688" t="s">
        <v>616</v>
      </c>
    </row>
    <row r="32" spans="2:5" ht="15" thickBot="1">
      <c r="B32" s="689" t="s">
        <v>541</v>
      </c>
      <c r="C32" s="711">
        <v>1338545</v>
      </c>
      <c r="D32" s="711">
        <f>'Portfolio Inputs'!G5</f>
        <v>387913.41922513559</v>
      </c>
      <c r="E32" s="700">
        <f t="shared" ref="E32:E34" si="2">D32/C32</f>
        <v>0.28980229967997756</v>
      </c>
    </row>
    <row r="33" spans="2:5" ht="15" thickBot="1">
      <c r="B33" s="689" t="s">
        <v>540</v>
      </c>
      <c r="C33" s="711">
        <v>1916733</v>
      </c>
      <c r="D33" s="711">
        <f>'Portfolio Inputs'!G40</f>
        <v>2752880.4621184566</v>
      </c>
      <c r="E33" s="700">
        <f t="shared" si="2"/>
        <v>1.4362357522505516</v>
      </c>
    </row>
    <row r="34" spans="2:5" ht="15" thickBot="1">
      <c r="B34" s="694" t="s">
        <v>604</v>
      </c>
      <c r="C34" s="712">
        <v>3255278</v>
      </c>
      <c r="D34" s="712">
        <f>SUM(D32:D33)</f>
        <v>3140793.881343592</v>
      </c>
      <c r="E34" s="741">
        <f t="shared" si="2"/>
        <v>0.96483123141666916</v>
      </c>
    </row>
    <row r="37" spans="2:5" ht="15" thickBot="1">
      <c r="B37" s="686" t="s">
        <v>617</v>
      </c>
    </row>
    <row r="38" spans="2:5" ht="24.6" thickBot="1">
      <c r="B38" s="697"/>
      <c r="C38" s="688" t="s">
        <v>601</v>
      </c>
      <c r="D38" s="688" t="s">
        <v>618</v>
      </c>
      <c r="E38" s="688" t="s">
        <v>603</v>
      </c>
    </row>
    <row r="39" spans="2:5" ht="15" thickBot="1">
      <c r="B39" s="755" t="s">
        <v>541</v>
      </c>
      <c r="C39" s="756"/>
      <c r="D39" s="756"/>
      <c r="E39" s="757"/>
    </row>
    <row r="40" spans="2:5" ht="15" thickBot="1">
      <c r="B40" s="698" t="s">
        <v>608</v>
      </c>
      <c r="C40" s="713">
        <v>407497</v>
      </c>
      <c r="D40" s="713">
        <f>'Portfolio Inputs'!G6</f>
        <v>46665.427212000002</v>
      </c>
      <c r="E40" s="700">
        <f t="shared" ref="E40:E46" si="3">D40/C40</f>
        <v>0.11451722886794259</v>
      </c>
    </row>
    <row r="41" spans="2:5" ht="15" thickBot="1">
      <c r="B41" s="698" t="s">
        <v>242</v>
      </c>
      <c r="C41" s="713">
        <v>340675</v>
      </c>
      <c r="D41" s="713">
        <f>'Portfolio Inputs'!G12</f>
        <v>90415</v>
      </c>
      <c r="E41" s="700">
        <f t="shared" si="3"/>
        <v>0.26539957437440376</v>
      </c>
    </row>
    <row r="42" spans="2:5" ht="15" thickBot="1">
      <c r="B42" s="701" t="s">
        <v>609</v>
      </c>
      <c r="C42" s="713">
        <v>339245</v>
      </c>
      <c r="D42" s="713">
        <f>'Portfolio Inputs'!G15</f>
        <v>84867.131020619971</v>
      </c>
      <c r="E42" s="700">
        <f t="shared" si="3"/>
        <v>0.25016472172211812</v>
      </c>
    </row>
    <row r="43" spans="2:5" ht="15" thickBot="1">
      <c r="B43" s="701" t="s">
        <v>610</v>
      </c>
      <c r="C43" s="713">
        <v>85147</v>
      </c>
      <c r="D43" s="713">
        <f>'Portfolio Inputs'!G23</f>
        <v>22244.764700136628</v>
      </c>
      <c r="E43" s="700">
        <f t="shared" si="3"/>
        <v>0.26125130304222849</v>
      </c>
    </row>
    <row r="44" spans="2:5" ht="15" thickBot="1">
      <c r="B44" s="701" t="s">
        <v>611</v>
      </c>
      <c r="C44" s="713">
        <v>37787</v>
      </c>
      <c r="D44" s="713">
        <f>'Portfolio Inputs'!G32</f>
        <v>19649.081494777445</v>
      </c>
      <c r="E44" s="700">
        <f t="shared" si="3"/>
        <v>0.51999580529752154</v>
      </c>
    </row>
    <row r="45" spans="2:5" ht="15" thickBot="1">
      <c r="B45" s="701" t="s">
        <v>457</v>
      </c>
      <c r="C45" s="713">
        <v>100088</v>
      </c>
      <c r="D45" s="713">
        <f>'Portfolio Inputs'!G33</f>
        <v>108428.60943988523</v>
      </c>
      <c r="E45" s="700">
        <f t="shared" si="3"/>
        <v>1.0833327615686719</v>
      </c>
    </row>
    <row r="46" spans="2:5" ht="15" thickBot="1">
      <c r="B46" s="701" t="s">
        <v>257</v>
      </c>
      <c r="C46" s="713">
        <v>28106</v>
      </c>
      <c r="D46" s="713">
        <f>'Portfolio Inputs'!G34</f>
        <v>15643.405357716238</v>
      </c>
      <c r="E46" s="700">
        <f t="shared" si="3"/>
        <v>0.55658597302057344</v>
      </c>
    </row>
    <row r="47" spans="2:5" ht="15" thickBot="1">
      <c r="B47" s="758" t="s">
        <v>619</v>
      </c>
      <c r="C47" s="759"/>
      <c r="D47" s="759"/>
      <c r="E47" s="760"/>
    </row>
    <row r="48" spans="2:5" ht="15" thickBot="1">
      <c r="B48" s="701" t="s">
        <v>496</v>
      </c>
      <c r="C48" s="713">
        <v>893129</v>
      </c>
      <c r="D48" s="703"/>
      <c r="E48" s="703"/>
    </row>
    <row r="49" spans="2:5" ht="15" thickBot="1">
      <c r="B49" s="701" t="s">
        <v>612</v>
      </c>
      <c r="C49" s="713">
        <v>420586</v>
      </c>
      <c r="D49" s="714">
        <f>'Portfolio Inputs'!G43</f>
        <v>1415298.4621184566</v>
      </c>
      <c r="E49" s="700">
        <f t="shared" ref="E49:E51" si="4">D49/C49</f>
        <v>3.3650631787992387</v>
      </c>
    </row>
    <row r="50" spans="2:5" ht="15" thickBot="1">
      <c r="B50" s="701" t="s">
        <v>393</v>
      </c>
      <c r="C50" s="713">
        <v>603018</v>
      </c>
      <c r="D50" s="714">
        <f>'Portfolio Inputs'!G42</f>
        <v>1337582</v>
      </c>
      <c r="E50" s="700">
        <f t="shared" si="4"/>
        <v>2.2181460586582822</v>
      </c>
    </row>
    <row r="51" spans="2:5" ht="15" thickBot="1">
      <c r="B51" s="742" t="s">
        <v>604</v>
      </c>
      <c r="C51" s="743">
        <f>SUM(C48:C50,C40:C46)</f>
        <v>3255278</v>
      </c>
      <c r="D51" s="743">
        <f>SUM(D48:D50,D40:D46)</f>
        <v>3140793.881343592</v>
      </c>
      <c r="E51" s="700">
        <f t="shared" si="4"/>
        <v>0.96483123141666916</v>
      </c>
    </row>
    <row r="54" spans="2:5" ht="15" thickBot="1">
      <c r="B54" s="686" t="s">
        <v>620</v>
      </c>
    </row>
    <row r="55" spans="2:5" ht="15" thickBot="1">
      <c r="B55" s="697"/>
      <c r="C55" s="688" t="s">
        <v>601</v>
      </c>
      <c r="D55" s="688" t="s">
        <v>602</v>
      </c>
      <c r="E55" s="688" t="s">
        <v>616</v>
      </c>
    </row>
    <row r="56" spans="2:5" ht="15" thickBot="1">
      <c r="B56" s="689" t="s">
        <v>541</v>
      </c>
      <c r="C56" s="744">
        <v>210.26</v>
      </c>
      <c r="D56" s="744">
        <f>'Portfolio Inputs'!K5</f>
        <v>60.41981970460624</v>
      </c>
      <c r="E56" s="700">
        <f t="shared" ref="E56:E58" si="5">D56/C56</f>
        <v>0.28735765102542682</v>
      </c>
    </row>
    <row r="57" spans="2:5" ht="15" thickBot="1">
      <c r="B57" s="689" t="s">
        <v>540</v>
      </c>
      <c r="C57" s="744">
        <v>283.33</v>
      </c>
      <c r="D57" s="744">
        <f>'Portfolio Inputs'!K40</f>
        <v>648.45733812197795</v>
      </c>
      <c r="E57" s="700">
        <f t="shared" si="5"/>
        <v>2.2886998839585573</v>
      </c>
    </row>
    <row r="58" spans="2:5" ht="15" thickBot="1">
      <c r="B58" s="694" t="s">
        <v>604</v>
      </c>
      <c r="C58" s="745">
        <v>493.59</v>
      </c>
      <c r="D58" s="745">
        <f>SUM(D56:D57)</f>
        <v>708.87715782658415</v>
      </c>
      <c r="E58" s="741">
        <f t="shared" si="5"/>
        <v>1.4361659633027091</v>
      </c>
    </row>
    <row r="61" spans="2:5" ht="15" thickBot="1">
      <c r="B61" s="686" t="s">
        <v>621</v>
      </c>
    </row>
    <row r="62" spans="2:5" ht="24.6" thickBot="1">
      <c r="B62" s="697"/>
      <c r="C62" s="715" t="s">
        <v>601</v>
      </c>
      <c r="D62" s="715" t="s">
        <v>618</v>
      </c>
      <c r="E62" s="715" t="s">
        <v>603</v>
      </c>
    </row>
    <row r="63" spans="2:5" ht="15" thickBot="1">
      <c r="B63" s="761" t="s">
        <v>541</v>
      </c>
      <c r="C63" s="762"/>
      <c r="D63" s="762"/>
      <c r="E63" s="763"/>
    </row>
    <row r="64" spans="2:5" ht="15" thickBot="1">
      <c r="B64" s="698" t="s">
        <v>608</v>
      </c>
      <c r="C64" s="746">
        <v>36</v>
      </c>
      <c r="D64" s="746">
        <f>'Portfolio Inputs'!K6</f>
        <v>3.4663683600136985</v>
      </c>
      <c r="E64" s="700">
        <f>D64/C64</f>
        <v>9.6288010000380508E-2</v>
      </c>
    </row>
    <row r="65" spans="2:5" ht="15" thickBot="1">
      <c r="B65" s="698" t="s">
        <v>242</v>
      </c>
      <c r="C65" s="746">
        <v>39</v>
      </c>
      <c r="D65" s="746">
        <f>'Portfolio Inputs'!K12</f>
        <v>10.321347031963469</v>
      </c>
      <c r="E65" s="700">
        <f t="shared" ref="E65:E70" si="6">D65/C65</f>
        <v>0.26464992389649922</v>
      </c>
    </row>
    <row r="66" spans="2:5" ht="15" thickBot="1">
      <c r="B66" s="698" t="s">
        <v>609</v>
      </c>
      <c r="C66" s="746">
        <v>95.56</v>
      </c>
      <c r="D66" s="746">
        <f>'Portfolio Inputs'!K15</f>
        <v>26.311038520275883</v>
      </c>
      <c r="E66" s="700">
        <f t="shared" si="6"/>
        <v>0.27533527124608498</v>
      </c>
    </row>
    <row r="67" spans="2:5" ht="15" thickBot="1">
      <c r="B67" s="698" t="s">
        <v>610</v>
      </c>
      <c r="C67" s="747">
        <v>22</v>
      </c>
      <c r="D67" s="747">
        <f>'Portfolio Inputs'!K23</f>
        <v>5.778296878686918</v>
      </c>
      <c r="E67" s="700">
        <f t="shared" si="6"/>
        <v>0.26264985812213265</v>
      </c>
    </row>
    <row r="68" spans="2:5" ht="15" thickBot="1">
      <c r="B68" s="701" t="s">
        <v>611</v>
      </c>
      <c r="C68" s="746">
        <v>4.3</v>
      </c>
      <c r="D68" s="746">
        <f>'Portfolio Inputs'!K32</f>
        <v>2.2430458327371512</v>
      </c>
      <c r="E68" s="700">
        <f t="shared" si="6"/>
        <v>0.52163856575282586</v>
      </c>
    </row>
    <row r="69" spans="2:5" ht="15" thickBot="1">
      <c r="B69" s="701" t="s">
        <v>457</v>
      </c>
      <c r="C69" s="746">
        <v>8.8000000000000007</v>
      </c>
      <c r="D69" s="746">
        <f>'Portfolio Inputs'!K33</f>
        <v>9.491835182216791</v>
      </c>
      <c r="E69" s="700">
        <f t="shared" si="6"/>
        <v>1.0786176343428171</v>
      </c>
    </row>
    <row r="70" spans="2:5" ht="15" thickBot="1">
      <c r="B70" s="701" t="s">
        <v>257</v>
      </c>
      <c r="C70" s="746">
        <v>4.5999999999999996</v>
      </c>
      <c r="D70" s="746">
        <f>'Portfolio Inputs'!K34</f>
        <v>2.807887898712329</v>
      </c>
      <c r="E70" s="700">
        <f t="shared" si="6"/>
        <v>0.61041041276354979</v>
      </c>
    </row>
    <row r="71" spans="2:5" ht="15" thickBot="1">
      <c r="B71" s="752" t="s">
        <v>622</v>
      </c>
      <c r="C71" s="753"/>
      <c r="D71" s="753"/>
      <c r="E71" s="754"/>
    </row>
    <row r="72" spans="2:5" ht="15" thickBot="1">
      <c r="B72" s="701" t="s">
        <v>496</v>
      </c>
      <c r="C72" s="746">
        <v>139</v>
      </c>
      <c r="D72" s="746"/>
      <c r="E72" s="716"/>
    </row>
    <row r="73" spans="2:5" ht="15" thickBot="1">
      <c r="B73" s="701" t="s">
        <v>612</v>
      </c>
      <c r="C73" s="746">
        <v>54.33</v>
      </c>
      <c r="D73" s="746">
        <f>'Portfolio Inputs'!K43</f>
        <v>318.43733812197797</v>
      </c>
      <c r="E73" s="700">
        <f t="shared" ref="E73:E74" si="7">D73/C73</f>
        <v>5.8611694850354867</v>
      </c>
    </row>
    <row r="74" spans="2:5" ht="15" thickBot="1">
      <c r="B74" s="701" t="s">
        <v>393</v>
      </c>
      <c r="C74" s="746">
        <v>90</v>
      </c>
      <c r="D74" s="746">
        <f>'Portfolio Inputs'!K42</f>
        <v>330.02</v>
      </c>
      <c r="E74" s="700">
        <f t="shared" si="7"/>
        <v>3.6668888888888889</v>
      </c>
    </row>
    <row r="75" spans="2:5" ht="15" thickBot="1">
      <c r="B75" s="708" t="s">
        <v>614</v>
      </c>
      <c r="C75" s="748">
        <v>493.59</v>
      </c>
      <c r="D75" s="748">
        <f>SUM(D73:D74,D64:D70)</f>
        <v>708.87715782658427</v>
      </c>
      <c r="E75" s="710">
        <f>D75/C75</f>
        <v>1.4361659633027093</v>
      </c>
    </row>
    <row r="78" spans="2:5" ht="15" thickBot="1">
      <c r="B78" s="686" t="s">
        <v>623</v>
      </c>
    </row>
    <row r="79" spans="2:5" ht="15" thickBot="1">
      <c r="B79" s="717" t="s">
        <v>624</v>
      </c>
      <c r="C79" s="688" t="s">
        <v>625</v>
      </c>
    </row>
    <row r="80" spans="2:5" ht="15" thickBot="1">
      <c r="B80" s="689" t="s">
        <v>626</v>
      </c>
      <c r="C80" s="723">
        <f>'2014-15 Status Rpt Bencost'!Q5</f>
        <v>2.3258536845063658</v>
      </c>
    </row>
    <row r="81" spans="2:3" ht="15" thickBot="1">
      <c r="B81" s="689" t="s">
        <v>627</v>
      </c>
      <c r="C81" s="723">
        <f>'2014-15 Status Rpt Bencost'!R5</f>
        <v>2.3071963467405441</v>
      </c>
    </row>
    <row r="82" spans="2:3" ht="15" thickBot="1">
      <c r="B82" s="689" t="s">
        <v>628</v>
      </c>
      <c r="C82" s="723">
        <f>'2014-15 Status Rpt Bencost'!S5</f>
        <v>2.8924838161019801</v>
      </c>
    </row>
    <row r="83" spans="2:3" ht="15" thickBot="1">
      <c r="B83" s="689" t="s">
        <v>629</v>
      </c>
      <c r="C83" s="723">
        <f>'2014-15 Status Rpt Bencost'!T5</f>
        <v>11.457635438441581</v>
      </c>
    </row>
    <row r="84" spans="2:3" ht="15" thickBot="1">
      <c r="B84" s="689" t="s">
        <v>630</v>
      </c>
      <c r="C84" s="723">
        <f>'2014-15 Status Rpt Bencost'!V5</f>
        <v>0.34286540873109611</v>
      </c>
    </row>
  </sheetData>
  <mergeCells count="6">
    <mergeCell ref="B71:E71"/>
    <mergeCell ref="B13:E13"/>
    <mergeCell ref="B21:E21"/>
    <mergeCell ref="B39:E39"/>
    <mergeCell ref="B47:E47"/>
    <mergeCell ref="B63:E6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1"/>
  <sheetViews>
    <sheetView workbookViewId="0">
      <selection activeCell="J8" sqref="J8"/>
    </sheetView>
  </sheetViews>
  <sheetFormatPr defaultRowHeight="14.4"/>
  <cols>
    <col min="2" max="2" width="20.88671875" customWidth="1"/>
  </cols>
  <sheetData>
    <row r="2" spans="2:7" ht="15" thickBot="1">
      <c r="B2" s="686" t="s">
        <v>631</v>
      </c>
    </row>
    <row r="3" spans="2:7" ht="24.6" thickBot="1">
      <c r="B3" s="719"/>
      <c r="C3" s="688" t="s">
        <v>632</v>
      </c>
      <c r="D3" s="688" t="s">
        <v>633</v>
      </c>
      <c r="E3" s="688" t="s">
        <v>634</v>
      </c>
    </row>
    <row r="4" spans="2:7" ht="15" thickBot="1">
      <c r="B4" s="689" t="s">
        <v>635</v>
      </c>
      <c r="C4" s="720"/>
      <c r="D4" s="720"/>
      <c r="E4" s="705"/>
    </row>
    <row r="5" spans="2:7" ht="15" thickBot="1">
      <c r="B5" s="698" t="s">
        <v>10</v>
      </c>
      <c r="C5" s="711">
        <v>10000</v>
      </c>
      <c r="D5" s="693">
        <v>166</v>
      </c>
      <c r="E5" s="692">
        <f>D5/C5</f>
        <v>1.66E-2</v>
      </c>
    </row>
    <row r="6" spans="2:7" ht="15" thickBot="1">
      <c r="B6" s="698" t="s">
        <v>11</v>
      </c>
      <c r="C6" s="693">
        <v>500</v>
      </c>
      <c r="D6" s="693">
        <v>683</v>
      </c>
      <c r="E6" s="692">
        <f t="shared" ref="E6:E12" si="0">D6/C6</f>
        <v>1.3660000000000001</v>
      </c>
      <c r="G6" s="749">
        <f>SUM(D5:D9)/SUM(C5:C9)</f>
        <v>8.8537549407114627E-2</v>
      </c>
    </row>
    <row r="7" spans="2:7" ht="15" thickBot="1">
      <c r="B7" s="698" t="s">
        <v>636</v>
      </c>
      <c r="C7" s="693">
        <v>400</v>
      </c>
      <c r="D7" s="693">
        <v>44</v>
      </c>
      <c r="E7" s="692">
        <f t="shared" si="0"/>
        <v>0.11</v>
      </c>
    </row>
    <row r="8" spans="2:7" ht="15" thickBot="1">
      <c r="B8" s="698" t="s">
        <v>637</v>
      </c>
      <c r="C8" s="693">
        <v>300</v>
      </c>
      <c r="D8" s="693">
        <v>115</v>
      </c>
      <c r="E8" s="692">
        <f t="shared" si="0"/>
        <v>0.38333333333333336</v>
      </c>
    </row>
    <row r="9" spans="2:7" ht="15" thickBot="1">
      <c r="B9" s="698" t="s">
        <v>638</v>
      </c>
      <c r="C9" s="693">
        <v>185</v>
      </c>
      <c r="D9" s="693"/>
      <c r="E9" s="692">
        <f t="shared" si="0"/>
        <v>0</v>
      </c>
    </row>
    <row r="10" spans="2:7" ht="15" thickBot="1">
      <c r="B10" s="689" t="s">
        <v>639</v>
      </c>
      <c r="C10" s="691">
        <v>62858</v>
      </c>
      <c r="D10" s="691">
        <v>15788</v>
      </c>
      <c r="E10" s="692">
        <f t="shared" si="0"/>
        <v>0.25116930223678768</v>
      </c>
    </row>
    <row r="11" spans="2:7" ht="15" thickBot="1">
      <c r="B11" s="689" t="s">
        <v>640</v>
      </c>
      <c r="C11" s="711">
        <v>407497</v>
      </c>
      <c r="D11" s="711">
        <f>'Portfolio Inputs'!G6</f>
        <v>46665.427212000002</v>
      </c>
      <c r="E11" s="692">
        <f t="shared" si="0"/>
        <v>0.11451722886794259</v>
      </c>
    </row>
    <row r="12" spans="2:7" ht="15" thickBot="1">
      <c r="B12" s="689" t="s">
        <v>641</v>
      </c>
      <c r="C12" s="693">
        <v>36</v>
      </c>
      <c r="D12" s="721">
        <f>'Portfolio Inputs'!K6</f>
        <v>3.4663683600136985</v>
      </c>
      <c r="E12" s="692">
        <f t="shared" si="0"/>
        <v>9.6288010000380508E-2</v>
      </c>
    </row>
    <row r="15" spans="2:7" ht="15" thickBot="1">
      <c r="B15" s="686" t="s">
        <v>642</v>
      </c>
    </row>
    <row r="16" spans="2:7" ht="15" thickBot="1">
      <c r="B16" s="717" t="s">
        <v>624</v>
      </c>
      <c r="C16" s="688" t="s">
        <v>625</v>
      </c>
    </row>
    <row r="17" spans="2:5" ht="15" thickBot="1">
      <c r="B17" s="689" t="s">
        <v>626</v>
      </c>
      <c r="C17" s="723">
        <f>'2014-15 Status Rpt Bencost'!Q7</f>
        <v>0.31797026524907251</v>
      </c>
    </row>
    <row r="18" spans="2:5" ht="15" thickBot="1">
      <c r="B18" s="722" t="s">
        <v>627</v>
      </c>
      <c r="C18" s="723">
        <f>'2014-15 Status Rpt Bencost'!R7</f>
        <v>0.48167622621752681</v>
      </c>
    </row>
    <row r="19" spans="2:5" ht="15" thickBot="1">
      <c r="B19" s="722" t="s">
        <v>628</v>
      </c>
      <c r="C19" s="723">
        <f>'2014-15 Status Rpt Bencost'!S7</f>
        <v>0.40164396999145219</v>
      </c>
    </row>
    <row r="20" spans="2:5" ht="15" thickBot="1">
      <c r="B20" s="722" t="s">
        <v>629</v>
      </c>
      <c r="C20" s="723">
        <f>'2014-15 Status Rpt Bencost'!T7</f>
        <v>2.7691671580691972</v>
      </c>
    </row>
    <row r="21" spans="2:5" ht="15" thickBot="1">
      <c r="B21" s="722" t="s">
        <v>630</v>
      </c>
      <c r="C21" s="723">
        <f>'2014-15 Status Rpt Bencost'!V7</f>
        <v>0.18681423647465153</v>
      </c>
    </row>
    <row r="24" spans="2:5" ht="15" thickBot="1">
      <c r="B24" s="686" t="s">
        <v>643</v>
      </c>
    </row>
    <row r="25" spans="2:5" ht="24.6" thickBot="1">
      <c r="B25" s="719"/>
      <c r="C25" s="688" t="s">
        <v>632</v>
      </c>
      <c r="D25" s="688" t="s">
        <v>633</v>
      </c>
      <c r="E25" s="688" t="s">
        <v>634</v>
      </c>
    </row>
    <row r="26" spans="2:5" ht="15" thickBot="1">
      <c r="B26" s="689" t="s">
        <v>635</v>
      </c>
      <c r="C26" s="693">
        <v>275</v>
      </c>
      <c r="D26" s="693">
        <v>71</v>
      </c>
      <c r="E26" s="692">
        <f>D26/C26</f>
        <v>0.25818181818181818</v>
      </c>
    </row>
    <row r="27" spans="2:5" ht="15" thickBot="1">
      <c r="B27" s="689" t="s">
        <v>639</v>
      </c>
      <c r="C27" s="691">
        <v>59916</v>
      </c>
      <c r="D27" s="691">
        <v>11827</v>
      </c>
      <c r="E27" s="692">
        <f t="shared" ref="E27:E29" si="1">D27/C27</f>
        <v>0.19739301689031311</v>
      </c>
    </row>
    <row r="28" spans="2:5" ht="15" thickBot="1">
      <c r="B28" s="689" t="s">
        <v>640</v>
      </c>
      <c r="C28" s="711">
        <v>340675</v>
      </c>
      <c r="D28" s="711">
        <v>90415</v>
      </c>
      <c r="E28" s="692">
        <f t="shared" si="1"/>
        <v>0.26539957437440376</v>
      </c>
    </row>
    <row r="29" spans="2:5" ht="15" thickBot="1">
      <c r="B29" s="689" t="s">
        <v>641</v>
      </c>
      <c r="C29" s="693">
        <v>39</v>
      </c>
      <c r="D29" s="703">
        <v>10.31</v>
      </c>
      <c r="E29" s="692">
        <f t="shared" si="1"/>
        <v>0.26435897435897437</v>
      </c>
    </row>
    <row r="32" spans="2:5" ht="15" thickBot="1">
      <c r="B32" s="686" t="s">
        <v>644</v>
      </c>
    </row>
    <row r="33" spans="2:5" ht="15" thickBot="1">
      <c r="B33" s="717" t="s">
        <v>624</v>
      </c>
      <c r="C33" s="688" t="s">
        <v>625</v>
      </c>
    </row>
    <row r="34" spans="2:5" ht="15" thickBot="1">
      <c r="B34" s="689" t="s">
        <v>626</v>
      </c>
      <c r="C34" s="723">
        <f>'2014-15 Status Rpt Bencost'!Q13</f>
        <v>0.6069913372572997</v>
      </c>
    </row>
    <row r="35" spans="2:5" ht="15" thickBot="1">
      <c r="B35" s="722" t="s">
        <v>627</v>
      </c>
      <c r="C35" s="723">
        <f>'2014-15 Status Rpt Bencost'!R13</f>
        <v>0.65570515619932934</v>
      </c>
    </row>
    <row r="36" spans="2:5" ht="15" thickBot="1">
      <c r="B36" s="722" t="s">
        <v>628</v>
      </c>
      <c r="C36" s="723">
        <f>'2014-15 Status Rpt Bencost'!S13</f>
        <v>0.7661343822675859</v>
      </c>
    </row>
    <row r="37" spans="2:5" ht="15" thickBot="1">
      <c r="B37" s="722" t="s">
        <v>629</v>
      </c>
      <c r="C37" s="723">
        <f>'2014-15 Status Rpt Bencost'!T13</f>
        <v>12.750026342687786</v>
      </c>
    </row>
    <row r="38" spans="2:5" ht="15" thickBot="1">
      <c r="B38" s="722" t="s">
        <v>630</v>
      </c>
      <c r="C38" s="723">
        <f>'2014-15 Status Rpt Bencost'!V13</f>
        <v>0.21017866237340208</v>
      </c>
    </row>
    <row r="41" spans="2:5" ht="15" thickBot="1">
      <c r="B41" s="686" t="s">
        <v>645</v>
      </c>
    </row>
    <row r="42" spans="2:5" ht="15" thickBot="1">
      <c r="B42" s="687"/>
      <c r="C42" s="764" t="s">
        <v>625</v>
      </c>
      <c r="D42" s="765"/>
      <c r="E42" s="766"/>
    </row>
    <row r="43" spans="2:5" ht="24.6" thickBot="1">
      <c r="B43" s="724"/>
      <c r="C43" s="725" t="s">
        <v>632</v>
      </c>
      <c r="D43" s="725" t="s">
        <v>633</v>
      </c>
      <c r="E43" s="725" t="s">
        <v>603</v>
      </c>
    </row>
    <row r="44" spans="2:5" ht="15" thickBot="1">
      <c r="B44" s="701" t="s">
        <v>144</v>
      </c>
      <c r="C44" s="702">
        <v>30594</v>
      </c>
      <c r="D44" s="702">
        <f>'Portfolio Inputs'!W16</f>
        <v>7121</v>
      </c>
      <c r="E44" s="704">
        <f>D44/C44</f>
        <v>0.23275805713538603</v>
      </c>
    </row>
    <row r="45" spans="2:5" ht="15" thickBot="1">
      <c r="B45" s="701" t="s">
        <v>646</v>
      </c>
      <c r="C45" s="702">
        <v>16317</v>
      </c>
      <c r="D45" s="702">
        <f>'Portfolio Inputs'!W17</f>
        <v>1000</v>
      </c>
      <c r="E45" s="704">
        <f t="shared" ref="E45:E51" si="2">D45/C45</f>
        <v>6.1285775571489856E-2</v>
      </c>
    </row>
    <row r="46" spans="2:5" ht="15" thickBot="1">
      <c r="B46" s="701" t="s">
        <v>238</v>
      </c>
      <c r="C46" s="702">
        <v>19037</v>
      </c>
      <c r="D46" s="702">
        <f>'Portfolio Inputs'!W18</f>
        <v>1000</v>
      </c>
      <c r="E46" s="704">
        <f t="shared" si="2"/>
        <v>5.2529285076430107E-2</v>
      </c>
    </row>
    <row r="47" spans="2:5" ht="15" thickBot="1">
      <c r="B47" s="701" t="s">
        <v>647</v>
      </c>
      <c r="C47" s="702">
        <v>4079</v>
      </c>
      <c r="D47" s="702">
        <f>'Portfolio Inputs'!W19</f>
        <v>1490</v>
      </c>
      <c r="E47" s="704">
        <f t="shared" si="2"/>
        <v>0.36528560921794556</v>
      </c>
    </row>
    <row r="48" spans="2:5" ht="15" thickBot="1">
      <c r="B48" s="701" t="s">
        <v>648</v>
      </c>
      <c r="C48" s="702">
        <v>9790</v>
      </c>
      <c r="D48" s="702">
        <f>'Portfolio Inputs'!W20</f>
        <v>6400</v>
      </c>
      <c r="E48" s="704">
        <f t="shared" si="2"/>
        <v>0.65372829417773237</v>
      </c>
    </row>
    <row r="49" spans="2:5" ht="15" thickBot="1">
      <c r="B49" s="701" t="s">
        <v>649</v>
      </c>
      <c r="C49" s="702">
        <v>6119</v>
      </c>
      <c r="D49" s="702">
        <f>'Portfolio Inputs'!W21</f>
        <v>1300</v>
      </c>
      <c r="E49" s="704">
        <f t="shared" si="2"/>
        <v>0.21245301519856186</v>
      </c>
    </row>
    <row r="50" spans="2:5" ht="15" thickBot="1">
      <c r="B50" s="701" t="s">
        <v>650</v>
      </c>
      <c r="C50" s="702">
        <v>10198</v>
      </c>
      <c r="D50" s="702">
        <f>'Portfolio Inputs'!W22</f>
        <v>2588</v>
      </c>
      <c r="E50" s="704">
        <f t="shared" si="2"/>
        <v>0.25377525004902923</v>
      </c>
    </row>
    <row r="51" spans="2:5" ht="15" thickBot="1">
      <c r="B51" s="701" t="s">
        <v>651</v>
      </c>
      <c r="C51" s="702">
        <v>96134</v>
      </c>
      <c r="D51" s="702">
        <f>SUM(D44:D50)</f>
        <v>20899</v>
      </c>
      <c r="E51" s="704">
        <f t="shared" si="2"/>
        <v>0.21739447021865313</v>
      </c>
    </row>
    <row r="54" spans="2:5" ht="15" thickBot="1">
      <c r="B54" s="686" t="s">
        <v>652</v>
      </c>
    </row>
    <row r="55" spans="2:5" ht="15" thickBot="1">
      <c r="B55" s="687"/>
      <c r="C55" s="764" t="s">
        <v>625</v>
      </c>
      <c r="D55" s="765"/>
      <c r="E55" s="766"/>
    </row>
    <row r="56" spans="2:5" ht="15" thickBot="1">
      <c r="B56" s="724"/>
      <c r="C56" s="725" t="s">
        <v>632</v>
      </c>
      <c r="D56" s="725" t="s">
        <v>633</v>
      </c>
      <c r="E56" s="725" t="s">
        <v>616</v>
      </c>
    </row>
    <row r="57" spans="2:5" ht="15" thickBot="1">
      <c r="B57" s="701" t="s">
        <v>144</v>
      </c>
      <c r="C57" s="713">
        <v>47880</v>
      </c>
      <c r="D57" s="713">
        <f>'Portfolio Inputs'!G16</f>
        <v>12927.732814101279</v>
      </c>
      <c r="E57" s="704">
        <f t="shared" ref="E57:E64" si="3">D57/C57</f>
        <v>0.27000277389518124</v>
      </c>
    </row>
    <row r="58" spans="2:5" ht="15" thickBot="1">
      <c r="B58" s="701" t="s">
        <v>646</v>
      </c>
      <c r="C58" s="713">
        <v>9576</v>
      </c>
      <c r="D58" s="713">
        <f>'2014-15 Status Rpt Bencost'!H18/EnergyLineLoss</f>
        <v>3288.776470588236</v>
      </c>
      <c r="E58" s="704">
        <f t="shared" si="3"/>
        <v>0.3434394810555802</v>
      </c>
    </row>
    <row r="59" spans="2:5" ht="15" thickBot="1">
      <c r="B59" s="701" t="s">
        <v>238</v>
      </c>
      <c r="C59" s="713">
        <v>121360</v>
      </c>
      <c r="D59" s="713">
        <f>'Portfolio Inputs'!G18</f>
        <v>6934.8361369357572</v>
      </c>
      <c r="E59" s="704">
        <f t="shared" si="3"/>
        <v>5.7142684055172685E-2</v>
      </c>
    </row>
    <row r="60" spans="2:5" ht="15" thickBot="1">
      <c r="B60" s="701" t="s">
        <v>647</v>
      </c>
      <c r="C60" s="713">
        <v>6371</v>
      </c>
      <c r="D60" s="713">
        <f>'Portfolio Inputs'!G19</f>
        <v>1911.4486068186252</v>
      </c>
      <c r="E60" s="704">
        <f t="shared" si="3"/>
        <v>0.30002332550912342</v>
      </c>
    </row>
    <row r="61" spans="2:5" ht="15" thickBot="1">
      <c r="B61" s="701" t="s">
        <v>648</v>
      </c>
      <c r="C61" s="713">
        <v>59461</v>
      </c>
      <c r="D61" s="713">
        <f>'Portfolio Inputs'!G20</f>
        <v>29730.638521594701</v>
      </c>
      <c r="E61" s="704">
        <f t="shared" si="3"/>
        <v>0.5000023296210071</v>
      </c>
    </row>
    <row r="62" spans="2:5" ht="15" thickBot="1">
      <c r="B62" s="701" t="s">
        <v>649</v>
      </c>
      <c r="C62" s="713">
        <v>24776</v>
      </c>
      <c r="D62" s="713">
        <f>'2014-15 Status Rpt Bencost'!H22/EnergyLineLoss</f>
        <v>11192.538033732733</v>
      </c>
      <c r="E62" s="704">
        <f t="shared" si="3"/>
        <v>0.45174919412870251</v>
      </c>
    </row>
    <row r="63" spans="2:5" ht="15" thickBot="1">
      <c r="B63" s="701" t="s">
        <v>650</v>
      </c>
      <c r="C63" s="713">
        <v>69821</v>
      </c>
      <c r="D63" s="713">
        <f>'Portfolio Inputs'!G22</f>
        <v>27928.563601863025</v>
      </c>
      <c r="E63" s="704">
        <f t="shared" si="3"/>
        <v>0.40000234316126987</v>
      </c>
    </row>
    <row r="64" spans="2:5" ht="15" thickBot="1">
      <c r="B64" s="701" t="s">
        <v>651</v>
      </c>
      <c r="C64" s="713">
        <v>339245</v>
      </c>
      <c r="D64" s="713">
        <f>SUM(D57:D63)</f>
        <v>93914.534185634344</v>
      </c>
      <c r="E64" s="704">
        <f t="shared" si="3"/>
        <v>0.27683395241089581</v>
      </c>
    </row>
    <row r="67" spans="2:5" ht="15" thickBot="1">
      <c r="B67" s="686" t="s">
        <v>653</v>
      </c>
    </row>
    <row r="68" spans="2:5" ht="15" thickBot="1">
      <c r="B68" s="687"/>
      <c r="C68" s="764" t="s">
        <v>625</v>
      </c>
      <c r="D68" s="765"/>
      <c r="E68" s="766"/>
    </row>
    <row r="69" spans="2:5" ht="15" thickBot="1">
      <c r="B69" s="724"/>
      <c r="C69" s="725" t="s">
        <v>632</v>
      </c>
      <c r="D69" s="725" t="s">
        <v>633</v>
      </c>
      <c r="E69" s="725" t="s">
        <v>616</v>
      </c>
    </row>
    <row r="70" spans="2:5" ht="15" thickBot="1">
      <c r="B70" s="701" t="s">
        <v>144</v>
      </c>
      <c r="C70" s="703">
        <v>50.11</v>
      </c>
      <c r="D70" s="721">
        <f>'Portfolio Inputs'!K16</f>
        <v>13.530361706012796</v>
      </c>
      <c r="E70" s="704">
        <f t="shared" ref="E70:E77" si="4">D70/C70</f>
        <v>0.27001320506910387</v>
      </c>
    </row>
    <row r="71" spans="2:5" ht="15" thickBot="1">
      <c r="B71" s="701" t="s">
        <v>646</v>
      </c>
      <c r="C71" s="703">
        <v>10.02</v>
      </c>
      <c r="D71" s="721">
        <f>'2014-15 Status Rpt Bencost'!J18/PeakLineLoss</f>
        <v>1.9140583120204606</v>
      </c>
      <c r="E71" s="704">
        <f t="shared" si="4"/>
        <v>0.19102378363477651</v>
      </c>
    </row>
    <row r="72" spans="2:5" ht="15" thickBot="1">
      <c r="B72" s="701" t="s">
        <v>238</v>
      </c>
      <c r="C72" s="703">
        <v>5.75</v>
      </c>
      <c r="D72" s="721">
        <f>'Portfolio Inputs'!K18</f>
        <v>0.32853546641622217</v>
      </c>
      <c r="E72" s="704">
        <f t="shared" si="4"/>
        <v>5.713660285499516E-2</v>
      </c>
    </row>
    <row r="73" spans="2:5" ht="15" thickBot="1">
      <c r="B73" s="701" t="s">
        <v>647</v>
      </c>
      <c r="C73" s="703">
        <v>0.76</v>
      </c>
      <c r="D73" s="721">
        <f>'Portfolio Inputs'!K19</f>
        <v>0.22753096721787741</v>
      </c>
      <c r="E73" s="704">
        <f t="shared" si="4"/>
        <v>0.2993828516024703</v>
      </c>
    </row>
    <row r="74" spans="2:5" ht="15" thickBot="1">
      <c r="B74" s="701" t="s">
        <v>648</v>
      </c>
      <c r="C74" s="703">
        <v>9.3000000000000007</v>
      </c>
      <c r="D74" s="721">
        <f>'Portfolio Inputs'!K20</f>
        <v>4.6498508695297369</v>
      </c>
      <c r="E74" s="704">
        <f t="shared" si="4"/>
        <v>0.49998396446556309</v>
      </c>
    </row>
    <row r="75" spans="2:5" ht="15" thickBot="1">
      <c r="B75" s="701" t="s">
        <v>649</v>
      </c>
      <c r="C75" s="703">
        <v>3.87</v>
      </c>
      <c r="D75" s="721">
        <f>'2014-15 Status Rpt Bencost'!J22/PeakLineLoss</f>
        <v>1.6330612693235365</v>
      </c>
      <c r="E75" s="704">
        <f t="shared" si="4"/>
        <v>0.42197965615595256</v>
      </c>
    </row>
    <row r="76" spans="2:5" ht="15" thickBot="1">
      <c r="B76" s="701" t="s">
        <v>650</v>
      </c>
      <c r="C76" s="703">
        <v>15.75</v>
      </c>
      <c r="D76" s="721">
        <f>'Portfolio Inputs'!K22</f>
        <v>6.2986598585475226</v>
      </c>
      <c r="E76" s="704">
        <f t="shared" si="4"/>
        <v>0.39991491165381093</v>
      </c>
    </row>
    <row r="77" spans="2:5" ht="15" thickBot="1">
      <c r="B77" s="701" t="s">
        <v>651</v>
      </c>
      <c r="C77" s="703">
        <v>95.56</v>
      </c>
      <c r="D77" s="703">
        <f>SUM(D70:D76)</f>
        <v>28.582058449068153</v>
      </c>
      <c r="E77" s="704">
        <f t="shared" si="4"/>
        <v>0.29910065350636411</v>
      </c>
    </row>
    <row r="80" spans="2:5" ht="15" thickBot="1">
      <c r="B80" s="686" t="s">
        <v>654</v>
      </c>
    </row>
    <row r="81" spans="2:5" ht="15" thickBot="1">
      <c r="B81" s="687"/>
      <c r="C81" s="764" t="s">
        <v>625</v>
      </c>
      <c r="D81" s="765"/>
      <c r="E81" s="766"/>
    </row>
    <row r="82" spans="2:5" ht="15" thickBot="1">
      <c r="B82" s="724"/>
      <c r="C82" s="725" t="s">
        <v>632</v>
      </c>
      <c r="D82" s="725" t="s">
        <v>633</v>
      </c>
      <c r="E82" s="725" t="s">
        <v>616</v>
      </c>
    </row>
    <row r="83" spans="2:5" ht="15" thickBot="1">
      <c r="B83" s="701" t="s">
        <v>144</v>
      </c>
      <c r="C83" s="703">
        <v>100</v>
      </c>
      <c r="D83" s="703">
        <f>'Portfolio Inputs'!C16</f>
        <v>27</v>
      </c>
      <c r="E83" s="704">
        <f t="shared" ref="E83:E90" si="5">D83/C83</f>
        <v>0.27</v>
      </c>
    </row>
    <row r="84" spans="2:5" ht="15" thickBot="1">
      <c r="B84" s="701" t="s">
        <v>646</v>
      </c>
      <c r="C84" s="703">
        <v>20</v>
      </c>
      <c r="D84" s="703">
        <f>'Portfolio Inputs'!C17</f>
        <v>1</v>
      </c>
      <c r="E84" s="704">
        <f t="shared" si="5"/>
        <v>0.05</v>
      </c>
    </row>
    <row r="85" spans="2:5" ht="15" thickBot="1">
      <c r="B85" s="701" t="s">
        <v>238</v>
      </c>
      <c r="C85" s="703">
        <v>70</v>
      </c>
      <c r="D85" s="703">
        <f>'Portfolio Inputs'!C18</f>
        <v>4</v>
      </c>
      <c r="E85" s="704">
        <f t="shared" si="5"/>
        <v>5.7142857142857141E-2</v>
      </c>
    </row>
    <row r="86" spans="2:5" ht="15" thickBot="1">
      <c r="B86" s="701" t="s">
        <v>647</v>
      </c>
      <c r="C86" s="703">
        <v>50</v>
      </c>
      <c r="D86" s="703">
        <f>'Portfolio Inputs'!C19</f>
        <v>15</v>
      </c>
      <c r="E86" s="704">
        <f t="shared" si="5"/>
        <v>0.3</v>
      </c>
    </row>
    <row r="87" spans="2:5" ht="15" thickBot="1">
      <c r="B87" s="701" t="s">
        <v>648</v>
      </c>
      <c r="C87" s="703">
        <v>12</v>
      </c>
      <c r="D87" s="703">
        <f>'Portfolio Inputs'!C20</f>
        <v>6</v>
      </c>
      <c r="E87" s="704">
        <f t="shared" si="5"/>
        <v>0.5</v>
      </c>
    </row>
    <row r="88" spans="2:5" ht="15" thickBot="1">
      <c r="B88" s="701" t="s">
        <v>649</v>
      </c>
      <c r="C88" s="703">
        <v>5</v>
      </c>
      <c r="D88" s="703">
        <f>'Portfolio Inputs'!C21</f>
        <v>1</v>
      </c>
      <c r="E88" s="704">
        <f t="shared" si="5"/>
        <v>0.2</v>
      </c>
    </row>
    <row r="89" spans="2:5" ht="15" thickBot="1">
      <c r="B89" s="701" t="s">
        <v>650</v>
      </c>
      <c r="C89" s="703">
        <v>5</v>
      </c>
      <c r="D89" s="703">
        <f>'Portfolio Inputs'!C22</f>
        <v>2</v>
      </c>
      <c r="E89" s="704">
        <f t="shared" si="5"/>
        <v>0.4</v>
      </c>
    </row>
    <row r="90" spans="2:5" ht="15" thickBot="1">
      <c r="B90" s="701" t="s">
        <v>651</v>
      </c>
      <c r="C90" s="703">
        <v>262</v>
      </c>
      <c r="D90" s="703">
        <f>SUM(D83:D89)</f>
        <v>56</v>
      </c>
      <c r="E90" s="704">
        <f t="shared" si="5"/>
        <v>0.21374045801526717</v>
      </c>
    </row>
    <row r="93" spans="2:5" ht="15" thickBot="1">
      <c r="B93" s="686" t="s">
        <v>655</v>
      </c>
    </row>
    <row r="94" spans="2:5" ht="15" thickBot="1">
      <c r="B94" s="717" t="s">
        <v>624</v>
      </c>
      <c r="C94" s="688" t="s">
        <v>625</v>
      </c>
    </row>
    <row r="95" spans="2:5" ht="15" thickBot="1">
      <c r="B95" s="689" t="s">
        <v>626</v>
      </c>
      <c r="C95" s="723">
        <f>'2014-15 Status Rpt Bencost'!Q16</f>
        <v>0.79026909604124151</v>
      </c>
    </row>
    <row r="96" spans="2:5" ht="15" thickBot="1">
      <c r="B96" s="722" t="s">
        <v>627</v>
      </c>
      <c r="C96" s="723">
        <f>'2014-15 Status Rpt Bencost'!R16</f>
        <v>0.96264157285555196</v>
      </c>
    </row>
    <row r="97" spans="2:5" ht="15" thickBot="1">
      <c r="B97" s="722" t="s">
        <v>628</v>
      </c>
      <c r="C97" s="723">
        <f>'2014-15 Status Rpt Bencost'!S16</f>
        <v>0.9750698712864897</v>
      </c>
    </row>
    <row r="98" spans="2:5" ht="15" thickBot="1">
      <c r="B98" s="722" t="s">
        <v>629</v>
      </c>
      <c r="C98" s="723">
        <f>'2014-15 Status Rpt Bencost'!T16</f>
        <v>4.9688293288034586</v>
      </c>
    </row>
    <row r="99" spans="2:5" ht="15" thickBot="1">
      <c r="B99" s="722" t="s">
        <v>630</v>
      </c>
      <c r="C99" s="723">
        <f>'2014-15 Status Rpt Bencost'!V16</f>
        <v>0.24641703933775894</v>
      </c>
    </row>
    <row r="102" spans="2:5" ht="15" thickBot="1">
      <c r="B102" s="686" t="s">
        <v>656</v>
      </c>
    </row>
    <row r="103" spans="2:5" ht="24.6" thickBot="1">
      <c r="B103" s="719"/>
      <c r="C103" s="688" t="s">
        <v>632</v>
      </c>
      <c r="D103" s="688" t="s">
        <v>633</v>
      </c>
      <c r="E103" s="688" t="s">
        <v>634</v>
      </c>
    </row>
    <row r="104" spans="2:5" ht="15" thickBot="1">
      <c r="B104" s="689" t="s">
        <v>222</v>
      </c>
      <c r="C104" s="693">
        <v>100</v>
      </c>
      <c r="D104" s="693">
        <v>26</v>
      </c>
      <c r="E104" s="704">
        <f t="shared" ref="E104:E107" si="6">D104/C104</f>
        <v>0.26</v>
      </c>
    </row>
    <row r="105" spans="2:5" ht="15" thickBot="1">
      <c r="B105" s="689" t="s">
        <v>639</v>
      </c>
      <c r="C105" s="691">
        <v>28009</v>
      </c>
      <c r="D105" s="691">
        <v>23068</v>
      </c>
      <c r="E105" s="704">
        <f t="shared" si="6"/>
        <v>0.82359241672319616</v>
      </c>
    </row>
    <row r="106" spans="2:5" ht="15" thickBot="1">
      <c r="B106" s="689" t="s">
        <v>640</v>
      </c>
      <c r="C106" s="711">
        <v>85147</v>
      </c>
      <c r="D106" s="711">
        <f>'Portfolio Inputs'!G23</f>
        <v>22244.764700136628</v>
      </c>
      <c r="E106" s="704">
        <f t="shared" si="6"/>
        <v>0.26125130304222849</v>
      </c>
    </row>
    <row r="107" spans="2:5" ht="15" thickBot="1">
      <c r="B107" s="689" t="s">
        <v>641</v>
      </c>
      <c r="C107" s="693">
        <v>22</v>
      </c>
      <c r="D107" s="721">
        <f>'Portfolio Inputs'!K23</f>
        <v>5.778296878686918</v>
      </c>
      <c r="E107" s="704">
        <f t="shared" si="6"/>
        <v>0.26264985812213265</v>
      </c>
    </row>
    <row r="110" spans="2:5" ht="15" thickBot="1">
      <c r="B110" s="686" t="s">
        <v>657</v>
      </c>
    </row>
    <row r="111" spans="2:5" ht="15" thickBot="1">
      <c r="B111" s="717" t="s">
        <v>624</v>
      </c>
      <c r="C111" s="688" t="s">
        <v>625</v>
      </c>
    </row>
    <row r="112" spans="2:5" ht="15" thickBot="1">
      <c r="B112" s="689" t="s">
        <v>626</v>
      </c>
      <c r="C112" s="723">
        <f>'2014-15 Status Rpt Bencost'!Q24</f>
        <v>0.25122293023390019</v>
      </c>
    </row>
    <row r="113" spans="2:5" ht="15" thickBot="1">
      <c r="B113" s="722" t="s">
        <v>627</v>
      </c>
      <c r="C113" s="723">
        <f>'2014-15 Status Rpt Bencost'!R24</f>
        <v>0.25122293023390019</v>
      </c>
    </row>
    <row r="114" spans="2:5" ht="15" thickBot="1">
      <c r="B114" s="722" t="s">
        <v>628</v>
      </c>
      <c r="C114" s="723">
        <f>'2014-15 Status Rpt Bencost'!S24</f>
        <v>0.31141648098972213</v>
      </c>
    </row>
    <row r="115" spans="2:5" ht="15" thickBot="1">
      <c r="B115" s="722" t="s">
        <v>629</v>
      </c>
      <c r="C115" s="723" t="str">
        <f>'2014-15 Status Rpt Bencost'!T24</f>
        <v>n/a</v>
      </c>
    </row>
    <row r="116" spans="2:5" ht="15" thickBot="1">
      <c r="B116" s="722" t="s">
        <v>630</v>
      </c>
      <c r="C116" s="723">
        <f>'2014-15 Status Rpt Bencost'!V24</f>
        <v>0.1429552832360429</v>
      </c>
    </row>
    <row r="119" spans="2:5" ht="15" thickBot="1">
      <c r="B119" s="686" t="s">
        <v>658</v>
      </c>
    </row>
    <row r="120" spans="2:5" ht="24.6" thickBot="1">
      <c r="B120" s="719"/>
      <c r="C120" s="688" t="s">
        <v>632</v>
      </c>
      <c r="D120" s="688" t="s">
        <v>633</v>
      </c>
      <c r="E120" s="688" t="s">
        <v>634</v>
      </c>
    </row>
    <row r="121" spans="2:5" ht="15" thickBot="1">
      <c r="B121" s="689" t="s">
        <v>222</v>
      </c>
      <c r="C121" s="693">
        <v>400</v>
      </c>
      <c r="D121" s="693">
        <v>208</v>
      </c>
      <c r="E121" s="704">
        <f t="shared" ref="E121:E124" si="7">D121/C121</f>
        <v>0.52</v>
      </c>
    </row>
    <row r="122" spans="2:5" ht="15" thickBot="1">
      <c r="B122" s="689" t="s">
        <v>639</v>
      </c>
      <c r="C122" s="691">
        <v>13860</v>
      </c>
      <c r="D122" s="691">
        <v>10335</v>
      </c>
      <c r="E122" s="704">
        <f t="shared" si="7"/>
        <v>0.74567099567099571</v>
      </c>
    </row>
    <row r="123" spans="2:5" ht="15" thickBot="1">
      <c r="B123" s="689" t="s">
        <v>640</v>
      </c>
      <c r="C123" s="711">
        <v>37787</v>
      </c>
      <c r="D123" s="711">
        <f>'Portfolio Inputs'!G32</f>
        <v>19649.081494777445</v>
      </c>
      <c r="E123" s="704">
        <f t="shared" si="7"/>
        <v>0.51999580529752154</v>
      </c>
    </row>
    <row r="124" spans="2:5" ht="15" thickBot="1">
      <c r="B124" s="689" t="s">
        <v>641</v>
      </c>
      <c r="C124" s="693">
        <v>4.3</v>
      </c>
      <c r="D124" s="703">
        <f>'Portfolio Inputs'!K32</f>
        <v>2.2430458327371512</v>
      </c>
      <c r="E124" s="704">
        <f t="shared" si="7"/>
        <v>0.52163856575282586</v>
      </c>
    </row>
    <row r="127" spans="2:5" ht="15" thickBot="1">
      <c r="B127" s="686" t="s">
        <v>659</v>
      </c>
    </row>
    <row r="128" spans="2:5" ht="15" thickBot="1">
      <c r="B128" s="717" t="s">
        <v>624</v>
      </c>
      <c r="C128" s="688" t="s">
        <v>625</v>
      </c>
    </row>
    <row r="129" spans="2:5" ht="15" thickBot="1">
      <c r="B129" s="689" t="s">
        <v>626</v>
      </c>
      <c r="C129" s="723">
        <f>'2014-15 Status Rpt Bencost'!Q33</f>
        <v>0.23281817036908295</v>
      </c>
    </row>
    <row r="130" spans="2:5" ht="15" thickBot="1">
      <c r="B130" s="722" t="s">
        <v>627</v>
      </c>
      <c r="C130" s="723">
        <f>'2014-15 Status Rpt Bencost'!R33</f>
        <v>0.23281817036908295</v>
      </c>
    </row>
    <row r="131" spans="2:5" ht="15" thickBot="1">
      <c r="B131" s="722" t="s">
        <v>628</v>
      </c>
      <c r="C131" s="723">
        <f>'2014-15 Status Rpt Bencost'!S33</f>
        <v>0.29500691432985054</v>
      </c>
    </row>
    <row r="132" spans="2:5" ht="15" thickBot="1">
      <c r="B132" s="722" t="s">
        <v>629</v>
      </c>
      <c r="C132" s="723" t="str">
        <f>'2014-15 Status Rpt Bencost'!T33</f>
        <v>n/a</v>
      </c>
    </row>
    <row r="133" spans="2:5" ht="15" thickBot="1">
      <c r="B133" s="722" t="s">
        <v>630</v>
      </c>
      <c r="C133" s="723">
        <f>'2014-15 Status Rpt Bencost'!V33</f>
        <v>0.13283778455198014</v>
      </c>
    </row>
    <row r="136" spans="2:5" ht="15" thickBot="1">
      <c r="B136" s="686" t="s">
        <v>660</v>
      </c>
    </row>
    <row r="137" spans="2:5" ht="24.6" thickBot="1">
      <c r="B137" s="719"/>
      <c r="C137" s="688" t="s">
        <v>632</v>
      </c>
      <c r="D137" s="688" t="s">
        <v>633</v>
      </c>
      <c r="E137" s="688" t="s">
        <v>634</v>
      </c>
    </row>
    <row r="138" spans="2:5" ht="15" thickBot="1">
      <c r="B138" s="689" t="s">
        <v>635</v>
      </c>
      <c r="C138" s="693">
        <v>300</v>
      </c>
      <c r="D138" s="693">
        <v>325</v>
      </c>
      <c r="E138" s="704">
        <f t="shared" ref="E138:E141" si="8">D138/C138</f>
        <v>1.0833333333333333</v>
      </c>
    </row>
    <row r="139" spans="2:5" ht="15" thickBot="1">
      <c r="B139" s="689" t="s">
        <v>639</v>
      </c>
      <c r="C139" s="691">
        <v>18191</v>
      </c>
      <c r="D139" s="691">
        <v>15589</v>
      </c>
      <c r="E139" s="704">
        <f t="shared" si="8"/>
        <v>0.85696223407179373</v>
      </c>
    </row>
    <row r="140" spans="2:5" ht="15" thickBot="1">
      <c r="B140" s="689" t="s">
        <v>640</v>
      </c>
      <c r="C140" s="711">
        <v>100088</v>
      </c>
      <c r="D140" s="711">
        <f>'Portfolio Inputs'!G33</f>
        <v>108428.60943988523</v>
      </c>
      <c r="E140" s="704">
        <f t="shared" si="8"/>
        <v>1.0833327615686719</v>
      </c>
    </row>
    <row r="141" spans="2:5" ht="15" thickBot="1">
      <c r="B141" s="689" t="s">
        <v>641</v>
      </c>
      <c r="C141" s="693">
        <v>8.8000000000000007</v>
      </c>
      <c r="D141" s="703">
        <f>'Portfolio Inputs'!K33</f>
        <v>9.491835182216791</v>
      </c>
      <c r="E141" s="704">
        <f t="shared" si="8"/>
        <v>1.0786176343428171</v>
      </c>
    </row>
    <row r="144" spans="2:5" ht="15" thickBot="1">
      <c r="B144" s="686" t="s">
        <v>661</v>
      </c>
    </row>
    <row r="145" spans="2:5" ht="15" thickBot="1">
      <c r="B145" s="717" t="s">
        <v>624</v>
      </c>
      <c r="C145" s="688" t="s">
        <v>625</v>
      </c>
    </row>
    <row r="146" spans="2:5" ht="15" thickBot="1">
      <c r="B146" s="689" t="s">
        <v>626</v>
      </c>
      <c r="C146" s="723">
        <f>'2014-15 Status Rpt Bencost'!Q34</f>
        <v>0.43378661478244912</v>
      </c>
    </row>
    <row r="147" spans="2:5" ht="15" thickBot="1">
      <c r="B147" s="722" t="s">
        <v>627</v>
      </c>
      <c r="C147" s="723">
        <f>'2014-15 Status Rpt Bencost'!R34</f>
        <v>0.43378661478244912</v>
      </c>
    </row>
    <row r="148" spans="2:5" ht="15" thickBot="1">
      <c r="B148" s="722" t="s">
        <v>628</v>
      </c>
      <c r="C148" s="723">
        <f>'2014-15 Status Rpt Bencost'!S34</f>
        <v>0.55077956675957895</v>
      </c>
    </row>
    <row r="149" spans="2:5" ht="15" thickBot="1">
      <c r="B149" s="722" t="s">
        <v>629</v>
      </c>
      <c r="C149" s="723" t="str">
        <f>'2014-15 Status Rpt Bencost'!T34</f>
        <v>n/a</v>
      </c>
    </row>
    <row r="150" spans="2:5" ht="15" thickBot="1">
      <c r="B150" s="722" t="s">
        <v>630</v>
      </c>
      <c r="C150" s="723">
        <f>'2014-15 Status Rpt Bencost'!V34</f>
        <v>0.17955280817183297</v>
      </c>
    </row>
    <row r="153" spans="2:5" ht="15" thickBot="1">
      <c r="B153" s="686" t="s">
        <v>662</v>
      </c>
    </row>
    <row r="154" spans="2:5" ht="24.6" thickBot="1">
      <c r="B154" s="719"/>
      <c r="C154" s="688" t="s">
        <v>632</v>
      </c>
      <c r="D154" s="688" t="s">
        <v>633</v>
      </c>
      <c r="E154" s="688" t="s">
        <v>634</v>
      </c>
    </row>
    <row r="155" spans="2:5" ht="15" thickBot="1">
      <c r="B155" s="689" t="s">
        <v>635</v>
      </c>
      <c r="C155" s="693">
        <v>25</v>
      </c>
      <c r="D155" s="693">
        <v>19</v>
      </c>
      <c r="E155" s="704">
        <f t="shared" ref="E155:E158" si="9">D155/C155</f>
        <v>0.76</v>
      </c>
    </row>
    <row r="156" spans="2:5" ht="15" thickBot="1">
      <c r="B156" s="689" t="s">
        <v>639</v>
      </c>
      <c r="C156" s="691">
        <v>21164</v>
      </c>
      <c r="D156" s="691">
        <v>4079</v>
      </c>
      <c r="E156" s="704">
        <f t="shared" si="9"/>
        <v>0.19273294273294272</v>
      </c>
    </row>
    <row r="157" spans="2:5" ht="15" thickBot="1">
      <c r="B157" s="689" t="s">
        <v>640</v>
      </c>
      <c r="C157" s="711">
        <v>28106</v>
      </c>
      <c r="D157" s="711">
        <f>'Portfolio Inputs'!G34</f>
        <v>15643.405357716238</v>
      </c>
      <c r="E157" s="704">
        <f t="shared" si="9"/>
        <v>0.55658597302057344</v>
      </c>
    </row>
    <row r="158" spans="2:5" ht="15" thickBot="1">
      <c r="B158" s="689" t="s">
        <v>641</v>
      </c>
      <c r="C158" s="693">
        <v>4.5999999999999996</v>
      </c>
      <c r="D158" s="693">
        <f>'Portfolio Inputs'!K34</f>
        <v>2.807887898712329</v>
      </c>
      <c r="E158" s="704">
        <f t="shared" si="9"/>
        <v>0.61041041276354979</v>
      </c>
    </row>
    <row r="161" spans="2:3" ht="15" thickBot="1">
      <c r="B161" s="686" t="s">
        <v>663</v>
      </c>
    </row>
    <row r="162" spans="2:3" ht="15" thickBot="1">
      <c r="B162" s="717" t="s">
        <v>624</v>
      </c>
      <c r="C162" s="688" t="s">
        <v>625</v>
      </c>
    </row>
    <row r="163" spans="2:3" ht="15" thickBot="1">
      <c r="B163" s="689" t="s">
        <v>626</v>
      </c>
      <c r="C163" s="723">
        <f>'2014-15 Status Rpt Bencost'!Q35</f>
        <v>0.71649433458401501</v>
      </c>
    </row>
    <row r="164" spans="2:3" ht="15" thickBot="1">
      <c r="B164" s="722" t="s">
        <v>627</v>
      </c>
      <c r="C164" s="723">
        <f>'2014-15 Status Rpt Bencost'!R35</f>
        <v>0.71649433458401501</v>
      </c>
    </row>
    <row r="165" spans="2:3" ht="15" thickBot="1">
      <c r="B165" s="722" t="s">
        <v>628</v>
      </c>
      <c r="C165" s="723">
        <f>'2014-15 Status Rpt Bencost'!S35</f>
        <v>0.89359337938429584</v>
      </c>
    </row>
    <row r="166" spans="2:3" ht="15" thickBot="1">
      <c r="B166" s="722" t="s">
        <v>629</v>
      </c>
      <c r="C166" s="723" t="str">
        <f>'2014-15 Status Rpt Bencost'!T35</f>
        <v>n/a</v>
      </c>
    </row>
    <row r="167" spans="2:3" ht="15" thickBot="1">
      <c r="B167" s="722" t="s">
        <v>630</v>
      </c>
      <c r="C167" s="723">
        <f>'2014-15 Status Rpt Bencost'!V35</f>
        <v>0.22000565060847868</v>
      </c>
    </row>
    <row r="170" spans="2:3" ht="15" thickBot="1">
      <c r="B170" s="686" t="s">
        <v>664</v>
      </c>
    </row>
    <row r="171" spans="2:3" ht="15" thickBot="1">
      <c r="B171" s="717" t="s">
        <v>624</v>
      </c>
      <c r="C171" s="688" t="s">
        <v>625</v>
      </c>
    </row>
    <row r="172" spans="2:3" ht="15" thickBot="1">
      <c r="B172" s="689" t="s">
        <v>626</v>
      </c>
      <c r="C172" s="723">
        <f>'2014-15 Status Rpt Bencost'!Q6</f>
        <v>0.49804560051875668</v>
      </c>
    </row>
    <row r="173" spans="2:3" ht="15" thickBot="1">
      <c r="B173" s="722" t="s">
        <v>627</v>
      </c>
      <c r="C173" s="723">
        <f>'2014-15 Status Rpt Bencost'!R6</f>
        <v>0.56336260246647762</v>
      </c>
    </row>
    <row r="174" spans="2:3" ht="15" thickBot="1">
      <c r="B174" s="722" t="s">
        <v>628</v>
      </c>
      <c r="C174" s="723">
        <f>'2014-15 Status Rpt Bencost'!S6</f>
        <v>0.62318960083169284</v>
      </c>
    </row>
    <row r="175" spans="2:3" ht="15" thickBot="1">
      <c r="B175" s="722" t="s">
        <v>629</v>
      </c>
      <c r="C175" s="723">
        <f>'2014-15 Status Rpt Bencost'!T6</f>
        <v>7.3858463664845715</v>
      </c>
    </row>
    <row r="176" spans="2:3" ht="15" thickBot="1">
      <c r="B176" s="722" t="s">
        <v>630</v>
      </c>
      <c r="C176" s="723">
        <f>'2014-15 Status Rpt Bencost'!V6</f>
        <v>0.20312411421671486</v>
      </c>
    </row>
    <row r="179" spans="2:5" ht="15" thickBot="1">
      <c r="B179" s="686" t="s">
        <v>665</v>
      </c>
    </row>
    <row r="180" spans="2:5" ht="15" thickBot="1">
      <c r="B180" s="687"/>
      <c r="C180" s="764" t="s">
        <v>625</v>
      </c>
      <c r="D180" s="765"/>
      <c r="E180" s="766"/>
    </row>
    <row r="181" spans="2:5" ht="24.6" thickBot="1">
      <c r="B181" s="724"/>
      <c r="C181" s="725" t="s">
        <v>666</v>
      </c>
      <c r="D181" s="725" t="s">
        <v>633</v>
      </c>
      <c r="E181" s="725" t="s">
        <v>603</v>
      </c>
    </row>
    <row r="182" spans="2:5" ht="15" thickBot="1">
      <c r="B182" s="701" t="s">
        <v>258</v>
      </c>
      <c r="C182" s="702">
        <v>4045</v>
      </c>
      <c r="D182" s="702">
        <v>148041</v>
      </c>
      <c r="E182" s="704">
        <f t="shared" ref="E182:E189" si="10">D182/C182</f>
        <v>36.59851668726823</v>
      </c>
    </row>
    <row r="183" spans="2:5" ht="15" thickBot="1">
      <c r="B183" s="701" t="s">
        <v>259</v>
      </c>
      <c r="C183" s="702">
        <v>1680</v>
      </c>
      <c r="D183" s="702">
        <v>135</v>
      </c>
      <c r="E183" s="704">
        <f t="shared" si="10"/>
        <v>8.0357142857142863E-2</v>
      </c>
    </row>
    <row r="184" spans="2:5" ht="15" thickBot="1">
      <c r="B184" s="701" t="s">
        <v>260</v>
      </c>
      <c r="C184" s="702">
        <v>10080</v>
      </c>
      <c r="D184" s="702">
        <v>1545</v>
      </c>
      <c r="E184" s="704">
        <f t="shared" si="10"/>
        <v>0.15327380952380953</v>
      </c>
    </row>
    <row r="185" spans="2:5" ht="15" thickBot="1">
      <c r="B185" s="701" t="s">
        <v>261</v>
      </c>
      <c r="C185" s="702">
        <v>6300</v>
      </c>
      <c r="D185" s="702">
        <v>150</v>
      </c>
      <c r="E185" s="704">
        <f t="shared" si="10"/>
        <v>2.3809523809523808E-2</v>
      </c>
    </row>
    <row r="186" spans="2:5" ht="15" thickBot="1">
      <c r="B186" s="701" t="s">
        <v>667</v>
      </c>
      <c r="C186" s="702">
        <v>6300</v>
      </c>
      <c r="D186" s="702">
        <v>0</v>
      </c>
      <c r="E186" s="704">
        <f t="shared" si="10"/>
        <v>0</v>
      </c>
    </row>
    <row r="187" spans="2:5" ht="15" thickBot="1">
      <c r="B187" s="701" t="s">
        <v>262</v>
      </c>
      <c r="C187" s="702">
        <v>5880</v>
      </c>
      <c r="D187" s="702">
        <v>0</v>
      </c>
      <c r="E187" s="704">
        <f t="shared" si="10"/>
        <v>0</v>
      </c>
    </row>
    <row r="188" spans="2:5" ht="15" thickBot="1">
      <c r="B188" s="701" t="s">
        <v>263</v>
      </c>
      <c r="C188" s="702">
        <v>3360</v>
      </c>
      <c r="D188" s="702">
        <v>0</v>
      </c>
      <c r="E188" s="704">
        <f t="shared" si="10"/>
        <v>0</v>
      </c>
    </row>
    <row r="189" spans="2:5" ht="15" thickBot="1">
      <c r="B189" s="701" t="s">
        <v>651</v>
      </c>
      <c r="C189" s="702">
        <v>37645</v>
      </c>
      <c r="D189" s="702">
        <f>SUM(D182:D188)</f>
        <v>149871</v>
      </c>
      <c r="E189" s="704">
        <f t="shared" si="10"/>
        <v>3.9811661575242394</v>
      </c>
    </row>
    <row r="192" spans="2:5">
      <c r="B192" s="686" t="s">
        <v>668</v>
      </c>
    </row>
    <row r="193" spans="2:5" ht="15" thickBot="1">
      <c r="B193" s="724"/>
      <c r="C193" s="725" t="s">
        <v>632</v>
      </c>
      <c r="D193" s="725" t="s">
        <v>633</v>
      </c>
      <c r="E193" s="725" t="s">
        <v>616</v>
      </c>
    </row>
    <row r="194" spans="2:5" ht="15" thickBot="1">
      <c r="B194" s="701" t="s">
        <v>258</v>
      </c>
      <c r="C194" s="713">
        <v>57450</v>
      </c>
      <c r="D194" s="713">
        <f>'Portfolio Inputs'!G44</f>
        <v>1293935.0055750001</v>
      </c>
      <c r="E194" s="704">
        <f t="shared" ref="E194:E201" si="11">D194/C194</f>
        <v>22.52280253394256</v>
      </c>
    </row>
    <row r="195" spans="2:5" ht="15" thickBot="1">
      <c r="B195" s="701" t="s">
        <v>259</v>
      </c>
      <c r="C195" s="713">
        <v>6029</v>
      </c>
      <c r="D195" s="703">
        <f>'Portfolio Inputs'!G93</f>
        <v>58553</v>
      </c>
      <c r="E195" s="704">
        <f t="shared" si="11"/>
        <v>9.711892519489135</v>
      </c>
    </row>
    <row r="196" spans="2:5" ht="15" thickBot="1">
      <c r="B196" s="701" t="s">
        <v>260</v>
      </c>
      <c r="C196" s="713">
        <v>185397</v>
      </c>
      <c r="D196" s="713">
        <f>'Portfolio Inputs'!G90</f>
        <v>60997</v>
      </c>
      <c r="E196" s="704">
        <f t="shared" si="11"/>
        <v>0.32900748124295431</v>
      </c>
    </row>
    <row r="197" spans="2:5" ht="15" thickBot="1">
      <c r="B197" s="701" t="s">
        <v>261</v>
      </c>
      <c r="C197" s="713">
        <v>13601</v>
      </c>
      <c r="D197" s="713">
        <f>'Portfolio Inputs'!G87</f>
        <v>1813.4565434565404</v>
      </c>
      <c r="E197" s="704">
        <f t="shared" si="11"/>
        <v>0.13333258903437545</v>
      </c>
    </row>
    <row r="198" spans="2:5" ht="15" thickBot="1">
      <c r="B198" s="701" t="s">
        <v>667</v>
      </c>
      <c r="C198" s="713">
        <v>29708</v>
      </c>
      <c r="D198" s="703">
        <f>'Portfolio Inputs'!G86</f>
        <v>0</v>
      </c>
      <c r="E198" s="704">
        <f t="shared" si="11"/>
        <v>0</v>
      </c>
    </row>
    <row r="199" spans="2:5" ht="15" thickBot="1">
      <c r="B199" s="701" t="s">
        <v>262</v>
      </c>
      <c r="C199" s="713">
        <v>111064</v>
      </c>
      <c r="D199" s="703">
        <f>'Portfolio Inputs'!G88</f>
        <v>0</v>
      </c>
      <c r="E199" s="704">
        <f t="shared" si="11"/>
        <v>0</v>
      </c>
    </row>
    <row r="200" spans="2:5" ht="15" thickBot="1">
      <c r="B200" s="701" t="s">
        <v>263</v>
      </c>
      <c r="C200" s="713">
        <v>17337</v>
      </c>
      <c r="D200" s="703">
        <f>'Portfolio Inputs'!G89</f>
        <v>0</v>
      </c>
      <c r="E200" s="704">
        <f t="shared" si="11"/>
        <v>0</v>
      </c>
    </row>
    <row r="201" spans="2:5" ht="15" thickBot="1">
      <c r="B201" s="701" t="s">
        <v>651</v>
      </c>
      <c r="C201" s="713">
        <v>420586</v>
      </c>
      <c r="D201" s="713">
        <f>SUM(D194:D200)</f>
        <v>1415298.4621184566</v>
      </c>
      <c r="E201" s="704">
        <f t="shared" si="11"/>
        <v>3.3650631787992387</v>
      </c>
    </row>
    <row r="204" spans="2:5">
      <c r="B204" s="686" t="s">
        <v>669</v>
      </c>
    </row>
    <row r="205" spans="2:5" ht="15" thickBot="1">
      <c r="B205" s="724"/>
      <c r="C205" s="725" t="s">
        <v>632</v>
      </c>
      <c r="D205" s="725" t="s">
        <v>633</v>
      </c>
      <c r="E205" s="725" t="s">
        <v>616</v>
      </c>
    </row>
    <row r="206" spans="2:5" ht="15" thickBot="1">
      <c r="B206" s="701" t="s">
        <v>258</v>
      </c>
      <c r="C206" s="750">
        <v>9</v>
      </c>
      <c r="D206" s="750">
        <f>'Portfolio Inputs'!K44</f>
        <v>294.75517009999999</v>
      </c>
      <c r="E206" s="704">
        <f t="shared" ref="E206:E213" si="12">D206/C206</f>
        <v>32.750574455555551</v>
      </c>
    </row>
    <row r="207" spans="2:5" ht="15" thickBot="1">
      <c r="B207" s="701" t="s">
        <v>259</v>
      </c>
      <c r="C207" s="750">
        <v>1</v>
      </c>
      <c r="D207" s="750">
        <f>'Portfolio Inputs'!K93</f>
        <v>13.03</v>
      </c>
      <c r="E207" s="704">
        <f t="shared" si="12"/>
        <v>13.03</v>
      </c>
    </row>
    <row r="208" spans="2:5" ht="15" thickBot="1">
      <c r="B208" s="701" t="s">
        <v>260</v>
      </c>
      <c r="C208" s="750">
        <v>24</v>
      </c>
      <c r="D208" s="750">
        <f>'Portfolio Inputs'!K90</f>
        <v>10.050190000000001</v>
      </c>
      <c r="E208" s="704">
        <f t="shared" si="12"/>
        <v>0.41875791666666667</v>
      </c>
    </row>
    <row r="209" spans="2:5" ht="15" thickBot="1">
      <c r="B209" s="701" t="s">
        <v>261</v>
      </c>
      <c r="C209" s="750">
        <v>4.51</v>
      </c>
      <c r="D209" s="750">
        <f>'Portfolio Inputs'!K87</f>
        <v>0.60197802197802286</v>
      </c>
      <c r="E209" s="704">
        <f t="shared" si="12"/>
        <v>0.13347627981774343</v>
      </c>
    </row>
    <row r="210" spans="2:5" ht="15" thickBot="1">
      <c r="B210" s="701" t="s">
        <v>667</v>
      </c>
      <c r="C210" s="750">
        <v>4.51</v>
      </c>
      <c r="D210" s="750">
        <f>'Portfolio Inputs'!K86</f>
        <v>0</v>
      </c>
      <c r="E210" s="704">
        <f t="shared" si="12"/>
        <v>0</v>
      </c>
    </row>
    <row r="211" spans="2:5" ht="15" thickBot="1">
      <c r="B211" s="701" t="s">
        <v>262</v>
      </c>
      <c r="C211" s="750">
        <v>10.48</v>
      </c>
      <c r="D211" s="750">
        <f>'Portfolio Inputs'!K88</f>
        <v>0</v>
      </c>
      <c r="E211" s="704">
        <f t="shared" si="12"/>
        <v>0</v>
      </c>
    </row>
    <row r="212" spans="2:5" ht="15" thickBot="1">
      <c r="B212" s="701" t="s">
        <v>263</v>
      </c>
      <c r="C212" s="750">
        <v>0.82</v>
      </c>
      <c r="D212" s="750">
        <f>'Portfolio Inputs'!K89</f>
        <v>0</v>
      </c>
      <c r="E212" s="704">
        <f t="shared" si="12"/>
        <v>0</v>
      </c>
    </row>
    <row r="213" spans="2:5" ht="15" thickBot="1">
      <c r="B213" s="701" t="s">
        <v>651</v>
      </c>
      <c r="C213" s="750">
        <v>54.33</v>
      </c>
      <c r="D213" s="750">
        <f>SUM(D206:D212)</f>
        <v>318.43733812197797</v>
      </c>
      <c r="E213" s="704">
        <f t="shared" si="12"/>
        <v>5.8611694850354867</v>
      </c>
    </row>
    <row r="216" spans="2:5" ht="15" thickBot="1">
      <c r="B216" s="686" t="s">
        <v>670</v>
      </c>
    </row>
    <row r="217" spans="2:5" ht="15" thickBot="1">
      <c r="B217" s="697"/>
      <c r="C217" s="726" t="s">
        <v>632</v>
      </c>
      <c r="D217" s="726" t="s">
        <v>633</v>
      </c>
      <c r="E217" s="726" t="s">
        <v>616</v>
      </c>
    </row>
    <row r="218" spans="2:5" ht="15" thickBot="1">
      <c r="B218" s="701" t="s">
        <v>258</v>
      </c>
      <c r="C218" s="703">
        <v>204</v>
      </c>
      <c r="D218" s="703">
        <v>47</v>
      </c>
      <c r="E218" s="704">
        <f t="shared" ref="E218:E225" si="13">D218/C218</f>
        <v>0.23039215686274508</v>
      </c>
    </row>
    <row r="219" spans="2:5" ht="15" thickBot="1">
      <c r="B219" s="701" t="s">
        <v>259</v>
      </c>
      <c r="C219" s="703">
        <v>41</v>
      </c>
      <c r="D219" s="703">
        <v>2</v>
      </c>
      <c r="E219" s="704">
        <f t="shared" si="13"/>
        <v>4.878048780487805E-2</v>
      </c>
    </row>
    <row r="220" spans="2:5" ht="15" thickBot="1">
      <c r="B220" s="701" t="s">
        <v>260</v>
      </c>
      <c r="C220" s="703">
        <v>24</v>
      </c>
      <c r="D220" s="703">
        <v>4</v>
      </c>
      <c r="E220" s="704">
        <f t="shared" si="13"/>
        <v>0.16666666666666666</v>
      </c>
    </row>
    <row r="221" spans="2:5" ht="15" thickBot="1">
      <c r="B221" s="701" t="s">
        <v>261</v>
      </c>
      <c r="C221" s="703">
        <v>40</v>
      </c>
      <c r="D221" s="703">
        <v>2</v>
      </c>
      <c r="E221" s="704">
        <f t="shared" si="13"/>
        <v>0.05</v>
      </c>
    </row>
    <row r="222" spans="2:5" ht="15" thickBot="1">
      <c r="B222" s="701" t="s">
        <v>262</v>
      </c>
      <c r="C222" s="703">
        <v>9</v>
      </c>
      <c r="D222" s="703">
        <v>0</v>
      </c>
      <c r="E222" s="704">
        <f t="shared" si="13"/>
        <v>0</v>
      </c>
    </row>
    <row r="223" spans="2:5" ht="15" thickBot="1">
      <c r="B223" s="701" t="s">
        <v>263</v>
      </c>
      <c r="C223" s="703">
        <v>10</v>
      </c>
      <c r="D223" s="703">
        <v>0</v>
      </c>
      <c r="E223" s="704">
        <f t="shared" si="13"/>
        <v>0</v>
      </c>
    </row>
    <row r="224" spans="2:5" ht="15" thickBot="1">
      <c r="B224" s="701" t="s">
        <v>264</v>
      </c>
      <c r="C224" s="703">
        <v>7</v>
      </c>
      <c r="D224" s="703">
        <v>0</v>
      </c>
      <c r="E224" s="704">
        <f t="shared" si="13"/>
        <v>0</v>
      </c>
    </row>
    <row r="225" spans="2:5" ht="15" thickBot="1">
      <c r="B225" s="701" t="s">
        <v>604</v>
      </c>
      <c r="C225" s="703">
        <f>SUM(C218:C224)</f>
        <v>335</v>
      </c>
      <c r="D225" s="703">
        <f>SUM(D218:D224)</f>
        <v>55</v>
      </c>
      <c r="E225" s="704">
        <f t="shared" si="13"/>
        <v>0.16417910447761194</v>
      </c>
    </row>
    <row r="228" spans="2:5" ht="15" thickBot="1">
      <c r="B228" s="686" t="s">
        <v>671</v>
      </c>
    </row>
    <row r="229" spans="2:5" ht="15" thickBot="1">
      <c r="B229" s="717" t="s">
        <v>624</v>
      </c>
      <c r="C229" s="688" t="s">
        <v>625</v>
      </c>
    </row>
    <row r="230" spans="2:5" ht="15" thickBot="1">
      <c r="B230" s="689" t="s">
        <v>626</v>
      </c>
      <c r="C230" s="723">
        <f>'2014-15 Status Rpt Bencost'!Q44</f>
        <v>2.8848051096596095</v>
      </c>
    </row>
    <row r="231" spans="2:5" ht="15" thickBot="1">
      <c r="B231" s="722" t="s">
        <v>627</v>
      </c>
      <c r="C231" s="723">
        <f>'2014-15 Status Rpt Bencost'!R44</f>
        <v>3.5756958347192227</v>
      </c>
    </row>
    <row r="232" spans="2:5" ht="15" thickBot="1">
      <c r="B232" s="722" t="s">
        <v>628</v>
      </c>
      <c r="C232" s="723">
        <f>'2014-15 Status Rpt Bencost'!S44</f>
        <v>3.5899908943699868</v>
      </c>
    </row>
    <row r="233" spans="2:5" ht="15" thickBot="1">
      <c r="B233" s="722" t="s">
        <v>629</v>
      </c>
      <c r="C233" s="723">
        <f>'2014-15 Status Rpt Bencost'!T44</f>
        <v>9.1568559202746087</v>
      </c>
    </row>
    <row r="234" spans="2:5" ht="15" thickBot="1">
      <c r="B234" s="722" t="s">
        <v>630</v>
      </c>
      <c r="C234" s="723">
        <f>'2014-15 Status Rpt Bencost'!V44</f>
        <v>0.36832162821134234</v>
      </c>
    </row>
    <row r="237" spans="2:5" ht="15" thickBot="1">
      <c r="B237" s="686" t="s">
        <v>672</v>
      </c>
    </row>
    <row r="238" spans="2:5" ht="24.6" thickBot="1">
      <c r="B238" s="719"/>
      <c r="C238" s="688" t="s">
        <v>632</v>
      </c>
      <c r="D238" s="688" t="s">
        <v>633</v>
      </c>
      <c r="E238" s="688" t="s">
        <v>634</v>
      </c>
    </row>
    <row r="239" spans="2:5" ht="15" thickBot="1">
      <c r="B239" s="689" t="s">
        <v>222</v>
      </c>
      <c r="C239" s="693">
        <v>20</v>
      </c>
      <c r="D239" s="693">
        <v>30</v>
      </c>
      <c r="E239" s="704">
        <f t="shared" ref="E239:E242" si="14">D239/C239</f>
        <v>1.5</v>
      </c>
    </row>
    <row r="240" spans="2:5" ht="15" thickBot="1">
      <c r="B240" s="689" t="s">
        <v>639</v>
      </c>
      <c r="C240" s="691">
        <v>21649</v>
      </c>
      <c r="D240" s="691">
        <v>155603</v>
      </c>
      <c r="E240" s="704">
        <f t="shared" si="14"/>
        <v>7.1875375306018752</v>
      </c>
    </row>
    <row r="241" spans="2:5" ht="15" thickBot="1">
      <c r="B241" s="689" t="s">
        <v>640</v>
      </c>
      <c r="C241" s="711">
        <v>603018</v>
      </c>
      <c r="D241" s="711">
        <v>1337582</v>
      </c>
      <c r="E241" s="704">
        <f t="shared" si="14"/>
        <v>2.2181460586582822</v>
      </c>
    </row>
    <row r="242" spans="2:5" ht="15" thickBot="1">
      <c r="B242" s="689" t="s">
        <v>641</v>
      </c>
      <c r="C242" s="693">
        <v>90</v>
      </c>
      <c r="D242" s="703">
        <v>330.02</v>
      </c>
      <c r="E242" s="704">
        <f t="shared" si="14"/>
        <v>3.6668888888888889</v>
      </c>
    </row>
    <row r="245" spans="2:5" ht="15" thickBot="1">
      <c r="B245" s="686" t="s">
        <v>673</v>
      </c>
    </row>
    <row r="246" spans="2:5" ht="15" thickBot="1">
      <c r="B246" s="717" t="s">
        <v>624</v>
      </c>
      <c r="C246" s="688" t="s">
        <v>625</v>
      </c>
    </row>
    <row r="247" spans="2:5" ht="15" thickBot="1">
      <c r="B247" s="689" t="s">
        <v>626</v>
      </c>
      <c r="C247" s="723">
        <f>'2014-15 Status Rpt Bencost'!Q43</f>
        <v>4.9800201438047971</v>
      </c>
    </row>
    <row r="248" spans="2:5" ht="15" thickBot="1">
      <c r="B248" s="722" t="s">
        <v>627</v>
      </c>
      <c r="C248" s="723">
        <f>'2014-15 Status Rpt Bencost'!R43</f>
        <v>2.9988155418276872</v>
      </c>
    </row>
    <row r="249" spans="2:5" ht="15" thickBot="1">
      <c r="B249" s="722" t="s">
        <v>628</v>
      </c>
      <c r="C249" s="723">
        <f>'2014-15 Status Rpt Bencost'!S43</f>
        <v>6.1807280092439498</v>
      </c>
    </row>
    <row r="250" spans="2:5" ht="15" thickBot="1">
      <c r="B250" s="722" t="s">
        <v>629</v>
      </c>
      <c r="C250" s="723">
        <f>'2014-15 Status Rpt Bencost'!T43</f>
        <v>20.099763964838782</v>
      </c>
    </row>
    <row r="251" spans="2:5" ht="15" thickBot="1">
      <c r="B251" s="722" t="s">
        <v>630</v>
      </c>
      <c r="C251" s="723">
        <f>'2014-15 Status Rpt Bencost'!V43</f>
        <v>0.36568064092218855</v>
      </c>
    </row>
  </sheetData>
  <mergeCells count="5">
    <mergeCell ref="C42:E42"/>
    <mergeCell ref="C55:E55"/>
    <mergeCell ref="C68:E68"/>
    <mergeCell ref="C81:E81"/>
    <mergeCell ref="C180:E18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workbookViewId="0">
      <selection activeCell="D9" sqref="D9"/>
    </sheetView>
  </sheetViews>
  <sheetFormatPr defaultRowHeight="14.4"/>
  <cols>
    <col min="2" max="2" width="37.33203125" bestFit="1" customWidth="1"/>
    <col min="3" max="4" width="10.44140625" bestFit="1" customWidth="1"/>
    <col min="5" max="5" width="12.44140625" style="735" bestFit="1" customWidth="1"/>
  </cols>
  <sheetData>
    <row r="2" spans="2:7">
      <c r="C2" t="s">
        <v>674</v>
      </c>
      <c r="D2" t="s">
        <v>3</v>
      </c>
    </row>
    <row r="3" spans="2:7">
      <c r="C3" s="732">
        <v>86853</v>
      </c>
      <c r="D3" s="732">
        <v>103345</v>
      </c>
    </row>
    <row r="4" spans="2:7">
      <c r="B4" s="727" t="s">
        <v>541</v>
      </c>
      <c r="C4" s="733">
        <f>C3*0.7</f>
        <v>60797.1</v>
      </c>
      <c r="D4" s="733">
        <f>D3*0.5</f>
        <v>51672.5</v>
      </c>
      <c r="E4" s="736" t="s">
        <v>240</v>
      </c>
      <c r="G4" t="s">
        <v>604</v>
      </c>
    </row>
    <row r="5" spans="2:7">
      <c r="B5" s="728" t="s">
        <v>608</v>
      </c>
      <c r="C5" s="729">
        <f>C$4*($E5/SUM($E$5:$E$11))</f>
        <v>7313.8038132784677</v>
      </c>
      <c r="D5" s="729">
        <f>D$4*($E5/SUM($E$5:$E$11))</f>
        <v>6216.1275380179586</v>
      </c>
      <c r="E5" s="737">
        <f>'Portfolio Inputs'!G6</f>
        <v>46665.427212000002</v>
      </c>
      <c r="G5" s="690">
        <f>SUM(C5:D5)</f>
        <v>13529.931351296425</v>
      </c>
    </row>
    <row r="6" spans="2:7">
      <c r="B6" s="728" t="s">
        <v>242</v>
      </c>
      <c r="C6" s="729">
        <f t="shared" ref="C6:D11" si="0">C$4*($E6/SUM($E$5:$E$11))</f>
        <v>14170.610048707007</v>
      </c>
      <c r="D6" s="729">
        <f t="shared" si="0"/>
        <v>12043.844981780592</v>
      </c>
      <c r="E6" s="737">
        <f>'Portfolio Inputs'!G12</f>
        <v>90415</v>
      </c>
      <c r="G6" s="690">
        <f t="shared" ref="G6:G15" si="1">SUM(C6:D6)</f>
        <v>26214.455030487599</v>
      </c>
    </row>
    <row r="7" spans="2:7">
      <c r="B7" s="728" t="s">
        <v>609</v>
      </c>
      <c r="C7" s="729">
        <f t="shared" si="0"/>
        <v>13301.100698398843</v>
      </c>
      <c r="D7" s="729">
        <f t="shared" si="0"/>
        <v>11304.834043696397</v>
      </c>
      <c r="E7" s="738">
        <f>'Portfolio Inputs'!G15</f>
        <v>84867.131020619971</v>
      </c>
      <c r="G7" s="690">
        <f t="shared" si="1"/>
        <v>24605.93474209524</v>
      </c>
    </row>
    <row r="8" spans="2:7">
      <c r="B8" s="730" t="s">
        <v>610</v>
      </c>
      <c r="C8" s="729">
        <f t="shared" si="0"/>
        <v>3486.3892738027871</v>
      </c>
      <c r="D8" s="729">
        <f t="shared" si="0"/>
        <v>2963.1421523489525</v>
      </c>
      <c r="E8" s="737">
        <f>'Portfolio Inputs'!G23</f>
        <v>22244.764700136628</v>
      </c>
      <c r="G8" s="690">
        <f t="shared" si="1"/>
        <v>6449.5314261517397</v>
      </c>
    </row>
    <row r="9" spans="2:7">
      <c r="B9" s="730" t="s">
        <v>611</v>
      </c>
      <c r="C9" s="729">
        <f t="shared" si="0"/>
        <v>3079.5716604297536</v>
      </c>
      <c r="D9" s="729">
        <f t="shared" si="0"/>
        <v>2617.3808721724627</v>
      </c>
      <c r="E9" s="737">
        <f>'Portfolio Inputs'!G32</f>
        <v>19649.081494777445</v>
      </c>
      <c r="G9" s="690">
        <f t="shared" si="1"/>
        <v>5696.9525326022158</v>
      </c>
    </row>
    <row r="10" spans="2:7">
      <c r="B10" s="730" t="s">
        <v>457</v>
      </c>
      <c r="C10" s="729">
        <f t="shared" si="0"/>
        <v>16993.856577959021</v>
      </c>
      <c r="D10" s="729">
        <f t="shared" si="0"/>
        <v>14443.370720389419</v>
      </c>
      <c r="E10" s="737">
        <f>'Portfolio Inputs'!G33</f>
        <v>108428.60943988523</v>
      </c>
      <c r="G10" s="690">
        <f t="shared" si="1"/>
        <v>31437.22729834844</v>
      </c>
    </row>
    <row r="11" spans="2:7">
      <c r="B11" s="730" t="s">
        <v>257</v>
      </c>
      <c r="C11" s="729">
        <f t="shared" si="0"/>
        <v>2451.7679274241082</v>
      </c>
      <c r="D11" s="729">
        <f t="shared" si="0"/>
        <v>2083.7996915942081</v>
      </c>
      <c r="E11" s="737">
        <f>'Portfolio Inputs'!G34</f>
        <v>15643.405357716238</v>
      </c>
      <c r="G11" s="690">
        <f t="shared" si="1"/>
        <v>4535.5676190183167</v>
      </c>
    </row>
    <row r="12" spans="2:7">
      <c r="B12" s="731" t="s">
        <v>540</v>
      </c>
      <c r="C12" s="734">
        <f>C3*0.3</f>
        <v>26055.899999999998</v>
      </c>
      <c r="D12" s="734">
        <f>D3*0.5</f>
        <v>51672.5</v>
      </c>
      <c r="E12" s="739"/>
      <c r="G12" s="690"/>
    </row>
    <row r="13" spans="2:7">
      <c r="B13" s="730" t="s">
        <v>496</v>
      </c>
      <c r="C13" s="729">
        <f>C$12*($E13/SUM($E$13:$E$15))</f>
        <v>0</v>
      </c>
      <c r="D13" s="729">
        <f>D$12*($E13/SUM($E$13:$E$15))</f>
        <v>0</v>
      </c>
      <c r="E13" s="740">
        <v>0</v>
      </c>
      <c r="G13" s="690">
        <f t="shared" si="1"/>
        <v>0</v>
      </c>
    </row>
    <row r="14" spans="2:7">
      <c r="B14" s="730" t="s">
        <v>612</v>
      </c>
      <c r="C14" s="729">
        <f t="shared" ref="C14:D15" si="2">C$12*($E14/SUM($E$13:$E$15))</f>
        <v>13395.741553824677</v>
      </c>
      <c r="D14" s="729">
        <f t="shared" si="2"/>
        <v>26565.63217697357</v>
      </c>
      <c r="E14" s="740">
        <f>'Portfolio Inputs'!G43</f>
        <v>1415298.4621184566</v>
      </c>
      <c r="G14" s="690">
        <f t="shared" si="1"/>
        <v>39961.373730798245</v>
      </c>
    </row>
    <row r="15" spans="2:7">
      <c r="B15" s="730" t="s">
        <v>393</v>
      </c>
      <c r="C15" s="729">
        <f t="shared" si="2"/>
        <v>12660.158446175321</v>
      </c>
      <c r="D15" s="729">
        <f t="shared" si="2"/>
        <v>25106.867823026427</v>
      </c>
      <c r="E15" s="737">
        <f>'Portfolio Inputs'!G42</f>
        <v>1337582</v>
      </c>
      <c r="G15" s="690">
        <f t="shared" si="1"/>
        <v>37767.02626920175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S103"/>
  <sheetViews>
    <sheetView showGridLines="0" workbookViewId="0">
      <pane xSplit="1" ySplit="4" topLeftCell="C5" activePane="bottomRight" state="frozen"/>
      <selection activeCell="B1" sqref="B1"/>
      <selection pane="topRight" activeCell="C1" sqref="C1"/>
      <selection pane="bottomLeft" activeCell="B6" sqref="B6"/>
      <selection pane="bottomRight" activeCell="AA34" sqref="AA34"/>
    </sheetView>
  </sheetViews>
  <sheetFormatPr defaultColWidth="6.44140625" defaultRowHeight="11.4"/>
  <cols>
    <col min="1" max="1" width="41.5546875" style="17" bestFit="1" customWidth="1"/>
    <col min="2" max="2" width="2.6640625" style="17" hidden="1" customWidth="1"/>
    <col min="3" max="3" width="9" style="179" customWidth="1"/>
    <col min="4" max="4" width="7.5546875" style="174" hidden="1" customWidth="1"/>
    <col min="5" max="5" width="7.5546875" style="190" hidden="1" customWidth="1"/>
    <col min="6" max="6" width="2.33203125" style="173" customWidth="1"/>
    <col min="7" max="7" width="10" style="185" bestFit="1" customWidth="1"/>
    <col min="8" max="8" width="10" style="186" hidden="1" customWidth="1"/>
    <col min="9" max="9" width="10" style="179" hidden="1" customWidth="1"/>
    <col min="10" max="10" width="0.88671875" style="187" customWidth="1"/>
    <col min="11" max="11" width="7.5546875" style="391" bestFit="1" customWidth="1"/>
    <col min="12" max="12" width="7.5546875" style="391" hidden="1" customWidth="1"/>
    <col min="13" max="13" width="7.5546875" style="393" hidden="1" customWidth="1"/>
    <col min="14" max="14" width="3.5546875" style="187" customWidth="1"/>
    <col min="15" max="16" width="7" style="188" bestFit="1" customWidth="1"/>
    <col min="17" max="17" width="7" style="179" bestFit="1" customWidth="1"/>
    <col min="18" max="18" width="3.5546875" style="179" customWidth="1"/>
    <col min="19" max="20" width="7" style="400" bestFit="1" customWidth="1"/>
    <col min="21" max="21" width="7" style="361" bestFit="1" customWidth="1"/>
    <col min="22" max="22" width="3.5546875" style="173" customWidth="1"/>
    <col min="23" max="23" width="9" style="390" bestFit="1" customWidth="1"/>
    <col min="24" max="24" width="9" style="390" hidden="1" customWidth="1"/>
    <col min="25" max="25" width="9" style="173" hidden="1" customWidth="1"/>
    <col min="26" max="26" width="3.5546875" style="179" customWidth="1"/>
    <col min="27" max="27" width="9" style="390" bestFit="1" customWidth="1"/>
    <col min="28" max="28" width="9" style="390" hidden="1" customWidth="1"/>
    <col min="29" max="29" width="9" style="17" hidden="1" customWidth="1"/>
    <col min="30" max="30" width="3.5546875" style="179" customWidth="1"/>
    <col min="31" max="31" width="7.44140625" style="173" bestFit="1" customWidth="1"/>
    <col min="32" max="32" width="6.109375" style="173" bestFit="1" customWidth="1"/>
    <col min="33" max="33" width="6.6640625" style="173" bestFit="1" customWidth="1"/>
    <col min="34" max="34" width="4.33203125" style="17" bestFit="1" customWidth="1"/>
    <col min="35" max="35" width="2.44140625" style="179" customWidth="1"/>
    <col min="36" max="36" width="9" style="173" bestFit="1" customWidth="1"/>
    <col min="37" max="38" width="10.44140625" style="173" hidden="1" customWidth="1"/>
    <col min="39" max="39" width="0.88671875" style="173" customWidth="1"/>
    <col min="40" max="40" width="6" style="192" bestFit="1" customWidth="1"/>
    <col min="41" max="42" width="6.5546875" style="173" hidden="1" customWidth="1"/>
    <col min="43" max="16384" width="6.44140625" style="173"/>
  </cols>
  <sheetData>
    <row r="1" spans="1:42">
      <c r="C1" s="174"/>
      <c r="E1" s="174"/>
      <c r="G1" s="190"/>
      <c r="H1" s="190"/>
      <c r="I1" s="190"/>
      <c r="J1" s="17"/>
      <c r="K1" s="190"/>
      <c r="L1" s="190"/>
      <c r="M1" s="190"/>
      <c r="N1" s="17"/>
      <c r="O1" s="17"/>
      <c r="P1" s="17"/>
      <c r="Q1" s="17"/>
      <c r="R1" s="17"/>
      <c r="S1" s="17"/>
      <c r="T1" s="17"/>
      <c r="U1" s="17"/>
      <c r="V1" s="17"/>
      <c r="W1" s="501"/>
      <c r="X1" s="501"/>
      <c r="Y1" s="501"/>
      <c r="Z1" s="17"/>
      <c r="AB1" s="17"/>
      <c r="AC1" s="594"/>
      <c r="AD1" s="363"/>
      <c r="AG1" s="17"/>
      <c r="AH1" s="173"/>
      <c r="AI1" s="17"/>
      <c r="AJ1" s="190"/>
      <c r="AK1" s="190"/>
      <c r="AL1" s="190"/>
    </row>
    <row r="2" spans="1:42" ht="12">
      <c r="C2" s="767" t="s">
        <v>211</v>
      </c>
      <c r="D2" s="767"/>
      <c r="E2" s="767"/>
      <c r="F2" s="390"/>
      <c r="G2" s="769" t="s">
        <v>391</v>
      </c>
      <c r="H2" s="769"/>
      <c r="I2" s="769"/>
      <c r="J2" s="390"/>
      <c r="K2" s="770" t="s">
        <v>392</v>
      </c>
      <c r="L2" s="770"/>
      <c r="M2" s="770"/>
      <c r="N2" s="390"/>
      <c r="O2" s="771" t="s">
        <v>7</v>
      </c>
      <c r="P2" s="772"/>
      <c r="Q2" s="773"/>
      <c r="R2" s="390"/>
      <c r="S2" s="774" t="s">
        <v>389</v>
      </c>
      <c r="T2" s="774"/>
      <c r="U2" s="774"/>
      <c r="V2" s="390"/>
      <c r="W2" s="767" t="s">
        <v>388</v>
      </c>
      <c r="X2" s="767"/>
      <c r="Y2" s="767"/>
      <c r="Z2" s="390"/>
      <c r="AA2" s="767" t="s">
        <v>397</v>
      </c>
      <c r="AB2" s="767"/>
      <c r="AC2" s="767"/>
      <c r="AD2" s="390"/>
      <c r="AH2" s="173"/>
      <c r="AI2" s="390"/>
      <c r="AJ2" s="767" t="s">
        <v>390</v>
      </c>
      <c r="AK2" s="767"/>
      <c r="AL2" s="767"/>
      <c r="AN2" s="768" t="s">
        <v>210</v>
      </c>
      <c r="AO2" s="768"/>
      <c r="AP2" s="768"/>
    </row>
    <row r="3" spans="1:42" ht="12">
      <c r="A3" s="180" t="s">
        <v>89</v>
      </c>
      <c r="C3" s="616">
        <v>2014</v>
      </c>
      <c r="D3" s="616">
        <v>2015</v>
      </c>
      <c r="E3" s="616">
        <v>2016</v>
      </c>
      <c r="F3" s="390"/>
      <c r="G3" s="181">
        <v>2014</v>
      </c>
      <c r="H3" s="181">
        <v>2015</v>
      </c>
      <c r="I3" s="617">
        <v>2016</v>
      </c>
      <c r="J3" s="390"/>
      <c r="K3" s="181">
        <v>2014</v>
      </c>
      <c r="L3" s="181">
        <v>2015</v>
      </c>
      <c r="M3" s="617">
        <v>2016</v>
      </c>
      <c r="N3" s="390"/>
      <c r="O3" s="181">
        <v>2014</v>
      </c>
      <c r="P3" s="181">
        <v>2015</v>
      </c>
      <c r="Q3" s="181">
        <v>2016</v>
      </c>
      <c r="R3" s="390"/>
      <c r="S3" s="181">
        <v>2014</v>
      </c>
      <c r="T3" s="181">
        <v>2015</v>
      </c>
      <c r="U3" s="181">
        <v>2016</v>
      </c>
      <c r="V3" s="390"/>
      <c r="W3" s="616">
        <v>2014</v>
      </c>
      <c r="X3" s="616">
        <v>2015</v>
      </c>
      <c r="Y3" s="616">
        <v>2016</v>
      </c>
      <c r="Z3" s="390"/>
      <c r="AA3" s="616">
        <v>2014</v>
      </c>
      <c r="AB3" s="616">
        <v>2015</v>
      </c>
      <c r="AC3" s="616">
        <v>2016</v>
      </c>
      <c r="AD3" s="390"/>
      <c r="AE3" s="616" t="s">
        <v>5</v>
      </c>
      <c r="AF3" s="616" t="s">
        <v>3</v>
      </c>
      <c r="AG3" s="616" t="s">
        <v>6</v>
      </c>
      <c r="AH3" s="616" t="s">
        <v>4</v>
      </c>
      <c r="AI3" s="390"/>
      <c r="AJ3" s="616">
        <v>2014</v>
      </c>
      <c r="AK3" s="616">
        <v>2015</v>
      </c>
      <c r="AL3" s="616">
        <v>2016</v>
      </c>
      <c r="AM3" s="179"/>
      <c r="AN3" s="616">
        <v>2014</v>
      </c>
      <c r="AO3" s="616">
        <v>2015</v>
      </c>
      <c r="AP3" s="616">
        <v>2016</v>
      </c>
    </row>
    <row r="4" spans="1:42" ht="12">
      <c r="A4" s="375" t="s">
        <v>387</v>
      </c>
      <c r="C4" s="365">
        <f>C6+C12+C15+C23+C32+C34+C33+C41+C42+C43</f>
        <v>1795</v>
      </c>
      <c r="D4" s="365">
        <f>D6+D12+D15+D23+D32+D34+D33+D41+D42+D43</f>
        <v>16009</v>
      </c>
      <c r="E4" s="365">
        <f>E6+E12+E15+E23+E32+E34+E33+E41+E42+E43</f>
        <v>19019</v>
      </c>
      <c r="F4" s="390"/>
      <c r="G4" s="365">
        <f>G6+G12+G15+G23+G32+G34+G33+G41+G42+G43</f>
        <v>3140793.881343592</v>
      </c>
      <c r="H4" s="365">
        <f>H6+H12+H15+H23+H32+H34+H33+H41+H42+H43</f>
        <v>4105513.5567000778</v>
      </c>
      <c r="I4" s="365">
        <f>I6+I12+I15+I23+I32+I34+I33+I41+I42+I43</f>
        <v>4899953.4785842849</v>
      </c>
      <c r="J4" s="390"/>
      <c r="K4" s="365">
        <f>K6+K12+K15+K23+K32+K34+K33+K41+K42+K43</f>
        <v>708.87715782658415</v>
      </c>
      <c r="L4" s="365">
        <f>L6+L12+L15+L23+L32+L34+L33+L41+L42+L43</f>
        <v>620.90872704405069</v>
      </c>
      <c r="M4" s="365">
        <f>M6+M12+M15+M23+M32+M34+M33+M41+M42+M43</f>
        <v>738.19227360682237</v>
      </c>
      <c r="N4" s="390"/>
      <c r="O4" s="366"/>
      <c r="P4" s="366"/>
      <c r="Q4" s="366"/>
      <c r="R4" s="390"/>
      <c r="S4" s="401"/>
      <c r="T4" s="401"/>
      <c r="U4" s="401"/>
      <c r="V4" s="390"/>
      <c r="W4" s="416">
        <f>W6+W12+W15+W23+W32+W34+W33+W41+W42+W43</f>
        <v>332453</v>
      </c>
      <c r="X4" s="416">
        <f>X6+X12+X15+X23+X32+X34+X33+X41+X42+X43</f>
        <v>301647</v>
      </c>
      <c r="Y4" s="416">
        <f>Y6+Y12+Y15+Y23+Y32+Y34+Y33+Y41+Y42+Y43</f>
        <v>361142</v>
      </c>
      <c r="Z4" s="390"/>
      <c r="AA4" s="416">
        <f>AA6+AA12+AA15+AA23+AA32+AA34+AA33+AA41+AA42+AA43</f>
        <v>74605.53</v>
      </c>
      <c r="AB4" s="416">
        <f>AB6+AB12+AB15+AB23+AB32+AB34+AB33+AB41+AB42+AB43</f>
        <v>474583.17250000004</v>
      </c>
      <c r="AC4" s="416">
        <f>AC6+AC12+AC15+AC23+AC32+AC34+AC33+AC41+AC42+AC43</f>
        <v>557539.19000000006</v>
      </c>
      <c r="AD4" s="390"/>
      <c r="AE4" s="364"/>
      <c r="AF4" s="364"/>
      <c r="AG4" s="364"/>
      <c r="AH4" s="364"/>
      <c r="AI4" s="390"/>
      <c r="AJ4" s="416">
        <f>AJ6+AJ12+AJ15+AJ23+AJ32+AJ34+AJ33+AJ41+AJ42+AJ43</f>
        <v>407058.53</v>
      </c>
      <c r="AK4" s="416">
        <f>AK6+AK12+AK15+AK23+AK32+AK34+AK33+AK41+AK42+AK43</f>
        <v>776230.17249999999</v>
      </c>
      <c r="AL4" s="416">
        <f>AL6+AL12+AL15+AL23+AL32+AL34+AL33+AL41+AL42+AL43</f>
        <v>918681.19000000006</v>
      </c>
      <c r="AN4" s="460">
        <f>'2014-15 Status Rpt Bencost'!Q5</f>
        <v>2.3258536845063658</v>
      </c>
      <c r="AO4" s="460">
        <f>'2015'!Q5</f>
        <v>1.4347952497019012</v>
      </c>
      <c r="AP4" s="460">
        <f>'2016'!Q5</f>
        <v>1.4679090030848141</v>
      </c>
    </row>
    <row r="5" spans="1:42" ht="12">
      <c r="A5" s="375" t="s">
        <v>541</v>
      </c>
      <c r="C5" s="641">
        <f>C6+C12+C15+C23+C32+C33+C34</f>
        <v>1713</v>
      </c>
      <c r="D5" s="641">
        <f>D6+D12+D15+D23+D32+D33+D34</f>
        <v>15711</v>
      </c>
      <c r="E5" s="641">
        <f>E6+E12+E15+E23+E32+E33+E34</f>
        <v>18655</v>
      </c>
      <c r="F5" s="390"/>
      <c r="G5" s="641">
        <f>G6+G12+G15+G23+G32+G33+G34</f>
        <v>387913.41922513559</v>
      </c>
      <c r="H5" s="641">
        <f>H6+H12+H15+H23+H32+H33+H34</f>
        <v>1610530.549007108</v>
      </c>
      <c r="I5" s="641">
        <f>I6+I12+I15+I23+I32+I33+I34</f>
        <v>1861337.9312150213</v>
      </c>
      <c r="J5" s="390"/>
      <c r="K5" s="641">
        <f>K6+K12+K15+K23+K32+K33+K34</f>
        <v>60.41981970460624</v>
      </c>
      <c r="L5" s="641">
        <f>L6+L12+L15+L23+L32+L33+L34</f>
        <v>255.23663844926574</v>
      </c>
      <c r="M5" s="641">
        <f>M6+M12+M15+M23+M32+M33+M34</f>
        <v>294.39184659524511</v>
      </c>
      <c r="N5" s="390"/>
      <c r="O5" s="642"/>
      <c r="P5" s="642"/>
      <c r="Q5" s="642"/>
      <c r="R5" s="390"/>
      <c r="S5" s="643"/>
      <c r="T5" s="643"/>
      <c r="U5" s="643"/>
      <c r="V5" s="390"/>
      <c r="W5" s="644">
        <f>W6+W12+W15+W23+W32+W33+W34</f>
        <v>26979</v>
      </c>
      <c r="X5" s="644">
        <f>X6+X12+X15+X23+X32+X33+X34</f>
        <v>145025</v>
      </c>
      <c r="Y5" s="644">
        <f>Y6+Y12+Y15+Y23+Y32+Y33+Y34</f>
        <v>171050</v>
      </c>
      <c r="Z5" s="390"/>
      <c r="AA5" s="644">
        <f>AA6+AA12+AA15+AA23+AA32+AA33+AA34</f>
        <v>74605.53</v>
      </c>
      <c r="AB5" s="644">
        <f>AB6+AB12+AB15+AB23+AB32+AB33+AB34</f>
        <v>151215.3125</v>
      </c>
      <c r="AC5" s="644">
        <f>AC6+AC12+AC15+AC23+AC32+AC33+AC34</f>
        <v>168038.75</v>
      </c>
      <c r="AD5" s="390"/>
      <c r="AE5" s="364"/>
      <c r="AF5" s="364"/>
      <c r="AG5" s="364"/>
      <c r="AH5" s="364"/>
      <c r="AI5" s="390"/>
      <c r="AJ5" s="644">
        <f>AJ6+AJ12+AJ15+AJ23+AJ32+AJ33+AJ34</f>
        <v>101584.53</v>
      </c>
      <c r="AK5" s="644">
        <f>AK6+AK12+AK15+AK23+AK32+AK33+AK34</f>
        <v>296240.3125</v>
      </c>
      <c r="AL5" s="644">
        <f>AL6+AL12+AL15+AL23+AL32+AL33+AL34</f>
        <v>339088.75</v>
      </c>
      <c r="AN5" s="460">
        <f>'2014-15 Status Rpt Bencost'!Q6</f>
        <v>0.49804560051875668</v>
      </c>
      <c r="AO5" s="460">
        <f>'2015'!Q6</f>
        <v>1.2512654865713042</v>
      </c>
      <c r="AP5" s="460">
        <f>'2016'!Q6</f>
        <v>1.2796426702381469</v>
      </c>
    </row>
    <row r="6" spans="1:42" s="357" customFormat="1" ht="12">
      <c r="A6" s="374" t="s">
        <v>438</v>
      </c>
      <c r="B6" s="191"/>
      <c r="C6" s="411">
        <f>SUM(C7:C11)</f>
        <v>1008</v>
      </c>
      <c r="D6" s="411">
        <f>SUM(D7:D11)</f>
        <v>14190</v>
      </c>
      <c r="E6" s="411">
        <f>SUM(E7:E11)</f>
        <v>17000</v>
      </c>
      <c r="F6" s="412"/>
      <c r="G6" s="411">
        <f>SUM(G7:G11)</f>
        <v>46665.427212000002</v>
      </c>
      <c r="H6" s="411">
        <f t="shared" ref="H6:I6" si="0">SUM(H7:H11)</f>
        <v>507436.15150000004</v>
      </c>
      <c r="I6" s="411">
        <f t="shared" si="0"/>
        <v>607751.28799999994</v>
      </c>
      <c r="J6" s="412"/>
      <c r="K6" s="718">
        <f t="shared" ref="K6:M6" si="1">SUM(K7:K11)</f>
        <v>3.4663683600136985</v>
      </c>
      <c r="L6" s="411">
        <f t="shared" si="1"/>
        <v>44.952315777653794</v>
      </c>
      <c r="M6" s="411">
        <f t="shared" si="1"/>
        <v>53.57946690257716</v>
      </c>
      <c r="N6" s="412"/>
      <c r="O6" s="413"/>
      <c r="P6" s="413"/>
      <c r="Q6" s="413"/>
      <c r="R6" s="412"/>
      <c r="S6" s="414"/>
      <c r="T6" s="414"/>
      <c r="U6" s="414"/>
      <c r="V6" s="412"/>
      <c r="W6" s="415">
        <f>SUM(W7:W11)</f>
        <v>2530</v>
      </c>
      <c r="X6" s="415">
        <f>SUM(X7:X11)</f>
        <v>42900</v>
      </c>
      <c r="Y6" s="415">
        <f>SUM(Y7:Y11)</f>
        <v>51250</v>
      </c>
      <c r="Z6" s="412"/>
      <c r="AA6" s="371">
        <f>SUM(AA7:AA9)</f>
        <v>13257.53</v>
      </c>
      <c r="AB6" s="371">
        <f>AB7+AB9</f>
        <v>0</v>
      </c>
      <c r="AC6" s="371">
        <f>AC7+AC9</f>
        <v>0</v>
      </c>
      <c r="AD6" s="390"/>
      <c r="AE6" s="377"/>
      <c r="AF6" s="372"/>
      <c r="AG6" s="372"/>
      <c r="AH6" s="373"/>
      <c r="AI6" s="412"/>
      <c r="AJ6" s="371">
        <f>W6+AA6</f>
        <v>15787.53</v>
      </c>
      <c r="AK6" s="371">
        <f>X6+AB6</f>
        <v>42900</v>
      </c>
      <c r="AL6" s="371">
        <f>Y6+AC6</f>
        <v>51250</v>
      </c>
      <c r="AN6" s="380">
        <f>'2014-15 Status Rpt Bencost'!Q7</f>
        <v>0.31797026524907251</v>
      </c>
      <c r="AO6" s="380">
        <f>'2015'!Q7</f>
        <v>1.8927575668454002</v>
      </c>
      <c r="AP6" s="380">
        <f>'2016'!Q7</f>
        <v>1.9306062134863242</v>
      </c>
    </row>
    <row r="7" spans="1:42" s="357" customFormat="1" ht="12">
      <c r="A7" s="172" t="s">
        <v>10</v>
      </c>
      <c r="B7" s="17"/>
      <c r="C7" s="171">
        <v>166</v>
      </c>
      <c r="D7" s="171">
        <v>12500</v>
      </c>
      <c r="E7" s="171">
        <v>15000</v>
      </c>
      <c r="F7" s="390"/>
      <c r="G7" s="171">
        <f>VLOOKUP($A7,Sources!$B$4:$M$104,5,FALSE)*C7</f>
        <v>5088.578442</v>
      </c>
      <c r="H7" s="171">
        <f>VLOOKUP($A7,Sources!$B$4:$M$104,5,FALSE)*D7</f>
        <v>383176.08750000002</v>
      </c>
      <c r="I7" s="171">
        <f>VLOOKUP($A7,Sources!$B$4:$M$104,5,FALSE)*E7</f>
        <v>459811.30499999999</v>
      </c>
      <c r="J7" s="390"/>
      <c r="K7" s="404">
        <f>VLOOKUP($A7,Sources!$B$4:$M$104,7,FALSE)*C7</f>
        <v>0.46229912699999998</v>
      </c>
      <c r="L7" s="404">
        <f>VLOOKUP($A7,Sources!$B$4:$M$104,7,FALSE)*D7</f>
        <v>34.811681249999999</v>
      </c>
      <c r="M7" s="404">
        <f>VLOOKUP($A7,Sources!$B$4:$M$104,7,FALSE)*E7</f>
        <v>41.774017499999999</v>
      </c>
      <c r="N7" s="390"/>
      <c r="O7" s="384">
        <f>VLOOKUP($A7,Sources!$B$4:$J$104,9,FALSE)</f>
        <v>1.5</v>
      </c>
      <c r="P7" s="384">
        <f>VLOOKUP($A7,Sources!$B$4:$J$104,9,FALSE)</f>
        <v>1.5</v>
      </c>
      <c r="Q7" s="384">
        <f>VLOOKUP($A7,Sources!$B$4:$J$104,9,FALSE)</f>
        <v>1.5</v>
      </c>
      <c r="R7" s="390"/>
      <c r="S7" s="406">
        <v>1</v>
      </c>
      <c r="T7" s="406">
        <v>1</v>
      </c>
      <c r="U7" s="406">
        <v>1</v>
      </c>
      <c r="V7" s="390"/>
      <c r="W7" s="175">
        <v>0</v>
      </c>
      <c r="X7" s="175">
        <f t="shared" ref="W7:Y11" si="2">D7*T7</f>
        <v>12500</v>
      </c>
      <c r="Y7" s="175">
        <f t="shared" si="2"/>
        <v>15000</v>
      </c>
      <c r="Z7" s="390"/>
      <c r="AA7" s="175">
        <v>2307.36</v>
      </c>
      <c r="AB7" s="175">
        <f>((D7+D8)*$AE7+(X7+X8)*($AF7+$AG7))*(1+$AH7)+((X7+X8)*$AH7)</f>
        <v>0</v>
      </c>
      <c r="AC7" s="175">
        <f>((E7+E8)*$AE7+(Y7+Y8)*($AF7+$AG7))*(1+$AH7)+((Y7+Y8)*$AH7)</f>
        <v>0</v>
      </c>
      <c r="AD7" s="361"/>
      <c r="AE7" s="487">
        <v>0</v>
      </c>
      <c r="AF7" s="488">
        <v>0</v>
      </c>
      <c r="AG7" s="488">
        <v>0</v>
      </c>
      <c r="AH7" s="489">
        <v>0</v>
      </c>
      <c r="AI7" s="390"/>
      <c r="AJ7" s="386"/>
      <c r="AK7" s="383"/>
      <c r="AL7" s="383"/>
      <c r="AN7" s="451">
        <f>'2014-15 Status Rpt Bencost'!Q8</f>
        <v>3.8493970584908501</v>
      </c>
      <c r="AO7" s="425">
        <f>'2015'!Q8</f>
        <v>3.9071380143682126</v>
      </c>
      <c r="AP7" s="425">
        <f>'2016'!Q8</f>
        <v>3.9657450845837343</v>
      </c>
    </row>
    <row r="8" spans="1:42" s="357" customFormat="1" ht="12">
      <c r="A8" s="172" t="s">
        <v>11</v>
      </c>
      <c r="B8" s="17"/>
      <c r="C8" s="171">
        <v>683</v>
      </c>
      <c r="D8" s="171">
        <v>600</v>
      </c>
      <c r="E8" s="171">
        <v>700</v>
      </c>
      <c r="F8" s="390"/>
      <c r="G8" s="171">
        <f>VLOOKUP($A8,Sources!$B$4:$M$104,5,FALSE)*C8</f>
        <v>27112.327020000001</v>
      </c>
      <c r="H8" s="171">
        <f>VLOOKUP($A8,Sources!$B$4:$M$104,5,FALSE)*D8</f>
        <v>23817.563999999998</v>
      </c>
      <c r="I8" s="171">
        <f>VLOOKUP($A8,Sources!$B$4:$M$104,5,FALSE)*E8</f>
        <v>27787.157999999999</v>
      </c>
      <c r="J8" s="390"/>
      <c r="K8" s="404">
        <f>VLOOKUP($A8,Sources!$B$4:$M$104,7,FALSE)*C8</f>
        <v>2.4631643699999999</v>
      </c>
      <c r="L8" s="404">
        <f>VLOOKUP($A8,Sources!$B$4:$M$104,7,FALSE)*D8</f>
        <v>2.1638339999999996</v>
      </c>
      <c r="M8" s="404">
        <f>VLOOKUP($A8,Sources!$B$4:$M$104,7,FALSE)*E8</f>
        <v>2.524473</v>
      </c>
      <c r="N8" s="390"/>
      <c r="O8" s="384">
        <f>VLOOKUP($A8,Sources!$B$4:$J$104,9,FALSE)</f>
        <v>20</v>
      </c>
      <c r="P8" s="384">
        <f>VLOOKUP($A8,Sources!$B$4:$J$104,9,FALSE)</f>
        <v>20</v>
      </c>
      <c r="Q8" s="384">
        <f>VLOOKUP($A8,Sources!$B$4:$J$104,9,FALSE)</f>
        <v>20</v>
      </c>
      <c r="R8" s="390"/>
      <c r="S8" s="406">
        <v>7.5</v>
      </c>
      <c r="T8" s="406">
        <v>7.5</v>
      </c>
      <c r="U8" s="406">
        <v>7.5</v>
      </c>
      <c r="V8" s="390"/>
      <c r="W8" s="175">
        <v>0</v>
      </c>
      <c r="X8" s="175">
        <f t="shared" si="2"/>
        <v>4500</v>
      </c>
      <c r="Y8" s="175">
        <f t="shared" si="2"/>
        <v>5250</v>
      </c>
      <c r="Z8" s="390"/>
      <c r="AA8" s="175">
        <v>10950.17</v>
      </c>
      <c r="AB8" s="175"/>
      <c r="AC8" s="175"/>
      <c r="AD8" s="361"/>
      <c r="AE8" s="17"/>
      <c r="AF8" s="17"/>
      <c r="AG8" s="17"/>
      <c r="AH8" s="17"/>
      <c r="AI8" s="390"/>
      <c r="AJ8" s="386"/>
      <c r="AK8" s="383"/>
      <c r="AL8" s="383"/>
      <c r="AN8" s="451">
        <f>'2014-15 Status Rpt Bencost'!Q9</f>
        <v>0.63755568245460759</v>
      </c>
      <c r="AO8" s="425">
        <f>'2015'!Q9</f>
        <v>0.64711901769142666</v>
      </c>
      <c r="AP8" s="425">
        <f>'2016'!Q9</f>
        <v>0.65682580295679793</v>
      </c>
    </row>
    <row r="9" spans="1:42">
      <c r="A9" s="172" t="s">
        <v>1</v>
      </c>
      <c r="C9" s="169">
        <v>44</v>
      </c>
      <c r="D9" s="169">
        <v>500</v>
      </c>
      <c r="E9" s="169">
        <v>600</v>
      </c>
      <c r="F9" s="390"/>
      <c r="G9" s="171">
        <f>VLOOKUP($A9,Sources!$B$4:$M$104,5,FALSE)*C9</f>
        <v>4547.9280000000008</v>
      </c>
      <c r="H9" s="171">
        <f>VLOOKUP($A9,Sources!$B$4:$M$104,5,FALSE)*D9</f>
        <v>51681.000000000015</v>
      </c>
      <c r="I9" s="171">
        <f>VLOOKUP($A9,Sources!$B$4:$M$104,5,FALSE)*E9</f>
        <v>62017.200000000012</v>
      </c>
      <c r="J9" s="390"/>
      <c r="K9" s="404">
        <f>VLOOKUP($A9,Sources!$B$4:$M$104,7,FALSE)*C9</f>
        <v>0.51916986301369872</v>
      </c>
      <c r="L9" s="404">
        <f>VLOOKUP($A9,Sources!$B$4:$M$104,7,FALSE)*D9</f>
        <v>5.8996575342465762</v>
      </c>
      <c r="M9" s="404">
        <f>VLOOKUP($A9,Sources!$B$4:$M$104,7,FALSE)*E9</f>
        <v>7.0795890410958924</v>
      </c>
      <c r="N9" s="390"/>
      <c r="O9" s="358">
        <f>VLOOKUP($A9,Sources!$B$4:$J$104,9,FALSE)</f>
        <v>40</v>
      </c>
      <c r="P9" s="358">
        <f>VLOOKUP($A9,Sources!$B$4:$J$104,9,FALSE)</f>
        <v>40</v>
      </c>
      <c r="Q9" s="358">
        <f>VLOOKUP($A9,Sources!$B$4:$J$104,9,FALSE)</f>
        <v>40</v>
      </c>
      <c r="R9" s="390"/>
      <c r="S9" s="407">
        <v>40</v>
      </c>
      <c r="T9" s="407">
        <v>40</v>
      </c>
      <c r="U9" s="407">
        <v>40</v>
      </c>
      <c r="V9" s="390"/>
      <c r="W9" s="175">
        <v>1640</v>
      </c>
      <c r="X9" s="175">
        <f t="shared" si="2"/>
        <v>20000</v>
      </c>
      <c r="Y9" s="175">
        <f t="shared" si="2"/>
        <v>24000</v>
      </c>
      <c r="Z9" s="390"/>
      <c r="AA9" s="175">
        <v>0</v>
      </c>
      <c r="AB9" s="175">
        <f>(SUM(D9:D11)*$AE9+SUM(X9:X11)*($AF9+$AG9))*(1+$AH9)+(SUM(X9:X11)*$AH9)</f>
        <v>0</v>
      </c>
      <c r="AC9" s="175">
        <f>(SUM(E9:E11)*$AE9+SUM(Y9:Y11)*($AF9+$AG9))*(1+$AH9)+(SUM(Y9:Y11)*$AH9)</f>
        <v>0</v>
      </c>
      <c r="AD9" s="361"/>
      <c r="AE9" s="489">
        <v>0</v>
      </c>
      <c r="AF9" s="488">
        <v>0</v>
      </c>
      <c r="AG9" s="488">
        <v>0</v>
      </c>
      <c r="AH9" s="489">
        <v>0</v>
      </c>
      <c r="AI9" s="390"/>
      <c r="AJ9" s="17"/>
      <c r="AK9" s="17"/>
      <c r="AL9" s="17"/>
      <c r="AN9" s="451">
        <f>'2014-15 Status Rpt Bencost'!Q10</f>
        <v>1.0390103434502724</v>
      </c>
      <c r="AO9" s="425">
        <f>'2015'!Q10</f>
        <v>1.0545954986020265</v>
      </c>
      <c r="AP9" s="425">
        <f>'2016'!Q10</f>
        <v>1.0704144310810566</v>
      </c>
    </row>
    <row r="10" spans="1:42">
      <c r="A10" s="172" t="s">
        <v>309</v>
      </c>
      <c r="C10" s="169">
        <v>115</v>
      </c>
      <c r="D10" s="169">
        <v>400</v>
      </c>
      <c r="E10" s="169">
        <v>500</v>
      </c>
      <c r="F10" s="390"/>
      <c r="G10" s="171">
        <f>VLOOKUP($A10,Sources!$B$4:$M$104,5,FALSE)*C10</f>
        <v>9916.59375</v>
      </c>
      <c r="H10" s="171">
        <f>VLOOKUP($A10,Sources!$B$4:$M$104,5,FALSE)*D10</f>
        <v>34492.5</v>
      </c>
      <c r="I10" s="171">
        <f>VLOOKUP($A10,Sources!$B$4:$M$104,5,FALSE)*E10</f>
        <v>43115.625</v>
      </c>
      <c r="J10" s="390"/>
      <c r="K10" s="404">
        <f>VLOOKUP($A10,Sources!$B$4:$M$104,7,FALSE)*C10</f>
        <v>2.1735000000000001E-2</v>
      </c>
      <c r="L10" s="404">
        <f>VLOOKUP($A10,Sources!$B$4:$M$104,7,FALSE)*D10</f>
        <v>7.5600000000000001E-2</v>
      </c>
      <c r="M10" s="404">
        <f>VLOOKUP($A10,Sources!$B$4:$M$104,7,FALSE)*E10</f>
        <v>9.4500000000000001E-2</v>
      </c>
      <c r="N10" s="390"/>
      <c r="O10" s="358">
        <f>VLOOKUP($A10,Sources!$B$4:$J$104,9,FALSE)</f>
        <v>17</v>
      </c>
      <c r="P10" s="358">
        <f>VLOOKUP($A10,Sources!$B$4:$J$104,9,FALSE)</f>
        <v>17</v>
      </c>
      <c r="Q10" s="358">
        <f>VLOOKUP($A10,Sources!$B$4:$J$104,9,FALSE)</f>
        <v>17</v>
      </c>
      <c r="R10" s="390"/>
      <c r="S10" s="407">
        <v>10</v>
      </c>
      <c r="T10" s="407">
        <v>10</v>
      </c>
      <c r="U10" s="407">
        <v>10</v>
      </c>
      <c r="V10" s="390"/>
      <c r="W10" s="175">
        <v>890</v>
      </c>
      <c r="X10" s="175">
        <f t="shared" si="2"/>
        <v>4000</v>
      </c>
      <c r="Y10" s="175">
        <f t="shared" si="2"/>
        <v>5000</v>
      </c>
      <c r="Z10" s="390"/>
      <c r="AA10" s="361"/>
      <c r="AB10" s="173"/>
      <c r="AC10" s="361"/>
      <c r="AD10" s="390"/>
      <c r="AE10" s="17"/>
      <c r="AF10" s="190"/>
      <c r="AG10" s="17"/>
      <c r="AH10" s="363"/>
      <c r="AI10" s="390"/>
      <c r="AJ10" s="17"/>
      <c r="AK10" s="17"/>
      <c r="AL10" s="17"/>
      <c r="AN10" s="451">
        <f>'2014-15 Status Rpt Bencost'!Q11</f>
        <v>1.3428928141197005</v>
      </c>
      <c r="AO10" s="425">
        <f>'2015'!Q11</f>
        <v>1.363036206331496</v>
      </c>
      <c r="AP10" s="425">
        <f>'2016'!Q11</f>
        <v>1.3834817494264686</v>
      </c>
    </row>
    <row r="11" spans="1:42">
      <c r="A11" s="172" t="s">
        <v>32</v>
      </c>
      <c r="C11" s="169">
        <v>0</v>
      </c>
      <c r="D11" s="169">
        <v>190</v>
      </c>
      <c r="E11" s="169">
        <v>200</v>
      </c>
      <c r="F11" s="390"/>
      <c r="G11" s="171">
        <f>VLOOKUP($A11,Sources!$B$4:$M$104,5,FALSE)*C11</f>
        <v>0</v>
      </c>
      <c r="H11" s="171">
        <f>VLOOKUP($A11,Sources!$B$4:$M$104,5,FALSE)*D11</f>
        <v>14268.999999999998</v>
      </c>
      <c r="I11" s="171">
        <f>VLOOKUP($A11,Sources!$B$4:$M$104,5,FALSE)*E11</f>
        <v>15019.999999999998</v>
      </c>
      <c r="J11" s="390"/>
      <c r="K11" s="404">
        <f>VLOOKUP($A11,Sources!$B$4:$M$104,7,FALSE)*C11</f>
        <v>0</v>
      </c>
      <c r="L11" s="404">
        <f>VLOOKUP($A11,Sources!$B$4:$M$104,7,FALSE)*D11</f>
        <v>2.0015429934072095</v>
      </c>
      <c r="M11" s="404">
        <f>VLOOKUP($A11,Sources!$B$4:$M$104,7,FALSE)*E11</f>
        <v>2.1068873614812733</v>
      </c>
      <c r="N11" s="390"/>
      <c r="O11" s="358">
        <f>VLOOKUP($A11,Sources!$B$4:$J$104,9,FALSE)</f>
        <v>20</v>
      </c>
      <c r="P11" s="358">
        <f>VLOOKUP($A11,Sources!$B$4:$J$104,9,FALSE)</f>
        <v>20</v>
      </c>
      <c r="Q11" s="358">
        <f>VLOOKUP($A11,Sources!$B$4:$J$104,9,FALSE)</f>
        <v>20</v>
      </c>
      <c r="R11" s="390"/>
      <c r="S11" s="407">
        <f>O11/2</f>
        <v>10</v>
      </c>
      <c r="T11" s="407">
        <f>P11/2</f>
        <v>10</v>
      </c>
      <c r="U11" s="407">
        <f>Q11/2</f>
        <v>10</v>
      </c>
      <c r="V11" s="390"/>
      <c r="W11" s="175">
        <f t="shared" si="2"/>
        <v>0</v>
      </c>
      <c r="X11" s="175">
        <f t="shared" si="2"/>
        <v>1900</v>
      </c>
      <c r="Y11" s="175">
        <f t="shared" si="2"/>
        <v>2000</v>
      </c>
      <c r="Z11" s="390"/>
      <c r="AA11" s="361"/>
      <c r="AB11" s="361"/>
      <c r="AC11" s="361"/>
      <c r="AD11" s="390"/>
      <c r="AE11" s="486"/>
      <c r="AF11" s="486"/>
      <c r="AG11" s="486"/>
      <c r="AH11" s="363"/>
      <c r="AI11" s="390"/>
      <c r="AJ11" s="17"/>
      <c r="AK11" s="17"/>
      <c r="AL11" s="17"/>
      <c r="AN11" s="451" t="str">
        <f>'2014-15 Status Rpt Bencost'!Q12</f>
        <v>n/a</v>
      </c>
      <c r="AO11" s="425">
        <f>'2015'!Q12</f>
        <v>1.2462775182024963</v>
      </c>
      <c r="AP11" s="425">
        <f>'2016'!Q12</f>
        <v>1.2649716809755336</v>
      </c>
    </row>
    <row r="12" spans="1:42" ht="12">
      <c r="A12" s="374" t="s">
        <v>242</v>
      </c>
      <c r="C12" s="369">
        <f>SUM(C13:C14)</f>
        <v>71</v>
      </c>
      <c r="D12" s="369">
        <f>SUM(D13:D14)</f>
        <v>350</v>
      </c>
      <c r="E12" s="369">
        <f>SUM(E13:E14)</f>
        <v>425</v>
      </c>
      <c r="F12" s="390"/>
      <c r="G12" s="369">
        <f>SUM(G13:G14)</f>
        <v>90415</v>
      </c>
      <c r="H12" s="369">
        <f t="shared" ref="H12:I12" si="3">SUM(H13:H14)</f>
        <v>432750</v>
      </c>
      <c r="I12" s="369">
        <f t="shared" si="3"/>
        <v>524825</v>
      </c>
      <c r="J12" s="390"/>
      <c r="K12" s="369">
        <f t="shared" ref="K12:M12" si="4">SUM(K13:K14)</f>
        <v>10.321347031963469</v>
      </c>
      <c r="L12" s="369">
        <f t="shared" si="4"/>
        <v>49.400684931506852</v>
      </c>
      <c r="M12" s="369">
        <f t="shared" si="4"/>
        <v>59.911529680365305</v>
      </c>
      <c r="N12" s="390"/>
      <c r="O12" s="368"/>
      <c r="P12" s="368"/>
      <c r="Q12" s="368"/>
      <c r="R12" s="390"/>
      <c r="S12" s="368"/>
      <c r="T12" s="368"/>
      <c r="U12" s="368"/>
      <c r="V12" s="390"/>
      <c r="W12" s="370">
        <f>W13+W14</f>
        <v>3550</v>
      </c>
      <c r="X12" s="370">
        <f>X13+X14</f>
        <v>17500</v>
      </c>
      <c r="Y12" s="370">
        <f>Y13+Y14</f>
        <v>21250</v>
      </c>
      <c r="Z12" s="390"/>
      <c r="AA12" s="371">
        <f>11827-W12</f>
        <v>8277</v>
      </c>
      <c r="AB12" s="371">
        <f>(D12*$AE12+X12*($AF12+$AG12))*(1+$AH12)+X12*$AH12</f>
        <v>58756.25</v>
      </c>
      <c r="AC12" s="371">
        <f>(E12*$AE12+Y12*($AF12+$AG12))*(1+$AH12)+Y12*$AH12</f>
        <v>71346.875</v>
      </c>
      <c r="AD12" s="390"/>
      <c r="AE12" s="377">
        <v>150</v>
      </c>
      <c r="AF12" s="372">
        <v>7.4999999999999997E-2</v>
      </c>
      <c r="AG12" s="372">
        <v>7.4999999999999997E-2</v>
      </c>
      <c r="AH12" s="373">
        <v>0.05</v>
      </c>
      <c r="AI12" s="390"/>
      <c r="AJ12" s="371">
        <f>W12+AA12</f>
        <v>11827</v>
      </c>
      <c r="AK12" s="371">
        <f>X12+AB12</f>
        <v>76256.25</v>
      </c>
      <c r="AL12" s="371">
        <f>Y12+AC12</f>
        <v>92596.875</v>
      </c>
      <c r="AN12" s="380">
        <f>'2014-15 Status Rpt Bencost'!Q13</f>
        <v>0.6069913372572997</v>
      </c>
      <c r="AO12" s="380">
        <f>'2015'!Q13</f>
        <v>1.3271739364255899</v>
      </c>
      <c r="AP12" s="380">
        <f>'2016'!Q13</f>
        <v>1.3453969496629081</v>
      </c>
    </row>
    <row r="13" spans="1:42" s="357" customFormat="1" ht="12">
      <c r="A13" s="172" t="s">
        <v>239</v>
      </c>
      <c r="B13" s="17"/>
      <c r="C13" s="234">
        <v>65</v>
      </c>
      <c r="D13" s="234">
        <v>250</v>
      </c>
      <c r="E13" s="234">
        <v>300</v>
      </c>
      <c r="F13" s="390"/>
      <c r="G13" s="171">
        <f>VLOOKUP($A13,Sources!$B$4:$M$104,5,FALSE)*C13</f>
        <v>83785</v>
      </c>
      <c r="H13" s="171">
        <f>VLOOKUP($A13,Sources!$B$4:$M$104,5,FALSE)*D13</f>
        <v>322250</v>
      </c>
      <c r="I13" s="171">
        <f>VLOOKUP($A13,Sources!$B$4:$M$104,5,FALSE)*E13</f>
        <v>386700</v>
      </c>
      <c r="J13" s="390"/>
      <c r="K13" s="404">
        <f>VLOOKUP($A13,Sources!$B$4:$M$104,7,FALSE)*C13</f>
        <v>9.5644977168949765</v>
      </c>
      <c r="L13" s="404">
        <f>VLOOKUP($A13,Sources!$B$4:$M$104,7,FALSE)*D13</f>
        <v>36.786529680365298</v>
      </c>
      <c r="M13" s="404">
        <f>VLOOKUP($A13,Sources!$B$4:$M$104,7,FALSE)*E13</f>
        <v>44.143835616438359</v>
      </c>
      <c r="N13" s="390"/>
      <c r="O13" s="358">
        <f>VLOOKUP($A13,Sources!$B$4:$J$104,9,FALSE)</f>
        <v>93</v>
      </c>
      <c r="P13" s="358">
        <f>VLOOKUP($A13,Sources!$B$4:$J$104,9,FALSE)</f>
        <v>93</v>
      </c>
      <c r="Q13" s="358">
        <f>VLOOKUP($A13,Sources!$B$4:$J$104,9,FALSE)</f>
        <v>93</v>
      </c>
      <c r="R13" s="390"/>
      <c r="S13" s="385">
        <v>50</v>
      </c>
      <c r="T13" s="385">
        <v>50</v>
      </c>
      <c r="U13" s="385">
        <v>50</v>
      </c>
      <c r="V13" s="390"/>
      <c r="W13" s="175">
        <f t="shared" ref="W13:Y14" si="5">C13*S13</f>
        <v>3250</v>
      </c>
      <c r="X13" s="175">
        <f t="shared" si="5"/>
        <v>12500</v>
      </c>
      <c r="Y13" s="175">
        <f t="shared" si="5"/>
        <v>15000</v>
      </c>
      <c r="Z13" s="390"/>
      <c r="AA13" s="383"/>
      <c r="AB13" s="383"/>
      <c r="AC13" s="383"/>
      <c r="AD13" s="361"/>
      <c r="AE13" s="17"/>
      <c r="AF13" s="17"/>
      <c r="AG13" s="17"/>
      <c r="AH13" s="17"/>
      <c r="AI13" s="390"/>
      <c r="AJ13" s="386"/>
      <c r="AK13" s="17"/>
      <c r="AL13" s="17"/>
      <c r="AM13" s="173"/>
      <c r="AN13" s="451">
        <f>'2014-15 Status Rpt Bencost'!Q14</f>
        <v>3.8238002801085504</v>
      </c>
      <c r="AO13" s="425">
        <f>'2015'!Q14</f>
        <v>3.8811572843101789</v>
      </c>
      <c r="AP13" s="425">
        <f>'2016'!Q14</f>
        <v>3.9393746435748311</v>
      </c>
    </row>
    <row r="14" spans="1:42">
      <c r="A14" s="172" t="s">
        <v>296</v>
      </c>
      <c r="C14" s="234">
        <v>6</v>
      </c>
      <c r="D14" s="234">
        <v>100</v>
      </c>
      <c r="E14" s="234">
        <v>125</v>
      </c>
      <c r="F14" s="390"/>
      <c r="G14" s="171">
        <f>VLOOKUP($A14,Sources!$B$4:$M$104,5,FALSE)*C14</f>
        <v>6630</v>
      </c>
      <c r="H14" s="171">
        <f>VLOOKUP($A14,Sources!$B$4:$M$104,5,FALSE)*D14</f>
        <v>110500</v>
      </c>
      <c r="I14" s="171">
        <f>VLOOKUP($A14,Sources!$B$4:$M$104,5,FALSE)*E14</f>
        <v>138125</v>
      </c>
      <c r="J14" s="390"/>
      <c r="K14" s="404">
        <f>VLOOKUP($A14,Sources!$B$4:$M$104,7,FALSE)*C14</f>
        <v>0.75684931506849318</v>
      </c>
      <c r="L14" s="404">
        <f>VLOOKUP($A14,Sources!$B$4:$M$104,7,FALSE)*D14</f>
        <v>12.614155251141554</v>
      </c>
      <c r="M14" s="404">
        <f>VLOOKUP($A14,Sources!$B$4:$M$104,7,FALSE)*E14</f>
        <v>15.767694063926943</v>
      </c>
      <c r="N14" s="390"/>
      <c r="O14" s="358">
        <f>VLOOKUP($A14,Sources!$B$4:$J$104,9,FALSE)</f>
        <v>93</v>
      </c>
      <c r="P14" s="358">
        <f>VLOOKUP($A14,Sources!$B$4:$J$104,9,FALSE)</f>
        <v>93</v>
      </c>
      <c r="Q14" s="358">
        <f>VLOOKUP($A14,Sources!$B$4:$J$104,9,FALSE)</f>
        <v>93</v>
      </c>
      <c r="R14" s="390"/>
      <c r="S14" s="385">
        <v>50</v>
      </c>
      <c r="T14" s="385">
        <v>50</v>
      </c>
      <c r="U14" s="385">
        <v>50</v>
      </c>
      <c r="V14" s="390"/>
      <c r="W14" s="175">
        <f t="shared" si="5"/>
        <v>300</v>
      </c>
      <c r="X14" s="175">
        <f t="shared" si="5"/>
        <v>5000</v>
      </c>
      <c r="Y14" s="175">
        <f t="shared" si="5"/>
        <v>6250</v>
      </c>
      <c r="Z14" s="390"/>
      <c r="AA14" s="575"/>
      <c r="AB14" s="17"/>
      <c r="AD14" s="390"/>
      <c r="AE14" s="17"/>
      <c r="AF14" s="17"/>
      <c r="AG14" s="17"/>
      <c r="AI14" s="390"/>
      <c r="AJ14" s="17"/>
      <c r="AK14" s="17"/>
      <c r="AL14" s="17"/>
      <c r="AN14" s="451">
        <f>'2014-15 Status Rpt Bencost'!Q15</f>
        <v>3.2779668809309146</v>
      </c>
      <c r="AO14" s="425">
        <f>'2015'!Q15</f>
        <v>3.3271363841448771</v>
      </c>
      <c r="AP14" s="425">
        <f>'2016'!Q15</f>
        <v>3.3770434299070509</v>
      </c>
    </row>
    <row r="15" spans="1:42" ht="12">
      <c r="A15" s="374" t="s">
        <v>450</v>
      </c>
      <c r="C15" s="369">
        <f>SUM(C16:C22)</f>
        <v>56</v>
      </c>
      <c r="D15" s="369">
        <f t="shared" ref="D15:E15" si="6">SUM(D16:D22)</f>
        <v>316</v>
      </c>
      <c r="E15" s="369">
        <f t="shared" si="6"/>
        <v>370</v>
      </c>
      <c r="F15" s="390"/>
      <c r="G15" s="369">
        <f t="shared" ref="G15:I15" si="7">SUM(G16:G22)</f>
        <v>84867.131020619971</v>
      </c>
      <c r="H15" s="369">
        <f t="shared" si="7"/>
        <v>392041.89885234681</v>
      </c>
      <c r="I15" s="369">
        <f t="shared" si="7"/>
        <v>444837.86151818547</v>
      </c>
      <c r="J15" s="390"/>
      <c r="K15" s="369">
        <f t="shared" ref="K15:L15" si="8">SUM(K16:K22)</f>
        <v>26.311038520275883</v>
      </c>
      <c r="L15" s="369">
        <f t="shared" si="8"/>
        <v>114.67063703143437</v>
      </c>
      <c r="M15" s="369">
        <f>SUM(M16:M22)</f>
        <v>133.77729881754311</v>
      </c>
      <c r="N15" s="390"/>
      <c r="O15" s="368"/>
      <c r="P15" s="368"/>
      <c r="Q15" s="368"/>
      <c r="R15" s="390"/>
      <c r="S15" s="368"/>
      <c r="T15" s="368"/>
      <c r="U15" s="368"/>
      <c r="V15" s="390"/>
      <c r="W15" s="370">
        <f t="shared" ref="W15:X15" si="9">SUM(W16:W22)</f>
        <v>20899</v>
      </c>
      <c r="X15" s="370">
        <f t="shared" si="9"/>
        <v>84625</v>
      </c>
      <c r="Y15" s="370">
        <f>SUM(Y16:Y22)</f>
        <v>98550</v>
      </c>
      <c r="Z15" s="390"/>
      <c r="AA15" s="371">
        <f>(W15*($AE15+$AF15+$AG15))*(1+$AH15)+W15*$AH15</f>
        <v>0</v>
      </c>
      <c r="AB15" s="371">
        <f>(X15*($AE15+$AF15+$AG15))*(1+$AH15)+X15*$AH15</f>
        <v>0</v>
      </c>
      <c r="AC15" s="371">
        <f>(Y15*($AE15+$AF15+$AG15))*(1+$AH15)+Y15*$AH15</f>
        <v>0</v>
      </c>
      <c r="AD15" s="390"/>
      <c r="AE15" s="373">
        <v>0</v>
      </c>
      <c r="AF15" s="372">
        <v>0</v>
      </c>
      <c r="AG15" s="372">
        <v>0</v>
      </c>
      <c r="AH15" s="373">
        <v>0</v>
      </c>
      <c r="AI15" s="390"/>
      <c r="AJ15" s="371">
        <f>W15+AA15</f>
        <v>20899</v>
      </c>
      <c r="AK15" s="371">
        <f>X15+AB15</f>
        <v>84625</v>
      </c>
      <c r="AL15" s="371">
        <f>Y15+AC15</f>
        <v>98550</v>
      </c>
      <c r="AM15" s="357"/>
      <c r="AN15" s="380">
        <f>'2014-15 Status Rpt Bencost'!Q16</f>
        <v>0.79026909604124151</v>
      </c>
      <c r="AO15" s="380">
        <f>'2015'!Q16</f>
        <v>1.2215399311734292</v>
      </c>
      <c r="AP15" s="380">
        <f>'2016'!Q16</f>
        <v>1.2359687524448209</v>
      </c>
    </row>
    <row r="16" spans="1:42">
      <c r="A16" s="172" t="s">
        <v>29</v>
      </c>
      <c r="B16" s="578"/>
      <c r="C16" s="169">
        <v>27</v>
      </c>
      <c r="D16" s="169">
        <v>125</v>
      </c>
      <c r="E16" s="362">
        <v>150</v>
      </c>
      <c r="F16" s="390"/>
      <c r="G16" s="171">
        <f>VLOOKUP($A16,Sources!$B$4:$M$104,5,FALSE)*C16</f>
        <v>12927.732814101279</v>
      </c>
      <c r="H16" s="171">
        <f>VLOOKUP($A16,Sources!$B$4:$M$104,5,FALSE)*D16</f>
        <v>59850.61488009851</v>
      </c>
      <c r="I16" s="171">
        <f>VLOOKUP($A16,Sources!$B$4:$M$104,5,FALSE)*E16</f>
        <v>71820.737856118212</v>
      </c>
      <c r="J16" s="390"/>
      <c r="K16" s="404">
        <f>VLOOKUP($A16,Sources!$B$4:$M$104,7,FALSE)*C16</f>
        <v>13.530361706012796</v>
      </c>
      <c r="L16" s="404">
        <f>VLOOKUP($A16,Sources!$B$4:$M$104,7,FALSE)*D16</f>
        <v>62.640563453762937</v>
      </c>
      <c r="M16" s="404">
        <f>VLOOKUP($A16,Sources!$B$4:$M$104,7,FALSE)*E16</f>
        <v>75.16867614451553</v>
      </c>
      <c r="N16" s="390"/>
      <c r="O16" s="358">
        <f>VLOOKUP($A16,Sources!$B$4:$J$104,9,FALSE)</f>
        <v>293.80824805778059</v>
      </c>
      <c r="P16" s="358">
        <f>VLOOKUP($A16,Sources!$B$4:$J$104,9,FALSE)</f>
        <v>293.80824805778059</v>
      </c>
      <c r="Q16" s="358">
        <f>VLOOKUP($A16,Sources!$B$4:$J$104,9,FALSE)</f>
        <v>293.80824805778059</v>
      </c>
      <c r="R16" s="390"/>
      <c r="S16" s="407">
        <f>75*3</f>
        <v>225</v>
      </c>
      <c r="T16" s="407">
        <f t="shared" ref="T16:U16" si="10">75*3</f>
        <v>225</v>
      </c>
      <c r="U16" s="407">
        <f t="shared" si="10"/>
        <v>225</v>
      </c>
      <c r="V16" s="390"/>
      <c r="W16" s="175">
        <v>7121</v>
      </c>
      <c r="X16" s="175">
        <f t="shared" ref="X16:Y21" si="11">D16*T16</f>
        <v>28125</v>
      </c>
      <c r="Y16" s="175">
        <f t="shared" si="11"/>
        <v>33750</v>
      </c>
      <c r="Z16" s="390"/>
      <c r="AA16" s="632"/>
      <c r="AB16" s="361"/>
      <c r="AC16" s="361"/>
      <c r="AD16" s="361"/>
      <c r="AE16" s="17"/>
      <c r="AF16" s="17"/>
      <c r="AG16" s="17"/>
      <c r="AI16" s="390"/>
      <c r="AJ16" s="386"/>
      <c r="AK16" s="17"/>
      <c r="AL16" s="17"/>
      <c r="AN16" s="451">
        <f>'2014-15 Status Rpt Bencost'!Q17</f>
        <v>1.0043124734709326</v>
      </c>
      <c r="AO16" s="425">
        <f>'2015'!Q17</f>
        <v>1.0193771605729962</v>
      </c>
      <c r="AP16" s="425">
        <f>'2016'!Q17</f>
        <v>1.0346678179815911</v>
      </c>
    </row>
    <row r="17" spans="1:43">
      <c r="A17" s="176" t="s">
        <v>433</v>
      </c>
      <c r="C17" s="169">
        <v>1</v>
      </c>
      <c r="D17" s="169">
        <v>25</v>
      </c>
      <c r="E17" s="362">
        <v>30</v>
      </c>
      <c r="F17" s="390"/>
      <c r="G17" s="171">
        <f>VLOOKUP($A17,Sources!$B$4:$M$104,5,FALSE)*C17</f>
        <v>478.80491904078809</v>
      </c>
      <c r="H17" s="171">
        <f>VLOOKUP($A17,Sources!$B$4:$M$104,5,FALSE)*D17</f>
        <v>11970.122976019702</v>
      </c>
      <c r="I17" s="171">
        <f>VLOOKUP($A17,Sources!$B$4:$M$104,5,FALSE)*E17</f>
        <v>14364.147571223642</v>
      </c>
      <c r="J17" s="390"/>
      <c r="K17" s="404">
        <f>VLOOKUP($A17,Sources!$B$4:$M$104,7,FALSE)*C17</f>
        <v>0.50112450763010352</v>
      </c>
      <c r="L17" s="404">
        <f>VLOOKUP($A17,Sources!$B$4:$M$104,7,FALSE)*D17</f>
        <v>12.528112690752588</v>
      </c>
      <c r="M17" s="404">
        <f>VLOOKUP($A17,Sources!$B$4:$M$104,7,FALSE)*E17</f>
        <v>15.033735228903106</v>
      </c>
      <c r="N17" s="390"/>
      <c r="O17" s="358">
        <f>VLOOKUP($A17,Sources!$B$4:$J$104,9,FALSE)</f>
        <v>2480.1501390380126</v>
      </c>
      <c r="P17" s="358">
        <f>VLOOKUP($A17,Sources!$B$4:$J$104,9,FALSE)</f>
        <v>2480.1501390380126</v>
      </c>
      <c r="Q17" s="358">
        <f>VLOOKUP($A17,Sources!$B$4:$J$104,9,FALSE)</f>
        <v>2480.1501390380126</v>
      </c>
      <c r="R17" s="390"/>
      <c r="S17" s="407">
        <f>200*3</f>
        <v>600</v>
      </c>
      <c r="T17" s="407">
        <f t="shared" ref="T17:U17" si="12">200*3</f>
        <v>600</v>
      </c>
      <c r="U17" s="407">
        <f t="shared" si="12"/>
        <v>600</v>
      </c>
      <c r="V17" s="390"/>
      <c r="W17" s="175">
        <v>1000</v>
      </c>
      <c r="X17" s="175">
        <f t="shared" si="11"/>
        <v>15000</v>
      </c>
      <c r="Y17" s="175">
        <f t="shared" si="11"/>
        <v>18000</v>
      </c>
      <c r="Z17" s="390"/>
      <c r="AA17" s="632"/>
      <c r="AB17" s="361"/>
      <c r="AC17" s="361"/>
      <c r="AD17" s="390"/>
      <c r="AE17" s="17"/>
      <c r="AF17" s="17"/>
      <c r="AG17" s="17"/>
      <c r="AI17" s="390"/>
      <c r="AJ17" s="386"/>
      <c r="AK17" s="17"/>
      <c r="AL17" s="17"/>
      <c r="AN17" s="451">
        <f>'2014-15 Status Rpt Bencost'!Q18</f>
        <v>0.86060049410599282</v>
      </c>
      <c r="AO17" s="425">
        <f>'2015'!Q18</f>
        <v>0.87350950151758289</v>
      </c>
      <c r="AP17" s="425">
        <f>'2016'!Q18</f>
        <v>0.88661214404034649</v>
      </c>
    </row>
    <row r="18" spans="1:43">
      <c r="A18" s="183" t="s">
        <v>238</v>
      </c>
      <c r="C18" s="169">
        <v>4</v>
      </c>
      <c r="D18" s="169">
        <v>80</v>
      </c>
      <c r="E18" s="362">
        <v>90</v>
      </c>
      <c r="F18" s="390"/>
      <c r="G18" s="171">
        <f>VLOOKUP($A18,Sources!$B$4:$M$104,5,FALSE)*C18</f>
        <v>6934.8361369357572</v>
      </c>
      <c r="H18" s="171">
        <f>VLOOKUP($A18,Sources!$B$4:$M$104,5,FALSE)*D18</f>
        <v>138696.72273871515</v>
      </c>
      <c r="I18" s="171">
        <f>VLOOKUP($A18,Sources!$B$4:$M$104,5,FALSE)*E18</f>
        <v>156033.81308105454</v>
      </c>
      <c r="J18" s="390"/>
      <c r="K18" s="404">
        <f>VLOOKUP($A18,Sources!$B$4:$M$104,7,FALSE)*C18</f>
        <v>0.32853546641622217</v>
      </c>
      <c r="L18" s="404">
        <f>VLOOKUP($A18,Sources!$B$4:$M$104,7,FALSE)*D18</f>
        <v>6.5707093283244431</v>
      </c>
      <c r="M18" s="404">
        <f>VLOOKUP($A18,Sources!$B$4:$M$104,7,FALSE)*E18</f>
        <v>7.392047994364999</v>
      </c>
      <c r="N18" s="390"/>
      <c r="O18" s="358">
        <f>VLOOKUP($A18,Sources!$B$4:$J$104,9,FALSE)</f>
        <v>700</v>
      </c>
      <c r="P18" s="358">
        <f>VLOOKUP($A18,Sources!$B$4:$J$104,9,FALSE)</f>
        <v>700</v>
      </c>
      <c r="Q18" s="358">
        <f>VLOOKUP($A18,Sources!$B$4:$J$104,9,FALSE)</f>
        <v>700</v>
      </c>
      <c r="R18" s="390"/>
      <c r="S18" s="407">
        <f t="shared" ref="S18:U18" si="13">5*40</f>
        <v>200</v>
      </c>
      <c r="T18" s="407">
        <f t="shared" si="13"/>
        <v>200</v>
      </c>
      <c r="U18" s="407">
        <f t="shared" si="13"/>
        <v>200</v>
      </c>
      <c r="V18" s="390"/>
      <c r="W18" s="175">
        <v>1000</v>
      </c>
      <c r="X18" s="175">
        <f t="shared" si="11"/>
        <v>16000</v>
      </c>
      <c r="Y18" s="175">
        <f t="shared" si="11"/>
        <v>18000</v>
      </c>
      <c r="Z18" s="390"/>
      <c r="AA18" s="632"/>
      <c r="AB18" s="361"/>
      <c r="AC18" s="361"/>
      <c r="AD18" s="390"/>
      <c r="AE18" s="17"/>
      <c r="AF18" s="17"/>
      <c r="AG18" s="17"/>
      <c r="AI18" s="390"/>
      <c r="AJ18" s="386"/>
      <c r="AK18" s="17"/>
      <c r="AL18" s="17"/>
      <c r="AN18" s="451">
        <f>'2014-15 Status Rpt Bencost'!Q19</f>
        <v>1.0114102808052037</v>
      </c>
      <c r="AO18" s="425">
        <f>'2015'!Q19</f>
        <v>1.0265814350172815</v>
      </c>
      <c r="AP18" s="425">
        <f>'2016'!Q19</f>
        <v>1.0419801565425406</v>
      </c>
    </row>
    <row r="19" spans="1:43">
      <c r="A19" s="183" t="s">
        <v>515</v>
      </c>
      <c r="C19" s="169">
        <v>15</v>
      </c>
      <c r="D19" s="169">
        <v>60</v>
      </c>
      <c r="E19" s="362">
        <v>70</v>
      </c>
      <c r="F19" s="390"/>
      <c r="G19" s="171">
        <f>VLOOKUP($A19,Sources!$B$4:$M$104,5,FALSE)*C19</f>
        <v>1911.4486068186252</v>
      </c>
      <c r="H19" s="171">
        <f>VLOOKUP($A19,Sources!$B$4:$M$104,5,FALSE)*D19</f>
        <v>7645.7944272745008</v>
      </c>
      <c r="I19" s="171">
        <f>VLOOKUP($A19,Sources!$B$4:$M$104,5,FALSE)*E19</f>
        <v>8920.0934984869182</v>
      </c>
      <c r="J19" s="390"/>
      <c r="K19" s="404">
        <f>VLOOKUP($A19,Sources!$B$4:$M$104,7,FALSE)*C19</f>
        <v>0.22753096721787741</v>
      </c>
      <c r="L19" s="404">
        <f>VLOOKUP($A19,Sources!$B$4:$M$104,7,FALSE)*D19</f>
        <v>0.91012386887150964</v>
      </c>
      <c r="M19" s="404">
        <f>VLOOKUP($A19,Sources!$B$4:$M$104,7,FALSE)*E19</f>
        <v>1.0618111803500945</v>
      </c>
      <c r="N19" s="390"/>
      <c r="O19" s="358">
        <f>VLOOKUP($A19,Sources!$B$4:$J$104,9,FALSE)</f>
        <v>50</v>
      </c>
      <c r="P19" s="358">
        <f>VLOOKUP($A19,Sources!$B$4:$J$104,9,FALSE)</f>
        <v>50</v>
      </c>
      <c r="Q19" s="358">
        <f>VLOOKUP($A19,Sources!$B$4:$J$104,9,FALSE)</f>
        <v>50</v>
      </c>
      <c r="R19" s="390"/>
      <c r="S19" s="407">
        <f>1.5*40</f>
        <v>60</v>
      </c>
      <c r="T19" s="407">
        <f t="shared" ref="T19:U19" si="14">1.5*40</f>
        <v>60</v>
      </c>
      <c r="U19" s="407">
        <f t="shared" si="14"/>
        <v>60</v>
      </c>
      <c r="V19" s="390"/>
      <c r="W19" s="175">
        <v>1490</v>
      </c>
      <c r="X19" s="175">
        <f t="shared" si="11"/>
        <v>3600</v>
      </c>
      <c r="Y19" s="175">
        <f t="shared" si="11"/>
        <v>4200</v>
      </c>
      <c r="Z19" s="390"/>
      <c r="AA19" s="632"/>
      <c r="AB19" s="361"/>
      <c r="AC19" s="361"/>
      <c r="AD19" s="390"/>
      <c r="AE19" s="17"/>
      <c r="AF19" s="17"/>
      <c r="AG19" s="17"/>
      <c r="AI19" s="390"/>
      <c r="AJ19" s="386"/>
      <c r="AK19" s="17"/>
      <c r="AL19" s="17"/>
      <c r="AN19" s="451">
        <f>'2014-15 Status Rpt Bencost'!Q20</f>
        <v>1.0683203771285581</v>
      </c>
      <c r="AO19" s="425">
        <f>'2015'!Q20</f>
        <v>1.0843451827854864</v>
      </c>
      <c r="AP19" s="425">
        <f>'2016'!Q20</f>
        <v>1.1006103605272692</v>
      </c>
    </row>
    <row r="20" spans="1:43">
      <c r="A20" s="172" t="s">
        <v>33</v>
      </c>
      <c r="B20" s="578"/>
      <c r="C20" s="169">
        <v>6</v>
      </c>
      <c r="D20" s="169">
        <v>15</v>
      </c>
      <c r="E20" s="362">
        <v>18</v>
      </c>
      <c r="F20" s="390"/>
      <c r="G20" s="171">
        <f>VLOOKUP($A20,Sources!$B$4:$M$104,5,FALSE)*C20</f>
        <v>29730.638521594701</v>
      </c>
      <c r="H20" s="171">
        <f>VLOOKUP($A20,Sources!$B$4:$M$104,5,FALSE)*D20</f>
        <v>74326.596303986749</v>
      </c>
      <c r="I20" s="171">
        <f>VLOOKUP($A20,Sources!$B$4:$M$104,5,FALSE)*E20</f>
        <v>89191.915564784111</v>
      </c>
      <c r="J20" s="390"/>
      <c r="K20" s="404">
        <f>VLOOKUP($A20,Sources!$B$4:$M$104,7,FALSE)*C20</f>
        <v>4.6498508695297369</v>
      </c>
      <c r="L20" s="404">
        <f>VLOOKUP($A20,Sources!$B$4:$M$104,7,FALSE)*D20</f>
        <v>11.624627173824342</v>
      </c>
      <c r="M20" s="404">
        <f>VLOOKUP($A20,Sources!$B$4:$M$104,7,FALSE)*E20</f>
        <v>13.94955260858921</v>
      </c>
      <c r="N20" s="390"/>
      <c r="O20" s="358">
        <f>VLOOKUP($A20,Sources!$B$4:$J$104,9,FALSE)</f>
        <v>1230</v>
      </c>
      <c r="P20" s="358">
        <f>VLOOKUP($A20,Sources!$B$4:$J$104,9,FALSE)</f>
        <v>1230</v>
      </c>
      <c r="Q20" s="358">
        <f>VLOOKUP($A20,Sources!$B$4:$J$104,9,FALSE)</f>
        <v>1230</v>
      </c>
      <c r="R20" s="390"/>
      <c r="S20" s="407">
        <f>200*3</f>
        <v>600</v>
      </c>
      <c r="T20" s="407">
        <f t="shared" ref="T20:U20" si="15">200*3</f>
        <v>600</v>
      </c>
      <c r="U20" s="407">
        <f t="shared" si="15"/>
        <v>600</v>
      </c>
      <c r="V20" s="390"/>
      <c r="W20" s="175">
        <v>6400</v>
      </c>
      <c r="X20" s="175">
        <f t="shared" si="11"/>
        <v>9000</v>
      </c>
      <c r="Y20" s="175">
        <f t="shared" si="11"/>
        <v>10800</v>
      </c>
      <c r="Z20" s="390"/>
      <c r="AA20" s="632"/>
      <c r="AB20" s="361"/>
      <c r="AC20" s="361"/>
      <c r="AD20" s="390"/>
      <c r="AE20" s="17"/>
      <c r="AF20" s="17"/>
      <c r="AG20" s="17"/>
      <c r="AI20" s="390"/>
      <c r="AJ20" s="17"/>
      <c r="AK20" s="17"/>
      <c r="AL20" s="17"/>
      <c r="AN20" s="451">
        <f>'2014-15 Status Rpt Bencost'!Q21</f>
        <v>1.8862211496557282</v>
      </c>
      <c r="AO20" s="425">
        <f>'2015'!Q21</f>
        <v>1.9145144669005638</v>
      </c>
      <c r="AP20" s="425">
        <f>'2016'!Q21</f>
        <v>1.9432321839040718</v>
      </c>
    </row>
    <row r="21" spans="1:43">
      <c r="A21" s="172" t="s">
        <v>502</v>
      </c>
      <c r="B21" s="501"/>
      <c r="C21" s="169">
        <v>1</v>
      </c>
      <c r="D21" s="169">
        <v>6</v>
      </c>
      <c r="E21" s="362">
        <v>7</v>
      </c>
      <c r="F21" s="390"/>
      <c r="G21" s="171">
        <f>VLOOKUP($A21,Sources!$B$4:$M$104,5,FALSE)*C21</f>
        <v>4955.1064202657835</v>
      </c>
      <c r="H21" s="171">
        <f>VLOOKUP($A21,Sources!$B$4:$M$104,5,FALSE)*D21</f>
        <v>29730.638521594701</v>
      </c>
      <c r="I21" s="171">
        <f>VLOOKUP($A21,Sources!$B$4:$M$104,5,FALSE)*E21</f>
        <v>34685.744941860481</v>
      </c>
      <c r="J21" s="390"/>
      <c r="K21" s="404">
        <f>VLOOKUP($A21,Sources!$B$4:$M$104,7,FALSE)*C21</f>
        <v>0.77497514492162278</v>
      </c>
      <c r="L21" s="404">
        <f>VLOOKUP($A21,Sources!$B$4:$M$104,7,FALSE)*D21</f>
        <v>4.6498508695297369</v>
      </c>
      <c r="M21" s="404">
        <f>VLOOKUP($A21,Sources!$B$4:$M$104,7,FALSE)*E21</f>
        <v>5.4248260144513596</v>
      </c>
      <c r="N21" s="390"/>
      <c r="O21" s="358">
        <f>VLOOKUP($A21,Sources!$B$4:$J$104,9,FALSE)</f>
        <v>2913</v>
      </c>
      <c r="P21" s="358">
        <f>VLOOKUP($A21,Sources!$B$4:$J$104,9,FALSE)</f>
        <v>2913</v>
      </c>
      <c r="Q21" s="358">
        <f>VLOOKUP($A21,Sources!$B$4:$J$104,9,FALSE)</f>
        <v>2913</v>
      </c>
      <c r="R21" s="390"/>
      <c r="S21" s="407">
        <f>300*3</f>
        <v>900</v>
      </c>
      <c r="T21" s="407">
        <f t="shared" ref="T21:U21" si="16">300*3</f>
        <v>900</v>
      </c>
      <c r="U21" s="407">
        <f t="shared" si="16"/>
        <v>900</v>
      </c>
      <c r="V21" s="390"/>
      <c r="W21" s="175">
        <v>1300</v>
      </c>
      <c r="X21" s="175">
        <f t="shared" si="11"/>
        <v>5400</v>
      </c>
      <c r="Y21" s="175">
        <f t="shared" si="11"/>
        <v>6300</v>
      </c>
      <c r="Z21" s="390"/>
      <c r="AA21" s="632"/>
      <c r="AB21" s="173"/>
      <c r="AC21" s="173"/>
      <c r="AD21" s="390"/>
      <c r="AH21" s="173"/>
      <c r="AI21" s="390"/>
      <c r="AN21" s="451">
        <f>'2014-15 Status Rpt Bencost'!Q22</f>
        <v>2.4989690633805148</v>
      </c>
      <c r="AO21" s="425">
        <f>'2015'!Q22</f>
        <v>2.5364535993312227</v>
      </c>
      <c r="AP21" s="425">
        <f>'2016'!Q22</f>
        <v>2.574500403321192</v>
      </c>
    </row>
    <row r="22" spans="1:43">
      <c r="A22" s="172" t="s">
        <v>592</v>
      </c>
      <c r="B22" s="501"/>
      <c r="C22" s="169">
        <v>2</v>
      </c>
      <c r="D22" s="169">
        <v>5</v>
      </c>
      <c r="E22" s="362">
        <v>5</v>
      </c>
      <c r="F22" s="390"/>
      <c r="G22" s="171">
        <f>VLOOKUP($A22,Sources!$B$4:$M$104,5,FALSE)*C22</f>
        <v>27928.563601863025</v>
      </c>
      <c r="H22" s="171">
        <f>VLOOKUP($A22,Sources!$B$4:$M$104,5,FALSE)*D22</f>
        <v>69821.409004657558</v>
      </c>
      <c r="I22" s="171">
        <f>VLOOKUP($A22,Sources!$B$4:$M$104,5,FALSE)*E22</f>
        <v>69821.409004657558</v>
      </c>
      <c r="J22" s="390"/>
      <c r="K22" s="404">
        <f>VLOOKUP($A22,Sources!$B$4:$M$104,7,FALSE)*C22</f>
        <v>6.2986598585475226</v>
      </c>
      <c r="L22" s="404">
        <f>VLOOKUP($A22,Sources!$B$4:$M$104,7,FALSE)*D22</f>
        <v>15.746649646368807</v>
      </c>
      <c r="M22" s="404">
        <f>VLOOKUP($A22,Sources!$B$4:$M$104,7,FALSE)*E22</f>
        <v>15.746649646368807</v>
      </c>
      <c r="N22" s="390"/>
      <c r="O22" s="358">
        <f>VLOOKUP($A22,Sources!$B$4:$J$104,9,FALSE)</f>
        <v>4554</v>
      </c>
      <c r="P22" s="358">
        <f>VLOOKUP($A22,Sources!$B$4:$J$104,9,FALSE)</f>
        <v>4554</v>
      </c>
      <c r="Q22" s="358">
        <f>VLOOKUP($A22,Sources!$B$4:$J$104,9,FALSE)</f>
        <v>4554</v>
      </c>
      <c r="R22" s="390"/>
      <c r="S22" s="407">
        <v>1500</v>
      </c>
      <c r="T22" s="407">
        <v>1500</v>
      </c>
      <c r="U22" s="407">
        <v>1500</v>
      </c>
      <c r="V22" s="390"/>
      <c r="W22" s="175">
        <v>2588</v>
      </c>
      <c r="X22" s="175">
        <f t="shared" ref="X22" si="17">D22*T22</f>
        <v>7500</v>
      </c>
      <c r="Y22" s="175">
        <f t="shared" ref="Y22" si="18">E22*U22</f>
        <v>7500</v>
      </c>
      <c r="Z22" s="390"/>
      <c r="AA22" s="632"/>
      <c r="AB22" s="173"/>
      <c r="AC22" s="173"/>
      <c r="AD22" s="390"/>
      <c r="AH22" s="173"/>
      <c r="AI22" s="390"/>
      <c r="AN22" s="451">
        <f>'2014-15 Status Rpt Bencost'!Q23</f>
        <v>1.4709771261685625</v>
      </c>
      <c r="AO22" s="425">
        <f>'2015'!Q23</f>
        <v>1.4930417830610907</v>
      </c>
      <c r="AP22" s="425">
        <f>'2016'!Q23</f>
        <v>1.5154374098070069</v>
      </c>
    </row>
    <row r="23" spans="1:43" ht="12">
      <c r="A23" s="381" t="s">
        <v>455</v>
      </c>
      <c r="B23" s="168"/>
      <c r="C23" s="367">
        <v>26</v>
      </c>
      <c r="D23" s="367">
        <v>125</v>
      </c>
      <c r="E23" s="367">
        <v>125</v>
      </c>
      <c r="F23" s="390"/>
      <c r="G23" s="367">
        <f>SUM(G24:G31)</f>
        <v>22244.764700136628</v>
      </c>
      <c r="H23" s="367">
        <f>SUM(H24:H31)</f>
        <v>106700.15804476911</v>
      </c>
      <c r="I23" s="367">
        <f>SUM(I24:I31)</f>
        <v>106700.15804476911</v>
      </c>
      <c r="J23" s="390"/>
      <c r="K23" s="402">
        <f>SUM(K24:K31)</f>
        <v>5.778296878686918</v>
      </c>
      <c r="L23" s="367">
        <f>SUM(L24:L31)</f>
        <v>27.674454099443082</v>
      </c>
      <c r="M23" s="367">
        <f>SUM(M24:M31)</f>
        <v>27.674454099443082</v>
      </c>
      <c r="N23" s="390"/>
      <c r="O23" s="368"/>
      <c r="P23" s="368"/>
      <c r="Q23" s="368"/>
      <c r="R23" s="390"/>
      <c r="S23" s="403"/>
      <c r="T23" s="403"/>
      <c r="U23" s="403"/>
      <c r="V23" s="390"/>
      <c r="W23" s="376">
        <f>SUM(W24:W31)</f>
        <v>0</v>
      </c>
      <c r="X23" s="376">
        <f>SUM(X24:X31)</f>
        <v>0</v>
      </c>
      <c r="Y23" s="376">
        <f>SUM(Y24:Y31)</f>
        <v>0</v>
      </c>
      <c r="Z23" s="390"/>
      <c r="AA23" s="371">
        <v>23068</v>
      </c>
      <c r="AB23" s="371">
        <f>(($AE23*D23+$AE23*D23*($AF23+$AG23))*(1+$AH$23))/2</f>
        <v>35010.9375</v>
      </c>
      <c r="AC23" s="371">
        <f>(($AE23*E23+$AE23*E23*($AF23+$AG23))*(1+$AH$23))/2</f>
        <v>35010.9375</v>
      </c>
      <c r="AD23" s="390"/>
      <c r="AE23" s="377">
        <v>485</v>
      </c>
      <c r="AF23" s="373">
        <v>0.05</v>
      </c>
      <c r="AG23" s="373">
        <v>0.05</v>
      </c>
      <c r="AH23" s="378">
        <v>0.05</v>
      </c>
      <c r="AI23" s="390"/>
      <c r="AJ23" s="371">
        <f>W23+AA23</f>
        <v>23068</v>
      </c>
      <c r="AK23" s="371">
        <f>X23+AB23</f>
        <v>35010.9375</v>
      </c>
      <c r="AL23" s="371">
        <f>Y23+AC23</f>
        <v>35010.9375</v>
      </c>
      <c r="AM23" s="357"/>
      <c r="AN23" s="380">
        <f>'2014-15 Status Rpt Bencost'!Q24</f>
        <v>0.25122293023390019</v>
      </c>
      <c r="AO23" s="380">
        <f>'2015'!Q24</f>
        <v>1.0300505398437991</v>
      </c>
      <c r="AP23" s="380">
        <f>'2016'!Q24</f>
        <v>1.0455012979414564</v>
      </c>
    </row>
    <row r="24" spans="1:43" s="360" customFormat="1">
      <c r="A24" s="183" t="s">
        <v>480</v>
      </c>
      <c r="B24" s="501">
        <v>0.15</v>
      </c>
      <c r="C24" s="169">
        <f t="shared" ref="C24:E31" si="19">ROUND($B24*C$23,0)</f>
        <v>4</v>
      </c>
      <c r="D24" s="169">
        <f t="shared" si="19"/>
        <v>19</v>
      </c>
      <c r="E24" s="169">
        <f t="shared" si="19"/>
        <v>19</v>
      </c>
      <c r="F24" s="390"/>
      <c r="G24" s="171">
        <f>VLOOKUP($A24,Sources!$B$4:$M$104,5,FALSE)*C24</f>
        <v>5377.2148573712748</v>
      </c>
      <c r="H24" s="171">
        <f>VLOOKUP($A24,Sources!$B$4:$M$104,5,FALSE)*D24</f>
        <v>25541.770572513557</v>
      </c>
      <c r="I24" s="171">
        <f>VLOOKUP($A24,Sources!$B$4:$M$104,5,FALSE)*E24</f>
        <v>25541.770572513557</v>
      </c>
      <c r="J24" s="390"/>
      <c r="K24" s="404">
        <f>VLOOKUP($A24,Sources!$B$4:$M$104,7,FALSE)*C24</f>
        <v>2.2881633818522231</v>
      </c>
      <c r="L24" s="404">
        <f>VLOOKUP($A24,Sources!$B$4:$M$104,7,FALSE)*D24</f>
        <v>10.868776063798061</v>
      </c>
      <c r="M24" s="404">
        <f>VLOOKUP($A24,Sources!$B$4:$M$104,7,FALSE)*E24</f>
        <v>10.868776063798061</v>
      </c>
      <c r="N24" s="390"/>
      <c r="O24" s="358"/>
      <c r="P24" s="358"/>
      <c r="Q24" s="358"/>
      <c r="R24" s="390"/>
      <c r="S24" s="407"/>
      <c r="T24" s="407"/>
      <c r="U24" s="407"/>
      <c r="V24" s="390"/>
      <c r="W24" s="175">
        <f t="shared" ref="W24:W33" si="20">C24*S24</f>
        <v>0</v>
      </c>
      <c r="X24" s="175">
        <f t="shared" ref="X24:X33" si="21">D24*T24</f>
        <v>0</v>
      </c>
      <c r="Y24" s="175">
        <f t="shared" ref="Y24:Y33" si="22">E24*U24</f>
        <v>0</v>
      </c>
      <c r="Z24" s="390"/>
      <c r="AA24" s="361"/>
      <c r="AB24" s="361"/>
      <c r="AC24" s="361"/>
      <c r="AD24" s="390"/>
      <c r="AE24" s="17"/>
      <c r="AF24" s="17"/>
      <c r="AG24" s="17"/>
      <c r="AH24" s="17"/>
      <c r="AI24" s="390"/>
      <c r="AJ24" s="17"/>
      <c r="AK24" s="17"/>
      <c r="AL24" s="17"/>
      <c r="AM24" s="173"/>
      <c r="AN24" s="451" t="str">
        <f>'2014-15 Status Rpt Bencost'!Q25</f>
        <v>n/a</v>
      </c>
      <c r="AO24" s="425" t="str">
        <f>'2015'!Q25</f>
        <v>n/a</v>
      </c>
      <c r="AP24" s="425" t="str">
        <f>'2016'!Q25</f>
        <v>n/a</v>
      </c>
      <c r="AQ24" s="173"/>
    </row>
    <row r="25" spans="1:43" s="360" customFormat="1">
      <c r="A25" s="183" t="s">
        <v>481</v>
      </c>
      <c r="B25" s="501">
        <v>0.85</v>
      </c>
      <c r="C25" s="169">
        <f t="shared" si="19"/>
        <v>22</v>
      </c>
      <c r="D25" s="169">
        <f t="shared" si="19"/>
        <v>106</v>
      </c>
      <c r="E25" s="169">
        <f t="shared" si="19"/>
        <v>106</v>
      </c>
      <c r="F25" s="390"/>
      <c r="G25" s="171">
        <f>VLOOKUP($A25,Sources!$B$4:$M$104,5,FALSE)*C25</f>
        <v>1257.0324324324324</v>
      </c>
      <c r="H25" s="171">
        <f>VLOOKUP($A25,Sources!$B$4:$M$104,5,FALSE)*D25</f>
        <v>6056.610810810811</v>
      </c>
      <c r="I25" s="171">
        <f>VLOOKUP($A25,Sources!$B$4:$M$104,5,FALSE)*E25</f>
        <v>6056.610810810811</v>
      </c>
      <c r="J25" s="390"/>
      <c r="K25" s="404">
        <f>VLOOKUP($A25,Sources!$B$4:$M$104,7,FALSE)*C25</f>
        <v>1.9396031630281207</v>
      </c>
      <c r="L25" s="404">
        <f>VLOOKUP($A25,Sources!$B$4:$M$104,7,FALSE)*D25</f>
        <v>9.3453606945900365</v>
      </c>
      <c r="M25" s="404">
        <f>VLOOKUP($A25,Sources!$B$4:$M$104,7,FALSE)*E25</f>
        <v>9.3453606945900365</v>
      </c>
      <c r="N25" s="390"/>
      <c r="O25" s="358"/>
      <c r="P25" s="358"/>
      <c r="Q25" s="358"/>
      <c r="R25" s="390"/>
      <c r="S25" s="407"/>
      <c r="T25" s="407"/>
      <c r="U25" s="407"/>
      <c r="V25" s="390"/>
      <c r="W25" s="175">
        <f t="shared" si="20"/>
        <v>0</v>
      </c>
      <c r="X25" s="175">
        <f t="shared" si="21"/>
        <v>0</v>
      </c>
      <c r="Y25" s="175">
        <f t="shared" si="22"/>
        <v>0</v>
      </c>
      <c r="Z25" s="390"/>
      <c r="AA25" s="361"/>
      <c r="AB25" s="361"/>
      <c r="AC25" s="361"/>
      <c r="AD25" s="390"/>
      <c r="AE25" s="17"/>
      <c r="AF25" s="17"/>
      <c r="AG25" s="17"/>
      <c r="AH25" s="17"/>
      <c r="AI25" s="390"/>
      <c r="AJ25" s="17"/>
      <c r="AK25" s="17"/>
      <c r="AL25" s="17"/>
      <c r="AM25" s="173"/>
      <c r="AN25" s="451" t="str">
        <f>'2014-15 Status Rpt Bencost'!Q26</f>
        <v>n/a</v>
      </c>
      <c r="AO25" s="425" t="str">
        <f>'2015'!Q26</f>
        <v>n/a</v>
      </c>
      <c r="AP25" s="425" t="str">
        <f>'2016'!Q26</f>
        <v>n/a</v>
      </c>
      <c r="AQ25" s="173"/>
    </row>
    <row r="26" spans="1:43">
      <c r="A26" s="172" t="s">
        <v>10</v>
      </c>
      <c r="B26" s="501">
        <v>4</v>
      </c>
      <c r="C26" s="169">
        <f t="shared" si="19"/>
        <v>104</v>
      </c>
      <c r="D26" s="169">
        <f t="shared" si="19"/>
        <v>500</v>
      </c>
      <c r="E26" s="169">
        <f t="shared" si="19"/>
        <v>500</v>
      </c>
      <c r="F26" s="390"/>
      <c r="G26" s="171">
        <f>VLOOKUP($A26,Sources!$B$4:$M$104,5,FALSE)*C26</f>
        <v>3188.025048</v>
      </c>
      <c r="H26" s="171">
        <f>VLOOKUP($A26,Sources!$B$4:$M$104,5,FALSE)*D26</f>
        <v>15327.0435</v>
      </c>
      <c r="I26" s="171">
        <f>VLOOKUP($A26,Sources!$B$4:$M$104,5,FALSE)*E26</f>
        <v>15327.0435</v>
      </c>
      <c r="J26" s="390"/>
      <c r="K26" s="404">
        <f>VLOOKUP($A26,Sources!$B$4:$M$104,7,FALSE)*C26</f>
        <v>0.28963318799999999</v>
      </c>
      <c r="L26" s="404">
        <f>VLOOKUP($A26,Sources!$B$4:$M$104,7,FALSE)*D26</f>
        <v>1.3924672499999999</v>
      </c>
      <c r="M26" s="404">
        <f>VLOOKUP($A26,Sources!$B$4:$M$104,7,FALSE)*E26</f>
        <v>1.3924672499999999</v>
      </c>
      <c r="N26" s="390"/>
      <c r="O26" s="384"/>
      <c r="P26" s="384"/>
      <c r="Q26" s="384"/>
      <c r="R26" s="390"/>
      <c r="S26" s="404"/>
      <c r="T26" s="404"/>
      <c r="U26" s="404"/>
      <c r="V26" s="390"/>
      <c r="W26" s="175">
        <f t="shared" si="20"/>
        <v>0</v>
      </c>
      <c r="X26" s="175">
        <f t="shared" si="21"/>
        <v>0</v>
      </c>
      <c r="Y26" s="175">
        <f t="shared" si="22"/>
        <v>0</v>
      </c>
      <c r="Z26" s="390"/>
      <c r="AA26" s="173"/>
      <c r="AB26" s="173"/>
      <c r="AC26" s="173"/>
      <c r="AD26" s="390"/>
      <c r="AH26" s="173"/>
      <c r="AI26" s="390"/>
      <c r="AJ26" s="386"/>
      <c r="AN26" s="451" t="str">
        <f>'2014-15 Status Rpt Bencost'!Q27</f>
        <v>n/a</v>
      </c>
      <c r="AO26" s="425" t="str">
        <f>'2015'!Q27</f>
        <v>n/a</v>
      </c>
      <c r="AP26" s="425" t="str">
        <f>'2016'!Q27</f>
        <v>n/a</v>
      </c>
    </row>
    <row r="27" spans="1:43" ht="12">
      <c r="A27" s="172" t="s">
        <v>31</v>
      </c>
      <c r="B27" s="501">
        <v>1</v>
      </c>
      <c r="C27" s="169">
        <f t="shared" si="19"/>
        <v>26</v>
      </c>
      <c r="D27" s="169">
        <f t="shared" si="19"/>
        <v>125</v>
      </c>
      <c r="E27" s="169">
        <f t="shared" si="19"/>
        <v>125</v>
      </c>
      <c r="F27" s="390"/>
      <c r="G27" s="171">
        <f>VLOOKUP($A27,Sources!$B$4:$M$104,5,FALSE)*C27</f>
        <v>1774.533629319094</v>
      </c>
      <c r="H27" s="171">
        <f>VLOOKUP($A27,Sources!$B$4:$M$104,5,FALSE)*D27</f>
        <v>8531.4116794187212</v>
      </c>
      <c r="I27" s="171">
        <f>VLOOKUP($A27,Sources!$B$4:$M$104,5,FALSE)*E27</f>
        <v>8531.4116794187212</v>
      </c>
      <c r="J27" s="390"/>
      <c r="K27" s="404">
        <f>VLOOKUP($A27,Sources!$B$4:$M$104,7,FALSE)*C27</f>
        <v>0.19817126824883283</v>
      </c>
      <c r="L27" s="404">
        <f>VLOOKUP($A27,Sources!$B$4:$M$104,7,FALSE)*D27</f>
        <v>0.95274648196554246</v>
      </c>
      <c r="M27" s="404">
        <f>VLOOKUP($A27,Sources!$B$4:$M$104,7,FALSE)*E27</f>
        <v>0.95274648196554246</v>
      </c>
      <c r="N27" s="390"/>
      <c r="O27" s="384"/>
      <c r="P27" s="384"/>
      <c r="Q27" s="384"/>
      <c r="R27" s="390"/>
      <c r="S27" s="404"/>
      <c r="T27" s="404"/>
      <c r="U27" s="404"/>
      <c r="V27" s="390"/>
      <c r="W27" s="175">
        <f t="shared" si="20"/>
        <v>0</v>
      </c>
      <c r="X27" s="175">
        <f t="shared" si="21"/>
        <v>0</v>
      </c>
      <c r="Y27" s="175">
        <f t="shared" si="22"/>
        <v>0</v>
      </c>
      <c r="Z27" s="390"/>
      <c r="AA27" s="173"/>
      <c r="AB27" s="173"/>
      <c r="AC27" s="173"/>
      <c r="AD27" s="390"/>
      <c r="AH27" s="173"/>
      <c r="AI27" s="390"/>
      <c r="AM27" s="357"/>
      <c r="AN27" s="451" t="str">
        <f>'2014-15 Status Rpt Bencost'!Q28</f>
        <v>n/a</v>
      </c>
      <c r="AO27" s="425" t="str">
        <f>'2015'!Q28</f>
        <v>n/a</v>
      </c>
      <c r="AP27" s="425" t="str">
        <f>'2016'!Q28</f>
        <v>n/a</v>
      </c>
    </row>
    <row r="28" spans="1:43">
      <c r="A28" s="172" t="s">
        <v>16</v>
      </c>
      <c r="B28" s="501">
        <v>1</v>
      </c>
      <c r="C28" s="169">
        <f t="shared" si="19"/>
        <v>26</v>
      </c>
      <c r="D28" s="169">
        <f t="shared" si="19"/>
        <v>125</v>
      </c>
      <c r="E28" s="169">
        <f t="shared" si="19"/>
        <v>125</v>
      </c>
      <c r="F28" s="390"/>
      <c r="G28" s="171">
        <f>VLOOKUP($A28,Sources!$B$4:$M$104,5,FALSE)*C28</f>
        <v>3711.7300778717249</v>
      </c>
      <c r="H28" s="171">
        <f>VLOOKUP($A28,Sources!$B$4:$M$104,5,FALSE)*D28</f>
        <v>17844.856143614063</v>
      </c>
      <c r="I28" s="171">
        <f>VLOOKUP($A28,Sources!$B$4:$M$104,5,FALSE)*E28</f>
        <v>17844.856143614063</v>
      </c>
      <c r="J28" s="390"/>
      <c r="K28" s="404">
        <f>VLOOKUP($A28,Sources!$B$4:$M$104,7,FALSE)*C28</f>
        <v>0.27154235832851042</v>
      </c>
      <c r="L28" s="404">
        <f>VLOOKUP($A28,Sources!$B$4:$M$104,7,FALSE)*D28</f>
        <v>1.3054921073486077</v>
      </c>
      <c r="M28" s="404">
        <f>VLOOKUP($A28,Sources!$B$4:$M$104,7,FALSE)*E28</f>
        <v>1.3054921073486077</v>
      </c>
      <c r="N28" s="390"/>
      <c r="O28" s="384"/>
      <c r="P28" s="384"/>
      <c r="Q28" s="384"/>
      <c r="R28" s="390"/>
      <c r="S28" s="404"/>
      <c r="T28" s="404"/>
      <c r="U28" s="404"/>
      <c r="V28" s="390"/>
      <c r="W28" s="175">
        <f t="shared" si="20"/>
        <v>0</v>
      </c>
      <c r="X28" s="175">
        <f t="shared" si="21"/>
        <v>0</v>
      </c>
      <c r="Y28" s="175">
        <f t="shared" si="22"/>
        <v>0</v>
      </c>
      <c r="Z28" s="390"/>
      <c r="AA28" s="173"/>
      <c r="AB28" s="173"/>
      <c r="AC28" s="173"/>
      <c r="AD28" s="390"/>
      <c r="AH28" s="173"/>
      <c r="AI28" s="390"/>
      <c r="AN28" s="451" t="str">
        <f>'2014-15 Status Rpt Bencost'!Q29</f>
        <v>n/a</v>
      </c>
      <c r="AO28" s="425" t="str">
        <f>'2015'!Q29</f>
        <v>n/a</v>
      </c>
      <c r="AP28" s="425" t="str">
        <f>'2016'!Q29</f>
        <v>n/a</v>
      </c>
    </row>
    <row r="29" spans="1:43">
      <c r="A29" s="172" t="s">
        <v>39</v>
      </c>
      <c r="B29" s="501">
        <v>0.85</v>
      </c>
      <c r="C29" s="169">
        <f t="shared" si="19"/>
        <v>22</v>
      </c>
      <c r="D29" s="169">
        <f t="shared" si="19"/>
        <v>106</v>
      </c>
      <c r="E29" s="169">
        <f t="shared" si="19"/>
        <v>106</v>
      </c>
      <c r="F29" s="390"/>
      <c r="G29" s="171">
        <f>VLOOKUP($A29,Sources!$B$4:$M$104,5,FALSE)*C29</f>
        <v>2981.4286551421037</v>
      </c>
      <c r="H29" s="171">
        <f>VLOOKUP($A29,Sources!$B$4:$M$104,5,FALSE)*D29</f>
        <v>14365.065338411954</v>
      </c>
      <c r="I29" s="171">
        <f>VLOOKUP($A29,Sources!$B$4:$M$104,5,FALSE)*E29</f>
        <v>14365.065338411954</v>
      </c>
      <c r="J29" s="390"/>
      <c r="K29" s="404">
        <f>VLOOKUP($A29,Sources!$B$4:$M$104,7,FALSE)*C29</f>
        <v>0.340345736888368</v>
      </c>
      <c r="L29" s="404">
        <f>VLOOKUP($A29,Sources!$B$4:$M$104,7,FALSE)*D29</f>
        <v>1.6398476413712275</v>
      </c>
      <c r="M29" s="404">
        <f>VLOOKUP($A29,Sources!$B$4:$M$104,7,FALSE)*E29</f>
        <v>1.6398476413712275</v>
      </c>
      <c r="N29" s="390"/>
      <c r="O29" s="358"/>
      <c r="P29" s="358"/>
      <c r="Q29" s="358"/>
      <c r="R29" s="390"/>
      <c r="S29" s="407"/>
      <c r="T29" s="407"/>
      <c r="U29" s="407"/>
      <c r="V29" s="390"/>
      <c r="W29" s="175">
        <f t="shared" si="20"/>
        <v>0</v>
      </c>
      <c r="X29" s="175">
        <f t="shared" si="21"/>
        <v>0</v>
      </c>
      <c r="Y29" s="175">
        <f t="shared" si="22"/>
        <v>0</v>
      </c>
      <c r="Z29" s="390"/>
      <c r="AA29" s="173"/>
      <c r="AB29" s="173"/>
      <c r="AC29" s="173"/>
      <c r="AD29" s="390"/>
      <c r="AH29" s="173"/>
      <c r="AI29" s="390"/>
      <c r="AN29" s="451" t="str">
        <f>'2014-15 Status Rpt Bencost'!Q30</f>
        <v>n/a</v>
      </c>
      <c r="AO29" s="425" t="str">
        <f>'2015'!Q30</f>
        <v>n/a</v>
      </c>
      <c r="AP29" s="425" t="str">
        <f>'2016'!Q30</f>
        <v>n/a</v>
      </c>
    </row>
    <row r="30" spans="1:43">
      <c r="A30" s="172" t="s">
        <v>34</v>
      </c>
      <c r="B30" s="501">
        <v>0.85</v>
      </c>
      <c r="C30" s="169">
        <f t="shared" si="19"/>
        <v>22</v>
      </c>
      <c r="D30" s="169">
        <f t="shared" si="19"/>
        <v>106</v>
      </c>
      <c r="E30" s="169">
        <f t="shared" si="19"/>
        <v>106</v>
      </c>
      <c r="F30" s="390"/>
      <c r="G30" s="171">
        <f>VLOOKUP($A30,Sources!$B$4:$M$104,5,FALSE)*C30</f>
        <v>1900.8000000000002</v>
      </c>
      <c r="H30" s="171">
        <f>VLOOKUP($A30,Sources!$B$4:$M$104,5,FALSE)*D30</f>
        <v>9158.4000000000015</v>
      </c>
      <c r="I30" s="171">
        <f>VLOOKUP($A30,Sources!$B$4:$M$104,5,FALSE)*E30</f>
        <v>9158.4000000000015</v>
      </c>
      <c r="J30" s="390"/>
      <c r="K30" s="404">
        <f>VLOOKUP($A30,Sources!$B$4:$M$104,7,FALSE)*C30</f>
        <v>0.21683778234086243</v>
      </c>
      <c r="L30" s="404">
        <f>VLOOKUP($A30,Sources!$B$4:$M$104,7,FALSE)*D30</f>
        <v>1.0447638603696099</v>
      </c>
      <c r="M30" s="404">
        <f>VLOOKUP($A30,Sources!$B$4:$M$104,7,FALSE)*E30</f>
        <v>1.0447638603696099</v>
      </c>
      <c r="N30" s="390"/>
      <c r="O30" s="358"/>
      <c r="P30" s="358"/>
      <c r="Q30" s="358"/>
      <c r="R30" s="390"/>
      <c r="S30" s="407"/>
      <c r="T30" s="407"/>
      <c r="U30" s="407"/>
      <c r="V30" s="390"/>
      <c r="W30" s="175">
        <f t="shared" si="20"/>
        <v>0</v>
      </c>
      <c r="X30" s="175">
        <f t="shared" si="21"/>
        <v>0</v>
      </c>
      <c r="Y30" s="175">
        <f t="shared" si="22"/>
        <v>0</v>
      </c>
      <c r="Z30" s="390"/>
      <c r="AA30" s="173"/>
      <c r="AB30" s="173"/>
      <c r="AC30" s="173"/>
      <c r="AD30" s="390"/>
      <c r="AH30" s="173"/>
      <c r="AI30" s="390"/>
      <c r="AN30" s="451" t="str">
        <f>'2014-15 Status Rpt Bencost'!Q31</f>
        <v>n/a</v>
      </c>
      <c r="AO30" s="425" t="str">
        <f>'2015'!Q31</f>
        <v>n/a</v>
      </c>
      <c r="AP30" s="425" t="str">
        <f>'2016'!Q31</f>
        <v>n/a</v>
      </c>
    </row>
    <row r="31" spans="1:43">
      <c r="A31" s="172" t="s">
        <v>38</v>
      </c>
      <c r="B31" s="501">
        <v>1</v>
      </c>
      <c r="C31" s="169">
        <f t="shared" si="19"/>
        <v>26</v>
      </c>
      <c r="D31" s="169">
        <f t="shared" si="19"/>
        <v>125</v>
      </c>
      <c r="E31" s="169">
        <f t="shared" si="19"/>
        <v>125</v>
      </c>
      <c r="F31" s="390"/>
      <c r="G31" s="171">
        <f>VLOOKUP($A31,Sources!$B$4:$M$104,5,FALSE)*C31</f>
        <v>2054</v>
      </c>
      <c r="H31" s="171">
        <f>VLOOKUP($A31,Sources!$B$4:$M$104,5,FALSE)*D31</f>
        <v>9875</v>
      </c>
      <c r="I31" s="171">
        <f>VLOOKUP($A31,Sources!$B$4:$M$104,5,FALSE)*E31</f>
        <v>9875</v>
      </c>
      <c r="J31" s="390"/>
      <c r="K31" s="404">
        <f>VLOOKUP($A31,Sources!$B$4:$M$104,7,FALSE)*C31</f>
        <v>0.23399999999999999</v>
      </c>
      <c r="L31" s="404">
        <f>VLOOKUP($A31,Sources!$B$4:$M$104,7,FALSE)*D31</f>
        <v>1.125</v>
      </c>
      <c r="M31" s="404">
        <f>VLOOKUP($A31,Sources!$B$4:$M$104,7,FALSE)*E31</f>
        <v>1.125</v>
      </c>
      <c r="N31" s="390"/>
      <c r="O31" s="358"/>
      <c r="P31" s="358"/>
      <c r="Q31" s="358"/>
      <c r="R31" s="390"/>
      <c r="S31" s="407"/>
      <c r="T31" s="407"/>
      <c r="U31" s="407"/>
      <c r="V31" s="390"/>
      <c r="W31" s="175">
        <f t="shared" si="20"/>
        <v>0</v>
      </c>
      <c r="X31" s="175">
        <f t="shared" si="21"/>
        <v>0</v>
      </c>
      <c r="Y31" s="175">
        <f t="shared" si="22"/>
        <v>0</v>
      </c>
      <c r="Z31" s="390"/>
      <c r="AA31" s="173"/>
      <c r="AB31" s="173"/>
      <c r="AC31" s="173"/>
      <c r="AD31" s="390"/>
      <c r="AH31" s="173"/>
      <c r="AI31" s="390"/>
      <c r="AN31" s="451" t="str">
        <f>'2014-15 Status Rpt Bencost'!Q32</f>
        <v>n/a</v>
      </c>
      <c r="AO31" s="425" t="str">
        <f>'2015'!Q32</f>
        <v>n/a</v>
      </c>
      <c r="AP31" s="425" t="str">
        <f>'2016'!Q32</f>
        <v>n/a</v>
      </c>
    </row>
    <row r="32" spans="1:43" s="357" customFormat="1" ht="12">
      <c r="A32" s="379" t="s">
        <v>516</v>
      </c>
      <c r="B32" s="168"/>
      <c r="C32" s="367">
        <v>208</v>
      </c>
      <c r="D32" s="367">
        <v>400</v>
      </c>
      <c r="E32" s="367">
        <v>400</v>
      </c>
      <c r="F32" s="390">
        <f>G32/C32</f>
        <v>94.46673795566079</v>
      </c>
      <c r="G32" s="367">
        <f>C32*Sources!$D$120</f>
        <v>19649.081494777445</v>
      </c>
      <c r="H32" s="367">
        <f>D32*Sources!$D$120</f>
        <v>37786.695182264317</v>
      </c>
      <c r="I32" s="367">
        <f>E32*Sources!$D$120</f>
        <v>37786.695182264317</v>
      </c>
      <c r="J32" s="390"/>
      <c r="K32" s="683">
        <f>C32*Sources!$E$120</f>
        <v>2.2430458327371512</v>
      </c>
      <c r="L32" s="683">
        <f>D32*Sources!$E$120</f>
        <v>4.3135496783406753</v>
      </c>
      <c r="M32" s="683">
        <f>E32*Sources!$E$120</f>
        <v>4.3135496783406753</v>
      </c>
      <c r="N32" s="390"/>
      <c r="O32" s="368"/>
      <c r="P32" s="368"/>
      <c r="Q32" s="368"/>
      <c r="R32" s="390"/>
      <c r="S32" s="403"/>
      <c r="T32" s="403"/>
      <c r="U32" s="403"/>
      <c r="V32" s="390"/>
      <c r="W32" s="376">
        <f t="shared" si="20"/>
        <v>0</v>
      </c>
      <c r="X32" s="376">
        <f t="shared" si="21"/>
        <v>0</v>
      </c>
      <c r="Y32" s="376">
        <f t="shared" si="22"/>
        <v>0</v>
      </c>
      <c r="Z32" s="390"/>
      <c r="AA32" s="371">
        <v>10335</v>
      </c>
      <c r="AB32" s="371">
        <f t="shared" ref="AB32:AC32" si="23">($AE32+$AE32*($AF32+$AG32))*(1+$AH32)</f>
        <v>13860</v>
      </c>
      <c r="AC32" s="371">
        <f t="shared" si="23"/>
        <v>13860</v>
      </c>
      <c r="AD32" s="390"/>
      <c r="AE32" s="377">
        <v>12000</v>
      </c>
      <c r="AF32" s="372">
        <v>0.05</v>
      </c>
      <c r="AG32" s="372">
        <v>0.05</v>
      </c>
      <c r="AH32" s="378">
        <v>0.05</v>
      </c>
      <c r="AI32" s="390"/>
      <c r="AJ32" s="371">
        <f t="shared" ref="AJ32" si="24">W32+AA32</f>
        <v>10335</v>
      </c>
      <c r="AK32" s="371">
        <f t="shared" ref="AK32" si="25">X32+AB32</f>
        <v>13860</v>
      </c>
      <c r="AL32" s="371">
        <f t="shared" ref="AL32" si="26">Y32+AC32</f>
        <v>13860</v>
      </c>
      <c r="AN32" s="380">
        <f>'2014-15 Status Rpt Bencost'!Q33</f>
        <v>0.23281817036908295</v>
      </c>
      <c r="AO32" s="380">
        <f>'2015'!Q33</f>
        <v>0.52565737095206189</v>
      </c>
      <c r="AP32" s="380">
        <f>'2016'!Q33</f>
        <v>0.53354223151634272</v>
      </c>
    </row>
    <row r="33" spans="1:43" s="357" customFormat="1" ht="12">
      <c r="A33" s="379" t="s">
        <v>457</v>
      </c>
      <c r="B33" s="168"/>
      <c r="C33" s="367">
        <v>325</v>
      </c>
      <c r="D33" s="367">
        <v>300</v>
      </c>
      <c r="E33" s="367">
        <v>300</v>
      </c>
      <c r="F33" s="390"/>
      <c r="G33" s="367">
        <f>C33*Sources!$F$47</f>
        <v>108428.60943988523</v>
      </c>
      <c r="H33" s="367">
        <f>D33*Sources!$F$47</f>
        <v>100087.94717527866</v>
      </c>
      <c r="I33" s="367">
        <f>E33*Sources!$F$47</f>
        <v>100087.94717527866</v>
      </c>
      <c r="J33" s="390"/>
      <c r="K33" s="683">
        <f>C33*Sources!$H$47</f>
        <v>9.491835182216791</v>
      </c>
      <c r="L33" s="367">
        <f>D33*Sources!$H$47</f>
        <v>8.7616940143539619</v>
      </c>
      <c r="M33" s="367">
        <f>E33*Sources!$H$47</f>
        <v>8.7616940143539619</v>
      </c>
      <c r="N33" s="390"/>
      <c r="O33" s="368"/>
      <c r="P33" s="368"/>
      <c r="Q33" s="368"/>
      <c r="R33" s="390"/>
      <c r="S33" s="403"/>
      <c r="T33" s="403"/>
      <c r="U33" s="403"/>
      <c r="V33" s="390"/>
      <c r="W33" s="376">
        <f t="shared" si="20"/>
        <v>0</v>
      </c>
      <c r="X33" s="376">
        <f t="shared" si="21"/>
        <v>0</v>
      </c>
      <c r="Y33" s="376">
        <f t="shared" si="22"/>
        <v>0</v>
      </c>
      <c r="Z33" s="390"/>
      <c r="AA33" s="371">
        <v>15589</v>
      </c>
      <c r="AB33" s="371">
        <f>(D33*$AE33+D33*$AE33*($AF33+$AG33))*(1+$AH33)</f>
        <v>18191.25</v>
      </c>
      <c r="AC33" s="371">
        <f>(E33*$AE33+E33*$AE33*($AF33+$AG33))*(1+$AH33)</f>
        <v>18191.25</v>
      </c>
      <c r="AD33" s="390"/>
      <c r="AE33" s="377">
        <v>55</v>
      </c>
      <c r="AF33" s="372">
        <v>0.05</v>
      </c>
      <c r="AG33" s="373">
        <v>0</v>
      </c>
      <c r="AH33" s="378">
        <v>0.05</v>
      </c>
      <c r="AI33" s="390"/>
      <c r="AJ33" s="371">
        <f t="shared" ref="AJ33:AL34" si="27">W33+AA33</f>
        <v>15589</v>
      </c>
      <c r="AK33" s="371">
        <f t="shared" si="27"/>
        <v>18191.25</v>
      </c>
      <c r="AL33" s="371">
        <f t="shared" si="27"/>
        <v>18191.25</v>
      </c>
      <c r="AN33" s="380">
        <f>'2014-15 Status Rpt Bencost'!Q34</f>
        <v>0.43378661478244912</v>
      </c>
      <c r="AO33" s="380">
        <f>'2015'!Q34</f>
        <v>1.0506490672464894</v>
      </c>
      <c r="AP33" s="380">
        <f>'2016'!Q34</f>
        <v>1.0664088032551868</v>
      </c>
    </row>
    <row r="34" spans="1:43" ht="12">
      <c r="A34" s="381" t="s">
        <v>257</v>
      </c>
      <c r="B34" s="168"/>
      <c r="C34" s="367">
        <v>19</v>
      </c>
      <c r="D34" s="367">
        <v>30</v>
      </c>
      <c r="E34" s="367">
        <v>35</v>
      </c>
      <c r="F34" s="390"/>
      <c r="G34" s="367">
        <f>SUM(G35:G39)</f>
        <v>15643.405357716238</v>
      </c>
      <c r="H34" s="367">
        <f>SUM(H35:H39)</f>
        <v>33727.698252449089</v>
      </c>
      <c r="I34" s="367">
        <f>SUM(I35:I39)</f>
        <v>39348.981294523925</v>
      </c>
      <c r="J34" s="390"/>
      <c r="K34" s="683">
        <f t="shared" ref="K34:M34" si="28">SUM(K35:K39)</f>
        <v>2.807887898712329</v>
      </c>
      <c r="L34" s="367">
        <f t="shared" si="28"/>
        <v>5.4633029165330091</v>
      </c>
      <c r="M34" s="367">
        <f t="shared" si="28"/>
        <v>6.3738534026218456</v>
      </c>
      <c r="N34" s="390"/>
      <c r="O34" s="368"/>
      <c r="P34" s="368"/>
      <c r="Q34" s="368"/>
      <c r="R34" s="390"/>
      <c r="S34" s="403"/>
      <c r="T34" s="403"/>
      <c r="U34" s="403"/>
      <c r="V34" s="390"/>
      <c r="W34" s="376">
        <f>SUM(W35:W39)</f>
        <v>0</v>
      </c>
      <c r="X34" s="376">
        <f>SUM(X35:X39)</f>
        <v>0</v>
      </c>
      <c r="Y34" s="376">
        <f>SUM(Y35:Y39)</f>
        <v>0</v>
      </c>
      <c r="Z34" s="390"/>
      <c r="AA34" s="371">
        <v>4079</v>
      </c>
      <c r="AB34" s="371">
        <f>($AE34*D34+$AE34*D34*($AF34+$AG34))*(1+$AH$34)</f>
        <v>25396.875</v>
      </c>
      <c r="AC34" s="371">
        <f>($AE34*E34+$AE34*E34*($AF34+$AG34))*(1+$AH$34)</f>
        <v>29629.6875</v>
      </c>
      <c r="AD34" s="390"/>
      <c r="AE34" s="377">
        <v>750</v>
      </c>
      <c r="AF34" s="372">
        <v>7.4999999999999997E-2</v>
      </c>
      <c r="AG34" s="372">
        <v>0</v>
      </c>
      <c r="AH34" s="378">
        <v>0.05</v>
      </c>
      <c r="AI34" s="390"/>
      <c r="AJ34" s="371">
        <f t="shared" si="27"/>
        <v>4079</v>
      </c>
      <c r="AK34" s="371">
        <f t="shared" si="27"/>
        <v>25396.875</v>
      </c>
      <c r="AL34" s="371">
        <f t="shared" si="27"/>
        <v>29629.6875</v>
      </c>
      <c r="AM34" s="357"/>
      <c r="AN34" s="380">
        <f>'2014-15 Status Rpt Bencost'!Q35</f>
        <v>0.71649433458401501</v>
      </c>
      <c r="AO34" s="380">
        <f>'2015'!Q35</f>
        <v>0.48417705271792449</v>
      </c>
      <c r="AP34" s="380">
        <f>'2016'!Q35</f>
        <v>0.49143970850869323</v>
      </c>
    </row>
    <row r="35" spans="1:43" s="360" customFormat="1">
      <c r="A35" s="183" t="s">
        <v>15</v>
      </c>
      <c r="B35" s="386">
        <v>1</v>
      </c>
      <c r="C35" s="169">
        <f t="shared" ref="C35:E39" si="29">C$34*$B35</f>
        <v>19</v>
      </c>
      <c r="D35" s="169">
        <f t="shared" si="29"/>
        <v>30</v>
      </c>
      <c r="E35" s="169">
        <f t="shared" si="29"/>
        <v>35</v>
      </c>
      <c r="F35" s="390"/>
      <c r="G35" s="171">
        <f>AVERAGE(Sources!$F$17:$F$18)*C35</f>
        <v>13313.694745716237</v>
      </c>
      <c r="H35" s="171">
        <f>AVERAGE(Sources!$F$17:$F$18)*D35</f>
        <v>21021.62328270985</v>
      </c>
      <c r="I35" s="171">
        <f>AVERAGE(Sources!$F$17:$F$18)*E35</f>
        <v>24525.227163161489</v>
      </c>
      <c r="J35" s="390"/>
      <c r="K35" s="404">
        <f>AVERAGE(Sources!$H$15:$H$16)*C35</f>
        <v>2.5962328767123291</v>
      </c>
      <c r="L35" s="404">
        <f>AVERAGE(Sources!$H$15:$H$16)*D35</f>
        <v>4.0993150684931505</v>
      </c>
      <c r="M35" s="404">
        <f>AVERAGE(Sources!$H$15:$H$16)*E35</f>
        <v>4.7825342465753424</v>
      </c>
      <c r="N35" s="390"/>
      <c r="O35" s="358"/>
      <c r="P35" s="358"/>
      <c r="Q35" s="358"/>
      <c r="R35" s="390"/>
      <c r="S35" s="407"/>
      <c r="T35" s="407"/>
      <c r="U35" s="407"/>
      <c r="V35" s="390"/>
      <c r="W35" s="175">
        <f t="shared" ref="W35:Y42" si="30">C35*S35</f>
        <v>0</v>
      </c>
      <c r="X35" s="175">
        <f t="shared" si="30"/>
        <v>0</v>
      </c>
      <c r="Y35" s="175">
        <f t="shared" si="30"/>
        <v>0</v>
      </c>
      <c r="Z35" s="390"/>
      <c r="AA35" s="361"/>
      <c r="AB35" s="361"/>
      <c r="AC35" s="361"/>
      <c r="AD35" s="361"/>
      <c r="AE35" s="17"/>
      <c r="AF35" s="17"/>
      <c r="AG35" s="17"/>
      <c r="AH35" s="17"/>
      <c r="AI35" s="390"/>
      <c r="AJ35" s="17"/>
      <c r="AK35" s="17"/>
      <c r="AL35" s="17"/>
      <c r="AM35" s="173"/>
      <c r="AN35" s="451" t="str">
        <f>'2014-15 Status Rpt Bencost'!Q36</f>
        <v>n/a</v>
      </c>
      <c r="AO35" s="425" t="str">
        <f>'2015'!Q36</f>
        <v>n/a</v>
      </c>
      <c r="AP35" s="425" t="str">
        <f>'2016'!Q36</f>
        <v>n/a</v>
      </c>
      <c r="AQ35" s="173"/>
    </row>
    <row r="36" spans="1:43">
      <c r="A36" s="172" t="s">
        <v>10</v>
      </c>
      <c r="B36" s="386">
        <v>4</v>
      </c>
      <c r="C36" s="169">
        <f t="shared" si="29"/>
        <v>76</v>
      </c>
      <c r="D36" s="169">
        <f t="shared" si="29"/>
        <v>120</v>
      </c>
      <c r="E36" s="169">
        <f t="shared" si="29"/>
        <v>140</v>
      </c>
      <c r="F36" s="390"/>
      <c r="G36" s="171">
        <f>VLOOKUP($A36,Sources!$B$4:$M$104,5,FALSE)*C36</f>
        <v>2329.7106119999999</v>
      </c>
      <c r="H36" s="171">
        <f>VLOOKUP($A36,Sources!$B$4:$M$104,5,FALSE)*D36</f>
        <v>3678.49044</v>
      </c>
      <c r="I36" s="171">
        <f>VLOOKUP($A36,Sources!$B$4:$M$104,5,FALSE)*E36</f>
        <v>4291.5721800000001</v>
      </c>
      <c r="J36" s="390"/>
      <c r="K36" s="404">
        <f>VLOOKUP($A36,Sources!$B$4:$M$104,7,FALSE)*C36</f>
        <v>0.211655022</v>
      </c>
      <c r="L36" s="404">
        <f>VLOOKUP($A36,Sources!$B$4:$M$104,7,FALSE)*D36</f>
        <v>0.33419213999999997</v>
      </c>
      <c r="M36" s="404">
        <f>VLOOKUP($A36,Sources!$B$4:$M$104,7,FALSE)*E36</f>
        <v>0.38989082999999997</v>
      </c>
      <c r="N36" s="390"/>
      <c r="O36" s="384"/>
      <c r="P36" s="384"/>
      <c r="Q36" s="384"/>
      <c r="R36" s="390"/>
      <c r="S36" s="404"/>
      <c r="T36" s="404"/>
      <c r="U36" s="404"/>
      <c r="V36" s="390"/>
      <c r="W36" s="175">
        <f t="shared" si="30"/>
        <v>0</v>
      </c>
      <c r="X36" s="175">
        <f t="shared" si="30"/>
        <v>0</v>
      </c>
      <c r="Y36" s="175">
        <f t="shared" si="30"/>
        <v>0</v>
      </c>
      <c r="Z36" s="390"/>
      <c r="AA36" s="361"/>
      <c r="AB36" s="361"/>
      <c r="AC36" s="361"/>
      <c r="AD36" s="361"/>
      <c r="AH36" s="173"/>
      <c r="AI36" s="390"/>
      <c r="AJ36" s="386"/>
      <c r="AN36" s="451" t="str">
        <f>'2014-15 Status Rpt Bencost'!Q37</f>
        <v>n/a</v>
      </c>
      <c r="AO36" s="425" t="str">
        <f>'2015'!Q37</f>
        <v>n/a</v>
      </c>
      <c r="AP36" s="425" t="str">
        <f>'2016'!Q37</f>
        <v>n/a</v>
      </c>
    </row>
    <row r="37" spans="1:43">
      <c r="A37" s="172" t="s">
        <v>38</v>
      </c>
      <c r="B37" s="386">
        <v>1</v>
      </c>
      <c r="C37" s="169">
        <v>0</v>
      </c>
      <c r="D37" s="169">
        <f t="shared" si="29"/>
        <v>30</v>
      </c>
      <c r="E37" s="169">
        <f t="shared" si="29"/>
        <v>35</v>
      </c>
      <c r="F37" s="390"/>
      <c r="G37" s="171">
        <f>VLOOKUP($A37,Sources!$B$4:$M$104,5,FALSE)*C37</f>
        <v>0</v>
      </c>
      <c r="H37" s="171">
        <f>VLOOKUP($A37,Sources!$B$4:$M$104,5,FALSE)*D37</f>
        <v>2370</v>
      </c>
      <c r="I37" s="171">
        <f>VLOOKUP($A37,Sources!$B$4:$M$104,5,FALSE)*E37</f>
        <v>2765</v>
      </c>
      <c r="J37" s="390"/>
      <c r="K37" s="404">
        <f>VLOOKUP($A37,Sources!$B$4:$M$104,7,FALSE)*C37</f>
        <v>0</v>
      </c>
      <c r="L37" s="404">
        <f>VLOOKUP($A37,Sources!$B$4:$M$104,7,FALSE)*D37</f>
        <v>0.26999999999999996</v>
      </c>
      <c r="M37" s="404">
        <f>VLOOKUP($A37,Sources!$B$4:$M$104,7,FALSE)*E37</f>
        <v>0.315</v>
      </c>
      <c r="N37" s="390"/>
      <c r="O37" s="384"/>
      <c r="P37" s="384"/>
      <c r="Q37" s="384"/>
      <c r="R37" s="390"/>
      <c r="S37" s="404"/>
      <c r="T37" s="404"/>
      <c r="U37" s="404"/>
      <c r="V37" s="390"/>
      <c r="W37" s="175">
        <f t="shared" si="30"/>
        <v>0</v>
      </c>
      <c r="X37" s="175">
        <f t="shared" si="30"/>
        <v>0</v>
      </c>
      <c r="Y37" s="175">
        <f t="shared" si="30"/>
        <v>0</v>
      </c>
      <c r="Z37" s="390"/>
      <c r="AA37" s="173"/>
      <c r="AB37" s="173"/>
      <c r="AC37" s="173"/>
      <c r="AD37" s="390"/>
      <c r="AH37" s="173"/>
      <c r="AI37" s="390"/>
      <c r="AN37" s="451" t="str">
        <f>'2014-15 Status Rpt Bencost'!Q38</f>
        <v>n/a</v>
      </c>
      <c r="AO37" s="425" t="str">
        <f>'2015'!Q38</f>
        <v>n/a</v>
      </c>
      <c r="AP37" s="425" t="str">
        <f>'2016'!Q38</f>
        <v>n/a</v>
      </c>
    </row>
    <row r="38" spans="1:43">
      <c r="A38" s="172" t="s">
        <v>39</v>
      </c>
      <c r="B38" s="386">
        <v>1</v>
      </c>
      <c r="C38" s="169">
        <v>0</v>
      </c>
      <c r="D38" s="169">
        <f t="shared" si="29"/>
        <v>30</v>
      </c>
      <c r="E38" s="169">
        <f t="shared" si="29"/>
        <v>35</v>
      </c>
      <c r="F38" s="390"/>
      <c r="G38" s="171">
        <f>VLOOKUP($A38,Sources!$B$4:$M$104,5,FALSE)*C38</f>
        <v>0</v>
      </c>
      <c r="H38" s="171">
        <f>VLOOKUP($A38,Sources!$B$4:$M$104,5,FALSE)*D38</f>
        <v>4065.584529739232</v>
      </c>
      <c r="I38" s="171">
        <f>VLOOKUP($A38,Sources!$B$4:$M$104,5,FALSE)*E38</f>
        <v>4743.1819513624378</v>
      </c>
      <c r="J38" s="390"/>
      <c r="K38" s="404">
        <f>VLOOKUP($A38,Sources!$B$4:$M$104,7,FALSE)*C38</f>
        <v>0</v>
      </c>
      <c r="L38" s="404">
        <f>VLOOKUP($A38,Sources!$B$4:$M$104,7,FALSE)*D38</f>
        <v>0.46410782302959269</v>
      </c>
      <c r="M38" s="404">
        <f>VLOOKUP($A38,Sources!$B$4:$M$104,7,FALSE)*E38</f>
        <v>0.54145912686785813</v>
      </c>
      <c r="N38" s="390"/>
      <c r="O38" s="384"/>
      <c r="P38" s="384"/>
      <c r="Q38" s="384"/>
      <c r="R38" s="390"/>
      <c r="S38" s="404"/>
      <c r="T38" s="404"/>
      <c r="U38" s="404"/>
      <c r="V38" s="390"/>
      <c r="W38" s="175">
        <f t="shared" si="30"/>
        <v>0</v>
      </c>
      <c r="X38" s="175">
        <f t="shared" si="30"/>
        <v>0</v>
      </c>
      <c r="Y38" s="175">
        <f t="shared" si="30"/>
        <v>0</v>
      </c>
      <c r="Z38" s="390"/>
      <c r="AA38" s="173"/>
      <c r="AB38" s="173"/>
      <c r="AC38" s="173"/>
      <c r="AD38" s="390"/>
      <c r="AH38" s="173"/>
      <c r="AI38" s="390"/>
      <c r="AN38" s="451" t="str">
        <f>'2014-15 Status Rpt Bencost'!Q39</f>
        <v>n/a</v>
      </c>
      <c r="AO38" s="425" t="str">
        <f>'2015'!Q39</f>
        <v>n/a</v>
      </c>
      <c r="AP38" s="425" t="str">
        <f>'2016'!Q39</f>
        <v>n/a</v>
      </c>
    </row>
    <row r="39" spans="1:43">
      <c r="A39" s="172" t="s">
        <v>34</v>
      </c>
      <c r="B39" s="386">
        <v>1</v>
      </c>
      <c r="C39" s="169">
        <v>0</v>
      </c>
      <c r="D39" s="169">
        <f t="shared" si="29"/>
        <v>30</v>
      </c>
      <c r="E39" s="169">
        <f t="shared" si="29"/>
        <v>35</v>
      </c>
      <c r="F39" s="390"/>
      <c r="G39" s="171">
        <f>VLOOKUP($A39,Sources!$B$4:$M$104,5,FALSE)*C39</f>
        <v>0</v>
      </c>
      <c r="H39" s="171">
        <f>VLOOKUP($A39,Sources!$B$4:$M$104,5,FALSE)*D39</f>
        <v>2592</v>
      </c>
      <c r="I39" s="171">
        <f>VLOOKUP($A39,Sources!$B$4:$M$104,5,FALSE)*E39</f>
        <v>3024</v>
      </c>
      <c r="J39" s="390"/>
      <c r="K39" s="404">
        <f>VLOOKUP($A39,Sources!$B$4:$M$104,7,FALSE)*C39</f>
        <v>0</v>
      </c>
      <c r="L39" s="404">
        <f>VLOOKUP($A39,Sources!$B$4:$M$104,7,FALSE)*D39</f>
        <v>0.29568788501026694</v>
      </c>
      <c r="M39" s="404">
        <f>VLOOKUP($A39,Sources!$B$4:$M$104,7,FALSE)*E39</f>
        <v>0.34496919917864477</v>
      </c>
      <c r="N39" s="390"/>
      <c r="O39" s="384"/>
      <c r="P39" s="384"/>
      <c r="Q39" s="384"/>
      <c r="R39" s="390"/>
      <c r="S39" s="404"/>
      <c r="T39" s="404"/>
      <c r="U39" s="404"/>
      <c r="V39" s="390"/>
      <c r="W39" s="175">
        <f t="shared" si="30"/>
        <v>0</v>
      </c>
      <c r="X39" s="175">
        <f t="shared" si="30"/>
        <v>0</v>
      </c>
      <c r="Y39" s="175">
        <f t="shared" si="30"/>
        <v>0</v>
      </c>
      <c r="Z39" s="390"/>
      <c r="AA39" s="173"/>
      <c r="AB39" s="173"/>
      <c r="AC39" s="173"/>
      <c r="AD39" s="390"/>
      <c r="AH39" s="173"/>
      <c r="AI39" s="390"/>
      <c r="AN39" s="451" t="str">
        <f>'2014-15 Status Rpt Bencost'!Q40</f>
        <v>n/a</v>
      </c>
      <c r="AO39" s="425" t="str">
        <f>'2015'!Q40</f>
        <v>n/a</v>
      </c>
      <c r="AP39" s="425" t="str">
        <f>'2016'!Q40</f>
        <v>n/a</v>
      </c>
    </row>
    <row r="40" spans="1:43" ht="12">
      <c r="A40" s="375" t="s">
        <v>540</v>
      </c>
      <c r="C40" s="641">
        <f>C41+C42+C43</f>
        <v>82</v>
      </c>
      <c r="D40" s="641">
        <f t="shared" ref="D40:E40" si="31">D41+D42+D43</f>
        <v>298</v>
      </c>
      <c r="E40" s="641">
        <f t="shared" si="31"/>
        <v>364</v>
      </c>
      <c r="F40" s="390"/>
      <c r="G40" s="641">
        <f t="shared" ref="G40:I40" si="32">G41+G42+G43</f>
        <v>2752880.4621184566</v>
      </c>
      <c r="H40" s="641">
        <f t="shared" si="32"/>
        <v>2494983.0076929699</v>
      </c>
      <c r="I40" s="641">
        <f t="shared" si="32"/>
        <v>3038615.5473692636</v>
      </c>
      <c r="J40" s="390"/>
      <c r="K40" s="641">
        <f t="shared" ref="K40:M40" si="33">K41+K42+K43</f>
        <v>648.45733812197795</v>
      </c>
      <c r="L40" s="641">
        <f t="shared" si="33"/>
        <v>365.67208859478495</v>
      </c>
      <c r="M40" s="641">
        <f t="shared" si="33"/>
        <v>443.80042701157726</v>
      </c>
      <c r="N40" s="390"/>
      <c r="O40" s="642"/>
      <c r="P40" s="642"/>
      <c r="Q40" s="642"/>
      <c r="R40" s="390"/>
      <c r="S40" s="643"/>
      <c r="T40" s="643"/>
      <c r="U40" s="643"/>
      <c r="V40" s="390"/>
      <c r="W40" s="644">
        <f>W41+W42+W43</f>
        <v>305474</v>
      </c>
      <c r="X40" s="644">
        <f t="shared" ref="X40:Y40" si="34">X41+X42+X43</f>
        <v>156622</v>
      </c>
      <c r="Y40" s="644">
        <f t="shared" si="34"/>
        <v>190092</v>
      </c>
      <c r="Z40" s="390"/>
      <c r="AA40" s="644">
        <f>AA41+AA42+AA43</f>
        <v>0</v>
      </c>
      <c r="AB40" s="644">
        <f t="shared" ref="AB40" si="35">AB41+AB42+AB43</f>
        <v>323367.86000000004</v>
      </c>
      <c r="AC40" s="644">
        <f t="shared" ref="AC40" si="36">AC41+AC42+AC43</f>
        <v>389500.43999999994</v>
      </c>
      <c r="AD40" s="390"/>
      <c r="AE40" s="364"/>
      <c r="AF40" s="364"/>
      <c r="AG40" s="364"/>
      <c r="AH40" s="364"/>
      <c r="AI40" s="390"/>
      <c r="AJ40" s="644">
        <f>AJ41+AJ42+AJ43</f>
        <v>305474</v>
      </c>
      <c r="AK40" s="644">
        <f t="shared" ref="AK40" si="37">AK41+AK42+AK43</f>
        <v>479989.86000000004</v>
      </c>
      <c r="AL40" s="644">
        <f t="shared" ref="AL40" si="38">AL41+AL42+AL43</f>
        <v>579592.43999999994</v>
      </c>
      <c r="AN40" s="460">
        <f>'2014-15 Status Rpt Bencost'!Q41</f>
        <v>3.5890904274045412</v>
      </c>
      <c r="AO40" s="460">
        <f>'2015'!Q41</f>
        <v>1.5475386380178238</v>
      </c>
      <c r="AP40" s="460">
        <f>'2016'!Q41</f>
        <v>1.5772654049524453</v>
      </c>
    </row>
    <row r="41" spans="1:43" ht="12">
      <c r="A41" s="374" t="s">
        <v>394</v>
      </c>
      <c r="B41" s="173"/>
      <c r="C41" s="369">
        <v>0</v>
      </c>
      <c r="D41" s="369">
        <v>125</v>
      </c>
      <c r="E41" s="369">
        <v>150</v>
      </c>
      <c r="F41" s="390"/>
      <c r="G41" s="367">
        <f>Sources!$D113*C41</f>
        <v>0</v>
      </c>
      <c r="H41" s="367">
        <f>Sources!$D113*D41</f>
        <v>1116411.274375</v>
      </c>
      <c r="I41" s="367">
        <f>Sources!$D113*E41</f>
        <v>1339693.5292499999</v>
      </c>
      <c r="J41" s="390"/>
      <c r="K41" s="367">
        <f>C41*Sources!$E113</f>
        <v>0</v>
      </c>
      <c r="L41" s="367">
        <f>D41*Sources!$E113</f>
        <v>173.20875000000001</v>
      </c>
      <c r="M41" s="367">
        <f>E41*Sources!$E113</f>
        <v>207.85050000000004</v>
      </c>
      <c r="N41" s="390"/>
      <c r="O41" s="368">
        <f>Sources!$G113</f>
        <v>1420</v>
      </c>
      <c r="P41" s="368">
        <f>Sources!$G113</f>
        <v>1420</v>
      </c>
      <c r="Q41" s="368">
        <f>Sources!$G113</f>
        <v>1420</v>
      </c>
      <c r="R41" s="390"/>
      <c r="S41" s="408">
        <f>ROUND(O41*0.6,0)</f>
        <v>852</v>
      </c>
      <c r="T41" s="408">
        <f>ROUND(P41*0.6,0)</f>
        <v>852</v>
      </c>
      <c r="U41" s="408">
        <f>ROUND(Q41*0.6,0)</f>
        <v>852</v>
      </c>
      <c r="V41" s="390"/>
      <c r="W41" s="376">
        <f t="shared" si="30"/>
        <v>0</v>
      </c>
      <c r="X41" s="376">
        <f t="shared" si="30"/>
        <v>106500</v>
      </c>
      <c r="Y41" s="376">
        <f t="shared" si="30"/>
        <v>127800</v>
      </c>
      <c r="Z41" s="390"/>
      <c r="AA41" s="371">
        <f t="shared" ref="AA41:AC43" si="39">(W41*($AE41+$AF41+$AG41))*(1+$AH41)+W41*$AH41</f>
        <v>0</v>
      </c>
      <c r="AB41" s="371">
        <f t="shared" si="39"/>
        <v>292715.25</v>
      </c>
      <c r="AC41" s="371">
        <f t="shared" si="39"/>
        <v>351258.3</v>
      </c>
      <c r="AD41" s="390"/>
      <c r="AE41" s="373">
        <v>2.5</v>
      </c>
      <c r="AF41" s="372">
        <v>0.05</v>
      </c>
      <c r="AG41" s="372">
        <v>0.02</v>
      </c>
      <c r="AH41" s="373">
        <v>0.05</v>
      </c>
      <c r="AI41" s="390"/>
      <c r="AJ41" s="371">
        <f t="shared" ref="AJ41:AL43" si="40">W41+AA41</f>
        <v>0</v>
      </c>
      <c r="AK41" s="371">
        <f t="shared" si="40"/>
        <v>399215.25</v>
      </c>
      <c r="AL41" s="371">
        <f t="shared" si="40"/>
        <v>479058.3</v>
      </c>
      <c r="AN41" s="380" t="str">
        <f>'2014-15 Status Rpt Bencost'!Q42</f>
        <v>n/a</v>
      </c>
      <c r="AO41" s="380">
        <f>'2015'!Q42</f>
        <v>1.0233006375263263</v>
      </c>
      <c r="AP41" s="380">
        <f>'2016'!Q42</f>
        <v>1.0386501470892209</v>
      </c>
    </row>
    <row r="42" spans="1:43" ht="12">
      <c r="A42" s="374" t="s">
        <v>233</v>
      </c>
      <c r="B42" s="173"/>
      <c r="C42" s="369">
        <v>30</v>
      </c>
      <c r="D42" s="369">
        <v>25</v>
      </c>
      <c r="E42" s="369">
        <v>30</v>
      </c>
      <c r="F42" s="390"/>
      <c r="G42" s="367">
        <v>1337582</v>
      </c>
      <c r="H42" s="367">
        <f>Sources!$D107*D42</f>
        <v>753772.66304152797</v>
      </c>
      <c r="I42" s="367">
        <f>Sources!$D107*E42</f>
        <v>904527.19564983365</v>
      </c>
      <c r="J42" s="390"/>
      <c r="K42" s="367">
        <v>330.02</v>
      </c>
      <c r="L42" s="367">
        <f>D42*Sources!$E107</f>
        <v>112.92836474379691</v>
      </c>
      <c r="M42" s="367">
        <f>E42*Sources!$E107</f>
        <v>135.51403769255629</v>
      </c>
      <c r="N42" s="390"/>
      <c r="O42" s="368">
        <f>S42*0.5</f>
        <v>2593.3833333333332</v>
      </c>
      <c r="P42" s="368">
        <f>Sources!$G107</f>
        <v>3630</v>
      </c>
      <c r="Q42" s="368">
        <f>Sources!$G107</f>
        <v>3630</v>
      </c>
      <c r="R42" s="390"/>
      <c r="S42" s="408">
        <f>W42/C42</f>
        <v>5186.7666666666664</v>
      </c>
      <c r="T42" s="408">
        <f>ROUND(P42*0.2,0)</f>
        <v>726</v>
      </c>
      <c r="U42" s="408">
        <f>ROUND(Q42*0.2,0)</f>
        <v>726</v>
      </c>
      <c r="V42" s="390"/>
      <c r="W42" s="376">
        <v>155603</v>
      </c>
      <c r="X42" s="376">
        <f t="shared" si="30"/>
        <v>18150</v>
      </c>
      <c r="Y42" s="376">
        <f t="shared" si="30"/>
        <v>21780</v>
      </c>
      <c r="Z42" s="390"/>
      <c r="AA42" s="371">
        <v>0</v>
      </c>
      <c r="AB42" s="371">
        <f t="shared" si="39"/>
        <v>8911.6500000000015</v>
      </c>
      <c r="AC42" s="371">
        <f t="shared" si="39"/>
        <v>10693.980000000001</v>
      </c>
      <c r="AD42" s="390"/>
      <c r="AE42" s="373">
        <v>0.2</v>
      </c>
      <c r="AF42" s="372">
        <v>0.12</v>
      </c>
      <c r="AG42" s="372">
        <v>0.1</v>
      </c>
      <c r="AH42" s="373">
        <v>0.05</v>
      </c>
      <c r="AI42" s="390"/>
      <c r="AJ42" s="371">
        <f t="shared" si="40"/>
        <v>155603</v>
      </c>
      <c r="AK42" s="371">
        <f t="shared" si="40"/>
        <v>27061.65</v>
      </c>
      <c r="AL42" s="371">
        <f t="shared" si="40"/>
        <v>32473.980000000003</v>
      </c>
      <c r="AN42" s="380">
        <f>'2014-15 Status Rpt Bencost'!Q43</f>
        <v>4.9800201438047971</v>
      </c>
      <c r="AO42" s="380">
        <f>'2015'!Q43</f>
        <v>3.2536033306274854</v>
      </c>
      <c r="AP42" s="380">
        <f>'2016'!Q43</f>
        <v>3.302407380586899</v>
      </c>
    </row>
    <row r="43" spans="1:43" ht="12">
      <c r="A43" s="374" t="s">
        <v>35</v>
      </c>
      <c r="B43" s="173"/>
      <c r="C43" s="367">
        <f>C44+C85+C90+C93</f>
        <v>52</v>
      </c>
      <c r="D43" s="367">
        <f>D44+D85+D90+D93</f>
        <v>148</v>
      </c>
      <c r="E43" s="367">
        <f>E44+E85+E90+E93</f>
        <v>184</v>
      </c>
      <c r="F43" s="390"/>
      <c r="G43" s="367">
        <f>G44+G85+G90+G93</f>
        <v>1415298.4621184566</v>
      </c>
      <c r="H43" s="367">
        <f>H44+H85+H90+H93</f>
        <v>624799.07027644198</v>
      </c>
      <c r="I43" s="367">
        <f>I44+I85+I90+I93</f>
        <v>794394.82246942993</v>
      </c>
      <c r="J43" s="390"/>
      <c r="K43" s="367">
        <f>K44+K85+K90+K93</f>
        <v>318.43733812197797</v>
      </c>
      <c r="L43" s="367">
        <f>L44+L85+L90+L93</f>
        <v>79.534973850988024</v>
      </c>
      <c r="M43" s="367">
        <f>M44+M85+M90+M93</f>
        <v>100.43588931902092</v>
      </c>
      <c r="N43" s="390"/>
      <c r="O43" s="382"/>
      <c r="P43" s="382"/>
      <c r="Q43" s="382"/>
      <c r="R43" s="390"/>
      <c r="S43" s="402"/>
      <c r="T43" s="402"/>
      <c r="U43" s="402"/>
      <c r="V43" s="390"/>
      <c r="W43" s="370">
        <f>W44+W85+W90+W93</f>
        <v>149871</v>
      </c>
      <c r="X43" s="370">
        <f>X44+X85+X90+X93</f>
        <v>31972</v>
      </c>
      <c r="Y43" s="370">
        <f>Y44+Y85+Y90+Y93</f>
        <v>40512</v>
      </c>
      <c r="Z43" s="390"/>
      <c r="AA43" s="371">
        <v>0</v>
      </c>
      <c r="AB43" s="371">
        <f t="shared" si="39"/>
        <v>21740.959999999999</v>
      </c>
      <c r="AC43" s="371">
        <f t="shared" si="39"/>
        <v>27548.16</v>
      </c>
      <c r="AD43" s="390"/>
      <c r="AE43" s="373">
        <v>0.3</v>
      </c>
      <c r="AF43" s="372">
        <v>0.15</v>
      </c>
      <c r="AG43" s="372">
        <v>0.15</v>
      </c>
      <c r="AH43" s="378">
        <v>0.05</v>
      </c>
      <c r="AI43" s="390"/>
      <c r="AJ43" s="371">
        <f t="shared" si="40"/>
        <v>149871</v>
      </c>
      <c r="AK43" s="371">
        <f t="shared" si="40"/>
        <v>53712.959999999999</v>
      </c>
      <c r="AL43" s="371">
        <f t="shared" si="40"/>
        <v>68060.160000000003</v>
      </c>
      <c r="AN43" s="380">
        <f>'2014-15 Status Rpt Bencost'!Q44</f>
        <v>2.8848051096596095</v>
      </c>
      <c r="AO43" s="380">
        <f>'2015'!Q44</f>
        <v>2.1728187158520331</v>
      </c>
      <c r="AP43" s="380">
        <f>'2016'!Q44</f>
        <v>2.2050484780822202</v>
      </c>
    </row>
    <row r="44" spans="1:43" ht="12">
      <c r="A44" s="387" t="s">
        <v>208</v>
      </c>
      <c r="B44" s="173"/>
      <c r="C44" s="387">
        <v>40</v>
      </c>
      <c r="D44" s="387">
        <v>50</v>
      </c>
      <c r="E44" s="387">
        <v>60</v>
      </c>
      <c r="G44" s="387">
        <f>SUM(G45:G81)</f>
        <v>1293935.0055750001</v>
      </c>
      <c r="H44" s="387">
        <f>SUM(H45:H81)</f>
        <v>79748.545285</v>
      </c>
      <c r="I44" s="387">
        <f>SUM(I45:I81)</f>
        <v>86175.706800000014</v>
      </c>
      <c r="J44" s="173"/>
      <c r="K44" s="387">
        <f>SUM(K45:K81)</f>
        <v>294.75517009999999</v>
      </c>
      <c r="L44" s="387">
        <f>SUM(L45:L81)</f>
        <v>12.145419000000004</v>
      </c>
      <c r="M44" s="387">
        <f>SUM(M45:M81)</f>
        <v>13.1485068</v>
      </c>
      <c r="N44" s="173"/>
      <c r="O44" s="388"/>
      <c r="P44" s="388"/>
      <c r="Q44" s="388"/>
      <c r="R44" s="390"/>
      <c r="S44" s="405"/>
      <c r="T44" s="405"/>
      <c r="U44" s="405"/>
      <c r="V44" s="189"/>
      <c r="W44" s="389">
        <v>148041</v>
      </c>
      <c r="X44" s="389">
        <f>SUM(X45:X81)</f>
        <v>3372</v>
      </c>
      <c r="Y44" s="389">
        <f>SUM(Y45:Y81)</f>
        <v>3612</v>
      </c>
      <c r="Z44" s="390"/>
      <c r="AC44" s="390"/>
      <c r="AD44" s="390"/>
      <c r="AI44" s="390"/>
      <c r="AJ44" s="189"/>
      <c r="AK44" s="189"/>
      <c r="AL44" s="189"/>
      <c r="AN44" s="479">
        <f>'2014-15 Status Rpt Bencost'!Q45</f>
        <v>3.5618166231910933</v>
      </c>
      <c r="AO44" s="450">
        <f>'2015'!Q45</f>
        <v>3.2842482668136483</v>
      </c>
      <c r="AP44" s="450">
        <f>'2016'!Q45</f>
        <v>3.345373659508688</v>
      </c>
    </row>
    <row r="45" spans="1:43">
      <c r="A45" s="172" t="s">
        <v>358</v>
      </c>
      <c r="B45" s="226">
        <v>0.15</v>
      </c>
      <c r="C45" s="169"/>
      <c r="D45" s="169">
        <f t="shared" ref="D45:E54" si="41">ROUND($B45*D$44,0)</f>
        <v>8</v>
      </c>
      <c r="E45" s="169">
        <f t="shared" si="41"/>
        <v>9</v>
      </c>
      <c r="F45" s="390"/>
      <c r="G45" s="171">
        <f>VLOOKUP($A45,Sources!$B$4:$M$104,5,FALSE)*C45</f>
        <v>0</v>
      </c>
      <c r="H45" s="171">
        <f>VLOOKUP($A45,Sources!$B$4:$M$104,5,FALSE)*D45</f>
        <v>861.16599999999994</v>
      </c>
      <c r="I45" s="171">
        <f>VLOOKUP($A45,Sources!$B$4:$M$104,5,FALSE)*E45</f>
        <v>968.81174999999996</v>
      </c>
      <c r="J45" s="390"/>
      <c r="K45" s="404">
        <f>VLOOKUP($A45,Sources!$B$4:$M$104,7,FALSE)*C45</f>
        <v>0</v>
      </c>
      <c r="L45" s="404">
        <f>VLOOKUP($A45,Sources!$B$4:$M$104,7,FALSE)*D45</f>
        <v>0.13316159999999999</v>
      </c>
      <c r="M45" s="404">
        <f>VLOOKUP($A45,Sources!$B$4:$M$104,7,FALSE)*E45</f>
        <v>0.14980679999999999</v>
      </c>
      <c r="N45" s="390"/>
      <c r="O45" s="358">
        <f>VLOOKUP($A45,Sources!$B$4:$J$104,9,FALSE)</f>
        <v>12</v>
      </c>
      <c r="P45" s="358">
        <f>VLOOKUP($A45,Sources!$B$4:$J$104,9,FALSE)</f>
        <v>12</v>
      </c>
      <c r="Q45" s="358">
        <f>VLOOKUP($A45,Sources!$B$4:$J$104,9,FALSE)</f>
        <v>12</v>
      </c>
      <c r="R45" s="390"/>
      <c r="S45" s="407">
        <v>8</v>
      </c>
      <c r="T45" s="407">
        <v>8</v>
      </c>
      <c r="U45" s="407">
        <v>8</v>
      </c>
      <c r="V45" s="390"/>
      <c r="W45" s="175">
        <f t="shared" ref="W45:W71" si="42">C45*S45</f>
        <v>0</v>
      </c>
      <c r="X45" s="175">
        <f t="shared" ref="X45:X71" si="43">D45*T45</f>
        <v>64</v>
      </c>
      <c r="Y45" s="175">
        <f t="shared" ref="Y45:Y71" si="44">E45*U45</f>
        <v>72</v>
      </c>
      <c r="Z45" s="390"/>
      <c r="AA45" s="400"/>
      <c r="AC45" s="390"/>
      <c r="AD45" s="390"/>
      <c r="AI45" s="390"/>
      <c r="AJ45" s="189"/>
      <c r="AK45" s="189"/>
      <c r="AL45" s="189"/>
      <c r="AN45" s="451" t="str">
        <f>'2014-15 Status Rpt Bencost'!Q46</f>
        <v>n/a</v>
      </c>
      <c r="AO45" s="425">
        <f>'2015'!Q46</f>
        <v>3.1923458350743039</v>
      </c>
      <c r="AP45" s="425">
        <f>'2016'!Q46</f>
        <v>3.2402310226004172</v>
      </c>
    </row>
    <row r="46" spans="1:43">
      <c r="A46" s="183" t="s">
        <v>492</v>
      </c>
      <c r="B46" s="226">
        <v>0.1</v>
      </c>
      <c r="C46" s="169"/>
      <c r="D46" s="169">
        <f t="shared" si="41"/>
        <v>5</v>
      </c>
      <c r="E46" s="169">
        <f t="shared" si="41"/>
        <v>6</v>
      </c>
      <c r="F46" s="390"/>
      <c r="G46" s="171">
        <f>VLOOKUP($A46,Sources!$B$4:$M$104,5,FALSE)*C46</f>
        <v>0</v>
      </c>
      <c r="H46" s="171">
        <f>VLOOKUP($A46,Sources!$B$4:$M$104,5,FALSE)*D46</f>
        <v>2072.4581249999997</v>
      </c>
      <c r="I46" s="171">
        <f>VLOOKUP($A46,Sources!$B$4:$M$104,5,FALSE)*E46</f>
        <v>2486.9497499999998</v>
      </c>
      <c r="J46" s="390"/>
      <c r="K46" s="404">
        <f>VLOOKUP($A46,Sources!$B$4:$M$104,7,FALSE)*C46</f>
        <v>0</v>
      </c>
      <c r="L46" s="404">
        <f>VLOOKUP($A46,Sources!$B$4:$M$104,7,FALSE)*D46</f>
        <v>0.32046299999999994</v>
      </c>
      <c r="M46" s="404">
        <f>VLOOKUP($A46,Sources!$B$4:$M$104,7,FALSE)*E46</f>
        <v>0.38455559999999989</v>
      </c>
      <c r="N46" s="390"/>
      <c r="O46" s="358">
        <f>VLOOKUP($A46,Sources!$B$4:$J$104,9,FALSE)</f>
        <v>55</v>
      </c>
      <c r="P46" s="358">
        <f>VLOOKUP($A46,Sources!$B$4:$J$104,9,FALSE)</f>
        <v>55</v>
      </c>
      <c r="Q46" s="358">
        <f>VLOOKUP($A46,Sources!$B$4:$J$104,9,FALSE)</f>
        <v>55</v>
      </c>
      <c r="R46" s="390"/>
      <c r="S46" s="407">
        <f>8*2</f>
        <v>16</v>
      </c>
      <c r="T46" s="407">
        <f t="shared" ref="T46:U46" si="45">8*2</f>
        <v>16</v>
      </c>
      <c r="U46" s="407">
        <f t="shared" si="45"/>
        <v>16</v>
      </c>
      <c r="V46" s="390"/>
      <c r="W46" s="175">
        <f t="shared" si="42"/>
        <v>0</v>
      </c>
      <c r="X46" s="175">
        <f t="shared" si="43"/>
        <v>80</v>
      </c>
      <c r="Y46" s="175">
        <f t="shared" si="44"/>
        <v>96</v>
      </c>
      <c r="Z46" s="390"/>
      <c r="AC46" s="390"/>
      <c r="AD46" s="390"/>
      <c r="AI46" s="390"/>
      <c r="AJ46" s="189"/>
      <c r="AK46" s="189"/>
      <c r="AL46" s="189"/>
      <c r="AN46" s="451" t="str">
        <f>'2014-15 Status Rpt Bencost'!Q47</f>
        <v>n/a</v>
      </c>
      <c r="AO46" s="425">
        <f>'2015'!Q47</f>
        <v>2.681929528173014</v>
      </c>
      <c r="AP46" s="425">
        <f>'2016'!Q47</f>
        <v>2.722158471095609</v>
      </c>
    </row>
    <row r="47" spans="1:43">
      <c r="A47" s="183" t="s">
        <v>491</v>
      </c>
      <c r="B47" s="226">
        <v>0.05</v>
      </c>
      <c r="C47" s="169"/>
      <c r="D47" s="169">
        <f t="shared" si="41"/>
        <v>3</v>
      </c>
      <c r="E47" s="169">
        <f t="shared" si="41"/>
        <v>3</v>
      </c>
      <c r="F47" s="390"/>
      <c r="G47" s="171">
        <f>VLOOKUP($A47,Sources!$B$4:$M$104,5,FALSE)*C47</f>
        <v>0</v>
      </c>
      <c r="H47" s="171">
        <f>VLOOKUP($A47,Sources!$B$4:$M$104,5,FALSE)*D47</f>
        <v>2658.406125</v>
      </c>
      <c r="I47" s="171">
        <f>VLOOKUP($A47,Sources!$B$4:$M$104,5,FALSE)*E47</f>
        <v>2658.406125</v>
      </c>
      <c r="J47" s="390"/>
      <c r="K47" s="404">
        <f>VLOOKUP($A47,Sources!$B$4:$M$104,7,FALSE)*C47</f>
        <v>0</v>
      </c>
      <c r="L47" s="404">
        <f>VLOOKUP($A47,Sources!$B$4:$M$104,7,FALSE)*D47</f>
        <v>0.41106779999999998</v>
      </c>
      <c r="M47" s="404">
        <f>VLOOKUP($A47,Sources!$B$4:$M$104,7,FALSE)*E47</f>
        <v>0.41106779999999998</v>
      </c>
      <c r="N47" s="390"/>
      <c r="O47" s="358">
        <f>VLOOKUP($A47,Sources!$B$4:$J$104,9,FALSE)</f>
        <v>122</v>
      </c>
      <c r="P47" s="358">
        <f>VLOOKUP($A47,Sources!$B$4:$J$104,9,FALSE)</f>
        <v>122</v>
      </c>
      <c r="Q47" s="358">
        <f>VLOOKUP($A47,Sources!$B$4:$J$104,9,FALSE)</f>
        <v>122</v>
      </c>
      <c r="R47" s="390"/>
      <c r="S47" s="407">
        <f>12*3</f>
        <v>36</v>
      </c>
      <c r="T47" s="407">
        <f t="shared" ref="T47:U47" si="46">12*3</f>
        <v>36</v>
      </c>
      <c r="U47" s="407">
        <f t="shared" si="46"/>
        <v>36</v>
      </c>
      <c r="V47" s="390"/>
      <c r="W47" s="175">
        <f t="shared" si="42"/>
        <v>0</v>
      </c>
      <c r="X47" s="175">
        <f t="shared" si="43"/>
        <v>108</v>
      </c>
      <c r="Y47" s="175">
        <f t="shared" si="44"/>
        <v>108</v>
      </c>
      <c r="Z47" s="390"/>
      <c r="AC47" s="390"/>
      <c r="AD47" s="390"/>
      <c r="AI47" s="390"/>
      <c r="AJ47" s="189"/>
      <c r="AK47" s="189"/>
      <c r="AL47" s="189"/>
      <c r="AN47" s="451" t="str">
        <f>'2014-15 Status Rpt Bencost'!Q48</f>
        <v>n/a</v>
      </c>
      <c r="AO47" s="425">
        <f>'2015'!Q48</f>
        <v>2.5848451742168317</v>
      </c>
      <c r="AP47" s="425">
        <f>'2016'!Q48</f>
        <v>2.6236178518300837</v>
      </c>
    </row>
    <row r="48" spans="1:43">
      <c r="A48" s="172" t="s">
        <v>380</v>
      </c>
      <c r="B48" s="226">
        <v>0.15</v>
      </c>
      <c r="C48" s="169">
        <v>25</v>
      </c>
      <c r="D48" s="169">
        <f t="shared" si="41"/>
        <v>8</v>
      </c>
      <c r="E48" s="169">
        <f t="shared" si="41"/>
        <v>9</v>
      </c>
      <c r="F48" s="390"/>
      <c r="G48" s="171">
        <f>VLOOKUP($A48,Sources!$B$4:$M$104,5,FALSE)*C48</f>
        <v>5687.46875</v>
      </c>
      <c r="H48" s="171">
        <f>VLOOKUP($A48,Sources!$B$4:$M$104,5,FALSE)*D48</f>
        <v>1819.99</v>
      </c>
      <c r="I48" s="171">
        <f>VLOOKUP($A48,Sources!$B$4:$M$104,5,FALSE)*E48</f>
        <v>2047.48875</v>
      </c>
      <c r="J48" s="390"/>
      <c r="K48" s="404">
        <f>VLOOKUP($A48,Sources!$B$4:$M$104,7,FALSE)*C48</f>
        <v>0.87945000000000007</v>
      </c>
      <c r="L48" s="404">
        <f>VLOOKUP($A48,Sources!$B$4:$M$104,7,FALSE)*D48</f>
        <v>0.28142400000000001</v>
      </c>
      <c r="M48" s="404">
        <f>VLOOKUP($A48,Sources!$B$4:$M$104,7,FALSE)*E48</f>
        <v>0.31660199999999999</v>
      </c>
      <c r="N48" s="390"/>
      <c r="O48" s="358">
        <f>VLOOKUP($A48,Sources!$B$4:$J$104,9,FALSE)</f>
        <v>43</v>
      </c>
      <c r="P48" s="358">
        <f>VLOOKUP($A48,Sources!$B$4:$J$104,9,FALSE)</f>
        <v>43</v>
      </c>
      <c r="Q48" s="358">
        <f>VLOOKUP($A48,Sources!$B$4:$J$104,9,FALSE)</f>
        <v>43</v>
      </c>
      <c r="R48" s="390"/>
      <c r="S48" s="407">
        <v>5</v>
      </c>
      <c r="T48" s="407">
        <v>5</v>
      </c>
      <c r="U48" s="407">
        <v>5</v>
      </c>
      <c r="V48" s="390"/>
      <c r="W48" s="175">
        <f t="shared" si="42"/>
        <v>125</v>
      </c>
      <c r="X48" s="175">
        <f t="shared" si="43"/>
        <v>40</v>
      </c>
      <c r="Y48" s="175">
        <f t="shared" si="44"/>
        <v>45</v>
      </c>
      <c r="Z48" s="390"/>
      <c r="AB48" s="685"/>
      <c r="AD48" s="390"/>
      <c r="AI48" s="390"/>
      <c r="AJ48" s="189"/>
      <c r="AK48" s="189"/>
      <c r="AL48" s="189"/>
      <c r="AN48" s="451">
        <f>'2014-15 Status Rpt Bencost'!Q49</f>
        <v>2.4756096662525122</v>
      </c>
      <c r="AO48" s="425">
        <f>'2015'!Q49</f>
        <v>2.5127438112463003</v>
      </c>
      <c r="AP48" s="425">
        <f>'2016'!Q49</f>
        <v>2.5504349684149932</v>
      </c>
    </row>
    <row r="49" spans="1:45">
      <c r="A49" s="172" t="s">
        <v>381</v>
      </c>
      <c r="B49" s="226">
        <v>0.15</v>
      </c>
      <c r="C49" s="169"/>
      <c r="D49" s="169">
        <f t="shared" si="41"/>
        <v>8</v>
      </c>
      <c r="E49" s="169">
        <f t="shared" si="41"/>
        <v>9</v>
      </c>
      <c r="F49" s="390"/>
      <c r="G49" s="171">
        <f>VLOOKUP($A49,Sources!$B$4:$M$104,5,FALSE)*C49</f>
        <v>0</v>
      </c>
      <c r="H49" s="171">
        <f>VLOOKUP($A49,Sources!$B$4:$M$104,5,FALSE)*D49</f>
        <v>2796.5699999999997</v>
      </c>
      <c r="I49" s="171">
        <f>VLOOKUP($A49,Sources!$B$4:$M$104,5,FALSE)*E49</f>
        <v>3146.1412499999997</v>
      </c>
      <c r="J49" s="390"/>
      <c r="K49" s="404">
        <f>VLOOKUP($A49,Sources!$B$4:$M$104,7,FALSE)*C49</f>
        <v>0</v>
      </c>
      <c r="L49" s="404">
        <f>VLOOKUP($A49,Sources!$B$4:$M$104,7,FALSE)*D49</f>
        <v>0.43243199999999998</v>
      </c>
      <c r="M49" s="404">
        <f>VLOOKUP($A49,Sources!$B$4:$M$104,7,FALSE)*E49</f>
        <v>0.48648599999999997</v>
      </c>
      <c r="N49" s="390"/>
      <c r="O49" s="358">
        <f>VLOOKUP($A49,Sources!$B$4:$J$104,9,FALSE)</f>
        <v>55</v>
      </c>
      <c r="P49" s="358">
        <f>VLOOKUP($A49,Sources!$B$4:$J$104,9,FALSE)</f>
        <v>55</v>
      </c>
      <c r="Q49" s="358">
        <f>VLOOKUP($A49,Sources!$B$4:$J$104,9,FALSE)</f>
        <v>55</v>
      </c>
      <c r="R49" s="390"/>
      <c r="S49" s="407">
        <v>9</v>
      </c>
      <c r="T49" s="407">
        <v>9</v>
      </c>
      <c r="U49" s="407">
        <v>9</v>
      </c>
      <c r="V49" s="390"/>
      <c r="W49" s="175">
        <f t="shared" si="42"/>
        <v>0</v>
      </c>
      <c r="X49" s="175">
        <f t="shared" si="43"/>
        <v>72</v>
      </c>
      <c r="Y49" s="175">
        <f t="shared" si="44"/>
        <v>81</v>
      </c>
      <c r="Z49" s="390"/>
      <c r="AD49" s="390"/>
      <c r="AI49" s="390"/>
      <c r="AJ49" s="189"/>
      <c r="AK49" s="189"/>
      <c r="AL49" s="189"/>
      <c r="AN49" s="451" t="str">
        <f>'2014-15 Status Rpt Bencost'!Q50</f>
        <v>n/a</v>
      </c>
      <c r="AO49" s="425">
        <f>'2015'!Q50</f>
        <v>3.018635469918503</v>
      </c>
      <c r="AP49" s="425">
        <f>'2016'!Q50</f>
        <v>3.0639150019672798</v>
      </c>
    </row>
    <row r="50" spans="1:45">
      <c r="A50" s="172" t="s">
        <v>382</v>
      </c>
      <c r="B50" s="226">
        <v>0.15</v>
      </c>
      <c r="C50" s="169">
        <v>12</v>
      </c>
      <c r="D50" s="169">
        <f t="shared" si="41"/>
        <v>8</v>
      </c>
      <c r="E50" s="169">
        <f t="shared" si="41"/>
        <v>9</v>
      </c>
      <c r="F50" s="390"/>
      <c r="G50" s="171">
        <f>VLOOKUP($A50,Sources!$B$4:$M$104,5,FALSE)*C50</f>
        <v>3995.0999999999995</v>
      </c>
      <c r="H50" s="171">
        <f>VLOOKUP($A50,Sources!$B$4:$M$104,5,FALSE)*D50</f>
        <v>2663.3999999999996</v>
      </c>
      <c r="I50" s="171">
        <f>VLOOKUP($A50,Sources!$B$4:$M$104,5,FALSE)*E50</f>
        <v>2996.3249999999998</v>
      </c>
      <c r="J50" s="390"/>
      <c r="K50" s="404">
        <f>VLOOKUP($A50,Sources!$B$4:$M$104,7,FALSE)*C50</f>
        <v>0.61776000000000009</v>
      </c>
      <c r="L50" s="404">
        <f>VLOOKUP($A50,Sources!$B$4:$M$104,7,FALSE)*D50</f>
        <v>0.41184000000000004</v>
      </c>
      <c r="M50" s="404">
        <f>VLOOKUP($A50,Sources!$B$4:$M$104,7,FALSE)*E50</f>
        <v>0.46332000000000007</v>
      </c>
      <c r="N50" s="390"/>
      <c r="O50" s="358">
        <f>VLOOKUP($A50,Sources!$B$4:$J$104,9,FALSE)</f>
        <v>93</v>
      </c>
      <c r="P50" s="358">
        <f>VLOOKUP($A50,Sources!$B$4:$J$104,9,FALSE)</f>
        <v>93</v>
      </c>
      <c r="Q50" s="358">
        <f>VLOOKUP($A50,Sources!$B$4:$J$104,9,FALSE)</f>
        <v>93</v>
      </c>
      <c r="R50" s="390"/>
      <c r="S50" s="407">
        <v>8</v>
      </c>
      <c r="T50" s="407">
        <v>8</v>
      </c>
      <c r="U50" s="407">
        <v>8</v>
      </c>
      <c r="V50" s="390"/>
      <c r="W50" s="175">
        <f t="shared" si="42"/>
        <v>96</v>
      </c>
      <c r="X50" s="175">
        <f t="shared" si="43"/>
        <v>64</v>
      </c>
      <c r="Y50" s="175">
        <f t="shared" si="44"/>
        <v>72</v>
      </c>
      <c r="Z50" s="390"/>
      <c r="AD50" s="390"/>
      <c r="AI50" s="390"/>
      <c r="AJ50" s="189"/>
      <c r="AK50" s="189"/>
      <c r="AL50" s="189"/>
      <c r="AN50" s="451">
        <f>'2014-15 Status Rpt Bencost'!Q51</f>
        <v>1.6750781376688908</v>
      </c>
      <c r="AO50" s="425">
        <f>'2015'!Q51</f>
        <v>1.7002043097339239</v>
      </c>
      <c r="AP50" s="425">
        <f>'2016'!Q51</f>
        <v>1.7257073743799323</v>
      </c>
    </row>
    <row r="51" spans="1:45">
      <c r="A51" s="183" t="s">
        <v>385</v>
      </c>
      <c r="B51" s="226">
        <v>0.25</v>
      </c>
      <c r="C51" s="169"/>
      <c r="D51" s="169">
        <f t="shared" si="41"/>
        <v>13</v>
      </c>
      <c r="E51" s="169">
        <f t="shared" si="41"/>
        <v>15</v>
      </c>
      <c r="F51" s="390"/>
      <c r="G51" s="171">
        <f>VLOOKUP($A51,Sources!$B$4:$M$104,5,FALSE)*C51</f>
        <v>0</v>
      </c>
      <c r="H51" s="171">
        <f>VLOOKUP($A51,Sources!$B$4:$M$104,5,FALSE)*D51</f>
        <v>721.33749999999998</v>
      </c>
      <c r="I51" s="171">
        <f>VLOOKUP($A51,Sources!$B$4:$M$104,5,FALSE)*E51</f>
        <v>832.3125</v>
      </c>
      <c r="J51" s="390"/>
      <c r="K51" s="404">
        <f>VLOOKUP($A51,Sources!$B$4:$M$104,7,FALSE)*C51</f>
        <v>0</v>
      </c>
      <c r="L51" s="404">
        <f>VLOOKUP($A51,Sources!$B$4:$M$104,7,FALSE)*D51</f>
        <v>0.11154000000000001</v>
      </c>
      <c r="M51" s="404">
        <f>VLOOKUP($A51,Sources!$B$4:$M$104,7,FALSE)*E51</f>
        <v>0.12870000000000001</v>
      </c>
      <c r="N51" s="390"/>
      <c r="O51" s="358">
        <f>VLOOKUP($A51,Sources!$B$4:$J$104,9,FALSE)</f>
        <v>15</v>
      </c>
      <c r="P51" s="358">
        <f>VLOOKUP($A51,Sources!$B$4:$J$104,9,FALSE)</f>
        <v>15</v>
      </c>
      <c r="Q51" s="358">
        <f>VLOOKUP($A51,Sources!$B$4:$J$104,9,FALSE)</f>
        <v>15</v>
      </c>
      <c r="R51" s="390"/>
      <c r="S51" s="407">
        <v>9</v>
      </c>
      <c r="T51" s="407">
        <v>9</v>
      </c>
      <c r="U51" s="407">
        <v>9</v>
      </c>
      <c r="V51" s="390"/>
      <c r="W51" s="175">
        <f t="shared" si="42"/>
        <v>0</v>
      </c>
      <c r="X51" s="175">
        <f t="shared" si="43"/>
        <v>117</v>
      </c>
      <c r="Y51" s="175">
        <f t="shared" si="44"/>
        <v>135</v>
      </c>
      <c r="Z51" s="390"/>
      <c r="AD51" s="390"/>
      <c r="AI51" s="390"/>
      <c r="AJ51" s="189"/>
      <c r="AK51" s="189"/>
      <c r="AL51" s="189"/>
      <c r="AN51" s="451" t="str">
        <f>'2014-15 Status Rpt Bencost'!Q52</f>
        <v>n/a</v>
      </c>
      <c r="AO51" s="425">
        <f>'2015'!Q52</f>
        <v>1.5940415116966369</v>
      </c>
      <c r="AP51" s="425">
        <f>'2016'!Q52</f>
        <v>1.6179521343720857</v>
      </c>
    </row>
    <row r="52" spans="1:45">
      <c r="A52" s="183" t="s">
        <v>386</v>
      </c>
      <c r="B52" s="226">
        <v>0.25</v>
      </c>
      <c r="C52" s="169"/>
      <c r="D52" s="169">
        <f t="shared" si="41"/>
        <v>13</v>
      </c>
      <c r="E52" s="169">
        <f t="shared" si="41"/>
        <v>15</v>
      </c>
      <c r="F52" s="390"/>
      <c r="G52" s="171">
        <f>VLOOKUP($A52,Sources!$B$4:$M$104,5,FALSE)*C52</f>
        <v>0</v>
      </c>
      <c r="H52" s="171">
        <f>VLOOKUP($A52,Sources!$B$4:$M$104,5,FALSE)*D52</f>
        <v>1154.1400000000001</v>
      </c>
      <c r="I52" s="171">
        <f>VLOOKUP($A52,Sources!$B$4:$M$104,5,FALSE)*E52</f>
        <v>1331.7</v>
      </c>
      <c r="J52" s="390"/>
      <c r="K52" s="404">
        <f>VLOOKUP($A52,Sources!$B$4:$M$104,7,FALSE)*C52</f>
        <v>0</v>
      </c>
      <c r="L52" s="404">
        <f>VLOOKUP($A52,Sources!$B$4:$M$104,7,FALSE)*D52</f>
        <v>0.17846400000000001</v>
      </c>
      <c r="M52" s="404">
        <f>VLOOKUP($A52,Sources!$B$4:$M$104,7,FALSE)*E52</f>
        <v>0.20592000000000002</v>
      </c>
      <c r="N52" s="390"/>
      <c r="O52" s="358">
        <f>VLOOKUP($A52,Sources!$B$4:$J$104,9,FALSE)</f>
        <v>18</v>
      </c>
      <c r="P52" s="358">
        <f>VLOOKUP($A52,Sources!$B$4:$J$104,9,FALSE)</f>
        <v>18</v>
      </c>
      <c r="Q52" s="358">
        <f>VLOOKUP($A52,Sources!$B$4:$J$104,9,FALSE)</f>
        <v>18</v>
      </c>
      <c r="R52" s="390"/>
      <c r="S52" s="407">
        <v>18</v>
      </c>
      <c r="T52" s="407">
        <v>18</v>
      </c>
      <c r="U52" s="407">
        <v>18</v>
      </c>
      <c r="V52" s="390"/>
      <c r="W52" s="175">
        <f t="shared" si="42"/>
        <v>0</v>
      </c>
      <c r="X52" s="175">
        <f t="shared" si="43"/>
        <v>234</v>
      </c>
      <c r="Y52" s="175">
        <f t="shared" si="44"/>
        <v>270</v>
      </c>
      <c r="Z52" s="390"/>
      <c r="AD52" s="390"/>
      <c r="AI52" s="390"/>
      <c r="AJ52" s="189"/>
      <c r="AK52" s="189"/>
      <c r="AL52" s="189"/>
      <c r="AN52" s="451" t="str">
        <f>'2014-15 Status Rpt Bencost'!Q53</f>
        <v>n/a</v>
      </c>
      <c r="AO52" s="425">
        <f>'2015'!Q53</f>
        <v>2.1253886822621824</v>
      </c>
      <c r="AP52" s="425">
        <f>'2016'!Q53</f>
        <v>2.1572695124961156</v>
      </c>
    </row>
    <row r="53" spans="1:45" s="357" customFormat="1" ht="12">
      <c r="A53" s="172" t="s">
        <v>369</v>
      </c>
      <c r="B53" s="226">
        <v>0.2</v>
      </c>
      <c r="C53" s="169">
        <v>741</v>
      </c>
      <c r="D53" s="169">
        <f t="shared" si="41"/>
        <v>10</v>
      </c>
      <c r="E53" s="169">
        <f t="shared" si="41"/>
        <v>12</v>
      </c>
      <c r="F53" s="390"/>
      <c r="G53" s="171">
        <f>VLOOKUP($A53,Sources!$B$4:$M$104,5,FALSE)*C53</f>
        <v>28781.366250000003</v>
      </c>
      <c r="H53" s="171">
        <f>VLOOKUP($A53,Sources!$B$4:$M$104,5,FALSE)*D53</f>
        <v>388.41250000000002</v>
      </c>
      <c r="I53" s="171">
        <f>VLOOKUP($A53,Sources!$B$4:$M$104,5,FALSE)*E53</f>
        <v>466.09500000000003</v>
      </c>
      <c r="J53" s="390"/>
      <c r="K53" s="404">
        <f>VLOOKUP($A53,Sources!$B$4:$M$104,7,FALSE)*C53</f>
        <v>4.4504460000000003</v>
      </c>
      <c r="L53" s="404">
        <f>VLOOKUP($A53,Sources!$B$4:$M$104,7,FALSE)*D53</f>
        <v>6.0060000000000002E-2</v>
      </c>
      <c r="M53" s="404">
        <f>VLOOKUP($A53,Sources!$B$4:$M$104,7,FALSE)*E53</f>
        <v>7.2071999999999997E-2</v>
      </c>
      <c r="N53" s="390"/>
      <c r="O53" s="358">
        <f>VLOOKUP($A53,Sources!$B$4:$J$104,9,FALSE)</f>
        <v>2</v>
      </c>
      <c r="P53" s="358">
        <f>VLOOKUP($A53,Sources!$B$4:$J$104,9,FALSE)</f>
        <v>2</v>
      </c>
      <c r="Q53" s="358">
        <f>VLOOKUP($A53,Sources!$B$4:$J$104,9,FALSE)</f>
        <v>2</v>
      </c>
      <c r="R53" s="390"/>
      <c r="S53" s="406">
        <v>0.5</v>
      </c>
      <c r="T53" s="406">
        <v>0.5</v>
      </c>
      <c r="U53" s="406">
        <v>0.5</v>
      </c>
      <c r="V53" s="390"/>
      <c r="W53" s="175">
        <f t="shared" si="42"/>
        <v>370.5</v>
      </c>
      <c r="X53" s="175">
        <f t="shared" si="43"/>
        <v>5</v>
      </c>
      <c r="Y53" s="175">
        <f t="shared" si="44"/>
        <v>6</v>
      </c>
      <c r="Z53" s="390"/>
      <c r="AA53" s="390"/>
      <c r="AB53" s="390"/>
      <c r="AC53" s="17"/>
      <c r="AD53" s="390"/>
      <c r="AE53" s="173"/>
      <c r="AF53" s="173"/>
      <c r="AG53" s="173"/>
      <c r="AH53" s="17"/>
      <c r="AI53" s="390"/>
      <c r="AJ53" s="189"/>
      <c r="AK53" s="189"/>
      <c r="AL53" s="189"/>
      <c r="AM53" s="173"/>
      <c r="AN53" s="451">
        <f>'2014-15 Status Rpt Bencost'!Q54</f>
        <v>4.3471583583229068</v>
      </c>
      <c r="AO53" s="425">
        <f>'2015'!Q54</f>
        <v>4.4123657336977491</v>
      </c>
      <c r="AP53" s="425">
        <f>'2016'!Q54</f>
        <v>4.4785512197032142</v>
      </c>
      <c r="AQ53" s="173"/>
    </row>
    <row r="54" spans="1:45">
      <c r="A54" s="172" t="s">
        <v>523</v>
      </c>
      <c r="C54" s="169"/>
      <c r="D54" s="169">
        <f t="shared" si="41"/>
        <v>0</v>
      </c>
      <c r="E54" s="169">
        <f t="shared" si="41"/>
        <v>0</v>
      </c>
      <c r="F54" s="390"/>
      <c r="G54" s="171">
        <f>VLOOKUP($A54,Sources!$B$4:$M$104,5,FALSE)*C54</f>
        <v>0</v>
      </c>
      <c r="H54" s="171">
        <f>VLOOKUP($A54,Sources!$B$4:$M$104,5,FALSE)*D54</f>
        <v>0</v>
      </c>
      <c r="I54" s="171">
        <f>VLOOKUP($A54,Sources!$B$4:$M$104,5,FALSE)*E54</f>
        <v>0</v>
      </c>
      <c r="J54" s="390"/>
      <c r="K54" s="404">
        <f>VLOOKUP($A54,Sources!$B$4:$M$104,7,FALSE)*C54</f>
        <v>0</v>
      </c>
      <c r="L54" s="404">
        <f>VLOOKUP($A54,Sources!$B$4:$M$104,7,FALSE)*D54</f>
        <v>0</v>
      </c>
      <c r="M54" s="404">
        <f>VLOOKUP($A54,Sources!$B$4:$M$104,7,FALSE)*E54</f>
        <v>0</v>
      </c>
      <c r="N54" s="390"/>
      <c r="O54" s="358">
        <f>VLOOKUP($A54,Sources!$B$4:$J$104,9,FALSE)</f>
        <v>30</v>
      </c>
      <c r="P54" s="358">
        <f>VLOOKUP($A54,Sources!$B$4:$J$104,9,FALSE)</f>
        <v>30</v>
      </c>
      <c r="Q54" s="358">
        <f>VLOOKUP($A54,Sources!$B$4:$J$104,9,FALSE)</f>
        <v>30</v>
      </c>
      <c r="R54" s="390"/>
      <c r="S54" s="407">
        <v>12</v>
      </c>
      <c r="T54" s="407">
        <v>13</v>
      </c>
      <c r="U54" s="407">
        <v>14</v>
      </c>
      <c r="V54" s="390"/>
      <c r="W54" s="175">
        <f t="shared" ref="W54:W57" si="47">C54*S54</f>
        <v>0</v>
      </c>
      <c r="X54" s="175">
        <f t="shared" ref="X54:X57" si="48">D54*T54</f>
        <v>0</v>
      </c>
      <c r="Y54" s="175">
        <f t="shared" ref="Y54:Y57" si="49">E54*U54</f>
        <v>0</v>
      </c>
      <c r="AN54" s="451" t="str">
        <f>'2014-15 Status Rpt Bencost'!Q55</f>
        <v>n/a</v>
      </c>
      <c r="AO54" s="425" t="str">
        <f>'2015'!Q55</f>
        <v>n/a</v>
      </c>
      <c r="AP54" s="425" t="str">
        <f>'2016'!Q55</f>
        <v>n/a</v>
      </c>
    </row>
    <row r="55" spans="1:45">
      <c r="A55" s="172" t="s">
        <v>524</v>
      </c>
      <c r="B55" s="226"/>
      <c r="C55" s="169"/>
      <c r="D55" s="169">
        <f t="shared" ref="D55:E84" si="50">ROUND($B55*D$44,0)</f>
        <v>0</v>
      </c>
      <c r="E55" s="169">
        <f t="shared" si="50"/>
        <v>0</v>
      </c>
      <c r="F55" s="390"/>
      <c r="G55" s="171">
        <f>VLOOKUP($A55,Sources!$B$4:$M$104,5,FALSE)*C55</f>
        <v>0</v>
      </c>
      <c r="H55" s="171">
        <f>VLOOKUP($A55,Sources!$B$4:$M$104,5,FALSE)*D55</f>
        <v>0</v>
      </c>
      <c r="I55" s="171">
        <f>VLOOKUP($A55,Sources!$B$4:$M$104,5,FALSE)*E55</f>
        <v>0</v>
      </c>
      <c r="J55" s="390"/>
      <c r="K55" s="404">
        <f>VLOOKUP($A55,Sources!$B$4:$M$104,7,FALSE)*C55</f>
        <v>0</v>
      </c>
      <c r="L55" s="404">
        <f>VLOOKUP($A55,Sources!$B$4:$M$104,7,FALSE)*D55</f>
        <v>0</v>
      </c>
      <c r="M55" s="404">
        <f>VLOOKUP($A55,Sources!$B$4:$M$104,7,FALSE)*E55</f>
        <v>0</v>
      </c>
      <c r="N55" s="390"/>
      <c r="O55" s="358">
        <f>VLOOKUP($A55,Sources!$B$4:$J$104,9,FALSE)</f>
        <v>30</v>
      </c>
      <c r="P55" s="358">
        <f>VLOOKUP($A55,Sources!$B$4:$J$104,9,FALSE)</f>
        <v>30</v>
      </c>
      <c r="Q55" s="358">
        <f>VLOOKUP($A55,Sources!$B$4:$J$104,9,FALSE)</f>
        <v>30</v>
      </c>
      <c r="R55" s="390"/>
      <c r="S55" s="407">
        <f>12*2</f>
        <v>24</v>
      </c>
      <c r="T55" s="407">
        <f t="shared" ref="T55:U55" si="51">12*2</f>
        <v>24</v>
      </c>
      <c r="U55" s="407">
        <f t="shared" si="51"/>
        <v>24</v>
      </c>
      <c r="V55" s="390"/>
      <c r="W55" s="175">
        <f t="shared" si="47"/>
        <v>0</v>
      </c>
      <c r="X55" s="175">
        <f t="shared" si="48"/>
        <v>0</v>
      </c>
      <c r="Y55" s="175">
        <f t="shared" si="49"/>
        <v>0</v>
      </c>
      <c r="Z55" s="390"/>
      <c r="AD55" s="390"/>
      <c r="AI55" s="390"/>
      <c r="AJ55" s="189"/>
      <c r="AK55" s="189"/>
      <c r="AL55" s="189"/>
      <c r="AN55" s="451" t="str">
        <f>'2014-15 Status Rpt Bencost'!Q56</f>
        <v>n/a</v>
      </c>
      <c r="AO55" s="425" t="str">
        <f>'2015'!Q56</f>
        <v>n/a</v>
      </c>
      <c r="AP55" s="425" t="str">
        <f>'2016'!Q56</f>
        <v>n/a</v>
      </c>
    </row>
    <row r="56" spans="1:45">
      <c r="A56" s="172" t="s">
        <v>525</v>
      </c>
      <c r="B56" s="226"/>
      <c r="C56" s="169"/>
      <c r="D56" s="169">
        <f t="shared" si="50"/>
        <v>0</v>
      </c>
      <c r="E56" s="169">
        <f t="shared" si="50"/>
        <v>0</v>
      </c>
      <c r="F56" s="390"/>
      <c r="G56" s="171">
        <f>VLOOKUP($A56,Sources!$B$4:$M$104,5,FALSE)*C56</f>
        <v>0</v>
      </c>
      <c r="H56" s="171">
        <f>VLOOKUP($A56,Sources!$B$4:$M$104,5,FALSE)*D56</f>
        <v>0</v>
      </c>
      <c r="I56" s="171">
        <f>VLOOKUP($A56,Sources!$B$4:$M$104,5,FALSE)*E56</f>
        <v>0</v>
      </c>
      <c r="J56" s="390"/>
      <c r="K56" s="404">
        <f>VLOOKUP($A56,Sources!$B$4:$M$104,7,FALSE)*C56</f>
        <v>0</v>
      </c>
      <c r="L56" s="404">
        <f>VLOOKUP($A56,Sources!$B$4:$M$104,7,FALSE)*D56</f>
        <v>0</v>
      </c>
      <c r="M56" s="404">
        <f>VLOOKUP($A56,Sources!$B$4:$M$104,7,FALSE)*E56</f>
        <v>0</v>
      </c>
      <c r="N56" s="390"/>
      <c r="O56" s="358">
        <f>VLOOKUP($A56,Sources!$B$4:$J$104,9,FALSE)</f>
        <v>50</v>
      </c>
      <c r="P56" s="358">
        <f>VLOOKUP($A56,Sources!$B$4:$J$104,9,FALSE)</f>
        <v>50</v>
      </c>
      <c r="Q56" s="358">
        <f>VLOOKUP($A56,Sources!$B$4:$J$104,9,FALSE)</f>
        <v>50</v>
      </c>
      <c r="R56" s="390"/>
      <c r="S56" s="407">
        <v>16</v>
      </c>
      <c r="T56" s="407">
        <v>17</v>
      </c>
      <c r="U56" s="407">
        <v>18</v>
      </c>
      <c r="V56" s="390"/>
      <c r="W56" s="175">
        <f t="shared" si="47"/>
        <v>0</v>
      </c>
      <c r="X56" s="175">
        <f t="shared" si="48"/>
        <v>0</v>
      </c>
      <c r="Y56" s="175">
        <f t="shared" si="49"/>
        <v>0</v>
      </c>
      <c r="Z56" s="390"/>
      <c r="AD56" s="390"/>
      <c r="AI56" s="390"/>
      <c r="AJ56" s="189"/>
      <c r="AK56" s="189"/>
      <c r="AL56" s="189"/>
      <c r="AN56" s="451" t="str">
        <f>'2014-15 Status Rpt Bencost'!Q57</f>
        <v>n/a</v>
      </c>
      <c r="AO56" s="425" t="str">
        <f>'2015'!Q57</f>
        <v>n/a</v>
      </c>
      <c r="AP56" s="425" t="str">
        <f>'2016'!Q57</f>
        <v>n/a</v>
      </c>
    </row>
    <row r="57" spans="1:45">
      <c r="A57" s="172" t="s">
        <v>526</v>
      </c>
      <c r="B57" s="226"/>
      <c r="C57" s="169"/>
      <c r="D57" s="169">
        <f t="shared" si="50"/>
        <v>0</v>
      </c>
      <c r="E57" s="169">
        <f t="shared" si="50"/>
        <v>0</v>
      </c>
      <c r="F57" s="390"/>
      <c r="G57" s="171">
        <f>VLOOKUP($A57,Sources!$B$4:$M$104,5,FALSE)*C57</f>
        <v>0</v>
      </c>
      <c r="H57" s="171">
        <f>VLOOKUP($A57,Sources!$B$4:$M$104,5,FALSE)*D57</f>
        <v>0</v>
      </c>
      <c r="I57" s="171">
        <f>VLOOKUP($A57,Sources!$B$4:$M$104,5,FALSE)*E57</f>
        <v>0</v>
      </c>
      <c r="J57" s="390"/>
      <c r="K57" s="404">
        <f>VLOOKUP($A57,Sources!$B$4:$M$104,7,FALSE)*C57</f>
        <v>0</v>
      </c>
      <c r="L57" s="404">
        <f>VLOOKUP($A57,Sources!$B$4:$M$104,7,FALSE)*D57</f>
        <v>0</v>
      </c>
      <c r="M57" s="404">
        <f>VLOOKUP($A57,Sources!$B$4:$M$104,7,FALSE)*E57</f>
        <v>0</v>
      </c>
      <c r="N57" s="390"/>
      <c r="O57" s="358">
        <f>VLOOKUP($A57,Sources!$B$4:$J$104,9,FALSE)</f>
        <v>50</v>
      </c>
      <c r="P57" s="358">
        <f>VLOOKUP($A57,Sources!$B$4:$J$104,9,FALSE)</f>
        <v>50</v>
      </c>
      <c r="Q57" s="358">
        <f>VLOOKUP($A57,Sources!$B$4:$J$104,9,FALSE)</f>
        <v>50</v>
      </c>
      <c r="R57" s="390"/>
      <c r="S57" s="407">
        <f>16*2</f>
        <v>32</v>
      </c>
      <c r="T57" s="407">
        <f t="shared" ref="T57:U57" si="52">16*2</f>
        <v>32</v>
      </c>
      <c r="U57" s="407">
        <f t="shared" si="52"/>
        <v>32</v>
      </c>
      <c r="V57" s="390"/>
      <c r="W57" s="175">
        <f t="shared" si="47"/>
        <v>0</v>
      </c>
      <c r="X57" s="175">
        <f t="shared" si="48"/>
        <v>0</v>
      </c>
      <c r="Y57" s="175">
        <f t="shared" si="49"/>
        <v>0</v>
      </c>
      <c r="Z57" s="390"/>
      <c r="AD57" s="390"/>
      <c r="AI57" s="390"/>
      <c r="AJ57" s="189"/>
      <c r="AK57" s="189"/>
      <c r="AL57" s="189"/>
      <c r="AN57" s="451" t="str">
        <f>'2014-15 Status Rpt Bencost'!Q58</f>
        <v>n/a</v>
      </c>
      <c r="AO57" s="425" t="str">
        <f>'2015'!Q58</f>
        <v>n/a</v>
      </c>
      <c r="AP57" s="425" t="str">
        <f>'2016'!Q58</f>
        <v>n/a</v>
      </c>
    </row>
    <row r="58" spans="1:45">
      <c r="A58" s="172" t="s">
        <v>383</v>
      </c>
      <c r="B58" s="226">
        <v>0.05</v>
      </c>
      <c r="C58" s="169">
        <v>18</v>
      </c>
      <c r="D58" s="169">
        <f t="shared" si="50"/>
        <v>3</v>
      </c>
      <c r="E58" s="169">
        <f t="shared" si="50"/>
        <v>3</v>
      </c>
      <c r="F58" s="390"/>
      <c r="G58" s="171">
        <f>VLOOKUP($A58,Sources!$B$4:$M$104,5,FALSE)*C58</f>
        <v>24170.355000000003</v>
      </c>
      <c r="H58" s="171">
        <f>VLOOKUP($A58,Sources!$B$4:$M$104,5,FALSE)*D58</f>
        <v>4028.3925000000004</v>
      </c>
      <c r="I58" s="171">
        <f>VLOOKUP($A58,Sources!$B$4:$M$104,5,FALSE)*E58</f>
        <v>4028.3925000000004</v>
      </c>
      <c r="J58" s="390"/>
      <c r="K58" s="404">
        <f>VLOOKUP($A58,Sources!$B$4:$M$104,7,FALSE)*C58</f>
        <v>3.7374480000000001</v>
      </c>
      <c r="L58" s="404">
        <f>VLOOKUP($A58,Sources!$B$4:$M$104,7,FALSE)*D58</f>
        <v>0.62290800000000002</v>
      </c>
      <c r="M58" s="404">
        <f>VLOOKUP($A58,Sources!$B$4:$M$104,7,FALSE)*E58</f>
        <v>0.62290800000000002</v>
      </c>
      <c r="N58" s="390"/>
      <c r="O58" s="358">
        <f>VLOOKUP($A58,Sources!$B$4:$J$104,9,FALSE)</f>
        <v>102</v>
      </c>
      <c r="P58" s="358">
        <f>VLOOKUP($A58,Sources!$B$4:$J$104,9,FALSE)</f>
        <v>102</v>
      </c>
      <c r="Q58" s="358">
        <f>VLOOKUP($A58,Sources!$B$4:$J$104,9,FALSE)</f>
        <v>102</v>
      </c>
      <c r="R58" s="390"/>
      <c r="S58" s="407">
        <v>75</v>
      </c>
      <c r="T58" s="407">
        <v>75</v>
      </c>
      <c r="U58" s="407">
        <v>75</v>
      </c>
      <c r="V58" s="390"/>
      <c r="W58" s="175">
        <f t="shared" ref="W58:W67" si="53">C58*S58</f>
        <v>1350</v>
      </c>
      <c r="X58" s="175">
        <f t="shared" ref="X58:X67" si="54">D58*T58</f>
        <v>225</v>
      </c>
      <c r="Y58" s="175">
        <f t="shared" ref="Y58:Y67" si="55">E58*U58</f>
        <v>225</v>
      </c>
      <c r="Z58" s="390"/>
      <c r="AD58" s="390"/>
      <c r="AI58" s="390"/>
      <c r="AJ58" s="189"/>
      <c r="AK58" s="189"/>
      <c r="AL58" s="189"/>
      <c r="AN58" s="451">
        <f>'2014-15 Status Rpt Bencost'!Q59</f>
        <v>6.1600177396039326</v>
      </c>
      <c r="AO58" s="425">
        <f>'2015'!Q59</f>
        <v>6.2524180056979901</v>
      </c>
      <c r="AP58" s="425">
        <f>'2016'!Q59</f>
        <v>6.3462042757834602</v>
      </c>
      <c r="AR58" s="17"/>
    </row>
    <row r="59" spans="1:45" s="17" customFormat="1">
      <c r="A59" s="172" t="s">
        <v>384</v>
      </c>
      <c r="B59" s="226">
        <v>0.05</v>
      </c>
      <c r="C59" s="169">
        <v>70</v>
      </c>
      <c r="D59" s="169">
        <f t="shared" si="50"/>
        <v>3</v>
      </c>
      <c r="E59" s="169">
        <f t="shared" si="50"/>
        <v>3</v>
      </c>
      <c r="F59" s="390"/>
      <c r="G59" s="171">
        <v>25452</v>
      </c>
      <c r="H59" s="171">
        <f>VLOOKUP($A59,Sources!$B$4:$M$104,5,FALSE)*D59</f>
        <v>8123.37</v>
      </c>
      <c r="I59" s="171">
        <f>VLOOKUP($A59,Sources!$B$4:$M$104,5,FALSE)*E59</f>
        <v>8123.37</v>
      </c>
      <c r="J59" s="390"/>
      <c r="K59" s="404">
        <v>7.07</v>
      </c>
      <c r="L59" s="404">
        <f>VLOOKUP($A59,Sources!$B$4:$M$104,7,FALSE)*D59</f>
        <v>1.2561120000000003</v>
      </c>
      <c r="M59" s="404">
        <f>VLOOKUP($A59,Sources!$B$4:$M$104,7,FALSE)*E59</f>
        <v>1.2561120000000003</v>
      </c>
      <c r="N59" s="390"/>
      <c r="O59" s="358">
        <f>VLOOKUP($A59,Sources!$B$4:$J$104,9,FALSE)</f>
        <v>169</v>
      </c>
      <c r="P59" s="358">
        <f>VLOOKUP($A59,Sources!$B$4:$J$104,9,FALSE)</f>
        <v>169</v>
      </c>
      <c r="Q59" s="358">
        <f>VLOOKUP($A59,Sources!$B$4:$J$104,9,FALSE)</f>
        <v>169</v>
      </c>
      <c r="R59" s="390"/>
      <c r="S59" s="407">
        <v>125</v>
      </c>
      <c r="T59" s="407">
        <v>125</v>
      </c>
      <c r="U59" s="407">
        <v>125</v>
      </c>
      <c r="V59" s="390"/>
      <c r="W59" s="175">
        <f t="shared" si="53"/>
        <v>8750</v>
      </c>
      <c r="X59" s="175">
        <f t="shared" si="54"/>
        <v>375</v>
      </c>
      <c r="Y59" s="175">
        <f t="shared" si="55"/>
        <v>375</v>
      </c>
      <c r="Z59" s="390"/>
      <c r="AA59" s="390"/>
      <c r="AB59" s="390"/>
      <c r="AD59" s="390"/>
      <c r="AE59" s="173"/>
      <c r="AF59" s="173"/>
      <c r="AG59" s="173"/>
      <c r="AI59" s="390"/>
      <c r="AJ59" s="189"/>
      <c r="AK59" s="189"/>
      <c r="AL59" s="189"/>
      <c r="AM59" s="173"/>
      <c r="AN59" s="451">
        <f>'2014-15 Status Rpt Bencost'!Q60</f>
        <v>1.0507867126863217</v>
      </c>
      <c r="AO59" s="425">
        <f>'2015'!Q60</f>
        <v>7.6096718336256819</v>
      </c>
      <c r="AP59" s="425">
        <f>'2016'!Q60</f>
        <v>7.7238169111300667</v>
      </c>
      <c r="AQ59" s="173"/>
    </row>
    <row r="60" spans="1:45" s="17" customFormat="1">
      <c r="A60" s="172" t="s">
        <v>372</v>
      </c>
      <c r="B60" s="226">
        <v>0.15</v>
      </c>
      <c r="C60" s="169"/>
      <c r="D60" s="169">
        <f t="shared" si="50"/>
        <v>8</v>
      </c>
      <c r="E60" s="169">
        <f t="shared" si="50"/>
        <v>9</v>
      </c>
      <c r="F60" s="390"/>
      <c r="G60" s="171">
        <f>VLOOKUP($A60,Sources!$B$4:$M$104,5,FALSE)*C60</f>
        <v>0</v>
      </c>
      <c r="H60" s="171">
        <f>VLOOKUP($A60,Sources!$B$4:$M$104,5,FALSE)*D60</f>
        <v>2796.5699999999997</v>
      </c>
      <c r="I60" s="171">
        <f>VLOOKUP($A60,Sources!$B$4:$M$104,5,FALSE)*E60</f>
        <v>3146.1412499999997</v>
      </c>
      <c r="J60" s="390"/>
      <c r="K60" s="404">
        <f>VLOOKUP($A60,Sources!$B$4:$M$104,7,FALSE)*C60</f>
        <v>0</v>
      </c>
      <c r="L60" s="404">
        <f>VLOOKUP($A60,Sources!$B$4:$M$104,7,FALSE)*D60</f>
        <v>0.43243199999999998</v>
      </c>
      <c r="M60" s="404">
        <f>VLOOKUP($A60,Sources!$B$4:$M$104,7,FALSE)*E60</f>
        <v>0.48648599999999997</v>
      </c>
      <c r="N60" s="390"/>
      <c r="O60" s="358">
        <f>VLOOKUP($A60,Sources!$B$4:$J$104,9,FALSE)</f>
        <v>20</v>
      </c>
      <c r="P60" s="358">
        <f>VLOOKUP($A60,Sources!$B$4:$J$104,9,FALSE)</f>
        <v>20</v>
      </c>
      <c r="Q60" s="358">
        <f>VLOOKUP($A60,Sources!$B$4:$J$104,9,FALSE)</f>
        <v>20</v>
      </c>
      <c r="R60" s="390"/>
      <c r="S60" s="407">
        <v>8</v>
      </c>
      <c r="T60" s="407">
        <v>8</v>
      </c>
      <c r="U60" s="407">
        <v>8</v>
      </c>
      <c r="V60" s="390"/>
      <c r="W60" s="175">
        <f t="shared" si="53"/>
        <v>0</v>
      </c>
      <c r="X60" s="175">
        <f t="shared" si="54"/>
        <v>64</v>
      </c>
      <c r="Y60" s="175">
        <f t="shared" si="55"/>
        <v>72</v>
      </c>
      <c r="Z60" s="390"/>
      <c r="AA60" s="390"/>
      <c r="AB60" s="390"/>
      <c r="AD60" s="390"/>
      <c r="AE60" s="173"/>
      <c r="AF60" s="173"/>
      <c r="AG60" s="173"/>
      <c r="AI60" s="390"/>
      <c r="AJ60" s="189"/>
      <c r="AK60" s="189"/>
      <c r="AL60" s="189"/>
      <c r="AN60" s="451" t="str">
        <f>'2014-15 Status Rpt Bencost'!Q61</f>
        <v>n/a</v>
      </c>
      <c r="AO60" s="425">
        <f>'2015'!Q61</f>
        <v>5.8308585224310114</v>
      </c>
      <c r="AP60" s="425">
        <f>'2016'!Q61</f>
        <v>5.9183214002674758</v>
      </c>
      <c r="AQ60" s="173"/>
      <c r="AR60" s="173"/>
      <c r="AS60" s="173"/>
    </row>
    <row r="61" spans="1:45">
      <c r="A61" s="172" t="s">
        <v>370</v>
      </c>
      <c r="B61" s="226">
        <v>0.15</v>
      </c>
      <c r="C61" s="169"/>
      <c r="D61" s="169">
        <f t="shared" si="50"/>
        <v>8</v>
      </c>
      <c r="E61" s="169">
        <f t="shared" si="50"/>
        <v>9</v>
      </c>
      <c r="F61" s="390"/>
      <c r="G61" s="171">
        <f>VLOOKUP($A61,Sources!$B$4:$M$104,5,FALSE)*C61</f>
        <v>0</v>
      </c>
      <c r="H61" s="171">
        <f>VLOOKUP($A61,Sources!$B$4:$M$104,5,FALSE)*D61</f>
        <v>4882.9000000000005</v>
      </c>
      <c r="I61" s="171">
        <f>VLOOKUP($A61,Sources!$B$4:$M$104,5,FALSE)*E61</f>
        <v>5493.2625000000007</v>
      </c>
      <c r="J61" s="390"/>
      <c r="K61" s="404">
        <f>VLOOKUP($A61,Sources!$B$4:$M$104,7,FALSE)*C61</f>
        <v>0</v>
      </c>
      <c r="L61" s="404">
        <f>VLOOKUP($A61,Sources!$B$4:$M$104,7,FALSE)*D61</f>
        <v>0.75504000000000004</v>
      </c>
      <c r="M61" s="404">
        <f>VLOOKUP($A61,Sources!$B$4:$M$104,7,FALSE)*E61</f>
        <v>0.84942000000000006</v>
      </c>
      <c r="N61" s="390"/>
      <c r="O61" s="358">
        <f>VLOOKUP($A61,Sources!$B$4:$J$104,9,FALSE)</f>
        <v>40</v>
      </c>
      <c r="P61" s="358">
        <f>VLOOKUP($A61,Sources!$B$4:$J$104,9,FALSE)</f>
        <v>40</v>
      </c>
      <c r="Q61" s="358">
        <f>VLOOKUP($A61,Sources!$B$4:$J$104,9,FALSE)</f>
        <v>40</v>
      </c>
      <c r="R61" s="390"/>
      <c r="S61" s="407">
        <v>18</v>
      </c>
      <c r="T61" s="407">
        <v>18</v>
      </c>
      <c r="U61" s="407">
        <v>18</v>
      </c>
      <c r="V61" s="390"/>
      <c r="W61" s="175">
        <f t="shared" si="53"/>
        <v>0</v>
      </c>
      <c r="X61" s="175">
        <f t="shared" si="54"/>
        <v>144</v>
      </c>
      <c r="Y61" s="175">
        <f t="shared" si="55"/>
        <v>162</v>
      </c>
      <c r="Z61" s="390"/>
      <c r="AD61" s="390"/>
      <c r="AI61" s="390"/>
      <c r="AJ61" s="189"/>
      <c r="AK61" s="189"/>
      <c r="AL61" s="189"/>
      <c r="AN61" s="451" t="str">
        <f>'2014-15 Status Rpt Bencost'!Q62</f>
        <v>n/a</v>
      </c>
      <c r="AO61" s="425">
        <f>'2015'!Q62</f>
        <v>5.0904320433921546</v>
      </c>
      <c r="AP61" s="425">
        <f>'2016'!Q62</f>
        <v>5.1667885240430369</v>
      </c>
    </row>
    <row r="62" spans="1:45">
      <c r="A62" s="172" t="s">
        <v>371</v>
      </c>
      <c r="B62" s="226">
        <v>0.15</v>
      </c>
      <c r="C62" s="169"/>
      <c r="D62" s="169">
        <f t="shared" si="50"/>
        <v>8</v>
      </c>
      <c r="E62" s="169">
        <f t="shared" si="50"/>
        <v>9</v>
      </c>
      <c r="F62" s="390"/>
      <c r="G62" s="171">
        <f>VLOOKUP($A62,Sources!$B$4:$M$104,5,FALSE)*C62</f>
        <v>0</v>
      </c>
      <c r="H62" s="171">
        <f>VLOOKUP($A62,Sources!$B$4:$M$104,5,FALSE)*D62</f>
        <v>8212.15</v>
      </c>
      <c r="I62" s="171">
        <f>VLOOKUP($A62,Sources!$B$4:$M$104,5,FALSE)*E62</f>
        <v>9238.6687499999989</v>
      </c>
      <c r="J62" s="390"/>
      <c r="K62" s="404">
        <f>VLOOKUP($A62,Sources!$B$4:$M$104,7,FALSE)*C62</f>
        <v>0</v>
      </c>
      <c r="L62" s="404">
        <f>VLOOKUP($A62,Sources!$B$4:$M$104,7,FALSE)*D62</f>
        <v>1.2698400000000001</v>
      </c>
      <c r="M62" s="404">
        <f>VLOOKUP($A62,Sources!$B$4:$M$104,7,FALSE)*E62</f>
        <v>1.4285700000000001</v>
      </c>
      <c r="N62" s="390"/>
      <c r="O62" s="358">
        <f>VLOOKUP($A62,Sources!$B$4:$J$104,9,FALSE)</f>
        <v>50</v>
      </c>
      <c r="P62" s="358">
        <f>VLOOKUP($A62,Sources!$B$4:$J$104,9,FALSE)</f>
        <v>50</v>
      </c>
      <c r="Q62" s="358">
        <f>VLOOKUP($A62,Sources!$B$4:$J$104,9,FALSE)</f>
        <v>50</v>
      </c>
      <c r="R62" s="390"/>
      <c r="S62" s="407">
        <v>24</v>
      </c>
      <c r="T62" s="407">
        <v>24</v>
      </c>
      <c r="U62" s="407">
        <v>24</v>
      </c>
      <c r="V62" s="390"/>
      <c r="W62" s="175">
        <f t="shared" si="53"/>
        <v>0</v>
      </c>
      <c r="X62" s="175">
        <f t="shared" si="54"/>
        <v>192</v>
      </c>
      <c r="Y62" s="175">
        <f t="shared" si="55"/>
        <v>216</v>
      </c>
      <c r="Z62" s="390"/>
      <c r="AD62" s="390"/>
      <c r="AI62" s="390"/>
      <c r="AJ62" s="189"/>
      <c r="AK62" s="189"/>
      <c r="AL62" s="189"/>
      <c r="AN62" s="451" t="str">
        <f>'2014-15 Status Rpt Bencost'!Q63</f>
        <v>n/a</v>
      </c>
      <c r="AO62" s="425">
        <f>'2015'!Q63</f>
        <v>6.8489449311094441</v>
      </c>
      <c r="AP62" s="425">
        <f>'2016'!Q63</f>
        <v>6.9516791050760816</v>
      </c>
    </row>
    <row r="63" spans="1:45">
      <c r="A63" s="172" t="s">
        <v>357</v>
      </c>
      <c r="B63" s="226">
        <v>0.1</v>
      </c>
      <c r="C63" s="169"/>
      <c r="D63" s="169">
        <f t="shared" si="50"/>
        <v>5</v>
      </c>
      <c r="E63" s="169">
        <f t="shared" si="50"/>
        <v>6</v>
      </c>
      <c r="F63" s="390"/>
      <c r="G63" s="171">
        <f>VLOOKUP($A63,Sources!$B$4:$M$104,5,FALSE)*C63</f>
        <v>0</v>
      </c>
      <c r="H63" s="171">
        <f>VLOOKUP($A63,Sources!$B$4:$M$104,5,FALSE)*D63</f>
        <v>5937.1625000000004</v>
      </c>
      <c r="I63" s="171">
        <f>VLOOKUP($A63,Sources!$B$4:$M$104,5,FALSE)*E63</f>
        <v>7124.5950000000012</v>
      </c>
      <c r="J63" s="390"/>
      <c r="K63" s="404">
        <f>VLOOKUP($A63,Sources!$B$4:$M$104,7,FALSE)*C63</f>
        <v>0</v>
      </c>
      <c r="L63" s="404">
        <f>VLOOKUP($A63,Sources!$B$4:$M$104,7,FALSE)*D63</f>
        <v>0.9180600000000001</v>
      </c>
      <c r="M63" s="404">
        <f>VLOOKUP($A63,Sources!$B$4:$M$104,7,FALSE)*E63</f>
        <v>1.1016720000000002</v>
      </c>
      <c r="N63" s="390"/>
      <c r="O63" s="358">
        <f>VLOOKUP($A63,Sources!$B$4:$J$104,9,FALSE)</f>
        <v>98</v>
      </c>
      <c r="P63" s="358">
        <f>VLOOKUP($A63,Sources!$B$4:$J$104,9,FALSE)</f>
        <v>98</v>
      </c>
      <c r="Q63" s="358">
        <f>VLOOKUP($A63,Sources!$B$4:$J$104,9,FALSE)</f>
        <v>98</v>
      </c>
      <c r="R63" s="390"/>
      <c r="S63" s="407">
        <v>25</v>
      </c>
      <c r="T63" s="407">
        <v>25</v>
      </c>
      <c r="U63" s="407">
        <v>25</v>
      </c>
      <c r="V63" s="390"/>
      <c r="W63" s="175">
        <f t="shared" si="53"/>
        <v>0</v>
      </c>
      <c r="X63" s="175">
        <f t="shared" si="54"/>
        <v>125</v>
      </c>
      <c r="Y63" s="175">
        <f t="shared" si="55"/>
        <v>150</v>
      </c>
      <c r="Z63" s="390"/>
      <c r="AD63" s="390"/>
      <c r="AI63" s="390"/>
      <c r="AJ63" s="189"/>
      <c r="AK63" s="189"/>
      <c r="AL63" s="189"/>
      <c r="AN63" s="451" t="str">
        <f>'2014-15 Status Rpt Bencost'!Q64</f>
        <v>n/a</v>
      </c>
      <c r="AO63" s="425">
        <f>'2015'!Q64</f>
        <v>5.754671117742272</v>
      </c>
      <c r="AP63" s="425">
        <f>'2016'!Q64</f>
        <v>5.8409911845084048</v>
      </c>
    </row>
    <row r="64" spans="1:45">
      <c r="A64" s="172" t="s">
        <v>528</v>
      </c>
      <c r="B64" s="226"/>
      <c r="C64" s="169"/>
      <c r="D64" s="169">
        <f t="shared" si="50"/>
        <v>0</v>
      </c>
      <c r="E64" s="169">
        <f t="shared" si="50"/>
        <v>0</v>
      </c>
      <c r="F64" s="390"/>
      <c r="G64" s="171">
        <f>VLOOKUP($A64,Sources!$B$4:$M$104,5,FALSE)*C64</f>
        <v>0</v>
      </c>
      <c r="H64" s="171">
        <f>VLOOKUP($A64,Sources!$B$4:$M$104,5,FALSE)*D64</f>
        <v>0</v>
      </c>
      <c r="I64" s="171">
        <f>VLOOKUP($A64,Sources!$B$4:$M$104,5,FALSE)*E64</f>
        <v>0</v>
      </c>
      <c r="J64" s="390"/>
      <c r="K64" s="404">
        <f>VLOOKUP($A64,Sources!$B$4:$M$104,7,FALSE)*C64</f>
        <v>0</v>
      </c>
      <c r="L64" s="404">
        <f>VLOOKUP($A64,Sources!$B$4:$M$104,7,FALSE)*D64</f>
        <v>0</v>
      </c>
      <c r="M64" s="404">
        <f>VLOOKUP($A64,Sources!$B$4:$M$104,7,FALSE)*E64</f>
        <v>0</v>
      </c>
      <c r="N64" s="390"/>
      <c r="O64" s="358">
        <f>VLOOKUP($A64,Sources!$B$4:$J$104,9,FALSE)</f>
        <v>60</v>
      </c>
      <c r="P64" s="358">
        <f>VLOOKUP($A64,Sources!$B$4:$J$104,9,FALSE)</f>
        <v>60</v>
      </c>
      <c r="Q64" s="358">
        <f>VLOOKUP($A64,Sources!$B$4:$J$104,9,FALSE)</f>
        <v>60</v>
      </c>
      <c r="R64" s="390"/>
      <c r="S64" s="407">
        <v>24</v>
      </c>
      <c r="T64" s="407">
        <v>24</v>
      </c>
      <c r="U64" s="407">
        <v>24</v>
      </c>
      <c r="V64" s="390"/>
      <c r="W64" s="175">
        <f t="shared" si="53"/>
        <v>0</v>
      </c>
      <c r="X64" s="175">
        <f t="shared" si="54"/>
        <v>0</v>
      </c>
      <c r="Y64" s="175">
        <f t="shared" si="55"/>
        <v>0</v>
      </c>
      <c r="Z64" s="390"/>
      <c r="AD64" s="390"/>
      <c r="AI64" s="390"/>
      <c r="AJ64" s="189"/>
      <c r="AK64" s="189"/>
      <c r="AL64" s="189"/>
      <c r="AN64" s="451" t="str">
        <f>'2014-15 Status Rpt Bencost'!Q65</f>
        <v>n/a</v>
      </c>
      <c r="AO64" s="425" t="str">
        <f>'2015'!Q65</f>
        <v>n/a</v>
      </c>
      <c r="AP64" s="425" t="str">
        <f>'2016'!Q65</f>
        <v>n/a</v>
      </c>
    </row>
    <row r="65" spans="1:45">
      <c r="A65" s="172" t="s">
        <v>377</v>
      </c>
      <c r="B65" s="226">
        <v>0.05</v>
      </c>
      <c r="C65" s="169"/>
      <c r="D65" s="169">
        <f t="shared" si="50"/>
        <v>3</v>
      </c>
      <c r="E65" s="169">
        <f t="shared" si="50"/>
        <v>3</v>
      </c>
      <c r="F65" s="390"/>
      <c r="G65" s="171">
        <f>VLOOKUP($A65,Sources!$B$4:$M$104,5,FALSE)*C65</f>
        <v>0</v>
      </c>
      <c r="H65" s="171">
        <f>VLOOKUP($A65,Sources!$B$4:$M$104,5,FALSE)*D65</f>
        <v>2713.3387499999999</v>
      </c>
      <c r="I65" s="171">
        <f>VLOOKUP($A65,Sources!$B$4:$M$104,5,FALSE)*E65</f>
        <v>2713.3387499999999</v>
      </c>
      <c r="J65" s="390"/>
      <c r="K65" s="404">
        <f>VLOOKUP($A65,Sources!$B$4:$M$104,7,FALSE)*C65</f>
        <v>0</v>
      </c>
      <c r="L65" s="404">
        <f>VLOOKUP($A65,Sources!$B$4:$M$104,7,FALSE)*D65</f>
        <v>0.41956199999999999</v>
      </c>
      <c r="M65" s="404">
        <f>VLOOKUP($A65,Sources!$B$4:$M$104,7,FALSE)*E65</f>
        <v>0.41956199999999999</v>
      </c>
      <c r="N65" s="390"/>
      <c r="O65" s="358">
        <f>VLOOKUP($A65,Sources!$B$4:$J$104,9,FALSE)</f>
        <v>145</v>
      </c>
      <c r="P65" s="358">
        <f>VLOOKUP($A65,Sources!$B$4:$J$104,9,FALSE)</f>
        <v>145</v>
      </c>
      <c r="Q65" s="358">
        <f>VLOOKUP($A65,Sources!$B$4:$J$104,9,FALSE)</f>
        <v>145</v>
      </c>
      <c r="R65" s="390"/>
      <c r="S65" s="407">
        <v>17</v>
      </c>
      <c r="T65" s="407">
        <v>17</v>
      </c>
      <c r="U65" s="407">
        <v>17</v>
      </c>
      <c r="V65" s="390"/>
      <c r="W65" s="175">
        <f t="shared" si="53"/>
        <v>0</v>
      </c>
      <c r="X65" s="175">
        <f t="shared" si="54"/>
        <v>51</v>
      </c>
      <c r="Y65" s="175">
        <f t="shared" si="55"/>
        <v>51</v>
      </c>
      <c r="Z65" s="390"/>
      <c r="AD65" s="390"/>
      <c r="AI65" s="390"/>
      <c r="AJ65" s="189"/>
      <c r="AK65" s="189"/>
      <c r="AL65" s="189"/>
      <c r="AN65" s="451" t="str">
        <f>'2014-15 Status Rpt Bencost'!Q66</f>
        <v>n/a</v>
      </c>
      <c r="AO65" s="425">
        <f>'2015'!Q66</f>
        <v>2.9624594403743161</v>
      </c>
      <c r="AP65" s="425">
        <f>'2016'!Q66</f>
        <v>3.0068963319799313</v>
      </c>
    </row>
    <row r="66" spans="1:45" s="17" customFormat="1">
      <c r="A66" s="172" t="s">
        <v>378</v>
      </c>
      <c r="B66" s="226">
        <v>0.05</v>
      </c>
      <c r="C66" s="169"/>
      <c r="D66" s="169">
        <f t="shared" si="50"/>
        <v>3</v>
      </c>
      <c r="E66" s="169">
        <f t="shared" si="50"/>
        <v>3</v>
      </c>
      <c r="F66" s="390"/>
      <c r="G66" s="171">
        <f>VLOOKUP($A66,Sources!$B$4:$M$104,5,FALSE)*C66</f>
        <v>0</v>
      </c>
      <c r="H66" s="171">
        <f>VLOOKUP($A66,Sources!$B$4:$M$104,5,FALSE)*D66</f>
        <v>3046.2637500000001</v>
      </c>
      <c r="I66" s="171">
        <f>VLOOKUP($A66,Sources!$B$4:$M$104,5,FALSE)*E66</f>
        <v>3046.2637500000001</v>
      </c>
      <c r="J66" s="390"/>
      <c r="K66" s="404">
        <f>VLOOKUP($A66,Sources!$B$4:$M$104,7,FALSE)*C66</f>
        <v>0</v>
      </c>
      <c r="L66" s="404">
        <f>VLOOKUP($A66,Sources!$B$4:$M$104,7,FALSE)*D66</f>
        <v>0.47104200000000007</v>
      </c>
      <c r="M66" s="404">
        <f>VLOOKUP($A66,Sources!$B$4:$M$104,7,FALSE)*E66</f>
        <v>0.47104200000000007</v>
      </c>
      <c r="N66" s="390"/>
      <c r="O66" s="358">
        <f>VLOOKUP($A66,Sources!$B$4:$J$104,9,FALSE)</f>
        <v>98</v>
      </c>
      <c r="P66" s="358">
        <f>VLOOKUP($A66,Sources!$B$4:$J$104,9,FALSE)</f>
        <v>98</v>
      </c>
      <c r="Q66" s="358">
        <f>VLOOKUP($A66,Sources!$B$4:$J$104,9,FALSE)</f>
        <v>98</v>
      </c>
      <c r="R66" s="390"/>
      <c r="S66" s="407">
        <v>28</v>
      </c>
      <c r="T66" s="407">
        <v>28</v>
      </c>
      <c r="U66" s="407">
        <v>28</v>
      </c>
      <c r="V66" s="390"/>
      <c r="W66" s="175">
        <f t="shared" si="53"/>
        <v>0</v>
      </c>
      <c r="X66" s="175">
        <f t="shared" si="54"/>
        <v>84</v>
      </c>
      <c r="Y66" s="175">
        <f t="shared" si="55"/>
        <v>84</v>
      </c>
      <c r="Z66" s="390"/>
      <c r="AA66" s="390"/>
      <c r="AB66" s="390"/>
      <c r="AD66" s="390"/>
      <c r="AE66" s="173"/>
      <c r="AF66" s="173"/>
      <c r="AG66" s="173"/>
      <c r="AI66" s="390"/>
      <c r="AJ66" s="189"/>
      <c r="AK66" s="189"/>
      <c r="AL66" s="189"/>
      <c r="AN66" s="451" t="str">
        <f>'2014-15 Status Rpt Bencost'!Q67</f>
        <v>n/a</v>
      </c>
      <c r="AO66" s="425">
        <f>'2015'!Q67</f>
        <v>4.9210505352655876</v>
      </c>
      <c r="AP66" s="425">
        <f>'2016'!Q67</f>
        <v>4.9948662932945709</v>
      </c>
      <c r="AQ66" s="173"/>
      <c r="AR66" s="173"/>
      <c r="AS66" s="173"/>
    </row>
    <row r="67" spans="1:45" s="17" customFormat="1">
      <c r="A67" s="172" t="s">
        <v>379</v>
      </c>
      <c r="B67" s="226">
        <v>0.05</v>
      </c>
      <c r="C67" s="169"/>
      <c r="D67" s="169">
        <f t="shared" si="50"/>
        <v>3</v>
      </c>
      <c r="E67" s="169">
        <f t="shared" si="50"/>
        <v>3</v>
      </c>
      <c r="F67" s="390"/>
      <c r="G67" s="171">
        <f>VLOOKUP($A67,Sources!$B$4:$M$104,5,FALSE)*C67</f>
        <v>0</v>
      </c>
      <c r="H67" s="171">
        <f>VLOOKUP($A67,Sources!$B$4:$M$104,5,FALSE)*D67</f>
        <v>1414.9312500000001</v>
      </c>
      <c r="I67" s="171">
        <f>VLOOKUP($A67,Sources!$B$4:$M$104,5,FALSE)*E67</f>
        <v>1414.9312500000001</v>
      </c>
      <c r="J67" s="390"/>
      <c r="K67" s="404">
        <f>VLOOKUP($A67,Sources!$B$4:$M$104,7,FALSE)*C67</f>
        <v>0</v>
      </c>
      <c r="L67" s="404">
        <f>VLOOKUP($A67,Sources!$B$4:$M$104,7,FALSE)*D67</f>
        <v>0.21879000000000004</v>
      </c>
      <c r="M67" s="404">
        <f>VLOOKUP($A67,Sources!$B$4:$M$104,7,FALSE)*E67</f>
        <v>0.21879000000000004</v>
      </c>
      <c r="N67" s="390"/>
      <c r="O67" s="358">
        <f>VLOOKUP($A67,Sources!$B$4:$J$104,9,FALSE)</f>
        <v>42</v>
      </c>
      <c r="P67" s="358">
        <f>VLOOKUP($A67,Sources!$B$4:$J$104,9,FALSE)</f>
        <v>42</v>
      </c>
      <c r="Q67" s="358">
        <f>VLOOKUP($A67,Sources!$B$4:$J$104,9,FALSE)</f>
        <v>42</v>
      </c>
      <c r="R67" s="390"/>
      <c r="S67" s="407">
        <v>45</v>
      </c>
      <c r="T67" s="407">
        <v>45</v>
      </c>
      <c r="U67" s="407">
        <v>45</v>
      </c>
      <c r="V67" s="390"/>
      <c r="W67" s="175">
        <f t="shared" si="53"/>
        <v>0</v>
      </c>
      <c r="X67" s="175">
        <f t="shared" si="54"/>
        <v>135</v>
      </c>
      <c r="Y67" s="175">
        <f t="shared" si="55"/>
        <v>135</v>
      </c>
      <c r="Z67" s="390"/>
      <c r="AA67" s="390"/>
      <c r="AB67" s="390"/>
      <c r="AD67" s="390"/>
      <c r="AE67" s="173"/>
      <c r="AF67" s="173"/>
      <c r="AG67" s="173"/>
      <c r="AI67" s="390"/>
      <c r="AJ67" s="189"/>
      <c r="AK67" s="189"/>
      <c r="AL67" s="189"/>
      <c r="AN67" s="451" t="str">
        <f>'2014-15 Status Rpt Bencost'!Q68</f>
        <v>n/a</v>
      </c>
      <c r="AO67" s="425">
        <f>'2015'!Q68</f>
        <v>5.3333789954153454</v>
      </c>
      <c r="AP67" s="425">
        <f>'2016'!Q68</f>
        <v>5.4133796803465764</v>
      </c>
      <c r="AQ67" s="173"/>
      <c r="AR67" s="173"/>
      <c r="AS67" s="173"/>
    </row>
    <row r="68" spans="1:45" s="17" customFormat="1">
      <c r="A68" s="183" t="s">
        <v>373</v>
      </c>
      <c r="B68" s="226">
        <v>0.05</v>
      </c>
      <c r="C68" s="169"/>
      <c r="D68" s="169">
        <f t="shared" si="50"/>
        <v>3</v>
      </c>
      <c r="E68" s="169">
        <f t="shared" si="50"/>
        <v>3</v>
      </c>
      <c r="F68" s="390"/>
      <c r="G68" s="171">
        <f>VLOOKUP($A68,Sources!$B$4:$M$104,5,FALSE)*C68</f>
        <v>0</v>
      </c>
      <c r="H68" s="171">
        <f>VLOOKUP($A68,Sources!$B$4:$M$104,5,FALSE)*D68</f>
        <v>2813.2162499999999</v>
      </c>
      <c r="I68" s="171">
        <f>VLOOKUP($A68,Sources!$B$4:$M$104,5,FALSE)*E68</f>
        <v>2813.2162499999999</v>
      </c>
      <c r="J68" s="390"/>
      <c r="K68" s="404">
        <f>VLOOKUP($A68,Sources!$B$4:$M$104,7,FALSE)*C68</f>
        <v>0</v>
      </c>
      <c r="L68" s="404">
        <f>VLOOKUP($A68,Sources!$B$4:$M$104,7,FALSE)*D68</f>
        <v>0.43500600000000006</v>
      </c>
      <c r="M68" s="404">
        <f>VLOOKUP($A68,Sources!$B$4:$M$104,7,FALSE)*E68</f>
        <v>0.43500600000000006</v>
      </c>
      <c r="N68" s="390"/>
      <c r="O68" s="358">
        <f>VLOOKUP($A68,Sources!$B$4:$J$104,9,FALSE)</f>
        <v>161</v>
      </c>
      <c r="P68" s="358">
        <f>VLOOKUP($A68,Sources!$B$4:$J$104,9,FALSE)</f>
        <v>161</v>
      </c>
      <c r="Q68" s="358">
        <f>VLOOKUP($A68,Sources!$B$4:$J$104,9,FALSE)</f>
        <v>161</v>
      </c>
      <c r="R68" s="390"/>
      <c r="S68" s="407">
        <v>25</v>
      </c>
      <c r="T68" s="407">
        <v>25</v>
      </c>
      <c r="U68" s="407">
        <v>25</v>
      </c>
      <c r="V68" s="390"/>
      <c r="W68" s="175">
        <f t="shared" si="42"/>
        <v>0</v>
      </c>
      <c r="X68" s="175">
        <f t="shared" si="43"/>
        <v>75</v>
      </c>
      <c r="Y68" s="175">
        <f t="shared" si="44"/>
        <v>75</v>
      </c>
      <c r="Z68" s="390"/>
      <c r="AA68" s="390"/>
      <c r="AB68" s="390"/>
      <c r="AD68" s="390"/>
      <c r="AE68" s="173"/>
      <c r="AF68" s="173"/>
      <c r="AG68" s="173"/>
      <c r="AI68" s="390"/>
      <c r="AJ68" s="189"/>
      <c r="AK68" s="189"/>
      <c r="AL68" s="189"/>
      <c r="AM68" s="173"/>
      <c r="AN68" s="451" t="str">
        <f>'2014-15 Status Rpt Bencost'!Q69</f>
        <v>n/a</v>
      </c>
      <c r="AO68" s="425">
        <f>'2015'!Q69</f>
        <v>2.766264092762742</v>
      </c>
      <c r="AP68" s="425">
        <f>'2016'!Q69</f>
        <v>2.8077580541541827</v>
      </c>
      <c r="AQ68" s="173"/>
      <c r="AR68" s="173"/>
      <c r="AS68" s="173"/>
    </row>
    <row r="69" spans="1:45">
      <c r="A69" s="183" t="s">
        <v>374</v>
      </c>
      <c r="B69" s="226">
        <v>0.05</v>
      </c>
      <c r="C69" s="169"/>
      <c r="D69" s="169">
        <f t="shared" si="50"/>
        <v>3</v>
      </c>
      <c r="E69" s="169">
        <f t="shared" si="50"/>
        <v>3</v>
      </c>
      <c r="F69" s="390"/>
      <c r="G69" s="171">
        <f>VLOOKUP($A69,Sources!$B$4:$M$104,5,FALSE)*C69</f>
        <v>0</v>
      </c>
      <c r="H69" s="171">
        <f>VLOOKUP($A69,Sources!$B$4:$M$104,5,FALSE)*D69</f>
        <v>1964.2575000000002</v>
      </c>
      <c r="I69" s="171">
        <f>VLOOKUP($A69,Sources!$B$4:$M$104,5,FALSE)*E69</f>
        <v>1964.2575000000002</v>
      </c>
      <c r="J69" s="390"/>
      <c r="K69" s="404">
        <f>VLOOKUP($A69,Sources!$B$4:$M$104,7,FALSE)*C69</f>
        <v>0</v>
      </c>
      <c r="L69" s="404">
        <f>VLOOKUP($A69,Sources!$B$4:$M$104,7,FALSE)*D69</f>
        <v>0.30373200000000006</v>
      </c>
      <c r="M69" s="404">
        <f>VLOOKUP($A69,Sources!$B$4:$M$104,7,FALSE)*E69</f>
        <v>0.30373200000000006</v>
      </c>
      <c r="N69" s="390"/>
      <c r="O69" s="358">
        <f>VLOOKUP($A69,Sources!$B$4:$J$104,9,FALSE)</f>
        <v>185</v>
      </c>
      <c r="P69" s="358">
        <f>VLOOKUP($A69,Sources!$B$4:$J$104,9,FALSE)</f>
        <v>185</v>
      </c>
      <c r="Q69" s="358">
        <f>VLOOKUP($A69,Sources!$B$4:$J$104,9,FALSE)</f>
        <v>185</v>
      </c>
      <c r="R69" s="390"/>
      <c r="S69" s="407">
        <v>40</v>
      </c>
      <c r="T69" s="407">
        <v>40</v>
      </c>
      <c r="U69" s="407">
        <v>40</v>
      </c>
      <c r="V69" s="390"/>
      <c r="W69" s="175">
        <f t="shared" si="42"/>
        <v>0</v>
      </c>
      <c r="X69" s="175">
        <f t="shared" si="43"/>
        <v>120</v>
      </c>
      <c r="Y69" s="175">
        <f t="shared" si="44"/>
        <v>120</v>
      </c>
      <c r="Z69" s="390"/>
      <c r="AD69" s="390"/>
      <c r="AI69" s="390"/>
      <c r="AJ69" s="189"/>
      <c r="AK69" s="189"/>
      <c r="AL69" s="189"/>
      <c r="AN69" s="451" t="str">
        <f>'2014-15 Status Rpt Bencost'!Q70</f>
        <v>n/a</v>
      </c>
      <c r="AO69" s="425">
        <f>'2015'!Q70</f>
        <v>1.6809046932450529</v>
      </c>
      <c r="AP69" s="425">
        <f>'2016'!Q70</f>
        <v>1.7061182636437282</v>
      </c>
      <c r="AS69" s="17"/>
    </row>
    <row r="70" spans="1:45">
      <c r="A70" s="183" t="s">
        <v>375</v>
      </c>
      <c r="B70" s="226">
        <v>0.05</v>
      </c>
      <c r="C70" s="169"/>
      <c r="D70" s="169">
        <f t="shared" si="50"/>
        <v>3</v>
      </c>
      <c r="E70" s="169">
        <f t="shared" si="50"/>
        <v>3</v>
      </c>
      <c r="F70" s="390"/>
      <c r="G70" s="171">
        <f>VLOOKUP($A70,Sources!$B$4:$M$104,5,FALSE)*C70</f>
        <v>0</v>
      </c>
      <c r="H70" s="171">
        <f>VLOOKUP($A70,Sources!$B$4:$M$104,5,FALSE)*D70</f>
        <v>1348.3462500000001</v>
      </c>
      <c r="I70" s="171">
        <f>VLOOKUP($A70,Sources!$B$4:$M$104,5,FALSE)*E70</f>
        <v>1348.3462500000001</v>
      </c>
      <c r="J70" s="390"/>
      <c r="K70" s="404">
        <f>VLOOKUP($A70,Sources!$B$4:$M$104,7,FALSE)*C70</f>
        <v>0</v>
      </c>
      <c r="L70" s="404">
        <f>VLOOKUP($A70,Sources!$B$4:$M$104,7,FALSE)*D70</f>
        <v>0.20849400000000007</v>
      </c>
      <c r="M70" s="404">
        <f>VLOOKUP($A70,Sources!$B$4:$M$104,7,FALSE)*E70</f>
        <v>0.20849400000000007</v>
      </c>
      <c r="N70" s="390"/>
      <c r="O70" s="358">
        <f>VLOOKUP($A70,Sources!$B$4:$J$104,9,FALSE)</f>
        <v>283</v>
      </c>
      <c r="P70" s="358">
        <f>VLOOKUP($A70,Sources!$B$4:$J$104,9,FALSE)</f>
        <v>283</v>
      </c>
      <c r="Q70" s="358">
        <f>VLOOKUP($A70,Sources!$B$4:$J$104,9,FALSE)</f>
        <v>283</v>
      </c>
      <c r="R70" s="390"/>
      <c r="S70" s="407">
        <v>55</v>
      </c>
      <c r="T70" s="407">
        <v>55</v>
      </c>
      <c r="U70" s="407">
        <v>55</v>
      </c>
      <c r="V70" s="390"/>
      <c r="W70" s="175">
        <f t="shared" si="42"/>
        <v>0</v>
      </c>
      <c r="X70" s="175">
        <f t="shared" si="43"/>
        <v>165</v>
      </c>
      <c r="Y70" s="175">
        <f t="shared" si="44"/>
        <v>165</v>
      </c>
      <c r="Z70" s="390"/>
      <c r="AD70" s="390"/>
      <c r="AI70" s="390"/>
      <c r="AJ70" s="189"/>
      <c r="AK70" s="189"/>
      <c r="AL70" s="189"/>
      <c r="AN70" s="451" t="str">
        <f>'2014-15 Status Rpt Bencost'!Q71</f>
        <v>n/a</v>
      </c>
      <c r="AO70" s="425">
        <f>'2015'!Q71</f>
        <v>0.75427791903566865</v>
      </c>
      <c r="AP70" s="425">
        <f>'2016'!Q71</f>
        <v>0.76559208782120347</v>
      </c>
      <c r="AS70" s="17"/>
    </row>
    <row r="71" spans="1:45">
      <c r="A71" s="183" t="s">
        <v>376</v>
      </c>
      <c r="B71" s="226">
        <v>0.05</v>
      </c>
      <c r="C71" s="169"/>
      <c r="D71" s="169">
        <f t="shared" si="50"/>
        <v>3</v>
      </c>
      <c r="E71" s="169">
        <f t="shared" si="50"/>
        <v>3</v>
      </c>
      <c r="F71" s="390"/>
      <c r="G71" s="171">
        <f>VLOOKUP($A71,Sources!$B$4:$M$104,5,FALSE)*C71</f>
        <v>0</v>
      </c>
      <c r="H71" s="171">
        <f>VLOOKUP($A71,Sources!$B$4:$M$104,5,FALSE)*D71</f>
        <v>5842.8337499999998</v>
      </c>
      <c r="I71" s="171">
        <f>VLOOKUP($A71,Sources!$B$4:$M$104,5,FALSE)*E71</f>
        <v>5842.8337499999998</v>
      </c>
      <c r="J71" s="390"/>
      <c r="K71" s="404">
        <f>VLOOKUP($A71,Sources!$B$4:$M$104,7,FALSE)*C71</f>
        <v>0</v>
      </c>
      <c r="L71" s="404">
        <f>VLOOKUP($A71,Sources!$B$4:$M$104,7,FALSE)*D71</f>
        <v>0.90347400000000011</v>
      </c>
      <c r="M71" s="404">
        <f>VLOOKUP($A71,Sources!$B$4:$M$104,7,FALSE)*E71</f>
        <v>0.90347400000000011</v>
      </c>
      <c r="N71" s="390"/>
      <c r="O71" s="358">
        <f>VLOOKUP($A71,Sources!$B$4:$J$104,9,FALSE)</f>
        <v>381</v>
      </c>
      <c r="P71" s="358">
        <f>VLOOKUP($A71,Sources!$B$4:$J$104,9,FALSE)</f>
        <v>381</v>
      </c>
      <c r="Q71" s="358">
        <f>VLOOKUP($A71,Sources!$B$4:$J$104,9,FALSE)</f>
        <v>381</v>
      </c>
      <c r="R71" s="390"/>
      <c r="S71" s="407">
        <v>65</v>
      </c>
      <c r="T71" s="407">
        <v>65</v>
      </c>
      <c r="U71" s="407">
        <v>65</v>
      </c>
      <c r="V71" s="390"/>
      <c r="W71" s="175">
        <f t="shared" si="42"/>
        <v>0</v>
      </c>
      <c r="X71" s="175">
        <f t="shared" si="43"/>
        <v>195</v>
      </c>
      <c r="Y71" s="175">
        <f t="shared" si="44"/>
        <v>195</v>
      </c>
      <c r="Z71" s="390"/>
      <c r="AD71" s="390"/>
      <c r="AI71" s="390"/>
      <c r="AJ71" s="189"/>
      <c r="AK71" s="189"/>
      <c r="AL71" s="189"/>
      <c r="AN71" s="451" t="str">
        <f>'2014-15 Status Rpt Bencost'!Q72</f>
        <v>n/a</v>
      </c>
      <c r="AO71" s="425">
        <f>'2015'!Q72</f>
        <v>2.4278114296869848</v>
      </c>
      <c r="AP71" s="425">
        <f>'2016'!Q72</f>
        <v>2.46422860113229</v>
      </c>
      <c r="AS71" s="17"/>
    </row>
    <row r="72" spans="1:45">
      <c r="A72" s="183" t="s">
        <v>342</v>
      </c>
      <c r="B72" s="226"/>
      <c r="C72" s="169">
        <v>9</v>
      </c>
      <c r="D72" s="169">
        <f t="shared" si="50"/>
        <v>0</v>
      </c>
      <c r="E72" s="169">
        <f t="shared" si="50"/>
        <v>0</v>
      </c>
      <c r="F72" s="390"/>
      <c r="G72" s="171">
        <f>VLOOKUP($A72,Sources!$B$4:$M$104,5,FALSE)*C72</f>
        <v>3010.41</v>
      </c>
      <c r="H72" s="171">
        <f>VLOOKUP($A72,Sources!$B$4:$M$104,5,FALSE)*D72</f>
        <v>0</v>
      </c>
      <c r="I72" s="171">
        <f>VLOOKUP($A72,Sources!$B$4:$M$104,5,FALSE)*E72</f>
        <v>0</v>
      </c>
      <c r="J72" s="390"/>
      <c r="K72" s="404">
        <f>VLOOKUP($A72,Sources!$B$4:$M$104,7,FALSE)*C72</f>
        <v>9.6138900000000013E-2</v>
      </c>
      <c r="L72" s="404">
        <f>VLOOKUP($A72,Sources!$B$4:$M$104,7,FALSE)*D72</f>
        <v>0</v>
      </c>
      <c r="M72" s="404">
        <f>VLOOKUP($A72,Sources!$B$4:$M$104,7,FALSE)*E72</f>
        <v>0</v>
      </c>
      <c r="N72" s="390"/>
      <c r="O72" s="358">
        <f>VLOOKUP($A72,Sources!$B$4:$J$104,9,FALSE)</f>
        <v>125</v>
      </c>
      <c r="P72" s="358">
        <f>VLOOKUP($A72,Sources!$B$4:$J$104,9,FALSE)</f>
        <v>125</v>
      </c>
      <c r="Q72" s="358">
        <f>VLOOKUP($A72,Sources!$B$4:$J$104,9,FALSE)</f>
        <v>125</v>
      </c>
      <c r="R72" s="390"/>
      <c r="S72" s="407">
        <v>30</v>
      </c>
      <c r="T72" s="407">
        <v>30</v>
      </c>
      <c r="U72" s="407">
        <v>30</v>
      </c>
      <c r="V72" s="390"/>
      <c r="W72" s="175">
        <f t="shared" ref="W72:W84" si="56">C72*S72</f>
        <v>270</v>
      </c>
      <c r="X72" s="175">
        <f t="shared" ref="X72:X84" si="57">D72*T72</f>
        <v>0</v>
      </c>
      <c r="Y72" s="175">
        <f t="shared" ref="Y72:Y84" si="58">E72*U72</f>
        <v>0</v>
      </c>
      <c r="Z72" s="390"/>
      <c r="AD72" s="390"/>
      <c r="AI72" s="390"/>
      <c r="AJ72" s="189"/>
      <c r="AK72" s="189"/>
      <c r="AL72" s="189"/>
      <c r="AN72" s="451">
        <f>'2014-15 Status Rpt Bencost'!Q73</f>
        <v>0.71635166401148731</v>
      </c>
      <c r="AO72" s="425" t="str">
        <f>'2015'!Q73</f>
        <v>n/a</v>
      </c>
      <c r="AP72" s="425" t="str">
        <f>'2016'!Q73</f>
        <v>n/a</v>
      </c>
      <c r="AS72" s="17"/>
    </row>
    <row r="73" spans="1:45">
      <c r="A73" s="172" t="s">
        <v>343</v>
      </c>
      <c r="B73" s="226">
        <v>0.05</v>
      </c>
      <c r="C73" s="169">
        <v>1</v>
      </c>
      <c r="D73" s="169">
        <f t="shared" si="50"/>
        <v>3</v>
      </c>
      <c r="E73" s="169">
        <f t="shared" si="50"/>
        <v>3</v>
      </c>
      <c r="F73" s="390"/>
      <c r="G73" s="171">
        <f>VLOOKUP($A73,Sources!$B$4:$M$104,5,FALSE)*C73</f>
        <v>334.49</v>
      </c>
      <c r="H73" s="171">
        <f>VLOOKUP($A73,Sources!$B$4:$M$104,5,FALSE)*D73</f>
        <v>1003.47</v>
      </c>
      <c r="I73" s="171">
        <f>VLOOKUP($A73,Sources!$B$4:$M$104,5,FALSE)*E73</f>
        <v>1003.47</v>
      </c>
      <c r="J73" s="390"/>
      <c r="K73" s="404">
        <f>VLOOKUP($A73,Sources!$B$4:$M$104,7,FALSE)*C73</f>
        <v>1.0682100000000002E-2</v>
      </c>
      <c r="L73" s="404">
        <f>VLOOKUP($A73,Sources!$B$4:$M$104,7,FALSE)*D73</f>
        <v>3.2046300000000007E-2</v>
      </c>
      <c r="M73" s="404">
        <f>VLOOKUP($A73,Sources!$B$4:$M$104,7,FALSE)*E73</f>
        <v>3.2046300000000007E-2</v>
      </c>
      <c r="N73" s="390"/>
      <c r="O73" s="358">
        <f>VLOOKUP($A73,Sources!$B$4:$J$104,9,FALSE)</f>
        <v>55</v>
      </c>
      <c r="P73" s="358">
        <f>VLOOKUP($A73,Sources!$B$4:$J$104,9,FALSE)</f>
        <v>55</v>
      </c>
      <c r="Q73" s="358">
        <f>VLOOKUP($A73,Sources!$B$4:$J$104,9,FALSE)</f>
        <v>55</v>
      </c>
      <c r="R73" s="390"/>
      <c r="S73" s="407">
        <v>12</v>
      </c>
      <c r="T73" s="407">
        <v>12</v>
      </c>
      <c r="U73" s="407">
        <v>12</v>
      </c>
      <c r="V73" s="390"/>
      <c r="W73" s="175">
        <f t="shared" si="56"/>
        <v>12</v>
      </c>
      <c r="X73" s="175">
        <f t="shared" si="57"/>
        <v>36</v>
      </c>
      <c r="Y73" s="175">
        <f t="shared" si="58"/>
        <v>36</v>
      </c>
      <c r="Z73" s="390"/>
      <c r="AD73" s="390"/>
      <c r="AI73" s="390"/>
      <c r="AJ73" s="189"/>
      <c r="AK73" s="189"/>
      <c r="AL73" s="189"/>
      <c r="AN73" s="451">
        <f>'2014-15 Status Rpt Bencost'!Q74</f>
        <v>1.6280719636624714</v>
      </c>
      <c r="AO73" s="425">
        <f>'2015'!Q74</f>
        <v>1.6524930431174085</v>
      </c>
      <c r="AP73" s="425">
        <f>'2016'!Q74</f>
        <v>1.6772804387641693</v>
      </c>
    </row>
    <row r="74" spans="1:45">
      <c r="A74" s="172" t="s">
        <v>341</v>
      </c>
      <c r="B74" s="226"/>
      <c r="C74" s="169"/>
      <c r="D74" s="169">
        <f>ROUND($B74*D$44,0)</f>
        <v>0</v>
      </c>
      <c r="E74" s="169">
        <f>ROUND($B74*E$44,0)</f>
        <v>0</v>
      </c>
      <c r="F74" s="390"/>
      <c r="G74" s="171">
        <f>VLOOKUP($A74,Sources!$B$4:$M$104,5,FALSE)*C74</f>
        <v>0</v>
      </c>
      <c r="H74" s="171">
        <f>VLOOKUP($A74,Sources!$B$4:$M$104,5,FALSE)*D74</f>
        <v>0</v>
      </c>
      <c r="I74" s="171">
        <f>VLOOKUP($A74,Sources!$B$4:$M$104,5,FALSE)*E74</f>
        <v>0</v>
      </c>
      <c r="J74" s="390"/>
      <c r="K74" s="404">
        <f>VLOOKUP($A74,Sources!$B$4:$M$104,7,FALSE)*C74</f>
        <v>0</v>
      </c>
      <c r="L74" s="404">
        <f>VLOOKUP($A74,Sources!$B$4:$M$104,7,FALSE)*D74</f>
        <v>0</v>
      </c>
      <c r="M74" s="404">
        <f>VLOOKUP($A74,Sources!$B$4:$M$104,7,FALSE)*E74</f>
        <v>0</v>
      </c>
      <c r="N74" s="390"/>
      <c r="O74" s="358">
        <f>VLOOKUP($A74,Sources!$B$4:$J$104,9,FALSE)</f>
        <v>65</v>
      </c>
      <c r="P74" s="358">
        <f>VLOOKUP($A74,Sources!$B$4:$J$104,9,FALSE)</f>
        <v>65</v>
      </c>
      <c r="Q74" s="358">
        <f>VLOOKUP($A74,Sources!$B$4:$J$104,9,FALSE)</f>
        <v>65</v>
      </c>
      <c r="R74" s="390"/>
      <c r="S74" s="407">
        <v>12</v>
      </c>
      <c r="T74" s="407">
        <v>12</v>
      </c>
      <c r="U74" s="407">
        <v>12</v>
      </c>
      <c r="V74" s="390"/>
      <c r="W74" s="175">
        <f>C74*S74</f>
        <v>0</v>
      </c>
      <c r="X74" s="175">
        <f>D74*T74</f>
        <v>0</v>
      </c>
      <c r="Y74" s="175">
        <f>E74*U74</f>
        <v>0</v>
      </c>
      <c r="Z74" s="390"/>
      <c r="AD74" s="390"/>
      <c r="AI74" s="390"/>
      <c r="AJ74" s="189"/>
      <c r="AK74" s="189"/>
      <c r="AL74" s="189"/>
      <c r="AN74" s="451" t="str">
        <f>'2014-15 Status Rpt Bencost'!Q75</f>
        <v>n/a</v>
      </c>
      <c r="AO74" s="425" t="str">
        <f>'2015'!Q75</f>
        <v>n/a</v>
      </c>
      <c r="AP74" s="425" t="str">
        <f>'2016'!Q75</f>
        <v>n/a</v>
      </c>
    </row>
    <row r="75" spans="1:45">
      <c r="A75" s="172" t="s">
        <v>344</v>
      </c>
      <c r="B75" s="226">
        <v>0.05</v>
      </c>
      <c r="C75" s="169">
        <v>31</v>
      </c>
      <c r="D75" s="169">
        <f t="shared" si="50"/>
        <v>3</v>
      </c>
      <c r="E75" s="169">
        <f t="shared" si="50"/>
        <v>3</v>
      </c>
      <c r="F75" s="390"/>
      <c r="G75" s="171">
        <f>VLOOKUP($A75,Sources!$B$4:$M$104,5,FALSE)*C75</f>
        <v>10369.19</v>
      </c>
      <c r="H75" s="171">
        <f>VLOOKUP($A75,Sources!$B$4:$M$104,5,FALSE)*D75</f>
        <v>1003.47</v>
      </c>
      <c r="I75" s="171">
        <f>VLOOKUP($A75,Sources!$B$4:$M$104,5,FALSE)*E75</f>
        <v>1003.47</v>
      </c>
      <c r="J75" s="390"/>
      <c r="K75" s="404">
        <f>VLOOKUP($A75,Sources!$B$4:$M$104,7,FALSE)*C75</f>
        <v>0.33114510000000003</v>
      </c>
      <c r="L75" s="404">
        <f>VLOOKUP($A75,Sources!$B$4:$M$104,7,FALSE)*D75</f>
        <v>3.2046300000000007E-2</v>
      </c>
      <c r="M75" s="404">
        <f>VLOOKUP($A75,Sources!$B$4:$M$104,7,FALSE)*E75</f>
        <v>3.2046300000000007E-2</v>
      </c>
      <c r="N75" s="390"/>
      <c r="O75" s="358">
        <f>VLOOKUP($A75,Sources!$B$4:$J$104,9,FALSE)</f>
        <v>55</v>
      </c>
      <c r="P75" s="358">
        <f>VLOOKUP($A75,Sources!$B$4:$J$104,9,FALSE)</f>
        <v>55</v>
      </c>
      <c r="Q75" s="358">
        <f>VLOOKUP($A75,Sources!$B$4:$J$104,9,FALSE)</f>
        <v>55</v>
      </c>
      <c r="R75" s="390"/>
      <c r="S75" s="407">
        <v>28</v>
      </c>
      <c r="T75" s="407">
        <v>28</v>
      </c>
      <c r="U75" s="407">
        <v>28</v>
      </c>
      <c r="V75" s="390"/>
      <c r="W75" s="175">
        <f t="shared" si="56"/>
        <v>868</v>
      </c>
      <c r="X75" s="175">
        <f t="shared" si="57"/>
        <v>84</v>
      </c>
      <c r="Y75" s="175">
        <f t="shared" si="58"/>
        <v>84</v>
      </c>
      <c r="Z75" s="390"/>
      <c r="AD75" s="390"/>
      <c r="AI75" s="390"/>
      <c r="AJ75" s="189"/>
      <c r="AK75" s="189"/>
      <c r="AL75" s="189"/>
      <c r="AN75" s="451">
        <f>'2014-15 Status Rpt Bencost'!Q76</f>
        <v>1.6280719636624712</v>
      </c>
      <c r="AO75" s="425">
        <f>'2015'!Q76</f>
        <v>1.6524930431174085</v>
      </c>
      <c r="AP75" s="425">
        <f>'2016'!Q76</f>
        <v>1.6772804387641693</v>
      </c>
    </row>
    <row r="76" spans="1:45">
      <c r="A76" s="172" t="s">
        <v>8</v>
      </c>
      <c r="B76" s="226">
        <v>0.25</v>
      </c>
      <c r="C76" s="169">
        <v>35</v>
      </c>
      <c r="D76" s="169">
        <f t="shared" si="50"/>
        <v>13</v>
      </c>
      <c r="E76" s="169">
        <f t="shared" si="50"/>
        <v>15</v>
      </c>
      <c r="F76" s="390"/>
      <c r="G76" s="171">
        <f>VLOOKUP($A76,Sources!$B$4:$M$104,5,FALSE)*C76</f>
        <v>6331.9005750000006</v>
      </c>
      <c r="H76" s="171">
        <f>VLOOKUP($A76,Sources!$B$4:$M$104,5,FALSE)*D76</f>
        <v>2351.8487850000001</v>
      </c>
      <c r="I76" s="171">
        <f>VLOOKUP($A76,Sources!$B$4:$M$104,5,FALSE)*E76</f>
        <v>2713.6716750000001</v>
      </c>
      <c r="J76" s="390"/>
      <c r="K76" s="404">
        <f>VLOOKUP($A76,Sources!$B$4:$M$104,7,FALSE)*C76</f>
        <v>1.14114</v>
      </c>
      <c r="L76" s="404">
        <f>VLOOKUP($A76,Sources!$B$4:$M$104,7,FALSE)*D76</f>
        <v>0.42385200000000001</v>
      </c>
      <c r="M76" s="404">
        <f>VLOOKUP($A76,Sources!$B$4:$M$104,7,FALSE)*E76</f>
        <v>0.48905999999999999</v>
      </c>
      <c r="N76" s="390"/>
      <c r="O76" s="358">
        <f>VLOOKUP($A76,Sources!$B$4:$J$104,9,FALSE)</f>
        <v>25</v>
      </c>
      <c r="P76" s="358">
        <f>VLOOKUP($A76,Sources!$B$4:$J$104,9,FALSE)</f>
        <v>25</v>
      </c>
      <c r="Q76" s="358">
        <f>VLOOKUP($A76,Sources!$B$4:$J$104,9,FALSE)</f>
        <v>25</v>
      </c>
      <c r="R76" s="390"/>
      <c r="S76" s="407">
        <v>6</v>
      </c>
      <c r="T76" s="407">
        <v>6</v>
      </c>
      <c r="U76" s="407">
        <v>6</v>
      </c>
      <c r="V76" s="390"/>
      <c r="W76" s="175">
        <f t="shared" si="56"/>
        <v>210</v>
      </c>
      <c r="X76" s="175">
        <f t="shared" si="57"/>
        <v>78</v>
      </c>
      <c r="Y76" s="175">
        <f t="shared" si="58"/>
        <v>90</v>
      </c>
      <c r="Z76" s="390"/>
      <c r="AD76" s="390"/>
      <c r="AI76" s="390"/>
      <c r="AJ76" s="189"/>
      <c r="AK76" s="189"/>
      <c r="AL76" s="189"/>
      <c r="AN76" s="451">
        <f>'2014-15 Status Rpt Bencost'!Q77</f>
        <v>3.1001901429916017</v>
      </c>
      <c r="AO76" s="425">
        <f>'2015'!Q77</f>
        <v>3.1466929951364757</v>
      </c>
      <c r="AP76" s="425">
        <f>'2016'!Q77</f>
        <v>3.193893390063522</v>
      </c>
    </row>
    <row r="77" spans="1:45">
      <c r="A77" s="176" t="s">
        <v>349</v>
      </c>
      <c r="B77" s="226">
        <v>0.1</v>
      </c>
      <c r="C77" s="169"/>
      <c r="D77" s="169">
        <f t="shared" si="50"/>
        <v>5</v>
      </c>
      <c r="E77" s="169">
        <f t="shared" si="50"/>
        <v>6</v>
      </c>
      <c r="F77" s="390"/>
      <c r="G77" s="171">
        <f>VLOOKUP($A77,Sources!$B$4:$M$104,5,FALSE)*C77</f>
        <v>0</v>
      </c>
      <c r="H77" s="171">
        <f>VLOOKUP($A77,Sources!$B$4:$M$104,5,FALSE)*D77</f>
        <v>1470.41875</v>
      </c>
      <c r="I77" s="171">
        <f>VLOOKUP($A77,Sources!$B$4:$M$104,5,FALSE)*E77</f>
        <v>1764.5025000000001</v>
      </c>
      <c r="J77" s="390"/>
      <c r="K77" s="404">
        <f>VLOOKUP($A77,Sources!$B$4:$M$104,7,FALSE)*C77</f>
        <v>0</v>
      </c>
      <c r="L77" s="404">
        <f>VLOOKUP($A77,Sources!$B$4:$M$104,7,FALSE)*D77</f>
        <v>0.22737000000000002</v>
      </c>
      <c r="M77" s="404">
        <f>VLOOKUP($A77,Sources!$B$4:$M$104,7,FALSE)*E77</f>
        <v>0.27284399999999998</v>
      </c>
      <c r="N77" s="390"/>
      <c r="O77" s="358">
        <f>VLOOKUP($A77,Sources!$B$4:$J$104,9,FALSE)</f>
        <v>34</v>
      </c>
      <c r="P77" s="358">
        <f>VLOOKUP($A77,Sources!$B$4:$J$104,9,FALSE)</f>
        <v>34</v>
      </c>
      <c r="Q77" s="358">
        <f>VLOOKUP($A77,Sources!$B$4:$J$104,9,FALSE)</f>
        <v>34</v>
      </c>
      <c r="R77" s="390"/>
      <c r="S77" s="407">
        <v>10</v>
      </c>
      <c r="T77" s="407">
        <v>10</v>
      </c>
      <c r="U77" s="407">
        <v>10</v>
      </c>
      <c r="V77" s="390"/>
      <c r="W77" s="175">
        <f t="shared" si="56"/>
        <v>0</v>
      </c>
      <c r="X77" s="175">
        <f t="shared" si="57"/>
        <v>50</v>
      </c>
      <c r="Y77" s="175">
        <f t="shared" si="58"/>
        <v>60</v>
      </c>
      <c r="Z77" s="390"/>
      <c r="AD77" s="390"/>
      <c r="AI77" s="390"/>
      <c r="AJ77" s="189"/>
      <c r="AK77" s="189"/>
      <c r="AL77" s="189"/>
      <c r="AN77" s="451" t="str">
        <f>'2014-15 Status Rpt Bencost'!Q78</f>
        <v>n/a</v>
      </c>
      <c r="AO77" s="425">
        <f>'2015'!Q78</f>
        <v>2.8854855433131998</v>
      </c>
      <c r="AP77" s="425">
        <f>'2016'!Q78</f>
        <v>2.9287678264628965</v>
      </c>
    </row>
    <row r="78" spans="1:45">
      <c r="A78" s="176" t="s">
        <v>347</v>
      </c>
      <c r="B78" s="226">
        <v>0.1</v>
      </c>
      <c r="C78" s="169">
        <v>545</v>
      </c>
      <c r="D78" s="169">
        <f t="shared" si="50"/>
        <v>5</v>
      </c>
      <c r="E78" s="169">
        <f t="shared" si="50"/>
        <v>6</v>
      </c>
      <c r="F78" s="390"/>
      <c r="G78" s="171">
        <f>VLOOKUP($A78,Sources!$B$4:$M$104,5,FALSE)*C78</f>
        <v>133059.02499999999</v>
      </c>
      <c r="H78" s="171">
        <f>VLOOKUP($A78,Sources!$B$4:$M$104,5,FALSE)*D78</f>
        <v>1220.7250000000001</v>
      </c>
      <c r="I78" s="171">
        <f>VLOOKUP($A78,Sources!$B$4:$M$104,5,FALSE)*E78</f>
        <v>1464.8700000000001</v>
      </c>
      <c r="J78" s="390"/>
      <c r="K78" s="404">
        <f>VLOOKUP($A78,Sources!$B$4:$M$104,7,FALSE)*C78</f>
        <v>20.574840000000002</v>
      </c>
      <c r="L78" s="404">
        <f>VLOOKUP($A78,Sources!$B$4:$M$104,7,FALSE)*D78</f>
        <v>0.18876000000000001</v>
      </c>
      <c r="M78" s="404">
        <f>VLOOKUP($A78,Sources!$B$4:$M$104,7,FALSE)*E78</f>
        <v>0.22651199999999999</v>
      </c>
      <c r="N78" s="390"/>
      <c r="O78" s="358">
        <f>VLOOKUP($A78,Sources!$B$4:$J$104,9,FALSE)</f>
        <v>40</v>
      </c>
      <c r="P78" s="358">
        <f>VLOOKUP($A78,Sources!$B$4:$J$104,9,FALSE)</f>
        <v>40</v>
      </c>
      <c r="Q78" s="358">
        <f>VLOOKUP($A78,Sources!$B$4:$J$104,9,FALSE)</f>
        <v>40</v>
      </c>
      <c r="R78" s="390"/>
      <c r="S78" s="407">
        <v>17</v>
      </c>
      <c r="T78" s="407">
        <v>17</v>
      </c>
      <c r="U78" s="407">
        <v>17</v>
      </c>
      <c r="V78" s="390"/>
      <c r="W78" s="175">
        <f t="shared" si="56"/>
        <v>9265</v>
      </c>
      <c r="X78" s="175">
        <f t="shared" si="57"/>
        <v>85</v>
      </c>
      <c r="Y78" s="175">
        <f t="shared" si="58"/>
        <v>102</v>
      </c>
      <c r="Z78" s="390"/>
      <c r="AD78" s="390"/>
      <c r="AI78" s="390"/>
      <c r="AJ78" s="189"/>
      <c r="AK78" s="189"/>
      <c r="AL78" s="189"/>
      <c r="AN78" s="451">
        <f>'2014-15 Status Rpt Bencost'!Q79</f>
        <v>2.0060815934550358</v>
      </c>
      <c r="AO78" s="425">
        <f>'2015'!Q79</f>
        <v>2.0361728173568618</v>
      </c>
      <c r="AP78" s="425">
        <f>'2016'!Q79</f>
        <v>2.0667154096172138</v>
      </c>
    </row>
    <row r="79" spans="1:45">
      <c r="A79" s="176" t="s">
        <v>348</v>
      </c>
      <c r="B79" s="226">
        <v>0.1</v>
      </c>
      <c r="C79" s="169">
        <v>111</v>
      </c>
      <c r="D79" s="169">
        <f t="shared" si="50"/>
        <v>5</v>
      </c>
      <c r="E79" s="169">
        <f t="shared" si="50"/>
        <v>6</v>
      </c>
      <c r="F79" s="390"/>
      <c r="G79" s="171">
        <f>VLOOKUP($A79,Sources!$B$4:$M$104,5,FALSE)*C79</f>
        <v>61591.125</v>
      </c>
      <c r="H79" s="171">
        <f>VLOOKUP($A79,Sources!$B$4:$M$104,5,FALSE)*D79</f>
        <v>2774.375</v>
      </c>
      <c r="I79" s="171">
        <f>VLOOKUP($A79,Sources!$B$4:$M$104,5,FALSE)*E79</f>
        <v>3329.25</v>
      </c>
      <c r="J79" s="390"/>
      <c r="K79" s="404">
        <f>VLOOKUP($A79,Sources!$B$4:$M$104,7,FALSE)*C79</f>
        <v>9.5237999999999996</v>
      </c>
      <c r="L79" s="404">
        <f>VLOOKUP($A79,Sources!$B$4:$M$104,7,FALSE)*D79</f>
        <v>0.42899999999999999</v>
      </c>
      <c r="M79" s="404">
        <f>VLOOKUP($A79,Sources!$B$4:$M$104,7,FALSE)*E79</f>
        <v>0.51480000000000004</v>
      </c>
      <c r="N79" s="390"/>
      <c r="O79" s="358">
        <f>VLOOKUP($A79,Sources!$B$4:$J$104,9,FALSE)</f>
        <v>65</v>
      </c>
      <c r="P79" s="358">
        <f>VLOOKUP($A79,Sources!$B$4:$J$104,9,FALSE)</f>
        <v>65</v>
      </c>
      <c r="Q79" s="358">
        <f>VLOOKUP($A79,Sources!$B$4:$J$104,9,FALSE)</f>
        <v>65</v>
      </c>
      <c r="R79" s="390"/>
      <c r="S79" s="407">
        <v>25</v>
      </c>
      <c r="T79" s="407">
        <v>25</v>
      </c>
      <c r="U79" s="407">
        <v>25</v>
      </c>
      <c r="V79" s="390"/>
      <c r="W79" s="175">
        <f t="shared" si="56"/>
        <v>2775</v>
      </c>
      <c r="X79" s="175">
        <f t="shared" si="57"/>
        <v>125</v>
      </c>
      <c r="Y79" s="175">
        <f t="shared" si="58"/>
        <v>150</v>
      </c>
      <c r="Z79" s="390"/>
      <c r="AD79" s="390"/>
      <c r="AI79" s="390"/>
      <c r="AJ79" s="189"/>
      <c r="AK79" s="189"/>
      <c r="AL79" s="189"/>
      <c r="AN79" s="451">
        <f>'2014-15 Status Rpt Bencost'!Q80</f>
        <v>2.805708522314736</v>
      </c>
      <c r="AO79" s="425">
        <f>'2015'!Q80</f>
        <v>2.8477941501494564</v>
      </c>
      <c r="AP79" s="425">
        <f>'2016'!Q80</f>
        <v>2.8905110624016976</v>
      </c>
    </row>
    <row r="80" spans="1:45">
      <c r="A80" s="172" t="s">
        <v>412</v>
      </c>
      <c r="B80" s="226">
        <v>0.05</v>
      </c>
      <c r="C80" s="169">
        <v>5120</v>
      </c>
      <c r="D80" s="169">
        <f t="shared" si="50"/>
        <v>3</v>
      </c>
      <c r="E80" s="169">
        <f t="shared" si="50"/>
        <v>3</v>
      </c>
      <c r="F80" s="390"/>
      <c r="G80" s="171">
        <v>860535</v>
      </c>
      <c r="H80" s="171">
        <f>VLOOKUP($A80,Sources!$B$4:$M$104,5,FALSE)*D80</f>
        <v>749.08124999999995</v>
      </c>
      <c r="I80" s="171">
        <f>VLOOKUP($A80,Sources!$B$4:$M$104,5,FALSE)*E80</f>
        <v>749.08124999999995</v>
      </c>
      <c r="J80" s="390"/>
      <c r="K80" s="404">
        <v>226.125</v>
      </c>
      <c r="L80" s="404">
        <f>VLOOKUP($A80,Sources!$B$4:$M$104,7,FALSE)*D80</f>
        <v>0.11583000000000002</v>
      </c>
      <c r="M80" s="404">
        <f>VLOOKUP($A80,Sources!$B$4:$M$104,7,FALSE)*E80</f>
        <v>0.11583000000000002</v>
      </c>
      <c r="N80" s="390"/>
      <c r="O80" s="358">
        <f>VLOOKUP($A80,Sources!$B$4:$J$104,9,FALSE)</f>
        <v>9.5</v>
      </c>
      <c r="P80" s="358">
        <f>VLOOKUP($A80,Sources!$B$4:$J$104,9,FALSE)</f>
        <v>9.5</v>
      </c>
      <c r="Q80" s="358">
        <f>VLOOKUP($A80,Sources!$B$4:$J$104,9,FALSE)</f>
        <v>9.5</v>
      </c>
      <c r="R80" s="390"/>
      <c r="S80" s="407">
        <v>25</v>
      </c>
      <c r="T80" s="407">
        <v>25</v>
      </c>
      <c r="U80" s="407">
        <v>25</v>
      </c>
      <c r="V80" s="390"/>
      <c r="W80" s="175">
        <f t="shared" si="56"/>
        <v>128000</v>
      </c>
      <c r="X80" s="175">
        <f t="shared" si="57"/>
        <v>75</v>
      </c>
      <c r="Y80" s="175">
        <f t="shared" si="58"/>
        <v>75</v>
      </c>
      <c r="Z80" s="390"/>
      <c r="AD80" s="390"/>
      <c r="AI80" s="390"/>
      <c r="AJ80" s="189"/>
      <c r="AK80" s="189"/>
      <c r="AL80" s="189"/>
      <c r="AN80" s="451">
        <f>'2014-15 Status Rpt Bencost'!Q81</f>
        <v>8.0841747619047251</v>
      </c>
      <c r="AO80" s="425">
        <f>'2015'!Q81</f>
        <v>11.738967559262219</v>
      </c>
      <c r="AP80" s="425">
        <f>'2016'!Q81</f>
        <v>11.91505207265115</v>
      </c>
    </row>
    <row r="81" spans="1:44">
      <c r="A81" s="172" t="s">
        <v>413</v>
      </c>
      <c r="B81" s="226">
        <v>0.05</v>
      </c>
      <c r="C81" s="169">
        <v>428</v>
      </c>
      <c r="D81" s="169">
        <f t="shared" si="50"/>
        <v>3</v>
      </c>
      <c r="E81" s="169">
        <f t="shared" si="50"/>
        <v>3</v>
      </c>
      <c r="F81" s="390"/>
      <c r="G81" s="171">
        <f>VLOOKUP($A81,Sources!$B$4:$M$104,5,FALSE)*C81</f>
        <v>130617.57500000001</v>
      </c>
      <c r="H81" s="171">
        <f>VLOOKUP($A81,Sources!$B$4:$M$104,5,FALSE)*D81</f>
        <v>915.54375000000005</v>
      </c>
      <c r="I81" s="171">
        <f>VLOOKUP($A81,Sources!$B$4:$M$104,5,FALSE)*E81</f>
        <v>915.54375000000005</v>
      </c>
      <c r="J81" s="390"/>
      <c r="K81" s="404">
        <f>VLOOKUP($A81,Sources!$B$4:$M$104,7,FALSE)*C81</f>
        <v>20.197320000000001</v>
      </c>
      <c r="L81" s="404">
        <f>VLOOKUP($A81,Sources!$B$4:$M$104,7,FALSE)*D81</f>
        <v>0.14157</v>
      </c>
      <c r="M81" s="404">
        <f>VLOOKUP($A81,Sources!$B$4:$M$104,7,FALSE)*E81</f>
        <v>0.14157</v>
      </c>
      <c r="N81" s="390"/>
      <c r="O81" s="358">
        <f>VLOOKUP($A81,Sources!$B$4:$J$104,9,FALSE)</f>
        <v>9.5</v>
      </c>
      <c r="P81" s="358">
        <f>VLOOKUP($A81,Sources!$B$4:$J$104,9,FALSE)</f>
        <v>9.5</v>
      </c>
      <c r="Q81" s="358">
        <f>VLOOKUP($A81,Sources!$B$4:$J$104,9,FALSE)</f>
        <v>9.5</v>
      </c>
      <c r="R81" s="390"/>
      <c r="S81" s="407">
        <v>35</v>
      </c>
      <c r="T81" s="407">
        <v>35</v>
      </c>
      <c r="U81" s="407">
        <v>35</v>
      </c>
      <c r="V81" s="390"/>
      <c r="W81" s="175">
        <f t="shared" si="56"/>
        <v>14980</v>
      </c>
      <c r="X81" s="175">
        <f t="shared" si="57"/>
        <v>105</v>
      </c>
      <c r="Y81" s="175">
        <f t="shared" si="58"/>
        <v>105</v>
      </c>
      <c r="Z81" s="390"/>
      <c r="AD81" s="390"/>
      <c r="AI81" s="390"/>
      <c r="AJ81" s="189"/>
      <c r="AK81" s="189"/>
      <c r="AL81" s="189"/>
      <c r="AN81" s="451">
        <f>'2014-15 Status Rpt Bencost'!Q82</f>
        <v>14.135593120074926</v>
      </c>
      <c r="AO81" s="425">
        <f>'2015'!Q82</f>
        <v>14.347627016876048</v>
      </c>
      <c r="AP81" s="425">
        <f>'2016'!Q82</f>
        <v>14.562841422129186</v>
      </c>
      <c r="AR81" s="17"/>
    </row>
    <row r="82" spans="1:44">
      <c r="A82" s="172" t="s">
        <v>537</v>
      </c>
      <c r="B82" s="226"/>
      <c r="C82" s="169">
        <v>9</v>
      </c>
      <c r="D82" s="169">
        <f t="shared" si="50"/>
        <v>0</v>
      </c>
      <c r="E82" s="169">
        <f t="shared" si="50"/>
        <v>0</v>
      </c>
      <c r="F82" s="390"/>
      <c r="G82" s="171">
        <f>VLOOKUP($A82,Sources!$B$4:$M$104,5,FALSE)*C82</f>
        <v>3367.6019999999994</v>
      </c>
      <c r="H82" s="171">
        <f>VLOOKUP($A82,Sources!$B$4:$M$104,5,FALSE)*D82</f>
        <v>0</v>
      </c>
      <c r="I82" s="171">
        <f>VLOOKUP($A82,Sources!$B$4:$M$104,5,FALSE)*E82</f>
        <v>0</v>
      </c>
      <c r="J82" s="390"/>
      <c r="K82" s="404">
        <f>VLOOKUP($A82,Sources!$B$4:$M$104,7,FALSE)*C82</f>
        <v>0</v>
      </c>
      <c r="L82" s="404">
        <f>VLOOKUP($A82,Sources!$B$4:$M$104,7,FALSE)*D82</f>
        <v>0</v>
      </c>
      <c r="M82" s="404">
        <f>VLOOKUP($A82,Sources!$B$4:$M$104,7,FALSE)*E82</f>
        <v>0</v>
      </c>
      <c r="N82" s="390"/>
      <c r="O82" s="358">
        <f>VLOOKUP($A82,Sources!$B$4:$J$104,9,FALSE)</f>
        <v>125</v>
      </c>
      <c r="P82" s="358">
        <f>VLOOKUP($A82,Sources!$B$4:$J$104,9,FALSE)</f>
        <v>125</v>
      </c>
      <c r="Q82" s="358">
        <f>VLOOKUP($A82,Sources!$B$4:$J$104,9,FALSE)</f>
        <v>125</v>
      </c>
      <c r="R82" s="390"/>
      <c r="S82" s="407">
        <v>35</v>
      </c>
      <c r="T82" s="407">
        <v>35</v>
      </c>
      <c r="U82" s="407">
        <v>35</v>
      </c>
      <c r="V82" s="390"/>
      <c r="W82" s="175">
        <f t="shared" si="56"/>
        <v>315</v>
      </c>
      <c r="X82" s="175">
        <f t="shared" si="57"/>
        <v>0</v>
      </c>
      <c r="Y82" s="175">
        <f t="shared" si="58"/>
        <v>0</v>
      </c>
      <c r="Z82" s="390"/>
      <c r="AD82" s="390"/>
      <c r="AI82" s="390"/>
      <c r="AJ82" s="189"/>
      <c r="AK82" s="189"/>
      <c r="AL82" s="189"/>
      <c r="AN82" s="451">
        <f>'2014-15 Status Rpt Bencost'!Q83</f>
        <v>1.2010114268706942</v>
      </c>
      <c r="AO82" s="425" t="str">
        <f>'2015'!Q83</f>
        <v>n/a</v>
      </c>
      <c r="AP82" s="425" t="str">
        <f>'2016'!Q83</f>
        <v>n/a</v>
      </c>
    </row>
    <row r="83" spans="1:44">
      <c r="A83" s="172" t="s">
        <v>538</v>
      </c>
      <c r="B83" s="226"/>
      <c r="C83" s="169">
        <v>66</v>
      </c>
      <c r="D83" s="169">
        <f t="shared" si="50"/>
        <v>0</v>
      </c>
      <c r="E83" s="169">
        <f t="shared" si="50"/>
        <v>0</v>
      </c>
      <c r="F83" s="390"/>
      <c r="G83" s="171">
        <f>VLOOKUP($A83,Sources!$B$4:$M$104,5,FALSE)*C83</f>
        <v>30466.656000000003</v>
      </c>
      <c r="H83" s="171">
        <f>VLOOKUP($A83,Sources!$B$4:$M$104,5,FALSE)*D83</f>
        <v>0</v>
      </c>
      <c r="I83" s="171">
        <f>VLOOKUP($A83,Sources!$B$4:$M$104,5,FALSE)*E83</f>
        <v>0</v>
      </c>
      <c r="J83" s="390"/>
      <c r="K83" s="404">
        <f>VLOOKUP($A83,Sources!$B$4:$M$104,7,FALSE)*C83</f>
        <v>0</v>
      </c>
      <c r="L83" s="404">
        <f>VLOOKUP($A83,Sources!$B$4:$M$104,7,FALSE)*D83</f>
        <v>0</v>
      </c>
      <c r="M83" s="404">
        <f>VLOOKUP($A83,Sources!$B$4:$M$104,7,FALSE)*E83</f>
        <v>0</v>
      </c>
      <c r="N83" s="390"/>
      <c r="O83" s="358">
        <f>VLOOKUP($A83,Sources!$B$4:$J$104,9,FALSE)</f>
        <v>250</v>
      </c>
      <c r="P83" s="358">
        <f>VLOOKUP($A83,Sources!$B$4:$J$104,9,FALSE)</f>
        <v>250</v>
      </c>
      <c r="Q83" s="358">
        <f>VLOOKUP($A83,Sources!$B$4:$J$104,9,FALSE)</f>
        <v>250</v>
      </c>
      <c r="R83" s="390"/>
      <c r="S83" s="407">
        <v>75</v>
      </c>
      <c r="T83" s="407">
        <v>75</v>
      </c>
      <c r="U83" s="407">
        <v>75</v>
      </c>
      <c r="V83" s="390"/>
      <c r="W83" s="175">
        <f t="shared" si="56"/>
        <v>4950</v>
      </c>
      <c r="X83" s="175">
        <f t="shared" si="57"/>
        <v>0</v>
      </c>
      <c r="Y83" s="175">
        <f t="shared" si="58"/>
        <v>0</v>
      </c>
      <c r="Z83" s="390"/>
      <c r="AD83" s="390"/>
      <c r="AI83" s="390"/>
      <c r="AJ83" s="189"/>
      <c r="AK83" s="189"/>
      <c r="AL83" s="189"/>
      <c r="AN83" s="451">
        <f>'2014-15 Status Rpt Bencost'!Q84</f>
        <v>0.74083202490037203</v>
      </c>
      <c r="AO83" s="425" t="str">
        <f>'2015'!Q84</f>
        <v>n/a</v>
      </c>
      <c r="AP83" s="425" t="str">
        <f>'2016'!Q84</f>
        <v>n/a</v>
      </c>
    </row>
    <row r="84" spans="1:44">
      <c r="A84" s="172" t="s">
        <v>539</v>
      </c>
      <c r="B84" s="226"/>
      <c r="C84" s="169">
        <v>142</v>
      </c>
      <c r="D84" s="169">
        <f t="shared" si="50"/>
        <v>0</v>
      </c>
      <c r="E84" s="169">
        <f t="shared" si="50"/>
        <v>0</v>
      </c>
      <c r="F84" s="390"/>
      <c r="G84" s="171">
        <f>VLOOKUP($A84,Sources!$B$4:$M$104,5,FALSE)*C84</f>
        <v>122955.52799999999</v>
      </c>
      <c r="H84" s="171">
        <f>VLOOKUP($A84,Sources!$B$4:$M$104,5,FALSE)*D84</f>
        <v>0</v>
      </c>
      <c r="I84" s="171">
        <f>VLOOKUP($A84,Sources!$B$4:$M$104,5,FALSE)*E84</f>
        <v>0</v>
      </c>
      <c r="J84" s="390"/>
      <c r="K84" s="404">
        <f>VLOOKUP($A84,Sources!$B$4:$M$104,7,FALSE)*C84</f>
        <v>0</v>
      </c>
      <c r="L84" s="404">
        <f>VLOOKUP($A84,Sources!$B$4:$M$104,7,FALSE)*D84</f>
        <v>0</v>
      </c>
      <c r="M84" s="404">
        <f>VLOOKUP($A84,Sources!$B$4:$M$104,7,FALSE)*E84</f>
        <v>0</v>
      </c>
      <c r="N84" s="390"/>
      <c r="O84" s="358">
        <f>VLOOKUP($A84,Sources!$B$4:$J$104,9,FALSE)</f>
        <v>375</v>
      </c>
      <c r="P84" s="358">
        <f>VLOOKUP($A84,Sources!$B$4:$J$104,9,FALSE)</f>
        <v>375</v>
      </c>
      <c r="Q84" s="358">
        <f>VLOOKUP($A84,Sources!$B$4:$J$104,9,FALSE)</f>
        <v>375</v>
      </c>
      <c r="R84" s="390"/>
      <c r="S84" s="407">
        <v>100</v>
      </c>
      <c r="T84" s="407">
        <v>100</v>
      </c>
      <c r="U84" s="407">
        <v>100</v>
      </c>
      <c r="V84" s="390"/>
      <c r="W84" s="175">
        <f t="shared" si="56"/>
        <v>14200</v>
      </c>
      <c r="X84" s="175">
        <f t="shared" si="57"/>
        <v>0</v>
      </c>
      <c r="Y84" s="175">
        <f t="shared" si="58"/>
        <v>0</v>
      </c>
      <c r="Z84" s="390"/>
      <c r="AD84" s="390"/>
      <c r="AI84" s="390"/>
      <c r="AJ84" s="189"/>
      <c r="AK84" s="189"/>
      <c r="AL84" s="189"/>
      <c r="AN84" s="451">
        <f>'2014-15 Status Rpt Bencost'!Q85</f>
        <v>0.9264187796044524</v>
      </c>
      <c r="AO84" s="425" t="str">
        <f>'2015'!Q85</f>
        <v>n/a</v>
      </c>
      <c r="AP84" s="425" t="str">
        <f>'2016'!Q85</f>
        <v>n/a</v>
      </c>
    </row>
    <row r="85" spans="1:44" ht="12">
      <c r="A85" s="387" t="s">
        <v>207</v>
      </c>
      <c r="B85" s="173"/>
      <c r="C85" s="387">
        <f>SUM(C86:C89)</f>
        <v>2</v>
      </c>
      <c r="D85" s="387">
        <f>SUM(D86:D89)</f>
        <v>62</v>
      </c>
      <c r="E85" s="387">
        <f>SUM(E86:E89)</f>
        <v>80</v>
      </c>
      <c r="F85" s="390"/>
      <c r="G85" s="387">
        <f>SUM(G86:G89)</f>
        <v>1813.4565434565404</v>
      </c>
      <c r="H85" s="387">
        <f t="shared" ref="H85:I85" si="59">SUM(H86:H89)</f>
        <v>259719.83975165035</v>
      </c>
      <c r="I85" s="387">
        <f t="shared" si="59"/>
        <v>328984.07227514777</v>
      </c>
      <c r="J85" s="390"/>
      <c r="K85" s="387">
        <f t="shared" ref="K85:M85" si="60">SUM(K86:K89)</f>
        <v>0.60197802197802286</v>
      </c>
      <c r="L85" s="387">
        <f t="shared" si="60"/>
        <v>29.959566316296918</v>
      </c>
      <c r="M85" s="387">
        <f t="shared" si="60"/>
        <v>37.654792561881287</v>
      </c>
      <c r="N85" s="390"/>
      <c r="O85" s="388"/>
      <c r="P85" s="388"/>
      <c r="Q85" s="388"/>
      <c r="R85" s="390"/>
      <c r="S85" s="405"/>
      <c r="T85" s="405"/>
      <c r="U85" s="405"/>
      <c r="V85" s="390"/>
      <c r="W85" s="389">
        <v>150</v>
      </c>
      <c r="X85" s="389">
        <f t="shared" ref="X85:Y85" si="61">SUM(X86:X89)</f>
        <v>18400</v>
      </c>
      <c r="Y85" s="389">
        <f t="shared" si="61"/>
        <v>23500</v>
      </c>
      <c r="Z85" s="390"/>
      <c r="AD85" s="390"/>
      <c r="AI85" s="390"/>
      <c r="AJ85" s="189"/>
      <c r="AK85" s="189"/>
      <c r="AL85" s="189"/>
      <c r="AN85" s="479">
        <f>'2014-15 Status Rpt Bencost'!Q86</f>
        <v>1.1059862605865023</v>
      </c>
      <c r="AO85" s="450">
        <f>'2015'!Q86</f>
        <v>1.9225750633591676</v>
      </c>
      <c r="AP85" s="450">
        <f>'2016'!Q86</f>
        <v>1.9297605099579598</v>
      </c>
    </row>
    <row r="86" spans="1:44">
      <c r="A86" s="172" t="s">
        <v>20</v>
      </c>
      <c r="B86" s="226"/>
      <c r="C86" s="169">
        <v>0</v>
      </c>
      <c r="D86" s="169">
        <v>20</v>
      </c>
      <c r="E86" s="169">
        <v>25</v>
      </c>
      <c r="F86" s="390"/>
      <c r="G86" s="171">
        <f>VLOOKUP($A86,Sources!$B$4:$M$104,5,FALSE)*C86</f>
        <v>0</v>
      </c>
      <c r="H86" s="171">
        <f>VLOOKUP($A86,Sources!$B$4:$M$104,5,FALSE)*D86</f>
        <v>39611.036022800705</v>
      </c>
      <c r="I86" s="171">
        <f>VLOOKUP($A86,Sources!$B$4:$M$104,5,FALSE)*E86</f>
        <v>49513.795028500877</v>
      </c>
      <c r="J86" s="390"/>
      <c r="K86" s="404">
        <f>VLOOKUP($A86,Sources!$B$4:$M$104,7,FALSE)*C86</f>
        <v>0</v>
      </c>
      <c r="L86" s="404">
        <f>VLOOKUP($A86,Sources!$B$4:$M$104,7,FALSE)*D86</f>
        <v>6.0197802197802286</v>
      </c>
      <c r="M86" s="404">
        <f>VLOOKUP($A86,Sources!$B$4:$M$104,7,FALSE)*E86</f>
        <v>7.5247252747252862</v>
      </c>
      <c r="N86" s="390"/>
      <c r="O86" s="358">
        <f>VLOOKUP($A86,Sources!$B$4:$J$104,9,FALSE)</f>
        <v>370</v>
      </c>
      <c r="P86" s="358">
        <f>VLOOKUP($A86,Sources!$B$4:$J$104,9,FALSE)</f>
        <v>370</v>
      </c>
      <c r="Q86" s="358">
        <f>VLOOKUP($A86,Sources!$B$4:$J$104,9,FALSE)</f>
        <v>370</v>
      </c>
      <c r="R86" s="390"/>
      <c r="S86" s="407">
        <f t="shared" ref="S86:U87" si="62">50*5</f>
        <v>250</v>
      </c>
      <c r="T86" s="407">
        <f t="shared" si="62"/>
        <v>250</v>
      </c>
      <c r="U86" s="407">
        <f t="shared" si="62"/>
        <v>250</v>
      </c>
      <c r="V86" s="390"/>
      <c r="W86" s="175">
        <f t="shared" ref="W86:Y89" si="63">C86*S86</f>
        <v>0</v>
      </c>
      <c r="X86" s="175">
        <f t="shared" si="63"/>
        <v>5000</v>
      </c>
      <c r="Y86" s="175">
        <f t="shared" si="63"/>
        <v>6250</v>
      </c>
      <c r="Z86" s="390"/>
      <c r="AD86" s="390"/>
      <c r="AI86" s="390"/>
      <c r="AJ86" s="189"/>
      <c r="AK86" s="189"/>
      <c r="AL86" s="189"/>
      <c r="AN86" s="451" t="str">
        <f>'2014-15 Status Rpt Bencost'!Q87</f>
        <v>n/a</v>
      </c>
      <c r="AO86" s="425">
        <f>'2015'!Q87</f>
        <v>2.3044635484632856</v>
      </c>
      <c r="AP86" s="425">
        <f>'2016'!Q87</f>
        <v>2.3390305016902353</v>
      </c>
    </row>
    <row r="87" spans="1:44">
      <c r="A87" s="172" t="s">
        <v>21</v>
      </c>
      <c r="B87" s="226"/>
      <c r="C87" s="169">
        <v>2</v>
      </c>
      <c r="D87" s="169">
        <v>20</v>
      </c>
      <c r="E87" s="169">
        <v>25</v>
      </c>
      <c r="F87" s="390"/>
      <c r="G87" s="171">
        <f>VLOOKUP($A87,Sources!$B$4:$M$104,5,FALSE)*C87</f>
        <v>1813.4565434565404</v>
      </c>
      <c r="H87" s="171">
        <f>VLOOKUP($A87,Sources!$B$4:$M$104,5,FALSE)*D87</f>
        <v>18134.565434565404</v>
      </c>
      <c r="I87" s="171">
        <f>VLOOKUP($A87,Sources!$B$4:$M$104,5,FALSE)*E87</f>
        <v>22668.206793206755</v>
      </c>
      <c r="J87" s="390"/>
      <c r="K87" s="404">
        <f>VLOOKUP($A87,Sources!$B$4:$M$104,7,FALSE)*C87</f>
        <v>0.60197802197802286</v>
      </c>
      <c r="L87" s="404">
        <f>VLOOKUP($A87,Sources!$B$4:$M$104,7,FALSE)*D87</f>
        <v>6.0197802197802286</v>
      </c>
      <c r="M87" s="404">
        <f>VLOOKUP($A87,Sources!$B$4:$M$104,7,FALSE)*E87</f>
        <v>7.5247252747252862</v>
      </c>
      <c r="N87" s="390"/>
      <c r="O87" s="358">
        <f>VLOOKUP($A87,Sources!$B$4:$J$104,9,FALSE)</f>
        <v>370</v>
      </c>
      <c r="P87" s="358">
        <f>VLOOKUP($A87,Sources!$B$4:$J$104,9,FALSE)</f>
        <v>370</v>
      </c>
      <c r="Q87" s="358">
        <f>VLOOKUP($A87,Sources!$B$4:$J$104,9,FALSE)</f>
        <v>370</v>
      </c>
      <c r="R87" s="390"/>
      <c r="S87" s="407">
        <f t="shared" si="62"/>
        <v>250</v>
      </c>
      <c r="T87" s="407">
        <f t="shared" si="62"/>
        <v>250</v>
      </c>
      <c r="U87" s="407">
        <f t="shared" si="62"/>
        <v>250</v>
      </c>
      <c r="V87" s="390"/>
      <c r="W87" s="175">
        <f t="shared" si="63"/>
        <v>500</v>
      </c>
      <c r="X87" s="175">
        <f t="shared" si="63"/>
        <v>5000</v>
      </c>
      <c r="Y87" s="175">
        <f t="shared" si="63"/>
        <v>6250</v>
      </c>
      <c r="Z87" s="390"/>
      <c r="AD87" s="390"/>
      <c r="AI87" s="390"/>
      <c r="AJ87" s="189"/>
      <c r="AK87" s="189"/>
      <c r="AL87" s="189"/>
      <c r="AN87" s="451">
        <f>'2014-15 Status Rpt Bencost'!Q88</f>
        <v>1.1059862605865023</v>
      </c>
      <c r="AO87" s="425">
        <f>'2015'!Q88</f>
        <v>1.1225760544952994</v>
      </c>
      <c r="AP87" s="425">
        <f>'2016'!Q88</f>
        <v>1.1394146953127289</v>
      </c>
    </row>
    <row r="88" spans="1:44">
      <c r="A88" s="172" t="s">
        <v>136</v>
      </c>
      <c r="B88" s="226"/>
      <c r="C88" s="169"/>
      <c r="D88" s="169">
        <v>8</v>
      </c>
      <c r="E88" s="169">
        <v>10</v>
      </c>
      <c r="F88" s="390"/>
      <c r="G88" s="171">
        <f>VLOOKUP($A88,Sources!$B$4:$M$104,5,FALSE)*C88</f>
        <v>0</v>
      </c>
      <c r="H88" s="171">
        <f>VLOOKUP($A88,Sources!$B$4:$M$104,5,FALSE)*D88</f>
        <v>177702.3118150091</v>
      </c>
      <c r="I88" s="171">
        <f>VLOOKUP($A88,Sources!$B$4:$M$104,5,FALSE)*E88</f>
        <v>222127.88976876138</v>
      </c>
      <c r="J88" s="390"/>
      <c r="K88" s="404">
        <f>VLOOKUP($A88,Sources!$B$4:$M$104,7,FALSE)*C88</f>
        <v>0</v>
      </c>
      <c r="L88" s="404">
        <f>VLOOKUP($A88,Sources!$B$4:$M$104,7,FALSE)*D88</f>
        <v>16.770131744279684</v>
      </c>
      <c r="M88" s="404">
        <f>VLOOKUP($A88,Sources!$B$4:$M$104,7,FALSE)*E88</f>
        <v>20.962664680349604</v>
      </c>
      <c r="N88" s="390"/>
      <c r="O88" s="358">
        <f>VLOOKUP($A88,Sources!$B$4:$J$104,9,FALSE)</f>
        <v>4100</v>
      </c>
      <c r="P88" s="358">
        <f>VLOOKUP($A88,Sources!$B$4:$J$104,9,FALSE)</f>
        <v>4100</v>
      </c>
      <c r="Q88" s="358">
        <f>VLOOKUP($A88,Sources!$B$4:$J$104,9,FALSE)</f>
        <v>4100</v>
      </c>
      <c r="R88" s="390"/>
      <c r="S88" s="407">
        <f>70*10</f>
        <v>700</v>
      </c>
      <c r="T88" s="407">
        <f t="shared" ref="T88:U88" si="64">70*10</f>
        <v>700</v>
      </c>
      <c r="U88" s="407">
        <f t="shared" si="64"/>
        <v>700</v>
      </c>
      <c r="V88" s="390"/>
      <c r="W88" s="175">
        <f t="shared" si="63"/>
        <v>0</v>
      </c>
      <c r="X88" s="175">
        <f t="shared" si="63"/>
        <v>5600</v>
      </c>
      <c r="Y88" s="175">
        <f t="shared" si="63"/>
        <v>7000</v>
      </c>
      <c r="Z88" s="390"/>
      <c r="AD88" s="390"/>
      <c r="AI88" s="390"/>
      <c r="AJ88" s="189"/>
      <c r="AK88" s="189"/>
      <c r="AL88" s="189"/>
      <c r="AN88" s="451" t="str">
        <f>'2014-15 Status Rpt Bencost'!Q89</f>
        <v>n/a</v>
      </c>
      <c r="AO88" s="425">
        <f>'2015'!Q89</f>
        <v>2.2846102899924805</v>
      </c>
      <c r="AP88" s="425">
        <f>'2016'!Q89</f>
        <v>2.3188794443423673</v>
      </c>
    </row>
    <row r="89" spans="1:44">
      <c r="A89" s="172" t="s">
        <v>238</v>
      </c>
      <c r="B89" s="226"/>
      <c r="C89" s="169"/>
      <c r="D89" s="169">
        <v>14</v>
      </c>
      <c r="E89" s="169">
        <v>20</v>
      </c>
      <c r="F89" s="390"/>
      <c r="G89" s="171">
        <f>VLOOKUP($A89,Sources!$B$4:$M$104,5,FALSE)*C89</f>
        <v>0</v>
      </c>
      <c r="H89" s="171">
        <f>VLOOKUP($A89,Sources!$B$4:$M$104,5,FALSE)*D89</f>
        <v>24271.926479275149</v>
      </c>
      <c r="I89" s="171">
        <f>VLOOKUP($A89,Sources!$B$4:$M$104,5,FALSE)*E89</f>
        <v>34674.180684678788</v>
      </c>
      <c r="J89" s="390"/>
      <c r="K89" s="404">
        <f>VLOOKUP($A89,Sources!$B$4:$M$104,7,FALSE)*C89</f>
        <v>0</v>
      </c>
      <c r="L89" s="404">
        <f>VLOOKUP($A89,Sources!$B$4:$M$104,7,FALSE)*D89</f>
        <v>1.1498741324567776</v>
      </c>
      <c r="M89" s="404">
        <f>VLOOKUP($A89,Sources!$B$4:$M$104,7,FALSE)*E89</f>
        <v>1.6426773320811108</v>
      </c>
      <c r="N89" s="390"/>
      <c r="O89" s="358">
        <f>VLOOKUP($A89,Sources!$B$4:$J$104,9,FALSE)</f>
        <v>700</v>
      </c>
      <c r="P89" s="358">
        <f>VLOOKUP($A89,Sources!$B$4:$J$104,9,FALSE)</f>
        <v>700</v>
      </c>
      <c r="Q89" s="358">
        <f>VLOOKUP($A89,Sources!$B$4:$J$104,9,FALSE)</f>
        <v>700</v>
      </c>
      <c r="R89" s="390"/>
      <c r="S89" s="407">
        <f>5*40</f>
        <v>200</v>
      </c>
      <c r="T89" s="407">
        <f>5*40</f>
        <v>200</v>
      </c>
      <c r="U89" s="407">
        <f>5*40</f>
        <v>200</v>
      </c>
      <c r="V89" s="390"/>
      <c r="W89" s="175">
        <f t="shared" si="63"/>
        <v>0</v>
      </c>
      <c r="X89" s="175">
        <f t="shared" si="63"/>
        <v>2800</v>
      </c>
      <c r="Y89" s="175">
        <f t="shared" si="63"/>
        <v>4000</v>
      </c>
      <c r="Z89" s="390"/>
      <c r="AD89" s="390"/>
      <c r="AI89" s="390"/>
      <c r="AJ89" s="189"/>
      <c r="AK89" s="189"/>
      <c r="AL89" s="189"/>
      <c r="AN89" s="451" t="str">
        <f>'2014-15 Status Rpt Bencost'!Q90</f>
        <v>n/a</v>
      </c>
      <c r="AO89" s="425">
        <f>'2015'!Q90</f>
        <v>1.0265814350172815</v>
      </c>
      <c r="AP89" s="425">
        <f>'2016'!Q90</f>
        <v>1.0419801565425408</v>
      </c>
    </row>
    <row r="90" spans="1:44" ht="12">
      <c r="A90" s="387" t="s">
        <v>9</v>
      </c>
      <c r="B90" s="226"/>
      <c r="C90" s="387">
        <f>C91+C92</f>
        <v>8</v>
      </c>
      <c r="D90" s="387">
        <f>D91+D92</f>
        <v>12</v>
      </c>
      <c r="E90" s="387">
        <f>E91+E92</f>
        <v>16</v>
      </c>
      <c r="F90" s="390"/>
      <c r="G90" s="387">
        <f>SUM(G91:G92)</f>
        <v>60997</v>
      </c>
      <c r="H90" s="387">
        <f t="shared" ref="H90:I90" si="65">SUM(H91:H92)</f>
        <v>278095.4636871508</v>
      </c>
      <c r="I90" s="387">
        <f t="shared" si="65"/>
        <v>370793.95158286777</v>
      </c>
      <c r="J90" s="390"/>
      <c r="K90" s="387">
        <f t="shared" ref="K90:M90" si="66">SUM(K91:K92)</f>
        <v>10.050190000000001</v>
      </c>
      <c r="L90" s="387">
        <f t="shared" si="66"/>
        <v>35.785619999999994</v>
      </c>
      <c r="M90" s="387">
        <f t="shared" si="66"/>
        <v>47.71416</v>
      </c>
      <c r="N90" s="390"/>
      <c r="O90" s="388"/>
      <c r="P90" s="388"/>
      <c r="Q90" s="388"/>
      <c r="R90" s="390"/>
      <c r="S90" s="405"/>
      <c r="T90" s="405"/>
      <c r="U90" s="405"/>
      <c r="V90" s="390"/>
      <c r="W90" s="389">
        <v>1545</v>
      </c>
      <c r="X90" s="389">
        <f t="shared" ref="X90:Y90" si="67">X91+X92</f>
        <v>9000</v>
      </c>
      <c r="Y90" s="389">
        <f t="shared" si="67"/>
        <v>12000</v>
      </c>
      <c r="Z90" s="390"/>
      <c r="AD90" s="390"/>
      <c r="AI90" s="390"/>
      <c r="AJ90" s="189"/>
      <c r="AK90" s="189"/>
      <c r="AL90" s="189"/>
      <c r="AN90" s="479">
        <f>'2014-15 Status Rpt Bencost'!Q91</f>
        <v>1.2901918346268111</v>
      </c>
      <c r="AO90" s="450">
        <f>'2015'!Q91</f>
        <v>3.9294203807687773</v>
      </c>
      <c r="AP90" s="450">
        <f>'2016'!Q91</f>
        <v>3.9883616864803089</v>
      </c>
    </row>
    <row r="91" spans="1:44">
      <c r="A91" s="172" t="s">
        <v>330</v>
      </c>
      <c r="B91" s="173"/>
      <c r="C91" s="169">
        <v>7</v>
      </c>
      <c r="D91" s="169">
        <v>6</v>
      </c>
      <c r="E91" s="169">
        <v>8</v>
      </c>
      <c r="F91" s="390"/>
      <c r="G91" s="171">
        <v>47599</v>
      </c>
      <c r="H91" s="171">
        <f>VLOOKUP($A91,Sources!$B$4:$M$104,5,FALSE)*D91</f>
        <v>105023.46368715083</v>
      </c>
      <c r="I91" s="171">
        <f>VLOOKUP($A91,Sources!$B$4:$M$104,5,FALSE)*E91</f>
        <v>140031.28491620111</v>
      </c>
      <c r="J91" s="390"/>
      <c r="K91" s="404">
        <v>7.8010000000000002</v>
      </c>
      <c r="L91" s="404">
        <f>VLOOKUP($A91,Sources!$B$4:$M$104,7,FALSE)*D91</f>
        <v>22.290479999999999</v>
      </c>
      <c r="M91" s="404">
        <f>VLOOKUP($A91,Sources!$B$4:$M$104,7,FALSE)*E91</f>
        <v>29.72064</v>
      </c>
      <c r="N91" s="390"/>
      <c r="O91" s="358">
        <f>VLOOKUP($A91,Sources!$B$4:$J$104,9,FALSE)</f>
        <v>2518</v>
      </c>
      <c r="P91" s="358">
        <f>VLOOKUP($A91,Sources!$B$4:$J$104,9,FALSE)</f>
        <v>2518</v>
      </c>
      <c r="Q91" s="358">
        <f>VLOOKUP($A91,Sources!$B$4:$J$104,9,FALSE)</f>
        <v>2518</v>
      </c>
      <c r="R91" s="390"/>
      <c r="S91" s="407">
        <v>750</v>
      </c>
      <c r="T91" s="407">
        <v>750</v>
      </c>
      <c r="U91" s="407">
        <v>750</v>
      </c>
      <c r="V91" s="390"/>
      <c r="W91" s="175">
        <f t="shared" ref="W91:Y92" si="68">C91*S91</f>
        <v>5250</v>
      </c>
      <c r="X91" s="175">
        <f t="shared" si="68"/>
        <v>4500</v>
      </c>
      <c r="Y91" s="175">
        <f t="shared" si="68"/>
        <v>6000</v>
      </c>
      <c r="Z91" s="390"/>
      <c r="AD91" s="390"/>
      <c r="AI91" s="390"/>
      <c r="AJ91" s="189"/>
      <c r="AK91" s="189"/>
      <c r="AL91" s="189"/>
      <c r="AN91" s="451">
        <f>'2014-15 Status Rpt Bencost'!Q92</f>
        <v>1.1502730176978</v>
      </c>
      <c r="AO91" s="425">
        <f>'2015'!Q92</f>
        <v>3.0568834984424229</v>
      </c>
      <c r="AP91" s="425">
        <f>'2016'!Q92</f>
        <v>3.1027367509190573</v>
      </c>
    </row>
    <row r="92" spans="1:44">
      <c r="A92" s="172" t="s">
        <v>331</v>
      </c>
      <c r="B92" s="173"/>
      <c r="C92" s="169">
        <v>1</v>
      </c>
      <c r="D92" s="169">
        <v>6</v>
      </c>
      <c r="E92" s="169">
        <v>8</v>
      </c>
      <c r="F92" s="390"/>
      <c r="G92" s="171">
        <v>13398</v>
      </c>
      <c r="H92" s="171">
        <f>VLOOKUP($A92,Sources!$B$4:$M$104,5,FALSE)*D92</f>
        <v>173071.99999999997</v>
      </c>
      <c r="I92" s="171">
        <f>VLOOKUP($A92,Sources!$B$4:$M$104,5,FALSE)*E92</f>
        <v>230762.66666666663</v>
      </c>
      <c r="J92" s="390"/>
      <c r="K92" s="404">
        <f>VLOOKUP($A92,Sources!$B$4:$M$104,7,FALSE)*C92</f>
        <v>2.24919</v>
      </c>
      <c r="L92" s="404">
        <f>VLOOKUP($A92,Sources!$B$4:$M$104,7,FALSE)*D92</f>
        <v>13.495139999999999</v>
      </c>
      <c r="M92" s="404">
        <f>VLOOKUP($A92,Sources!$B$4:$M$104,7,FALSE)*E92</f>
        <v>17.99352</v>
      </c>
      <c r="N92" s="390"/>
      <c r="O92" s="358">
        <f>VLOOKUP($A92,Sources!$B$4:$J$104,9,FALSE)</f>
        <v>2518</v>
      </c>
      <c r="P92" s="358">
        <f>VLOOKUP($A92,Sources!$B$4:$J$104,9,FALSE)</f>
        <v>2518</v>
      </c>
      <c r="Q92" s="358">
        <f>VLOOKUP($A92,Sources!$B$4:$J$104,9,FALSE)</f>
        <v>2518</v>
      </c>
      <c r="S92" s="407">
        <v>750</v>
      </c>
      <c r="T92" s="407">
        <v>750</v>
      </c>
      <c r="U92" s="407">
        <v>750</v>
      </c>
      <c r="V92" s="390"/>
      <c r="W92" s="175">
        <f t="shared" si="68"/>
        <v>750</v>
      </c>
      <c r="X92" s="175">
        <f t="shared" si="68"/>
        <v>4500</v>
      </c>
      <c r="Y92" s="175">
        <f t="shared" si="68"/>
        <v>6000</v>
      </c>
      <c r="AJ92" s="189"/>
      <c r="AK92" s="189"/>
      <c r="AL92" s="189"/>
      <c r="AN92" s="451">
        <f>'2014-15 Status Rpt Bencost'!Q93</f>
        <v>2.2696235531298892</v>
      </c>
      <c r="AO92" s="425">
        <f>'2015'!Q93</f>
        <v>4.801957263095133</v>
      </c>
      <c r="AP92" s="425">
        <f>'2016'!Q93</f>
        <v>4.8739866220415591</v>
      </c>
    </row>
    <row r="93" spans="1:44" ht="12">
      <c r="A93" s="387" t="s">
        <v>53</v>
      </c>
      <c r="B93" s="173"/>
      <c r="C93" s="387">
        <f>C94+C95</f>
        <v>2</v>
      </c>
      <c r="D93" s="387">
        <f>D94+D95</f>
        <v>24</v>
      </c>
      <c r="E93" s="387">
        <f>E94+E95</f>
        <v>28</v>
      </c>
      <c r="F93" s="390"/>
      <c r="G93" s="387">
        <f>SUM(G94:G95)</f>
        <v>58553</v>
      </c>
      <c r="H93" s="387">
        <f t="shared" ref="H93:I93" si="69">SUM(H94:H95)</f>
        <v>7235.2215526408754</v>
      </c>
      <c r="I93" s="387">
        <f t="shared" si="69"/>
        <v>8441.0918114143533</v>
      </c>
      <c r="J93" s="390"/>
      <c r="K93" s="387">
        <f t="shared" ref="K93:M93" si="70">SUM(K94:K95)</f>
        <v>13.03</v>
      </c>
      <c r="L93" s="387">
        <f t="shared" si="70"/>
        <v>1.6443685346911079</v>
      </c>
      <c r="M93" s="387">
        <f t="shared" si="70"/>
        <v>1.9184299571396259</v>
      </c>
      <c r="N93" s="390"/>
      <c r="O93" s="388"/>
      <c r="P93" s="388"/>
      <c r="Q93" s="388"/>
      <c r="R93" s="390"/>
      <c r="S93" s="410"/>
      <c r="T93" s="410"/>
      <c r="U93" s="410"/>
      <c r="V93" s="390"/>
      <c r="W93" s="389">
        <v>135</v>
      </c>
      <c r="X93" s="389">
        <f t="shared" ref="X93:Y93" si="71">X94+X95</f>
        <v>1200</v>
      </c>
      <c r="Y93" s="389">
        <f t="shared" si="71"/>
        <v>1400</v>
      </c>
      <c r="Z93" s="390"/>
      <c r="AD93" s="390"/>
      <c r="AI93" s="390"/>
      <c r="AJ93" s="189"/>
      <c r="AK93" s="189"/>
      <c r="AL93" s="189"/>
      <c r="AN93" s="479">
        <f>'2014-15 Status Rpt Bencost'!Q94</f>
        <v>110.69007152603201</v>
      </c>
      <c r="AO93" s="450">
        <f>'2015'!Q94</f>
        <v>1.1588038027392378</v>
      </c>
      <c r="AP93" s="450">
        <f>'2016'!Q94</f>
        <v>1.1761858597803261</v>
      </c>
    </row>
    <row r="94" spans="1:44">
      <c r="A94" s="172" t="s">
        <v>336</v>
      </c>
      <c r="B94" s="173"/>
      <c r="C94" s="169">
        <v>1</v>
      </c>
      <c r="D94" s="169">
        <v>12</v>
      </c>
      <c r="E94" s="169">
        <v>14</v>
      </c>
      <c r="F94" s="390"/>
      <c r="G94" s="171">
        <v>58446</v>
      </c>
      <c r="H94" s="171">
        <f>VLOOKUP($A94,Sources!$B$4:$M$104,5,FALSE)*D94</f>
        <v>4244.6633108826554</v>
      </c>
      <c r="I94" s="171">
        <f>VLOOKUP($A94,Sources!$B$4:$M$104,5,FALSE)*E94</f>
        <v>4952.1071960297641</v>
      </c>
      <c r="J94" s="390"/>
      <c r="K94" s="404">
        <v>13</v>
      </c>
      <c r="L94" s="404">
        <f>VLOOKUP($A94,Sources!$B$4:$M$104,7,FALSE)*D94</f>
        <v>0.96469620701878522</v>
      </c>
      <c r="M94" s="404">
        <f>VLOOKUP($A94,Sources!$B$4:$M$104,7,FALSE)*E94</f>
        <v>1.1254789081885828</v>
      </c>
      <c r="N94" s="390"/>
      <c r="O94" s="358">
        <f>VLOOKUP($A94,Sources!$B$4:$J$104,9,FALSE)</f>
        <v>115</v>
      </c>
      <c r="P94" s="358">
        <f>VLOOKUP($A94,Sources!$B$4:$J$104,9,FALSE)</f>
        <v>115</v>
      </c>
      <c r="Q94" s="358">
        <f>VLOOKUP($A94,Sources!$B$4:$J$104,9,FALSE)</f>
        <v>115</v>
      </c>
      <c r="S94" s="407">
        <v>50</v>
      </c>
      <c r="T94" s="407">
        <v>50</v>
      </c>
      <c r="U94" s="407">
        <v>50</v>
      </c>
      <c r="V94" s="390"/>
      <c r="W94" s="175">
        <f t="shared" ref="W94:Y95" si="72">C94*S94</f>
        <v>50</v>
      </c>
      <c r="X94" s="175">
        <f t="shared" si="72"/>
        <v>600</v>
      </c>
      <c r="Y94" s="175">
        <f t="shared" si="72"/>
        <v>700</v>
      </c>
      <c r="AJ94" s="189"/>
      <c r="AK94" s="189"/>
      <c r="AL94" s="189"/>
      <c r="AN94" s="451">
        <f>'2014-15 Status Rpt Bencost'!Q95</f>
        <v>220.96747087833455</v>
      </c>
      <c r="AO94" s="425">
        <f>'2015'!Q95</f>
        <v>1.359663128547375</v>
      </c>
      <c r="AP94" s="425">
        <f>'2016'!Q95</f>
        <v>1.3800580754755851</v>
      </c>
    </row>
    <row r="95" spans="1:44">
      <c r="A95" s="172" t="s">
        <v>332</v>
      </c>
      <c r="B95" s="173"/>
      <c r="C95" s="169">
        <v>1</v>
      </c>
      <c r="D95" s="169">
        <v>12</v>
      </c>
      <c r="E95" s="169">
        <v>14</v>
      </c>
      <c r="F95" s="390"/>
      <c r="G95" s="171">
        <v>107</v>
      </c>
      <c r="H95" s="171">
        <f>VLOOKUP($A95,Sources!$B$4:$M$104,5,FALSE)*D95</f>
        <v>2990.55824175822</v>
      </c>
      <c r="I95" s="171">
        <f>VLOOKUP($A95,Sources!$B$4:$M$104,5,FALSE)*E95</f>
        <v>3488.9846153845901</v>
      </c>
      <c r="J95" s="390"/>
      <c r="K95" s="404">
        <v>0.03</v>
      </c>
      <c r="L95" s="404">
        <f>VLOOKUP($A95,Sources!$B$4:$M$104,7,FALSE)*D95</f>
        <v>0.67967232767232277</v>
      </c>
      <c r="M95" s="404">
        <f>VLOOKUP($A95,Sources!$B$4:$M$104,7,FALSE)*E95</f>
        <v>0.79295104895104318</v>
      </c>
      <c r="N95" s="390"/>
      <c r="O95" s="358">
        <f>VLOOKUP($A95,Sources!$B$4:$J$104,9,FALSE)</f>
        <v>115</v>
      </c>
      <c r="P95" s="358">
        <f>VLOOKUP($A95,Sources!$B$4:$J$104,9,FALSE)</f>
        <v>115</v>
      </c>
      <c r="Q95" s="358">
        <f>VLOOKUP($A95,Sources!$B$4:$J$104,9,FALSE)</f>
        <v>115</v>
      </c>
      <c r="S95" s="407">
        <v>50</v>
      </c>
      <c r="T95" s="407">
        <v>50</v>
      </c>
      <c r="U95" s="407">
        <v>50</v>
      </c>
      <c r="V95" s="390"/>
      <c r="W95" s="175">
        <f t="shared" si="72"/>
        <v>50</v>
      </c>
      <c r="X95" s="175">
        <f t="shared" si="72"/>
        <v>600</v>
      </c>
      <c r="Y95" s="175">
        <f t="shared" si="72"/>
        <v>700</v>
      </c>
      <c r="AJ95" s="189"/>
      <c r="AK95" s="189"/>
      <c r="AL95" s="189"/>
      <c r="AN95" s="451">
        <f>'2014-15 Status Rpt Bencost'!Q96</f>
        <v>0.41267217372946358</v>
      </c>
      <c r="AO95" s="425">
        <f>'2015'!Q96</f>
        <v>0.95794447693110063</v>
      </c>
      <c r="AP95" s="425">
        <f>'2016'!Q96</f>
        <v>0.97231364408506704</v>
      </c>
    </row>
    <row r="96" spans="1:44">
      <c r="AN96" s="173"/>
    </row>
    <row r="100" spans="4:40">
      <c r="D100" s="390"/>
      <c r="E100" s="17"/>
      <c r="F100" s="186"/>
      <c r="G100" s="179"/>
      <c r="H100" s="187"/>
      <c r="I100" s="391"/>
      <c r="J100" s="391"/>
      <c r="K100" s="393"/>
      <c r="L100" s="187"/>
      <c r="M100" s="188"/>
      <c r="N100" s="188"/>
      <c r="O100" s="179"/>
      <c r="P100" s="179"/>
      <c r="Q100" s="400"/>
      <c r="R100" s="400"/>
      <c r="S100" s="361"/>
      <c r="T100" s="173"/>
      <c r="U100" s="390"/>
      <c r="V100" s="390"/>
      <c r="W100" s="173"/>
      <c r="X100" s="179"/>
      <c r="Y100" s="390"/>
      <c r="Z100" s="390"/>
      <c r="AA100" s="17"/>
      <c r="AB100" s="179"/>
      <c r="AC100" s="173"/>
      <c r="AD100" s="173"/>
      <c r="AF100" s="17"/>
      <c r="AG100" s="179"/>
      <c r="AH100" s="173"/>
      <c r="AI100" s="173"/>
      <c r="AL100" s="452"/>
      <c r="AM100" s="192"/>
      <c r="AN100" s="173"/>
    </row>
    <row r="101" spans="4:40">
      <c r="D101" s="390"/>
      <c r="E101" s="17"/>
      <c r="F101" s="186"/>
      <c r="G101" s="179"/>
      <c r="H101" s="187"/>
      <c r="I101" s="391"/>
      <c r="J101" s="391"/>
      <c r="K101" s="393"/>
      <c r="L101" s="187"/>
      <c r="M101" s="188"/>
      <c r="N101" s="188"/>
      <c r="O101" s="179"/>
      <c r="P101" s="179"/>
      <c r="Q101" s="400"/>
      <c r="R101" s="400"/>
      <c r="S101" s="361"/>
      <c r="T101" s="173"/>
      <c r="U101" s="390"/>
      <c r="V101" s="390"/>
      <c r="W101" s="173"/>
      <c r="X101" s="179"/>
      <c r="Y101" s="390"/>
      <c r="Z101" s="390"/>
      <c r="AA101" s="17"/>
      <c r="AB101" s="179"/>
      <c r="AC101" s="173"/>
      <c r="AD101" s="173"/>
      <c r="AF101" s="17"/>
      <c r="AG101" s="179"/>
      <c r="AH101" s="173"/>
      <c r="AI101" s="173"/>
      <c r="AL101" s="452"/>
      <c r="AM101" s="192"/>
      <c r="AN101" s="173"/>
    </row>
    <row r="102" spans="4:40">
      <c r="D102" s="390"/>
      <c r="E102" s="17"/>
      <c r="F102" s="186"/>
      <c r="G102" s="179"/>
      <c r="H102" s="187"/>
      <c r="I102" s="391"/>
      <c r="J102" s="391"/>
      <c r="K102" s="393"/>
      <c r="L102" s="187"/>
      <c r="M102" s="188"/>
      <c r="N102" s="188"/>
      <c r="O102" s="179"/>
      <c r="P102" s="179"/>
      <c r="Q102" s="400"/>
      <c r="R102" s="400"/>
      <c r="S102" s="361"/>
      <c r="T102" s="173"/>
      <c r="U102" s="390"/>
      <c r="V102" s="390"/>
      <c r="W102" s="173"/>
      <c r="X102" s="179"/>
      <c r="Y102" s="390"/>
      <c r="Z102" s="390"/>
      <c r="AA102" s="17"/>
      <c r="AB102" s="179"/>
      <c r="AC102" s="173"/>
      <c r="AD102" s="173"/>
      <c r="AF102" s="17"/>
      <c r="AG102" s="179"/>
      <c r="AH102" s="173"/>
      <c r="AI102" s="173"/>
      <c r="AL102" s="452"/>
      <c r="AM102" s="192"/>
      <c r="AN102" s="173"/>
    </row>
    <row r="103" spans="4:40">
      <c r="D103" s="390"/>
      <c r="E103" s="17"/>
      <c r="F103" s="186"/>
      <c r="G103" s="179"/>
      <c r="H103" s="187"/>
      <c r="I103" s="391"/>
      <c r="J103" s="391"/>
      <c r="K103" s="393"/>
      <c r="L103" s="187"/>
      <c r="M103" s="188"/>
      <c r="N103" s="188"/>
      <c r="O103" s="179"/>
      <c r="P103" s="179"/>
      <c r="Q103" s="400"/>
      <c r="R103" s="400"/>
      <c r="S103" s="361"/>
      <c r="T103" s="173"/>
      <c r="U103" s="390"/>
      <c r="V103" s="390"/>
      <c r="W103" s="173"/>
      <c r="X103" s="179"/>
      <c r="Y103" s="390"/>
      <c r="Z103" s="390"/>
      <c r="AA103" s="17"/>
      <c r="AB103" s="179"/>
      <c r="AC103" s="173"/>
      <c r="AD103" s="173"/>
      <c r="AF103" s="17"/>
      <c r="AG103" s="179"/>
      <c r="AH103" s="173"/>
      <c r="AI103" s="173"/>
      <c r="AL103" s="452"/>
      <c r="AM103" s="192"/>
      <c r="AN103" s="173"/>
    </row>
  </sheetData>
  <mergeCells count="9">
    <mergeCell ref="C2:E2"/>
    <mergeCell ref="AN2:AP2"/>
    <mergeCell ref="AA2:AC2"/>
    <mergeCell ref="W2:Y2"/>
    <mergeCell ref="G2:I2"/>
    <mergeCell ref="K2:M2"/>
    <mergeCell ref="O2:Q2"/>
    <mergeCell ref="AJ2:AL2"/>
    <mergeCell ref="S2:U2"/>
  </mergeCells>
  <conditionalFormatting sqref="AN33:AP39 AN41:AP95 AN4:AP31">
    <cfRule type="cellIs" dxfId="5" priority="17" operator="lessThan">
      <formula>1</formula>
    </cfRule>
  </conditionalFormatting>
  <conditionalFormatting sqref="AN32:AP32">
    <cfRule type="cellIs" dxfId="4" priority="3" operator="lessThan">
      <formula>1</formula>
    </cfRule>
  </conditionalFormatting>
  <conditionalFormatting sqref="AN40:AP40">
    <cfRule type="cellIs" dxfId="3" priority="1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O157"/>
  <sheetViews>
    <sheetView showGridLines="0" zoomScaleNormal="10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E11" sqref="E11"/>
    </sheetView>
  </sheetViews>
  <sheetFormatPr defaultColWidth="9.109375" defaultRowHeight="10.199999999999999"/>
  <cols>
    <col min="1" max="1" width="9.6640625" style="211" hidden="1" customWidth="1"/>
    <col min="2" max="2" width="36.88671875" style="1" bestFit="1" customWidth="1"/>
    <col min="3" max="3" width="10.6640625" style="1" bestFit="1" customWidth="1"/>
    <col min="4" max="4" width="8.44140625" style="195" bestFit="1" customWidth="1"/>
    <col min="5" max="5" width="9.88671875" style="195" customWidth="1"/>
    <col min="6" max="6" width="2.5546875" style="2" customWidth="1"/>
    <col min="7" max="7" width="11.109375" style="196" bestFit="1" customWidth="1"/>
    <col min="8" max="8" width="8.33203125" style="196" bestFit="1" customWidth="1"/>
    <col min="9" max="9" width="8.109375" style="506" bestFit="1" customWidth="1"/>
    <col min="10" max="10" width="7.33203125" style="506" customWidth="1"/>
    <col min="11" max="11" width="1.88671875" style="2" customWidth="1"/>
    <col min="12" max="12" width="12.33203125" style="210" bestFit="1" customWidth="1"/>
    <col min="13" max="13" width="12.33203125" style="210" customWidth="1"/>
    <col min="14" max="14" width="9.109375" style="212" bestFit="1" customWidth="1"/>
    <col min="15" max="15" width="8" style="209" bestFit="1" customWidth="1"/>
    <col min="16" max="16" width="1.88671875" style="2" customWidth="1"/>
    <col min="17" max="17" width="6" style="195" bestFit="1" customWidth="1"/>
    <col min="18" max="18" width="6" style="211" bestFit="1" customWidth="1"/>
    <col min="19" max="19" width="7.109375" style="211" bestFit="1" customWidth="1"/>
    <col min="20" max="20" width="9.33203125" style="211" bestFit="1" customWidth="1"/>
    <col min="21" max="21" width="4.5546875" style="211" hidden="1" customWidth="1"/>
    <col min="22" max="22" width="5.109375" style="211" bestFit="1" customWidth="1"/>
    <col min="23" max="23" width="13.88671875" style="211" customWidth="1"/>
    <col min="24" max="24" width="1.88671875" style="2" customWidth="1"/>
    <col min="25" max="25" width="17.6640625" style="210" customWidth="1"/>
    <col min="26" max="26" width="24.6640625" style="209" customWidth="1"/>
    <col min="27" max="28" width="8.6640625" style="195" customWidth="1"/>
    <col min="29" max="29" width="20" style="195" customWidth="1"/>
    <col min="30" max="30" width="18.109375" style="209" customWidth="1"/>
    <col min="31" max="31" width="14.6640625" style="209" customWidth="1"/>
    <col min="32" max="32" width="1.88671875" style="2" customWidth="1"/>
    <col min="33" max="33" width="7.44140625" style="195" customWidth="1"/>
    <col min="34" max="47" width="7.44140625" style="194" customWidth="1"/>
    <col min="48" max="50" width="6.5546875" style="194" customWidth="1"/>
    <col min="51" max="52" width="4.44140625" style="194" customWidth="1"/>
    <col min="53" max="53" width="1.88671875" style="2" customWidth="1"/>
    <col min="54" max="68" width="6.5546875" style="2" customWidth="1"/>
    <col min="69" max="71" width="5.6640625" style="2" customWidth="1"/>
    <col min="72" max="73" width="4.44140625" style="2" customWidth="1"/>
    <col min="74" max="74" width="1.88671875" style="2" customWidth="1"/>
    <col min="75" max="89" width="7.44140625" style="2" customWidth="1"/>
    <col min="90" max="92" width="6.5546875" style="2" customWidth="1"/>
    <col min="93" max="94" width="4.44140625" style="2" customWidth="1"/>
    <col min="95" max="95" width="1.88671875" style="2" customWidth="1"/>
    <col min="96" max="110" width="7.44140625" style="2" customWidth="1"/>
    <col min="111" max="113" width="6.5546875" style="2" customWidth="1"/>
    <col min="114" max="115" width="4.44140625" style="2" customWidth="1"/>
    <col min="116" max="116" width="1.88671875" style="2" customWidth="1"/>
    <col min="117" max="117" width="7.44140625" style="2" customWidth="1"/>
    <col min="118" max="122" width="4.44140625" style="2" customWidth="1"/>
    <col min="123" max="123" width="7.109375" style="2" customWidth="1"/>
    <col min="124" max="124" width="4.44140625" style="2" customWidth="1"/>
    <col min="125" max="125" width="7.109375" style="2" customWidth="1"/>
    <col min="126" max="126" width="4.44140625" style="2" customWidth="1"/>
    <col min="127" max="127" width="3.88671875" style="2" customWidth="1"/>
    <col min="128" max="129" width="1.88671875" style="2" customWidth="1"/>
    <col min="130" max="130" width="7" style="2" bestFit="1" customWidth="1"/>
    <col min="131" max="171" width="9.109375" style="2"/>
    <col min="172" max="16384" width="9.109375" style="195"/>
  </cols>
  <sheetData>
    <row r="1" spans="1:171">
      <c r="B1" s="225" t="s">
        <v>225</v>
      </c>
      <c r="C1" s="224">
        <v>2014</v>
      </c>
      <c r="G1" s="345"/>
      <c r="H1" s="345"/>
      <c r="I1" s="345"/>
      <c r="J1" s="345"/>
      <c r="Q1" s="209"/>
      <c r="Y1" s="781" t="s">
        <v>223</v>
      </c>
      <c r="Z1" s="782"/>
      <c r="AA1" s="782"/>
      <c r="AB1" s="782"/>
      <c r="AC1" s="782"/>
      <c r="AD1" s="782"/>
      <c r="AE1" s="783"/>
      <c r="AG1" s="209"/>
      <c r="AH1" s="223"/>
    </row>
    <row r="2" spans="1:171">
      <c r="C2" s="195"/>
      <c r="D2" s="196"/>
      <c r="E2" s="196"/>
      <c r="G2" s="778" t="s">
        <v>416</v>
      </c>
      <c r="H2" s="779"/>
      <c r="I2" s="779"/>
      <c r="J2" s="780"/>
      <c r="N2" s="789" t="s">
        <v>277</v>
      </c>
      <c r="O2" s="789"/>
      <c r="Q2" s="788" t="s">
        <v>224</v>
      </c>
      <c r="R2" s="788"/>
      <c r="S2" s="788"/>
      <c r="T2" s="788"/>
      <c r="U2" s="788"/>
      <c r="V2" s="788"/>
      <c r="W2" s="788"/>
      <c r="Y2" s="786" t="s">
        <v>217</v>
      </c>
      <c r="Z2" s="786" t="s">
        <v>216</v>
      </c>
      <c r="AA2" s="786" t="s">
        <v>454</v>
      </c>
      <c r="AB2" s="786"/>
      <c r="AC2" s="787" t="s">
        <v>213</v>
      </c>
      <c r="AD2" s="787" t="s">
        <v>214</v>
      </c>
      <c r="AE2" s="786" t="s">
        <v>7</v>
      </c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FO2" s="195"/>
    </row>
    <row r="3" spans="1:171" s="218" customFormat="1" ht="71.400000000000006">
      <c r="A3" s="344" t="s">
        <v>90</v>
      </c>
      <c r="B3" s="222" t="s">
        <v>212</v>
      </c>
      <c r="C3" s="221" t="s">
        <v>222</v>
      </c>
      <c r="D3" s="502" t="s">
        <v>2</v>
      </c>
      <c r="E3" s="220" t="s">
        <v>427</v>
      </c>
      <c r="F3" s="219"/>
      <c r="G3" s="220" t="s">
        <v>240</v>
      </c>
      <c r="H3" s="220" t="s">
        <v>429</v>
      </c>
      <c r="I3" s="507" t="s">
        <v>282</v>
      </c>
      <c r="J3" s="507" t="s">
        <v>431</v>
      </c>
      <c r="K3" s="219"/>
      <c r="L3" s="347" t="s">
        <v>415</v>
      </c>
      <c r="M3" s="347" t="s">
        <v>426</v>
      </c>
      <c r="N3" s="485" t="s">
        <v>276</v>
      </c>
      <c r="O3" s="485" t="s">
        <v>3</v>
      </c>
      <c r="P3" s="219"/>
      <c r="Q3" s="482" t="s">
        <v>210</v>
      </c>
      <c r="R3" s="482" t="s">
        <v>220</v>
      </c>
      <c r="S3" s="482" t="s">
        <v>219</v>
      </c>
      <c r="T3" s="482" t="s">
        <v>218</v>
      </c>
      <c r="U3" s="482" t="s">
        <v>402</v>
      </c>
      <c r="V3" s="482" t="s">
        <v>221</v>
      </c>
      <c r="W3" s="482" t="s">
        <v>403</v>
      </c>
      <c r="X3" s="219"/>
      <c r="Y3" s="786"/>
      <c r="Z3" s="786"/>
      <c r="AA3" s="484" t="s">
        <v>400</v>
      </c>
      <c r="AB3" s="484" t="s">
        <v>399</v>
      </c>
      <c r="AC3" s="787"/>
      <c r="AD3" s="787"/>
      <c r="AE3" s="786"/>
      <c r="AF3" s="219"/>
      <c r="AG3" s="775" t="s">
        <v>283</v>
      </c>
      <c r="AH3" s="776"/>
      <c r="AI3" s="776"/>
      <c r="AJ3" s="776"/>
      <c r="AK3" s="776"/>
      <c r="AL3" s="776"/>
      <c r="AM3" s="776"/>
      <c r="AN3" s="776"/>
      <c r="AO3" s="776"/>
      <c r="AP3" s="776"/>
      <c r="AQ3" s="776"/>
      <c r="AR3" s="776"/>
      <c r="AS3" s="776"/>
      <c r="AT3" s="776"/>
      <c r="AU3" s="776"/>
      <c r="AV3" s="776"/>
      <c r="AW3" s="776"/>
      <c r="AX3" s="776"/>
      <c r="AY3" s="776"/>
      <c r="AZ3" s="776"/>
      <c r="BA3" s="219"/>
      <c r="BB3" s="784" t="s">
        <v>216</v>
      </c>
      <c r="BC3" s="785"/>
      <c r="BD3" s="785"/>
      <c r="BE3" s="785"/>
      <c r="BF3" s="785"/>
      <c r="BG3" s="785"/>
      <c r="BH3" s="785"/>
      <c r="BI3" s="785"/>
      <c r="BJ3" s="785"/>
      <c r="BK3" s="785"/>
      <c r="BL3" s="785"/>
      <c r="BM3" s="785"/>
      <c r="BN3" s="785"/>
      <c r="BO3" s="785"/>
      <c r="BP3" s="785"/>
      <c r="BQ3" s="785"/>
      <c r="BR3" s="785"/>
      <c r="BS3" s="785"/>
      <c r="BT3" s="785"/>
      <c r="BU3" s="785"/>
      <c r="BV3" s="219"/>
      <c r="BW3" s="777" t="s">
        <v>215</v>
      </c>
      <c r="BX3" s="777"/>
      <c r="BY3" s="777"/>
      <c r="BZ3" s="777"/>
      <c r="CA3" s="777"/>
      <c r="CB3" s="777"/>
      <c r="CC3" s="777"/>
      <c r="CD3" s="777"/>
      <c r="CE3" s="777"/>
      <c r="CF3" s="777"/>
      <c r="CG3" s="777"/>
      <c r="CH3" s="777"/>
      <c r="CI3" s="777"/>
      <c r="CJ3" s="777"/>
      <c r="CK3" s="777"/>
      <c r="CL3" s="777"/>
      <c r="CM3" s="777"/>
      <c r="CN3" s="777"/>
      <c r="CO3" s="777"/>
      <c r="CP3" s="777"/>
      <c r="CQ3" s="219"/>
      <c r="CR3" s="777" t="s">
        <v>401</v>
      </c>
      <c r="CS3" s="777"/>
      <c r="CT3" s="777"/>
      <c r="CU3" s="777"/>
      <c r="CV3" s="777"/>
      <c r="CW3" s="777"/>
      <c r="CX3" s="777"/>
      <c r="CY3" s="777"/>
      <c r="CZ3" s="777"/>
      <c r="DA3" s="777"/>
      <c r="DB3" s="777"/>
      <c r="DC3" s="777"/>
      <c r="DD3" s="777"/>
      <c r="DE3" s="777"/>
      <c r="DF3" s="777"/>
      <c r="DG3" s="777"/>
      <c r="DH3" s="777"/>
      <c r="DI3" s="777"/>
      <c r="DJ3" s="777"/>
      <c r="DK3" s="777"/>
      <c r="DL3" s="219"/>
      <c r="DM3" s="777" t="s">
        <v>7</v>
      </c>
      <c r="DN3" s="777"/>
      <c r="DO3" s="777"/>
      <c r="DP3" s="777"/>
      <c r="DQ3" s="777"/>
      <c r="DR3" s="777"/>
      <c r="DS3" s="777"/>
      <c r="DT3" s="777"/>
      <c r="DU3" s="777"/>
      <c r="DV3" s="777"/>
      <c r="DW3" s="777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</row>
    <row r="4" spans="1:171">
      <c r="A4" s="1"/>
      <c r="C4" s="195"/>
      <c r="E4" s="196"/>
      <c r="L4" s="348"/>
      <c r="M4" s="348"/>
      <c r="O4" s="212"/>
      <c r="Q4" s="209"/>
      <c r="R4" s="209"/>
      <c r="S4" s="209"/>
      <c r="T4" s="209"/>
      <c r="U4" s="209"/>
      <c r="V4" s="209"/>
      <c r="W4" s="209"/>
      <c r="Y4" s="209"/>
      <c r="AA4" s="209"/>
      <c r="AB4" s="209"/>
      <c r="AC4" s="209"/>
      <c r="AG4" s="483">
        <v>2014</v>
      </c>
      <c r="AH4" s="483">
        <v>2015</v>
      </c>
      <c r="AI4" s="483">
        <v>2016</v>
      </c>
      <c r="AJ4" s="483">
        <v>2017</v>
      </c>
      <c r="AK4" s="483">
        <v>2018</v>
      </c>
      <c r="AL4" s="483">
        <v>2019</v>
      </c>
      <c r="AM4" s="483">
        <v>2020</v>
      </c>
      <c r="AN4" s="483">
        <v>2021</v>
      </c>
      <c r="AO4" s="483">
        <v>2022</v>
      </c>
      <c r="AP4" s="483">
        <v>2023</v>
      </c>
      <c r="AQ4" s="483">
        <v>2024</v>
      </c>
      <c r="AR4" s="483">
        <v>2025</v>
      </c>
      <c r="AS4" s="483">
        <v>2026</v>
      </c>
      <c r="AT4" s="483">
        <v>2027</v>
      </c>
      <c r="AU4" s="483">
        <v>2028</v>
      </c>
      <c r="AV4" s="483">
        <v>2029</v>
      </c>
      <c r="AW4" s="483">
        <v>2030</v>
      </c>
      <c r="AX4" s="483">
        <v>2031</v>
      </c>
      <c r="AY4" s="483">
        <v>2032</v>
      </c>
      <c r="AZ4" s="483">
        <v>2033</v>
      </c>
      <c r="BB4" s="483">
        <v>2014</v>
      </c>
      <c r="BC4" s="483">
        <v>2015</v>
      </c>
      <c r="BD4" s="483">
        <v>2016</v>
      </c>
      <c r="BE4" s="483">
        <v>2017</v>
      </c>
      <c r="BF4" s="483">
        <v>2018</v>
      </c>
      <c r="BG4" s="483">
        <v>2019</v>
      </c>
      <c r="BH4" s="483">
        <v>2020</v>
      </c>
      <c r="BI4" s="483">
        <v>2021</v>
      </c>
      <c r="BJ4" s="483">
        <v>2022</v>
      </c>
      <c r="BK4" s="483">
        <v>2023</v>
      </c>
      <c r="BL4" s="483">
        <v>2024</v>
      </c>
      <c r="BM4" s="483">
        <v>2025</v>
      </c>
      <c r="BN4" s="483">
        <v>2026</v>
      </c>
      <c r="BO4" s="483">
        <v>2027</v>
      </c>
      <c r="BP4" s="483">
        <v>2028</v>
      </c>
      <c r="BQ4" s="483">
        <v>2029</v>
      </c>
      <c r="BR4" s="483">
        <v>2030</v>
      </c>
      <c r="BS4" s="483">
        <v>2031</v>
      </c>
      <c r="BT4" s="483">
        <v>2032</v>
      </c>
      <c r="BU4" s="483">
        <v>2033</v>
      </c>
      <c r="BW4" s="483">
        <v>2014</v>
      </c>
      <c r="BX4" s="483">
        <v>2015</v>
      </c>
      <c r="BY4" s="483">
        <v>2016</v>
      </c>
      <c r="BZ4" s="483">
        <v>2017</v>
      </c>
      <c r="CA4" s="483">
        <v>2018</v>
      </c>
      <c r="CB4" s="483">
        <v>2019</v>
      </c>
      <c r="CC4" s="483">
        <v>2020</v>
      </c>
      <c r="CD4" s="483">
        <v>2021</v>
      </c>
      <c r="CE4" s="483">
        <v>2022</v>
      </c>
      <c r="CF4" s="483">
        <v>2023</v>
      </c>
      <c r="CG4" s="483">
        <v>2024</v>
      </c>
      <c r="CH4" s="483">
        <v>2025</v>
      </c>
      <c r="CI4" s="483">
        <v>2026</v>
      </c>
      <c r="CJ4" s="483">
        <v>2027</v>
      </c>
      <c r="CK4" s="483">
        <v>2028</v>
      </c>
      <c r="CL4" s="483">
        <v>2029</v>
      </c>
      <c r="CM4" s="483">
        <v>2030</v>
      </c>
      <c r="CN4" s="483">
        <v>2031</v>
      </c>
      <c r="CO4" s="483">
        <v>2032</v>
      </c>
      <c r="CP4" s="483">
        <v>2033</v>
      </c>
      <c r="CR4" s="483">
        <v>2014</v>
      </c>
      <c r="CS4" s="483">
        <v>2015</v>
      </c>
      <c r="CT4" s="483">
        <v>2016</v>
      </c>
      <c r="CU4" s="483">
        <v>2017</v>
      </c>
      <c r="CV4" s="483">
        <v>2018</v>
      </c>
      <c r="CW4" s="483">
        <v>2019</v>
      </c>
      <c r="CX4" s="483">
        <v>2020</v>
      </c>
      <c r="CY4" s="483">
        <v>2021</v>
      </c>
      <c r="CZ4" s="483">
        <v>2022</v>
      </c>
      <c r="DA4" s="483">
        <v>2023</v>
      </c>
      <c r="DB4" s="483">
        <v>2024</v>
      </c>
      <c r="DC4" s="483">
        <v>2025</v>
      </c>
      <c r="DD4" s="483">
        <v>2026</v>
      </c>
      <c r="DE4" s="483">
        <v>2027</v>
      </c>
      <c r="DF4" s="483">
        <v>2028</v>
      </c>
      <c r="DG4" s="483">
        <v>2029</v>
      </c>
      <c r="DH4" s="483">
        <v>2030</v>
      </c>
      <c r="DI4" s="483">
        <v>2031</v>
      </c>
      <c r="DJ4" s="483">
        <v>2032</v>
      </c>
      <c r="DK4" s="483">
        <v>2033</v>
      </c>
      <c r="DM4" s="483">
        <v>2014</v>
      </c>
      <c r="DN4" s="483">
        <v>2015</v>
      </c>
      <c r="DO4" s="483">
        <v>2016</v>
      </c>
      <c r="DP4" s="483">
        <v>2017</v>
      </c>
      <c r="DQ4" s="483">
        <v>2018</v>
      </c>
      <c r="DR4" s="483">
        <v>2019</v>
      </c>
      <c r="DS4" s="483">
        <v>2020</v>
      </c>
      <c r="DT4" s="483">
        <v>2021</v>
      </c>
      <c r="DU4" s="483">
        <v>2022</v>
      </c>
      <c r="DV4" s="483">
        <v>2023</v>
      </c>
      <c r="DW4" s="483">
        <v>2024</v>
      </c>
      <c r="DY4" s="219"/>
      <c r="DZ4" s="219"/>
      <c r="EA4" s="219"/>
      <c r="EB4" s="219"/>
      <c r="EC4" s="219"/>
      <c r="ED4" s="219"/>
      <c r="EE4" s="219"/>
      <c r="EF4" s="219"/>
      <c r="FO4" s="195"/>
    </row>
    <row r="5" spans="1:171">
      <c r="A5" s="343"/>
      <c r="B5" s="340" t="str">
        <f>'Portfolio Inputs'!A4</f>
        <v>Total Portfolio</v>
      </c>
      <c r="C5" s="350"/>
      <c r="D5" s="350"/>
      <c r="E5" s="350"/>
      <c r="G5" s="351"/>
      <c r="H5" s="351"/>
      <c r="I5" s="508"/>
      <c r="J5" s="517"/>
      <c r="L5" s="440"/>
      <c r="M5" s="440"/>
      <c r="N5" s="352"/>
      <c r="O5" s="352"/>
      <c r="Q5" s="353">
        <f t="shared" ref="Q5:Q17" si="0">IF(OR(AE5&gt;0,AC5&gt;0),Y5/(AC5+AE5),"n/a")</f>
        <v>2.3258536845063658</v>
      </c>
      <c r="R5" s="354">
        <f t="shared" ref="R5:R17" si="1">IF(OR(AC5&gt;0,AD5&gt;0),Y5/((AD5+AC5)),"n/a")</f>
        <v>2.3071963467405441</v>
      </c>
      <c r="S5" s="354">
        <f t="shared" ref="S5:S17" si="2">IF(OR(AC5&gt;0,AE5&gt;0),(Y5+Z5)/(AC5+AE5),"n/a")</f>
        <v>2.8924838161019801</v>
      </c>
      <c r="T5" s="354">
        <f t="shared" ref="T5:T17" si="3">IF(AE5&gt;0,(AD5+AA5)/AE5,"n/a")</f>
        <v>11.457635438441581</v>
      </c>
      <c r="U5" s="354">
        <f>IF(AE5&gt;0,(AD5+AB5)/AE5,"n/a")</f>
        <v>11.241569780134684</v>
      </c>
      <c r="V5" s="354">
        <f>IF((AA5+AC5+AD5)&gt;0,Y5/(AA5+AC5+AD5),"n/a")</f>
        <v>0.34286540873109611</v>
      </c>
      <c r="W5" s="354">
        <f>IF((AB5+AC5+AD5)&gt;0,Y5/(AB5+AC5+AD5),"n/a")</f>
        <v>0.34901338361168271</v>
      </c>
      <c r="Y5" s="645">
        <f t="shared" ref="Y5" si="4">AG5+NPV(DiscountRate,AH5:AZ5)</f>
        <v>1377988.0840829343</v>
      </c>
      <c r="Z5" s="645">
        <f t="shared" ref="Z5" si="5">BB5+NPV(DiscountRate,BC5:BU5)</f>
        <v>335708.80860754527</v>
      </c>
      <c r="AA5" s="645">
        <f t="shared" ref="AA5" si="6">BW5+NPV(DiscountRate,BX5:CP5)</f>
        <v>3421778.4878010186</v>
      </c>
      <c r="AB5" s="645">
        <f t="shared" ref="AB5" si="7">CR5+NPV(DiscountRate,CS5:DK5)</f>
        <v>3350981.9868819304</v>
      </c>
      <c r="AC5" s="352">
        <f>AC6+AC41</f>
        <v>264803.52999999997</v>
      </c>
      <c r="AD5" s="352">
        <f>AD6+AD41</f>
        <v>332453</v>
      </c>
      <c r="AE5" s="645">
        <f t="shared" ref="AE5" si="8">DM5+NPV(DiscountRate,DN5:DW5)</f>
        <v>327661.97772405762</v>
      </c>
      <c r="AG5" s="355">
        <f t="shared" ref="AG5:AZ5" si="9">AG6+AG41</f>
        <v>148981.0319314714</v>
      </c>
      <c r="AH5" s="355">
        <f t="shared" si="9"/>
        <v>151215.74741044347</v>
      </c>
      <c r="AI5" s="355">
        <f t="shared" si="9"/>
        <v>153398.85464825234</v>
      </c>
      <c r="AJ5" s="355">
        <f t="shared" si="9"/>
        <v>155699.83746797612</v>
      </c>
      <c r="AK5" s="355">
        <f t="shared" si="9"/>
        <v>158035.33502999574</v>
      </c>
      <c r="AL5" s="355">
        <f t="shared" si="9"/>
        <v>153867.61518076548</v>
      </c>
      <c r="AM5" s="355">
        <f t="shared" si="9"/>
        <v>154488.52256872368</v>
      </c>
      <c r="AN5" s="355">
        <f t="shared" si="9"/>
        <v>156805.8504072545</v>
      </c>
      <c r="AO5" s="355">
        <f t="shared" si="9"/>
        <v>153455.49586104869</v>
      </c>
      <c r="AP5" s="355">
        <f t="shared" si="9"/>
        <v>155669.20086440674</v>
      </c>
      <c r="AQ5" s="355">
        <f t="shared" si="9"/>
        <v>146499.45267238392</v>
      </c>
      <c r="AR5" s="355">
        <f t="shared" si="9"/>
        <v>148696.94446246963</v>
      </c>
      <c r="AS5" s="355">
        <f t="shared" si="9"/>
        <v>150927.39862940667</v>
      </c>
      <c r="AT5" s="355">
        <f t="shared" si="9"/>
        <v>153191.30960884778</v>
      </c>
      <c r="AU5" s="355">
        <f t="shared" si="9"/>
        <v>155245.64542354865</v>
      </c>
      <c r="AV5" s="355">
        <f t="shared" si="9"/>
        <v>64279.417429212474</v>
      </c>
      <c r="AW5" s="355">
        <f t="shared" si="9"/>
        <v>7915.343699863708</v>
      </c>
      <c r="AX5" s="355">
        <f t="shared" si="9"/>
        <v>8034.073855361662</v>
      </c>
      <c r="AY5" s="355">
        <f t="shared" si="9"/>
        <v>0</v>
      </c>
      <c r="AZ5" s="355">
        <f t="shared" si="9"/>
        <v>0</v>
      </c>
      <c r="BB5" s="355">
        <f t="shared" ref="BB5:BU5" si="10">BB6+BB41</f>
        <v>39467.287131376623</v>
      </c>
      <c r="BC5" s="355">
        <f t="shared" si="10"/>
        <v>39467.287131376623</v>
      </c>
      <c r="BD5" s="355">
        <f t="shared" si="10"/>
        <v>39444.599562736621</v>
      </c>
      <c r="BE5" s="355">
        <f t="shared" si="10"/>
        <v>39444.599562736621</v>
      </c>
      <c r="BF5" s="355">
        <f t="shared" si="10"/>
        <v>39444.599562736621</v>
      </c>
      <c r="BG5" s="355">
        <f t="shared" si="10"/>
        <v>37764.778882220024</v>
      </c>
      <c r="BH5" s="355">
        <f t="shared" si="10"/>
        <v>37346.801514681254</v>
      </c>
      <c r="BI5" s="355">
        <f t="shared" si="10"/>
        <v>37346.801514681254</v>
      </c>
      <c r="BJ5" s="355">
        <f t="shared" si="10"/>
        <v>35952.035784133048</v>
      </c>
      <c r="BK5" s="355">
        <f t="shared" si="10"/>
        <v>35930.855305640223</v>
      </c>
      <c r="BL5" s="355">
        <f t="shared" si="10"/>
        <v>33239.640264561443</v>
      </c>
      <c r="BM5" s="355">
        <f t="shared" si="10"/>
        <v>33239.640264561443</v>
      </c>
      <c r="BN5" s="355">
        <f t="shared" si="10"/>
        <v>33239.640264561443</v>
      </c>
      <c r="BO5" s="355">
        <f t="shared" si="10"/>
        <v>33239.640264561443</v>
      </c>
      <c r="BP5" s="355">
        <f t="shared" si="10"/>
        <v>33185.357105539042</v>
      </c>
      <c r="BQ5" s="355">
        <f t="shared" si="10"/>
        <v>13445.420230571663</v>
      </c>
      <c r="BR5" s="355">
        <f t="shared" si="10"/>
        <v>1615.2213258866623</v>
      </c>
      <c r="BS5" s="355">
        <f t="shared" si="10"/>
        <v>1615.2213258866623</v>
      </c>
      <c r="BT5" s="355">
        <f t="shared" si="10"/>
        <v>0</v>
      </c>
      <c r="BU5" s="355">
        <f t="shared" si="10"/>
        <v>0</v>
      </c>
      <c r="BW5" s="355">
        <f t="shared" ref="BW5:CP5" si="11">BW6+BW41</f>
        <v>374038.94549829763</v>
      </c>
      <c r="BX5" s="355">
        <f t="shared" si="11"/>
        <v>379649.52968077204</v>
      </c>
      <c r="BY5" s="355">
        <f t="shared" si="11"/>
        <v>385069.06152605568</v>
      </c>
      <c r="BZ5" s="355">
        <f t="shared" si="11"/>
        <v>390845.09744894644</v>
      </c>
      <c r="CA5" s="355">
        <f t="shared" si="11"/>
        <v>396707.77391068061</v>
      </c>
      <c r="CB5" s="355">
        <f t="shared" si="11"/>
        <v>381350.56950220594</v>
      </c>
      <c r="CC5" s="355">
        <f t="shared" si="11"/>
        <v>382670.13764536532</v>
      </c>
      <c r="CD5" s="355">
        <f t="shared" si="11"/>
        <v>388410.18971004564</v>
      </c>
      <c r="CE5" s="355">
        <f t="shared" si="11"/>
        <v>376217.60368446686</v>
      </c>
      <c r="CF5" s="355">
        <f t="shared" si="11"/>
        <v>381575.71598225983</v>
      </c>
      <c r="CG5" s="355">
        <f t="shared" si="11"/>
        <v>357563.74645131442</v>
      </c>
      <c r="CH5" s="355">
        <f t="shared" si="11"/>
        <v>362927.20264808415</v>
      </c>
      <c r="CI5" s="355">
        <f t="shared" si="11"/>
        <v>368371.1106878054</v>
      </c>
      <c r="CJ5" s="355">
        <f t="shared" si="11"/>
        <v>373896.67734812235</v>
      </c>
      <c r="CK5" s="355">
        <f t="shared" si="11"/>
        <v>378717.83592180983</v>
      </c>
      <c r="CL5" s="355">
        <f t="shared" si="11"/>
        <v>157003.61541537917</v>
      </c>
      <c r="CM5" s="355">
        <f t="shared" si="11"/>
        <v>21789.103915357045</v>
      </c>
      <c r="CN5" s="355">
        <f t="shared" si="11"/>
        <v>22115.940474087402</v>
      </c>
      <c r="CO5" s="355">
        <f t="shared" si="11"/>
        <v>0</v>
      </c>
      <c r="CP5" s="355">
        <f t="shared" si="11"/>
        <v>0</v>
      </c>
      <c r="CR5" s="355">
        <f t="shared" ref="CR5:DK5" si="12">CR6+CR41</f>
        <v>363634.84257627674</v>
      </c>
      <c r="CS5" s="355">
        <f t="shared" si="12"/>
        <v>369089.36521492084</v>
      </c>
      <c r="CT5" s="355">
        <f t="shared" si="12"/>
        <v>374401.81918465445</v>
      </c>
      <c r="CU5" s="355">
        <f t="shared" si="12"/>
        <v>380017.84647242416</v>
      </c>
      <c r="CV5" s="355">
        <f t="shared" si="12"/>
        <v>385718.11416951049</v>
      </c>
      <c r="CW5" s="355">
        <f t="shared" si="12"/>
        <v>374169.79705965222</v>
      </c>
      <c r="CX5" s="355">
        <f t="shared" si="12"/>
        <v>375560.40896410192</v>
      </c>
      <c r="CY5" s="355">
        <f t="shared" si="12"/>
        <v>381193.81509856333</v>
      </c>
      <c r="CZ5" s="355">
        <f t="shared" si="12"/>
        <v>371938.20608856634</v>
      </c>
      <c r="DA5" s="355">
        <f t="shared" si="12"/>
        <v>377285.30586418393</v>
      </c>
      <c r="DB5" s="355">
        <f t="shared" si="12"/>
        <v>354146.55776673998</v>
      </c>
      <c r="DC5" s="355">
        <f t="shared" si="12"/>
        <v>359458.75613324106</v>
      </c>
      <c r="DD5" s="355">
        <f t="shared" si="12"/>
        <v>364850.63747523964</v>
      </c>
      <c r="DE5" s="355">
        <f t="shared" si="12"/>
        <v>370323.39703736815</v>
      </c>
      <c r="DF5" s="355">
        <f t="shared" si="12"/>
        <v>375237.77976864885</v>
      </c>
      <c r="DG5" s="355">
        <f t="shared" si="12"/>
        <v>154512.57756350777</v>
      </c>
      <c r="DH5" s="355">
        <f t="shared" si="12"/>
        <v>19260.700495707584</v>
      </c>
      <c r="DI5" s="355">
        <f t="shared" si="12"/>
        <v>19549.611003143196</v>
      </c>
      <c r="DJ5" s="355">
        <f t="shared" si="12"/>
        <v>0</v>
      </c>
      <c r="DK5" s="355">
        <f t="shared" si="12"/>
        <v>0</v>
      </c>
      <c r="DM5" s="355">
        <f t="shared" ref="DM5:DW5" si="13">DM6+DM41</f>
        <v>330201.47283659806</v>
      </c>
      <c r="DN5" s="355">
        <f t="shared" si="13"/>
        <v>0</v>
      </c>
      <c r="DO5" s="355">
        <f t="shared" si="13"/>
        <v>0</v>
      </c>
      <c r="DP5" s="355">
        <f t="shared" si="13"/>
        <v>0</v>
      </c>
      <c r="DQ5" s="355">
        <f t="shared" si="13"/>
        <v>0</v>
      </c>
      <c r="DR5" s="355">
        <f t="shared" si="13"/>
        <v>0</v>
      </c>
      <c r="DS5" s="355">
        <f t="shared" si="13"/>
        <v>-2376</v>
      </c>
      <c r="DT5" s="355">
        <f t="shared" si="13"/>
        <v>0</v>
      </c>
      <c r="DU5" s="355">
        <f t="shared" si="13"/>
        <v>-2186.3418909802322</v>
      </c>
      <c r="DV5" s="355">
        <f t="shared" si="13"/>
        <v>0</v>
      </c>
      <c r="DW5" s="355">
        <f t="shared" si="13"/>
        <v>0</v>
      </c>
      <c r="DX5" s="219"/>
      <c r="DY5" s="219"/>
      <c r="DZ5" s="219"/>
      <c r="EA5" s="219"/>
      <c r="EB5" s="219"/>
      <c r="EC5" s="219"/>
      <c r="ED5" s="219"/>
      <c r="EE5" s="219"/>
      <c r="EF5" s="219"/>
      <c r="FO5" s="195"/>
    </row>
    <row r="6" spans="1:171">
      <c r="A6" s="343"/>
      <c r="B6" s="340" t="str">
        <f>'Portfolio Inputs'!A5</f>
        <v>Residential Programs</v>
      </c>
      <c r="C6" s="350"/>
      <c r="D6" s="350"/>
      <c r="E6" s="350"/>
      <c r="G6" s="351"/>
      <c r="H6" s="351"/>
      <c r="I6" s="508"/>
      <c r="J6" s="517"/>
      <c r="L6" s="440"/>
      <c r="M6" s="440"/>
      <c r="N6" s="352"/>
      <c r="O6" s="352"/>
      <c r="Q6" s="353">
        <f t="shared" ref="Q6" si="14">IF(OR(AE6&gt;0,AC6&gt;0),Y6/(AC6+AE6),"n/a")</f>
        <v>0.49804560051875668</v>
      </c>
      <c r="R6" s="354">
        <f t="shared" ref="R6" si="15">IF(OR(AC6&gt;0,AD6&gt;0),Y6/((AD6+AC6)),"n/a")</f>
        <v>0.56336260246647762</v>
      </c>
      <c r="S6" s="354">
        <f t="shared" ref="S6" si="16">IF(OR(AC6&gt;0,AE6&gt;0),(Y6+Z6)/(AC6+AE6),"n/a")</f>
        <v>0.62318960083169284</v>
      </c>
      <c r="T6" s="354">
        <f t="shared" ref="T6" si="17">IF(AE6&gt;0,(AD6+AA6)/AE6,"n/a")</f>
        <v>7.3858463664845715</v>
      </c>
      <c r="U6" s="354">
        <f>IF(AE6&gt;0,(AD6+AB6)/AE6,"n/a")</f>
        <v>6.0998409067592032</v>
      </c>
      <c r="V6" s="354">
        <f>IF((AA6+AC6+AD6)&gt;0,Y6/(AA6+AC6+AD6),"n/a")</f>
        <v>0.20312411421671486</v>
      </c>
      <c r="W6" s="354">
        <f>IF((AB6+AC6+AD6)&gt;0,Y6/(AB6+AC6+AD6),"n/a")</f>
        <v>0.23062653528547414</v>
      </c>
      <c r="Y6" s="645">
        <f t="shared" ref="Y6" si="18">AG6+NPV(DiscountRate,AH6:AZ6)</f>
        <v>120590.09174549772</v>
      </c>
      <c r="Z6" s="645">
        <f t="shared" ref="Z6" si="19">BB6+NPV(DiscountRate,BC6:BU6)</f>
        <v>30300.692272789631</v>
      </c>
      <c r="AA6" s="645">
        <f t="shared" ref="AA6" si="20">BW6+NPV(DiscountRate,BX6:CP6)</f>
        <v>379622.75671783753</v>
      </c>
      <c r="AB6" s="645">
        <f t="shared" ref="AB6" si="21">CR6+NPV(DiscountRate,CS6:DK6)</f>
        <v>308826.25579874992</v>
      </c>
      <c r="AC6" s="352">
        <f>AC7+AC13+AC16+AC24+AC33+AC34+AC35</f>
        <v>187075.12999999998</v>
      </c>
      <c r="AD6" s="352">
        <f>AD7+AD13+AD16+AD24+AD33+AD34+AD35</f>
        <v>26979</v>
      </c>
      <c r="AE6" s="645">
        <f t="shared" ref="AE6" si="22">DM6+NPV(DiscountRate,DN6:DW6)</f>
        <v>55051.477724057651</v>
      </c>
      <c r="AG6" s="355">
        <f t="shared" ref="AG6:AZ6" si="23">AG7+AG13+AG16+AG24+AG33+AG34+AG35</f>
        <v>17529.550792807921</v>
      </c>
      <c r="AH6" s="355">
        <f t="shared" si="23"/>
        <v>17792.494054700041</v>
      </c>
      <c r="AI6" s="355">
        <f t="shared" si="23"/>
        <v>17974.252492172796</v>
      </c>
      <c r="AJ6" s="355">
        <f t="shared" si="23"/>
        <v>18243.86627955539</v>
      </c>
      <c r="AK6" s="355">
        <f t="shared" si="23"/>
        <v>18517.524273748717</v>
      </c>
      <c r="AL6" s="355">
        <f t="shared" si="23"/>
        <v>12257.037263174783</v>
      </c>
      <c r="AM6" s="355">
        <f t="shared" si="23"/>
        <v>12141.890144045483</v>
      </c>
      <c r="AN6" s="355">
        <f t="shared" si="23"/>
        <v>12324.018496206163</v>
      </c>
      <c r="AO6" s="355">
        <f t="shared" si="23"/>
        <v>7458.1314513715997</v>
      </c>
      <c r="AP6" s="355">
        <f t="shared" si="23"/>
        <v>7481.8759885844984</v>
      </c>
      <c r="AQ6" s="355">
        <f t="shared" si="23"/>
        <v>6053.2225525990962</v>
      </c>
      <c r="AR6" s="355">
        <f t="shared" si="23"/>
        <v>6144.0208908880832</v>
      </c>
      <c r="AS6" s="355">
        <f t="shared" si="23"/>
        <v>6236.181204251403</v>
      </c>
      <c r="AT6" s="355">
        <f t="shared" si="23"/>
        <v>6329.7239223151737</v>
      </c>
      <c r="AU6" s="355">
        <f t="shared" si="23"/>
        <v>6181.1359517180299</v>
      </c>
      <c r="AV6" s="355">
        <f t="shared" si="23"/>
        <v>4466.5699583352989</v>
      </c>
      <c r="AW6" s="355">
        <f t="shared" si="23"/>
        <v>4533.568507710328</v>
      </c>
      <c r="AX6" s="355">
        <f t="shared" si="23"/>
        <v>4601.5720353259821</v>
      </c>
      <c r="AY6" s="355">
        <f t="shared" si="23"/>
        <v>0</v>
      </c>
      <c r="AZ6" s="355">
        <f t="shared" si="23"/>
        <v>0</v>
      </c>
      <c r="BB6" s="355">
        <f t="shared" ref="BB6:BU6" si="24">BB7+BB13+BB16+BB24+BB33+BB34+BB35</f>
        <v>4738.0449838843506</v>
      </c>
      <c r="BC6" s="355">
        <f t="shared" si="24"/>
        <v>4738.0449838843506</v>
      </c>
      <c r="BD6" s="355">
        <f t="shared" si="24"/>
        <v>4715.3574152443507</v>
      </c>
      <c r="BE6" s="355">
        <f t="shared" si="24"/>
        <v>4715.3574152443507</v>
      </c>
      <c r="BF6" s="355">
        <f t="shared" si="24"/>
        <v>4715.3574152443507</v>
      </c>
      <c r="BG6" s="355">
        <f t="shared" si="24"/>
        <v>3035.5367347277529</v>
      </c>
      <c r="BH6" s="355">
        <f t="shared" si="24"/>
        <v>2961.0879984757339</v>
      </c>
      <c r="BI6" s="355">
        <f t="shared" si="24"/>
        <v>2961.0879984757339</v>
      </c>
      <c r="BJ6" s="355">
        <f t="shared" si="24"/>
        <v>1730.0109033495239</v>
      </c>
      <c r="BK6" s="355">
        <f t="shared" si="24"/>
        <v>1708.8304248566972</v>
      </c>
      <c r="BL6" s="355">
        <f t="shared" si="24"/>
        <v>1340.9206441479198</v>
      </c>
      <c r="BM6" s="355">
        <f t="shared" si="24"/>
        <v>1340.9206441479198</v>
      </c>
      <c r="BN6" s="355">
        <f t="shared" si="24"/>
        <v>1340.9206441479198</v>
      </c>
      <c r="BO6" s="355">
        <f t="shared" si="24"/>
        <v>1340.9206441479198</v>
      </c>
      <c r="BP6" s="355">
        <f t="shared" si="24"/>
        <v>1286.6374851255198</v>
      </c>
      <c r="BQ6" s="355">
        <f t="shared" si="24"/>
        <v>907.36961699141204</v>
      </c>
      <c r="BR6" s="355">
        <f t="shared" si="24"/>
        <v>907.36961699141204</v>
      </c>
      <c r="BS6" s="355">
        <f t="shared" si="24"/>
        <v>907.36961699141204</v>
      </c>
      <c r="BT6" s="355">
        <f t="shared" si="24"/>
        <v>0</v>
      </c>
      <c r="BU6" s="355">
        <f t="shared" si="24"/>
        <v>0</v>
      </c>
      <c r="BW6" s="355">
        <f t="shared" ref="BW6:CP6" si="25">BW7+BW13+BW16+BW24+BW33+BW34+BW35</f>
        <v>55788.551427812243</v>
      </c>
      <c r="BX6" s="355">
        <f t="shared" si="25"/>
        <v>56625.379699229423</v>
      </c>
      <c r="BY6" s="355">
        <f t="shared" si="25"/>
        <v>57199.549294789933</v>
      </c>
      <c r="BZ6" s="355">
        <f t="shared" si="25"/>
        <v>58057.542534211781</v>
      </c>
      <c r="CA6" s="355">
        <f t="shared" si="25"/>
        <v>58928.405672224959</v>
      </c>
      <c r="CB6" s="355">
        <f t="shared" si="25"/>
        <v>38504.510740173486</v>
      </c>
      <c r="CC6" s="355">
        <f t="shared" si="25"/>
        <v>38123.562131718136</v>
      </c>
      <c r="CD6" s="355">
        <f t="shared" si="25"/>
        <v>38695.415563693903</v>
      </c>
      <c r="CE6" s="355">
        <f t="shared" si="25"/>
        <v>22946.850357818101</v>
      </c>
      <c r="CF6" s="355">
        <f t="shared" si="25"/>
        <v>23005.901355711481</v>
      </c>
      <c r="CG6" s="355">
        <f t="shared" si="25"/>
        <v>18323.541019997065</v>
      </c>
      <c r="CH6" s="355">
        <f t="shared" si="25"/>
        <v>18598.394135297018</v>
      </c>
      <c r="CI6" s="355">
        <f t="shared" si="25"/>
        <v>18877.370047326469</v>
      </c>
      <c r="CJ6" s="355">
        <f t="shared" si="25"/>
        <v>19160.530598036366</v>
      </c>
      <c r="CK6" s="355">
        <f t="shared" si="25"/>
        <v>18660.646970472564</v>
      </c>
      <c r="CL6" s="355">
        <f t="shared" si="25"/>
        <v>13357.36433495032</v>
      </c>
      <c r="CM6" s="355">
        <f t="shared" si="25"/>
        <v>13557.724799974572</v>
      </c>
      <c r="CN6" s="355">
        <f t="shared" si="25"/>
        <v>13761.090671974189</v>
      </c>
      <c r="CO6" s="355">
        <f t="shared" si="25"/>
        <v>0</v>
      </c>
      <c r="CP6" s="355">
        <f t="shared" si="25"/>
        <v>0</v>
      </c>
      <c r="CR6" s="355">
        <f t="shared" ref="CR6:DK6" si="26">CR7+CR13+CR16+CR24+CR33+CR34+CR35</f>
        <v>45384.448505791363</v>
      </c>
      <c r="CS6" s="355">
        <f t="shared" si="26"/>
        <v>46065.215233378229</v>
      </c>
      <c r="CT6" s="355">
        <f t="shared" si="26"/>
        <v>46532.306953388674</v>
      </c>
      <c r="CU6" s="355">
        <f t="shared" si="26"/>
        <v>47230.291557689496</v>
      </c>
      <c r="CV6" s="355">
        <f t="shared" si="26"/>
        <v>47938.745931054822</v>
      </c>
      <c r="CW6" s="355">
        <f t="shared" si="26"/>
        <v>31323.738297619795</v>
      </c>
      <c r="CX6" s="355">
        <f t="shared" si="26"/>
        <v>31013.833450454767</v>
      </c>
      <c r="CY6" s="355">
        <f t="shared" si="26"/>
        <v>31479.040952211588</v>
      </c>
      <c r="CZ6" s="355">
        <f t="shared" si="26"/>
        <v>18667.452761917601</v>
      </c>
      <c r="DA6" s="355">
        <f t="shared" si="26"/>
        <v>18715.491237635611</v>
      </c>
      <c r="DB6" s="355">
        <f t="shared" si="26"/>
        <v>14906.352335422594</v>
      </c>
      <c r="DC6" s="355">
        <f t="shared" si="26"/>
        <v>15129.94762045393</v>
      </c>
      <c r="DD6" s="355">
        <f t="shared" si="26"/>
        <v>15356.896834760741</v>
      </c>
      <c r="DE6" s="355">
        <f t="shared" si="26"/>
        <v>15587.250287282151</v>
      </c>
      <c r="DF6" s="355">
        <f t="shared" si="26"/>
        <v>15180.590817311626</v>
      </c>
      <c r="DG6" s="355">
        <f t="shared" si="26"/>
        <v>10866.326483078927</v>
      </c>
      <c r="DH6" s="355">
        <f t="shared" si="26"/>
        <v>11029.321380325111</v>
      </c>
      <c r="DI6" s="355">
        <f t="shared" si="26"/>
        <v>11194.761201029985</v>
      </c>
      <c r="DJ6" s="355">
        <f t="shared" si="26"/>
        <v>0</v>
      </c>
      <c r="DK6" s="355">
        <f t="shared" si="26"/>
        <v>0</v>
      </c>
      <c r="DM6" s="355">
        <f t="shared" ref="DM6:DW6" si="27">DM7+DM13+DM16+DM24+DM33+DM34+DM35</f>
        <v>57590.972836598085</v>
      </c>
      <c r="DN6" s="355">
        <f t="shared" si="27"/>
        <v>0</v>
      </c>
      <c r="DO6" s="355">
        <f t="shared" si="27"/>
        <v>0</v>
      </c>
      <c r="DP6" s="355">
        <f t="shared" si="27"/>
        <v>0</v>
      </c>
      <c r="DQ6" s="355">
        <f t="shared" si="27"/>
        <v>0</v>
      </c>
      <c r="DR6" s="355">
        <f t="shared" si="27"/>
        <v>0</v>
      </c>
      <c r="DS6" s="355">
        <f t="shared" si="27"/>
        <v>-2376</v>
      </c>
      <c r="DT6" s="355">
        <f t="shared" si="27"/>
        <v>0</v>
      </c>
      <c r="DU6" s="355">
        <f t="shared" si="27"/>
        <v>-2186.3418909802322</v>
      </c>
      <c r="DV6" s="355">
        <f t="shared" si="27"/>
        <v>0</v>
      </c>
      <c r="DW6" s="355">
        <f t="shared" si="27"/>
        <v>0</v>
      </c>
      <c r="DY6" s="219"/>
      <c r="DZ6" s="219"/>
      <c r="EA6" s="219"/>
      <c r="EB6" s="219"/>
      <c r="EC6" s="219"/>
      <c r="ED6" s="219"/>
      <c r="EE6" s="219"/>
      <c r="EF6" s="219"/>
      <c r="FO6" s="195"/>
    </row>
    <row r="7" spans="1:171">
      <c r="A7" s="441" t="s">
        <v>12</v>
      </c>
      <c r="B7" s="426" t="str">
        <f>'Portfolio Inputs'!A6</f>
        <v>Residential Lighting &amp; Appliances</v>
      </c>
      <c r="C7" s="356">
        <f>IF($C$1=2014,'Portfolio Inputs'!$C6,IF($C$1=2015,'Portfolio Inputs'!$D6,'Portfolio Inputs'!$E6))</f>
        <v>1008</v>
      </c>
      <c r="D7" s="503"/>
      <c r="E7" s="503"/>
      <c r="G7" s="513">
        <f t="shared" ref="G7:I7" si="28">SUM(G8:G12)</f>
        <v>48858.702290964</v>
      </c>
      <c r="H7" s="513"/>
      <c r="I7" s="509">
        <f t="shared" si="28"/>
        <v>3.6292876729343422</v>
      </c>
      <c r="J7" s="509"/>
      <c r="L7" s="453"/>
      <c r="M7" s="453"/>
      <c r="N7" s="453">
        <f>IF($C$1=2014,'Portfolio Inputs'!$W6,IF($C$1=2015,'Portfolio Inputs'!$X6,'Portfolio Inputs'!$Y6))</f>
        <v>2530</v>
      </c>
      <c r="O7" s="453">
        <f>IF($C$1=2014,'Portfolio Inputs'!$AA6,IF($C$1=2015,'Portfolio Inputs'!$AB6,'Portfolio Inputs'!$AC6))+Expenditures!G5</f>
        <v>26787.461351296428</v>
      </c>
      <c r="Q7" s="442">
        <f t="shared" si="0"/>
        <v>0.31797026524907251</v>
      </c>
      <c r="R7" s="443">
        <f t="shared" si="1"/>
        <v>0.48167622621752681</v>
      </c>
      <c r="S7" s="443">
        <f t="shared" si="2"/>
        <v>0.40164396999145219</v>
      </c>
      <c r="T7" s="443">
        <f t="shared" si="3"/>
        <v>2.7691671580691972</v>
      </c>
      <c r="U7" s="443">
        <f>IF(AE7&gt;0,(AD7+AB7)/AE7,"n/a")</f>
        <v>2.2795120892420382</v>
      </c>
      <c r="V7" s="522">
        <f>IF((AA7+AC7+AD7)&gt;0,Y7/(AA7+AC7+AD7),"n/a")</f>
        <v>0.18681423647465153</v>
      </c>
      <c r="W7" s="522">
        <f>IF((AB7+AC7+AD7)&gt;0,Y7/(AB7+AC7+AD7),"n/a")</f>
        <v>0.21088994072845099</v>
      </c>
      <c r="Y7" s="444">
        <f t="shared" ref="Y7:Y88" si="29">AG7+NPV(DiscountRate,AH7:AZ7)</f>
        <v>14121.524145970658</v>
      </c>
      <c r="Z7" s="444">
        <f t="shared" ref="Z7:Z88" si="30">BB7+NPV(DiscountRate,BC7:BU7)</f>
        <v>3716.0715042859829</v>
      </c>
      <c r="AA7" s="444">
        <f t="shared" ref="AA7:AA88" si="31">BW7+NPV(DiscountRate,BX7:CP7)</f>
        <v>46273.801993811532</v>
      </c>
      <c r="AB7" s="444">
        <f t="shared" ref="AB7:AB88" si="32">CR7+NPV(DiscountRate,CS7:DK7)</f>
        <v>37644.121060801685</v>
      </c>
      <c r="AC7" s="445">
        <f t="shared" ref="AC7:AC91" si="33">O7/((1+DiscountRate)^(IF($C$1=2015,1,IF($C$1=2016,2,0))))</f>
        <v>26787.461351296428</v>
      </c>
      <c r="AD7" s="445">
        <f t="shared" ref="AD7:AD91" si="34">N7/((1+DiscountRate)^(IF($C$1=2015,1,IF($C$1=2016,2,0))))</f>
        <v>2530</v>
      </c>
      <c r="AE7" s="526">
        <f t="shared" ref="AE7:AE43" si="35">DM7+NPV(DiscountRate,DN7:DW7)</f>
        <v>17624</v>
      </c>
      <c r="AG7" s="446">
        <f>SUM(AG8:AG12)</f>
        <v>1999.5209167817916</v>
      </c>
      <c r="AH7" s="446">
        <f t="shared" ref="AH7:AZ7" si="36">SUM(AH8:AH12)</f>
        <v>2029.5137305335184</v>
      </c>
      <c r="AI7" s="446">
        <f t="shared" si="36"/>
        <v>2059.9564364915204</v>
      </c>
      <c r="AJ7" s="446">
        <f t="shared" si="36"/>
        <v>2090.8557830388936</v>
      </c>
      <c r="AK7" s="446">
        <f t="shared" si="36"/>
        <v>2122.2186197844767</v>
      </c>
      <c r="AL7" s="446">
        <f t="shared" si="36"/>
        <v>1917.7417588878639</v>
      </c>
      <c r="AM7" s="446">
        <f t="shared" si="36"/>
        <v>1946.5078852711817</v>
      </c>
      <c r="AN7" s="446">
        <f t="shared" si="36"/>
        <v>1975.705503550249</v>
      </c>
      <c r="AO7" s="446">
        <f t="shared" si="36"/>
        <v>1539.3127291228789</v>
      </c>
      <c r="AP7" s="446">
        <f t="shared" si="36"/>
        <v>1562.4024200597219</v>
      </c>
      <c r="AQ7" s="446">
        <f t="shared" si="36"/>
        <v>229.45373363204553</v>
      </c>
      <c r="AR7" s="446">
        <f t="shared" si="36"/>
        <v>232.89553963652619</v>
      </c>
      <c r="AS7" s="446">
        <f t="shared" si="36"/>
        <v>236.38897273107406</v>
      </c>
      <c r="AT7" s="446">
        <f t="shared" si="36"/>
        <v>239.93480732204017</v>
      </c>
      <c r="AU7" s="446">
        <f t="shared" si="36"/>
        <v>0</v>
      </c>
      <c r="AV7" s="446">
        <f t="shared" si="36"/>
        <v>0</v>
      </c>
      <c r="AW7" s="446">
        <f t="shared" si="36"/>
        <v>0</v>
      </c>
      <c r="AX7" s="446">
        <f t="shared" si="36"/>
        <v>0</v>
      </c>
      <c r="AY7" s="446">
        <f t="shared" si="36"/>
        <v>0</v>
      </c>
      <c r="AZ7" s="446">
        <f t="shared" si="36"/>
        <v>0</v>
      </c>
      <c r="BB7" s="446">
        <f>SUM(BB8:BB12)</f>
        <v>556.98920611698964</v>
      </c>
      <c r="BC7" s="446">
        <f t="shared" ref="BC7" si="37">SUM(BC8:BC12)</f>
        <v>556.98920611698964</v>
      </c>
      <c r="BD7" s="446">
        <f t="shared" ref="BD7" si="38">SUM(BD8:BD12)</f>
        <v>556.98920611698964</v>
      </c>
      <c r="BE7" s="446">
        <f t="shared" ref="BE7" si="39">SUM(BE8:BE12)</f>
        <v>556.98920611698964</v>
      </c>
      <c r="BF7" s="446">
        <f t="shared" ref="BF7" si="40">SUM(BF8:BF12)</f>
        <v>556.98920611698964</v>
      </c>
      <c r="BG7" s="446">
        <f t="shared" ref="BG7" si="41">SUM(BG8:BG12)</f>
        <v>496.25295154896605</v>
      </c>
      <c r="BH7" s="446">
        <f t="shared" ref="BH7" si="42">SUM(BH8:BH12)</f>
        <v>496.25295154896605</v>
      </c>
      <c r="BI7" s="446">
        <f t="shared" ref="BI7" si="43">SUM(BI8:BI12)</f>
        <v>496.25295154896605</v>
      </c>
      <c r="BJ7" s="446">
        <f t="shared" ref="BJ7" si="44">SUM(BJ8:BJ12)</f>
        <v>377.89047186771603</v>
      </c>
      <c r="BK7" s="446">
        <f t="shared" ref="BK7" si="45">SUM(BK8:BK12)</f>
        <v>377.89047186771603</v>
      </c>
      <c r="BL7" s="446">
        <f t="shared" ref="BL7" si="46">SUM(BL8:BL12)</f>
        <v>54.283159022400007</v>
      </c>
      <c r="BM7" s="446">
        <f t="shared" ref="BM7" si="47">SUM(BM8:BM12)</f>
        <v>54.283159022400007</v>
      </c>
      <c r="BN7" s="446">
        <f t="shared" ref="BN7" si="48">SUM(BN8:BN12)</f>
        <v>54.283159022400007</v>
      </c>
      <c r="BO7" s="446">
        <f t="shared" ref="BO7" si="49">SUM(BO8:BO12)</f>
        <v>54.283159022400007</v>
      </c>
      <c r="BP7" s="446">
        <f t="shared" ref="BP7" si="50">SUM(BP8:BP12)</f>
        <v>0</v>
      </c>
      <c r="BQ7" s="446">
        <f t="shared" ref="BQ7" si="51">SUM(BQ8:BQ12)</f>
        <v>0</v>
      </c>
      <c r="BR7" s="446">
        <f t="shared" ref="BR7" si="52">SUM(BR8:BR12)</f>
        <v>0</v>
      </c>
      <c r="BS7" s="446">
        <f t="shared" ref="BS7" si="53">SUM(BS8:BS12)</f>
        <v>0</v>
      </c>
      <c r="BT7" s="446">
        <f t="shared" ref="BT7" si="54">SUM(BT8:BT12)</f>
        <v>0</v>
      </c>
      <c r="BU7" s="446">
        <f t="shared" ref="BU7" si="55">SUM(BU8:BU12)</f>
        <v>0</v>
      </c>
      <c r="BW7" s="446">
        <f>SUM(BW8:BW12)</f>
        <v>6558.3212223365526</v>
      </c>
      <c r="BX7" s="446">
        <f t="shared" ref="BX7" si="56">SUM(BX8:BX12)</f>
        <v>6656.6960406716007</v>
      </c>
      <c r="BY7" s="446">
        <f t="shared" ref="BY7" si="57">SUM(BY8:BY12)</f>
        <v>6756.5464812816736</v>
      </c>
      <c r="BZ7" s="446">
        <f t="shared" ref="BZ7" si="58">SUM(BZ8:BZ12)</f>
        <v>6857.8946785008975</v>
      </c>
      <c r="CA7" s="446">
        <f t="shared" ref="CA7" si="59">SUM(CA8:CA12)</f>
        <v>6960.7630986784088</v>
      </c>
      <c r="CB7" s="446">
        <f t="shared" ref="CB7" si="60">SUM(CB8:CB12)</f>
        <v>6294.7606214601401</v>
      </c>
      <c r="CC7" s="446">
        <f t="shared" ref="CC7" si="61">SUM(CC8:CC12)</f>
        <v>6389.1820307820408</v>
      </c>
      <c r="CD7" s="446">
        <f t="shared" ref="CD7" si="62">SUM(CD8:CD12)</f>
        <v>6485.0197612437696</v>
      </c>
      <c r="CE7" s="446">
        <f t="shared" ref="CE7" si="63">SUM(CE8:CE12)</f>
        <v>5012.3361030874494</v>
      </c>
      <c r="CF7" s="446">
        <f t="shared" ref="CF7" si="64">SUM(CF8:CF12)</f>
        <v>5087.5211446337607</v>
      </c>
      <c r="CG7" s="446">
        <f t="shared" ref="CG7" si="65">SUM(CG8:CG12)</f>
        <v>741.77371747007521</v>
      </c>
      <c r="CH7" s="446">
        <f t="shared" ref="CH7" si="66">SUM(CH8:CH12)</f>
        <v>752.9003232321262</v>
      </c>
      <c r="CI7" s="446">
        <f t="shared" ref="CI7" si="67">SUM(CI8:CI12)</f>
        <v>764.193828080608</v>
      </c>
      <c r="CJ7" s="446">
        <f t="shared" ref="CJ7" si="68">SUM(CJ8:CJ12)</f>
        <v>775.65673550181702</v>
      </c>
      <c r="CK7" s="446">
        <f t="shared" ref="CK7" si="69">SUM(CK8:CK12)</f>
        <v>0</v>
      </c>
      <c r="CL7" s="446">
        <f t="shared" ref="CL7" si="70">SUM(CL8:CL12)</f>
        <v>0</v>
      </c>
      <c r="CM7" s="446">
        <f t="shared" ref="CM7" si="71">SUM(CM8:CM12)</f>
        <v>0</v>
      </c>
      <c r="CN7" s="446">
        <f t="shared" ref="CN7" si="72">SUM(CN8:CN12)</f>
        <v>0</v>
      </c>
      <c r="CO7" s="446">
        <f t="shared" ref="CO7" si="73">SUM(CO8:CO12)</f>
        <v>0</v>
      </c>
      <c r="CP7" s="446">
        <f t="shared" ref="CP7" si="74">SUM(CP8:CP12)</f>
        <v>0</v>
      </c>
      <c r="CR7" s="446">
        <f>SUM(CR8:CR12)</f>
        <v>5335.2486161020242</v>
      </c>
      <c r="CS7" s="446">
        <f t="shared" ref="CS7" si="75">SUM(CS8:CS12)</f>
        <v>5415.2773453435548</v>
      </c>
      <c r="CT7" s="446">
        <f t="shared" ref="CT7" si="76">SUM(CT8:CT12)</f>
        <v>5496.5065055237073</v>
      </c>
      <c r="CU7" s="446">
        <f t="shared" ref="CU7" si="77">SUM(CU8:CU12)</f>
        <v>5578.9541031065619</v>
      </c>
      <c r="CV7" s="446">
        <f t="shared" ref="CV7" si="78">SUM(CV8:CV12)</f>
        <v>5662.63841465316</v>
      </c>
      <c r="CW7" s="446">
        <f t="shared" ref="CW7" si="79">SUM(CW8:CW12)</f>
        <v>5120.8398850542462</v>
      </c>
      <c r="CX7" s="446">
        <f t="shared" ref="CX7" si="80">SUM(CX8:CX12)</f>
        <v>5197.6524833300591</v>
      </c>
      <c r="CY7" s="446">
        <f t="shared" ref="CY7" si="81">SUM(CY8:CY12)</f>
        <v>5275.6172705800091</v>
      </c>
      <c r="CZ7" s="446">
        <f t="shared" ref="CZ7" si="82">SUM(CZ8:CZ12)</f>
        <v>4077.5769211115376</v>
      </c>
      <c r="DA7" s="446">
        <f t="shared" ref="DA7" si="83">SUM(DA8:DA12)</f>
        <v>4138.7405749282107</v>
      </c>
      <c r="DB7" s="446">
        <f t="shared" ref="DB7" si="84">SUM(DB8:DB12)</f>
        <v>603.43906091612678</v>
      </c>
      <c r="DC7" s="446">
        <f t="shared" ref="DC7" si="85">SUM(DC8:DC12)</f>
        <v>612.49064682986852</v>
      </c>
      <c r="DD7" s="446">
        <f t="shared" ref="DD7" si="86">SUM(DD8:DD12)</f>
        <v>621.67800653231654</v>
      </c>
      <c r="DE7" s="446">
        <f t="shared" ref="DE7" si="87">SUM(DE8:DE12)</f>
        <v>631.00317663030125</v>
      </c>
      <c r="DF7" s="446">
        <f t="shared" ref="DF7" si="88">SUM(DF8:DF12)</f>
        <v>0</v>
      </c>
      <c r="DG7" s="446">
        <f t="shared" ref="DG7" si="89">SUM(DG8:DG12)</f>
        <v>0</v>
      </c>
      <c r="DH7" s="446">
        <f t="shared" ref="DH7" si="90">SUM(DH8:DH12)</f>
        <v>0</v>
      </c>
      <c r="DI7" s="446">
        <f t="shared" ref="DI7" si="91">SUM(DI8:DI12)</f>
        <v>0</v>
      </c>
      <c r="DJ7" s="446">
        <f t="shared" ref="DJ7" si="92">SUM(DJ8:DJ12)</f>
        <v>0</v>
      </c>
      <c r="DK7" s="446">
        <f t="shared" ref="DK7" si="93">SUM(DK8:DK12)</f>
        <v>0</v>
      </c>
      <c r="DM7" s="446">
        <f t="shared" ref="DM7" si="94">SUM(DM8:DM12)</f>
        <v>17624</v>
      </c>
      <c r="DN7" s="446">
        <f t="shared" ref="DN7" si="95">SUM(DN8:DN12)</f>
        <v>0</v>
      </c>
      <c r="DO7" s="446">
        <f t="shared" ref="DO7" si="96">SUM(DO8:DO12)</f>
        <v>0</v>
      </c>
      <c r="DP7" s="446">
        <f t="shared" ref="DP7" si="97">SUM(DP8:DP12)</f>
        <v>0</v>
      </c>
      <c r="DQ7" s="446">
        <f t="shared" ref="DQ7" si="98">SUM(DQ8:DQ12)</f>
        <v>0</v>
      </c>
      <c r="DR7" s="446">
        <f t="shared" ref="DR7" si="99">SUM(DR8:DR12)</f>
        <v>0</v>
      </c>
      <c r="DS7" s="446">
        <f t="shared" ref="DS7" si="100">SUM(DS8:DS12)</f>
        <v>0</v>
      </c>
      <c r="DT7" s="446">
        <f t="shared" ref="DT7" si="101">SUM(DT8:DT12)</f>
        <v>0</v>
      </c>
      <c r="DU7" s="446">
        <f t="shared" ref="DU7" si="102">SUM(DU8:DU12)</f>
        <v>0</v>
      </c>
      <c r="DV7" s="446">
        <f t="shared" ref="DV7" si="103">SUM(DV8:DV12)</f>
        <v>0</v>
      </c>
      <c r="DW7" s="446">
        <f t="shared" ref="DW7" si="104">SUM(DW8:DW12)</f>
        <v>0</v>
      </c>
      <c r="DY7" s="219"/>
      <c r="DZ7" s="650"/>
      <c r="EA7" s="219"/>
      <c r="EB7" s="219"/>
      <c r="EC7" s="219"/>
      <c r="ED7" s="219"/>
      <c r="EE7" s="219"/>
      <c r="EF7" s="219"/>
      <c r="FO7" s="195"/>
    </row>
    <row r="8" spans="1:171">
      <c r="A8" s="341" t="s">
        <v>12</v>
      </c>
      <c r="B8" s="427" t="str">
        <f>'Portfolio Inputs'!A7</f>
        <v>CFL</v>
      </c>
      <c r="C8" s="217">
        <f>IF($C$1=2014,'Portfolio Inputs'!$C7,IF($C$1=2015,'Portfolio Inputs'!$D7,'Portfolio Inputs'!$E7))</f>
        <v>166</v>
      </c>
      <c r="D8" s="504">
        <f>VLOOKUP(B8,Sources!$B$4:$J$104,2,FALSE)</f>
        <v>5</v>
      </c>
      <c r="E8" s="504">
        <f>VLOOKUP(B8,Sources!$B$4:$J$104,3,FALSE)</f>
        <v>0</v>
      </c>
      <c r="G8" s="504">
        <f>IF($C$1=2014,'Portfolio Inputs'!$G7,IF($C$1=2015,'Portfolio Inputs'!$H7,'Portfolio Inputs'!$I7))*EnergyLineLoss</f>
        <v>5327.7416287739998</v>
      </c>
      <c r="H8" s="504"/>
      <c r="I8" s="504">
        <f>IF($C$1=2014,'Portfolio Inputs'!$K7,IF($C$1=2015,'Portfolio Inputs'!$L7,'Portfolio Inputs'!$M7))*PeakLineLoss</f>
        <v>0.48402718596899996</v>
      </c>
      <c r="J8" s="510"/>
      <c r="L8" s="606">
        <f>IF($C$1=2014,'Portfolio Inputs'!$O7,IF($C$1=2015,'Portfolio Inputs'!$P7,'Portfolio Inputs'!$Q7))</f>
        <v>1.5</v>
      </c>
      <c r="M8" s="518">
        <f>VLOOKUP($B8,Sources!$B$4:$K$104,10,FALSE)</f>
        <v>0</v>
      </c>
      <c r="N8" s="419">
        <f>IF($C$1=2014,'Portfolio Inputs'!$W7,IF($C$1=2015,'Portfolio Inputs'!$X7,'Portfolio Inputs'!$Y7))</f>
        <v>0</v>
      </c>
      <c r="O8" s="419"/>
      <c r="Q8" s="438">
        <f t="shared" si="0"/>
        <v>3.8493970584908501</v>
      </c>
      <c r="R8" s="439" t="str">
        <f t="shared" si="1"/>
        <v>n/a</v>
      </c>
      <c r="S8" s="439">
        <f t="shared" si="2"/>
        <v>4.8863357421044169</v>
      </c>
      <c r="T8" s="439">
        <f t="shared" si="3"/>
        <v>12.54973269144662</v>
      </c>
      <c r="U8" s="439">
        <f>IF(AE8&gt;0,(AD8+AB8)/AE8,"n/a")</f>
        <v>10.209311454042551</v>
      </c>
      <c r="V8" s="439">
        <f>IF((AA8+AC8+AD8)&gt;0,Y8/(AA8+AC8+AD8),"n/a")</f>
        <v>0.30673139843962094</v>
      </c>
      <c r="W8" s="439">
        <f>IF((AB8+AC8+AD8)&gt;0,Y8/(AB8+AC8+AD8),"n/a")</f>
        <v>0.37704766632098541</v>
      </c>
      <c r="X8" s="194"/>
      <c r="Y8" s="215">
        <f t="shared" si="29"/>
        <v>958.49986756422163</v>
      </c>
      <c r="Z8" s="215">
        <f t="shared" si="30"/>
        <v>258.19773221977812</v>
      </c>
      <c r="AA8" s="215">
        <f t="shared" si="31"/>
        <v>3124.8834401702084</v>
      </c>
      <c r="AB8" s="215">
        <f t="shared" si="32"/>
        <v>2542.118552056595</v>
      </c>
      <c r="AC8" s="216">
        <f t="shared" si="33"/>
        <v>0</v>
      </c>
      <c r="AD8" s="216">
        <f t="shared" si="34"/>
        <v>0</v>
      </c>
      <c r="AE8" s="215">
        <f t="shared" si="35"/>
        <v>249</v>
      </c>
      <c r="AG8" s="214">
        <f>IF(AND(($E8+$C$1)&gt;AG$4,AG$4&gt;=$C$1),'General Inputs'!D$9*$H8,IF(AND(($D8+$C$1)&gt;AG$4,AG$4&gt;=$C$1),'General Inputs'!D$9*$G8,0))+IF(AND(($E8+$C$1)&gt;AG$4,AG$4&gt;=$C$1),'General Inputs'!D$10*$J8,IF(AND(($D8+$C$1)&gt;AG$4,AG$4&gt;=$C$1),'General Inputs'!D$10*$I8,0))</f>
        <v>219.35732763255899</v>
      </c>
      <c r="AH8" s="214">
        <f>IF(AND(($E8+$C$1)&gt;AH$4,AH$4&gt;=$C$1),'General Inputs'!E$9*$H8,IF(AND(($D8+$C$1)&gt;AH$4,AH$4&gt;=$C$1),'General Inputs'!E$9*$G8,0))+IF(AND(($E8+$C$1)&gt;AH$4,AH$4&gt;=$C$1),'General Inputs'!E$10*$J8,IF(AND(($D8+$C$1)&gt;AH$4,AH$4&gt;=$C$1),'General Inputs'!E$10*$I8,0))</f>
        <v>222.64768754704735</v>
      </c>
      <c r="AI8" s="214">
        <f>IF(AND(($E8+$C$1)&gt;AI$4,AI$4&gt;=$C$1),'General Inputs'!F$9*$H8,IF(AND(($D8+$C$1)&gt;AI$4,AI$4&gt;=$C$1),'General Inputs'!F$9*$G8,0))+IF(AND(($E8+$C$1)&gt;AI$4,AI$4&gt;=$C$1),'General Inputs'!F$10*$J8,IF(AND(($D8+$C$1)&gt;AI$4,AI$4&gt;=$C$1),'General Inputs'!F$10*$I8,0))</f>
        <v>225.98740286025304</v>
      </c>
      <c r="AJ8" s="214">
        <f>IF(AND(($E8+$C$1)&gt;AJ$4,AJ$4&gt;=$C$1),'General Inputs'!G$9*$H8,IF(AND(($D8+$C$1)&gt;AJ$4,AJ$4&gt;=$C$1),'General Inputs'!G$9*$G8,0))+IF(AND(($E8+$C$1)&gt;AJ$4,AJ$4&gt;=$C$1),'General Inputs'!G$10*$J8,IF(AND(($D8+$C$1)&gt;AJ$4,AJ$4&gt;=$C$1),'General Inputs'!G$10*$I8,0))</f>
        <v>229.37721390315681</v>
      </c>
      <c r="AK8" s="214">
        <f>IF(AND(($E8+$C$1)&gt;AK$4,AK$4&gt;=$C$1),'General Inputs'!H$9*$H8,IF(AND(($D8+$C$1)&gt;AK$4,AK$4&gt;=$C$1),'General Inputs'!H$9*$G8,0))+IF(AND(($E8+$C$1)&gt;AK$4,AK$4&gt;=$C$1),'General Inputs'!H$10*$J8,IF(AND(($D8+$C$1)&gt;AK$4,AK$4&gt;=$C$1),'General Inputs'!H$10*$I8,0))</f>
        <v>232.81787211170416</v>
      </c>
      <c r="AL8" s="214">
        <f>IF(AND(($E8+$C$1)&gt;AL$4,AL$4&gt;=$C$1),'General Inputs'!I$9*$H8,IF(AND(($D8+$C$1)&gt;AL$4,AL$4&gt;=$C$1),'General Inputs'!I$9*$G8,0))+IF(AND(($E8+$C$1)&gt;AL$4,AL$4&gt;=$C$1),'General Inputs'!I$10*$J8,IF(AND(($D8+$C$1)&gt;AL$4,AL$4&gt;=$C$1),'General Inputs'!I$10*$I8,0))</f>
        <v>0</v>
      </c>
      <c r="AM8" s="214">
        <f>IF(AND(($E8+$C$1)&gt;AM$4,AM$4&gt;=$C$1),'General Inputs'!J$9*$H8,IF(AND(($D8+$C$1)&gt;AM$4,AM$4&gt;=$C$1),'General Inputs'!J$9*$G8,0))+IF(AND(($E8+$C$1)&gt;AM$4,AM$4&gt;=$C$1),'General Inputs'!J$10*$J8,IF(AND(($D8+$C$1)&gt;AM$4,AM$4&gt;=$C$1),'General Inputs'!J$10*$I8,0))</f>
        <v>0</v>
      </c>
      <c r="AN8" s="214">
        <f>IF(AND(($E8+$C$1)&gt;AN$4,AN$4&gt;=$C$1),'General Inputs'!K$9*$H8,IF(AND(($D8+$C$1)&gt;AN$4,AN$4&gt;=$C$1),'General Inputs'!K$9*$G8,0))+IF(AND(($E8+$C$1)&gt;AN$4,AN$4&gt;=$C$1),'General Inputs'!K$10*$J8,IF(AND(($D8+$C$1)&gt;AN$4,AN$4&gt;=$C$1),'General Inputs'!K$10*$I8,0))</f>
        <v>0</v>
      </c>
      <c r="AO8" s="214">
        <f>IF(AND(($E8+$C$1)&gt;AO$4,AO$4&gt;=$C$1),'General Inputs'!L$9*$H8,IF(AND(($D8+$C$1)&gt;AO$4,AO$4&gt;=$C$1),'General Inputs'!L$9*$G8,0))+IF(AND(($E8+$C$1)&gt;AO$4,AO$4&gt;=$C$1),'General Inputs'!L$10*$J8,IF(AND(($D8+$C$1)&gt;AO$4,AO$4&gt;=$C$1),'General Inputs'!L$10*$I8,0))</f>
        <v>0</v>
      </c>
      <c r="AP8" s="214">
        <f>IF(AND(($E8+$C$1)&gt;AP$4,AP$4&gt;=$C$1),'General Inputs'!M$9*$H8,IF(AND(($D8+$C$1)&gt;AP$4,AP$4&gt;=$C$1),'General Inputs'!M$9*$G8,0))+IF(AND(($E8+$C$1)&gt;AP$4,AP$4&gt;=$C$1),'General Inputs'!M$10*$J8,IF(AND(($D8+$C$1)&gt;AP$4,AP$4&gt;=$C$1),'General Inputs'!M$10*$I8,0))</f>
        <v>0</v>
      </c>
      <c r="AQ8" s="214">
        <f>IF(AND(($E8+$C$1)&gt;AQ$4,AQ$4&gt;=$C$1),'General Inputs'!N$9*$H8,IF(AND(($D8+$C$1)&gt;AQ$4,AQ$4&gt;=$C$1),'General Inputs'!N$9*$G8,0))+IF(AND(($E8+$C$1)&gt;AQ$4,AQ$4&gt;=$C$1),'General Inputs'!N$10*$J8,IF(AND(($D8+$C$1)&gt;AQ$4,AQ$4&gt;=$C$1),'General Inputs'!N$10*$I8,0))</f>
        <v>0</v>
      </c>
      <c r="AR8" s="214">
        <f>IF(AND(($E8+$C$1)&gt;AR$4,AR$4&gt;=$C$1),'General Inputs'!O$9*$H8,IF(AND(($D8+$C$1)&gt;AR$4,AR$4&gt;=$C$1),'General Inputs'!O$9*$G8,0))+IF(AND(($E8+$C$1)&gt;AR$4,AR$4&gt;=$C$1),'General Inputs'!O$10*$J8,IF(AND(($D8+$C$1)&gt;AR$4,AR$4&gt;=$C$1),'General Inputs'!O$10*$I8,0))</f>
        <v>0</v>
      </c>
      <c r="AS8" s="214">
        <f>IF(AND(($E8+$C$1)&gt;AS$4,AS$4&gt;=$C$1),'General Inputs'!P$9*$H8,IF(AND(($D8+$C$1)&gt;AS$4,AS$4&gt;=$C$1),'General Inputs'!P$9*$G8,0))+IF(AND(($E8+$C$1)&gt;AS$4,AS$4&gt;=$C$1),'General Inputs'!P$10*$J8,IF(AND(($D8+$C$1)&gt;AS$4,AS$4&gt;=$C$1),'General Inputs'!P$10*$I8,0))</f>
        <v>0</v>
      </c>
      <c r="AT8" s="214">
        <f>IF(AND(($E8+$C$1)&gt;AT$4,AT$4&gt;=$C$1),'General Inputs'!Q$9*$H8,IF(AND(($D8+$C$1)&gt;AT$4,AT$4&gt;=$C$1),'General Inputs'!Q$9*$G8,0))+IF(AND(($E8+$C$1)&gt;AT$4,AT$4&gt;=$C$1),'General Inputs'!Q$10*$J8,IF(AND(($D8+$C$1)&gt;AT$4,AT$4&gt;=$C$1),'General Inputs'!Q$10*$I8,0))</f>
        <v>0</v>
      </c>
      <c r="AU8" s="214">
        <f>IF(AND(($E8+$C$1)&gt;AU$4,AU$4&gt;=$C$1),'General Inputs'!R$9*$H8,IF(AND(($D8+$C$1)&gt;AU$4,AU$4&gt;=$C$1),'General Inputs'!R$9*$G8,0))+IF(AND(($E8+$C$1)&gt;AU$4,AU$4&gt;=$C$1),'General Inputs'!R$10*$J8,IF(AND(($D8+$C$1)&gt;AU$4,AU$4&gt;=$C$1),'General Inputs'!R$10*$I8,0))</f>
        <v>0</v>
      </c>
      <c r="AV8" s="214">
        <f>IF(AND(($E8+$C$1)&gt;AV$4,AV$4&gt;=$C$1),'General Inputs'!S$9*$H8,IF(AND(($D8+$C$1)&gt;AV$4,AV$4&gt;=$C$1),'General Inputs'!S$9*$G8,0))+IF(AND(($E8+$C$1)&gt;AV$4,AV$4&gt;=$C$1),'General Inputs'!S$10*$J8,IF(AND(($D8+$C$1)&gt;AV$4,AV$4&gt;=$C$1),'General Inputs'!S$10*$I8,0))</f>
        <v>0</v>
      </c>
      <c r="AW8" s="214">
        <f>IF(AND(($E8+$C$1)&gt;AW$4,AW$4&gt;=$C$1),'General Inputs'!T$9*$H8,IF(AND(($D8+$C$1)&gt;AW$4,AW$4&gt;=$C$1),'General Inputs'!T$9*$G8,0))+IF(AND(($E8+$C$1)&gt;AW$4,AW$4&gt;=$C$1),'General Inputs'!T$10*$J8,IF(AND(($D8+$C$1)&gt;AW$4,AW$4&gt;=$C$1),'General Inputs'!T$10*$I8,0))</f>
        <v>0</v>
      </c>
      <c r="AX8" s="214">
        <f>IF(AND(($E8+$C$1)&gt;AX$4,AX$4&gt;=$C$1),'General Inputs'!U$9*$H8,IF(AND(($D8+$C$1)&gt;AX$4,AX$4&gt;=$C$1),'General Inputs'!U$9*$G8,0))+IF(AND(($E8+$C$1)&gt;AX$4,AX$4&gt;=$C$1),'General Inputs'!U$10*$J8,IF(AND(($D8+$C$1)&gt;AX$4,AX$4&gt;=$C$1),'General Inputs'!U$10*$I8,0))</f>
        <v>0</v>
      </c>
      <c r="AY8" s="214">
        <f>IF(AND(($E8+$C$1)&gt;AY$4,AY$4&gt;=$C$1),'General Inputs'!V$9*$H8,IF(AND(($D8+$C$1)&gt;AY$4,AY$4&gt;=$C$1),'General Inputs'!V$9*$G8,0))+IF(AND(($E8+$C$1)&gt;AY$4,AY$4&gt;=$C$1),'General Inputs'!V$10*$J8,IF(AND(($D8+$C$1)&gt;AY$4,AY$4&gt;=$C$1),'General Inputs'!V$10*$I8,0))</f>
        <v>0</v>
      </c>
      <c r="AZ8" s="214">
        <f>IF(AND(($E8+$C$1)&gt;AZ$4,AZ$4&gt;=$C$1),'General Inputs'!W$9*$H8,IF(AND(($D8+$C$1)&gt;AZ$4,AZ$4&gt;=$C$1),'General Inputs'!W$9*$G8,0))+IF(AND(($E8+$C$1)&gt;AZ$4,AZ$4&gt;=$C$1),'General Inputs'!W$10*$J8,IF(AND(($D8+$C$1)&gt;AZ$4,AZ$4&gt;=$C$1),'General Inputs'!W$10*$I8,0))</f>
        <v>0</v>
      </c>
      <c r="BB8" s="214">
        <f>IF(AND(($E8+$C$1)&gt;BB$4,BB$4&gt;=$C$1),'General Inputs'!D$11*$H8,IF(AND(($D8+$C$1)&gt;BB$4,BB$4&gt;=$C$1),'General Inputs'!D$11*$G8,0))</f>
        <v>60.736254568023597</v>
      </c>
      <c r="BC8" s="214">
        <f>IF(AND(($E8+$C$1)&gt;BC$4,BC$4&gt;=$C$1),'General Inputs'!E$11*$H8,IF(AND(($D8+$C$1)&gt;BC$4,BC$4&gt;=$C$1),'General Inputs'!E$11*$G8,0))</f>
        <v>60.736254568023597</v>
      </c>
      <c r="BD8" s="214">
        <f>IF(AND(($E8+$C$1)&gt;BD$4,BD$4&gt;=$C$1),'General Inputs'!F$11*$H8,IF(AND(($D8+$C$1)&gt;BD$4,BD$4&gt;=$C$1),'General Inputs'!F$11*$G8,0))</f>
        <v>60.736254568023597</v>
      </c>
      <c r="BE8" s="214">
        <f>IF(AND(($E8+$C$1)&gt;BE$4,BE$4&gt;=$C$1),'General Inputs'!G$11*$H8,IF(AND(($D8+$C$1)&gt;BE$4,BE$4&gt;=$C$1),'General Inputs'!G$11*$G8,0))</f>
        <v>60.736254568023597</v>
      </c>
      <c r="BF8" s="214">
        <f>IF(AND(($E8+$C$1)&gt;BF$4,BF$4&gt;=$C$1),'General Inputs'!H$11*$H8,IF(AND(($D8+$C$1)&gt;BF$4,BF$4&gt;=$C$1),'General Inputs'!H$11*$G8,0))</f>
        <v>60.736254568023597</v>
      </c>
      <c r="BG8" s="214">
        <f>IF(AND(($E8+$C$1)&gt;BG$4,BG$4&gt;=$C$1),'General Inputs'!I$11*$H8,IF(AND(($D8+$C$1)&gt;BG$4,BG$4&gt;=$C$1),'General Inputs'!I$11*$G8,0))</f>
        <v>0</v>
      </c>
      <c r="BH8" s="214">
        <f>IF(AND(($E8+$C$1)&gt;BH$4,BH$4&gt;=$C$1),'General Inputs'!J$11*$H8,IF(AND(($D8+$C$1)&gt;BH$4,BH$4&gt;=$C$1),'General Inputs'!J$11*$G8,0))</f>
        <v>0</v>
      </c>
      <c r="BI8" s="214">
        <f>IF(AND(($E8+$C$1)&gt;BI$4,BI$4&gt;=$C$1),'General Inputs'!K$11*$H8,IF(AND(($D8+$C$1)&gt;BI$4,BI$4&gt;=$C$1),'General Inputs'!K$11*$G8,0))</f>
        <v>0</v>
      </c>
      <c r="BJ8" s="214">
        <f>IF(AND(($E8+$C$1)&gt;BJ$4,BJ$4&gt;=$C$1),'General Inputs'!L$11*$H8,IF(AND(($D8+$C$1)&gt;BJ$4,BJ$4&gt;=$C$1),'General Inputs'!L$11*$G8,0))</f>
        <v>0</v>
      </c>
      <c r="BK8" s="214">
        <f>IF(AND(($E8+$C$1)&gt;BK$4,BK$4&gt;=$C$1),'General Inputs'!M$11*$H8,IF(AND(($D8+$C$1)&gt;BK$4,BK$4&gt;=$C$1),'General Inputs'!M$11*$G8,0))</f>
        <v>0</v>
      </c>
      <c r="BL8" s="214">
        <f>IF(AND(($E8+$C$1)&gt;BL$4,BL$4&gt;=$C$1),'General Inputs'!N$11*$H8,IF(AND(($D8+$C$1)&gt;BL$4,BL$4&gt;=$C$1),'General Inputs'!N$11*$G8,0))</f>
        <v>0</v>
      </c>
      <c r="BM8" s="214">
        <f>IF(AND(($E8+$C$1)&gt;BM$4,BM$4&gt;=$C$1),'General Inputs'!O$11*$H8,IF(AND(($D8+$C$1)&gt;BM$4,BM$4&gt;=$C$1),'General Inputs'!O$11*$G8,0))</f>
        <v>0</v>
      </c>
      <c r="BN8" s="214">
        <f>IF(AND(($E8+$C$1)&gt;BN$4,BN$4&gt;=$C$1),'General Inputs'!P$11*$H8,IF(AND(($D8+$C$1)&gt;BN$4,BN$4&gt;=$C$1),'General Inputs'!P$11*$G8,0))</f>
        <v>0</v>
      </c>
      <c r="BO8" s="214">
        <f>IF(AND(($E8+$C$1)&gt;BO$4,BO$4&gt;=$C$1),'General Inputs'!Q$11*$H8,IF(AND(($D8+$C$1)&gt;BO$4,BO$4&gt;=$C$1),'General Inputs'!Q$11*$G8,0))</f>
        <v>0</v>
      </c>
      <c r="BP8" s="214">
        <f>IF(AND(($E8+$C$1)&gt;BP$4,BP$4&gt;=$C$1),'General Inputs'!R$11*$H8,IF(AND(($D8+$C$1)&gt;BP$4,BP$4&gt;=$C$1),'General Inputs'!R$11*$G8,0))</f>
        <v>0</v>
      </c>
      <c r="BQ8" s="214">
        <f>IF(AND(($E8+$C$1)&gt;BQ$4,BQ$4&gt;=$C$1),'General Inputs'!S$11*$H8,IF(AND(($D8+$C$1)&gt;BQ$4,BQ$4&gt;=$C$1),'General Inputs'!S$11*$G8,0))</f>
        <v>0</v>
      </c>
      <c r="BR8" s="214">
        <f>IF(AND(($E8+$C$1)&gt;BR$4,BR$4&gt;=$C$1),'General Inputs'!T$11*$H8,IF(AND(($D8+$C$1)&gt;BR$4,BR$4&gt;=$C$1),'General Inputs'!T$11*$G8,0))</f>
        <v>0</v>
      </c>
      <c r="BS8" s="214">
        <f>IF(AND(($E8+$C$1)&gt;BS$4,BS$4&gt;=$C$1),'General Inputs'!U$11*$H8,IF(AND(($D8+$C$1)&gt;BS$4,BS$4&gt;=$C$1),'General Inputs'!U$11*$G8,0))</f>
        <v>0</v>
      </c>
      <c r="BT8" s="214">
        <f>IF(AND(($E8+$C$1)&gt;BT$4,BT$4&gt;=$C$1),'General Inputs'!V$11*$H8,IF(AND(($D8+$C$1)&gt;BT$4,BT$4&gt;=$C$1),'General Inputs'!V$11*$G8,0))</f>
        <v>0</v>
      </c>
      <c r="BU8" s="214">
        <f>IF(AND(($E8+$C$1)&gt;BU$4,BU$4&gt;=$C$1),'General Inputs'!W$11*$H8,IF(AND(($D8+$C$1)&gt;BU$4,BU$4&gt;=$C$1),'General Inputs'!W$11*$G8,0))</f>
        <v>0</v>
      </c>
      <c r="BW8" s="214">
        <f>IF(AND(($E8+$C$1)&gt;BW$4,BW$4&gt;=$C$1),$H8,IF(AND(($D8+$C$1)&gt;BW$4,BW$4&gt;=$C$1),$G8,0))*IF($A8="Residential",'General Inputs'!D$14,'General Inputs'!D$19)</f>
        <v>715.14467950935489</v>
      </c>
      <c r="BX8" s="214">
        <f>IF(AND(($E8+$C$1)&gt;BX$4,BX$4&gt;=$C$1),$H8,IF(AND(($D8+$C$1)&gt;BX$4,BX$4&gt;=$C$1),$G8,0))*IF($A8="Residential",'General Inputs'!E$14,'General Inputs'!E$19)</f>
        <v>725.87184970199519</v>
      </c>
      <c r="BY8" s="214">
        <f>IF(AND(($E8+$C$1)&gt;BY$4,BY$4&gt;=$C$1),$H8,IF(AND(($D8+$C$1)&gt;BY$4,BY$4&gt;=$C$1),$G8,0))*IF($A8="Residential",'General Inputs'!F$14,'General Inputs'!F$19)</f>
        <v>736.759927447525</v>
      </c>
      <c r="BZ8" s="214">
        <f>IF(AND(($E8+$C$1)&gt;BZ$4,BZ$4&gt;=$C$1),$H8,IF(AND(($D8+$C$1)&gt;BZ$4,BZ$4&gt;=$C$1),$G8,0))*IF($A8="Residential",'General Inputs'!G$14,'General Inputs'!G$19)</f>
        <v>747.81132635923768</v>
      </c>
      <c r="CA8" s="214">
        <f>IF(AND(($E8+$C$1)&gt;CA$4,CA$4&gt;=$C$1),$H8,IF(AND(($D8+$C$1)&gt;CA$4,CA$4&gt;=$C$1),$G8,0))*IF($A8="Residential",'General Inputs'!H$14,'General Inputs'!H$19)</f>
        <v>759.02849625462613</v>
      </c>
      <c r="CB8" s="214">
        <f>IF(AND(($E8+$C$1)&gt;CB$4,CB$4&gt;=$C$1),$H8,IF(AND(($D8+$C$1)&gt;CB$4,CB$4&gt;=$C$1),$G8,0))*IF($A8="Residential",'General Inputs'!I$14,'General Inputs'!I$19)</f>
        <v>0</v>
      </c>
      <c r="CC8" s="214">
        <f>IF(AND(($E8+$C$1)&gt;CC$4,CC$4&gt;=$C$1),$H8,IF(AND(($D8+$C$1)&gt;CC$4,CC$4&gt;=$C$1),$G8,0))*IF($A8="Residential",'General Inputs'!J$14,'General Inputs'!J$19)</f>
        <v>0</v>
      </c>
      <c r="CD8" s="214">
        <f>IF(AND(($E8+$C$1)&gt;CD$4,CD$4&gt;=$C$1),$H8,IF(AND(($D8+$C$1)&gt;CD$4,CD$4&gt;=$C$1),$G8,0))*IF($A8="Residential",'General Inputs'!K$14,'General Inputs'!K$19)</f>
        <v>0</v>
      </c>
      <c r="CE8" s="214">
        <f>IF(AND(($E8+$C$1)&gt;CE$4,CE$4&gt;=$C$1),$H8,IF(AND(($D8+$C$1)&gt;CE$4,CE$4&gt;=$C$1),$G8,0))*IF($A8="Residential",'General Inputs'!L$14,'General Inputs'!L$19)</f>
        <v>0</v>
      </c>
      <c r="CF8" s="214">
        <f>IF(AND(($E8+$C$1)&gt;CF$4,CF$4&gt;=$C$1),$H8,IF(AND(($D8+$C$1)&gt;CF$4,CF$4&gt;=$C$1),$G8,0))*IF($A8="Residential",'General Inputs'!M$14,'General Inputs'!M$19)</f>
        <v>0</v>
      </c>
      <c r="CG8" s="214">
        <f>IF(AND(($E8+$C$1)&gt;CG$4,CG$4&gt;=$C$1),$H8,IF(AND(($D8+$C$1)&gt;CG$4,CG$4&gt;=$C$1),$G8,0))*IF($A8="Residential",'General Inputs'!N$14,'General Inputs'!N$19)</f>
        <v>0</v>
      </c>
      <c r="CH8" s="214">
        <f>IF(AND(($E8+$C$1)&gt;CH$4,CH$4&gt;=$C$1),$H8,IF(AND(($D8+$C$1)&gt;CH$4,CH$4&gt;=$C$1),$G8,0))*IF($A8="Residential",'General Inputs'!O$14,'General Inputs'!O$19)</f>
        <v>0</v>
      </c>
      <c r="CI8" s="214">
        <f>IF(AND(($E8+$C$1)&gt;CI$4,CI$4&gt;=$C$1),$H8,IF(AND(($D8+$C$1)&gt;CI$4,CI$4&gt;=$C$1),$G8,0))*IF($A8="Residential",'General Inputs'!P$14,'General Inputs'!P$19)</f>
        <v>0</v>
      </c>
      <c r="CJ8" s="214">
        <f>IF(AND(($E8+$C$1)&gt;CJ$4,CJ$4&gt;=$C$1),$H8,IF(AND(($D8+$C$1)&gt;CJ$4,CJ$4&gt;=$C$1),$G8,0))*IF($A8="Residential",'General Inputs'!Q$14,'General Inputs'!Q$19)</f>
        <v>0</v>
      </c>
      <c r="CK8" s="214">
        <f>IF(AND(($E8+$C$1)&gt;CK$4,CK$4&gt;=$C$1),$H8,IF(AND(($D8+$C$1)&gt;CK$4,CK$4&gt;=$C$1),$G8,0))*IF($A8="Residential",'General Inputs'!R$14,'General Inputs'!R$19)</f>
        <v>0</v>
      </c>
      <c r="CL8" s="214">
        <f>IF(AND(($E8+$C$1)&gt;CL$4,CL$4&gt;=$C$1),$H8,IF(AND(($D8+$C$1)&gt;CL$4,CL$4&gt;=$C$1),$G8,0))*IF($A8="Residential",'General Inputs'!S$14,'General Inputs'!S$19)</f>
        <v>0</v>
      </c>
      <c r="CM8" s="214">
        <f>IF(AND(($E8+$C$1)&gt;CM$4,CM$4&gt;=$C$1),$H8,IF(AND(($D8+$C$1)&gt;CM$4,CM$4&gt;=$C$1),$G8,0))*IF($A8="Residential",'General Inputs'!T$14,'General Inputs'!T$19)</f>
        <v>0</v>
      </c>
      <c r="CN8" s="214">
        <f>IF(AND(($E8+$C$1)&gt;CN$4,CN$4&gt;=$C$1),$H8,IF(AND(($D8+$C$1)&gt;CN$4,CN$4&gt;=$C$1),$G8,0))*IF($A8="Residential",'General Inputs'!U$14,'General Inputs'!U$19)</f>
        <v>0</v>
      </c>
      <c r="CO8" s="214">
        <f>IF(AND(($E8+$C$1)&gt;CO$4,CO$4&gt;=$C$1),$H8,IF(AND(($D8+$C$1)&gt;CO$4,CO$4&gt;=$C$1),$G8,0))*IF($A8="Residential",'General Inputs'!V$14,'General Inputs'!V$19)</f>
        <v>0</v>
      </c>
      <c r="CP8" s="214">
        <f>IF(AND(($E8+$C$1)&gt;CP$4,CP$4&gt;=$C$1),$H8,IF(AND(($D8+$C$1)&gt;CP$4,CP$4&gt;=$C$1),$G8,0))*IF($A8="Residential",'General Inputs'!W$14,'General Inputs'!W$19)</f>
        <v>0</v>
      </c>
      <c r="CR8" s="214">
        <f>IF(AND(($E8+$C$1)&gt;CR$4,CR$4&gt;=$C$1),$H8,IF(AND(($D8+$C$1)&gt;CR$4,CR$4&gt;=$C$1),$G8,0))*IF($A8="Residential",'General Inputs'!D$15,'General Inputs'!D$19)</f>
        <v>581.77611805139077</v>
      </c>
      <c r="CS8" s="214">
        <f>IF(AND(($E8+$C$1)&gt;CS$4,CS$4&gt;=$C$1),$H8,IF(AND(($D8+$C$1)&gt;CS$4,CS$4&gt;=$C$1),$G8,0))*IF($A8="Residential",'General Inputs'!E$15,'General Inputs'!E$19)</f>
        <v>590.50275982216158</v>
      </c>
      <c r="CT8" s="214">
        <f>IF(AND(($E8+$C$1)&gt;CT$4,CT$4&gt;=$C$1),$H8,IF(AND(($D8+$C$1)&gt;CT$4,CT$4&gt;=$C$1),$G8,0))*IF($A8="Residential",'General Inputs'!F$15,'General Inputs'!F$19)</f>
        <v>599.36030121949398</v>
      </c>
      <c r="CU8" s="214">
        <f>IF(AND(($E8+$C$1)&gt;CU$4,CU$4&gt;=$C$1),$H8,IF(AND(($D8+$C$1)&gt;CU$4,CU$4&gt;=$C$1),$G8,0))*IF($A8="Residential",'General Inputs'!G$15,'General Inputs'!G$19)</f>
        <v>608.35070573778626</v>
      </c>
      <c r="CV8" s="214">
        <f>IF(AND(($E8+$C$1)&gt;CV$4,CV$4&gt;=$C$1),$H8,IF(AND(($D8+$C$1)&gt;CV$4,CV$4&gt;=$C$1),$G8,0))*IF($A8="Residential",'General Inputs'!H$15,'General Inputs'!H$19)</f>
        <v>617.47596632385307</v>
      </c>
      <c r="CW8" s="214">
        <f>IF(AND(($E8+$C$1)&gt;CW$4,CW$4&gt;=$C$1),$H8,IF(AND(($D8+$C$1)&gt;CW$4,CW$4&gt;=$C$1),$G8,0))*IF($A8="Residential",'General Inputs'!I$15,'General Inputs'!I$19)</f>
        <v>0</v>
      </c>
      <c r="CX8" s="214">
        <f>IF(AND(($E8+$C$1)&gt;CX$4,CX$4&gt;=$C$1),$H8,IF(AND(($D8+$C$1)&gt;CX$4,CX$4&gt;=$C$1),$G8,0))*IF($A8="Residential",'General Inputs'!J$15,'General Inputs'!J$19)</f>
        <v>0</v>
      </c>
      <c r="CY8" s="214">
        <f>IF(AND(($E8+$C$1)&gt;CY$4,CY$4&gt;=$C$1),$H8,IF(AND(($D8+$C$1)&gt;CY$4,CY$4&gt;=$C$1),$G8,0))*IF($A8="Residential",'General Inputs'!K$15,'General Inputs'!K$19)</f>
        <v>0</v>
      </c>
      <c r="CZ8" s="214">
        <f>IF(AND(($E8+$C$1)&gt;CZ$4,CZ$4&gt;=$C$1),$H8,IF(AND(($D8+$C$1)&gt;CZ$4,CZ$4&gt;=$C$1),$G8,0))*IF($A8="Residential",'General Inputs'!L$15,'General Inputs'!L$19)</f>
        <v>0</v>
      </c>
      <c r="DA8" s="214">
        <f>IF(AND(($E8+$C$1)&gt;DA$4,DA$4&gt;=$C$1),$H8,IF(AND(($D8+$C$1)&gt;DA$4,DA$4&gt;=$C$1),$G8,0))*IF($A8="Residential",'General Inputs'!M$15,'General Inputs'!M$19)</f>
        <v>0</v>
      </c>
      <c r="DB8" s="214">
        <f>IF(AND(($E8+$C$1)&gt;DB$4,DB$4&gt;=$C$1),$H8,IF(AND(($D8+$C$1)&gt;DB$4,DB$4&gt;=$C$1),$G8,0))*IF($A8="Residential",'General Inputs'!N$15,'General Inputs'!N$19)</f>
        <v>0</v>
      </c>
      <c r="DC8" s="214">
        <f>IF(AND(($E8+$C$1)&gt;DC$4,DC$4&gt;=$C$1),$H8,IF(AND(($D8+$C$1)&gt;DC$4,DC$4&gt;=$C$1),$G8,0))*IF($A8="Residential",'General Inputs'!O$15,'General Inputs'!O$19)</f>
        <v>0</v>
      </c>
      <c r="DD8" s="214">
        <f>IF(AND(($E8+$C$1)&gt;DD$4,DD$4&gt;=$C$1),$H8,IF(AND(($D8+$C$1)&gt;DD$4,DD$4&gt;=$C$1),$G8,0))*IF($A8="Residential",'General Inputs'!P$15,'General Inputs'!P$19)</f>
        <v>0</v>
      </c>
      <c r="DE8" s="214">
        <f>IF(AND(($E8+$C$1)&gt;DE$4,DE$4&gt;=$C$1),$H8,IF(AND(($D8+$C$1)&gt;DE$4,DE$4&gt;=$C$1),$G8,0))*IF($A8="Residential",'General Inputs'!Q$15,'General Inputs'!Q$19)</f>
        <v>0</v>
      </c>
      <c r="DF8" s="214">
        <f>IF(AND(($E8+$C$1)&gt;DF$4,DF$4&gt;=$C$1),$H8,IF(AND(($D8+$C$1)&gt;DF$4,DF$4&gt;=$C$1),$G8,0))*IF($A8="Residential",'General Inputs'!R$15,'General Inputs'!R$19)</f>
        <v>0</v>
      </c>
      <c r="DG8" s="214">
        <f>IF(AND(($E8+$C$1)&gt;DG$4,DG$4&gt;=$C$1),$H8,IF(AND(($D8+$C$1)&gt;DG$4,DG$4&gt;=$C$1),$G8,0))*IF($A8="Residential",'General Inputs'!S$15,'General Inputs'!S$19)</f>
        <v>0</v>
      </c>
      <c r="DH8" s="214">
        <f>IF(AND(($E8+$C$1)&gt;DH$4,DH$4&gt;=$C$1),$H8,IF(AND(($D8+$C$1)&gt;DH$4,DH$4&gt;=$C$1),$G8,0))*IF($A8="Residential",'General Inputs'!T$15,'General Inputs'!T$19)</f>
        <v>0</v>
      </c>
      <c r="DI8" s="214">
        <f>IF(AND(($E8+$C$1)&gt;DI$4,DI$4&gt;=$C$1),$H8,IF(AND(($D8+$C$1)&gt;DI$4,DI$4&gt;=$C$1),$G8,0))*IF($A8="Residential",'General Inputs'!U$15,'General Inputs'!U$19)</f>
        <v>0</v>
      </c>
      <c r="DJ8" s="214">
        <f>IF(AND(($E8+$C$1)&gt;DJ$4,DJ$4&gt;=$C$1),$H8,IF(AND(($D8+$C$1)&gt;DJ$4,DJ$4&gt;=$C$1),$G8,0))*IF($A8="Residential",'General Inputs'!V$15,'General Inputs'!V$19)</f>
        <v>0</v>
      </c>
      <c r="DK8" s="214">
        <f>IF(AND(($E8+$C$1)&gt;DK$4,DK$4&gt;=$C$1),$H8,IF(AND(($D8+$C$1)&gt;DK$4,DK$4&gt;=$C$1),$G8,0))*IF($A8="Residential",'General Inputs'!W$15,'General Inputs'!W$19)</f>
        <v>0</v>
      </c>
      <c r="DM8" s="214">
        <f>IF($C$1=DM$4,$L8*$C8,IF($E8+$C$1=DM$4,-$M8*$C8,0))</f>
        <v>249</v>
      </c>
      <c r="DN8" s="214">
        <f t="shared" ref="DN8:DW28" si="105">IF($C$1=DN$4,$L8*$C8,IF($E8+$C$1=DN$4,-$M8*$C8,0))</f>
        <v>0</v>
      </c>
      <c r="DO8" s="214">
        <f t="shared" si="105"/>
        <v>0</v>
      </c>
      <c r="DP8" s="214">
        <f t="shared" si="105"/>
        <v>0</v>
      </c>
      <c r="DQ8" s="214">
        <f t="shared" si="105"/>
        <v>0</v>
      </c>
      <c r="DR8" s="214">
        <f t="shared" si="105"/>
        <v>0</v>
      </c>
      <c r="DS8" s="214">
        <f t="shared" si="105"/>
        <v>0</v>
      </c>
      <c r="DT8" s="214">
        <f t="shared" si="105"/>
        <v>0</v>
      </c>
      <c r="DU8" s="214">
        <f t="shared" si="105"/>
        <v>0</v>
      </c>
      <c r="DV8" s="214">
        <f t="shared" si="105"/>
        <v>0</v>
      </c>
      <c r="DW8" s="214">
        <f t="shared" si="105"/>
        <v>0</v>
      </c>
      <c r="DY8" s="219"/>
      <c r="DZ8" s="650"/>
      <c r="EA8" s="219"/>
      <c r="EB8" s="219"/>
      <c r="EC8" s="219"/>
      <c r="ED8" s="219"/>
      <c r="EE8" s="219"/>
      <c r="EF8" s="219"/>
      <c r="FI8" s="195"/>
      <c r="FJ8" s="195"/>
      <c r="FK8" s="195"/>
      <c r="FL8" s="195"/>
      <c r="FM8" s="195"/>
      <c r="FN8" s="195"/>
      <c r="FO8" s="195"/>
    </row>
    <row r="9" spans="1:171">
      <c r="A9" s="341" t="s">
        <v>12</v>
      </c>
      <c r="B9" s="427" t="str">
        <f>'Portfolio Inputs'!A8</f>
        <v>LED</v>
      </c>
      <c r="C9" s="217">
        <f>IF($C$1=2014,'Portfolio Inputs'!$C8,IF($C$1=2015,'Portfolio Inputs'!$D8,'Portfolio Inputs'!$E8))</f>
        <v>683</v>
      </c>
      <c r="D9" s="504">
        <f>VLOOKUP(B9,Sources!$B$4:$J$104,2,FALSE)</f>
        <v>10</v>
      </c>
      <c r="E9" s="504">
        <f>VLOOKUP(B9,Sources!$B$4:$J$104,3,FALSE)</f>
        <v>0</v>
      </c>
      <c r="G9" s="504">
        <f>IF($C$1=2014,'Portfolio Inputs'!$G8,IF($C$1=2015,'Portfolio Inputs'!$H8,'Portfolio Inputs'!$I8))*EnergyLineLoss</f>
        <v>28386.60638994</v>
      </c>
      <c r="H9" s="504"/>
      <c r="I9" s="504">
        <f>IF($C$1=2014,'Portfolio Inputs'!$K8,IF($C$1=2015,'Portfolio Inputs'!$L8,'Portfolio Inputs'!$M8))*PeakLineLoss</f>
        <v>2.5789330953899996</v>
      </c>
      <c r="J9" s="510"/>
      <c r="L9" s="606">
        <f>IF($C$1=2014,'Portfolio Inputs'!$O8,IF($C$1=2015,'Portfolio Inputs'!$P8,'Portfolio Inputs'!$Q8))</f>
        <v>20</v>
      </c>
      <c r="M9" s="518">
        <f>VLOOKUP($B9,Sources!$B$4:$K$104,10,FALSE)</f>
        <v>0</v>
      </c>
      <c r="N9" s="419">
        <f>IF($C$1=2014,'Portfolio Inputs'!$W8,IF($C$1=2015,'Portfolio Inputs'!$X8,'Portfolio Inputs'!$Y8))</f>
        <v>0</v>
      </c>
      <c r="O9" s="419"/>
      <c r="Q9" s="438">
        <f t="shared" ref="Q9" si="106">IF(OR(AE9&gt;0,AC9&gt;0),Y9/(AC9+AE9),"n/a")</f>
        <v>0.63755568245460759</v>
      </c>
      <c r="R9" s="439" t="str">
        <f t="shared" ref="R9" si="107">IF(OR(AC9&gt;0,AD9&gt;0),Y9/((AD9+AC9)),"n/a")</f>
        <v>n/a</v>
      </c>
      <c r="S9" s="439">
        <f t="shared" ref="S9" si="108">IF(OR(AC9&gt;0,AE9&gt;0),(Y9+Z9)/(AC9+AE9),"n/a")</f>
        <v>0.80420258426456148</v>
      </c>
      <c r="T9" s="439">
        <f t="shared" ref="T9" si="109">IF(AE9&gt;0,(AD9+AA9)/AE9,"n/a")</f>
        <v>2.0785471774260116</v>
      </c>
      <c r="U9" s="439">
        <f>IF(AE9&gt;0,(AD9+AB9)/AE9,"n/a")</f>
        <v>1.6909153388363594</v>
      </c>
      <c r="V9" s="439">
        <f>IF((AA9+AC9+AD9)&gt;0,Y9/(AA9+AC9+AD9),"n/a")</f>
        <v>0.30673139843962099</v>
      </c>
      <c r="W9" s="439">
        <f>IF((AB9+AC9+AD9)&gt;0,Y9/(AB9+AC9+AD9),"n/a")</f>
        <v>0.37704766632098535</v>
      </c>
      <c r="Y9" s="215">
        <f t="shared" ref="Y9" si="110">AG9+NPV(DiscountRate,AH9:AZ9)</f>
        <v>8709.010622329939</v>
      </c>
      <c r="Z9" s="215">
        <f t="shared" ref="Z9" si="111">BB9+NPV(DiscountRate,BC9:BU9)</f>
        <v>2276.3966787239706</v>
      </c>
      <c r="AA9" s="215">
        <f t="shared" ref="AA9" si="112">BW9+NPV(DiscountRate,BX9:CP9)</f>
        <v>28392.954443639319</v>
      </c>
      <c r="AB9" s="215">
        <f t="shared" ref="AB9" si="113">CR9+NPV(DiscountRate,CS9:DK9)</f>
        <v>23097.90352850467</v>
      </c>
      <c r="AC9" s="216">
        <f t="shared" ref="AC9" si="114">O9/((1+DiscountRate)^(IF($C$1=2015,1,IF($C$1=2016,2,0))))</f>
        <v>0</v>
      </c>
      <c r="AD9" s="216">
        <f t="shared" ref="AD9" si="115">N9/((1+DiscountRate)^(IF($C$1=2015,1,IF($C$1=2016,2,0))))</f>
        <v>0</v>
      </c>
      <c r="AE9" s="215">
        <f t="shared" ref="AE9" si="116">DM9+NPV(DiscountRate,DN9:DW9)</f>
        <v>13660</v>
      </c>
      <c r="AG9" s="214">
        <f>IF(AND(($E9+$C$1)&gt;AG$4,AG$4&gt;=$C$1),'General Inputs'!D$9*$H9,IF(AND(($D9+$C$1)&gt;AG$4,AG$4&gt;=$C$1),'General Inputs'!D$9*$G9,0))+IF(AND(($E9+$C$1)&gt;AG$4,AG$4&gt;=$C$1),'General Inputs'!D$10*$J9,IF(AND(($D9+$C$1)&gt;AG$4,AG$4&gt;=$C$1),'General Inputs'!D$10*$I9,0))</f>
        <v>1168.7522691837914</v>
      </c>
      <c r="AH9" s="214">
        <f>IF(AND(($E9+$C$1)&gt;AH$4,AH$4&gt;=$C$1),'General Inputs'!E$9*$H9,IF(AND(($D9+$C$1)&gt;AH$4,AH$4&gt;=$C$1),'General Inputs'!E$9*$G9,0))+IF(AND(($E9+$C$1)&gt;AH$4,AH$4&gt;=$C$1),'General Inputs'!E$10*$J9,IF(AND(($D9+$C$1)&gt;AH$4,AH$4&gt;=$C$1),'General Inputs'!E$10*$I9,0))</f>
        <v>1186.2835532215483</v>
      </c>
      <c r="AI9" s="214">
        <f>IF(AND(($E9+$C$1)&gt;AI$4,AI$4&gt;=$C$1),'General Inputs'!F$9*$H9,IF(AND(($D9+$C$1)&gt;AI$4,AI$4&gt;=$C$1),'General Inputs'!F$9*$G9,0))+IF(AND(($E9+$C$1)&gt;AI$4,AI$4&gt;=$C$1),'General Inputs'!F$10*$J9,IF(AND(($D9+$C$1)&gt;AI$4,AI$4&gt;=$C$1),'General Inputs'!F$10*$I9,0))</f>
        <v>1204.077806519871</v>
      </c>
      <c r="AJ9" s="214">
        <f>IF(AND(($E9+$C$1)&gt;AJ$4,AJ$4&gt;=$C$1),'General Inputs'!G$9*$H9,IF(AND(($D9+$C$1)&gt;AJ$4,AJ$4&gt;=$C$1),'General Inputs'!G$9*$G9,0))+IF(AND(($E9+$C$1)&gt;AJ$4,AJ$4&gt;=$C$1),'General Inputs'!G$10*$J9,IF(AND(($D9+$C$1)&gt;AJ$4,AJ$4&gt;=$C$1),'General Inputs'!G$10*$I9,0))</f>
        <v>1222.1389736176693</v>
      </c>
      <c r="AK9" s="214">
        <f>IF(AND(($E9+$C$1)&gt;AK$4,AK$4&gt;=$C$1),'General Inputs'!H$9*$H9,IF(AND(($D9+$C$1)&gt;AK$4,AK$4&gt;=$C$1),'General Inputs'!H$9*$G9,0))+IF(AND(($E9+$C$1)&gt;AK$4,AK$4&gt;=$C$1),'General Inputs'!H$10*$J9,IF(AND(($D9+$C$1)&gt;AK$4,AK$4&gt;=$C$1),'General Inputs'!H$10*$I9,0))</f>
        <v>1240.4710582219341</v>
      </c>
      <c r="AL9" s="214">
        <f>IF(AND(($E9+$C$1)&gt;AL$4,AL$4&gt;=$C$1),'General Inputs'!I$9*$H9,IF(AND(($D9+$C$1)&gt;AL$4,AL$4&gt;=$C$1),'General Inputs'!I$9*$G9,0))+IF(AND(($E9+$C$1)&gt;AL$4,AL$4&gt;=$C$1),'General Inputs'!I$10*$J9,IF(AND(($D9+$C$1)&gt;AL$4,AL$4&gt;=$C$1),'General Inputs'!I$10*$I9,0))</f>
        <v>1259.0781240952629</v>
      </c>
      <c r="AM9" s="214">
        <f>IF(AND(($E9+$C$1)&gt;AM$4,AM$4&gt;=$C$1),'General Inputs'!J$9*$H9,IF(AND(($D9+$C$1)&gt;AM$4,AM$4&gt;=$C$1),'General Inputs'!J$9*$G9,0))+IF(AND(($E9+$C$1)&gt;AM$4,AM$4&gt;=$C$1),'General Inputs'!J$10*$J9,IF(AND(($D9+$C$1)&gt;AM$4,AM$4&gt;=$C$1),'General Inputs'!J$10*$I9,0))</f>
        <v>1277.9642959566918</v>
      </c>
      <c r="AN9" s="214">
        <f>IF(AND(($E9+$C$1)&gt;AN$4,AN$4&gt;=$C$1),'General Inputs'!K$9*$H9,IF(AND(($D9+$C$1)&gt;AN$4,AN$4&gt;=$C$1),'General Inputs'!K$9*$G9,0))+IF(AND(($E9+$C$1)&gt;AN$4,AN$4&gt;=$C$1),'General Inputs'!K$10*$J9,IF(AND(($D9+$C$1)&gt;AN$4,AN$4&gt;=$C$1),'General Inputs'!K$10*$I9,0))</f>
        <v>1297.1337603960419</v>
      </c>
      <c r="AO9" s="214">
        <f>IF(AND(($E9+$C$1)&gt;AO$4,AO$4&gt;=$C$1),'General Inputs'!L$9*$H9,IF(AND(($D9+$C$1)&gt;AO$4,AO$4&gt;=$C$1),'General Inputs'!L$9*$G9,0))+IF(AND(($E9+$C$1)&gt;AO$4,AO$4&gt;=$C$1),'General Inputs'!L$10*$J9,IF(AND(($D9+$C$1)&gt;AO$4,AO$4&gt;=$C$1),'General Inputs'!L$10*$I9,0))</f>
        <v>1316.5907668019825</v>
      </c>
      <c r="AP9" s="214">
        <f>IF(AND(($E9+$C$1)&gt;AP$4,AP$4&gt;=$C$1),'General Inputs'!M$9*$H9,IF(AND(($D9+$C$1)&gt;AP$4,AP$4&gt;=$C$1),'General Inputs'!M$9*$G9,0))+IF(AND(($E9+$C$1)&gt;AP$4,AP$4&gt;=$C$1),'General Inputs'!M$10*$J9,IF(AND(($D9+$C$1)&gt;AP$4,AP$4&gt;=$C$1),'General Inputs'!M$10*$I9,0))</f>
        <v>1336.339628304012</v>
      </c>
      <c r="AQ9" s="214">
        <f>IF(AND(($E9+$C$1)&gt;AQ$4,AQ$4&gt;=$C$1),'General Inputs'!N$9*$H9,IF(AND(($D9+$C$1)&gt;AQ$4,AQ$4&gt;=$C$1),'General Inputs'!N$9*$G9,0))+IF(AND(($E9+$C$1)&gt;AQ$4,AQ$4&gt;=$C$1),'General Inputs'!N$10*$J9,IF(AND(($D9+$C$1)&gt;AQ$4,AQ$4&gt;=$C$1),'General Inputs'!N$10*$I9,0))</f>
        <v>0</v>
      </c>
      <c r="AR9" s="214">
        <f>IF(AND(($E9+$C$1)&gt;AR$4,AR$4&gt;=$C$1),'General Inputs'!O$9*$H9,IF(AND(($D9+$C$1)&gt;AR$4,AR$4&gt;=$C$1),'General Inputs'!O$9*$G9,0))+IF(AND(($E9+$C$1)&gt;AR$4,AR$4&gt;=$C$1),'General Inputs'!O$10*$J9,IF(AND(($D9+$C$1)&gt;AR$4,AR$4&gt;=$C$1),'General Inputs'!O$10*$I9,0))</f>
        <v>0</v>
      </c>
      <c r="AS9" s="214">
        <f>IF(AND(($E9+$C$1)&gt;AS$4,AS$4&gt;=$C$1),'General Inputs'!P$9*$H9,IF(AND(($D9+$C$1)&gt;AS$4,AS$4&gt;=$C$1),'General Inputs'!P$9*$G9,0))+IF(AND(($E9+$C$1)&gt;AS$4,AS$4&gt;=$C$1),'General Inputs'!P$10*$J9,IF(AND(($D9+$C$1)&gt;AS$4,AS$4&gt;=$C$1),'General Inputs'!P$10*$I9,0))</f>
        <v>0</v>
      </c>
      <c r="AT9" s="214">
        <f>IF(AND(($E9+$C$1)&gt;AT$4,AT$4&gt;=$C$1),'General Inputs'!Q$9*$H9,IF(AND(($D9+$C$1)&gt;AT$4,AT$4&gt;=$C$1),'General Inputs'!Q$9*$G9,0))+IF(AND(($E9+$C$1)&gt;AT$4,AT$4&gt;=$C$1),'General Inputs'!Q$10*$J9,IF(AND(($D9+$C$1)&gt;AT$4,AT$4&gt;=$C$1),'General Inputs'!Q$10*$I9,0))</f>
        <v>0</v>
      </c>
      <c r="AU9" s="214">
        <f>IF(AND(($E9+$C$1)&gt;AU$4,AU$4&gt;=$C$1),'General Inputs'!R$9*$H9,IF(AND(($D9+$C$1)&gt;AU$4,AU$4&gt;=$C$1),'General Inputs'!R$9*$G9,0))+IF(AND(($E9+$C$1)&gt;AU$4,AU$4&gt;=$C$1),'General Inputs'!R$10*$J9,IF(AND(($D9+$C$1)&gt;AU$4,AU$4&gt;=$C$1),'General Inputs'!R$10*$I9,0))</f>
        <v>0</v>
      </c>
      <c r="AV9" s="214">
        <f>IF(AND(($E9+$C$1)&gt;AV$4,AV$4&gt;=$C$1),'General Inputs'!S$9*$H9,IF(AND(($D9+$C$1)&gt;AV$4,AV$4&gt;=$C$1),'General Inputs'!S$9*$G9,0))+IF(AND(($E9+$C$1)&gt;AV$4,AV$4&gt;=$C$1),'General Inputs'!S$10*$J9,IF(AND(($D9+$C$1)&gt;AV$4,AV$4&gt;=$C$1),'General Inputs'!S$10*$I9,0))</f>
        <v>0</v>
      </c>
      <c r="AW9" s="214">
        <f>IF(AND(($E9+$C$1)&gt;AW$4,AW$4&gt;=$C$1),'General Inputs'!T$9*$H9,IF(AND(($D9+$C$1)&gt;AW$4,AW$4&gt;=$C$1),'General Inputs'!T$9*$G9,0))+IF(AND(($E9+$C$1)&gt;AW$4,AW$4&gt;=$C$1),'General Inputs'!T$10*$J9,IF(AND(($D9+$C$1)&gt;AW$4,AW$4&gt;=$C$1),'General Inputs'!T$10*$I9,0))</f>
        <v>0</v>
      </c>
      <c r="AX9" s="214">
        <f>IF(AND(($E9+$C$1)&gt;AX$4,AX$4&gt;=$C$1),'General Inputs'!U$9*$H9,IF(AND(($D9+$C$1)&gt;AX$4,AX$4&gt;=$C$1),'General Inputs'!U$9*$G9,0))+IF(AND(($E9+$C$1)&gt;AX$4,AX$4&gt;=$C$1),'General Inputs'!U$10*$J9,IF(AND(($D9+$C$1)&gt;AX$4,AX$4&gt;=$C$1),'General Inputs'!U$10*$I9,0))</f>
        <v>0</v>
      </c>
      <c r="AY9" s="214">
        <f>IF(AND(($E9+$C$1)&gt;AY$4,AY$4&gt;=$C$1),'General Inputs'!V$9*$H9,IF(AND(($D9+$C$1)&gt;AY$4,AY$4&gt;=$C$1),'General Inputs'!V$9*$G9,0))+IF(AND(($E9+$C$1)&gt;AY$4,AY$4&gt;=$C$1),'General Inputs'!V$10*$J9,IF(AND(($D9+$C$1)&gt;AY$4,AY$4&gt;=$C$1),'General Inputs'!V$10*$I9,0))</f>
        <v>0</v>
      </c>
      <c r="AZ9" s="214">
        <f>IF(AND(($E9+$C$1)&gt;AZ$4,AZ$4&gt;=$C$1),'General Inputs'!W$9*$H9,IF(AND(($D9+$C$1)&gt;AZ$4,AZ$4&gt;=$C$1),'General Inputs'!W$9*$G9,0))+IF(AND(($E9+$C$1)&gt;AZ$4,AZ$4&gt;=$C$1),'General Inputs'!W$10*$J9,IF(AND(($D9+$C$1)&gt;AZ$4,AZ$4&gt;=$C$1),'General Inputs'!W$10*$I9,0))</f>
        <v>0</v>
      </c>
      <c r="BB9" s="214">
        <f>IF(AND(($E9+$C$1)&gt;BB$4,BB$4&gt;=$C$1),'General Inputs'!D$11*$H9,IF(AND(($D9+$C$1)&gt;BB$4,BB$4&gt;=$C$1),'General Inputs'!D$11*$G9,0))</f>
        <v>323.60731284531602</v>
      </c>
      <c r="BC9" s="214">
        <f>IF(AND(($E9+$C$1)&gt;BC$4,BC$4&gt;=$C$1),'General Inputs'!E$11*$H9,IF(AND(($D9+$C$1)&gt;BC$4,BC$4&gt;=$C$1),'General Inputs'!E$11*$G9,0))</f>
        <v>323.60731284531602</v>
      </c>
      <c r="BD9" s="214">
        <f>IF(AND(($E9+$C$1)&gt;BD$4,BD$4&gt;=$C$1),'General Inputs'!F$11*$H9,IF(AND(($D9+$C$1)&gt;BD$4,BD$4&gt;=$C$1),'General Inputs'!F$11*$G9,0))</f>
        <v>323.60731284531602</v>
      </c>
      <c r="BE9" s="214">
        <f>IF(AND(($E9+$C$1)&gt;BE$4,BE$4&gt;=$C$1),'General Inputs'!G$11*$H9,IF(AND(($D9+$C$1)&gt;BE$4,BE$4&gt;=$C$1),'General Inputs'!G$11*$G9,0))</f>
        <v>323.60731284531602</v>
      </c>
      <c r="BF9" s="214">
        <f>IF(AND(($E9+$C$1)&gt;BF$4,BF$4&gt;=$C$1),'General Inputs'!H$11*$H9,IF(AND(($D9+$C$1)&gt;BF$4,BF$4&gt;=$C$1),'General Inputs'!H$11*$G9,0))</f>
        <v>323.60731284531602</v>
      </c>
      <c r="BG9" s="214">
        <f>IF(AND(($E9+$C$1)&gt;BG$4,BG$4&gt;=$C$1),'General Inputs'!I$11*$H9,IF(AND(($D9+$C$1)&gt;BG$4,BG$4&gt;=$C$1),'General Inputs'!I$11*$G9,0))</f>
        <v>323.60731284531602</v>
      </c>
      <c r="BH9" s="214">
        <f>IF(AND(($E9+$C$1)&gt;BH$4,BH$4&gt;=$C$1),'General Inputs'!J$11*$H9,IF(AND(($D9+$C$1)&gt;BH$4,BH$4&gt;=$C$1),'General Inputs'!J$11*$G9,0))</f>
        <v>323.60731284531602</v>
      </c>
      <c r="BI9" s="214">
        <f>IF(AND(($E9+$C$1)&gt;BI$4,BI$4&gt;=$C$1),'General Inputs'!K$11*$H9,IF(AND(($D9+$C$1)&gt;BI$4,BI$4&gt;=$C$1),'General Inputs'!K$11*$G9,0))</f>
        <v>323.60731284531602</v>
      </c>
      <c r="BJ9" s="214">
        <f>IF(AND(($E9+$C$1)&gt;BJ$4,BJ$4&gt;=$C$1),'General Inputs'!L$11*$H9,IF(AND(($D9+$C$1)&gt;BJ$4,BJ$4&gt;=$C$1),'General Inputs'!L$11*$G9,0))</f>
        <v>323.60731284531602</v>
      </c>
      <c r="BK9" s="214">
        <f>IF(AND(($E9+$C$1)&gt;BK$4,BK$4&gt;=$C$1),'General Inputs'!M$11*$H9,IF(AND(($D9+$C$1)&gt;BK$4,BK$4&gt;=$C$1),'General Inputs'!M$11*$G9,0))</f>
        <v>323.60731284531602</v>
      </c>
      <c r="BL9" s="214">
        <f>IF(AND(($E9+$C$1)&gt;BL$4,BL$4&gt;=$C$1),'General Inputs'!N$11*$H9,IF(AND(($D9+$C$1)&gt;BL$4,BL$4&gt;=$C$1),'General Inputs'!N$11*$G9,0))</f>
        <v>0</v>
      </c>
      <c r="BM9" s="214">
        <f>IF(AND(($E9+$C$1)&gt;BM$4,BM$4&gt;=$C$1),'General Inputs'!O$11*$H9,IF(AND(($D9+$C$1)&gt;BM$4,BM$4&gt;=$C$1),'General Inputs'!O$11*$G9,0))</f>
        <v>0</v>
      </c>
      <c r="BN9" s="214">
        <f>IF(AND(($E9+$C$1)&gt;BN$4,BN$4&gt;=$C$1),'General Inputs'!P$11*$H9,IF(AND(($D9+$C$1)&gt;BN$4,BN$4&gt;=$C$1),'General Inputs'!P$11*$G9,0))</f>
        <v>0</v>
      </c>
      <c r="BO9" s="214">
        <f>IF(AND(($E9+$C$1)&gt;BO$4,BO$4&gt;=$C$1),'General Inputs'!Q$11*$H9,IF(AND(($D9+$C$1)&gt;BO$4,BO$4&gt;=$C$1),'General Inputs'!Q$11*$G9,0))</f>
        <v>0</v>
      </c>
      <c r="BP9" s="214">
        <f>IF(AND(($E9+$C$1)&gt;BP$4,BP$4&gt;=$C$1),'General Inputs'!R$11*$H9,IF(AND(($D9+$C$1)&gt;BP$4,BP$4&gt;=$C$1),'General Inputs'!R$11*$G9,0))</f>
        <v>0</v>
      </c>
      <c r="BQ9" s="214">
        <f>IF(AND(($E9+$C$1)&gt;BQ$4,BQ$4&gt;=$C$1),'General Inputs'!S$11*$H9,IF(AND(($D9+$C$1)&gt;BQ$4,BQ$4&gt;=$C$1),'General Inputs'!S$11*$G9,0))</f>
        <v>0</v>
      </c>
      <c r="BR9" s="214">
        <f>IF(AND(($E9+$C$1)&gt;BR$4,BR$4&gt;=$C$1),'General Inputs'!T$11*$H9,IF(AND(($D9+$C$1)&gt;BR$4,BR$4&gt;=$C$1),'General Inputs'!T$11*$G9,0))</f>
        <v>0</v>
      </c>
      <c r="BS9" s="214">
        <f>IF(AND(($E9+$C$1)&gt;BS$4,BS$4&gt;=$C$1),'General Inputs'!U$11*$H9,IF(AND(($D9+$C$1)&gt;BS$4,BS$4&gt;=$C$1),'General Inputs'!U$11*$G9,0))</f>
        <v>0</v>
      </c>
      <c r="BT9" s="214">
        <f>IF(AND(($E9+$C$1)&gt;BT$4,BT$4&gt;=$C$1),'General Inputs'!V$11*$H9,IF(AND(($D9+$C$1)&gt;BT$4,BT$4&gt;=$C$1),'General Inputs'!V$11*$G9,0))</f>
        <v>0</v>
      </c>
      <c r="BU9" s="214">
        <f>IF(AND(($E9+$C$1)&gt;BU$4,BU$4&gt;=$C$1),'General Inputs'!W$11*$H9,IF(AND(($D9+$C$1)&gt;BU$4,BU$4&gt;=$C$1),'General Inputs'!W$11*$G9,0))</f>
        <v>0</v>
      </c>
      <c r="BW9" s="214">
        <f>IF(AND(($E9+$C$1)&gt;BW$4,BW$4&gt;=$C$1),$H9,IF(AND(($D9+$C$1)&gt;BW$4,BW$4&gt;=$C$1),$G9,0))*IF($A9="Residential",'General Inputs'!D$14,'General Inputs'!D$19)</f>
        <v>3810.3444092433083</v>
      </c>
      <c r="BX9" s="214">
        <f>IF(AND(($E9+$C$1)&gt;BX$4,BX$4&gt;=$C$1),$H9,IF(AND(($D9+$C$1)&gt;BX$4,BX$4&gt;=$C$1),$G9,0))*IF($A9="Residential",'General Inputs'!E$14,'General Inputs'!E$19)</f>
        <v>3867.4995753819576</v>
      </c>
      <c r="BY9" s="214">
        <f>IF(AND(($E9+$C$1)&gt;BY$4,BY$4&gt;=$C$1),$H9,IF(AND(($D9+$C$1)&gt;BY$4,BY$4&gt;=$C$1),$G9,0))*IF($A9="Residential",'General Inputs'!F$14,'General Inputs'!F$19)</f>
        <v>3925.512069012686</v>
      </c>
      <c r="BZ9" s="214">
        <f>IF(AND(($E9+$C$1)&gt;BZ$4,BZ$4&gt;=$C$1),$H9,IF(AND(($D9+$C$1)&gt;BZ$4,BZ$4&gt;=$C$1),$G9,0))*IF($A9="Residential",'General Inputs'!G$14,'General Inputs'!G$19)</f>
        <v>3984.3947500478757</v>
      </c>
      <c r="CA9" s="214">
        <f>IF(AND(($E9+$C$1)&gt;CA$4,CA$4&gt;=$C$1),$H9,IF(AND(($D9+$C$1)&gt;CA$4,CA$4&gt;=$C$1),$G9,0))*IF($A9="Residential",'General Inputs'!H$14,'General Inputs'!H$19)</f>
        <v>4044.1606712985936</v>
      </c>
      <c r="CB9" s="214">
        <f>IF(AND(($E9+$C$1)&gt;CB$4,CB$4&gt;=$C$1),$H9,IF(AND(($D9+$C$1)&gt;CB$4,CB$4&gt;=$C$1),$G9,0))*IF($A9="Residential",'General Inputs'!I$14,'General Inputs'!I$19)</f>
        <v>4104.8230813680721</v>
      </c>
      <c r="CC9" s="214">
        <f>IF(AND(($E9+$C$1)&gt;CC$4,CC$4&gt;=$C$1),$H9,IF(AND(($D9+$C$1)&gt;CC$4,CC$4&gt;=$C$1),$G9,0))*IF($A9="Residential",'General Inputs'!J$14,'General Inputs'!J$19)</f>
        <v>4166.3954275885926</v>
      </c>
      <c r="CD9" s="214">
        <f>IF(AND(($E9+$C$1)&gt;CD$4,CD$4&gt;=$C$1),$H9,IF(AND(($D9+$C$1)&gt;CD$4,CD$4&gt;=$C$1),$G9,0))*IF($A9="Residential",'General Inputs'!K$14,'General Inputs'!K$19)</f>
        <v>4228.8913590024204</v>
      </c>
      <c r="CE9" s="214">
        <f>IF(AND(($E9+$C$1)&gt;CE$4,CE$4&gt;=$C$1),$H9,IF(AND(($D9+$C$1)&gt;CE$4,CE$4&gt;=$C$1),$G9,0))*IF($A9="Residential",'General Inputs'!L$14,'General Inputs'!L$19)</f>
        <v>4292.3247293874565</v>
      </c>
      <c r="CF9" s="214">
        <f>IF(AND(($E9+$C$1)&gt;CF$4,CF$4&gt;=$C$1),$H9,IF(AND(($D9+$C$1)&gt;CF$4,CF$4&gt;=$C$1),$G9,0))*IF($A9="Residential",'General Inputs'!M$14,'General Inputs'!M$19)</f>
        <v>4356.7096003282677</v>
      </c>
      <c r="CG9" s="214">
        <f>IF(AND(($E9+$C$1)&gt;CG$4,CG$4&gt;=$C$1),$H9,IF(AND(($D9+$C$1)&gt;CG$4,CG$4&gt;=$C$1),$G9,0))*IF($A9="Residential",'General Inputs'!N$14,'General Inputs'!N$19)</f>
        <v>0</v>
      </c>
      <c r="CH9" s="214">
        <f>IF(AND(($E9+$C$1)&gt;CH$4,CH$4&gt;=$C$1),$H9,IF(AND(($D9+$C$1)&gt;CH$4,CH$4&gt;=$C$1),$G9,0))*IF($A9="Residential",'General Inputs'!O$14,'General Inputs'!O$19)</f>
        <v>0</v>
      </c>
      <c r="CI9" s="214">
        <f>IF(AND(($E9+$C$1)&gt;CI$4,CI$4&gt;=$C$1),$H9,IF(AND(($D9+$C$1)&gt;CI$4,CI$4&gt;=$C$1),$G9,0))*IF($A9="Residential",'General Inputs'!P$14,'General Inputs'!P$19)</f>
        <v>0</v>
      </c>
      <c r="CJ9" s="214">
        <f>IF(AND(($E9+$C$1)&gt;CJ$4,CJ$4&gt;=$C$1),$H9,IF(AND(($D9+$C$1)&gt;CJ$4,CJ$4&gt;=$C$1),$G9,0))*IF($A9="Residential",'General Inputs'!Q$14,'General Inputs'!Q$19)</f>
        <v>0</v>
      </c>
      <c r="CK9" s="214">
        <f>IF(AND(($E9+$C$1)&gt;CK$4,CK$4&gt;=$C$1),$H9,IF(AND(($D9+$C$1)&gt;CK$4,CK$4&gt;=$C$1),$G9,0))*IF($A9="Residential",'General Inputs'!R$14,'General Inputs'!R$19)</f>
        <v>0</v>
      </c>
      <c r="CL9" s="214">
        <f>IF(AND(($E9+$C$1)&gt;CL$4,CL$4&gt;=$C$1),$H9,IF(AND(($D9+$C$1)&gt;CL$4,CL$4&gt;=$C$1),$G9,0))*IF($A9="Residential",'General Inputs'!S$14,'General Inputs'!S$19)</f>
        <v>0</v>
      </c>
      <c r="CM9" s="214">
        <f>IF(AND(($E9+$C$1)&gt;CM$4,CM$4&gt;=$C$1),$H9,IF(AND(($D9+$C$1)&gt;CM$4,CM$4&gt;=$C$1),$G9,0))*IF($A9="Residential",'General Inputs'!T$14,'General Inputs'!T$19)</f>
        <v>0</v>
      </c>
      <c r="CN9" s="214">
        <f>IF(AND(($E9+$C$1)&gt;CN$4,CN$4&gt;=$C$1),$H9,IF(AND(($D9+$C$1)&gt;CN$4,CN$4&gt;=$C$1),$G9,0))*IF($A9="Residential",'General Inputs'!U$14,'General Inputs'!U$19)</f>
        <v>0</v>
      </c>
      <c r="CO9" s="214">
        <f>IF(AND(($E9+$C$1)&gt;CO$4,CO$4&gt;=$C$1),$H9,IF(AND(($D9+$C$1)&gt;CO$4,CO$4&gt;=$C$1),$G9,0))*IF($A9="Residential",'General Inputs'!V$14,'General Inputs'!V$19)</f>
        <v>0</v>
      </c>
      <c r="CP9" s="214">
        <f>IF(AND(($E9+$C$1)&gt;CP$4,CP$4&gt;=$C$1),$H9,IF(AND(($D9+$C$1)&gt;CP$4,CP$4&gt;=$C$1),$G9,0))*IF($A9="Residential",'General Inputs'!W$14,'General Inputs'!W$19)</f>
        <v>0</v>
      </c>
      <c r="CR9" s="214">
        <f>IF(AND(($E9+$C$1)&gt;CR$4,CR$4&gt;=$C$1),$H9,IF(AND(($D9+$C$1)&gt;CR$4,CR$4&gt;=$C$1),$G9,0))*IF($A9="Residential",'General Inputs'!D$15,'General Inputs'!D$19)</f>
        <v>3099.7467258922588</v>
      </c>
      <c r="CS9" s="214">
        <f>IF(AND(($E9+$C$1)&gt;CS$4,CS$4&gt;=$C$1),$H9,IF(AND(($D9+$C$1)&gt;CS$4,CS$4&gt;=$C$1),$G9,0))*IF($A9="Residential",'General Inputs'!E$15,'General Inputs'!E$19)</f>
        <v>3146.2429267806424</v>
      </c>
      <c r="CT9" s="214">
        <f>IF(AND(($E9+$C$1)&gt;CT$4,CT$4&gt;=$C$1),$H9,IF(AND(($D9+$C$1)&gt;CT$4,CT$4&gt;=$C$1),$G9,0))*IF($A9="Residential",'General Inputs'!F$15,'General Inputs'!F$19)</f>
        <v>3193.4365706823519</v>
      </c>
      <c r="CU9" s="214">
        <f>IF(AND(($E9+$C$1)&gt;CU$4,CU$4&gt;=$C$1),$H9,IF(AND(($D9+$C$1)&gt;CU$4,CU$4&gt;=$C$1),$G9,0))*IF($A9="Residential",'General Inputs'!G$15,'General Inputs'!G$19)</f>
        <v>3241.3381192425868</v>
      </c>
      <c r="CV9" s="214">
        <f>IF(AND(($E9+$C$1)&gt;CV$4,CV$4&gt;=$C$1),$H9,IF(AND(($D9+$C$1)&gt;CV$4,CV$4&gt;=$C$1),$G9,0))*IF($A9="Residential",'General Inputs'!H$15,'General Inputs'!H$19)</f>
        <v>3289.9581910312254</v>
      </c>
      <c r="CW9" s="214">
        <f>IF(AND(($E9+$C$1)&gt;CW$4,CW$4&gt;=$C$1),$H9,IF(AND(($D9+$C$1)&gt;CW$4,CW$4&gt;=$C$1),$G9,0))*IF($A9="Residential",'General Inputs'!I$15,'General Inputs'!I$19)</f>
        <v>3339.3075638966934</v>
      </c>
      <c r="CX9" s="214">
        <f>IF(AND(($E9+$C$1)&gt;CX$4,CX$4&gt;=$C$1),$H9,IF(AND(($D9+$C$1)&gt;CX$4,CX$4&gt;=$C$1),$G9,0))*IF($A9="Residential",'General Inputs'!J$15,'General Inputs'!J$19)</f>
        <v>3389.3971773551434</v>
      </c>
      <c r="CY9" s="214">
        <f>IF(AND(($E9+$C$1)&gt;CY$4,CY$4&gt;=$C$1),$H9,IF(AND(($D9+$C$1)&gt;CY$4,CY$4&gt;=$C$1),$G9,0))*IF($A9="Residential",'General Inputs'!K$15,'General Inputs'!K$19)</f>
        <v>3440.2381350154701</v>
      </c>
      <c r="CZ9" s="214">
        <f>IF(AND(($E9+$C$1)&gt;CZ$4,CZ$4&gt;=$C$1),$H9,IF(AND(($D9+$C$1)&gt;CZ$4,CZ$4&gt;=$C$1),$G9,0))*IF($A9="Residential",'General Inputs'!L$15,'General Inputs'!L$19)</f>
        <v>3491.8417070407017</v>
      </c>
      <c r="DA9" s="214">
        <f>IF(AND(($E9+$C$1)&gt;DA$4,DA$4&gt;=$C$1),$H9,IF(AND(($D9+$C$1)&gt;DA$4,DA$4&gt;=$C$1),$G9,0))*IF($A9="Residential",'General Inputs'!M$15,'General Inputs'!M$19)</f>
        <v>3544.2193326463121</v>
      </c>
      <c r="DB9" s="214">
        <f>IF(AND(($E9+$C$1)&gt;DB$4,DB$4&gt;=$C$1),$H9,IF(AND(($D9+$C$1)&gt;DB$4,DB$4&gt;=$C$1),$G9,0))*IF($A9="Residential",'General Inputs'!N$15,'General Inputs'!N$19)</f>
        <v>0</v>
      </c>
      <c r="DC9" s="214">
        <f>IF(AND(($E9+$C$1)&gt;DC$4,DC$4&gt;=$C$1),$H9,IF(AND(($D9+$C$1)&gt;DC$4,DC$4&gt;=$C$1),$G9,0))*IF($A9="Residential",'General Inputs'!O$15,'General Inputs'!O$19)</f>
        <v>0</v>
      </c>
      <c r="DD9" s="214">
        <f>IF(AND(($E9+$C$1)&gt;DD$4,DD$4&gt;=$C$1),$H9,IF(AND(($D9+$C$1)&gt;DD$4,DD$4&gt;=$C$1),$G9,0))*IF($A9="Residential",'General Inputs'!P$15,'General Inputs'!P$19)</f>
        <v>0</v>
      </c>
      <c r="DE9" s="214">
        <f>IF(AND(($E9+$C$1)&gt;DE$4,DE$4&gt;=$C$1),$H9,IF(AND(($D9+$C$1)&gt;DE$4,DE$4&gt;=$C$1),$G9,0))*IF($A9="Residential",'General Inputs'!Q$15,'General Inputs'!Q$19)</f>
        <v>0</v>
      </c>
      <c r="DF9" s="214">
        <f>IF(AND(($E9+$C$1)&gt;DF$4,DF$4&gt;=$C$1),$H9,IF(AND(($D9+$C$1)&gt;DF$4,DF$4&gt;=$C$1),$G9,0))*IF($A9="Residential",'General Inputs'!R$15,'General Inputs'!R$19)</f>
        <v>0</v>
      </c>
      <c r="DG9" s="214">
        <f>IF(AND(($E9+$C$1)&gt;DG$4,DG$4&gt;=$C$1),$H9,IF(AND(($D9+$C$1)&gt;DG$4,DG$4&gt;=$C$1),$G9,0))*IF($A9="Residential",'General Inputs'!S$15,'General Inputs'!S$19)</f>
        <v>0</v>
      </c>
      <c r="DH9" s="214">
        <f>IF(AND(($E9+$C$1)&gt;DH$4,DH$4&gt;=$C$1),$H9,IF(AND(($D9+$C$1)&gt;DH$4,DH$4&gt;=$C$1),$G9,0))*IF($A9="Residential",'General Inputs'!T$15,'General Inputs'!T$19)</f>
        <v>0</v>
      </c>
      <c r="DI9" s="214">
        <f>IF(AND(($E9+$C$1)&gt;DI$4,DI$4&gt;=$C$1),$H9,IF(AND(($D9+$C$1)&gt;DI$4,DI$4&gt;=$C$1),$G9,0))*IF($A9="Residential",'General Inputs'!U$15,'General Inputs'!U$19)</f>
        <v>0</v>
      </c>
      <c r="DJ9" s="214">
        <f>IF(AND(($E9+$C$1)&gt;DJ$4,DJ$4&gt;=$C$1),$H9,IF(AND(($D9+$C$1)&gt;DJ$4,DJ$4&gt;=$C$1),$G9,0))*IF($A9="Residential",'General Inputs'!V$15,'General Inputs'!V$19)</f>
        <v>0</v>
      </c>
      <c r="DK9" s="214">
        <f>IF(AND(($E9+$C$1)&gt;DK$4,DK$4&gt;=$C$1),$H9,IF(AND(($D9+$C$1)&gt;DK$4,DK$4&gt;=$C$1),$G9,0))*IF($A9="Residential",'General Inputs'!W$15,'General Inputs'!W$19)</f>
        <v>0</v>
      </c>
      <c r="DM9" s="214">
        <f>IF($C$1=DM$4,$L9*$C9,IF($E9+$C$1=DM$4,-$M9*$C9,0))</f>
        <v>13660</v>
      </c>
      <c r="DN9" s="214">
        <f t="shared" si="105"/>
        <v>0</v>
      </c>
      <c r="DO9" s="214">
        <f t="shared" si="105"/>
        <v>0</v>
      </c>
      <c r="DP9" s="214">
        <f t="shared" si="105"/>
        <v>0</v>
      </c>
      <c r="DQ9" s="214">
        <f t="shared" si="105"/>
        <v>0</v>
      </c>
      <c r="DR9" s="214">
        <f t="shared" si="105"/>
        <v>0</v>
      </c>
      <c r="DS9" s="214">
        <f t="shared" si="105"/>
        <v>0</v>
      </c>
      <c r="DT9" s="214">
        <f t="shared" si="105"/>
        <v>0</v>
      </c>
      <c r="DU9" s="214">
        <f t="shared" si="105"/>
        <v>0</v>
      </c>
      <c r="DV9" s="214">
        <f t="shared" si="105"/>
        <v>0</v>
      </c>
      <c r="DW9" s="214">
        <f t="shared" si="105"/>
        <v>0</v>
      </c>
      <c r="DY9" s="219"/>
      <c r="DZ9" s="650"/>
      <c r="EA9" s="219"/>
      <c r="EB9" s="219"/>
      <c r="EC9" s="219"/>
      <c r="ED9" s="219"/>
      <c r="EE9" s="219"/>
      <c r="EF9" s="219"/>
      <c r="FI9" s="195"/>
      <c r="FJ9" s="195"/>
      <c r="FK9" s="195"/>
      <c r="FL9" s="195"/>
      <c r="FM9" s="195"/>
      <c r="FN9" s="195"/>
      <c r="FO9" s="195"/>
    </row>
    <row r="10" spans="1:171">
      <c r="A10" s="342" t="s">
        <v>12</v>
      </c>
      <c r="B10" s="427" t="str">
        <f>'Portfolio Inputs'!A9</f>
        <v>ENERGY STAR Refrigerator</v>
      </c>
      <c r="C10" s="217">
        <f>IF($C$1=2014,'Portfolio Inputs'!$C9,IF($C$1=2015,'Portfolio Inputs'!$D9,'Portfolio Inputs'!$E9))</f>
        <v>44</v>
      </c>
      <c r="D10" s="504">
        <f>VLOOKUP(B10,Sources!$B$4:$J$104,2,FALSE)</f>
        <v>14</v>
      </c>
      <c r="E10" s="504">
        <f>VLOOKUP(B10,Sources!$B$4:$J$104,3,FALSE)</f>
        <v>0</v>
      </c>
      <c r="G10" s="504">
        <f>IF($C$1=2014,'Portfolio Inputs'!$G9,IF($C$1=2015,'Portfolio Inputs'!$H9,'Portfolio Inputs'!$I9))*EnergyLineLoss</f>
        <v>4761.6806160000006</v>
      </c>
      <c r="H10" s="504"/>
      <c r="I10" s="504">
        <f>IF($C$1=2014,'Portfolio Inputs'!$K9,IF($C$1=2015,'Portfolio Inputs'!$L9,'Portfolio Inputs'!$M9))*PeakLineLoss</f>
        <v>0.54357084657534249</v>
      </c>
      <c r="J10" s="510"/>
      <c r="L10" s="606">
        <f>IF($C$1=2014,'Portfolio Inputs'!$O9,IF($C$1=2015,'Portfolio Inputs'!$P9,'Portfolio Inputs'!$Q9))</f>
        <v>40</v>
      </c>
      <c r="M10" s="518">
        <f>VLOOKUP($B10,Sources!$B$4:$K$104,10,FALSE)</f>
        <v>0</v>
      </c>
      <c r="N10" s="419">
        <f>IF($C$1=2014,'Portfolio Inputs'!$W9,IF($C$1=2015,'Portfolio Inputs'!$X9,'Portfolio Inputs'!$Y9))</f>
        <v>1640</v>
      </c>
      <c r="O10" s="419"/>
      <c r="Q10" s="438">
        <f t="shared" si="0"/>
        <v>1.0390103434502724</v>
      </c>
      <c r="R10" s="439">
        <f t="shared" si="1"/>
        <v>1.1150354905319997</v>
      </c>
      <c r="S10" s="439">
        <f t="shared" si="2"/>
        <v>1.302754747965823</v>
      </c>
      <c r="T10" s="439">
        <f t="shared" si="3"/>
        <v>4.2907112917768444</v>
      </c>
      <c r="U10" s="439">
        <f t="shared" ref="U10:U12" si="117">IF(AE10&gt;0,(AD10+AB10)/AE10,"n/a")</f>
        <v>3.6643055378060585</v>
      </c>
      <c r="V10" s="439">
        <f t="shared" ref="V10:V12" si="118">IF((AA10+AC10+AD10)&gt;0,Y10/(AA10+AC10+AD10),"n/a")</f>
        <v>0.24215340366562008</v>
      </c>
      <c r="W10" s="439">
        <f t="shared" ref="W10:W12" si="119">IF((AB10+AC10+AD10)&gt;0,Y10/(AB10+AC10+AD10),"n/a")</f>
        <v>0.28354904707874395</v>
      </c>
      <c r="Y10" s="215">
        <f t="shared" si="29"/>
        <v>1828.6582044724794</v>
      </c>
      <c r="Z10" s="215">
        <f t="shared" si="30"/>
        <v>464.1901519473692</v>
      </c>
      <c r="AA10" s="215">
        <f t="shared" si="31"/>
        <v>5911.6518735272466</v>
      </c>
      <c r="AB10" s="215">
        <f t="shared" si="32"/>
        <v>4809.1777465386631</v>
      </c>
      <c r="AC10" s="216">
        <f t="shared" si="33"/>
        <v>0</v>
      </c>
      <c r="AD10" s="216">
        <f t="shared" si="34"/>
        <v>1640</v>
      </c>
      <c r="AE10" s="215">
        <f t="shared" si="35"/>
        <v>1760</v>
      </c>
      <c r="AG10" s="214">
        <f>IF(AND(($E10+$C$1)&gt;AG$4,AG$4&gt;=$C$1),'General Inputs'!D$9*$H10,IF(AND(($D10+$C$1)&gt;AG$4,AG$4&gt;=$C$1),'General Inputs'!D$9*$G10,0))+IF(AND(($E10+$C$1)&gt;AG$4,AG$4&gt;=$C$1),'General Inputs'!D$10*$J10,IF(AND(($D10+$C$1)&gt;AG$4,AG$4&gt;=$C$1),'General Inputs'!D$10*$I10,0))</f>
        <v>197.71276346704417</v>
      </c>
      <c r="AH10" s="214">
        <f>IF(AND(($E10+$C$1)&gt;AH$4,AH$4&gt;=$C$1),'General Inputs'!E$9*$H10,IF(AND(($D10+$C$1)&gt;AH$4,AH$4&gt;=$C$1),'General Inputs'!E$9*$G10,0))+IF(AND(($E10+$C$1)&gt;AH$4,AH$4&gt;=$C$1),'General Inputs'!E$10*$J10,IF(AND(($D10+$C$1)&gt;AH$4,AH$4&gt;=$C$1),'General Inputs'!E$10*$I10,0))</f>
        <v>200.67845491904981</v>
      </c>
      <c r="AI10" s="214">
        <f>IF(AND(($E10+$C$1)&gt;AI$4,AI$4&gt;=$C$1),'General Inputs'!F$9*$H10,IF(AND(($D10+$C$1)&gt;AI$4,AI$4&gt;=$C$1),'General Inputs'!F$9*$G10,0))+IF(AND(($E10+$C$1)&gt;AI$4,AI$4&gt;=$C$1),'General Inputs'!F$10*$J10,IF(AND(($D10+$C$1)&gt;AI$4,AI$4&gt;=$C$1),'General Inputs'!F$10*$I10,0))</f>
        <v>203.68863174283555</v>
      </c>
      <c r="AJ10" s="214">
        <f>IF(AND(($E10+$C$1)&gt;AJ$4,AJ$4&gt;=$C$1),'General Inputs'!G$9*$H10,IF(AND(($D10+$C$1)&gt;AJ$4,AJ$4&gt;=$C$1),'General Inputs'!G$9*$G10,0))+IF(AND(($E10+$C$1)&gt;AJ$4,AJ$4&gt;=$C$1),'General Inputs'!G$10*$J10,IF(AND(($D10+$C$1)&gt;AJ$4,AJ$4&gt;=$C$1),'General Inputs'!G$10*$I10,0))</f>
        <v>206.74396121897809</v>
      </c>
      <c r="AK10" s="214">
        <f>IF(AND(($E10+$C$1)&gt;AK$4,AK$4&gt;=$C$1),'General Inputs'!H$9*$H10,IF(AND(($D10+$C$1)&gt;AK$4,AK$4&gt;=$C$1),'General Inputs'!H$9*$G10,0))+IF(AND(($E10+$C$1)&gt;AK$4,AK$4&gt;=$C$1),'General Inputs'!H$10*$J10,IF(AND(($D10+$C$1)&gt;AK$4,AK$4&gt;=$C$1),'General Inputs'!H$10*$I10,0))</f>
        <v>209.84512063726271</v>
      </c>
      <c r="AL10" s="214">
        <f>IF(AND(($E10+$C$1)&gt;AL$4,AL$4&gt;=$C$1),'General Inputs'!I$9*$H10,IF(AND(($D10+$C$1)&gt;AL$4,AL$4&gt;=$C$1),'General Inputs'!I$9*$G10,0))+IF(AND(($E10+$C$1)&gt;AL$4,AL$4&gt;=$C$1),'General Inputs'!I$10*$J10,IF(AND(($D10+$C$1)&gt;AL$4,AL$4&gt;=$C$1),'General Inputs'!I$10*$I10,0))</f>
        <v>212.99279744682161</v>
      </c>
      <c r="AM10" s="214">
        <f>IF(AND(($E10+$C$1)&gt;AM$4,AM$4&gt;=$C$1),'General Inputs'!J$9*$H10,IF(AND(($D10+$C$1)&gt;AM$4,AM$4&gt;=$C$1),'General Inputs'!J$9*$G10,0))+IF(AND(($E10+$C$1)&gt;AM$4,AM$4&gt;=$C$1),'General Inputs'!J$10*$J10,IF(AND(($D10+$C$1)&gt;AM$4,AM$4&gt;=$C$1),'General Inputs'!J$10*$I10,0))</f>
        <v>216.18768940852391</v>
      </c>
      <c r="AN10" s="214">
        <f>IF(AND(($E10+$C$1)&gt;AN$4,AN$4&gt;=$C$1),'General Inputs'!K$9*$H10,IF(AND(($D10+$C$1)&gt;AN$4,AN$4&gt;=$C$1),'General Inputs'!K$9*$G10,0))+IF(AND(($E10+$C$1)&gt;AN$4,AN$4&gt;=$C$1),'General Inputs'!K$10*$J10,IF(AND(($D10+$C$1)&gt;AN$4,AN$4&gt;=$C$1),'General Inputs'!K$10*$I10,0))</f>
        <v>219.43050474965173</v>
      </c>
      <c r="AO10" s="214">
        <f>IF(AND(($E10+$C$1)&gt;AO$4,AO$4&gt;=$C$1),'General Inputs'!L$9*$H10,IF(AND(($D10+$C$1)&gt;AO$4,AO$4&gt;=$C$1),'General Inputs'!L$9*$G10,0))+IF(AND(($E10+$C$1)&gt;AO$4,AO$4&gt;=$C$1),'General Inputs'!L$10*$J10,IF(AND(($D10+$C$1)&gt;AO$4,AO$4&gt;=$C$1),'General Inputs'!L$10*$I10,0))</f>
        <v>222.72196232089649</v>
      </c>
      <c r="AP10" s="214">
        <f>IF(AND(($E10+$C$1)&gt;AP$4,AP$4&gt;=$C$1),'General Inputs'!M$9*$H10,IF(AND(($D10+$C$1)&gt;AP$4,AP$4&gt;=$C$1),'General Inputs'!M$9*$G10,0))+IF(AND(($E10+$C$1)&gt;AP$4,AP$4&gt;=$C$1),'General Inputs'!M$10*$J10,IF(AND(($D10+$C$1)&gt;AP$4,AP$4&gt;=$C$1),'General Inputs'!M$10*$I10,0))</f>
        <v>226.0627917557099</v>
      </c>
      <c r="AQ10" s="214">
        <f>IF(AND(($E10+$C$1)&gt;AQ$4,AQ$4&gt;=$C$1),'General Inputs'!N$9*$H10,IF(AND(($D10+$C$1)&gt;AQ$4,AQ$4&gt;=$C$1),'General Inputs'!N$9*$G10,0))+IF(AND(($E10+$C$1)&gt;AQ$4,AQ$4&gt;=$C$1),'General Inputs'!N$10*$J10,IF(AND(($D10+$C$1)&gt;AQ$4,AQ$4&gt;=$C$1),'General Inputs'!N$10*$I10,0))</f>
        <v>229.45373363204553</v>
      </c>
      <c r="AR10" s="214">
        <f>IF(AND(($E10+$C$1)&gt;AR$4,AR$4&gt;=$C$1),'General Inputs'!O$9*$H10,IF(AND(($D10+$C$1)&gt;AR$4,AR$4&gt;=$C$1),'General Inputs'!O$9*$G10,0))+IF(AND(($E10+$C$1)&gt;AR$4,AR$4&gt;=$C$1),'General Inputs'!O$10*$J10,IF(AND(($D10+$C$1)&gt;AR$4,AR$4&gt;=$C$1),'General Inputs'!O$10*$I10,0))</f>
        <v>232.89553963652619</v>
      </c>
      <c r="AS10" s="214">
        <f>IF(AND(($E10+$C$1)&gt;AS$4,AS$4&gt;=$C$1),'General Inputs'!P$9*$H10,IF(AND(($D10+$C$1)&gt;AS$4,AS$4&gt;=$C$1),'General Inputs'!P$9*$G10,0))+IF(AND(($E10+$C$1)&gt;AS$4,AS$4&gt;=$C$1),'General Inputs'!P$10*$J10,IF(AND(($D10+$C$1)&gt;AS$4,AS$4&gt;=$C$1),'General Inputs'!P$10*$I10,0))</f>
        <v>236.38897273107406</v>
      </c>
      <c r="AT10" s="214">
        <f>IF(AND(($E10+$C$1)&gt;AT$4,AT$4&gt;=$C$1),'General Inputs'!Q$9*$H10,IF(AND(($D10+$C$1)&gt;AT$4,AT$4&gt;=$C$1),'General Inputs'!Q$9*$G10,0))+IF(AND(($E10+$C$1)&gt;AT$4,AT$4&gt;=$C$1),'General Inputs'!Q$10*$J10,IF(AND(($D10+$C$1)&gt;AT$4,AT$4&gt;=$C$1),'General Inputs'!Q$10*$I10,0))</f>
        <v>239.93480732204017</v>
      </c>
      <c r="AU10" s="214">
        <f>IF(AND(($E10+$C$1)&gt;AU$4,AU$4&gt;=$C$1),'General Inputs'!R$9*$H10,IF(AND(($D10+$C$1)&gt;AU$4,AU$4&gt;=$C$1),'General Inputs'!R$9*$G10,0))+IF(AND(($E10+$C$1)&gt;AU$4,AU$4&gt;=$C$1),'General Inputs'!R$10*$J10,IF(AND(($D10+$C$1)&gt;AU$4,AU$4&gt;=$C$1),'General Inputs'!R$10*$I10,0))</f>
        <v>0</v>
      </c>
      <c r="AV10" s="214">
        <f>IF(AND(($E10+$C$1)&gt;AV$4,AV$4&gt;=$C$1),'General Inputs'!S$9*$H10,IF(AND(($D10+$C$1)&gt;AV$4,AV$4&gt;=$C$1),'General Inputs'!S$9*$G10,0))+IF(AND(($E10+$C$1)&gt;AV$4,AV$4&gt;=$C$1),'General Inputs'!S$10*$J10,IF(AND(($D10+$C$1)&gt;AV$4,AV$4&gt;=$C$1),'General Inputs'!S$10*$I10,0))</f>
        <v>0</v>
      </c>
      <c r="AW10" s="214">
        <f>IF(AND(($E10+$C$1)&gt;AW$4,AW$4&gt;=$C$1),'General Inputs'!T$9*$H10,IF(AND(($D10+$C$1)&gt;AW$4,AW$4&gt;=$C$1),'General Inputs'!T$9*$G10,0))+IF(AND(($E10+$C$1)&gt;AW$4,AW$4&gt;=$C$1),'General Inputs'!T$10*$J10,IF(AND(($D10+$C$1)&gt;AW$4,AW$4&gt;=$C$1),'General Inputs'!T$10*$I10,0))</f>
        <v>0</v>
      </c>
      <c r="AX10" s="214">
        <f>IF(AND(($E10+$C$1)&gt;AX$4,AX$4&gt;=$C$1),'General Inputs'!U$9*$H10,IF(AND(($D10+$C$1)&gt;AX$4,AX$4&gt;=$C$1),'General Inputs'!U$9*$G10,0))+IF(AND(($E10+$C$1)&gt;AX$4,AX$4&gt;=$C$1),'General Inputs'!U$10*$J10,IF(AND(($D10+$C$1)&gt;AX$4,AX$4&gt;=$C$1),'General Inputs'!U$10*$I10,0))</f>
        <v>0</v>
      </c>
      <c r="AY10" s="214">
        <f>IF(AND(($E10+$C$1)&gt;AY$4,AY$4&gt;=$C$1),'General Inputs'!V$9*$H10,IF(AND(($D10+$C$1)&gt;AY$4,AY$4&gt;=$C$1),'General Inputs'!V$9*$G10,0))+IF(AND(($E10+$C$1)&gt;AY$4,AY$4&gt;=$C$1),'General Inputs'!V$10*$J10,IF(AND(($D10+$C$1)&gt;AY$4,AY$4&gt;=$C$1),'General Inputs'!V$10*$I10,0))</f>
        <v>0</v>
      </c>
      <c r="AZ10" s="214">
        <f>IF(AND(($E10+$C$1)&gt;AZ$4,AZ$4&gt;=$C$1),'General Inputs'!W$9*$H10,IF(AND(($D10+$C$1)&gt;AZ$4,AZ$4&gt;=$C$1),'General Inputs'!W$9*$G10,0))+IF(AND(($E10+$C$1)&gt;AZ$4,AZ$4&gt;=$C$1),'General Inputs'!W$10*$J10,IF(AND(($D10+$C$1)&gt;AZ$4,AZ$4&gt;=$C$1),'General Inputs'!W$10*$I10,0))</f>
        <v>0</v>
      </c>
      <c r="BB10" s="214">
        <f>IF(AND(($E10+$C$1)&gt;BB$4,BB$4&gt;=$C$1),'General Inputs'!D$11*$H10,IF(AND(($D10+$C$1)&gt;BB$4,BB$4&gt;=$C$1),'General Inputs'!D$11*$G10,0))</f>
        <v>54.283159022400007</v>
      </c>
      <c r="BC10" s="214">
        <f>IF(AND(($E10+$C$1)&gt;BC$4,BC$4&gt;=$C$1),'General Inputs'!E$11*$H10,IF(AND(($D10+$C$1)&gt;BC$4,BC$4&gt;=$C$1),'General Inputs'!E$11*$G10,0))</f>
        <v>54.283159022400007</v>
      </c>
      <c r="BD10" s="214">
        <f>IF(AND(($E10+$C$1)&gt;BD$4,BD$4&gt;=$C$1),'General Inputs'!F$11*$H10,IF(AND(($D10+$C$1)&gt;BD$4,BD$4&gt;=$C$1),'General Inputs'!F$11*$G10,0))</f>
        <v>54.283159022400007</v>
      </c>
      <c r="BE10" s="214">
        <f>IF(AND(($E10+$C$1)&gt;BE$4,BE$4&gt;=$C$1),'General Inputs'!G$11*$H10,IF(AND(($D10+$C$1)&gt;BE$4,BE$4&gt;=$C$1),'General Inputs'!G$11*$G10,0))</f>
        <v>54.283159022400007</v>
      </c>
      <c r="BF10" s="214">
        <f>IF(AND(($E10+$C$1)&gt;BF$4,BF$4&gt;=$C$1),'General Inputs'!H$11*$H10,IF(AND(($D10+$C$1)&gt;BF$4,BF$4&gt;=$C$1),'General Inputs'!H$11*$G10,0))</f>
        <v>54.283159022400007</v>
      </c>
      <c r="BG10" s="214">
        <f>IF(AND(($E10+$C$1)&gt;BG$4,BG$4&gt;=$C$1),'General Inputs'!I$11*$H10,IF(AND(($D10+$C$1)&gt;BG$4,BG$4&gt;=$C$1),'General Inputs'!I$11*$G10,0))</f>
        <v>54.283159022400007</v>
      </c>
      <c r="BH10" s="214">
        <f>IF(AND(($E10+$C$1)&gt;BH$4,BH$4&gt;=$C$1),'General Inputs'!J$11*$H10,IF(AND(($D10+$C$1)&gt;BH$4,BH$4&gt;=$C$1),'General Inputs'!J$11*$G10,0))</f>
        <v>54.283159022400007</v>
      </c>
      <c r="BI10" s="214">
        <f>IF(AND(($E10+$C$1)&gt;BI$4,BI$4&gt;=$C$1),'General Inputs'!K$11*$H10,IF(AND(($D10+$C$1)&gt;BI$4,BI$4&gt;=$C$1),'General Inputs'!K$11*$G10,0))</f>
        <v>54.283159022400007</v>
      </c>
      <c r="BJ10" s="214">
        <f>IF(AND(($E10+$C$1)&gt;BJ$4,BJ$4&gt;=$C$1),'General Inputs'!L$11*$H10,IF(AND(($D10+$C$1)&gt;BJ$4,BJ$4&gt;=$C$1),'General Inputs'!L$11*$G10,0))</f>
        <v>54.283159022400007</v>
      </c>
      <c r="BK10" s="214">
        <f>IF(AND(($E10+$C$1)&gt;BK$4,BK$4&gt;=$C$1),'General Inputs'!M$11*$H10,IF(AND(($D10+$C$1)&gt;BK$4,BK$4&gt;=$C$1),'General Inputs'!M$11*$G10,0))</f>
        <v>54.283159022400007</v>
      </c>
      <c r="BL10" s="214">
        <f>IF(AND(($E10+$C$1)&gt;BL$4,BL$4&gt;=$C$1),'General Inputs'!N$11*$H10,IF(AND(($D10+$C$1)&gt;BL$4,BL$4&gt;=$C$1),'General Inputs'!N$11*$G10,0))</f>
        <v>54.283159022400007</v>
      </c>
      <c r="BM10" s="214">
        <f>IF(AND(($E10+$C$1)&gt;BM$4,BM$4&gt;=$C$1),'General Inputs'!O$11*$H10,IF(AND(($D10+$C$1)&gt;BM$4,BM$4&gt;=$C$1),'General Inputs'!O$11*$G10,0))</f>
        <v>54.283159022400007</v>
      </c>
      <c r="BN10" s="214">
        <f>IF(AND(($E10+$C$1)&gt;BN$4,BN$4&gt;=$C$1),'General Inputs'!P$11*$H10,IF(AND(($D10+$C$1)&gt;BN$4,BN$4&gt;=$C$1),'General Inputs'!P$11*$G10,0))</f>
        <v>54.283159022400007</v>
      </c>
      <c r="BO10" s="214">
        <f>IF(AND(($E10+$C$1)&gt;BO$4,BO$4&gt;=$C$1),'General Inputs'!Q$11*$H10,IF(AND(($D10+$C$1)&gt;BO$4,BO$4&gt;=$C$1),'General Inputs'!Q$11*$G10,0))</f>
        <v>54.283159022400007</v>
      </c>
      <c r="BP10" s="214">
        <f>IF(AND(($E10+$C$1)&gt;BP$4,BP$4&gt;=$C$1),'General Inputs'!R$11*$H10,IF(AND(($D10+$C$1)&gt;BP$4,BP$4&gt;=$C$1),'General Inputs'!R$11*$G10,0))</f>
        <v>0</v>
      </c>
      <c r="BQ10" s="214">
        <f>IF(AND(($E10+$C$1)&gt;BQ$4,BQ$4&gt;=$C$1),'General Inputs'!S$11*$H10,IF(AND(($D10+$C$1)&gt;BQ$4,BQ$4&gt;=$C$1),'General Inputs'!S$11*$G10,0))</f>
        <v>0</v>
      </c>
      <c r="BR10" s="214">
        <f>IF(AND(($E10+$C$1)&gt;BR$4,BR$4&gt;=$C$1),'General Inputs'!T$11*$H10,IF(AND(($D10+$C$1)&gt;BR$4,BR$4&gt;=$C$1),'General Inputs'!T$11*$G10,0))</f>
        <v>0</v>
      </c>
      <c r="BS10" s="214">
        <f>IF(AND(($E10+$C$1)&gt;BS$4,BS$4&gt;=$C$1),'General Inputs'!U$11*$H10,IF(AND(($D10+$C$1)&gt;BS$4,BS$4&gt;=$C$1),'General Inputs'!U$11*$G10,0))</f>
        <v>0</v>
      </c>
      <c r="BT10" s="214">
        <f>IF(AND(($E10+$C$1)&gt;BT$4,BT$4&gt;=$C$1),'General Inputs'!V$11*$H10,IF(AND(($D10+$C$1)&gt;BT$4,BT$4&gt;=$C$1),'General Inputs'!V$11*$G10,0))</f>
        <v>0</v>
      </c>
      <c r="BU10" s="214">
        <f>IF(AND(($E10+$C$1)&gt;BU$4,BU$4&gt;=$C$1),'General Inputs'!W$11*$H10,IF(AND(($D10+$C$1)&gt;BU$4,BU$4&gt;=$C$1),'General Inputs'!W$11*$G10,0))</f>
        <v>0</v>
      </c>
      <c r="BW10" s="214">
        <f>IF(AND(($E10+$C$1)&gt;BW$4,BW$4&gt;=$C$1),$H10,IF(AND(($D10+$C$1)&gt;BW$4,BW$4&gt;=$C$1),$G10,0))*IF($A10="Residential",'General Inputs'!D$14,'General Inputs'!D$19)</f>
        <v>639.16210569671352</v>
      </c>
      <c r="BX10" s="214">
        <f>IF(AND(($E10+$C$1)&gt;BX$4,BX$4&gt;=$C$1),$H10,IF(AND(($D10+$C$1)&gt;BX$4,BX$4&gt;=$C$1),$G10,0))*IF($A10="Residential",'General Inputs'!E$14,'General Inputs'!E$19)</f>
        <v>648.74953728216417</v>
      </c>
      <c r="BY10" s="214">
        <f>IF(AND(($E10+$C$1)&gt;BY$4,BY$4&gt;=$C$1),$H10,IF(AND(($D10+$C$1)&gt;BY$4,BY$4&gt;=$C$1),$G10,0))*IF($A10="Residential",'General Inputs'!F$14,'General Inputs'!F$19)</f>
        <v>658.48078034139655</v>
      </c>
      <c r="BZ10" s="214">
        <f>IF(AND(($E10+$C$1)&gt;BZ$4,BZ$4&gt;=$C$1),$H10,IF(AND(($D10+$C$1)&gt;BZ$4,BZ$4&gt;=$C$1),$G10,0))*IF($A10="Residential",'General Inputs'!G$14,'General Inputs'!G$19)</f>
        <v>668.35799204651732</v>
      </c>
      <c r="CA10" s="214">
        <f>IF(AND(($E10+$C$1)&gt;CA$4,CA$4&gt;=$C$1),$H10,IF(AND(($D10+$C$1)&gt;CA$4,CA$4&gt;=$C$1),$G10,0))*IF($A10="Residential",'General Inputs'!H$14,'General Inputs'!H$19)</f>
        <v>678.38336192721499</v>
      </c>
      <c r="CB10" s="214">
        <f>IF(AND(($E10+$C$1)&gt;CB$4,CB$4&gt;=$C$1),$H10,IF(AND(($D10+$C$1)&gt;CB$4,CB$4&gt;=$C$1),$G10,0))*IF($A10="Residential",'General Inputs'!I$14,'General Inputs'!I$19)</f>
        <v>688.55911235612325</v>
      </c>
      <c r="CC10" s="214">
        <f>IF(AND(($E10+$C$1)&gt;CC$4,CC$4&gt;=$C$1),$H10,IF(AND(($D10+$C$1)&gt;CC$4,CC$4&gt;=$C$1),$G10,0))*IF($A10="Residential",'General Inputs'!J$14,'General Inputs'!J$19)</f>
        <v>698.88749904146493</v>
      </c>
      <c r="CD10" s="214">
        <f>IF(AND(($E10+$C$1)&gt;CD$4,CD$4&gt;=$C$1),$H10,IF(AND(($D10+$C$1)&gt;CD$4,CD$4&gt;=$C$1),$G10,0))*IF($A10="Residential",'General Inputs'!K$14,'General Inputs'!K$19)</f>
        <v>709.37081152708686</v>
      </c>
      <c r="CE10" s="214">
        <f>IF(AND(($E10+$C$1)&gt;CE$4,CE$4&gt;=$C$1),$H10,IF(AND(($D10+$C$1)&gt;CE$4,CE$4&gt;=$C$1),$G10,0))*IF($A10="Residential",'General Inputs'!L$14,'General Inputs'!L$19)</f>
        <v>720.01137369999299</v>
      </c>
      <c r="CF10" s="214">
        <f>IF(AND(($E10+$C$1)&gt;CF$4,CF$4&gt;=$C$1),$H10,IF(AND(($D10+$C$1)&gt;CF$4,CF$4&gt;=$C$1),$G10,0))*IF($A10="Residential",'General Inputs'!M$14,'General Inputs'!M$19)</f>
        <v>730.81154430549282</v>
      </c>
      <c r="CG10" s="214">
        <f>IF(AND(($E10+$C$1)&gt;CG$4,CG$4&gt;=$C$1),$H10,IF(AND(($D10+$C$1)&gt;CG$4,CG$4&gt;=$C$1),$G10,0))*IF($A10="Residential",'General Inputs'!N$14,'General Inputs'!N$19)</f>
        <v>741.77371747007521</v>
      </c>
      <c r="CH10" s="214">
        <f>IF(AND(($E10+$C$1)&gt;CH$4,CH$4&gt;=$C$1),$H10,IF(AND(($D10+$C$1)&gt;CH$4,CH$4&gt;=$C$1),$G10,0))*IF($A10="Residential",'General Inputs'!O$14,'General Inputs'!O$19)</f>
        <v>752.9003232321262</v>
      </c>
      <c r="CI10" s="214">
        <f>IF(AND(($E10+$C$1)&gt;CI$4,CI$4&gt;=$C$1),$H10,IF(AND(($D10+$C$1)&gt;CI$4,CI$4&gt;=$C$1),$G10,0))*IF($A10="Residential",'General Inputs'!P$14,'General Inputs'!P$19)</f>
        <v>764.193828080608</v>
      </c>
      <c r="CJ10" s="214">
        <f>IF(AND(($E10+$C$1)&gt;CJ$4,CJ$4&gt;=$C$1),$H10,IF(AND(($D10+$C$1)&gt;CJ$4,CJ$4&gt;=$C$1),$G10,0))*IF($A10="Residential",'General Inputs'!Q$14,'General Inputs'!Q$19)</f>
        <v>775.65673550181702</v>
      </c>
      <c r="CK10" s="214">
        <f>IF(AND(($E10+$C$1)&gt;CK$4,CK$4&gt;=$C$1),$H10,IF(AND(($D10+$C$1)&gt;CK$4,CK$4&gt;=$C$1),$G10,0))*IF($A10="Residential",'General Inputs'!R$14,'General Inputs'!R$19)</f>
        <v>0</v>
      </c>
      <c r="CL10" s="214">
        <f>IF(AND(($E10+$C$1)&gt;CL$4,CL$4&gt;=$C$1),$H10,IF(AND(($D10+$C$1)&gt;CL$4,CL$4&gt;=$C$1),$G10,0))*IF($A10="Residential",'General Inputs'!S$14,'General Inputs'!S$19)</f>
        <v>0</v>
      </c>
      <c r="CM10" s="214">
        <f>IF(AND(($E10+$C$1)&gt;CM$4,CM$4&gt;=$C$1),$H10,IF(AND(($D10+$C$1)&gt;CM$4,CM$4&gt;=$C$1),$G10,0))*IF($A10="Residential",'General Inputs'!T$14,'General Inputs'!T$19)</f>
        <v>0</v>
      </c>
      <c r="CN10" s="214">
        <f>IF(AND(($E10+$C$1)&gt;CN$4,CN$4&gt;=$C$1),$H10,IF(AND(($D10+$C$1)&gt;CN$4,CN$4&gt;=$C$1),$G10,0))*IF($A10="Residential",'General Inputs'!U$14,'General Inputs'!U$19)</f>
        <v>0</v>
      </c>
      <c r="CO10" s="214">
        <f>IF(AND(($E10+$C$1)&gt;CO$4,CO$4&gt;=$C$1),$H10,IF(AND(($D10+$C$1)&gt;CO$4,CO$4&gt;=$C$1),$G10,0))*IF($A10="Residential",'General Inputs'!V$14,'General Inputs'!V$19)</f>
        <v>0</v>
      </c>
      <c r="CP10" s="214">
        <f>IF(AND(($E10+$C$1)&gt;CP$4,CP$4&gt;=$C$1),$H10,IF(AND(($D10+$C$1)&gt;CP$4,CP$4&gt;=$C$1),$G10,0))*IF($A10="Residential",'General Inputs'!W$14,'General Inputs'!W$19)</f>
        <v>0</v>
      </c>
      <c r="CR10" s="214">
        <f>IF(AND(($E10+$C$1)&gt;CR$4,CR$4&gt;=$C$1),$H10,IF(AND(($D10+$C$1)&gt;CR$4,CR$4&gt;=$C$1),$G10,0))*IF($A10="Residential",'General Inputs'!D$15,'General Inputs'!D$19)</f>
        <v>519.96366513263354</v>
      </c>
      <c r="CS10" s="214">
        <f>IF(AND(($E10+$C$1)&gt;CS$4,CS$4&gt;=$C$1),$H10,IF(AND(($D10+$C$1)&gt;CS$4,CS$4&gt;=$C$1),$G10,0))*IF($A10="Residential",'General Inputs'!E$15,'General Inputs'!E$19)</f>
        <v>527.76312010962295</v>
      </c>
      <c r="CT10" s="214">
        <f>IF(AND(($E10+$C$1)&gt;CT$4,CT$4&gt;=$C$1),$H10,IF(AND(($D10+$C$1)&gt;CT$4,CT$4&gt;=$C$1),$G10,0))*IF($A10="Residential",'General Inputs'!F$15,'General Inputs'!F$19)</f>
        <v>535.67956691126722</v>
      </c>
      <c r="CU10" s="214">
        <f>IF(AND(($E10+$C$1)&gt;CU$4,CU$4&gt;=$C$1),$H10,IF(AND(($D10+$C$1)&gt;CU$4,CU$4&gt;=$C$1),$G10,0))*IF($A10="Residential",'General Inputs'!G$15,'General Inputs'!G$19)</f>
        <v>543.71476041493622</v>
      </c>
      <c r="CV10" s="214">
        <f>IF(AND(($E10+$C$1)&gt;CV$4,CV$4&gt;=$C$1),$H10,IF(AND(($D10+$C$1)&gt;CV$4,CV$4&gt;=$C$1),$G10,0))*IF($A10="Residential",'General Inputs'!H$15,'General Inputs'!H$19)</f>
        <v>551.87048182116018</v>
      </c>
      <c r="CW10" s="214">
        <f>IF(AND(($E10+$C$1)&gt;CW$4,CW$4&gt;=$C$1),$H10,IF(AND(($D10+$C$1)&gt;CW$4,CW$4&gt;=$C$1),$G10,0))*IF($A10="Residential",'General Inputs'!I$15,'General Inputs'!I$19)</f>
        <v>560.14853904847757</v>
      </c>
      <c r="CX10" s="214">
        <f>IF(AND(($E10+$C$1)&gt;CX$4,CX$4&gt;=$C$1),$H10,IF(AND(($D10+$C$1)&gt;CX$4,CX$4&gt;=$C$1),$G10,0))*IF($A10="Residential",'General Inputs'!J$15,'General Inputs'!J$19)</f>
        <v>568.55076713420465</v>
      </c>
      <c r="CY10" s="214">
        <f>IF(AND(($E10+$C$1)&gt;CY$4,CY$4&gt;=$C$1),$H10,IF(AND(($D10+$C$1)&gt;CY$4,CY$4&gt;=$C$1),$G10,0))*IF($A10="Residential",'General Inputs'!K$15,'General Inputs'!K$19)</f>
        <v>577.07902864121763</v>
      </c>
      <c r="CZ10" s="214">
        <f>IF(AND(($E10+$C$1)&gt;CZ$4,CZ$4&gt;=$C$1),$H10,IF(AND(($D10+$C$1)&gt;CZ$4,CZ$4&gt;=$C$1),$G10,0))*IF($A10="Residential",'General Inputs'!L$15,'General Inputs'!L$19)</f>
        <v>585.73521407083581</v>
      </c>
      <c r="DA10" s="214">
        <f>IF(AND(($E10+$C$1)&gt;DA$4,DA$4&gt;=$C$1),$H10,IF(AND(($D10+$C$1)&gt;DA$4,DA$4&gt;=$C$1),$G10,0))*IF($A10="Residential",'General Inputs'!M$15,'General Inputs'!M$19)</f>
        <v>594.52124228189837</v>
      </c>
      <c r="DB10" s="214">
        <f>IF(AND(($E10+$C$1)&gt;DB$4,DB$4&gt;=$C$1),$H10,IF(AND(($D10+$C$1)&gt;DB$4,DB$4&gt;=$C$1),$G10,0))*IF($A10="Residential",'General Inputs'!N$15,'General Inputs'!N$19)</f>
        <v>603.43906091612678</v>
      </c>
      <c r="DC10" s="214">
        <f>IF(AND(($E10+$C$1)&gt;DC$4,DC$4&gt;=$C$1),$H10,IF(AND(($D10+$C$1)&gt;DC$4,DC$4&gt;=$C$1),$G10,0))*IF($A10="Residential",'General Inputs'!O$15,'General Inputs'!O$19)</f>
        <v>612.49064682986852</v>
      </c>
      <c r="DD10" s="214">
        <f>IF(AND(($E10+$C$1)&gt;DD$4,DD$4&gt;=$C$1),$H10,IF(AND(($D10+$C$1)&gt;DD$4,DD$4&gt;=$C$1),$G10,0))*IF($A10="Residential",'General Inputs'!P$15,'General Inputs'!P$19)</f>
        <v>621.67800653231654</v>
      </c>
      <c r="DE10" s="214">
        <f>IF(AND(($E10+$C$1)&gt;DE$4,DE$4&gt;=$C$1),$H10,IF(AND(($D10+$C$1)&gt;DE$4,DE$4&gt;=$C$1),$G10,0))*IF($A10="Residential",'General Inputs'!Q$15,'General Inputs'!Q$19)</f>
        <v>631.00317663030125</v>
      </c>
      <c r="DF10" s="214">
        <f>IF(AND(($E10+$C$1)&gt;DF$4,DF$4&gt;=$C$1),$H10,IF(AND(($D10+$C$1)&gt;DF$4,DF$4&gt;=$C$1),$G10,0))*IF($A10="Residential",'General Inputs'!R$15,'General Inputs'!R$19)</f>
        <v>0</v>
      </c>
      <c r="DG10" s="214">
        <f>IF(AND(($E10+$C$1)&gt;DG$4,DG$4&gt;=$C$1),$H10,IF(AND(($D10+$C$1)&gt;DG$4,DG$4&gt;=$C$1),$G10,0))*IF($A10="Residential",'General Inputs'!S$15,'General Inputs'!S$19)</f>
        <v>0</v>
      </c>
      <c r="DH10" s="214">
        <f>IF(AND(($E10+$C$1)&gt;DH$4,DH$4&gt;=$C$1),$H10,IF(AND(($D10+$C$1)&gt;DH$4,DH$4&gt;=$C$1),$G10,0))*IF($A10="Residential",'General Inputs'!T$15,'General Inputs'!T$19)</f>
        <v>0</v>
      </c>
      <c r="DI10" s="214">
        <f>IF(AND(($E10+$C$1)&gt;DI$4,DI$4&gt;=$C$1),$H10,IF(AND(($D10+$C$1)&gt;DI$4,DI$4&gt;=$C$1),$G10,0))*IF($A10="Residential",'General Inputs'!U$15,'General Inputs'!U$19)</f>
        <v>0</v>
      </c>
      <c r="DJ10" s="214">
        <f>IF(AND(($E10+$C$1)&gt;DJ$4,DJ$4&gt;=$C$1),$H10,IF(AND(($D10+$C$1)&gt;DJ$4,DJ$4&gt;=$C$1),$G10,0))*IF($A10="Residential",'General Inputs'!V$15,'General Inputs'!V$19)</f>
        <v>0</v>
      </c>
      <c r="DK10" s="214">
        <f>IF(AND(($E10+$C$1)&gt;DK$4,DK$4&gt;=$C$1),$H10,IF(AND(($D10+$C$1)&gt;DK$4,DK$4&gt;=$C$1),$G10,0))*IF($A10="Residential",'General Inputs'!W$15,'General Inputs'!W$19)</f>
        <v>0</v>
      </c>
      <c r="DM10" s="214">
        <f t="shared" ref="DM10:DM12" si="120">IF($C$1=DM$4,$L10*$C10,IF($E10+$C$1=DM$4,-$M10*$C10,0))</f>
        <v>1760</v>
      </c>
      <c r="DN10" s="214">
        <f t="shared" si="105"/>
        <v>0</v>
      </c>
      <c r="DO10" s="214">
        <f t="shared" si="105"/>
        <v>0</v>
      </c>
      <c r="DP10" s="214">
        <f t="shared" si="105"/>
        <v>0</v>
      </c>
      <c r="DQ10" s="214">
        <f t="shared" si="105"/>
        <v>0</v>
      </c>
      <c r="DR10" s="214">
        <f t="shared" si="105"/>
        <v>0</v>
      </c>
      <c r="DS10" s="214">
        <f t="shared" si="105"/>
        <v>0</v>
      </c>
      <c r="DT10" s="214">
        <f t="shared" si="105"/>
        <v>0</v>
      </c>
      <c r="DU10" s="214">
        <f t="shared" si="105"/>
        <v>0</v>
      </c>
      <c r="DV10" s="214">
        <f t="shared" si="105"/>
        <v>0</v>
      </c>
      <c r="DW10" s="214">
        <f t="shared" si="105"/>
        <v>0</v>
      </c>
      <c r="DY10" s="219"/>
      <c r="DZ10" s="650"/>
      <c r="EA10" s="219"/>
      <c r="EB10" s="219"/>
      <c r="EC10" s="219"/>
      <c r="ED10" s="219"/>
      <c r="EE10" s="219"/>
      <c r="EF10" s="219"/>
      <c r="FI10" s="195"/>
      <c r="FJ10" s="195"/>
      <c r="FK10" s="195"/>
      <c r="FL10" s="195"/>
      <c r="FM10" s="195"/>
      <c r="FN10" s="195"/>
      <c r="FO10" s="195"/>
    </row>
    <row r="11" spans="1:171">
      <c r="A11" s="341" t="s">
        <v>12</v>
      </c>
      <c r="B11" s="427" t="str">
        <f>'Portfolio Inputs'!A10</f>
        <v>ENERGY STAR Fixture</v>
      </c>
      <c r="C11" s="217">
        <f>IF($C$1=2014,'Portfolio Inputs'!$C10,IF($C$1=2015,'Portfolio Inputs'!$D10,'Portfolio Inputs'!$E10))</f>
        <v>115</v>
      </c>
      <c r="D11" s="504">
        <f>VLOOKUP(B11,Sources!$B$4:$J$104,2,FALSE)</f>
        <v>8</v>
      </c>
      <c r="E11" s="504">
        <f>VLOOKUP(B11,Sources!$B$4:$J$104,3,FALSE)</f>
        <v>0</v>
      </c>
      <c r="G11" s="504">
        <f>IF($C$1=2014,'Portfolio Inputs'!$G10,IF($C$1=2015,'Portfolio Inputs'!$H10,'Portfolio Inputs'!$I10))*EnergyLineLoss</f>
        <v>10382.673656249999</v>
      </c>
      <c r="H11" s="504"/>
      <c r="I11" s="504">
        <f>IF($C$1=2014,'Portfolio Inputs'!$K10,IF($C$1=2015,'Portfolio Inputs'!$L10,'Portfolio Inputs'!$M10))*PeakLineLoss</f>
        <v>2.2756545E-2</v>
      </c>
      <c r="J11" s="510"/>
      <c r="L11" s="606">
        <f>IF($C$1=2014,'Portfolio Inputs'!$O10,IF($C$1=2015,'Portfolio Inputs'!$P10,'Portfolio Inputs'!$Q10))</f>
        <v>17</v>
      </c>
      <c r="M11" s="518">
        <f>VLOOKUP($B11,Sources!$B$4:$K$104,10,FALSE)</f>
        <v>0</v>
      </c>
      <c r="N11" s="419">
        <f>IF($C$1=2014,'Portfolio Inputs'!$W10,IF($C$1=2015,'Portfolio Inputs'!$X10,'Portfolio Inputs'!$Y10))</f>
        <v>890</v>
      </c>
      <c r="O11" s="419"/>
      <c r="Q11" s="438">
        <f t="shared" si="0"/>
        <v>1.3428928141197005</v>
      </c>
      <c r="R11" s="439">
        <f t="shared" si="1"/>
        <v>2.9498375860719261</v>
      </c>
      <c r="S11" s="439">
        <f t="shared" si="2"/>
        <v>1.7097915053702704</v>
      </c>
      <c r="T11" s="439">
        <f t="shared" si="3"/>
        <v>4.9791878447441196</v>
      </c>
      <c r="U11" s="439">
        <f t="shared" si="117"/>
        <v>4.1355095824561428</v>
      </c>
      <c r="V11" s="439">
        <f t="shared" si="118"/>
        <v>0.26970117537084237</v>
      </c>
      <c r="W11" s="439">
        <f t="shared" si="119"/>
        <v>0.32472245254045229</v>
      </c>
      <c r="Y11" s="215">
        <f t="shared" si="29"/>
        <v>2625.3554516040144</v>
      </c>
      <c r="Z11" s="215">
        <f t="shared" si="30"/>
        <v>717.28694139486447</v>
      </c>
      <c r="AA11" s="215">
        <f t="shared" si="31"/>
        <v>8844.3122364747542</v>
      </c>
      <c r="AB11" s="215">
        <f t="shared" si="32"/>
        <v>7194.9212337017598</v>
      </c>
      <c r="AC11" s="216">
        <f t="shared" si="33"/>
        <v>0</v>
      </c>
      <c r="AD11" s="216">
        <f t="shared" si="34"/>
        <v>890</v>
      </c>
      <c r="AE11" s="215">
        <f t="shared" si="35"/>
        <v>1955</v>
      </c>
      <c r="AG11" s="214">
        <f>IF(AND(($E11+$C$1)&gt;AG$4,AG$4&gt;=$C$1),'General Inputs'!D$9*$H11,IF(AND(($D11+$C$1)&gt;AG$4,AG$4&gt;=$C$1),'General Inputs'!D$9*$G11,0))+IF(AND(($E11+$C$1)&gt;AG$4,AG$4&gt;=$C$1),'General Inputs'!D$10*$J11,IF(AND(($D11+$C$1)&gt;AG$4,AG$4&gt;=$C$1),'General Inputs'!D$10*$I11,0))</f>
        <v>413.69855649839707</v>
      </c>
      <c r="AH11" s="214">
        <f>IF(AND(($E11+$C$1)&gt;AH$4,AH$4&gt;=$C$1),'General Inputs'!E$9*$H11,IF(AND(($D11+$C$1)&gt;AH$4,AH$4&gt;=$C$1),'General Inputs'!E$9*$G11,0))+IF(AND(($E11+$C$1)&gt;AH$4,AH$4&gt;=$C$1),'General Inputs'!E$10*$J11,IF(AND(($D11+$C$1)&gt;AH$4,AH$4&gt;=$C$1),'General Inputs'!E$10*$I11,0))</f>
        <v>419.90403484587301</v>
      </c>
      <c r="AI11" s="214">
        <f>IF(AND(($E11+$C$1)&gt;AI$4,AI$4&gt;=$C$1),'General Inputs'!F$9*$H11,IF(AND(($D11+$C$1)&gt;AI$4,AI$4&gt;=$C$1),'General Inputs'!F$9*$G11,0))+IF(AND(($E11+$C$1)&gt;AI$4,AI$4&gt;=$C$1),'General Inputs'!F$10*$J11,IF(AND(($D11+$C$1)&gt;AI$4,AI$4&gt;=$C$1),'General Inputs'!F$10*$I11,0))</f>
        <v>426.20259536856105</v>
      </c>
      <c r="AJ11" s="214">
        <f>IF(AND(($E11+$C$1)&gt;AJ$4,AJ$4&gt;=$C$1),'General Inputs'!G$9*$H11,IF(AND(($D11+$C$1)&gt;AJ$4,AJ$4&gt;=$C$1),'General Inputs'!G$9*$G11,0))+IF(AND(($E11+$C$1)&gt;AJ$4,AJ$4&gt;=$C$1),'General Inputs'!G$10*$J11,IF(AND(($D11+$C$1)&gt;AJ$4,AJ$4&gt;=$C$1),'General Inputs'!G$10*$I11,0))</f>
        <v>432.5956342990894</v>
      </c>
      <c r="AK11" s="214">
        <f>IF(AND(($E11+$C$1)&gt;AK$4,AK$4&gt;=$C$1),'General Inputs'!H$9*$H11,IF(AND(($D11+$C$1)&gt;AK$4,AK$4&gt;=$C$1),'General Inputs'!H$9*$G11,0))+IF(AND(($E11+$C$1)&gt;AK$4,AK$4&gt;=$C$1),'General Inputs'!H$10*$J11,IF(AND(($D11+$C$1)&gt;AK$4,AK$4&gt;=$C$1),'General Inputs'!H$10*$I11,0))</f>
        <v>439.08456881357574</v>
      </c>
      <c r="AL11" s="214">
        <f>IF(AND(($E11+$C$1)&gt;AL$4,AL$4&gt;=$C$1),'General Inputs'!I$9*$H11,IF(AND(($D11+$C$1)&gt;AL$4,AL$4&gt;=$C$1),'General Inputs'!I$9*$G11,0))+IF(AND(($E11+$C$1)&gt;AL$4,AL$4&gt;=$C$1),'General Inputs'!I$10*$J11,IF(AND(($D11+$C$1)&gt;AL$4,AL$4&gt;=$C$1),'General Inputs'!I$10*$I11,0))</f>
        <v>445.67083734577926</v>
      </c>
      <c r="AM11" s="214">
        <f>IF(AND(($E11+$C$1)&gt;AM$4,AM$4&gt;=$C$1),'General Inputs'!J$9*$H11,IF(AND(($D11+$C$1)&gt;AM$4,AM$4&gt;=$C$1),'General Inputs'!J$9*$G11,0))+IF(AND(($E11+$C$1)&gt;AM$4,AM$4&gt;=$C$1),'General Inputs'!J$10*$J11,IF(AND(($D11+$C$1)&gt;AM$4,AM$4&gt;=$C$1),'General Inputs'!J$10*$I11,0))</f>
        <v>452.35589990596588</v>
      </c>
      <c r="AN11" s="214">
        <f>IF(AND(($E11+$C$1)&gt;AN$4,AN$4&gt;=$C$1),'General Inputs'!K$9*$H11,IF(AND(($D11+$C$1)&gt;AN$4,AN$4&gt;=$C$1),'General Inputs'!K$9*$G11,0))+IF(AND(($E11+$C$1)&gt;AN$4,AN$4&gt;=$C$1),'General Inputs'!K$10*$J11,IF(AND(($D11+$C$1)&gt;AN$4,AN$4&gt;=$C$1),'General Inputs'!K$10*$I11,0))</f>
        <v>459.14123840455528</v>
      </c>
      <c r="AO11" s="214">
        <f>IF(AND(($E11+$C$1)&gt;AO$4,AO$4&gt;=$C$1),'General Inputs'!L$9*$H11,IF(AND(($D11+$C$1)&gt;AO$4,AO$4&gt;=$C$1),'General Inputs'!L$9*$G11,0))+IF(AND(($E11+$C$1)&gt;AO$4,AO$4&gt;=$C$1),'General Inputs'!L$10*$J11,IF(AND(($D11+$C$1)&gt;AO$4,AO$4&gt;=$C$1),'General Inputs'!L$10*$I11,0))</f>
        <v>0</v>
      </c>
      <c r="AP11" s="214">
        <f>IF(AND(($E11+$C$1)&gt;AP$4,AP$4&gt;=$C$1),'General Inputs'!M$9*$H11,IF(AND(($D11+$C$1)&gt;AP$4,AP$4&gt;=$C$1),'General Inputs'!M$9*$G11,0))+IF(AND(($E11+$C$1)&gt;AP$4,AP$4&gt;=$C$1),'General Inputs'!M$10*$J11,IF(AND(($D11+$C$1)&gt;AP$4,AP$4&gt;=$C$1),'General Inputs'!M$10*$I11,0))</f>
        <v>0</v>
      </c>
      <c r="AQ11" s="214">
        <f>IF(AND(($E11+$C$1)&gt;AQ$4,AQ$4&gt;=$C$1),'General Inputs'!N$9*$H11,IF(AND(($D11+$C$1)&gt;AQ$4,AQ$4&gt;=$C$1),'General Inputs'!N$9*$G11,0))+IF(AND(($E11+$C$1)&gt;AQ$4,AQ$4&gt;=$C$1),'General Inputs'!N$10*$J11,IF(AND(($D11+$C$1)&gt;AQ$4,AQ$4&gt;=$C$1),'General Inputs'!N$10*$I11,0))</f>
        <v>0</v>
      </c>
      <c r="AR11" s="214">
        <f>IF(AND(($E11+$C$1)&gt;AR$4,AR$4&gt;=$C$1),'General Inputs'!O$9*$H11,IF(AND(($D11+$C$1)&gt;AR$4,AR$4&gt;=$C$1),'General Inputs'!O$9*$G11,0))+IF(AND(($E11+$C$1)&gt;AR$4,AR$4&gt;=$C$1),'General Inputs'!O$10*$J11,IF(AND(($D11+$C$1)&gt;AR$4,AR$4&gt;=$C$1),'General Inputs'!O$10*$I11,0))</f>
        <v>0</v>
      </c>
      <c r="AS11" s="214">
        <f>IF(AND(($E11+$C$1)&gt;AS$4,AS$4&gt;=$C$1),'General Inputs'!P$9*$H11,IF(AND(($D11+$C$1)&gt;AS$4,AS$4&gt;=$C$1),'General Inputs'!P$9*$G11,0))+IF(AND(($E11+$C$1)&gt;AS$4,AS$4&gt;=$C$1),'General Inputs'!P$10*$J11,IF(AND(($D11+$C$1)&gt;AS$4,AS$4&gt;=$C$1),'General Inputs'!P$10*$I11,0))</f>
        <v>0</v>
      </c>
      <c r="AT11" s="214">
        <f>IF(AND(($E11+$C$1)&gt;AT$4,AT$4&gt;=$C$1),'General Inputs'!Q$9*$H11,IF(AND(($D11+$C$1)&gt;AT$4,AT$4&gt;=$C$1),'General Inputs'!Q$9*$G11,0))+IF(AND(($E11+$C$1)&gt;AT$4,AT$4&gt;=$C$1),'General Inputs'!Q$10*$J11,IF(AND(($D11+$C$1)&gt;AT$4,AT$4&gt;=$C$1),'General Inputs'!Q$10*$I11,0))</f>
        <v>0</v>
      </c>
      <c r="AU11" s="214">
        <f>IF(AND(($E11+$C$1)&gt;AU$4,AU$4&gt;=$C$1),'General Inputs'!R$9*$H11,IF(AND(($D11+$C$1)&gt;AU$4,AU$4&gt;=$C$1),'General Inputs'!R$9*$G11,0))+IF(AND(($E11+$C$1)&gt;AU$4,AU$4&gt;=$C$1),'General Inputs'!R$10*$J11,IF(AND(($D11+$C$1)&gt;AU$4,AU$4&gt;=$C$1),'General Inputs'!R$10*$I11,0))</f>
        <v>0</v>
      </c>
      <c r="AV11" s="214">
        <f>IF(AND(($E11+$C$1)&gt;AV$4,AV$4&gt;=$C$1),'General Inputs'!S$9*$H11,IF(AND(($D11+$C$1)&gt;AV$4,AV$4&gt;=$C$1),'General Inputs'!S$9*$G11,0))+IF(AND(($E11+$C$1)&gt;AV$4,AV$4&gt;=$C$1),'General Inputs'!S$10*$J11,IF(AND(($D11+$C$1)&gt;AV$4,AV$4&gt;=$C$1),'General Inputs'!S$10*$I11,0))</f>
        <v>0</v>
      </c>
      <c r="AW11" s="214">
        <f>IF(AND(($E11+$C$1)&gt;AW$4,AW$4&gt;=$C$1),'General Inputs'!T$9*$H11,IF(AND(($D11+$C$1)&gt;AW$4,AW$4&gt;=$C$1),'General Inputs'!T$9*$G11,0))+IF(AND(($E11+$C$1)&gt;AW$4,AW$4&gt;=$C$1),'General Inputs'!T$10*$J11,IF(AND(($D11+$C$1)&gt;AW$4,AW$4&gt;=$C$1),'General Inputs'!T$10*$I11,0))</f>
        <v>0</v>
      </c>
      <c r="AX11" s="214">
        <f>IF(AND(($E11+$C$1)&gt;AX$4,AX$4&gt;=$C$1),'General Inputs'!U$9*$H11,IF(AND(($D11+$C$1)&gt;AX$4,AX$4&gt;=$C$1),'General Inputs'!U$9*$G11,0))+IF(AND(($E11+$C$1)&gt;AX$4,AX$4&gt;=$C$1),'General Inputs'!U$10*$J11,IF(AND(($D11+$C$1)&gt;AX$4,AX$4&gt;=$C$1),'General Inputs'!U$10*$I11,0))</f>
        <v>0</v>
      </c>
      <c r="AY11" s="214">
        <f>IF(AND(($E11+$C$1)&gt;AY$4,AY$4&gt;=$C$1),'General Inputs'!V$9*$H11,IF(AND(($D11+$C$1)&gt;AY$4,AY$4&gt;=$C$1),'General Inputs'!V$9*$G11,0))+IF(AND(($E11+$C$1)&gt;AY$4,AY$4&gt;=$C$1),'General Inputs'!V$10*$J11,IF(AND(($D11+$C$1)&gt;AY$4,AY$4&gt;=$C$1),'General Inputs'!V$10*$I11,0))</f>
        <v>0</v>
      </c>
      <c r="AZ11" s="214">
        <f>IF(AND(($E11+$C$1)&gt;AZ$4,AZ$4&gt;=$C$1),'General Inputs'!W$9*$H11,IF(AND(($D11+$C$1)&gt;AZ$4,AZ$4&gt;=$C$1),'General Inputs'!W$9*$G11,0))+IF(AND(($E11+$C$1)&gt;AZ$4,AZ$4&gt;=$C$1),'General Inputs'!W$10*$J11,IF(AND(($D11+$C$1)&gt;AZ$4,AZ$4&gt;=$C$1),'General Inputs'!W$10*$I11,0))</f>
        <v>0</v>
      </c>
      <c r="BB11" s="214">
        <f>IF(AND(($E11+$C$1)&gt;BB$4,BB$4&gt;=$C$1),'General Inputs'!D$11*$H11,IF(AND(($D11+$C$1)&gt;BB$4,BB$4&gt;=$C$1),'General Inputs'!D$11*$G11,0))</f>
        <v>118.36247968124999</v>
      </c>
      <c r="BC11" s="214">
        <f>IF(AND(($E11+$C$1)&gt;BC$4,BC$4&gt;=$C$1),'General Inputs'!E$11*$H11,IF(AND(($D11+$C$1)&gt;BC$4,BC$4&gt;=$C$1),'General Inputs'!E$11*$G11,0))</f>
        <v>118.36247968124999</v>
      </c>
      <c r="BD11" s="214">
        <f>IF(AND(($E11+$C$1)&gt;BD$4,BD$4&gt;=$C$1),'General Inputs'!F$11*$H11,IF(AND(($D11+$C$1)&gt;BD$4,BD$4&gt;=$C$1),'General Inputs'!F$11*$G11,0))</f>
        <v>118.36247968124999</v>
      </c>
      <c r="BE11" s="214">
        <f>IF(AND(($E11+$C$1)&gt;BE$4,BE$4&gt;=$C$1),'General Inputs'!G$11*$H11,IF(AND(($D11+$C$1)&gt;BE$4,BE$4&gt;=$C$1),'General Inputs'!G$11*$G11,0))</f>
        <v>118.36247968124999</v>
      </c>
      <c r="BF11" s="214">
        <f>IF(AND(($E11+$C$1)&gt;BF$4,BF$4&gt;=$C$1),'General Inputs'!H$11*$H11,IF(AND(($D11+$C$1)&gt;BF$4,BF$4&gt;=$C$1),'General Inputs'!H$11*$G11,0))</f>
        <v>118.36247968124999</v>
      </c>
      <c r="BG11" s="214">
        <f>IF(AND(($E11+$C$1)&gt;BG$4,BG$4&gt;=$C$1),'General Inputs'!I$11*$H11,IF(AND(($D11+$C$1)&gt;BG$4,BG$4&gt;=$C$1),'General Inputs'!I$11*$G11,0))</f>
        <v>118.36247968124999</v>
      </c>
      <c r="BH11" s="214">
        <f>IF(AND(($E11+$C$1)&gt;BH$4,BH$4&gt;=$C$1),'General Inputs'!J$11*$H11,IF(AND(($D11+$C$1)&gt;BH$4,BH$4&gt;=$C$1),'General Inputs'!J$11*$G11,0))</f>
        <v>118.36247968124999</v>
      </c>
      <c r="BI11" s="214">
        <f>IF(AND(($E11+$C$1)&gt;BI$4,BI$4&gt;=$C$1),'General Inputs'!K$11*$H11,IF(AND(($D11+$C$1)&gt;BI$4,BI$4&gt;=$C$1),'General Inputs'!K$11*$G11,0))</f>
        <v>118.36247968124999</v>
      </c>
      <c r="BJ11" s="214">
        <f>IF(AND(($E11+$C$1)&gt;BJ$4,BJ$4&gt;=$C$1),'General Inputs'!L$11*$H11,IF(AND(($D11+$C$1)&gt;BJ$4,BJ$4&gt;=$C$1),'General Inputs'!L$11*$G11,0))</f>
        <v>0</v>
      </c>
      <c r="BK11" s="214">
        <f>IF(AND(($E11+$C$1)&gt;BK$4,BK$4&gt;=$C$1),'General Inputs'!M$11*$H11,IF(AND(($D11+$C$1)&gt;BK$4,BK$4&gt;=$C$1),'General Inputs'!M$11*$G11,0))</f>
        <v>0</v>
      </c>
      <c r="BL11" s="214">
        <f>IF(AND(($E11+$C$1)&gt;BL$4,BL$4&gt;=$C$1),'General Inputs'!N$11*$H11,IF(AND(($D11+$C$1)&gt;BL$4,BL$4&gt;=$C$1),'General Inputs'!N$11*$G11,0))</f>
        <v>0</v>
      </c>
      <c r="BM11" s="214">
        <f>IF(AND(($E11+$C$1)&gt;BM$4,BM$4&gt;=$C$1),'General Inputs'!O$11*$H11,IF(AND(($D11+$C$1)&gt;BM$4,BM$4&gt;=$C$1),'General Inputs'!O$11*$G11,0))</f>
        <v>0</v>
      </c>
      <c r="BN11" s="214">
        <f>IF(AND(($E11+$C$1)&gt;BN$4,BN$4&gt;=$C$1),'General Inputs'!P$11*$H11,IF(AND(($D11+$C$1)&gt;BN$4,BN$4&gt;=$C$1),'General Inputs'!P$11*$G11,0))</f>
        <v>0</v>
      </c>
      <c r="BO11" s="214">
        <f>IF(AND(($E11+$C$1)&gt;BO$4,BO$4&gt;=$C$1),'General Inputs'!Q$11*$H11,IF(AND(($D11+$C$1)&gt;BO$4,BO$4&gt;=$C$1),'General Inputs'!Q$11*$G11,0))</f>
        <v>0</v>
      </c>
      <c r="BP11" s="214">
        <f>IF(AND(($E11+$C$1)&gt;BP$4,BP$4&gt;=$C$1),'General Inputs'!R$11*$H11,IF(AND(($D11+$C$1)&gt;BP$4,BP$4&gt;=$C$1),'General Inputs'!R$11*$G11,0))</f>
        <v>0</v>
      </c>
      <c r="BQ11" s="214">
        <f>IF(AND(($E11+$C$1)&gt;BQ$4,BQ$4&gt;=$C$1),'General Inputs'!S$11*$H11,IF(AND(($D11+$C$1)&gt;BQ$4,BQ$4&gt;=$C$1),'General Inputs'!S$11*$G11,0))</f>
        <v>0</v>
      </c>
      <c r="BR11" s="214">
        <f>IF(AND(($E11+$C$1)&gt;BR$4,BR$4&gt;=$C$1),'General Inputs'!T$11*$H11,IF(AND(($D11+$C$1)&gt;BR$4,BR$4&gt;=$C$1),'General Inputs'!T$11*$G11,0))</f>
        <v>0</v>
      </c>
      <c r="BS11" s="214">
        <f>IF(AND(($E11+$C$1)&gt;BS$4,BS$4&gt;=$C$1),'General Inputs'!U$11*$H11,IF(AND(($D11+$C$1)&gt;BS$4,BS$4&gt;=$C$1),'General Inputs'!U$11*$G11,0))</f>
        <v>0</v>
      </c>
      <c r="BT11" s="214">
        <f>IF(AND(($E11+$C$1)&gt;BT$4,BT$4&gt;=$C$1),'General Inputs'!V$11*$H11,IF(AND(($D11+$C$1)&gt;BT$4,BT$4&gt;=$C$1),'General Inputs'!V$11*$G11,0))</f>
        <v>0</v>
      </c>
      <c r="BU11" s="214">
        <f>IF(AND(($E11+$C$1)&gt;BU$4,BU$4&gt;=$C$1),'General Inputs'!W$11*$H11,IF(AND(($D11+$C$1)&gt;BU$4,BU$4&gt;=$C$1),'General Inputs'!W$11*$G11,0))</f>
        <v>0</v>
      </c>
      <c r="BW11" s="214">
        <f>IF(AND(($E11+$C$1)&gt;BW$4,BW$4&gt;=$C$1),$H11,IF(AND(($D11+$C$1)&gt;BW$4,BW$4&gt;=$C$1),$G11,0))*IF($A11="Residential",'General Inputs'!D$14,'General Inputs'!D$19)</f>
        <v>1393.6700278871758</v>
      </c>
      <c r="BX11" s="214">
        <f>IF(AND(($E11+$C$1)&gt;BX$4,BX$4&gt;=$C$1),$H11,IF(AND(($D11+$C$1)&gt;BX$4,BX$4&gt;=$C$1),$G11,0))*IF($A11="Residential",'General Inputs'!E$14,'General Inputs'!E$19)</f>
        <v>1414.5750783054832</v>
      </c>
      <c r="BY11" s="214">
        <f>IF(AND(($E11+$C$1)&gt;BY$4,BY$4&gt;=$C$1),$H11,IF(AND(($D11+$C$1)&gt;BY$4,BY$4&gt;=$C$1),$G11,0))*IF($A11="Residential",'General Inputs'!F$14,'General Inputs'!F$19)</f>
        <v>1435.7937044800653</v>
      </c>
      <c r="BZ11" s="214">
        <f>IF(AND(($E11+$C$1)&gt;BZ$4,BZ$4&gt;=$C$1),$H11,IF(AND(($D11+$C$1)&gt;BZ$4,BZ$4&gt;=$C$1),$G11,0))*IF($A11="Residential",'General Inputs'!G$14,'General Inputs'!G$19)</f>
        <v>1457.330610047266</v>
      </c>
      <c r="CA11" s="214">
        <f>IF(AND(($E11+$C$1)&gt;CA$4,CA$4&gt;=$C$1),$H11,IF(AND(($D11+$C$1)&gt;CA$4,CA$4&gt;=$C$1),$G11,0))*IF($A11="Residential",'General Inputs'!H$14,'General Inputs'!H$19)</f>
        <v>1479.1905691979748</v>
      </c>
      <c r="CB11" s="214">
        <f>IF(AND(($E11+$C$1)&gt;CB$4,CB$4&gt;=$C$1),$H11,IF(AND(($D11+$C$1)&gt;CB$4,CB$4&gt;=$C$1),$G11,0))*IF($A11="Residential",'General Inputs'!I$14,'General Inputs'!I$19)</f>
        <v>1501.3784277359443</v>
      </c>
      <c r="CC11" s="214">
        <f>IF(AND(($E11+$C$1)&gt;CC$4,CC$4&gt;=$C$1),$H11,IF(AND(($D11+$C$1)&gt;CC$4,CC$4&gt;=$C$1),$G11,0))*IF($A11="Residential",'General Inputs'!J$14,'General Inputs'!J$19)</f>
        <v>1523.8991041519832</v>
      </c>
      <c r="CD11" s="214">
        <f>IF(AND(($E11+$C$1)&gt;CD$4,CD$4&gt;=$C$1),$H11,IF(AND(($D11+$C$1)&gt;CD$4,CD$4&gt;=$C$1),$G11,0))*IF($A11="Residential",'General Inputs'!K$14,'General Inputs'!K$19)</f>
        <v>1546.7575907142627</v>
      </c>
      <c r="CE11" s="214">
        <f>IF(AND(($E11+$C$1)&gt;CE$4,CE$4&gt;=$C$1),$H11,IF(AND(($D11+$C$1)&gt;CE$4,CE$4&gt;=$C$1),$G11,0))*IF($A11="Residential",'General Inputs'!L$14,'General Inputs'!L$19)</f>
        <v>0</v>
      </c>
      <c r="CF11" s="214">
        <f>IF(AND(($E11+$C$1)&gt;CF$4,CF$4&gt;=$C$1),$H11,IF(AND(($D11+$C$1)&gt;CF$4,CF$4&gt;=$C$1),$G11,0))*IF($A11="Residential",'General Inputs'!M$14,'General Inputs'!M$19)</f>
        <v>0</v>
      </c>
      <c r="CG11" s="214">
        <f>IF(AND(($E11+$C$1)&gt;CG$4,CG$4&gt;=$C$1),$H11,IF(AND(($D11+$C$1)&gt;CG$4,CG$4&gt;=$C$1),$G11,0))*IF($A11="Residential",'General Inputs'!N$14,'General Inputs'!N$19)</f>
        <v>0</v>
      </c>
      <c r="CH11" s="214">
        <f>IF(AND(($E11+$C$1)&gt;CH$4,CH$4&gt;=$C$1),$H11,IF(AND(($D11+$C$1)&gt;CH$4,CH$4&gt;=$C$1),$G11,0))*IF($A11="Residential",'General Inputs'!O$14,'General Inputs'!O$19)</f>
        <v>0</v>
      </c>
      <c r="CI11" s="214">
        <f>IF(AND(($E11+$C$1)&gt;CI$4,CI$4&gt;=$C$1),$H11,IF(AND(($D11+$C$1)&gt;CI$4,CI$4&gt;=$C$1),$G11,0))*IF($A11="Residential",'General Inputs'!P$14,'General Inputs'!P$19)</f>
        <v>0</v>
      </c>
      <c r="CJ11" s="214">
        <f>IF(AND(($E11+$C$1)&gt;CJ$4,CJ$4&gt;=$C$1),$H11,IF(AND(($D11+$C$1)&gt;CJ$4,CJ$4&gt;=$C$1),$G11,0))*IF($A11="Residential",'General Inputs'!Q$14,'General Inputs'!Q$19)</f>
        <v>0</v>
      </c>
      <c r="CK11" s="214">
        <f>IF(AND(($E11+$C$1)&gt;CK$4,CK$4&gt;=$C$1),$H11,IF(AND(($D11+$C$1)&gt;CK$4,CK$4&gt;=$C$1),$G11,0))*IF($A11="Residential",'General Inputs'!R$14,'General Inputs'!R$19)</f>
        <v>0</v>
      </c>
      <c r="CL11" s="214">
        <f>IF(AND(($E11+$C$1)&gt;CL$4,CL$4&gt;=$C$1),$H11,IF(AND(($D11+$C$1)&gt;CL$4,CL$4&gt;=$C$1),$G11,0))*IF($A11="Residential",'General Inputs'!S$14,'General Inputs'!S$19)</f>
        <v>0</v>
      </c>
      <c r="CM11" s="214">
        <f>IF(AND(($E11+$C$1)&gt;CM$4,CM$4&gt;=$C$1),$H11,IF(AND(($D11+$C$1)&gt;CM$4,CM$4&gt;=$C$1),$G11,0))*IF($A11="Residential",'General Inputs'!T$14,'General Inputs'!T$19)</f>
        <v>0</v>
      </c>
      <c r="CN11" s="214">
        <f>IF(AND(($E11+$C$1)&gt;CN$4,CN$4&gt;=$C$1),$H11,IF(AND(($D11+$C$1)&gt;CN$4,CN$4&gt;=$C$1),$G11,0))*IF($A11="Residential",'General Inputs'!U$14,'General Inputs'!U$19)</f>
        <v>0</v>
      </c>
      <c r="CO11" s="214">
        <f>IF(AND(($E11+$C$1)&gt;CO$4,CO$4&gt;=$C$1),$H11,IF(AND(($D11+$C$1)&gt;CO$4,CO$4&gt;=$C$1),$G11,0))*IF($A11="Residential",'General Inputs'!V$14,'General Inputs'!V$19)</f>
        <v>0</v>
      </c>
      <c r="CP11" s="214">
        <f>IF(AND(($E11+$C$1)&gt;CP$4,CP$4&gt;=$C$1),$H11,IF(AND(($D11+$C$1)&gt;CP$4,CP$4&gt;=$C$1),$G11,0))*IF($A11="Residential",'General Inputs'!W$14,'General Inputs'!W$19)</f>
        <v>0</v>
      </c>
      <c r="CR11" s="214">
        <f>IF(AND(($E11+$C$1)&gt;CR$4,CR$4&gt;=$C$1),$H11,IF(AND(($D11+$C$1)&gt;CR$4,CR$4&gt;=$C$1),$G11,0))*IF($A11="Residential",'General Inputs'!D$15,'General Inputs'!D$19)</f>
        <v>1133.7621070257412</v>
      </c>
      <c r="CS11" s="214">
        <f>IF(AND(($E11+$C$1)&gt;CS$4,CS$4&gt;=$C$1),$H11,IF(AND(($D11+$C$1)&gt;CS$4,CS$4&gt;=$C$1),$G11,0))*IF($A11="Residential",'General Inputs'!E$15,'General Inputs'!E$19)</f>
        <v>1150.7685386311273</v>
      </c>
      <c r="CT11" s="214">
        <f>IF(AND(($E11+$C$1)&gt;CT$4,CT$4&gt;=$C$1),$H11,IF(AND(($D11+$C$1)&gt;CT$4,CT$4&gt;=$C$1),$G11,0))*IF($A11="Residential",'General Inputs'!F$15,'General Inputs'!F$19)</f>
        <v>1168.0300667105942</v>
      </c>
      <c r="CU11" s="214">
        <f>IF(AND(($E11+$C$1)&gt;CU$4,CU$4&gt;=$C$1),$H11,IF(AND(($D11+$C$1)&gt;CU$4,CU$4&gt;=$C$1),$G11,0))*IF($A11="Residential",'General Inputs'!G$15,'General Inputs'!G$19)</f>
        <v>1185.550517711253</v>
      </c>
      <c r="CV11" s="214">
        <f>IF(AND(($E11+$C$1)&gt;CV$4,CV$4&gt;=$C$1),$H11,IF(AND(($D11+$C$1)&gt;CV$4,CV$4&gt;=$C$1),$G11,0))*IF($A11="Residential",'General Inputs'!H$15,'General Inputs'!H$19)</f>
        <v>1203.3337754769216</v>
      </c>
      <c r="CW11" s="214">
        <f>IF(AND(($E11+$C$1)&gt;CW$4,CW$4&gt;=$C$1),$H11,IF(AND(($D11+$C$1)&gt;CW$4,CW$4&gt;=$C$1),$G11,0))*IF($A11="Residential",'General Inputs'!I$15,'General Inputs'!I$19)</f>
        <v>1221.3837821090754</v>
      </c>
      <c r="CX11" s="214">
        <f>IF(AND(($E11+$C$1)&gt;CX$4,CX$4&gt;=$C$1),$H11,IF(AND(($D11+$C$1)&gt;CX$4,CX$4&gt;=$C$1),$G11,0))*IF($A11="Residential",'General Inputs'!J$15,'General Inputs'!J$19)</f>
        <v>1239.7045388407112</v>
      </c>
      <c r="CY11" s="214">
        <f>IF(AND(($E11+$C$1)&gt;CY$4,CY$4&gt;=$C$1),$H11,IF(AND(($D11+$C$1)&gt;CY$4,CY$4&gt;=$C$1),$G11,0))*IF($A11="Residential",'General Inputs'!K$15,'General Inputs'!K$19)</f>
        <v>1258.3001069233217</v>
      </c>
      <c r="CZ11" s="214">
        <f>IF(AND(($E11+$C$1)&gt;CZ$4,CZ$4&gt;=$C$1),$H11,IF(AND(($D11+$C$1)&gt;CZ$4,CZ$4&gt;=$C$1),$G11,0))*IF($A11="Residential",'General Inputs'!L$15,'General Inputs'!L$19)</f>
        <v>0</v>
      </c>
      <c r="DA11" s="214">
        <f>IF(AND(($E11+$C$1)&gt;DA$4,DA$4&gt;=$C$1),$H11,IF(AND(($D11+$C$1)&gt;DA$4,DA$4&gt;=$C$1),$G11,0))*IF($A11="Residential",'General Inputs'!M$15,'General Inputs'!M$19)</f>
        <v>0</v>
      </c>
      <c r="DB11" s="214">
        <f>IF(AND(($E11+$C$1)&gt;DB$4,DB$4&gt;=$C$1),$H11,IF(AND(($D11+$C$1)&gt;DB$4,DB$4&gt;=$C$1),$G11,0))*IF($A11="Residential",'General Inputs'!N$15,'General Inputs'!N$19)</f>
        <v>0</v>
      </c>
      <c r="DC11" s="214">
        <f>IF(AND(($E11+$C$1)&gt;DC$4,DC$4&gt;=$C$1),$H11,IF(AND(($D11+$C$1)&gt;DC$4,DC$4&gt;=$C$1),$G11,0))*IF($A11="Residential",'General Inputs'!O$15,'General Inputs'!O$19)</f>
        <v>0</v>
      </c>
      <c r="DD11" s="214">
        <f>IF(AND(($E11+$C$1)&gt;DD$4,DD$4&gt;=$C$1),$H11,IF(AND(($D11+$C$1)&gt;DD$4,DD$4&gt;=$C$1),$G11,0))*IF($A11="Residential",'General Inputs'!P$15,'General Inputs'!P$19)</f>
        <v>0</v>
      </c>
      <c r="DE11" s="214">
        <f>IF(AND(($E11+$C$1)&gt;DE$4,DE$4&gt;=$C$1),$H11,IF(AND(($D11+$C$1)&gt;DE$4,DE$4&gt;=$C$1),$G11,0))*IF($A11="Residential",'General Inputs'!Q$15,'General Inputs'!Q$19)</f>
        <v>0</v>
      </c>
      <c r="DF11" s="214">
        <f>IF(AND(($E11+$C$1)&gt;DF$4,DF$4&gt;=$C$1),$H11,IF(AND(($D11+$C$1)&gt;DF$4,DF$4&gt;=$C$1),$G11,0))*IF($A11="Residential",'General Inputs'!R$15,'General Inputs'!R$19)</f>
        <v>0</v>
      </c>
      <c r="DG11" s="214">
        <f>IF(AND(($E11+$C$1)&gt;DG$4,DG$4&gt;=$C$1),$H11,IF(AND(($D11+$C$1)&gt;DG$4,DG$4&gt;=$C$1),$G11,0))*IF($A11="Residential",'General Inputs'!S$15,'General Inputs'!S$19)</f>
        <v>0</v>
      </c>
      <c r="DH11" s="214">
        <f>IF(AND(($E11+$C$1)&gt;DH$4,DH$4&gt;=$C$1),$H11,IF(AND(($D11+$C$1)&gt;DH$4,DH$4&gt;=$C$1),$G11,0))*IF($A11="Residential",'General Inputs'!T$15,'General Inputs'!T$19)</f>
        <v>0</v>
      </c>
      <c r="DI11" s="214">
        <f>IF(AND(($E11+$C$1)&gt;DI$4,DI$4&gt;=$C$1),$H11,IF(AND(($D11+$C$1)&gt;DI$4,DI$4&gt;=$C$1),$G11,0))*IF($A11="Residential",'General Inputs'!U$15,'General Inputs'!U$19)</f>
        <v>0</v>
      </c>
      <c r="DJ11" s="214">
        <f>IF(AND(($E11+$C$1)&gt;DJ$4,DJ$4&gt;=$C$1),$H11,IF(AND(($D11+$C$1)&gt;DJ$4,DJ$4&gt;=$C$1),$G11,0))*IF($A11="Residential",'General Inputs'!V$15,'General Inputs'!V$19)</f>
        <v>0</v>
      </c>
      <c r="DK11" s="214">
        <f>IF(AND(($E11+$C$1)&gt;DK$4,DK$4&gt;=$C$1),$H11,IF(AND(($D11+$C$1)&gt;DK$4,DK$4&gt;=$C$1),$G11,0))*IF($A11="Residential",'General Inputs'!W$15,'General Inputs'!W$19)</f>
        <v>0</v>
      </c>
      <c r="DM11" s="214">
        <f t="shared" si="120"/>
        <v>1955</v>
      </c>
      <c r="DN11" s="214">
        <f t="shared" si="105"/>
        <v>0</v>
      </c>
      <c r="DO11" s="214">
        <f t="shared" si="105"/>
        <v>0</v>
      </c>
      <c r="DP11" s="214">
        <f t="shared" si="105"/>
        <v>0</v>
      </c>
      <c r="DQ11" s="214">
        <f t="shared" si="105"/>
        <v>0</v>
      </c>
      <c r="DR11" s="214">
        <f t="shared" si="105"/>
        <v>0</v>
      </c>
      <c r="DS11" s="214">
        <f t="shared" si="105"/>
        <v>0</v>
      </c>
      <c r="DT11" s="214">
        <f t="shared" si="105"/>
        <v>0</v>
      </c>
      <c r="DU11" s="214">
        <f t="shared" si="105"/>
        <v>0</v>
      </c>
      <c r="DV11" s="214">
        <f t="shared" si="105"/>
        <v>0</v>
      </c>
      <c r="DW11" s="214">
        <f t="shared" si="105"/>
        <v>0</v>
      </c>
      <c r="DY11" s="219"/>
      <c r="DZ11" s="650"/>
      <c r="EA11" s="219"/>
      <c r="EB11" s="219"/>
      <c r="EC11" s="219"/>
      <c r="ED11" s="219"/>
      <c r="EE11" s="219"/>
      <c r="EF11" s="219"/>
      <c r="FI11" s="195"/>
      <c r="FJ11" s="195"/>
      <c r="FK11" s="195"/>
      <c r="FL11" s="195"/>
      <c r="FM11" s="195"/>
      <c r="FN11" s="195"/>
      <c r="FO11" s="195"/>
    </row>
    <row r="12" spans="1:171">
      <c r="A12" s="342" t="s">
        <v>12</v>
      </c>
      <c r="B12" s="427" t="str">
        <f>'Portfolio Inputs'!A11</f>
        <v>Advanced Power Strip</v>
      </c>
      <c r="C12" s="217">
        <f>IF($C$1=2014,'Portfolio Inputs'!$C11,IF($C$1=2015,'Portfolio Inputs'!$D11,'Portfolio Inputs'!$E11))</f>
        <v>0</v>
      </c>
      <c r="D12" s="504">
        <f>VLOOKUP(B12,Sources!$B$4:$J$104,2,FALSE)</f>
        <v>10</v>
      </c>
      <c r="E12" s="504">
        <f>VLOOKUP(B12,Sources!$B$4:$J$104,3,FALSE)</f>
        <v>0</v>
      </c>
      <c r="G12" s="504">
        <f>IF($C$1=2014,'Portfolio Inputs'!$G11,IF($C$1=2015,'Portfolio Inputs'!$H11,'Portfolio Inputs'!$I11))*EnergyLineLoss</f>
        <v>0</v>
      </c>
      <c r="H12" s="504"/>
      <c r="I12" s="504">
        <f>IF($C$1=2014,'Portfolio Inputs'!$K11,IF($C$1=2015,'Portfolio Inputs'!$L11,'Portfolio Inputs'!$M11))*PeakLineLoss</f>
        <v>0</v>
      </c>
      <c r="J12" s="510"/>
      <c r="L12" s="606">
        <f>IF($C$1=2014,'Portfolio Inputs'!$O11,IF($C$1=2015,'Portfolio Inputs'!$P11,'Portfolio Inputs'!$Q11))</f>
        <v>20</v>
      </c>
      <c r="M12" s="518">
        <f>VLOOKUP($B12,Sources!$B$4:$K$104,10,FALSE)</f>
        <v>0</v>
      </c>
      <c r="N12" s="419">
        <f>IF($C$1=2014,'Portfolio Inputs'!$W11,IF($C$1=2015,'Portfolio Inputs'!$X11,'Portfolio Inputs'!$Y11))</f>
        <v>0</v>
      </c>
      <c r="O12" s="419"/>
      <c r="Q12" s="438" t="str">
        <f t="shared" si="0"/>
        <v>n/a</v>
      </c>
      <c r="R12" s="439" t="str">
        <f t="shared" si="1"/>
        <v>n/a</v>
      </c>
      <c r="S12" s="439" t="str">
        <f t="shared" si="2"/>
        <v>n/a</v>
      </c>
      <c r="T12" s="439" t="str">
        <f t="shared" si="3"/>
        <v>n/a</v>
      </c>
      <c r="U12" s="439" t="str">
        <f t="shared" si="117"/>
        <v>n/a</v>
      </c>
      <c r="V12" s="439" t="str">
        <f t="shared" si="118"/>
        <v>n/a</v>
      </c>
      <c r="W12" s="439" t="str">
        <f t="shared" si="119"/>
        <v>n/a</v>
      </c>
      <c r="Y12" s="215">
        <f t="shared" si="29"/>
        <v>0</v>
      </c>
      <c r="Z12" s="215">
        <f t="shared" si="30"/>
        <v>0</v>
      </c>
      <c r="AA12" s="215">
        <f t="shared" si="31"/>
        <v>0</v>
      </c>
      <c r="AB12" s="215">
        <f t="shared" si="32"/>
        <v>0</v>
      </c>
      <c r="AC12" s="216">
        <f t="shared" si="33"/>
        <v>0</v>
      </c>
      <c r="AD12" s="216">
        <f t="shared" si="34"/>
        <v>0</v>
      </c>
      <c r="AE12" s="215">
        <f t="shared" si="35"/>
        <v>0</v>
      </c>
      <c r="AG12" s="214">
        <f>IF(AND(($E12+$C$1)&gt;AG$4,AG$4&gt;=$C$1),'General Inputs'!D$9*$H12,IF(AND(($D12+$C$1)&gt;AG$4,AG$4&gt;=$C$1),'General Inputs'!D$9*$G12,0))+IF(AND(($E12+$C$1)&gt;AG$4,AG$4&gt;=$C$1),'General Inputs'!D$10*$J12,IF(AND(($D12+$C$1)&gt;AG$4,AG$4&gt;=$C$1),'General Inputs'!D$10*$I12,0))</f>
        <v>0</v>
      </c>
      <c r="AH12" s="214">
        <f>IF(AND(($E12+$C$1)&gt;AH$4,AH$4&gt;=$C$1),'General Inputs'!E$9*$H12,IF(AND(($D12+$C$1)&gt;AH$4,AH$4&gt;=$C$1),'General Inputs'!E$9*$G12,0))+IF(AND(($E12+$C$1)&gt;AH$4,AH$4&gt;=$C$1),'General Inputs'!E$10*$J12,IF(AND(($D12+$C$1)&gt;AH$4,AH$4&gt;=$C$1),'General Inputs'!E$10*$I12,0))</f>
        <v>0</v>
      </c>
      <c r="AI12" s="214">
        <f>IF(AND(($E12+$C$1)&gt;AI$4,AI$4&gt;=$C$1),'General Inputs'!F$9*$H12,IF(AND(($D12+$C$1)&gt;AI$4,AI$4&gt;=$C$1),'General Inputs'!F$9*$G12,0))+IF(AND(($E12+$C$1)&gt;AI$4,AI$4&gt;=$C$1),'General Inputs'!F$10*$J12,IF(AND(($D12+$C$1)&gt;AI$4,AI$4&gt;=$C$1),'General Inputs'!F$10*$I12,0))</f>
        <v>0</v>
      </c>
      <c r="AJ12" s="214">
        <f>IF(AND(($E12+$C$1)&gt;AJ$4,AJ$4&gt;=$C$1),'General Inputs'!G$9*$H12,IF(AND(($D12+$C$1)&gt;AJ$4,AJ$4&gt;=$C$1),'General Inputs'!G$9*$G12,0))+IF(AND(($E12+$C$1)&gt;AJ$4,AJ$4&gt;=$C$1),'General Inputs'!G$10*$J12,IF(AND(($D12+$C$1)&gt;AJ$4,AJ$4&gt;=$C$1),'General Inputs'!G$10*$I12,0))</f>
        <v>0</v>
      </c>
      <c r="AK12" s="214">
        <f>IF(AND(($E12+$C$1)&gt;AK$4,AK$4&gt;=$C$1),'General Inputs'!H$9*$H12,IF(AND(($D12+$C$1)&gt;AK$4,AK$4&gt;=$C$1),'General Inputs'!H$9*$G12,0))+IF(AND(($E12+$C$1)&gt;AK$4,AK$4&gt;=$C$1),'General Inputs'!H$10*$J12,IF(AND(($D12+$C$1)&gt;AK$4,AK$4&gt;=$C$1),'General Inputs'!H$10*$I12,0))</f>
        <v>0</v>
      </c>
      <c r="AL12" s="214">
        <f>IF(AND(($E12+$C$1)&gt;AL$4,AL$4&gt;=$C$1),'General Inputs'!I$9*$H12,IF(AND(($D12+$C$1)&gt;AL$4,AL$4&gt;=$C$1),'General Inputs'!I$9*$G12,0))+IF(AND(($E12+$C$1)&gt;AL$4,AL$4&gt;=$C$1),'General Inputs'!I$10*$J12,IF(AND(($D12+$C$1)&gt;AL$4,AL$4&gt;=$C$1),'General Inputs'!I$10*$I12,0))</f>
        <v>0</v>
      </c>
      <c r="AM12" s="214">
        <f>IF(AND(($E12+$C$1)&gt;AM$4,AM$4&gt;=$C$1),'General Inputs'!J$9*$H12,IF(AND(($D12+$C$1)&gt;AM$4,AM$4&gt;=$C$1),'General Inputs'!J$9*$G12,0))+IF(AND(($E12+$C$1)&gt;AM$4,AM$4&gt;=$C$1),'General Inputs'!J$10*$J12,IF(AND(($D12+$C$1)&gt;AM$4,AM$4&gt;=$C$1),'General Inputs'!J$10*$I12,0))</f>
        <v>0</v>
      </c>
      <c r="AN12" s="214">
        <f>IF(AND(($E12+$C$1)&gt;AN$4,AN$4&gt;=$C$1),'General Inputs'!K$9*$H12,IF(AND(($D12+$C$1)&gt;AN$4,AN$4&gt;=$C$1),'General Inputs'!K$9*$G12,0))+IF(AND(($E12+$C$1)&gt;AN$4,AN$4&gt;=$C$1),'General Inputs'!K$10*$J12,IF(AND(($D12+$C$1)&gt;AN$4,AN$4&gt;=$C$1),'General Inputs'!K$10*$I12,0))</f>
        <v>0</v>
      </c>
      <c r="AO12" s="214">
        <f>IF(AND(($E12+$C$1)&gt;AO$4,AO$4&gt;=$C$1),'General Inputs'!L$9*$H12,IF(AND(($D12+$C$1)&gt;AO$4,AO$4&gt;=$C$1),'General Inputs'!L$9*$G12,0))+IF(AND(($E12+$C$1)&gt;AO$4,AO$4&gt;=$C$1),'General Inputs'!L$10*$J12,IF(AND(($D12+$C$1)&gt;AO$4,AO$4&gt;=$C$1),'General Inputs'!L$10*$I12,0))</f>
        <v>0</v>
      </c>
      <c r="AP12" s="214">
        <f>IF(AND(($E12+$C$1)&gt;AP$4,AP$4&gt;=$C$1),'General Inputs'!M$9*$H12,IF(AND(($D12+$C$1)&gt;AP$4,AP$4&gt;=$C$1),'General Inputs'!M$9*$G12,0))+IF(AND(($E12+$C$1)&gt;AP$4,AP$4&gt;=$C$1),'General Inputs'!M$10*$J12,IF(AND(($D12+$C$1)&gt;AP$4,AP$4&gt;=$C$1),'General Inputs'!M$10*$I12,0))</f>
        <v>0</v>
      </c>
      <c r="AQ12" s="214">
        <f>IF(AND(($E12+$C$1)&gt;AQ$4,AQ$4&gt;=$C$1),'General Inputs'!N$9*$H12,IF(AND(($D12+$C$1)&gt;AQ$4,AQ$4&gt;=$C$1),'General Inputs'!N$9*$G12,0))+IF(AND(($E12+$C$1)&gt;AQ$4,AQ$4&gt;=$C$1),'General Inputs'!N$10*$J12,IF(AND(($D12+$C$1)&gt;AQ$4,AQ$4&gt;=$C$1),'General Inputs'!N$10*$I12,0))</f>
        <v>0</v>
      </c>
      <c r="AR12" s="214">
        <f>IF(AND(($E12+$C$1)&gt;AR$4,AR$4&gt;=$C$1),'General Inputs'!O$9*$H12,IF(AND(($D12+$C$1)&gt;AR$4,AR$4&gt;=$C$1),'General Inputs'!O$9*$G12,0))+IF(AND(($E12+$C$1)&gt;AR$4,AR$4&gt;=$C$1),'General Inputs'!O$10*$J12,IF(AND(($D12+$C$1)&gt;AR$4,AR$4&gt;=$C$1),'General Inputs'!O$10*$I12,0))</f>
        <v>0</v>
      </c>
      <c r="AS12" s="214">
        <f>IF(AND(($E12+$C$1)&gt;AS$4,AS$4&gt;=$C$1),'General Inputs'!P$9*$H12,IF(AND(($D12+$C$1)&gt;AS$4,AS$4&gt;=$C$1),'General Inputs'!P$9*$G12,0))+IF(AND(($E12+$C$1)&gt;AS$4,AS$4&gt;=$C$1),'General Inputs'!P$10*$J12,IF(AND(($D12+$C$1)&gt;AS$4,AS$4&gt;=$C$1),'General Inputs'!P$10*$I12,0))</f>
        <v>0</v>
      </c>
      <c r="AT12" s="214">
        <f>IF(AND(($E12+$C$1)&gt;AT$4,AT$4&gt;=$C$1),'General Inputs'!Q$9*$H12,IF(AND(($D12+$C$1)&gt;AT$4,AT$4&gt;=$C$1),'General Inputs'!Q$9*$G12,0))+IF(AND(($E12+$C$1)&gt;AT$4,AT$4&gt;=$C$1),'General Inputs'!Q$10*$J12,IF(AND(($D12+$C$1)&gt;AT$4,AT$4&gt;=$C$1),'General Inputs'!Q$10*$I12,0))</f>
        <v>0</v>
      </c>
      <c r="AU12" s="214">
        <f>IF(AND(($E12+$C$1)&gt;AU$4,AU$4&gt;=$C$1),'General Inputs'!R$9*$H12,IF(AND(($D12+$C$1)&gt;AU$4,AU$4&gt;=$C$1),'General Inputs'!R$9*$G12,0))+IF(AND(($E12+$C$1)&gt;AU$4,AU$4&gt;=$C$1),'General Inputs'!R$10*$J12,IF(AND(($D12+$C$1)&gt;AU$4,AU$4&gt;=$C$1),'General Inputs'!R$10*$I12,0))</f>
        <v>0</v>
      </c>
      <c r="AV12" s="214">
        <f>IF(AND(($E12+$C$1)&gt;AV$4,AV$4&gt;=$C$1),'General Inputs'!S$9*$H12,IF(AND(($D12+$C$1)&gt;AV$4,AV$4&gt;=$C$1),'General Inputs'!S$9*$G12,0))+IF(AND(($E12+$C$1)&gt;AV$4,AV$4&gt;=$C$1),'General Inputs'!S$10*$J12,IF(AND(($D12+$C$1)&gt;AV$4,AV$4&gt;=$C$1),'General Inputs'!S$10*$I12,0))</f>
        <v>0</v>
      </c>
      <c r="AW12" s="214">
        <f>IF(AND(($E12+$C$1)&gt;AW$4,AW$4&gt;=$C$1),'General Inputs'!T$9*$H12,IF(AND(($D12+$C$1)&gt;AW$4,AW$4&gt;=$C$1),'General Inputs'!T$9*$G12,0))+IF(AND(($E12+$C$1)&gt;AW$4,AW$4&gt;=$C$1),'General Inputs'!T$10*$J12,IF(AND(($D12+$C$1)&gt;AW$4,AW$4&gt;=$C$1),'General Inputs'!T$10*$I12,0))</f>
        <v>0</v>
      </c>
      <c r="AX12" s="214">
        <f>IF(AND(($E12+$C$1)&gt;AX$4,AX$4&gt;=$C$1),'General Inputs'!U$9*$H12,IF(AND(($D12+$C$1)&gt;AX$4,AX$4&gt;=$C$1),'General Inputs'!U$9*$G12,0))+IF(AND(($E12+$C$1)&gt;AX$4,AX$4&gt;=$C$1),'General Inputs'!U$10*$J12,IF(AND(($D12+$C$1)&gt;AX$4,AX$4&gt;=$C$1),'General Inputs'!U$10*$I12,0))</f>
        <v>0</v>
      </c>
      <c r="AY12" s="214">
        <f>IF(AND(($E12+$C$1)&gt;AY$4,AY$4&gt;=$C$1),'General Inputs'!V$9*$H12,IF(AND(($D12+$C$1)&gt;AY$4,AY$4&gt;=$C$1),'General Inputs'!V$9*$G12,0))+IF(AND(($E12+$C$1)&gt;AY$4,AY$4&gt;=$C$1),'General Inputs'!V$10*$J12,IF(AND(($D12+$C$1)&gt;AY$4,AY$4&gt;=$C$1),'General Inputs'!V$10*$I12,0))</f>
        <v>0</v>
      </c>
      <c r="AZ12" s="214">
        <f>IF(AND(($E12+$C$1)&gt;AZ$4,AZ$4&gt;=$C$1),'General Inputs'!W$9*$H12,IF(AND(($D12+$C$1)&gt;AZ$4,AZ$4&gt;=$C$1),'General Inputs'!W$9*$G12,0))+IF(AND(($E12+$C$1)&gt;AZ$4,AZ$4&gt;=$C$1),'General Inputs'!W$10*$J12,IF(AND(($D12+$C$1)&gt;AZ$4,AZ$4&gt;=$C$1),'General Inputs'!W$10*$I12,0))</f>
        <v>0</v>
      </c>
      <c r="BB12" s="214">
        <f>IF(AND(($E12+$C$1)&gt;BB$4,BB$4&gt;=$C$1),'General Inputs'!D$11*$H12,IF(AND(($D12+$C$1)&gt;BB$4,BB$4&gt;=$C$1),'General Inputs'!D$11*$G12,0))</f>
        <v>0</v>
      </c>
      <c r="BC12" s="214">
        <f>IF(AND(($E12+$C$1)&gt;BC$4,BC$4&gt;=$C$1),'General Inputs'!E$11*$H12,IF(AND(($D12+$C$1)&gt;BC$4,BC$4&gt;=$C$1),'General Inputs'!E$11*$G12,0))</f>
        <v>0</v>
      </c>
      <c r="BD12" s="214">
        <f>IF(AND(($E12+$C$1)&gt;BD$4,BD$4&gt;=$C$1),'General Inputs'!F$11*$H12,IF(AND(($D12+$C$1)&gt;BD$4,BD$4&gt;=$C$1),'General Inputs'!F$11*$G12,0))</f>
        <v>0</v>
      </c>
      <c r="BE12" s="214">
        <f>IF(AND(($E12+$C$1)&gt;BE$4,BE$4&gt;=$C$1),'General Inputs'!G$11*$H12,IF(AND(($D12+$C$1)&gt;BE$4,BE$4&gt;=$C$1),'General Inputs'!G$11*$G12,0))</f>
        <v>0</v>
      </c>
      <c r="BF12" s="214">
        <f>IF(AND(($E12+$C$1)&gt;BF$4,BF$4&gt;=$C$1),'General Inputs'!H$11*$H12,IF(AND(($D12+$C$1)&gt;BF$4,BF$4&gt;=$C$1),'General Inputs'!H$11*$G12,0))</f>
        <v>0</v>
      </c>
      <c r="BG12" s="214">
        <f>IF(AND(($E12+$C$1)&gt;BG$4,BG$4&gt;=$C$1),'General Inputs'!I$11*$H12,IF(AND(($D12+$C$1)&gt;BG$4,BG$4&gt;=$C$1),'General Inputs'!I$11*$G12,0))</f>
        <v>0</v>
      </c>
      <c r="BH12" s="214">
        <f>IF(AND(($E12+$C$1)&gt;BH$4,BH$4&gt;=$C$1),'General Inputs'!J$11*$H12,IF(AND(($D12+$C$1)&gt;BH$4,BH$4&gt;=$C$1),'General Inputs'!J$11*$G12,0))</f>
        <v>0</v>
      </c>
      <c r="BI12" s="214">
        <f>IF(AND(($E12+$C$1)&gt;BI$4,BI$4&gt;=$C$1),'General Inputs'!K$11*$H12,IF(AND(($D12+$C$1)&gt;BI$4,BI$4&gt;=$C$1),'General Inputs'!K$11*$G12,0))</f>
        <v>0</v>
      </c>
      <c r="BJ12" s="214">
        <f>IF(AND(($E12+$C$1)&gt;BJ$4,BJ$4&gt;=$C$1),'General Inputs'!L$11*$H12,IF(AND(($D12+$C$1)&gt;BJ$4,BJ$4&gt;=$C$1),'General Inputs'!L$11*$G12,0))</f>
        <v>0</v>
      </c>
      <c r="BK12" s="214">
        <f>IF(AND(($E12+$C$1)&gt;BK$4,BK$4&gt;=$C$1),'General Inputs'!M$11*$H12,IF(AND(($D12+$C$1)&gt;BK$4,BK$4&gt;=$C$1),'General Inputs'!M$11*$G12,0))</f>
        <v>0</v>
      </c>
      <c r="BL12" s="214">
        <f>IF(AND(($E12+$C$1)&gt;BL$4,BL$4&gt;=$C$1),'General Inputs'!N$11*$H12,IF(AND(($D12+$C$1)&gt;BL$4,BL$4&gt;=$C$1),'General Inputs'!N$11*$G12,0))</f>
        <v>0</v>
      </c>
      <c r="BM12" s="214">
        <f>IF(AND(($E12+$C$1)&gt;BM$4,BM$4&gt;=$C$1),'General Inputs'!O$11*$H12,IF(AND(($D12+$C$1)&gt;BM$4,BM$4&gt;=$C$1),'General Inputs'!O$11*$G12,0))</f>
        <v>0</v>
      </c>
      <c r="BN12" s="214">
        <f>IF(AND(($E12+$C$1)&gt;BN$4,BN$4&gt;=$C$1),'General Inputs'!P$11*$H12,IF(AND(($D12+$C$1)&gt;BN$4,BN$4&gt;=$C$1),'General Inputs'!P$11*$G12,0))</f>
        <v>0</v>
      </c>
      <c r="BO12" s="214">
        <f>IF(AND(($E12+$C$1)&gt;BO$4,BO$4&gt;=$C$1),'General Inputs'!Q$11*$H12,IF(AND(($D12+$C$1)&gt;BO$4,BO$4&gt;=$C$1),'General Inputs'!Q$11*$G12,0))</f>
        <v>0</v>
      </c>
      <c r="BP12" s="214">
        <f>IF(AND(($E12+$C$1)&gt;BP$4,BP$4&gt;=$C$1),'General Inputs'!R$11*$H12,IF(AND(($D12+$C$1)&gt;BP$4,BP$4&gt;=$C$1),'General Inputs'!R$11*$G12,0))</f>
        <v>0</v>
      </c>
      <c r="BQ12" s="214">
        <f>IF(AND(($E12+$C$1)&gt;BQ$4,BQ$4&gt;=$C$1),'General Inputs'!S$11*$H12,IF(AND(($D12+$C$1)&gt;BQ$4,BQ$4&gt;=$C$1),'General Inputs'!S$11*$G12,0))</f>
        <v>0</v>
      </c>
      <c r="BR12" s="214">
        <f>IF(AND(($E12+$C$1)&gt;BR$4,BR$4&gt;=$C$1),'General Inputs'!T$11*$H12,IF(AND(($D12+$C$1)&gt;BR$4,BR$4&gt;=$C$1),'General Inputs'!T$11*$G12,0))</f>
        <v>0</v>
      </c>
      <c r="BS12" s="214">
        <f>IF(AND(($E12+$C$1)&gt;BS$4,BS$4&gt;=$C$1),'General Inputs'!U$11*$H12,IF(AND(($D12+$C$1)&gt;BS$4,BS$4&gt;=$C$1),'General Inputs'!U$11*$G12,0))</f>
        <v>0</v>
      </c>
      <c r="BT12" s="214">
        <f>IF(AND(($E12+$C$1)&gt;BT$4,BT$4&gt;=$C$1),'General Inputs'!V$11*$H12,IF(AND(($D12+$C$1)&gt;BT$4,BT$4&gt;=$C$1),'General Inputs'!V$11*$G12,0))</f>
        <v>0</v>
      </c>
      <c r="BU12" s="214">
        <f>IF(AND(($E12+$C$1)&gt;BU$4,BU$4&gt;=$C$1),'General Inputs'!W$11*$H12,IF(AND(($D12+$C$1)&gt;BU$4,BU$4&gt;=$C$1),'General Inputs'!W$11*$G12,0))</f>
        <v>0</v>
      </c>
      <c r="BW12" s="214">
        <f>IF(AND(($E12+$C$1)&gt;BW$4,BW$4&gt;=$C$1),$H12,IF(AND(($D12+$C$1)&gt;BW$4,BW$4&gt;=$C$1),$G12,0))*IF($A12="Residential",'General Inputs'!D$14,'General Inputs'!D$19)</f>
        <v>0</v>
      </c>
      <c r="BX12" s="214">
        <f>IF(AND(($E12+$C$1)&gt;BX$4,BX$4&gt;=$C$1),$H12,IF(AND(($D12+$C$1)&gt;BX$4,BX$4&gt;=$C$1),$G12,0))*IF($A12="Residential",'General Inputs'!E$14,'General Inputs'!E$19)</f>
        <v>0</v>
      </c>
      <c r="BY12" s="214">
        <f>IF(AND(($E12+$C$1)&gt;BY$4,BY$4&gt;=$C$1),$H12,IF(AND(($D12+$C$1)&gt;BY$4,BY$4&gt;=$C$1),$G12,0))*IF($A12="Residential",'General Inputs'!F$14,'General Inputs'!F$19)</f>
        <v>0</v>
      </c>
      <c r="BZ12" s="214">
        <f>IF(AND(($E12+$C$1)&gt;BZ$4,BZ$4&gt;=$C$1),$H12,IF(AND(($D12+$C$1)&gt;BZ$4,BZ$4&gt;=$C$1),$G12,0))*IF($A12="Residential",'General Inputs'!G$14,'General Inputs'!G$19)</f>
        <v>0</v>
      </c>
      <c r="CA12" s="214">
        <f>IF(AND(($E12+$C$1)&gt;CA$4,CA$4&gt;=$C$1),$H12,IF(AND(($D12+$C$1)&gt;CA$4,CA$4&gt;=$C$1),$G12,0))*IF($A12="Residential",'General Inputs'!H$14,'General Inputs'!H$19)</f>
        <v>0</v>
      </c>
      <c r="CB12" s="214">
        <f>IF(AND(($E12+$C$1)&gt;CB$4,CB$4&gt;=$C$1),$H12,IF(AND(($D12+$C$1)&gt;CB$4,CB$4&gt;=$C$1),$G12,0))*IF($A12="Residential",'General Inputs'!I$14,'General Inputs'!I$19)</f>
        <v>0</v>
      </c>
      <c r="CC12" s="214">
        <f>IF(AND(($E12+$C$1)&gt;CC$4,CC$4&gt;=$C$1),$H12,IF(AND(($D12+$C$1)&gt;CC$4,CC$4&gt;=$C$1),$G12,0))*IF($A12="Residential",'General Inputs'!J$14,'General Inputs'!J$19)</f>
        <v>0</v>
      </c>
      <c r="CD12" s="214">
        <f>IF(AND(($E12+$C$1)&gt;CD$4,CD$4&gt;=$C$1),$H12,IF(AND(($D12+$C$1)&gt;CD$4,CD$4&gt;=$C$1),$G12,0))*IF($A12="Residential",'General Inputs'!K$14,'General Inputs'!K$19)</f>
        <v>0</v>
      </c>
      <c r="CE12" s="214">
        <f>IF(AND(($E12+$C$1)&gt;CE$4,CE$4&gt;=$C$1),$H12,IF(AND(($D12+$C$1)&gt;CE$4,CE$4&gt;=$C$1),$G12,0))*IF($A12="Residential",'General Inputs'!L$14,'General Inputs'!L$19)</f>
        <v>0</v>
      </c>
      <c r="CF12" s="214">
        <f>IF(AND(($E12+$C$1)&gt;CF$4,CF$4&gt;=$C$1),$H12,IF(AND(($D12+$C$1)&gt;CF$4,CF$4&gt;=$C$1),$G12,0))*IF($A12="Residential",'General Inputs'!M$14,'General Inputs'!M$19)</f>
        <v>0</v>
      </c>
      <c r="CG12" s="214">
        <f>IF(AND(($E12+$C$1)&gt;CG$4,CG$4&gt;=$C$1),$H12,IF(AND(($D12+$C$1)&gt;CG$4,CG$4&gt;=$C$1),$G12,0))*IF($A12="Residential",'General Inputs'!N$14,'General Inputs'!N$19)</f>
        <v>0</v>
      </c>
      <c r="CH12" s="214">
        <f>IF(AND(($E12+$C$1)&gt;CH$4,CH$4&gt;=$C$1),$H12,IF(AND(($D12+$C$1)&gt;CH$4,CH$4&gt;=$C$1),$G12,0))*IF($A12="Residential",'General Inputs'!O$14,'General Inputs'!O$19)</f>
        <v>0</v>
      </c>
      <c r="CI12" s="214">
        <f>IF(AND(($E12+$C$1)&gt;CI$4,CI$4&gt;=$C$1),$H12,IF(AND(($D12+$C$1)&gt;CI$4,CI$4&gt;=$C$1),$G12,0))*IF($A12="Residential",'General Inputs'!P$14,'General Inputs'!P$19)</f>
        <v>0</v>
      </c>
      <c r="CJ12" s="214">
        <f>IF(AND(($E12+$C$1)&gt;CJ$4,CJ$4&gt;=$C$1),$H12,IF(AND(($D12+$C$1)&gt;CJ$4,CJ$4&gt;=$C$1),$G12,0))*IF($A12="Residential",'General Inputs'!Q$14,'General Inputs'!Q$19)</f>
        <v>0</v>
      </c>
      <c r="CK12" s="214">
        <f>IF(AND(($E12+$C$1)&gt;CK$4,CK$4&gt;=$C$1),$H12,IF(AND(($D12+$C$1)&gt;CK$4,CK$4&gt;=$C$1),$G12,0))*IF($A12="Residential",'General Inputs'!R$14,'General Inputs'!R$19)</f>
        <v>0</v>
      </c>
      <c r="CL12" s="214">
        <f>IF(AND(($E12+$C$1)&gt;CL$4,CL$4&gt;=$C$1),$H12,IF(AND(($D12+$C$1)&gt;CL$4,CL$4&gt;=$C$1),$G12,0))*IF($A12="Residential",'General Inputs'!S$14,'General Inputs'!S$19)</f>
        <v>0</v>
      </c>
      <c r="CM12" s="214">
        <f>IF(AND(($E12+$C$1)&gt;CM$4,CM$4&gt;=$C$1),$H12,IF(AND(($D12+$C$1)&gt;CM$4,CM$4&gt;=$C$1),$G12,0))*IF($A12="Residential",'General Inputs'!T$14,'General Inputs'!T$19)</f>
        <v>0</v>
      </c>
      <c r="CN12" s="214">
        <f>IF(AND(($E12+$C$1)&gt;CN$4,CN$4&gt;=$C$1),$H12,IF(AND(($D12+$C$1)&gt;CN$4,CN$4&gt;=$C$1),$G12,0))*IF($A12="Residential",'General Inputs'!U$14,'General Inputs'!U$19)</f>
        <v>0</v>
      </c>
      <c r="CO12" s="214">
        <f>IF(AND(($E12+$C$1)&gt;CO$4,CO$4&gt;=$C$1),$H12,IF(AND(($D12+$C$1)&gt;CO$4,CO$4&gt;=$C$1),$G12,0))*IF($A12="Residential",'General Inputs'!V$14,'General Inputs'!V$19)</f>
        <v>0</v>
      </c>
      <c r="CP12" s="214">
        <f>IF(AND(($E12+$C$1)&gt;CP$4,CP$4&gt;=$C$1),$H12,IF(AND(($D12+$C$1)&gt;CP$4,CP$4&gt;=$C$1),$G12,0))*IF($A12="Residential",'General Inputs'!W$14,'General Inputs'!W$19)</f>
        <v>0</v>
      </c>
      <c r="CR12" s="214">
        <f>IF(AND(($E12+$C$1)&gt;CR$4,CR$4&gt;=$C$1),$H12,IF(AND(($D12+$C$1)&gt;CR$4,CR$4&gt;=$C$1),$G12,0))*IF($A12="Residential",'General Inputs'!D$15,'General Inputs'!D$19)</f>
        <v>0</v>
      </c>
      <c r="CS12" s="214">
        <f>IF(AND(($E12+$C$1)&gt;CS$4,CS$4&gt;=$C$1),$H12,IF(AND(($D12+$C$1)&gt;CS$4,CS$4&gt;=$C$1),$G12,0))*IF($A12="Residential",'General Inputs'!E$15,'General Inputs'!E$19)</f>
        <v>0</v>
      </c>
      <c r="CT12" s="214">
        <f>IF(AND(($E12+$C$1)&gt;CT$4,CT$4&gt;=$C$1),$H12,IF(AND(($D12+$C$1)&gt;CT$4,CT$4&gt;=$C$1),$G12,0))*IF($A12="Residential",'General Inputs'!F$15,'General Inputs'!F$19)</f>
        <v>0</v>
      </c>
      <c r="CU12" s="214">
        <f>IF(AND(($E12+$C$1)&gt;CU$4,CU$4&gt;=$C$1),$H12,IF(AND(($D12+$C$1)&gt;CU$4,CU$4&gt;=$C$1),$G12,0))*IF($A12="Residential",'General Inputs'!G$15,'General Inputs'!G$19)</f>
        <v>0</v>
      </c>
      <c r="CV12" s="214">
        <f>IF(AND(($E12+$C$1)&gt;CV$4,CV$4&gt;=$C$1),$H12,IF(AND(($D12+$C$1)&gt;CV$4,CV$4&gt;=$C$1),$G12,0))*IF($A12="Residential",'General Inputs'!H$15,'General Inputs'!H$19)</f>
        <v>0</v>
      </c>
      <c r="CW12" s="214">
        <f>IF(AND(($E12+$C$1)&gt;CW$4,CW$4&gt;=$C$1),$H12,IF(AND(($D12+$C$1)&gt;CW$4,CW$4&gt;=$C$1),$G12,0))*IF($A12="Residential",'General Inputs'!I$15,'General Inputs'!I$19)</f>
        <v>0</v>
      </c>
      <c r="CX12" s="214">
        <f>IF(AND(($E12+$C$1)&gt;CX$4,CX$4&gt;=$C$1),$H12,IF(AND(($D12+$C$1)&gt;CX$4,CX$4&gt;=$C$1),$G12,0))*IF($A12="Residential",'General Inputs'!J$15,'General Inputs'!J$19)</f>
        <v>0</v>
      </c>
      <c r="CY12" s="214">
        <f>IF(AND(($E12+$C$1)&gt;CY$4,CY$4&gt;=$C$1),$H12,IF(AND(($D12+$C$1)&gt;CY$4,CY$4&gt;=$C$1),$G12,0))*IF($A12="Residential",'General Inputs'!K$15,'General Inputs'!K$19)</f>
        <v>0</v>
      </c>
      <c r="CZ12" s="214">
        <f>IF(AND(($E12+$C$1)&gt;CZ$4,CZ$4&gt;=$C$1),$H12,IF(AND(($D12+$C$1)&gt;CZ$4,CZ$4&gt;=$C$1),$G12,0))*IF($A12="Residential",'General Inputs'!L$15,'General Inputs'!L$19)</f>
        <v>0</v>
      </c>
      <c r="DA12" s="214">
        <f>IF(AND(($E12+$C$1)&gt;DA$4,DA$4&gt;=$C$1),$H12,IF(AND(($D12+$C$1)&gt;DA$4,DA$4&gt;=$C$1),$G12,0))*IF($A12="Residential",'General Inputs'!M$15,'General Inputs'!M$19)</f>
        <v>0</v>
      </c>
      <c r="DB12" s="214">
        <f>IF(AND(($E12+$C$1)&gt;DB$4,DB$4&gt;=$C$1),$H12,IF(AND(($D12+$C$1)&gt;DB$4,DB$4&gt;=$C$1),$G12,0))*IF($A12="Residential",'General Inputs'!N$15,'General Inputs'!N$19)</f>
        <v>0</v>
      </c>
      <c r="DC12" s="214">
        <f>IF(AND(($E12+$C$1)&gt;DC$4,DC$4&gt;=$C$1),$H12,IF(AND(($D12+$C$1)&gt;DC$4,DC$4&gt;=$C$1),$G12,0))*IF($A12="Residential",'General Inputs'!O$15,'General Inputs'!O$19)</f>
        <v>0</v>
      </c>
      <c r="DD12" s="214">
        <f>IF(AND(($E12+$C$1)&gt;DD$4,DD$4&gt;=$C$1),$H12,IF(AND(($D12+$C$1)&gt;DD$4,DD$4&gt;=$C$1),$G12,0))*IF($A12="Residential",'General Inputs'!P$15,'General Inputs'!P$19)</f>
        <v>0</v>
      </c>
      <c r="DE12" s="214">
        <f>IF(AND(($E12+$C$1)&gt;DE$4,DE$4&gt;=$C$1),$H12,IF(AND(($D12+$C$1)&gt;DE$4,DE$4&gt;=$C$1),$G12,0))*IF($A12="Residential",'General Inputs'!Q$15,'General Inputs'!Q$19)</f>
        <v>0</v>
      </c>
      <c r="DF12" s="214">
        <f>IF(AND(($E12+$C$1)&gt;DF$4,DF$4&gt;=$C$1),$H12,IF(AND(($D12+$C$1)&gt;DF$4,DF$4&gt;=$C$1),$G12,0))*IF($A12="Residential",'General Inputs'!R$15,'General Inputs'!R$19)</f>
        <v>0</v>
      </c>
      <c r="DG12" s="214">
        <f>IF(AND(($E12+$C$1)&gt;DG$4,DG$4&gt;=$C$1),$H12,IF(AND(($D12+$C$1)&gt;DG$4,DG$4&gt;=$C$1),$G12,0))*IF($A12="Residential",'General Inputs'!S$15,'General Inputs'!S$19)</f>
        <v>0</v>
      </c>
      <c r="DH12" s="214">
        <f>IF(AND(($E12+$C$1)&gt;DH$4,DH$4&gt;=$C$1),$H12,IF(AND(($D12+$C$1)&gt;DH$4,DH$4&gt;=$C$1),$G12,0))*IF($A12="Residential",'General Inputs'!T$15,'General Inputs'!T$19)</f>
        <v>0</v>
      </c>
      <c r="DI12" s="214">
        <f>IF(AND(($E12+$C$1)&gt;DI$4,DI$4&gt;=$C$1),$H12,IF(AND(($D12+$C$1)&gt;DI$4,DI$4&gt;=$C$1),$G12,0))*IF($A12="Residential",'General Inputs'!U$15,'General Inputs'!U$19)</f>
        <v>0</v>
      </c>
      <c r="DJ12" s="214">
        <f>IF(AND(($E12+$C$1)&gt;DJ$4,DJ$4&gt;=$C$1),$H12,IF(AND(($D12+$C$1)&gt;DJ$4,DJ$4&gt;=$C$1),$G12,0))*IF($A12="Residential",'General Inputs'!V$15,'General Inputs'!V$19)</f>
        <v>0</v>
      </c>
      <c r="DK12" s="214">
        <f>IF(AND(($E12+$C$1)&gt;DK$4,DK$4&gt;=$C$1),$H12,IF(AND(($D12+$C$1)&gt;DK$4,DK$4&gt;=$C$1),$G12,0))*IF($A12="Residential",'General Inputs'!W$15,'General Inputs'!W$19)</f>
        <v>0</v>
      </c>
      <c r="DM12" s="214">
        <f t="shared" si="120"/>
        <v>0</v>
      </c>
      <c r="DN12" s="214">
        <f t="shared" si="105"/>
        <v>0</v>
      </c>
      <c r="DO12" s="214">
        <f t="shared" si="105"/>
        <v>0</v>
      </c>
      <c r="DP12" s="214">
        <f t="shared" si="105"/>
        <v>0</v>
      </c>
      <c r="DQ12" s="214">
        <f t="shared" si="105"/>
        <v>0</v>
      </c>
      <c r="DR12" s="214">
        <f t="shared" si="105"/>
        <v>0</v>
      </c>
      <c r="DS12" s="214">
        <f t="shared" si="105"/>
        <v>0</v>
      </c>
      <c r="DT12" s="214">
        <f t="shared" si="105"/>
        <v>0</v>
      </c>
      <c r="DU12" s="214">
        <f t="shared" si="105"/>
        <v>0</v>
      </c>
      <c r="DV12" s="214">
        <f t="shared" si="105"/>
        <v>0</v>
      </c>
      <c r="DW12" s="214">
        <f t="shared" si="105"/>
        <v>0</v>
      </c>
      <c r="DY12" s="219"/>
      <c r="DZ12" s="650"/>
      <c r="EA12" s="219"/>
      <c r="EB12" s="219"/>
      <c r="EC12" s="219"/>
      <c r="ED12" s="219"/>
      <c r="EE12" s="219"/>
      <c r="EF12" s="219"/>
      <c r="FI12" s="195"/>
      <c r="FJ12" s="195"/>
      <c r="FK12" s="195"/>
      <c r="FL12" s="195"/>
      <c r="FM12" s="195"/>
      <c r="FN12" s="195"/>
      <c r="FO12" s="195"/>
    </row>
    <row r="13" spans="1:171">
      <c r="A13" s="441" t="s">
        <v>12</v>
      </c>
      <c r="B13" s="426" t="str">
        <f>'Portfolio Inputs'!A12</f>
        <v>Appliance Recycling</v>
      </c>
      <c r="C13" s="356">
        <f>IF($C$1=2014,'Portfolio Inputs'!$C12,IF($C$1=2015,'Portfolio Inputs'!$D12,'Portfolio Inputs'!$E12))</f>
        <v>71</v>
      </c>
      <c r="D13" s="503"/>
      <c r="E13" s="503"/>
      <c r="G13" s="513">
        <f t="shared" ref="G13:I13" si="121">SUM(G14:G15)</f>
        <v>94664.50499999999</v>
      </c>
      <c r="H13" s="513"/>
      <c r="I13" s="509">
        <f t="shared" si="121"/>
        <v>10.806450342465752</v>
      </c>
      <c r="J13" s="509"/>
      <c r="L13" s="453"/>
      <c r="M13" s="453"/>
      <c r="N13" s="453">
        <f>IF($C$1=2014,'Portfolio Inputs'!$W12,IF($C$1=2015,'Portfolio Inputs'!$X12,'Portfolio Inputs'!$Y12))</f>
        <v>3550</v>
      </c>
      <c r="O13" s="453">
        <f>IF($C$1=2014,'Portfolio Inputs'!$AA12,IF($C$1=2015,'Portfolio Inputs'!$AB12,'Portfolio Inputs'!$AC12))+Expenditures!G6</f>
        <v>34491.455030487603</v>
      </c>
      <c r="Q13" s="442">
        <f t="shared" si="0"/>
        <v>0.6069913372572997</v>
      </c>
      <c r="R13" s="443">
        <f t="shared" si="1"/>
        <v>0.65570515619932934</v>
      </c>
      <c r="S13" s="443">
        <f t="shared" si="2"/>
        <v>0.7661343822675859</v>
      </c>
      <c r="T13" s="443">
        <f t="shared" si="3"/>
        <v>12.750026342687786</v>
      </c>
      <c r="U13" s="443">
        <f>IF(AE13&gt;0,(AD13+AB13)/AE13,"n/a")</f>
        <v>10.472516363410177</v>
      </c>
      <c r="V13" s="522">
        <f>IF((AA13+AC13+AD13)&gt;0,Y13/(AA13+AC13+AD13),"n/a")</f>
        <v>0.21017866237340208</v>
      </c>
      <c r="W13" s="522">
        <f>IF((AB13+AC13+AD13)&gt;0,Y13/(AB13+AC13+AD13),"n/a")</f>
        <v>0.24067562595289713</v>
      </c>
      <c r="Y13" s="444">
        <f t="shared" si="29"/>
        <v>24943.978212815637</v>
      </c>
      <c r="Z13" s="444">
        <f t="shared" si="30"/>
        <v>6539.8967065900706</v>
      </c>
      <c r="AA13" s="444">
        <f t="shared" si="31"/>
        <v>80638.423940767447</v>
      </c>
      <c r="AB13" s="444">
        <f t="shared" si="32"/>
        <v>65600.025547597397</v>
      </c>
      <c r="AC13" s="445">
        <f t="shared" si="33"/>
        <v>34491.455030487603</v>
      </c>
      <c r="AD13" s="445">
        <f t="shared" si="34"/>
        <v>3550</v>
      </c>
      <c r="AE13" s="526">
        <f t="shared" si="35"/>
        <v>6603</v>
      </c>
      <c r="AG13" s="446">
        <f>SUM(AG14:AG15)</f>
        <v>3930.6250030503552</v>
      </c>
      <c r="AH13" s="446">
        <f t="shared" ref="AH13:AZ13" si="122">SUM(AH14:AH15)</f>
        <v>3989.58437809611</v>
      </c>
      <c r="AI13" s="446">
        <f t="shared" si="122"/>
        <v>4049.4281437675509</v>
      </c>
      <c r="AJ13" s="446">
        <f t="shared" si="122"/>
        <v>4110.169565924064</v>
      </c>
      <c r="AK13" s="446">
        <f t="shared" si="122"/>
        <v>4171.8221094129249</v>
      </c>
      <c r="AL13" s="446">
        <f t="shared" si="122"/>
        <v>4234.3994410541181</v>
      </c>
      <c r="AM13" s="446">
        <f t="shared" si="122"/>
        <v>4297.915432669929</v>
      </c>
      <c r="AN13" s="446">
        <f t="shared" si="122"/>
        <v>4362.3841641599774</v>
      </c>
      <c r="AO13" s="446">
        <f t="shared" si="122"/>
        <v>0</v>
      </c>
      <c r="AP13" s="446">
        <f t="shared" si="122"/>
        <v>0</v>
      </c>
      <c r="AQ13" s="446">
        <f t="shared" si="122"/>
        <v>0</v>
      </c>
      <c r="AR13" s="446">
        <f t="shared" si="122"/>
        <v>0</v>
      </c>
      <c r="AS13" s="446">
        <f t="shared" si="122"/>
        <v>0</v>
      </c>
      <c r="AT13" s="446">
        <f t="shared" si="122"/>
        <v>0</v>
      </c>
      <c r="AU13" s="446">
        <f t="shared" si="122"/>
        <v>0</v>
      </c>
      <c r="AV13" s="446">
        <f t="shared" si="122"/>
        <v>0</v>
      </c>
      <c r="AW13" s="446">
        <f t="shared" si="122"/>
        <v>0</v>
      </c>
      <c r="AX13" s="446">
        <f t="shared" si="122"/>
        <v>0</v>
      </c>
      <c r="AY13" s="446">
        <f t="shared" si="122"/>
        <v>0</v>
      </c>
      <c r="AZ13" s="446">
        <f t="shared" si="122"/>
        <v>0</v>
      </c>
      <c r="BB13" s="446">
        <f>SUM(BB14:BB15)</f>
        <v>1079.1753569999998</v>
      </c>
      <c r="BC13" s="446">
        <f t="shared" ref="BC13" si="123">SUM(BC14:BC15)</f>
        <v>1079.1753569999998</v>
      </c>
      <c r="BD13" s="446">
        <f t="shared" ref="BD13" si="124">SUM(BD14:BD15)</f>
        <v>1079.1753569999998</v>
      </c>
      <c r="BE13" s="446">
        <f t="shared" ref="BE13" si="125">SUM(BE14:BE15)</f>
        <v>1079.1753569999998</v>
      </c>
      <c r="BF13" s="446">
        <f t="shared" ref="BF13" si="126">SUM(BF14:BF15)</f>
        <v>1079.1753569999998</v>
      </c>
      <c r="BG13" s="446">
        <f t="shared" ref="BG13" si="127">SUM(BG14:BG15)</f>
        <v>1079.1753569999998</v>
      </c>
      <c r="BH13" s="446">
        <f t="shared" ref="BH13" si="128">SUM(BH14:BH15)</f>
        <v>1079.1753569999998</v>
      </c>
      <c r="BI13" s="446">
        <f t="shared" ref="BI13" si="129">SUM(BI14:BI15)</f>
        <v>1079.1753569999998</v>
      </c>
      <c r="BJ13" s="446">
        <f t="shared" ref="BJ13" si="130">SUM(BJ14:BJ15)</f>
        <v>0</v>
      </c>
      <c r="BK13" s="446">
        <f t="shared" ref="BK13" si="131">SUM(BK14:BK15)</f>
        <v>0</v>
      </c>
      <c r="BL13" s="446">
        <f t="shared" ref="BL13" si="132">SUM(BL14:BL15)</f>
        <v>0</v>
      </c>
      <c r="BM13" s="446">
        <f t="shared" ref="BM13" si="133">SUM(BM14:BM15)</f>
        <v>0</v>
      </c>
      <c r="BN13" s="446">
        <f t="shared" ref="BN13" si="134">SUM(BN14:BN15)</f>
        <v>0</v>
      </c>
      <c r="BO13" s="446">
        <f t="shared" ref="BO13" si="135">SUM(BO14:BO15)</f>
        <v>0</v>
      </c>
      <c r="BP13" s="446">
        <f t="shared" ref="BP13" si="136">SUM(BP14:BP15)</f>
        <v>0</v>
      </c>
      <c r="BQ13" s="446">
        <f t="shared" ref="BQ13" si="137">SUM(BQ14:BQ15)</f>
        <v>0</v>
      </c>
      <c r="BR13" s="446">
        <f t="shared" ref="BR13" si="138">SUM(BR14:BR15)</f>
        <v>0</v>
      </c>
      <c r="BS13" s="446">
        <f t="shared" ref="BS13" si="139">SUM(BS14:BS15)</f>
        <v>0</v>
      </c>
      <c r="BT13" s="446">
        <f t="shared" ref="BT13" si="140">SUM(BT14:BT15)</f>
        <v>0</v>
      </c>
      <c r="BU13" s="446">
        <f t="shared" ref="BU13" si="141">SUM(BU14:BU15)</f>
        <v>0</v>
      </c>
      <c r="BW13" s="446">
        <f>SUM(BW14:BW15)</f>
        <v>12706.850633204471</v>
      </c>
      <c r="BX13" s="446">
        <f t="shared" ref="BX13" si="142">SUM(BX14:BX15)</f>
        <v>12897.453392702537</v>
      </c>
      <c r="BY13" s="446">
        <f t="shared" ref="BY13" si="143">SUM(BY14:BY15)</f>
        <v>13090.915193593071</v>
      </c>
      <c r="BZ13" s="446">
        <f t="shared" ref="BZ13" si="144">SUM(BZ14:BZ15)</f>
        <v>13287.278921496965</v>
      </c>
      <c r="CA13" s="446">
        <f t="shared" ref="CA13" si="145">SUM(CA14:CA15)</f>
        <v>13486.588105319419</v>
      </c>
      <c r="CB13" s="446">
        <f t="shared" ref="CB13" si="146">SUM(CB14:CB15)</f>
        <v>13688.886926899209</v>
      </c>
      <c r="CC13" s="446">
        <f t="shared" ref="CC13" si="147">SUM(CC14:CC15)</f>
        <v>13894.220230802694</v>
      </c>
      <c r="CD13" s="446">
        <f t="shared" ref="CD13" si="148">SUM(CD14:CD15)</f>
        <v>14102.633534264733</v>
      </c>
      <c r="CE13" s="446">
        <f t="shared" ref="CE13" si="149">SUM(CE14:CE15)</f>
        <v>0</v>
      </c>
      <c r="CF13" s="446">
        <f t="shared" ref="CF13" si="150">SUM(CF14:CF15)</f>
        <v>0</v>
      </c>
      <c r="CG13" s="446">
        <f t="shared" ref="CG13" si="151">SUM(CG14:CG15)</f>
        <v>0</v>
      </c>
      <c r="CH13" s="446">
        <f t="shared" ref="CH13" si="152">SUM(CH14:CH15)</f>
        <v>0</v>
      </c>
      <c r="CI13" s="446">
        <f t="shared" ref="CI13" si="153">SUM(CI14:CI15)</f>
        <v>0</v>
      </c>
      <c r="CJ13" s="446">
        <f t="shared" ref="CJ13" si="154">SUM(CJ14:CJ15)</f>
        <v>0</v>
      </c>
      <c r="CK13" s="446">
        <f t="shared" ref="CK13" si="155">SUM(CK14:CK15)</f>
        <v>0</v>
      </c>
      <c r="CL13" s="446">
        <f t="shared" ref="CL13" si="156">SUM(CL14:CL15)</f>
        <v>0</v>
      </c>
      <c r="CM13" s="446">
        <f t="shared" ref="CM13" si="157">SUM(CM14:CM15)</f>
        <v>0</v>
      </c>
      <c r="CN13" s="446">
        <f t="shared" ref="CN13" si="158">SUM(CN14:CN15)</f>
        <v>0</v>
      </c>
      <c r="CO13" s="446">
        <f t="shared" ref="CO13" si="159">SUM(CO14:CO15)</f>
        <v>0</v>
      </c>
      <c r="CP13" s="446">
        <f t="shared" ref="CP13" si="160">SUM(CP14:CP15)</f>
        <v>0</v>
      </c>
      <c r="CR13" s="446">
        <f>SUM(CR14:CR15)</f>
        <v>10337.128200571127</v>
      </c>
      <c r="CS13" s="446">
        <f t="shared" ref="CS13" si="161">SUM(CS14:CS15)</f>
        <v>10492.185123579695</v>
      </c>
      <c r="CT13" s="446">
        <f t="shared" ref="CT13" si="162">SUM(CT14:CT15)</f>
        <v>10649.567900433389</v>
      </c>
      <c r="CU13" s="446">
        <f t="shared" ref="CU13" si="163">SUM(CU14:CU15)</f>
        <v>10809.311418939888</v>
      </c>
      <c r="CV13" s="446">
        <f t="shared" ref="CV13" si="164">SUM(CV14:CV15)</f>
        <v>10971.451090223985</v>
      </c>
      <c r="CW13" s="446">
        <f t="shared" ref="CW13" si="165">SUM(CW14:CW15)</f>
        <v>11136.022856577343</v>
      </c>
      <c r="CX13" s="446">
        <f t="shared" ref="CX13" si="166">SUM(CX14:CX15)</f>
        <v>11303.063199426002</v>
      </c>
      <c r="CY13" s="446">
        <f t="shared" ref="CY13" si="167">SUM(CY14:CY15)</f>
        <v>11472.609147417392</v>
      </c>
      <c r="CZ13" s="446">
        <f t="shared" ref="CZ13" si="168">SUM(CZ14:CZ15)</f>
        <v>0</v>
      </c>
      <c r="DA13" s="446">
        <f t="shared" ref="DA13" si="169">SUM(DA14:DA15)</f>
        <v>0</v>
      </c>
      <c r="DB13" s="446">
        <f t="shared" ref="DB13" si="170">SUM(DB14:DB15)</f>
        <v>0</v>
      </c>
      <c r="DC13" s="446">
        <f t="shared" ref="DC13" si="171">SUM(DC14:DC15)</f>
        <v>0</v>
      </c>
      <c r="DD13" s="446">
        <f t="shared" ref="DD13" si="172">SUM(DD14:DD15)</f>
        <v>0</v>
      </c>
      <c r="DE13" s="446">
        <f t="shared" ref="DE13" si="173">SUM(DE14:DE15)</f>
        <v>0</v>
      </c>
      <c r="DF13" s="446">
        <f t="shared" ref="DF13" si="174">SUM(DF14:DF15)</f>
        <v>0</v>
      </c>
      <c r="DG13" s="446">
        <f t="shared" ref="DG13" si="175">SUM(DG14:DG15)</f>
        <v>0</v>
      </c>
      <c r="DH13" s="446">
        <f t="shared" ref="DH13" si="176">SUM(DH14:DH15)</f>
        <v>0</v>
      </c>
      <c r="DI13" s="446">
        <f t="shared" ref="DI13" si="177">SUM(DI14:DI15)</f>
        <v>0</v>
      </c>
      <c r="DJ13" s="446">
        <f t="shared" ref="DJ13" si="178">SUM(DJ14:DJ15)</f>
        <v>0</v>
      </c>
      <c r="DK13" s="446">
        <f t="shared" ref="DK13" si="179">SUM(DK14:DK15)</f>
        <v>0</v>
      </c>
      <c r="DM13" s="446">
        <f t="shared" ref="DM13" si="180">SUM(DM14:DM15)</f>
        <v>6603</v>
      </c>
      <c r="DN13" s="446">
        <f t="shared" ref="DN13" si="181">SUM(DN14:DN15)</f>
        <v>0</v>
      </c>
      <c r="DO13" s="446">
        <f t="shared" ref="DO13" si="182">SUM(DO14:DO15)</f>
        <v>0</v>
      </c>
      <c r="DP13" s="446">
        <f t="shared" ref="DP13" si="183">SUM(DP14:DP15)</f>
        <v>0</v>
      </c>
      <c r="DQ13" s="446">
        <f t="shared" ref="DQ13" si="184">SUM(DQ14:DQ15)</f>
        <v>0</v>
      </c>
      <c r="DR13" s="446">
        <f t="shared" ref="DR13" si="185">SUM(DR14:DR15)</f>
        <v>0</v>
      </c>
      <c r="DS13" s="446">
        <f t="shared" ref="DS13" si="186">SUM(DS14:DS15)</f>
        <v>0</v>
      </c>
      <c r="DT13" s="446">
        <f t="shared" ref="DT13" si="187">SUM(DT14:DT15)</f>
        <v>0</v>
      </c>
      <c r="DU13" s="446">
        <f t="shared" ref="DU13" si="188">SUM(DU14:DU15)</f>
        <v>0</v>
      </c>
      <c r="DV13" s="446">
        <f t="shared" ref="DV13" si="189">SUM(DV14:DV15)</f>
        <v>0</v>
      </c>
      <c r="DW13" s="446">
        <f t="shared" ref="DW13" si="190">SUM(DW14:DW15)</f>
        <v>0</v>
      </c>
      <c r="DZ13" s="650"/>
      <c r="FO13" s="195"/>
    </row>
    <row r="14" spans="1:171">
      <c r="A14" s="341" t="s">
        <v>12</v>
      </c>
      <c r="B14" s="427" t="str">
        <f>'Portfolio Inputs'!A13</f>
        <v>Refrigerator Recycle</v>
      </c>
      <c r="C14" s="217">
        <f>IF($C$1=2014,'Portfolio Inputs'!$C13,IF($C$1=2015,'Portfolio Inputs'!$D13,'Portfolio Inputs'!$E13))</f>
        <v>65</v>
      </c>
      <c r="D14" s="504">
        <f>VLOOKUP(B14,Sources!$B$4:$J$104,2,FALSE)</f>
        <v>8</v>
      </c>
      <c r="E14" s="504">
        <f>VLOOKUP(B14,Sources!$B$4:$J$104,3,FALSE)</f>
        <v>0</v>
      </c>
      <c r="G14" s="504">
        <f>IF($C$1=2014,'Portfolio Inputs'!$G13,IF($C$1=2015,'Portfolio Inputs'!$H13,'Portfolio Inputs'!$I13))*EnergyLineLoss</f>
        <v>87722.89499999999</v>
      </c>
      <c r="H14" s="504"/>
      <c r="I14" s="504">
        <f>IF($C$1=2014,'Portfolio Inputs'!$K13,IF($C$1=2015,'Portfolio Inputs'!$L13,'Portfolio Inputs'!$M13))*PeakLineLoss</f>
        <v>10.014029109589039</v>
      </c>
      <c r="J14" s="510"/>
      <c r="L14" s="606">
        <f>IF($C$1=2014,'Portfolio Inputs'!$O13,IF($C$1=2015,'Portfolio Inputs'!$P13,'Portfolio Inputs'!$Q13))</f>
        <v>93</v>
      </c>
      <c r="M14" s="518">
        <f>VLOOKUP($B14,Sources!$B$4:$K$104,10,FALSE)</f>
        <v>0</v>
      </c>
      <c r="N14" s="419">
        <f>IF($C$1=2014,'Portfolio Inputs'!$W13,IF($C$1=2015,'Portfolio Inputs'!$X13,'Portfolio Inputs'!$Y13))</f>
        <v>3250</v>
      </c>
      <c r="O14" s="419"/>
      <c r="Q14" s="438">
        <f t="shared" si="0"/>
        <v>3.8238002801085504</v>
      </c>
      <c r="R14" s="439">
        <f t="shared" si="1"/>
        <v>7.1122685210019041</v>
      </c>
      <c r="S14" s="439">
        <f t="shared" si="2"/>
        <v>4.8263371908284274</v>
      </c>
      <c r="T14" s="439">
        <f t="shared" si="3"/>
        <v>12.899144085266236</v>
      </c>
      <c r="U14" s="439">
        <f t="shared" ref="U14:U15" si="191">IF(AE14&gt;0,(AD14+AB14)/AE14,"n/a")</f>
        <v>10.593824881666086</v>
      </c>
      <c r="V14" s="439">
        <f t="shared" ref="V14:V15" si="192">IF((AA14+AC14+AD14)&gt;0,Y14/(AA14+AC14+AD14),"n/a")</f>
        <v>0.29643829503976177</v>
      </c>
      <c r="W14" s="439">
        <f t="shared" ref="W14:W15" si="193">IF((AB14+AC14+AD14)&gt;0,Y14/(AB14+AC14+AD14),"n/a")</f>
        <v>0.36094614766816718</v>
      </c>
      <c r="Y14" s="215">
        <f t="shared" si="29"/>
        <v>23114.872693256188</v>
      </c>
      <c r="Z14" s="215">
        <f t="shared" si="30"/>
        <v>6060.3356253016545</v>
      </c>
      <c r="AA14" s="215">
        <f t="shared" si="31"/>
        <v>74725.325995434396</v>
      </c>
      <c r="AB14" s="215">
        <f t="shared" si="32"/>
        <v>60789.671409671486</v>
      </c>
      <c r="AC14" s="216">
        <f t="shared" si="33"/>
        <v>0</v>
      </c>
      <c r="AD14" s="216">
        <f t="shared" si="34"/>
        <v>3250</v>
      </c>
      <c r="AE14" s="215">
        <f t="shared" si="35"/>
        <v>6045</v>
      </c>
      <c r="AG14" s="214">
        <f>IF(AND(($E14+$C$1)&gt;AG$4,AG$4&gt;=$C$1),'General Inputs'!D$9*$H14,IF(AND(($D14+$C$1)&gt;AG$4,AG$4&gt;=$C$1),'General Inputs'!D$9*$G14,0))+IF(AND(($E14+$C$1)&gt;AG$4,AG$4&gt;=$C$1),'General Inputs'!D$10*$J14,IF(AND(($D14+$C$1)&gt;AG$4,AG$4&gt;=$C$1),'General Inputs'!D$10*$I14,0))</f>
        <v>3642.398007859028</v>
      </c>
      <c r="AH14" s="214">
        <f>IF(AND(($E14+$C$1)&gt;AH$4,AH$4&gt;=$C$1),'General Inputs'!E$9*$H14,IF(AND(($D14+$C$1)&gt;AH$4,AH$4&gt;=$C$1),'General Inputs'!E$9*$G14,0))+IF(AND(($E14+$C$1)&gt;AH$4,AH$4&gt;=$C$1),'General Inputs'!E$10*$J14,IF(AND(($D14+$C$1)&gt;AH$4,AH$4&gt;=$C$1),'General Inputs'!E$10*$I14,0))</f>
        <v>3697.0339779769129</v>
      </c>
      <c r="AI14" s="214">
        <f>IF(AND(($E14+$C$1)&gt;AI$4,AI$4&gt;=$C$1),'General Inputs'!F$9*$H14,IF(AND(($D14+$C$1)&gt;AI$4,AI$4&gt;=$C$1),'General Inputs'!F$9*$G14,0))+IF(AND(($E14+$C$1)&gt;AI$4,AI$4&gt;=$C$1),'General Inputs'!F$10*$J14,IF(AND(($D14+$C$1)&gt;AI$4,AI$4&gt;=$C$1),'General Inputs'!F$10*$I14,0))</f>
        <v>3752.489487646566</v>
      </c>
      <c r="AJ14" s="214">
        <f>IF(AND(($E14+$C$1)&gt;AJ$4,AJ$4&gt;=$C$1),'General Inputs'!G$9*$H14,IF(AND(($D14+$C$1)&gt;AJ$4,AJ$4&gt;=$C$1),'General Inputs'!G$9*$G14,0))+IF(AND(($E14+$C$1)&gt;AJ$4,AJ$4&gt;=$C$1),'General Inputs'!G$10*$J14,IF(AND(($D14+$C$1)&gt;AJ$4,AJ$4&gt;=$C$1),'General Inputs'!G$10*$I14,0))</f>
        <v>3808.7768299612644</v>
      </c>
      <c r="AK14" s="214">
        <f>IF(AND(($E14+$C$1)&gt;AK$4,AK$4&gt;=$C$1),'General Inputs'!H$9*$H14,IF(AND(($D14+$C$1)&gt;AK$4,AK$4&gt;=$C$1),'General Inputs'!H$9*$G14,0))+IF(AND(($E14+$C$1)&gt;AK$4,AK$4&gt;=$C$1),'General Inputs'!H$10*$J14,IF(AND(($D14+$C$1)&gt;AK$4,AK$4&gt;=$C$1),'General Inputs'!H$10*$I14,0))</f>
        <v>3865.9084824106831</v>
      </c>
      <c r="AL14" s="214">
        <f>IF(AND(($E14+$C$1)&gt;AL$4,AL$4&gt;=$C$1),'General Inputs'!I$9*$H14,IF(AND(($D14+$C$1)&gt;AL$4,AL$4&gt;=$C$1),'General Inputs'!I$9*$G14,0))+IF(AND(($E14+$C$1)&gt;AL$4,AL$4&gt;=$C$1),'General Inputs'!I$10*$J14,IF(AND(($D14+$C$1)&gt;AL$4,AL$4&gt;=$C$1),'General Inputs'!I$10*$I14,0))</f>
        <v>3923.8971096468426</v>
      </c>
      <c r="AM14" s="214">
        <f>IF(AND(($E14+$C$1)&gt;AM$4,AM$4&gt;=$C$1),'General Inputs'!J$9*$H14,IF(AND(($D14+$C$1)&gt;AM$4,AM$4&gt;=$C$1),'General Inputs'!J$9*$G14,0))+IF(AND(($E14+$C$1)&gt;AM$4,AM$4&gt;=$C$1),'General Inputs'!J$10*$J14,IF(AND(($D14+$C$1)&gt;AM$4,AM$4&gt;=$C$1),'General Inputs'!J$10*$I14,0))</f>
        <v>3982.7555662915443</v>
      </c>
      <c r="AN14" s="214">
        <f>IF(AND(($E14+$C$1)&gt;AN$4,AN$4&gt;=$C$1),'General Inputs'!K$9*$H14,IF(AND(($D14+$C$1)&gt;AN$4,AN$4&gt;=$C$1),'General Inputs'!K$9*$G14,0))+IF(AND(($E14+$C$1)&gt;AN$4,AN$4&gt;=$C$1),'General Inputs'!K$10*$J14,IF(AND(($D14+$C$1)&gt;AN$4,AN$4&gt;=$C$1),'General Inputs'!K$10*$I14,0))</f>
        <v>4042.4968997859169</v>
      </c>
      <c r="AO14" s="214">
        <f>IF(AND(($E14+$C$1)&gt;AO$4,AO$4&gt;=$C$1),'General Inputs'!L$9*$H14,IF(AND(($D14+$C$1)&gt;AO$4,AO$4&gt;=$C$1),'General Inputs'!L$9*$G14,0))+IF(AND(($E14+$C$1)&gt;AO$4,AO$4&gt;=$C$1),'General Inputs'!L$10*$J14,IF(AND(($D14+$C$1)&gt;AO$4,AO$4&gt;=$C$1),'General Inputs'!L$10*$I14,0))</f>
        <v>0</v>
      </c>
      <c r="AP14" s="214">
        <f>IF(AND(($E14+$C$1)&gt;AP$4,AP$4&gt;=$C$1),'General Inputs'!M$9*$H14,IF(AND(($D14+$C$1)&gt;AP$4,AP$4&gt;=$C$1),'General Inputs'!M$9*$G14,0))+IF(AND(($E14+$C$1)&gt;AP$4,AP$4&gt;=$C$1),'General Inputs'!M$10*$J14,IF(AND(($D14+$C$1)&gt;AP$4,AP$4&gt;=$C$1),'General Inputs'!M$10*$I14,0))</f>
        <v>0</v>
      </c>
      <c r="AQ14" s="214">
        <f>IF(AND(($E14+$C$1)&gt;AQ$4,AQ$4&gt;=$C$1),'General Inputs'!N$9*$H14,IF(AND(($D14+$C$1)&gt;AQ$4,AQ$4&gt;=$C$1),'General Inputs'!N$9*$G14,0))+IF(AND(($E14+$C$1)&gt;AQ$4,AQ$4&gt;=$C$1),'General Inputs'!N$10*$J14,IF(AND(($D14+$C$1)&gt;AQ$4,AQ$4&gt;=$C$1),'General Inputs'!N$10*$I14,0))</f>
        <v>0</v>
      </c>
      <c r="AR14" s="214">
        <f>IF(AND(($E14+$C$1)&gt;AR$4,AR$4&gt;=$C$1),'General Inputs'!O$9*$H14,IF(AND(($D14+$C$1)&gt;AR$4,AR$4&gt;=$C$1),'General Inputs'!O$9*$G14,0))+IF(AND(($E14+$C$1)&gt;AR$4,AR$4&gt;=$C$1),'General Inputs'!O$10*$J14,IF(AND(($D14+$C$1)&gt;AR$4,AR$4&gt;=$C$1),'General Inputs'!O$10*$I14,0))</f>
        <v>0</v>
      </c>
      <c r="AS14" s="214">
        <f>IF(AND(($E14+$C$1)&gt;AS$4,AS$4&gt;=$C$1),'General Inputs'!P$9*$H14,IF(AND(($D14+$C$1)&gt;AS$4,AS$4&gt;=$C$1),'General Inputs'!P$9*$G14,0))+IF(AND(($E14+$C$1)&gt;AS$4,AS$4&gt;=$C$1),'General Inputs'!P$10*$J14,IF(AND(($D14+$C$1)&gt;AS$4,AS$4&gt;=$C$1),'General Inputs'!P$10*$I14,0))</f>
        <v>0</v>
      </c>
      <c r="AT14" s="214">
        <f>IF(AND(($E14+$C$1)&gt;AT$4,AT$4&gt;=$C$1),'General Inputs'!Q$9*$H14,IF(AND(($D14+$C$1)&gt;AT$4,AT$4&gt;=$C$1),'General Inputs'!Q$9*$G14,0))+IF(AND(($E14+$C$1)&gt;AT$4,AT$4&gt;=$C$1),'General Inputs'!Q$10*$J14,IF(AND(($D14+$C$1)&gt;AT$4,AT$4&gt;=$C$1),'General Inputs'!Q$10*$I14,0))</f>
        <v>0</v>
      </c>
      <c r="AU14" s="214">
        <f>IF(AND(($E14+$C$1)&gt;AU$4,AU$4&gt;=$C$1),'General Inputs'!R$9*$H14,IF(AND(($D14+$C$1)&gt;AU$4,AU$4&gt;=$C$1),'General Inputs'!R$9*$G14,0))+IF(AND(($E14+$C$1)&gt;AU$4,AU$4&gt;=$C$1),'General Inputs'!R$10*$J14,IF(AND(($D14+$C$1)&gt;AU$4,AU$4&gt;=$C$1),'General Inputs'!R$10*$I14,0))</f>
        <v>0</v>
      </c>
      <c r="AV14" s="214">
        <f>IF(AND(($E14+$C$1)&gt;AV$4,AV$4&gt;=$C$1),'General Inputs'!S$9*$H14,IF(AND(($D14+$C$1)&gt;AV$4,AV$4&gt;=$C$1),'General Inputs'!S$9*$G14,0))+IF(AND(($E14+$C$1)&gt;AV$4,AV$4&gt;=$C$1),'General Inputs'!S$10*$J14,IF(AND(($D14+$C$1)&gt;AV$4,AV$4&gt;=$C$1),'General Inputs'!S$10*$I14,0))</f>
        <v>0</v>
      </c>
      <c r="AW14" s="214">
        <f>IF(AND(($E14+$C$1)&gt;AW$4,AW$4&gt;=$C$1),'General Inputs'!T$9*$H14,IF(AND(($D14+$C$1)&gt;AW$4,AW$4&gt;=$C$1),'General Inputs'!T$9*$G14,0))+IF(AND(($E14+$C$1)&gt;AW$4,AW$4&gt;=$C$1),'General Inputs'!T$10*$J14,IF(AND(($D14+$C$1)&gt;AW$4,AW$4&gt;=$C$1),'General Inputs'!T$10*$I14,0))</f>
        <v>0</v>
      </c>
      <c r="AX14" s="214">
        <f>IF(AND(($E14+$C$1)&gt;AX$4,AX$4&gt;=$C$1),'General Inputs'!U$9*$H14,IF(AND(($D14+$C$1)&gt;AX$4,AX$4&gt;=$C$1),'General Inputs'!U$9*$G14,0))+IF(AND(($E14+$C$1)&gt;AX$4,AX$4&gt;=$C$1),'General Inputs'!U$10*$J14,IF(AND(($D14+$C$1)&gt;AX$4,AX$4&gt;=$C$1),'General Inputs'!U$10*$I14,0))</f>
        <v>0</v>
      </c>
      <c r="AY14" s="214">
        <f>IF(AND(($E14+$C$1)&gt;AY$4,AY$4&gt;=$C$1),'General Inputs'!V$9*$H14,IF(AND(($D14+$C$1)&gt;AY$4,AY$4&gt;=$C$1),'General Inputs'!V$9*$G14,0))+IF(AND(($E14+$C$1)&gt;AY$4,AY$4&gt;=$C$1),'General Inputs'!V$10*$J14,IF(AND(($D14+$C$1)&gt;AY$4,AY$4&gt;=$C$1),'General Inputs'!V$10*$I14,0))</f>
        <v>0</v>
      </c>
      <c r="AZ14" s="214">
        <f>IF(AND(($E14+$C$1)&gt;AZ$4,AZ$4&gt;=$C$1),'General Inputs'!W$9*$H14,IF(AND(($D14+$C$1)&gt;AZ$4,AZ$4&gt;=$C$1),'General Inputs'!W$9*$G14,0))+IF(AND(($E14+$C$1)&gt;AZ$4,AZ$4&gt;=$C$1),'General Inputs'!W$10*$J14,IF(AND(($D14+$C$1)&gt;AZ$4,AZ$4&gt;=$C$1),'General Inputs'!W$10*$I14,0))</f>
        <v>0</v>
      </c>
      <c r="BB14" s="214">
        <f>IF(AND(($E14+$C$1)&gt;BB$4,BB$4&gt;=$C$1),'General Inputs'!D$11*$H14,IF(AND(($D14+$C$1)&gt;BB$4,BB$4&gt;=$C$1),'General Inputs'!D$11*$G14,0))</f>
        <v>1000.0410029999999</v>
      </c>
      <c r="BC14" s="214">
        <f>IF(AND(($E14+$C$1)&gt;BC$4,BC$4&gt;=$C$1),'General Inputs'!E$11*$H14,IF(AND(($D14+$C$1)&gt;BC$4,BC$4&gt;=$C$1),'General Inputs'!E$11*$G14,0))</f>
        <v>1000.0410029999999</v>
      </c>
      <c r="BD14" s="214">
        <f>IF(AND(($E14+$C$1)&gt;BD$4,BD$4&gt;=$C$1),'General Inputs'!F$11*$H14,IF(AND(($D14+$C$1)&gt;BD$4,BD$4&gt;=$C$1),'General Inputs'!F$11*$G14,0))</f>
        <v>1000.0410029999999</v>
      </c>
      <c r="BE14" s="214">
        <f>IF(AND(($E14+$C$1)&gt;BE$4,BE$4&gt;=$C$1),'General Inputs'!G$11*$H14,IF(AND(($D14+$C$1)&gt;BE$4,BE$4&gt;=$C$1),'General Inputs'!G$11*$G14,0))</f>
        <v>1000.0410029999999</v>
      </c>
      <c r="BF14" s="214">
        <f>IF(AND(($E14+$C$1)&gt;BF$4,BF$4&gt;=$C$1),'General Inputs'!H$11*$H14,IF(AND(($D14+$C$1)&gt;BF$4,BF$4&gt;=$C$1),'General Inputs'!H$11*$G14,0))</f>
        <v>1000.0410029999999</v>
      </c>
      <c r="BG14" s="214">
        <f>IF(AND(($E14+$C$1)&gt;BG$4,BG$4&gt;=$C$1),'General Inputs'!I$11*$H14,IF(AND(($D14+$C$1)&gt;BG$4,BG$4&gt;=$C$1),'General Inputs'!I$11*$G14,0))</f>
        <v>1000.0410029999999</v>
      </c>
      <c r="BH14" s="214">
        <f>IF(AND(($E14+$C$1)&gt;BH$4,BH$4&gt;=$C$1),'General Inputs'!J$11*$H14,IF(AND(($D14+$C$1)&gt;BH$4,BH$4&gt;=$C$1),'General Inputs'!J$11*$G14,0))</f>
        <v>1000.0410029999999</v>
      </c>
      <c r="BI14" s="214">
        <f>IF(AND(($E14+$C$1)&gt;BI$4,BI$4&gt;=$C$1),'General Inputs'!K$11*$H14,IF(AND(($D14+$C$1)&gt;BI$4,BI$4&gt;=$C$1),'General Inputs'!K$11*$G14,0))</f>
        <v>1000.0410029999999</v>
      </c>
      <c r="BJ14" s="214">
        <f>IF(AND(($E14+$C$1)&gt;BJ$4,BJ$4&gt;=$C$1),'General Inputs'!L$11*$H14,IF(AND(($D14+$C$1)&gt;BJ$4,BJ$4&gt;=$C$1),'General Inputs'!L$11*$G14,0))</f>
        <v>0</v>
      </c>
      <c r="BK14" s="214">
        <f>IF(AND(($E14+$C$1)&gt;BK$4,BK$4&gt;=$C$1),'General Inputs'!M$11*$H14,IF(AND(($D14+$C$1)&gt;BK$4,BK$4&gt;=$C$1),'General Inputs'!M$11*$G14,0))</f>
        <v>0</v>
      </c>
      <c r="BL14" s="214">
        <f>IF(AND(($E14+$C$1)&gt;BL$4,BL$4&gt;=$C$1),'General Inputs'!N$11*$H14,IF(AND(($D14+$C$1)&gt;BL$4,BL$4&gt;=$C$1),'General Inputs'!N$11*$G14,0))</f>
        <v>0</v>
      </c>
      <c r="BM14" s="214">
        <f>IF(AND(($E14+$C$1)&gt;BM$4,BM$4&gt;=$C$1),'General Inputs'!O$11*$H14,IF(AND(($D14+$C$1)&gt;BM$4,BM$4&gt;=$C$1),'General Inputs'!O$11*$G14,0))</f>
        <v>0</v>
      </c>
      <c r="BN14" s="214">
        <f>IF(AND(($E14+$C$1)&gt;BN$4,BN$4&gt;=$C$1),'General Inputs'!P$11*$H14,IF(AND(($D14+$C$1)&gt;BN$4,BN$4&gt;=$C$1),'General Inputs'!P$11*$G14,0))</f>
        <v>0</v>
      </c>
      <c r="BO14" s="214">
        <f>IF(AND(($E14+$C$1)&gt;BO$4,BO$4&gt;=$C$1),'General Inputs'!Q$11*$H14,IF(AND(($D14+$C$1)&gt;BO$4,BO$4&gt;=$C$1),'General Inputs'!Q$11*$G14,0))</f>
        <v>0</v>
      </c>
      <c r="BP14" s="214">
        <f>IF(AND(($E14+$C$1)&gt;BP$4,BP$4&gt;=$C$1),'General Inputs'!R$11*$H14,IF(AND(($D14+$C$1)&gt;BP$4,BP$4&gt;=$C$1),'General Inputs'!R$11*$G14,0))</f>
        <v>0</v>
      </c>
      <c r="BQ14" s="214">
        <f>IF(AND(($E14+$C$1)&gt;BQ$4,BQ$4&gt;=$C$1),'General Inputs'!S$11*$H14,IF(AND(($D14+$C$1)&gt;BQ$4,BQ$4&gt;=$C$1),'General Inputs'!S$11*$G14,0))</f>
        <v>0</v>
      </c>
      <c r="BR14" s="214">
        <f>IF(AND(($E14+$C$1)&gt;BR$4,BR$4&gt;=$C$1),'General Inputs'!T$11*$H14,IF(AND(($D14+$C$1)&gt;BR$4,BR$4&gt;=$C$1),'General Inputs'!T$11*$G14,0))</f>
        <v>0</v>
      </c>
      <c r="BS14" s="214">
        <f>IF(AND(($E14+$C$1)&gt;BS$4,BS$4&gt;=$C$1),'General Inputs'!U$11*$H14,IF(AND(($D14+$C$1)&gt;BS$4,BS$4&gt;=$C$1),'General Inputs'!U$11*$G14,0))</f>
        <v>0</v>
      </c>
      <c r="BT14" s="214">
        <f>IF(AND(($E14+$C$1)&gt;BT$4,BT$4&gt;=$C$1),'General Inputs'!V$11*$H14,IF(AND(($D14+$C$1)&gt;BT$4,BT$4&gt;=$C$1),'General Inputs'!V$11*$G14,0))</f>
        <v>0</v>
      </c>
      <c r="BU14" s="214">
        <f>IF(AND(($E14+$C$1)&gt;BU$4,BU$4&gt;=$C$1),'General Inputs'!W$11*$H14,IF(AND(($D14+$C$1)&gt;BU$4,BU$4&gt;=$C$1),'General Inputs'!W$11*$G14,0))</f>
        <v>0</v>
      </c>
      <c r="BW14" s="214">
        <f>IF(AND(($E14+$C$1)&gt;BW$4,BW$4&gt;=$C$1),$H14,IF(AND(($D14+$C$1)&gt;BW$4,BW$4&gt;=$C$1),$G14,0))*IF($A14="Residential",'General Inputs'!D$14,'General Inputs'!D$19)</f>
        <v>11775.075820417371</v>
      </c>
      <c r="BX14" s="214">
        <f>IF(AND(($E14+$C$1)&gt;BX$4,BX$4&gt;=$C$1),$H14,IF(AND(($D14+$C$1)&gt;BX$4,BX$4&gt;=$C$1),$G14,0))*IF($A14="Residential",'General Inputs'!E$14,'General Inputs'!E$19)</f>
        <v>11951.70195772363</v>
      </c>
      <c r="BY14" s="214">
        <f>IF(AND(($E14+$C$1)&gt;BY$4,BY$4&gt;=$C$1),$H14,IF(AND(($D14+$C$1)&gt;BY$4,BY$4&gt;=$C$1),$G14,0))*IF($A14="Residential",'General Inputs'!F$14,'General Inputs'!F$19)</f>
        <v>12130.977487089482</v>
      </c>
      <c r="BZ14" s="214">
        <f>IF(AND(($E14+$C$1)&gt;BZ$4,BZ$4&gt;=$C$1),$H14,IF(AND(($D14+$C$1)&gt;BZ$4,BZ$4&gt;=$C$1),$G14,0))*IF($A14="Residential",'General Inputs'!G$14,'General Inputs'!G$19)</f>
        <v>12312.942149395822</v>
      </c>
      <c r="CA14" s="214">
        <f>IF(AND(($E14+$C$1)&gt;CA$4,CA$4&gt;=$C$1),$H14,IF(AND(($D14+$C$1)&gt;CA$4,CA$4&gt;=$C$1),$G14,0))*IF($A14="Residential",'General Inputs'!H$14,'General Inputs'!H$19)</f>
        <v>12497.636281636758</v>
      </c>
      <c r="CB14" s="214">
        <f>IF(AND(($E14+$C$1)&gt;CB$4,CB$4&gt;=$C$1),$H14,IF(AND(($D14+$C$1)&gt;CB$4,CB$4&gt;=$C$1),$G14,0))*IF($A14="Residential",'General Inputs'!I$14,'General Inputs'!I$19)</f>
        <v>12685.100825861309</v>
      </c>
      <c r="CC14" s="214">
        <f>IF(AND(($E14+$C$1)&gt;CC$4,CC$4&gt;=$C$1),$H14,IF(AND(($D14+$C$1)&gt;CC$4,CC$4&gt;=$C$1),$G14,0))*IF($A14="Residential",'General Inputs'!J$14,'General Inputs'!J$19)</f>
        <v>12875.377338249225</v>
      </c>
      <c r="CD14" s="214">
        <f>IF(AND(($E14+$C$1)&gt;CD$4,CD$4&gt;=$C$1),$H14,IF(AND(($D14+$C$1)&gt;CD$4,CD$4&gt;=$C$1),$G14,0))*IF($A14="Residential",'General Inputs'!K$14,'General Inputs'!K$19)</f>
        <v>13068.507998322963</v>
      </c>
      <c r="CE14" s="214">
        <f>IF(AND(($E14+$C$1)&gt;CE$4,CE$4&gt;=$C$1),$H14,IF(AND(($D14+$C$1)&gt;CE$4,CE$4&gt;=$C$1),$G14,0))*IF($A14="Residential",'General Inputs'!L$14,'General Inputs'!L$19)</f>
        <v>0</v>
      </c>
      <c r="CF14" s="214">
        <f>IF(AND(($E14+$C$1)&gt;CF$4,CF$4&gt;=$C$1),$H14,IF(AND(($D14+$C$1)&gt;CF$4,CF$4&gt;=$C$1),$G14,0))*IF($A14="Residential",'General Inputs'!M$14,'General Inputs'!M$19)</f>
        <v>0</v>
      </c>
      <c r="CG14" s="214">
        <f>IF(AND(($E14+$C$1)&gt;CG$4,CG$4&gt;=$C$1),$H14,IF(AND(($D14+$C$1)&gt;CG$4,CG$4&gt;=$C$1),$G14,0))*IF($A14="Residential",'General Inputs'!N$14,'General Inputs'!N$19)</f>
        <v>0</v>
      </c>
      <c r="CH14" s="214">
        <f>IF(AND(($E14+$C$1)&gt;CH$4,CH$4&gt;=$C$1),$H14,IF(AND(($D14+$C$1)&gt;CH$4,CH$4&gt;=$C$1),$G14,0))*IF($A14="Residential",'General Inputs'!O$14,'General Inputs'!O$19)</f>
        <v>0</v>
      </c>
      <c r="CI14" s="214">
        <f>IF(AND(($E14+$C$1)&gt;CI$4,CI$4&gt;=$C$1),$H14,IF(AND(($D14+$C$1)&gt;CI$4,CI$4&gt;=$C$1),$G14,0))*IF($A14="Residential",'General Inputs'!P$14,'General Inputs'!P$19)</f>
        <v>0</v>
      </c>
      <c r="CJ14" s="214">
        <f>IF(AND(($E14+$C$1)&gt;CJ$4,CJ$4&gt;=$C$1),$H14,IF(AND(($D14+$C$1)&gt;CJ$4,CJ$4&gt;=$C$1),$G14,0))*IF($A14="Residential",'General Inputs'!Q$14,'General Inputs'!Q$19)</f>
        <v>0</v>
      </c>
      <c r="CK14" s="214">
        <f>IF(AND(($E14+$C$1)&gt;CK$4,CK$4&gt;=$C$1),$H14,IF(AND(($D14+$C$1)&gt;CK$4,CK$4&gt;=$C$1),$G14,0))*IF($A14="Residential",'General Inputs'!R$14,'General Inputs'!R$19)</f>
        <v>0</v>
      </c>
      <c r="CL14" s="214">
        <f>IF(AND(($E14+$C$1)&gt;CL$4,CL$4&gt;=$C$1),$H14,IF(AND(($D14+$C$1)&gt;CL$4,CL$4&gt;=$C$1),$G14,0))*IF($A14="Residential",'General Inputs'!S$14,'General Inputs'!S$19)</f>
        <v>0</v>
      </c>
      <c r="CM14" s="214">
        <f>IF(AND(($E14+$C$1)&gt;CM$4,CM$4&gt;=$C$1),$H14,IF(AND(($D14+$C$1)&gt;CM$4,CM$4&gt;=$C$1),$G14,0))*IF($A14="Residential",'General Inputs'!T$14,'General Inputs'!T$19)</f>
        <v>0</v>
      </c>
      <c r="CN14" s="214">
        <f>IF(AND(($E14+$C$1)&gt;CN$4,CN$4&gt;=$C$1),$H14,IF(AND(($D14+$C$1)&gt;CN$4,CN$4&gt;=$C$1),$G14,0))*IF($A14="Residential",'General Inputs'!U$14,'General Inputs'!U$19)</f>
        <v>0</v>
      </c>
      <c r="CO14" s="214">
        <f>IF(AND(($E14+$C$1)&gt;CO$4,CO$4&gt;=$C$1),$H14,IF(AND(($D14+$C$1)&gt;CO$4,CO$4&gt;=$C$1),$G14,0))*IF($A14="Residential",'General Inputs'!V$14,'General Inputs'!V$19)</f>
        <v>0</v>
      </c>
      <c r="CP14" s="214">
        <f>IF(AND(($E14+$C$1)&gt;CP$4,CP$4&gt;=$C$1),$H14,IF(AND(($D14+$C$1)&gt;CP$4,CP$4&gt;=$C$1),$G14,0))*IF($A14="Residential",'General Inputs'!W$14,'General Inputs'!W$19)</f>
        <v>0</v>
      </c>
      <c r="CR14" s="214">
        <f>IF(AND(($E14+$C$1)&gt;CR$4,CR$4&gt;=$C$1),$H14,IF(AND(($D14+$C$1)&gt;CR$4,CR$4&gt;=$C$1),$G14,0))*IF($A14="Residential",'General Inputs'!D$15,'General Inputs'!D$19)</f>
        <v>9579.1216754393845</v>
      </c>
      <c r="CS14" s="214">
        <f>IF(AND(($E14+$C$1)&gt;CS$4,CS$4&gt;=$C$1),$H14,IF(AND(($D14+$C$1)&gt;CS$4,CS$4&gt;=$C$1),$G14,0))*IF($A14="Residential",'General Inputs'!E$15,'General Inputs'!E$19)</f>
        <v>9722.8085005709745</v>
      </c>
      <c r="CT14" s="214">
        <f>IF(AND(($E14+$C$1)&gt;CT$4,CT$4&gt;=$C$1),$H14,IF(AND(($D14+$C$1)&gt;CT$4,CT$4&gt;=$C$1),$G14,0))*IF($A14="Residential",'General Inputs'!F$15,'General Inputs'!F$19)</f>
        <v>9868.6506280795384</v>
      </c>
      <c r="CU14" s="214">
        <f>IF(AND(($E14+$C$1)&gt;CU$4,CU$4&gt;=$C$1),$H14,IF(AND(($D14+$C$1)&gt;CU$4,CU$4&gt;=$C$1),$G14,0))*IF($A14="Residential",'General Inputs'!G$15,'General Inputs'!G$19)</f>
        <v>10016.68038750073</v>
      </c>
      <c r="CV14" s="214">
        <f>IF(AND(($E14+$C$1)&gt;CV$4,CV$4&gt;=$C$1),$H14,IF(AND(($D14+$C$1)&gt;CV$4,CV$4&gt;=$C$1),$G14,0))*IF($A14="Residential",'General Inputs'!H$15,'General Inputs'!H$19)</f>
        <v>10166.93059331324</v>
      </c>
      <c r="CW14" s="214">
        <f>IF(AND(($E14+$C$1)&gt;CW$4,CW$4&gt;=$C$1),$H14,IF(AND(($D14+$C$1)&gt;CW$4,CW$4&gt;=$C$1),$G14,0))*IF($A14="Residential",'General Inputs'!I$15,'General Inputs'!I$19)</f>
        <v>10319.434552212937</v>
      </c>
      <c r="CX14" s="214">
        <f>IF(AND(($E14+$C$1)&gt;CX$4,CX$4&gt;=$C$1),$H14,IF(AND(($D14+$C$1)&gt;CX$4,CX$4&gt;=$C$1),$G14,0))*IF($A14="Residential",'General Inputs'!J$15,'General Inputs'!J$19)</f>
        <v>10474.22607049613</v>
      </c>
      <c r="CY14" s="214">
        <f>IF(AND(($E14+$C$1)&gt;CY$4,CY$4&gt;=$C$1),$H14,IF(AND(($D14+$C$1)&gt;CY$4,CY$4&gt;=$C$1),$G14,0))*IF($A14="Residential",'General Inputs'!K$15,'General Inputs'!K$19)</f>
        <v>10631.339461553571</v>
      </c>
      <c r="CZ14" s="214">
        <f>IF(AND(($E14+$C$1)&gt;CZ$4,CZ$4&gt;=$C$1),$H14,IF(AND(($D14+$C$1)&gt;CZ$4,CZ$4&gt;=$C$1),$G14,0))*IF($A14="Residential",'General Inputs'!L$15,'General Inputs'!L$19)</f>
        <v>0</v>
      </c>
      <c r="DA14" s="214">
        <f>IF(AND(($E14+$C$1)&gt;DA$4,DA$4&gt;=$C$1),$H14,IF(AND(($D14+$C$1)&gt;DA$4,DA$4&gt;=$C$1),$G14,0))*IF($A14="Residential",'General Inputs'!M$15,'General Inputs'!M$19)</f>
        <v>0</v>
      </c>
      <c r="DB14" s="214">
        <f>IF(AND(($E14+$C$1)&gt;DB$4,DB$4&gt;=$C$1),$H14,IF(AND(($D14+$C$1)&gt;DB$4,DB$4&gt;=$C$1),$G14,0))*IF($A14="Residential",'General Inputs'!N$15,'General Inputs'!N$19)</f>
        <v>0</v>
      </c>
      <c r="DC14" s="214">
        <f>IF(AND(($E14+$C$1)&gt;DC$4,DC$4&gt;=$C$1),$H14,IF(AND(($D14+$C$1)&gt;DC$4,DC$4&gt;=$C$1),$G14,0))*IF($A14="Residential",'General Inputs'!O$15,'General Inputs'!O$19)</f>
        <v>0</v>
      </c>
      <c r="DD14" s="214">
        <f>IF(AND(($E14+$C$1)&gt;DD$4,DD$4&gt;=$C$1),$H14,IF(AND(($D14+$C$1)&gt;DD$4,DD$4&gt;=$C$1),$G14,0))*IF($A14="Residential",'General Inputs'!P$15,'General Inputs'!P$19)</f>
        <v>0</v>
      </c>
      <c r="DE14" s="214">
        <f>IF(AND(($E14+$C$1)&gt;DE$4,DE$4&gt;=$C$1),$H14,IF(AND(($D14+$C$1)&gt;DE$4,DE$4&gt;=$C$1),$G14,0))*IF($A14="Residential",'General Inputs'!Q$15,'General Inputs'!Q$19)</f>
        <v>0</v>
      </c>
      <c r="DF14" s="214">
        <f>IF(AND(($E14+$C$1)&gt;DF$4,DF$4&gt;=$C$1),$H14,IF(AND(($D14+$C$1)&gt;DF$4,DF$4&gt;=$C$1),$G14,0))*IF($A14="Residential",'General Inputs'!R$15,'General Inputs'!R$19)</f>
        <v>0</v>
      </c>
      <c r="DG14" s="214">
        <f>IF(AND(($E14+$C$1)&gt;DG$4,DG$4&gt;=$C$1),$H14,IF(AND(($D14+$C$1)&gt;DG$4,DG$4&gt;=$C$1),$G14,0))*IF($A14="Residential",'General Inputs'!S$15,'General Inputs'!S$19)</f>
        <v>0</v>
      </c>
      <c r="DH14" s="214">
        <f>IF(AND(($E14+$C$1)&gt;DH$4,DH$4&gt;=$C$1),$H14,IF(AND(($D14+$C$1)&gt;DH$4,DH$4&gt;=$C$1),$G14,0))*IF($A14="Residential",'General Inputs'!T$15,'General Inputs'!T$19)</f>
        <v>0</v>
      </c>
      <c r="DI14" s="214">
        <f>IF(AND(($E14+$C$1)&gt;DI$4,DI$4&gt;=$C$1),$H14,IF(AND(($D14+$C$1)&gt;DI$4,DI$4&gt;=$C$1),$G14,0))*IF($A14="Residential",'General Inputs'!U$15,'General Inputs'!U$19)</f>
        <v>0</v>
      </c>
      <c r="DJ14" s="214">
        <f>IF(AND(($E14+$C$1)&gt;DJ$4,DJ$4&gt;=$C$1),$H14,IF(AND(($D14+$C$1)&gt;DJ$4,DJ$4&gt;=$C$1),$G14,0))*IF($A14="Residential",'General Inputs'!V$15,'General Inputs'!V$19)</f>
        <v>0</v>
      </c>
      <c r="DK14" s="214">
        <f>IF(AND(($E14+$C$1)&gt;DK$4,DK$4&gt;=$C$1),$H14,IF(AND(($D14+$C$1)&gt;DK$4,DK$4&gt;=$C$1),$G14,0))*IF($A14="Residential",'General Inputs'!W$15,'General Inputs'!W$19)</f>
        <v>0</v>
      </c>
      <c r="DM14" s="214">
        <f t="shared" ref="DM14:DM15" si="194">IF($C$1=DM$4,$L14*$C14,IF($E14+$C$1=DM$4,-$M14*$C14,0))</f>
        <v>6045</v>
      </c>
      <c r="DN14" s="214">
        <f t="shared" si="105"/>
        <v>0</v>
      </c>
      <c r="DO14" s="214">
        <f t="shared" si="105"/>
        <v>0</v>
      </c>
      <c r="DP14" s="214">
        <f t="shared" si="105"/>
        <v>0</v>
      </c>
      <c r="DQ14" s="214">
        <f t="shared" si="105"/>
        <v>0</v>
      </c>
      <c r="DR14" s="214">
        <f t="shared" si="105"/>
        <v>0</v>
      </c>
      <c r="DS14" s="214">
        <f t="shared" si="105"/>
        <v>0</v>
      </c>
      <c r="DT14" s="214">
        <f t="shared" si="105"/>
        <v>0</v>
      </c>
      <c r="DU14" s="214">
        <f t="shared" si="105"/>
        <v>0</v>
      </c>
      <c r="DV14" s="214">
        <f t="shared" si="105"/>
        <v>0</v>
      </c>
      <c r="DW14" s="214">
        <f t="shared" si="105"/>
        <v>0</v>
      </c>
      <c r="DZ14" s="650"/>
      <c r="FI14" s="195"/>
      <c r="FJ14" s="195"/>
      <c r="FK14" s="195"/>
      <c r="FL14" s="195"/>
      <c r="FM14" s="195"/>
      <c r="FN14" s="195"/>
      <c r="FO14" s="195"/>
    </row>
    <row r="15" spans="1:171">
      <c r="A15" s="341" t="s">
        <v>12</v>
      </c>
      <c r="B15" s="427" t="str">
        <f>'Portfolio Inputs'!A14</f>
        <v>Freezer Recycle</v>
      </c>
      <c r="C15" s="217">
        <f>IF($C$1=2014,'Portfolio Inputs'!$C14,IF($C$1=2015,'Portfolio Inputs'!$D14,'Portfolio Inputs'!$E14))</f>
        <v>6</v>
      </c>
      <c r="D15" s="504">
        <f>VLOOKUP(B15,Sources!$B$4:$J$104,2,FALSE)</f>
        <v>8</v>
      </c>
      <c r="E15" s="504">
        <f>VLOOKUP(B15,Sources!$B$4:$J$104,3,FALSE)</f>
        <v>0</v>
      </c>
      <c r="G15" s="504">
        <f>IF($C$1=2014,'Portfolio Inputs'!$G14,IF($C$1=2015,'Portfolio Inputs'!$H14,'Portfolio Inputs'!$I14))*EnergyLineLoss</f>
        <v>6941.61</v>
      </c>
      <c r="H15" s="504"/>
      <c r="I15" s="504">
        <f>IF($C$1=2014,'Portfolio Inputs'!$K14,IF($C$1=2015,'Portfolio Inputs'!$L14,'Portfolio Inputs'!$M14))*PeakLineLoss</f>
        <v>0.79242123287671229</v>
      </c>
      <c r="J15" s="510"/>
      <c r="L15" s="606">
        <f>IF($C$1=2014,'Portfolio Inputs'!$O14,IF($C$1=2015,'Portfolio Inputs'!$P14,'Portfolio Inputs'!$Q14))</f>
        <v>93</v>
      </c>
      <c r="M15" s="518">
        <f>VLOOKUP($B15,Sources!$B$4:$K$104,10,FALSE)</f>
        <v>0</v>
      </c>
      <c r="N15" s="419">
        <f>IF($C$1=2014,'Portfolio Inputs'!$W14,IF($C$1=2015,'Portfolio Inputs'!$X14,'Portfolio Inputs'!$Y14))</f>
        <v>300</v>
      </c>
      <c r="O15" s="419"/>
      <c r="Q15" s="438">
        <f t="shared" si="0"/>
        <v>3.2779668809309146</v>
      </c>
      <c r="R15" s="439">
        <f t="shared" si="1"/>
        <v>6.0970183985315014</v>
      </c>
      <c r="S15" s="439">
        <f t="shared" si="2"/>
        <v>4.137395342021267</v>
      </c>
      <c r="T15" s="439">
        <f t="shared" si="3"/>
        <v>11.134584131421247</v>
      </c>
      <c r="U15" s="439">
        <f t="shared" si="191"/>
        <v>9.1583407489711561</v>
      </c>
      <c r="V15" s="439">
        <f t="shared" si="192"/>
        <v>0.29439508851351293</v>
      </c>
      <c r="W15" s="439">
        <f t="shared" si="193"/>
        <v>0.35792148062400497</v>
      </c>
      <c r="Y15" s="215">
        <f t="shared" si="29"/>
        <v>1829.1055195594504</v>
      </c>
      <c r="Z15" s="215">
        <f t="shared" si="30"/>
        <v>479.5610812884164</v>
      </c>
      <c r="AA15" s="215">
        <f t="shared" si="31"/>
        <v>5913.0979453330565</v>
      </c>
      <c r="AB15" s="215">
        <f t="shared" si="32"/>
        <v>4810.354137925905</v>
      </c>
      <c r="AC15" s="216">
        <f t="shared" si="33"/>
        <v>0</v>
      </c>
      <c r="AD15" s="216">
        <f t="shared" si="34"/>
        <v>300</v>
      </c>
      <c r="AE15" s="215">
        <f t="shared" si="35"/>
        <v>558</v>
      </c>
      <c r="AG15" s="214">
        <f>IF(AND(($E15+$C$1)&gt;AG$4,AG$4&gt;=$C$1),'General Inputs'!D$9*$H15,IF(AND(($D15+$C$1)&gt;AG$4,AG$4&gt;=$C$1),'General Inputs'!D$9*$G15,0))+IF(AND(($E15+$C$1)&gt;AG$4,AG$4&gt;=$C$1),'General Inputs'!D$10*$J15,IF(AND(($D15+$C$1)&gt;AG$4,AG$4&gt;=$C$1),'General Inputs'!D$10*$I15,0))</f>
        <v>288.22699519132732</v>
      </c>
      <c r="AH15" s="214">
        <f>IF(AND(($E15+$C$1)&gt;AH$4,AH$4&gt;=$C$1),'General Inputs'!E$9*$H15,IF(AND(($D15+$C$1)&gt;AH$4,AH$4&gt;=$C$1),'General Inputs'!E$9*$G15,0))+IF(AND(($E15+$C$1)&gt;AH$4,AH$4&gt;=$C$1),'General Inputs'!E$10*$J15,IF(AND(($D15+$C$1)&gt;AH$4,AH$4&gt;=$C$1),'General Inputs'!E$10*$I15,0))</f>
        <v>292.55040011919715</v>
      </c>
      <c r="AI15" s="214">
        <f>IF(AND(($E15+$C$1)&gt;AI$4,AI$4&gt;=$C$1),'General Inputs'!F$9*$H15,IF(AND(($D15+$C$1)&gt;AI$4,AI$4&gt;=$C$1),'General Inputs'!F$9*$G15,0))+IF(AND(($E15+$C$1)&gt;AI$4,AI$4&gt;=$C$1),'General Inputs'!F$10*$J15,IF(AND(($D15+$C$1)&gt;AI$4,AI$4&gt;=$C$1),'General Inputs'!F$10*$I15,0))</f>
        <v>296.93865612098512</v>
      </c>
      <c r="AJ15" s="214">
        <f>IF(AND(($E15+$C$1)&gt;AJ$4,AJ$4&gt;=$C$1),'General Inputs'!G$9*$H15,IF(AND(($D15+$C$1)&gt;AJ$4,AJ$4&gt;=$C$1),'General Inputs'!G$9*$G15,0))+IF(AND(($E15+$C$1)&gt;AJ$4,AJ$4&gt;=$C$1),'General Inputs'!G$10*$J15,IF(AND(($D15+$C$1)&gt;AJ$4,AJ$4&gt;=$C$1),'General Inputs'!G$10*$I15,0))</f>
        <v>301.3927359627998</v>
      </c>
      <c r="AK15" s="214">
        <f>IF(AND(($E15+$C$1)&gt;AK$4,AK$4&gt;=$C$1),'General Inputs'!H$9*$H15,IF(AND(($D15+$C$1)&gt;AK$4,AK$4&gt;=$C$1),'General Inputs'!H$9*$G15,0))+IF(AND(($E15+$C$1)&gt;AK$4,AK$4&gt;=$C$1),'General Inputs'!H$10*$J15,IF(AND(($D15+$C$1)&gt;AK$4,AK$4&gt;=$C$1),'General Inputs'!H$10*$I15,0))</f>
        <v>305.91362700224181</v>
      </c>
      <c r="AL15" s="214">
        <f>IF(AND(($E15+$C$1)&gt;AL$4,AL$4&gt;=$C$1),'General Inputs'!I$9*$H15,IF(AND(($D15+$C$1)&gt;AL$4,AL$4&gt;=$C$1),'General Inputs'!I$9*$G15,0))+IF(AND(($E15+$C$1)&gt;AL$4,AL$4&gt;=$C$1),'General Inputs'!I$10*$J15,IF(AND(($D15+$C$1)&gt;AL$4,AL$4&gt;=$C$1),'General Inputs'!I$10*$I15,0))</f>
        <v>310.50233140727539</v>
      </c>
      <c r="AM15" s="214">
        <f>IF(AND(($E15+$C$1)&gt;AM$4,AM$4&gt;=$C$1),'General Inputs'!J$9*$H15,IF(AND(($D15+$C$1)&gt;AM$4,AM$4&gt;=$C$1),'General Inputs'!J$9*$G15,0))+IF(AND(($E15+$C$1)&gt;AM$4,AM$4&gt;=$C$1),'General Inputs'!J$10*$J15,IF(AND(($D15+$C$1)&gt;AM$4,AM$4&gt;=$C$1),'General Inputs'!J$10*$I15,0))</f>
        <v>315.15986637838449</v>
      </c>
      <c r="AN15" s="214">
        <f>IF(AND(($E15+$C$1)&gt;AN$4,AN$4&gt;=$C$1),'General Inputs'!K$9*$H15,IF(AND(($D15+$C$1)&gt;AN$4,AN$4&gt;=$C$1),'General Inputs'!K$9*$G15,0))+IF(AND(($E15+$C$1)&gt;AN$4,AN$4&gt;=$C$1),'General Inputs'!K$10*$J15,IF(AND(($D15+$C$1)&gt;AN$4,AN$4&gt;=$C$1),'General Inputs'!K$10*$I15,0))</f>
        <v>319.88726437406018</v>
      </c>
      <c r="AO15" s="214">
        <f>IF(AND(($E15+$C$1)&gt;AO$4,AO$4&gt;=$C$1),'General Inputs'!L$9*$H15,IF(AND(($D15+$C$1)&gt;AO$4,AO$4&gt;=$C$1),'General Inputs'!L$9*$G15,0))+IF(AND(($E15+$C$1)&gt;AO$4,AO$4&gt;=$C$1),'General Inputs'!L$10*$J15,IF(AND(($D15+$C$1)&gt;AO$4,AO$4&gt;=$C$1),'General Inputs'!L$10*$I15,0))</f>
        <v>0</v>
      </c>
      <c r="AP15" s="214">
        <f>IF(AND(($E15+$C$1)&gt;AP$4,AP$4&gt;=$C$1),'General Inputs'!M$9*$H15,IF(AND(($D15+$C$1)&gt;AP$4,AP$4&gt;=$C$1),'General Inputs'!M$9*$G15,0))+IF(AND(($E15+$C$1)&gt;AP$4,AP$4&gt;=$C$1),'General Inputs'!M$10*$J15,IF(AND(($D15+$C$1)&gt;AP$4,AP$4&gt;=$C$1),'General Inputs'!M$10*$I15,0))</f>
        <v>0</v>
      </c>
      <c r="AQ15" s="214">
        <f>IF(AND(($E15+$C$1)&gt;AQ$4,AQ$4&gt;=$C$1),'General Inputs'!N$9*$H15,IF(AND(($D15+$C$1)&gt;AQ$4,AQ$4&gt;=$C$1),'General Inputs'!N$9*$G15,0))+IF(AND(($E15+$C$1)&gt;AQ$4,AQ$4&gt;=$C$1),'General Inputs'!N$10*$J15,IF(AND(($D15+$C$1)&gt;AQ$4,AQ$4&gt;=$C$1),'General Inputs'!N$10*$I15,0))</f>
        <v>0</v>
      </c>
      <c r="AR15" s="214">
        <f>IF(AND(($E15+$C$1)&gt;AR$4,AR$4&gt;=$C$1),'General Inputs'!O$9*$H15,IF(AND(($D15+$C$1)&gt;AR$4,AR$4&gt;=$C$1),'General Inputs'!O$9*$G15,0))+IF(AND(($E15+$C$1)&gt;AR$4,AR$4&gt;=$C$1),'General Inputs'!O$10*$J15,IF(AND(($D15+$C$1)&gt;AR$4,AR$4&gt;=$C$1),'General Inputs'!O$10*$I15,0))</f>
        <v>0</v>
      </c>
      <c r="AS15" s="214">
        <f>IF(AND(($E15+$C$1)&gt;AS$4,AS$4&gt;=$C$1),'General Inputs'!P$9*$H15,IF(AND(($D15+$C$1)&gt;AS$4,AS$4&gt;=$C$1),'General Inputs'!P$9*$G15,0))+IF(AND(($E15+$C$1)&gt;AS$4,AS$4&gt;=$C$1),'General Inputs'!P$10*$J15,IF(AND(($D15+$C$1)&gt;AS$4,AS$4&gt;=$C$1),'General Inputs'!P$10*$I15,0))</f>
        <v>0</v>
      </c>
      <c r="AT15" s="214">
        <f>IF(AND(($E15+$C$1)&gt;AT$4,AT$4&gt;=$C$1),'General Inputs'!Q$9*$H15,IF(AND(($D15+$C$1)&gt;AT$4,AT$4&gt;=$C$1),'General Inputs'!Q$9*$G15,0))+IF(AND(($E15+$C$1)&gt;AT$4,AT$4&gt;=$C$1),'General Inputs'!Q$10*$J15,IF(AND(($D15+$C$1)&gt;AT$4,AT$4&gt;=$C$1),'General Inputs'!Q$10*$I15,0))</f>
        <v>0</v>
      </c>
      <c r="AU15" s="214">
        <f>IF(AND(($E15+$C$1)&gt;AU$4,AU$4&gt;=$C$1),'General Inputs'!R$9*$H15,IF(AND(($D15+$C$1)&gt;AU$4,AU$4&gt;=$C$1),'General Inputs'!R$9*$G15,0))+IF(AND(($E15+$C$1)&gt;AU$4,AU$4&gt;=$C$1),'General Inputs'!R$10*$J15,IF(AND(($D15+$C$1)&gt;AU$4,AU$4&gt;=$C$1),'General Inputs'!R$10*$I15,0))</f>
        <v>0</v>
      </c>
      <c r="AV15" s="214">
        <f>IF(AND(($E15+$C$1)&gt;AV$4,AV$4&gt;=$C$1),'General Inputs'!S$9*$H15,IF(AND(($D15+$C$1)&gt;AV$4,AV$4&gt;=$C$1),'General Inputs'!S$9*$G15,0))+IF(AND(($E15+$C$1)&gt;AV$4,AV$4&gt;=$C$1),'General Inputs'!S$10*$J15,IF(AND(($D15+$C$1)&gt;AV$4,AV$4&gt;=$C$1),'General Inputs'!S$10*$I15,0))</f>
        <v>0</v>
      </c>
      <c r="AW15" s="214">
        <f>IF(AND(($E15+$C$1)&gt;AW$4,AW$4&gt;=$C$1),'General Inputs'!T$9*$H15,IF(AND(($D15+$C$1)&gt;AW$4,AW$4&gt;=$C$1),'General Inputs'!T$9*$G15,0))+IF(AND(($E15+$C$1)&gt;AW$4,AW$4&gt;=$C$1),'General Inputs'!T$10*$J15,IF(AND(($D15+$C$1)&gt;AW$4,AW$4&gt;=$C$1),'General Inputs'!T$10*$I15,0))</f>
        <v>0</v>
      </c>
      <c r="AX15" s="214">
        <f>IF(AND(($E15+$C$1)&gt;AX$4,AX$4&gt;=$C$1),'General Inputs'!U$9*$H15,IF(AND(($D15+$C$1)&gt;AX$4,AX$4&gt;=$C$1),'General Inputs'!U$9*$G15,0))+IF(AND(($E15+$C$1)&gt;AX$4,AX$4&gt;=$C$1),'General Inputs'!U$10*$J15,IF(AND(($D15+$C$1)&gt;AX$4,AX$4&gt;=$C$1),'General Inputs'!U$10*$I15,0))</f>
        <v>0</v>
      </c>
      <c r="AY15" s="214">
        <f>IF(AND(($E15+$C$1)&gt;AY$4,AY$4&gt;=$C$1),'General Inputs'!V$9*$H15,IF(AND(($D15+$C$1)&gt;AY$4,AY$4&gt;=$C$1),'General Inputs'!V$9*$G15,0))+IF(AND(($E15+$C$1)&gt;AY$4,AY$4&gt;=$C$1),'General Inputs'!V$10*$J15,IF(AND(($D15+$C$1)&gt;AY$4,AY$4&gt;=$C$1),'General Inputs'!V$10*$I15,0))</f>
        <v>0</v>
      </c>
      <c r="AZ15" s="214">
        <f>IF(AND(($E15+$C$1)&gt;AZ$4,AZ$4&gt;=$C$1),'General Inputs'!W$9*$H15,IF(AND(($D15+$C$1)&gt;AZ$4,AZ$4&gt;=$C$1),'General Inputs'!W$9*$G15,0))+IF(AND(($E15+$C$1)&gt;AZ$4,AZ$4&gt;=$C$1),'General Inputs'!W$10*$J15,IF(AND(($D15+$C$1)&gt;AZ$4,AZ$4&gt;=$C$1),'General Inputs'!W$10*$I15,0))</f>
        <v>0</v>
      </c>
      <c r="BB15" s="214">
        <f>IF(AND(($E15+$C$1)&gt;BB$4,BB$4&gt;=$C$1),'General Inputs'!D$11*$H15,IF(AND(($D15+$C$1)&gt;BB$4,BB$4&gt;=$C$1),'General Inputs'!D$11*$G15,0))</f>
        <v>79.134354000000002</v>
      </c>
      <c r="BC15" s="214">
        <f>IF(AND(($E15+$C$1)&gt;BC$4,BC$4&gt;=$C$1),'General Inputs'!E$11*$H15,IF(AND(($D15+$C$1)&gt;BC$4,BC$4&gt;=$C$1),'General Inputs'!E$11*$G15,0))</f>
        <v>79.134354000000002</v>
      </c>
      <c r="BD15" s="214">
        <f>IF(AND(($E15+$C$1)&gt;BD$4,BD$4&gt;=$C$1),'General Inputs'!F$11*$H15,IF(AND(($D15+$C$1)&gt;BD$4,BD$4&gt;=$C$1),'General Inputs'!F$11*$G15,0))</f>
        <v>79.134354000000002</v>
      </c>
      <c r="BE15" s="214">
        <f>IF(AND(($E15+$C$1)&gt;BE$4,BE$4&gt;=$C$1),'General Inputs'!G$11*$H15,IF(AND(($D15+$C$1)&gt;BE$4,BE$4&gt;=$C$1),'General Inputs'!G$11*$G15,0))</f>
        <v>79.134354000000002</v>
      </c>
      <c r="BF15" s="214">
        <f>IF(AND(($E15+$C$1)&gt;BF$4,BF$4&gt;=$C$1),'General Inputs'!H$11*$H15,IF(AND(($D15+$C$1)&gt;BF$4,BF$4&gt;=$C$1),'General Inputs'!H$11*$G15,0))</f>
        <v>79.134354000000002</v>
      </c>
      <c r="BG15" s="214">
        <f>IF(AND(($E15+$C$1)&gt;BG$4,BG$4&gt;=$C$1),'General Inputs'!I$11*$H15,IF(AND(($D15+$C$1)&gt;BG$4,BG$4&gt;=$C$1),'General Inputs'!I$11*$G15,0))</f>
        <v>79.134354000000002</v>
      </c>
      <c r="BH15" s="214">
        <f>IF(AND(($E15+$C$1)&gt;BH$4,BH$4&gt;=$C$1),'General Inputs'!J$11*$H15,IF(AND(($D15+$C$1)&gt;BH$4,BH$4&gt;=$C$1),'General Inputs'!J$11*$G15,0))</f>
        <v>79.134354000000002</v>
      </c>
      <c r="BI15" s="214">
        <f>IF(AND(($E15+$C$1)&gt;BI$4,BI$4&gt;=$C$1),'General Inputs'!K$11*$H15,IF(AND(($D15+$C$1)&gt;BI$4,BI$4&gt;=$C$1),'General Inputs'!K$11*$G15,0))</f>
        <v>79.134354000000002</v>
      </c>
      <c r="BJ15" s="214">
        <f>IF(AND(($E15+$C$1)&gt;BJ$4,BJ$4&gt;=$C$1),'General Inputs'!L$11*$H15,IF(AND(($D15+$C$1)&gt;BJ$4,BJ$4&gt;=$C$1),'General Inputs'!L$11*$G15,0))</f>
        <v>0</v>
      </c>
      <c r="BK15" s="214">
        <f>IF(AND(($E15+$C$1)&gt;BK$4,BK$4&gt;=$C$1),'General Inputs'!M$11*$H15,IF(AND(($D15+$C$1)&gt;BK$4,BK$4&gt;=$C$1),'General Inputs'!M$11*$G15,0))</f>
        <v>0</v>
      </c>
      <c r="BL15" s="214">
        <f>IF(AND(($E15+$C$1)&gt;BL$4,BL$4&gt;=$C$1),'General Inputs'!N$11*$H15,IF(AND(($D15+$C$1)&gt;BL$4,BL$4&gt;=$C$1),'General Inputs'!N$11*$G15,0))</f>
        <v>0</v>
      </c>
      <c r="BM15" s="214">
        <f>IF(AND(($E15+$C$1)&gt;BM$4,BM$4&gt;=$C$1),'General Inputs'!O$11*$H15,IF(AND(($D15+$C$1)&gt;BM$4,BM$4&gt;=$C$1),'General Inputs'!O$11*$G15,0))</f>
        <v>0</v>
      </c>
      <c r="BN15" s="214">
        <f>IF(AND(($E15+$C$1)&gt;BN$4,BN$4&gt;=$C$1),'General Inputs'!P$11*$H15,IF(AND(($D15+$C$1)&gt;BN$4,BN$4&gt;=$C$1),'General Inputs'!P$11*$G15,0))</f>
        <v>0</v>
      </c>
      <c r="BO15" s="214">
        <f>IF(AND(($E15+$C$1)&gt;BO$4,BO$4&gt;=$C$1),'General Inputs'!Q$11*$H15,IF(AND(($D15+$C$1)&gt;BO$4,BO$4&gt;=$C$1),'General Inputs'!Q$11*$G15,0))</f>
        <v>0</v>
      </c>
      <c r="BP15" s="214">
        <f>IF(AND(($E15+$C$1)&gt;BP$4,BP$4&gt;=$C$1),'General Inputs'!R$11*$H15,IF(AND(($D15+$C$1)&gt;BP$4,BP$4&gt;=$C$1),'General Inputs'!R$11*$G15,0))</f>
        <v>0</v>
      </c>
      <c r="BQ15" s="214">
        <f>IF(AND(($E15+$C$1)&gt;BQ$4,BQ$4&gt;=$C$1),'General Inputs'!S$11*$H15,IF(AND(($D15+$C$1)&gt;BQ$4,BQ$4&gt;=$C$1),'General Inputs'!S$11*$G15,0))</f>
        <v>0</v>
      </c>
      <c r="BR15" s="214">
        <f>IF(AND(($E15+$C$1)&gt;BR$4,BR$4&gt;=$C$1),'General Inputs'!T$11*$H15,IF(AND(($D15+$C$1)&gt;BR$4,BR$4&gt;=$C$1),'General Inputs'!T$11*$G15,0))</f>
        <v>0</v>
      </c>
      <c r="BS15" s="214">
        <f>IF(AND(($E15+$C$1)&gt;BS$4,BS$4&gt;=$C$1),'General Inputs'!U$11*$H15,IF(AND(($D15+$C$1)&gt;BS$4,BS$4&gt;=$C$1),'General Inputs'!U$11*$G15,0))</f>
        <v>0</v>
      </c>
      <c r="BT15" s="214">
        <f>IF(AND(($E15+$C$1)&gt;BT$4,BT$4&gt;=$C$1),'General Inputs'!V$11*$H15,IF(AND(($D15+$C$1)&gt;BT$4,BT$4&gt;=$C$1),'General Inputs'!V$11*$G15,0))</f>
        <v>0</v>
      </c>
      <c r="BU15" s="214">
        <f>IF(AND(($E15+$C$1)&gt;BU$4,BU$4&gt;=$C$1),'General Inputs'!W$11*$H15,IF(AND(($D15+$C$1)&gt;BU$4,BU$4&gt;=$C$1),'General Inputs'!W$11*$G15,0))</f>
        <v>0</v>
      </c>
      <c r="BW15" s="214">
        <f>IF(AND(($E15+$C$1)&gt;BW$4,BW$4&gt;=$C$1),$H15,IF(AND(($D15+$C$1)&gt;BW$4,BW$4&gt;=$C$1),$G15,0))*IF($A15="Residential",'General Inputs'!D$14,'General Inputs'!D$19)</f>
        <v>931.77481278710002</v>
      </c>
      <c r="BX15" s="214">
        <f>IF(AND(($E15+$C$1)&gt;BX$4,BX$4&gt;=$C$1),$H15,IF(AND(($D15+$C$1)&gt;BX$4,BX$4&gt;=$C$1),$G15,0))*IF($A15="Residential",'General Inputs'!E$14,'General Inputs'!E$19)</f>
        <v>945.75143497890645</v>
      </c>
      <c r="BY15" s="214">
        <f>IF(AND(($E15+$C$1)&gt;BY$4,BY$4&gt;=$C$1),$H15,IF(AND(($D15+$C$1)&gt;BY$4,BY$4&gt;=$C$1),$G15,0))*IF($A15="Residential",'General Inputs'!F$14,'General Inputs'!F$19)</f>
        <v>959.93770650358988</v>
      </c>
      <c r="BZ15" s="214">
        <f>IF(AND(($E15+$C$1)&gt;BZ$4,BZ$4&gt;=$C$1),$H15,IF(AND(($D15+$C$1)&gt;BZ$4,BZ$4&gt;=$C$1),$G15,0))*IF($A15="Residential",'General Inputs'!G$14,'General Inputs'!G$19)</f>
        <v>974.33677210114354</v>
      </c>
      <c r="CA15" s="214">
        <f>IF(AND(($E15+$C$1)&gt;CA$4,CA$4&gt;=$C$1),$H15,IF(AND(($D15+$C$1)&gt;CA$4,CA$4&gt;=$C$1),$G15,0))*IF($A15="Residential",'General Inputs'!H$14,'General Inputs'!H$19)</f>
        <v>988.95182368266057</v>
      </c>
      <c r="CB15" s="214">
        <f>IF(AND(($E15+$C$1)&gt;CB$4,CB$4&gt;=$C$1),$H15,IF(AND(($D15+$C$1)&gt;CB$4,CB$4&gt;=$C$1),$G15,0))*IF($A15="Residential",'General Inputs'!I$14,'General Inputs'!I$19)</f>
        <v>1003.7861010379004</v>
      </c>
      <c r="CC15" s="214">
        <f>IF(AND(($E15+$C$1)&gt;CC$4,CC$4&gt;=$C$1),$H15,IF(AND(($D15+$C$1)&gt;CC$4,CC$4&gt;=$C$1),$G15,0))*IF($A15="Residential",'General Inputs'!J$14,'General Inputs'!J$19)</f>
        <v>1018.8428925534687</v>
      </c>
      <c r="CD15" s="214">
        <f>IF(AND(($E15+$C$1)&gt;CD$4,CD$4&gt;=$C$1),$H15,IF(AND(($D15+$C$1)&gt;CD$4,CD$4&gt;=$C$1),$G15,0))*IF($A15="Residential",'General Inputs'!K$14,'General Inputs'!K$19)</f>
        <v>1034.1255359417705</v>
      </c>
      <c r="CE15" s="214">
        <f>IF(AND(($E15+$C$1)&gt;CE$4,CE$4&gt;=$C$1),$H15,IF(AND(($D15+$C$1)&gt;CE$4,CE$4&gt;=$C$1),$G15,0))*IF($A15="Residential",'General Inputs'!L$14,'General Inputs'!L$19)</f>
        <v>0</v>
      </c>
      <c r="CF15" s="214">
        <f>IF(AND(($E15+$C$1)&gt;CF$4,CF$4&gt;=$C$1),$H15,IF(AND(($D15+$C$1)&gt;CF$4,CF$4&gt;=$C$1),$G15,0))*IF($A15="Residential",'General Inputs'!M$14,'General Inputs'!M$19)</f>
        <v>0</v>
      </c>
      <c r="CG15" s="214">
        <f>IF(AND(($E15+$C$1)&gt;CG$4,CG$4&gt;=$C$1),$H15,IF(AND(($D15+$C$1)&gt;CG$4,CG$4&gt;=$C$1),$G15,0))*IF($A15="Residential",'General Inputs'!N$14,'General Inputs'!N$19)</f>
        <v>0</v>
      </c>
      <c r="CH15" s="214">
        <f>IF(AND(($E15+$C$1)&gt;CH$4,CH$4&gt;=$C$1),$H15,IF(AND(($D15+$C$1)&gt;CH$4,CH$4&gt;=$C$1),$G15,0))*IF($A15="Residential",'General Inputs'!O$14,'General Inputs'!O$19)</f>
        <v>0</v>
      </c>
      <c r="CI15" s="214">
        <f>IF(AND(($E15+$C$1)&gt;CI$4,CI$4&gt;=$C$1),$H15,IF(AND(($D15+$C$1)&gt;CI$4,CI$4&gt;=$C$1),$G15,0))*IF($A15="Residential",'General Inputs'!P$14,'General Inputs'!P$19)</f>
        <v>0</v>
      </c>
      <c r="CJ15" s="214">
        <f>IF(AND(($E15+$C$1)&gt;CJ$4,CJ$4&gt;=$C$1),$H15,IF(AND(($D15+$C$1)&gt;CJ$4,CJ$4&gt;=$C$1),$G15,0))*IF($A15="Residential",'General Inputs'!Q$14,'General Inputs'!Q$19)</f>
        <v>0</v>
      </c>
      <c r="CK15" s="214">
        <f>IF(AND(($E15+$C$1)&gt;CK$4,CK$4&gt;=$C$1),$H15,IF(AND(($D15+$C$1)&gt;CK$4,CK$4&gt;=$C$1),$G15,0))*IF($A15="Residential",'General Inputs'!R$14,'General Inputs'!R$19)</f>
        <v>0</v>
      </c>
      <c r="CL15" s="214">
        <f>IF(AND(($E15+$C$1)&gt;CL$4,CL$4&gt;=$C$1),$H15,IF(AND(($D15+$C$1)&gt;CL$4,CL$4&gt;=$C$1),$G15,0))*IF($A15="Residential",'General Inputs'!S$14,'General Inputs'!S$19)</f>
        <v>0</v>
      </c>
      <c r="CM15" s="214">
        <f>IF(AND(($E15+$C$1)&gt;CM$4,CM$4&gt;=$C$1),$H15,IF(AND(($D15+$C$1)&gt;CM$4,CM$4&gt;=$C$1),$G15,0))*IF($A15="Residential",'General Inputs'!T$14,'General Inputs'!T$19)</f>
        <v>0</v>
      </c>
      <c r="CN15" s="214">
        <f>IF(AND(($E15+$C$1)&gt;CN$4,CN$4&gt;=$C$1),$H15,IF(AND(($D15+$C$1)&gt;CN$4,CN$4&gt;=$C$1),$G15,0))*IF($A15="Residential",'General Inputs'!U$14,'General Inputs'!U$19)</f>
        <v>0</v>
      </c>
      <c r="CO15" s="214">
        <f>IF(AND(($E15+$C$1)&gt;CO$4,CO$4&gt;=$C$1),$H15,IF(AND(($D15+$C$1)&gt;CO$4,CO$4&gt;=$C$1),$G15,0))*IF($A15="Residential",'General Inputs'!V$14,'General Inputs'!V$19)</f>
        <v>0</v>
      </c>
      <c r="CP15" s="214">
        <f>IF(AND(($E15+$C$1)&gt;CP$4,CP$4&gt;=$C$1),$H15,IF(AND(($D15+$C$1)&gt;CP$4,CP$4&gt;=$C$1),$G15,0))*IF($A15="Residential",'General Inputs'!W$14,'General Inputs'!W$19)</f>
        <v>0</v>
      </c>
      <c r="CR15" s="214">
        <f>IF(AND(($E15+$C$1)&gt;CR$4,CR$4&gt;=$C$1),$H15,IF(AND(($D15+$C$1)&gt;CR$4,CR$4&gt;=$C$1),$G15,0))*IF($A15="Residential",'General Inputs'!D$15,'General Inputs'!D$19)</f>
        <v>758.0065251317435</v>
      </c>
      <c r="CS15" s="214">
        <f>IF(AND(($E15+$C$1)&gt;CS$4,CS$4&gt;=$C$1),$H15,IF(AND(($D15+$C$1)&gt;CS$4,CS$4&gt;=$C$1),$G15,0))*IF($A15="Residential",'General Inputs'!E$15,'General Inputs'!E$19)</f>
        <v>769.37662300871955</v>
      </c>
      <c r="CT15" s="214">
        <f>IF(AND(($E15+$C$1)&gt;CT$4,CT$4&gt;=$C$1),$H15,IF(AND(($D15+$C$1)&gt;CT$4,CT$4&gt;=$C$1),$G15,0))*IF($A15="Residential",'General Inputs'!F$15,'General Inputs'!F$19)</f>
        <v>780.91727235385019</v>
      </c>
      <c r="CU15" s="214">
        <f>IF(AND(($E15+$C$1)&gt;CU$4,CU$4&gt;=$C$1),$H15,IF(AND(($D15+$C$1)&gt;CU$4,CU$4&gt;=$C$1),$G15,0))*IF($A15="Residential",'General Inputs'!G$15,'General Inputs'!G$19)</f>
        <v>792.63103143915794</v>
      </c>
      <c r="CV15" s="214">
        <f>IF(AND(($E15+$C$1)&gt;CV$4,CV$4&gt;=$C$1),$H15,IF(AND(($D15+$C$1)&gt;CV$4,CV$4&gt;=$C$1),$G15,0))*IF($A15="Residential",'General Inputs'!H$15,'General Inputs'!H$19)</f>
        <v>804.52049691074524</v>
      </c>
      <c r="CW15" s="214">
        <f>IF(AND(($E15+$C$1)&gt;CW$4,CW$4&gt;=$C$1),$H15,IF(AND(($D15+$C$1)&gt;CW$4,CW$4&gt;=$C$1),$G15,0))*IF($A15="Residential",'General Inputs'!I$15,'General Inputs'!I$19)</f>
        <v>816.58830436440633</v>
      </c>
      <c r="CX15" s="214">
        <f>IF(AND(($E15+$C$1)&gt;CX$4,CX$4&gt;=$C$1),$H15,IF(AND(($D15+$C$1)&gt;CX$4,CX$4&gt;=$C$1),$G15,0))*IF($A15="Residential",'General Inputs'!J$15,'General Inputs'!J$19)</f>
        <v>828.83712892987228</v>
      </c>
      <c r="CY15" s="214">
        <f>IF(AND(($E15+$C$1)&gt;CY$4,CY$4&gt;=$C$1),$H15,IF(AND(($D15+$C$1)&gt;CY$4,CY$4&gt;=$C$1),$G15,0))*IF($A15="Residential",'General Inputs'!K$15,'General Inputs'!K$19)</f>
        <v>841.26968586382031</v>
      </c>
      <c r="CZ15" s="214">
        <f>IF(AND(($E15+$C$1)&gt;CZ$4,CZ$4&gt;=$C$1),$H15,IF(AND(($D15+$C$1)&gt;CZ$4,CZ$4&gt;=$C$1),$G15,0))*IF($A15="Residential",'General Inputs'!L$15,'General Inputs'!L$19)</f>
        <v>0</v>
      </c>
      <c r="DA15" s="214">
        <f>IF(AND(($E15+$C$1)&gt;DA$4,DA$4&gt;=$C$1),$H15,IF(AND(($D15+$C$1)&gt;DA$4,DA$4&gt;=$C$1),$G15,0))*IF($A15="Residential",'General Inputs'!M$15,'General Inputs'!M$19)</f>
        <v>0</v>
      </c>
      <c r="DB15" s="214">
        <f>IF(AND(($E15+$C$1)&gt;DB$4,DB$4&gt;=$C$1),$H15,IF(AND(($D15+$C$1)&gt;DB$4,DB$4&gt;=$C$1),$G15,0))*IF($A15="Residential",'General Inputs'!N$15,'General Inputs'!N$19)</f>
        <v>0</v>
      </c>
      <c r="DC15" s="214">
        <f>IF(AND(($E15+$C$1)&gt;DC$4,DC$4&gt;=$C$1),$H15,IF(AND(($D15+$C$1)&gt;DC$4,DC$4&gt;=$C$1),$G15,0))*IF($A15="Residential",'General Inputs'!O$15,'General Inputs'!O$19)</f>
        <v>0</v>
      </c>
      <c r="DD15" s="214">
        <f>IF(AND(($E15+$C$1)&gt;DD$4,DD$4&gt;=$C$1),$H15,IF(AND(($D15+$C$1)&gt;DD$4,DD$4&gt;=$C$1),$G15,0))*IF($A15="Residential",'General Inputs'!P$15,'General Inputs'!P$19)</f>
        <v>0</v>
      </c>
      <c r="DE15" s="214">
        <f>IF(AND(($E15+$C$1)&gt;DE$4,DE$4&gt;=$C$1),$H15,IF(AND(($D15+$C$1)&gt;DE$4,DE$4&gt;=$C$1),$G15,0))*IF($A15="Residential",'General Inputs'!Q$15,'General Inputs'!Q$19)</f>
        <v>0</v>
      </c>
      <c r="DF15" s="214">
        <f>IF(AND(($E15+$C$1)&gt;DF$4,DF$4&gt;=$C$1),$H15,IF(AND(($D15+$C$1)&gt;DF$4,DF$4&gt;=$C$1),$G15,0))*IF($A15="Residential",'General Inputs'!R$15,'General Inputs'!R$19)</f>
        <v>0</v>
      </c>
      <c r="DG15" s="214">
        <f>IF(AND(($E15+$C$1)&gt;DG$4,DG$4&gt;=$C$1),$H15,IF(AND(($D15+$C$1)&gt;DG$4,DG$4&gt;=$C$1),$G15,0))*IF($A15="Residential",'General Inputs'!S$15,'General Inputs'!S$19)</f>
        <v>0</v>
      </c>
      <c r="DH15" s="214">
        <f>IF(AND(($E15+$C$1)&gt;DH$4,DH$4&gt;=$C$1),$H15,IF(AND(($D15+$C$1)&gt;DH$4,DH$4&gt;=$C$1),$G15,0))*IF($A15="Residential",'General Inputs'!T$15,'General Inputs'!T$19)</f>
        <v>0</v>
      </c>
      <c r="DI15" s="214">
        <f>IF(AND(($E15+$C$1)&gt;DI$4,DI$4&gt;=$C$1),$H15,IF(AND(($D15+$C$1)&gt;DI$4,DI$4&gt;=$C$1),$G15,0))*IF($A15="Residential",'General Inputs'!U$15,'General Inputs'!U$19)</f>
        <v>0</v>
      </c>
      <c r="DJ15" s="214">
        <f>IF(AND(($E15+$C$1)&gt;DJ$4,DJ$4&gt;=$C$1),$H15,IF(AND(($D15+$C$1)&gt;DJ$4,DJ$4&gt;=$C$1),$G15,0))*IF($A15="Residential",'General Inputs'!V$15,'General Inputs'!V$19)</f>
        <v>0</v>
      </c>
      <c r="DK15" s="214">
        <f>IF(AND(($E15+$C$1)&gt;DK$4,DK$4&gt;=$C$1),$H15,IF(AND(($D15+$C$1)&gt;DK$4,DK$4&gt;=$C$1),$G15,0))*IF($A15="Residential",'General Inputs'!W$15,'General Inputs'!W$19)</f>
        <v>0</v>
      </c>
      <c r="DM15" s="214">
        <f t="shared" si="194"/>
        <v>558</v>
      </c>
      <c r="DN15" s="214">
        <f t="shared" si="105"/>
        <v>0</v>
      </c>
      <c r="DO15" s="214">
        <f t="shared" si="105"/>
        <v>0</v>
      </c>
      <c r="DP15" s="214">
        <f t="shared" si="105"/>
        <v>0</v>
      </c>
      <c r="DQ15" s="214">
        <f t="shared" si="105"/>
        <v>0</v>
      </c>
      <c r="DR15" s="214">
        <f t="shared" si="105"/>
        <v>0</v>
      </c>
      <c r="DS15" s="214">
        <f t="shared" si="105"/>
        <v>0</v>
      </c>
      <c r="DT15" s="214">
        <f t="shared" si="105"/>
        <v>0</v>
      </c>
      <c r="DU15" s="214">
        <f t="shared" si="105"/>
        <v>0</v>
      </c>
      <c r="DV15" s="214">
        <f t="shared" si="105"/>
        <v>0</v>
      </c>
      <c r="DW15" s="214">
        <f t="shared" si="105"/>
        <v>0</v>
      </c>
      <c r="DZ15" s="650"/>
      <c r="FI15" s="195"/>
      <c r="FJ15" s="195"/>
      <c r="FK15" s="195"/>
      <c r="FL15" s="195"/>
      <c r="FM15" s="195"/>
      <c r="FN15" s="195"/>
      <c r="FO15" s="195"/>
    </row>
    <row r="16" spans="1:171">
      <c r="A16" s="441" t="s">
        <v>12</v>
      </c>
      <c r="B16" s="426" t="str">
        <f>'Portfolio Inputs'!A15</f>
        <v>High Efficiency HVAC</v>
      </c>
      <c r="C16" s="356">
        <f>IF($C$1=2014,'Portfolio Inputs'!$C15,IF($C$1=2015,'Portfolio Inputs'!$D15,'Portfolio Inputs'!$E15))</f>
        <v>56</v>
      </c>
      <c r="D16" s="503"/>
      <c r="E16" s="503"/>
      <c r="G16" s="513">
        <f>SUM(G17:G23)</f>
        <v>88855.886178589091</v>
      </c>
      <c r="H16" s="513">
        <f>SUM(H17:H23)</f>
        <v>15161.936286024054</v>
      </c>
      <c r="I16" s="509">
        <f>SUM(I17:I23)</f>
        <v>27.547657330728846</v>
      </c>
      <c r="J16" s="509">
        <f>SUM(J17:J23)</f>
        <v>3.713834201667165</v>
      </c>
      <c r="L16" s="453"/>
      <c r="M16" s="453"/>
      <c r="N16" s="453">
        <f>IF($C$1=2014,'Portfolio Inputs'!$W15,IF($C$1=2015,'Portfolio Inputs'!$X15,'Portfolio Inputs'!$Y15))</f>
        <v>20899</v>
      </c>
      <c r="O16" s="453">
        <f>IF($C$1=2014,'Portfolio Inputs'!$AA15,IF($C$1=2015,'Portfolio Inputs'!$AB15,'Portfolio Inputs'!$AC15))+Expenditures!G7</f>
        <v>24605.93474209524</v>
      </c>
      <c r="Q16" s="442">
        <f t="shared" si="0"/>
        <v>0.79026909604124151</v>
      </c>
      <c r="R16" s="443">
        <f t="shared" si="1"/>
        <v>0.96264157285555196</v>
      </c>
      <c r="S16" s="443">
        <f t="shared" si="2"/>
        <v>0.9750698712864897</v>
      </c>
      <c r="T16" s="443">
        <f t="shared" si="3"/>
        <v>4.9688293288034586</v>
      </c>
      <c r="U16" s="443">
        <f>IF(AE16&gt;0,(AD16+AB16)/AE16,"n/a")</f>
        <v>4.1686252111081403</v>
      </c>
      <c r="V16" s="522">
        <f>IF((AA16+AC16+AD16)&gt;0,Y16/(AA16+AC16+AD16),"n/a")</f>
        <v>0.24641703933775894</v>
      </c>
      <c r="W16" s="522">
        <f>IF((AB16+AC16+AD16)&gt;0,Y16/(AB16+AC16+AD16),"n/a")</f>
        <v>0.28611675811764681</v>
      </c>
      <c r="Y16" s="444">
        <f t="shared" si="29"/>
        <v>43804.941952819812</v>
      </c>
      <c r="Z16" s="444">
        <f t="shared" si="30"/>
        <v>10243.583195908916</v>
      </c>
      <c r="AA16" s="444">
        <f t="shared" si="31"/>
        <v>132262.56896034657</v>
      </c>
      <c r="AB16" s="444">
        <f t="shared" si="32"/>
        <v>107596.694959748</v>
      </c>
      <c r="AC16" s="445">
        <f t="shared" si="33"/>
        <v>24605.93474209524</v>
      </c>
      <c r="AD16" s="445">
        <f t="shared" si="34"/>
        <v>20899</v>
      </c>
      <c r="AE16" s="526">
        <f t="shared" si="35"/>
        <v>30824.477724057655</v>
      </c>
      <c r="AG16" s="446">
        <f t="shared" ref="AG16:CR16" si="195">SUM(AG17:AG23)</f>
        <v>4362.7858317820692</v>
      </c>
      <c r="AH16" s="446">
        <f t="shared" si="195"/>
        <v>4428.2276192587997</v>
      </c>
      <c r="AI16" s="446">
        <f t="shared" si="195"/>
        <v>4494.6510335476814</v>
      </c>
      <c r="AJ16" s="446">
        <f t="shared" si="195"/>
        <v>4562.0707990508963</v>
      </c>
      <c r="AK16" s="446">
        <f t="shared" si="195"/>
        <v>4630.5018610366587</v>
      </c>
      <c r="AL16" s="446">
        <f t="shared" si="195"/>
        <v>4699.9593889522084</v>
      </c>
      <c r="AM16" s="446">
        <f t="shared" si="195"/>
        <v>4471.4561017095712</v>
      </c>
      <c r="AN16" s="446">
        <f t="shared" si="195"/>
        <v>4538.5279432352145</v>
      </c>
      <c r="AO16" s="446">
        <f t="shared" si="195"/>
        <v>4449.7068237090889</v>
      </c>
      <c r="AP16" s="446">
        <f t="shared" si="195"/>
        <v>4516.4524260647249</v>
      </c>
      <c r="AQ16" s="446">
        <f t="shared" si="195"/>
        <v>4584.1992124556955</v>
      </c>
      <c r="AR16" s="446">
        <f t="shared" si="195"/>
        <v>4652.9622006425307</v>
      </c>
      <c r="AS16" s="446">
        <f t="shared" si="195"/>
        <v>4722.7566336521677</v>
      </c>
      <c r="AT16" s="446">
        <f t="shared" si="195"/>
        <v>4793.5979831569502</v>
      </c>
      <c r="AU16" s="446">
        <f t="shared" si="195"/>
        <v>4865.5019529043038</v>
      </c>
      <c r="AV16" s="446">
        <f t="shared" si="195"/>
        <v>4466.5699583352989</v>
      </c>
      <c r="AW16" s="446">
        <f t="shared" si="195"/>
        <v>4533.568507710328</v>
      </c>
      <c r="AX16" s="446">
        <f t="shared" si="195"/>
        <v>4601.5720353259821</v>
      </c>
      <c r="AY16" s="446">
        <f t="shared" si="195"/>
        <v>0</v>
      </c>
      <c r="AZ16" s="446">
        <f t="shared" si="195"/>
        <v>0</v>
      </c>
      <c r="BB16" s="446">
        <f t="shared" si="195"/>
        <v>1120.9450971328947</v>
      </c>
      <c r="BC16" s="446">
        <f t="shared" si="195"/>
        <v>1120.9450971328947</v>
      </c>
      <c r="BD16" s="446">
        <f t="shared" si="195"/>
        <v>1120.9450971328947</v>
      </c>
      <c r="BE16" s="446">
        <f t="shared" si="195"/>
        <v>1120.9450971328947</v>
      </c>
      <c r="BF16" s="446">
        <f t="shared" si="195"/>
        <v>1120.9450971328947</v>
      </c>
      <c r="BG16" s="446">
        <f t="shared" si="195"/>
        <v>1120.9450971328947</v>
      </c>
      <c r="BH16" s="446">
        <f t="shared" si="195"/>
        <v>1046.4963608808757</v>
      </c>
      <c r="BI16" s="446">
        <f t="shared" si="195"/>
        <v>1046.4963608808757</v>
      </c>
      <c r="BJ16" s="446">
        <f t="shared" si="195"/>
        <v>1012.9571024359157</v>
      </c>
      <c r="BK16" s="446">
        <f t="shared" si="195"/>
        <v>1012.9571024359157</v>
      </c>
      <c r="BL16" s="446">
        <f t="shared" si="195"/>
        <v>1012.9571024359157</v>
      </c>
      <c r="BM16" s="446">
        <f t="shared" si="195"/>
        <v>1012.9571024359157</v>
      </c>
      <c r="BN16" s="446">
        <f t="shared" si="195"/>
        <v>1012.9571024359157</v>
      </c>
      <c r="BO16" s="446">
        <f t="shared" si="195"/>
        <v>1012.9571024359157</v>
      </c>
      <c r="BP16" s="446">
        <f t="shared" si="195"/>
        <v>1012.9571024359157</v>
      </c>
      <c r="BQ16" s="446">
        <f t="shared" si="195"/>
        <v>907.36961699141204</v>
      </c>
      <c r="BR16" s="446">
        <f t="shared" si="195"/>
        <v>907.36961699141204</v>
      </c>
      <c r="BS16" s="446">
        <f t="shared" si="195"/>
        <v>907.36961699141204</v>
      </c>
      <c r="BT16" s="446">
        <f t="shared" si="195"/>
        <v>0</v>
      </c>
      <c r="BU16" s="446">
        <f t="shared" si="195"/>
        <v>0</v>
      </c>
      <c r="BW16" s="446">
        <f t="shared" si="195"/>
        <v>13198.672324103643</v>
      </c>
      <c r="BX16" s="446">
        <f t="shared" si="195"/>
        <v>13396.652408965198</v>
      </c>
      <c r="BY16" s="446">
        <f t="shared" si="195"/>
        <v>13597.602195099671</v>
      </c>
      <c r="BZ16" s="446">
        <f t="shared" si="195"/>
        <v>13801.566228026164</v>
      </c>
      <c r="CA16" s="446">
        <f t="shared" si="195"/>
        <v>14008.589721446555</v>
      </c>
      <c r="CB16" s="446">
        <f t="shared" si="195"/>
        <v>14218.718567268254</v>
      </c>
      <c r="CC16" s="446">
        <f t="shared" si="195"/>
        <v>13473.483076219338</v>
      </c>
      <c r="CD16" s="446">
        <f t="shared" si="195"/>
        <v>13675.585322362625</v>
      </c>
      <c r="CE16" s="446">
        <f t="shared" si="195"/>
        <v>13435.854654720533</v>
      </c>
      <c r="CF16" s="446">
        <f t="shared" si="195"/>
        <v>13637.392474541342</v>
      </c>
      <c r="CG16" s="446">
        <f t="shared" si="195"/>
        <v>13841.95336165946</v>
      </c>
      <c r="CH16" s="446">
        <f t="shared" si="195"/>
        <v>14049.582662084351</v>
      </c>
      <c r="CI16" s="446">
        <f t="shared" si="195"/>
        <v>14260.326402015615</v>
      </c>
      <c r="CJ16" s="446">
        <f t="shared" si="195"/>
        <v>14474.231298045848</v>
      </c>
      <c r="CK16" s="446">
        <f t="shared" si="195"/>
        <v>14691.344767516533</v>
      </c>
      <c r="CL16" s="446">
        <f t="shared" si="195"/>
        <v>13357.36433495032</v>
      </c>
      <c r="CM16" s="446">
        <f t="shared" si="195"/>
        <v>13557.724799974572</v>
      </c>
      <c r="CN16" s="446">
        <f t="shared" si="195"/>
        <v>13761.090671974189</v>
      </c>
      <c r="CO16" s="446">
        <f t="shared" si="195"/>
        <v>0</v>
      </c>
      <c r="CP16" s="446">
        <f t="shared" si="195"/>
        <v>0</v>
      </c>
      <c r="CR16" s="446">
        <f t="shared" si="195"/>
        <v>10737.229218313578</v>
      </c>
      <c r="CS16" s="446">
        <f t="shared" ref="CS16:DW16" si="196">SUM(CS17:CS23)</f>
        <v>10898.287656588282</v>
      </c>
      <c r="CT16" s="446">
        <f t="shared" si="196"/>
        <v>11061.761971437105</v>
      </c>
      <c r="CU16" s="446">
        <f t="shared" si="196"/>
        <v>11227.68840100866</v>
      </c>
      <c r="CV16" s="446">
        <f t="shared" si="196"/>
        <v>11396.103727023788</v>
      </c>
      <c r="CW16" s="446">
        <f t="shared" si="196"/>
        <v>11567.045282929144</v>
      </c>
      <c r="CX16" s="446">
        <f t="shared" si="196"/>
        <v>10960.790040543763</v>
      </c>
      <c r="CY16" s="446">
        <f t="shared" si="196"/>
        <v>11125.201891151919</v>
      </c>
      <c r="CZ16" s="446">
        <f t="shared" si="196"/>
        <v>10930.179008097863</v>
      </c>
      <c r="DA16" s="446">
        <f t="shared" si="196"/>
        <v>11094.131693219329</v>
      </c>
      <c r="DB16" s="446">
        <f t="shared" si="196"/>
        <v>11260.543668617616</v>
      </c>
      <c r="DC16" s="446">
        <f t="shared" si="196"/>
        <v>11429.451823646879</v>
      </c>
      <c r="DD16" s="446">
        <f t="shared" si="196"/>
        <v>11600.893601001584</v>
      </c>
      <c r="DE16" s="446">
        <f t="shared" si="196"/>
        <v>11774.907005016606</v>
      </c>
      <c r="DF16" s="446">
        <f t="shared" si="196"/>
        <v>11951.530610091855</v>
      </c>
      <c r="DG16" s="446">
        <f t="shared" si="196"/>
        <v>10866.326483078927</v>
      </c>
      <c r="DH16" s="446">
        <f t="shared" si="196"/>
        <v>11029.321380325111</v>
      </c>
      <c r="DI16" s="446">
        <f t="shared" si="196"/>
        <v>11194.761201029985</v>
      </c>
      <c r="DJ16" s="446">
        <f t="shared" si="196"/>
        <v>0</v>
      </c>
      <c r="DK16" s="446">
        <f t="shared" si="196"/>
        <v>0</v>
      </c>
      <c r="DM16" s="446">
        <f t="shared" si="196"/>
        <v>33363.972836598085</v>
      </c>
      <c r="DN16" s="446">
        <f t="shared" si="196"/>
        <v>0</v>
      </c>
      <c r="DO16" s="446">
        <f t="shared" si="196"/>
        <v>0</v>
      </c>
      <c r="DP16" s="446">
        <f t="shared" si="196"/>
        <v>0</v>
      </c>
      <c r="DQ16" s="446">
        <f t="shared" si="196"/>
        <v>0</v>
      </c>
      <c r="DR16" s="446">
        <f t="shared" si="196"/>
        <v>0</v>
      </c>
      <c r="DS16" s="446">
        <f t="shared" si="196"/>
        <v>-2376</v>
      </c>
      <c r="DT16" s="446">
        <f t="shared" si="196"/>
        <v>0</v>
      </c>
      <c r="DU16" s="446">
        <f t="shared" si="196"/>
        <v>-2186.3418909802322</v>
      </c>
      <c r="DV16" s="446">
        <f t="shared" si="196"/>
        <v>0</v>
      </c>
      <c r="DW16" s="446">
        <f t="shared" si="196"/>
        <v>0</v>
      </c>
      <c r="DZ16" s="650"/>
      <c r="FO16" s="195"/>
    </row>
    <row r="17" spans="1:171">
      <c r="A17" s="342" t="s">
        <v>12</v>
      </c>
      <c r="B17" s="427" t="str">
        <f>'Portfolio Inputs'!A16</f>
        <v>Heat Pump SEER 15</v>
      </c>
      <c r="C17" s="217">
        <f>IF($C$1=2014,'Portfolio Inputs'!$C16,IF($C$1=2015,'Portfolio Inputs'!$D16,'Portfolio Inputs'!$E16))</f>
        <v>27</v>
      </c>
      <c r="D17" s="504">
        <f>VLOOKUP(B17,Sources!$B$4:$J$104,2,FALSE)</f>
        <v>18</v>
      </c>
      <c r="E17" s="504">
        <f>VLOOKUP(B17,Sources!$B$4:$J$104,3,FALSE)</f>
        <v>0</v>
      </c>
      <c r="G17" s="504">
        <f>IF($C$1=2014,'Portfolio Inputs'!$G16,IF($C$1=2015,'Portfolio Inputs'!$H16,'Portfolio Inputs'!$I16))*EnergyLineLoss</f>
        <v>13535.336256364038</v>
      </c>
      <c r="H17" s="504">
        <f>VLOOKUP($B17,Sources!$B$4:$K$104,6,FALSE)*C17*EnergyLineLoss</f>
        <v>0</v>
      </c>
      <c r="I17" s="504">
        <f>IF($C$1=2014,'Portfolio Inputs'!$K16,IF($C$1=2015,'Portfolio Inputs'!$L16,'Portfolio Inputs'!$M16))*PeakLineLoss</f>
        <v>14.166288706195397</v>
      </c>
      <c r="J17" s="510">
        <f>VLOOKUP($B17,Sources!$B$4:$K$104,8,FALSE)*C17*PeakLineLoss</f>
        <v>0</v>
      </c>
      <c r="L17" s="606">
        <f>IF($C$1=2014,'Portfolio Inputs'!$O16,IF($C$1=2015,'Portfolio Inputs'!$P16,'Portfolio Inputs'!$Q16))</f>
        <v>293.80824805778059</v>
      </c>
      <c r="M17" s="518">
        <f>VLOOKUP($B17,Sources!$B$4:$K$104,10,FALSE)</f>
        <v>0</v>
      </c>
      <c r="N17" s="419">
        <f>IF($C$1=2014,'Portfolio Inputs'!$W16,IF($C$1=2015,'Portfolio Inputs'!$X16,'Portfolio Inputs'!$Y16))</f>
        <v>7121</v>
      </c>
      <c r="O17" s="419"/>
      <c r="Q17" s="438">
        <f t="shared" si="0"/>
        <v>1.0043124734709326</v>
      </c>
      <c r="R17" s="439">
        <f t="shared" si="1"/>
        <v>1.1188081428160253</v>
      </c>
      <c r="S17" s="439">
        <f t="shared" si="2"/>
        <v>1.191669604647273</v>
      </c>
      <c r="T17" s="439">
        <f t="shared" si="3"/>
        <v>3.3273439021786344</v>
      </c>
      <c r="U17" s="439">
        <f t="shared" ref="U17" si="197">IF(AE17&gt;0,(AD17+AB17)/AE17,"n/a")</f>
        <v>2.8742284978374317</v>
      </c>
      <c r="V17" s="439">
        <f t="shared" ref="V17" si="198">IF((AA17+AC17+AD17)&gt;0,Y17/(AA17+AC17+AD17),"n/a")</f>
        <v>0.30183608998557138</v>
      </c>
      <c r="W17" s="439">
        <f t="shared" ref="W17" si="199">IF((AB17+AC17+AD17)&gt;0,Y17/(AB17+AC17+AD17),"n/a")</f>
        <v>0.34941984404739457</v>
      </c>
      <c r="Y17" s="215">
        <f t="shared" si="29"/>
        <v>7967.0327849929154</v>
      </c>
      <c r="Z17" s="215">
        <f t="shared" si="30"/>
        <v>1486.2709027454141</v>
      </c>
      <c r="AA17" s="215">
        <f t="shared" si="31"/>
        <v>19274.229229790784</v>
      </c>
      <c r="AB17" s="215">
        <f t="shared" si="32"/>
        <v>15679.745065618781</v>
      </c>
      <c r="AC17" s="216">
        <f t="shared" si="33"/>
        <v>0</v>
      </c>
      <c r="AD17" s="216">
        <f t="shared" si="34"/>
        <v>7121</v>
      </c>
      <c r="AE17" s="215">
        <f t="shared" si="35"/>
        <v>7932.8226975600755</v>
      </c>
      <c r="AG17" s="214">
        <f>IF(AND(($E17+$C$1)&gt;AG$4,AG$4&gt;=$C$1),'General Inputs'!D$9*$H17,IF(AND(($D17+$C$1)&gt;AG$4,AG$4&gt;=$C$1),'General Inputs'!D$9*$G17,0))+IF(AND(($E17+$C$1)&gt;AG$4,AG$4&gt;=$C$1),'General Inputs'!D$10*$J17,IF(AND(($D17+$C$1)&gt;AG$4,AG$4&gt;=$C$1),'General Inputs'!D$10*$I17,0))</f>
        <v>750.99905494559721</v>
      </c>
      <c r="AH17" s="214">
        <f>IF(AND(($E17+$C$1)&gt;AH$4,AH$4&gt;=$C$1),'General Inputs'!E$9*$H17,IF(AND(($D17+$C$1)&gt;AH$4,AH$4&gt;=$C$1),'General Inputs'!E$9*$G17,0))+IF(AND(($E17+$C$1)&gt;AH$4,AH$4&gt;=$C$1),'General Inputs'!E$10*$J17,IF(AND(($D17+$C$1)&gt;AH$4,AH$4&gt;=$C$1),'General Inputs'!E$10*$I17,0))</f>
        <v>762.2640407697811</v>
      </c>
      <c r="AI17" s="214">
        <f>IF(AND(($E17+$C$1)&gt;AI$4,AI$4&gt;=$C$1),'General Inputs'!F$9*$H17,IF(AND(($D17+$C$1)&gt;AI$4,AI$4&gt;=$C$1),'General Inputs'!F$9*$G17,0))+IF(AND(($E17+$C$1)&gt;AI$4,AI$4&gt;=$C$1),'General Inputs'!F$10*$J17,IF(AND(($D17+$C$1)&gt;AI$4,AI$4&gt;=$C$1),'General Inputs'!F$10*$I17,0))</f>
        <v>773.69800138132769</v>
      </c>
      <c r="AJ17" s="214">
        <f>IF(AND(($E17+$C$1)&gt;AJ$4,AJ$4&gt;=$C$1),'General Inputs'!G$9*$H17,IF(AND(($D17+$C$1)&gt;AJ$4,AJ$4&gt;=$C$1),'General Inputs'!G$9*$G17,0))+IF(AND(($E17+$C$1)&gt;AJ$4,AJ$4&gt;=$C$1),'General Inputs'!G$10*$J17,IF(AND(($D17+$C$1)&gt;AJ$4,AJ$4&gt;=$C$1),'General Inputs'!G$10*$I17,0))</f>
        <v>785.30347140204753</v>
      </c>
      <c r="AK17" s="214">
        <f>IF(AND(($E17+$C$1)&gt;AK$4,AK$4&gt;=$C$1),'General Inputs'!H$9*$H17,IF(AND(($D17+$C$1)&gt;AK$4,AK$4&gt;=$C$1),'General Inputs'!H$9*$G17,0))+IF(AND(($E17+$C$1)&gt;AK$4,AK$4&gt;=$C$1),'General Inputs'!H$10*$J17,IF(AND(($D17+$C$1)&gt;AK$4,AK$4&gt;=$C$1),'General Inputs'!H$10*$I17,0))</f>
        <v>797.08302347307824</v>
      </c>
      <c r="AL17" s="214">
        <f>IF(AND(($E17+$C$1)&gt;AL$4,AL$4&gt;=$C$1),'General Inputs'!I$9*$H17,IF(AND(($D17+$C$1)&gt;AL$4,AL$4&gt;=$C$1),'General Inputs'!I$9*$G17,0))+IF(AND(($E17+$C$1)&gt;AL$4,AL$4&gt;=$C$1),'General Inputs'!I$10*$J17,IF(AND(($D17+$C$1)&gt;AL$4,AL$4&gt;=$C$1),'General Inputs'!I$10*$I17,0))</f>
        <v>809.0392688251743</v>
      </c>
      <c r="AM17" s="214">
        <f>IF(AND(($E17+$C$1)&gt;AM$4,AM$4&gt;=$C$1),'General Inputs'!J$9*$H17,IF(AND(($D17+$C$1)&gt;AM$4,AM$4&gt;=$C$1),'General Inputs'!J$9*$G17,0))+IF(AND(($E17+$C$1)&gt;AM$4,AM$4&gt;=$C$1),'General Inputs'!J$10*$J17,IF(AND(($D17+$C$1)&gt;AM$4,AM$4&gt;=$C$1),'General Inputs'!J$10*$I17,0))</f>
        <v>821.17485785755173</v>
      </c>
      <c r="AN17" s="214">
        <f>IF(AND(($E17+$C$1)&gt;AN$4,AN$4&gt;=$C$1),'General Inputs'!K$9*$H17,IF(AND(($D17+$C$1)&gt;AN$4,AN$4&gt;=$C$1),'General Inputs'!K$9*$G17,0))+IF(AND(($E17+$C$1)&gt;AN$4,AN$4&gt;=$C$1),'General Inputs'!K$10*$J17,IF(AND(($D17+$C$1)&gt;AN$4,AN$4&gt;=$C$1),'General Inputs'!K$10*$I17,0))</f>
        <v>833.49248072541491</v>
      </c>
      <c r="AO17" s="214">
        <f>IF(AND(($E17+$C$1)&gt;AO$4,AO$4&gt;=$C$1),'General Inputs'!L$9*$H17,IF(AND(($D17+$C$1)&gt;AO$4,AO$4&gt;=$C$1),'General Inputs'!L$9*$G17,0))+IF(AND(($E17+$C$1)&gt;AO$4,AO$4&gt;=$C$1),'General Inputs'!L$10*$J17,IF(AND(($D17+$C$1)&gt;AO$4,AO$4&gt;=$C$1),'General Inputs'!L$10*$I17,0))</f>
        <v>845.99486793629615</v>
      </c>
      <c r="AP17" s="214">
        <f>IF(AND(($E17+$C$1)&gt;AP$4,AP$4&gt;=$C$1),'General Inputs'!M$9*$H17,IF(AND(($D17+$C$1)&gt;AP$4,AP$4&gt;=$C$1),'General Inputs'!M$9*$G17,0))+IF(AND(($E17+$C$1)&gt;AP$4,AP$4&gt;=$C$1),'General Inputs'!M$10*$J17,IF(AND(($D17+$C$1)&gt;AP$4,AP$4&gt;=$C$1),'General Inputs'!M$10*$I17,0))</f>
        <v>858.6847909553403</v>
      </c>
      <c r="AQ17" s="214">
        <f>IF(AND(($E17+$C$1)&gt;AQ$4,AQ$4&gt;=$C$1),'General Inputs'!N$9*$H17,IF(AND(($D17+$C$1)&gt;AQ$4,AQ$4&gt;=$C$1),'General Inputs'!N$9*$G17,0))+IF(AND(($E17+$C$1)&gt;AQ$4,AQ$4&gt;=$C$1),'General Inputs'!N$10*$J17,IF(AND(($D17+$C$1)&gt;AQ$4,AQ$4&gt;=$C$1),'General Inputs'!N$10*$I17,0))</f>
        <v>871.5650628196704</v>
      </c>
      <c r="AR17" s="214">
        <f>IF(AND(($E17+$C$1)&gt;AR$4,AR$4&gt;=$C$1),'General Inputs'!O$9*$H17,IF(AND(($D17+$C$1)&gt;AR$4,AR$4&gt;=$C$1),'General Inputs'!O$9*$G17,0))+IF(AND(($E17+$C$1)&gt;AR$4,AR$4&gt;=$C$1),'General Inputs'!O$10*$J17,IF(AND(($D17+$C$1)&gt;AR$4,AR$4&gt;=$C$1),'General Inputs'!O$10*$I17,0))</f>
        <v>884.63853876196538</v>
      </c>
      <c r="AS17" s="214">
        <f>IF(AND(($E17+$C$1)&gt;AS$4,AS$4&gt;=$C$1),'General Inputs'!P$9*$H17,IF(AND(($D17+$C$1)&gt;AS$4,AS$4&gt;=$C$1),'General Inputs'!P$9*$G17,0))+IF(AND(($E17+$C$1)&gt;AS$4,AS$4&gt;=$C$1),'General Inputs'!P$10*$J17,IF(AND(($D17+$C$1)&gt;AS$4,AS$4&gt;=$C$1),'General Inputs'!P$10*$I17,0))</f>
        <v>897.90811684339485</v>
      </c>
      <c r="AT17" s="214">
        <f>IF(AND(($E17+$C$1)&gt;AT$4,AT$4&gt;=$C$1),'General Inputs'!Q$9*$H17,IF(AND(($D17+$C$1)&gt;AT$4,AT$4&gt;=$C$1),'General Inputs'!Q$9*$G17,0))+IF(AND(($E17+$C$1)&gt;AT$4,AT$4&gt;=$C$1),'General Inputs'!Q$10*$J17,IF(AND(($D17+$C$1)&gt;AT$4,AT$4&gt;=$C$1),'General Inputs'!Q$10*$I17,0))</f>
        <v>911.3767385960457</v>
      </c>
      <c r="AU17" s="214">
        <f>IF(AND(($E17+$C$1)&gt;AU$4,AU$4&gt;=$C$1),'General Inputs'!R$9*$H17,IF(AND(($D17+$C$1)&gt;AU$4,AU$4&gt;=$C$1),'General Inputs'!R$9*$G17,0))+IF(AND(($E17+$C$1)&gt;AU$4,AU$4&gt;=$C$1),'General Inputs'!R$10*$J17,IF(AND(($D17+$C$1)&gt;AU$4,AU$4&gt;=$C$1),'General Inputs'!R$10*$I17,0))</f>
        <v>925.04738967498622</v>
      </c>
      <c r="AV17" s="214">
        <f>IF(AND(($E17+$C$1)&gt;AV$4,AV$4&gt;=$C$1),'General Inputs'!S$9*$H17,IF(AND(($D17+$C$1)&gt;AV$4,AV$4&gt;=$C$1),'General Inputs'!S$9*$G17,0))+IF(AND(($E17+$C$1)&gt;AV$4,AV$4&gt;=$C$1),'General Inputs'!S$10*$J17,IF(AND(($D17+$C$1)&gt;AV$4,AV$4&gt;=$C$1),'General Inputs'!S$10*$I17,0))</f>
        <v>938.92310052011112</v>
      </c>
      <c r="AW17" s="214">
        <f>IF(AND(($E17+$C$1)&gt;AW$4,AW$4&gt;=$C$1),'General Inputs'!T$9*$H17,IF(AND(($D17+$C$1)&gt;AW$4,AW$4&gt;=$C$1),'General Inputs'!T$9*$G17,0))+IF(AND(($E17+$C$1)&gt;AW$4,AW$4&gt;=$C$1),'General Inputs'!T$10*$J17,IF(AND(($D17+$C$1)&gt;AW$4,AW$4&gt;=$C$1),'General Inputs'!T$10*$I17,0))</f>
        <v>953.00694702791259</v>
      </c>
      <c r="AX17" s="214">
        <f>IF(AND(($E17+$C$1)&gt;AX$4,AX$4&gt;=$C$1),'General Inputs'!U$9*$H17,IF(AND(($D17+$C$1)&gt;AX$4,AX$4&gt;=$C$1),'General Inputs'!U$9*$G17,0))+IF(AND(($E17+$C$1)&gt;AX$4,AX$4&gt;=$C$1),'General Inputs'!U$10*$J17,IF(AND(($D17+$C$1)&gt;AX$4,AX$4&gt;=$C$1),'General Inputs'!U$10*$I17,0))</f>
        <v>967.30205123333121</v>
      </c>
      <c r="AY17" s="214">
        <f>IF(AND(($E17+$C$1)&gt;AY$4,AY$4&gt;=$C$1),'General Inputs'!V$9*$H17,IF(AND(($D17+$C$1)&gt;AY$4,AY$4&gt;=$C$1),'General Inputs'!V$9*$G17,0))+IF(AND(($E17+$C$1)&gt;AY$4,AY$4&gt;=$C$1),'General Inputs'!V$10*$J17,IF(AND(($D17+$C$1)&gt;AY$4,AY$4&gt;=$C$1),'General Inputs'!V$10*$I17,0))</f>
        <v>0</v>
      </c>
      <c r="AZ17" s="214">
        <f>IF(AND(($E17+$C$1)&gt;AZ$4,AZ$4&gt;=$C$1),'General Inputs'!W$9*$H17,IF(AND(($D17+$C$1)&gt;AZ$4,AZ$4&gt;=$C$1),'General Inputs'!W$9*$G17,0))+IF(AND(($E17+$C$1)&gt;AZ$4,AZ$4&gt;=$C$1),'General Inputs'!W$10*$J17,IF(AND(($D17+$C$1)&gt;AZ$4,AZ$4&gt;=$C$1),'General Inputs'!W$10*$I17,0))</f>
        <v>0</v>
      </c>
      <c r="BB17" s="214">
        <f>IF(AND(($E17+$C$1)&gt;BB$4,BB$4&gt;=$C$1),'General Inputs'!D$11*$H17,IF(AND(($D17+$C$1)&gt;BB$4,BB$4&gt;=$C$1),'General Inputs'!D$11*$G17,0))</f>
        <v>154.30283332255004</v>
      </c>
      <c r="BC17" s="214">
        <f>IF(AND(($E17+$C$1)&gt;BC$4,BC$4&gt;=$C$1),'General Inputs'!E$11*$H17,IF(AND(($D17+$C$1)&gt;BC$4,BC$4&gt;=$C$1),'General Inputs'!E$11*$G17,0))</f>
        <v>154.30283332255004</v>
      </c>
      <c r="BD17" s="214">
        <f>IF(AND(($E17+$C$1)&gt;BD$4,BD$4&gt;=$C$1),'General Inputs'!F$11*$H17,IF(AND(($D17+$C$1)&gt;BD$4,BD$4&gt;=$C$1),'General Inputs'!F$11*$G17,0))</f>
        <v>154.30283332255004</v>
      </c>
      <c r="BE17" s="214">
        <f>IF(AND(($E17+$C$1)&gt;BE$4,BE$4&gt;=$C$1),'General Inputs'!G$11*$H17,IF(AND(($D17+$C$1)&gt;BE$4,BE$4&gt;=$C$1),'General Inputs'!G$11*$G17,0))</f>
        <v>154.30283332255004</v>
      </c>
      <c r="BF17" s="214">
        <f>IF(AND(($E17+$C$1)&gt;BF$4,BF$4&gt;=$C$1),'General Inputs'!H$11*$H17,IF(AND(($D17+$C$1)&gt;BF$4,BF$4&gt;=$C$1),'General Inputs'!H$11*$G17,0))</f>
        <v>154.30283332255004</v>
      </c>
      <c r="BG17" s="214">
        <f>IF(AND(($E17+$C$1)&gt;BG$4,BG$4&gt;=$C$1),'General Inputs'!I$11*$H17,IF(AND(($D17+$C$1)&gt;BG$4,BG$4&gt;=$C$1),'General Inputs'!I$11*$G17,0))</f>
        <v>154.30283332255004</v>
      </c>
      <c r="BH17" s="214">
        <f>IF(AND(($E17+$C$1)&gt;BH$4,BH$4&gt;=$C$1),'General Inputs'!J$11*$H17,IF(AND(($D17+$C$1)&gt;BH$4,BH$4&gt;=$C$1),'General Inputs'!J$11*$G17,0))</f>
        <v>154.30283332255004</v>
      </c>
      <c r="BI17" s="214">
        <f>IF(AND(($E17+$C$1)&gt;BI$4,BI$4&gt;=$C$1),'General Inputs'!K$11*$H17,IF(AND(($D17+$C$1)&gt;BI$4,BI$4&gt;=$C$1),'General Inputs'!K$11*$G17,0))</f>
        <v>154.30283332255004</v>
      </c>
      <c r="BJ17" s="214">
        <f>IF(AND(($E17+$C$1)&gt;BJ$4,BJ$4&gt;=$C$1),'General Inputs'!L$11*$H17,IF(AND(($D17+$C$1)&gt;BJ$4,BJ$4&gt;=$C$1),'General Inputs'!L$11*$G17,0))</f>
        <v>154.30283332255004</v>
      </c>
      <c r="BK17" s="214">
        <f>IF(AND(($E17+$C$1)&gt;BK$4,BK$4&gt;=$C$1),'General Inputs'!M$11*$H17,IF(AND(($D17+$C$1)&gt;BK$4,BK$4&gt;=$C$1),'General Inputs'!M$11*$G17,0))</f>
        <v>154.30283332255004</v>
      </c>
      <c r="BL17" s="214">
        <f>IF(AND(($E17+$C$1)&gt;BL$4,BL$4&gt;=$C$1),'General Inputs'!N$11*$H17,IF(AND(($D17+$C$1)&gt;BL$4,BL$4&gt;=$C$1),'General Inputs'!N$11*$G17,0))</f>
        <v>154.30283332255004</v>
      </c>
      <c r="BM17" s="214">
        <f>IF(AND(($E17+$C$1)&gt;BM$4,BM$4&gt;=$C$1),'General Inputs'!O$11*$H17,IF(AND(($D17+$C$1)&gt;BM$4,BM$4&gt;=$C$1),'General Inputs'!O$11*$G17,0))</f>
        <v>154.30283332255004</v>
      </c>
      <c r="BN17" s="214">
        <f>IF(AND(($E17+$C$1)&gt;BN$4,BN$4&gt;=$C$1),'General Inputs'!P$11*$H17,IF(AND(($D17+$C$1)&gt;BN$4,BN$4&gt;=$C$1),'General Inputs'!P$11*$G17,0))</f>
        <v>154.30283332255004</v>
      </c>
      <c r="BO17" s="214">
        <f>IF(AND(($E17+$C$1)&gt;BO$4,BO$4&gt;=$C$1),'General Inputs'!Q$11*$H17,IF(AND(($D17+$C$1)&gt;BO$4,BO$4&gt;=$C$1),'General Inputs'!Q$11*$G17,0))</f>
        <v>154.30283332255004</v>
      </c>
      <c r="BP17" s="214">
        <f>IF(AND(($E17+$C$1)&gt;BP$4,BP$4&gt;=$C$1),'General Inputs'!R$11*$H17,IF(AND(($D17+$C$1)&gt;BP$4,BP$4&gt;=$C$1),'General Inputs'!R$11*$G17,0))</f>
        <v>154.30283332255004</v>
      </c>
      <c r="BQ17" s="214">
        <f>IF(AND(($E17+$C$1)&gt;BQ$4,BQ$4&gt;=$C$1),'General Inputs'!S$11*$H17,IF(AND(($D17+$C$1)&gt;BQ$4,BQ$4&gt;=$C$1),'General Inputs'!S$11*$G17,0))</f>
        <v>154.30283332255004</v>
      </c>
      <c r="BR17" s="214">
        <f>IF(AND(($E17+$C$1)&gt;BR$4,BR$4&gt;=$C$1),'General Inputs'!T$11*$H17,IF(AND(($D17+$C$1)&gt;BR$4,BR$4&gt;=$C$1),'General Inputs'!T$11*$G17,0))</f>
        <v>154.30283332255004</v>
      </c>
      <c r="BS17" s="214">
        <f>IF(AND(($E17+$C$1)&gt;BS$4,BS$4&gt;=$C$1),'General Inputs'!U$11*$H17,IF(AND(($D17+$C$1)&gt;BS$4,BS$4&gt;=$C$1),'General Inputs'!U$11*$G17,0))</f>
        <v>154.30283332255004</v>
      </c>
      <c r="BT17" s="214">
        <f>IF(AND(($E17+$C$1)&gt;BT$4,BT$4&gt;=$C$1),'General Inputs'!V$11*$H17,IF(AND(($D17+$C$1)&gt;BT$4,BT$4&gt;=$C$1),'General Inputs'!V$11*$G17,0))</f>
        <v>0</v>
      </c>
      <c r="BU17" s="214">
        <f>IF(AND(($E17+$C$1)&gt;BU$4,BU$4&gt;=$C$1),'General Inputs'!W$11*$H17,IF(AND(($D17+$C$1)&gt;BU$4,BU$4&gt;=$C$1),'General Inputs'!W$11*$G17,0))</f>
        <v>0</v>
      </c>
      <c r="BW17" s="214">
        <f>IF(AND(($E17+$C$1)&gt;BW$4,BW$4&gt;=$C$1),$H17,IF(AND(($D17+$C$1)&gt;BW$4,BW$4&gt;=$C$1),$G17,0))*IF($A17="Residential",'General Inputs'!D$14,'General Inputs'!D$19)</f>
        <v>1816.8530652520164</v>
      </c>
      <c r="BX17" s="214">
        <f>IF(AND(($E17+$C$1)&gt;BX$4,BX$4&gt;=$C$1),$H17,IF(AND(($D17+$C$1)&gt;BX$4,BX$4&gt;=$C$1),$G17,0))*IF($A17="Residential",'General Inputs'!E$14,'General Inputs'!E$19)</f>
        <v>1844.1058612307966</v>
      </c>
      <c r="BY17" s="214">
        <f>IF(AND(($E17+$C$1)&gt;BY$4,BY$4&gt;=$C$1),$H17,IF(AND(($D17+$C$1)&gt;BY$4,BY$4&gt;=$C$1),$G17,0))*IF($A17="Residential",'General Inputs'!F$14,'General Inputs'!F$19)</f>
        <v>1871.767449149258</v>
      </c>
      <c r="BZ17" s="214">
        <f>IF(AND(($E17+$C$1)&gt;BZ$4,BZ$4&gt;=$C$1),$H17,IF(AND(($D17+$C$1)&gt;BZ$4,BZ$4&gt;=$C$1),$G17,0))*IF($A17="Residential",'General Inputs'!G$14,'General Inputs'!G$19)</f>
        <v>1899.8439608864967</v>
      </c>
      <c r="CA17" s="214">
        <f>IF(AND(($E17+$C$1)&gt;CA$4,CA$4&gt;=$C$1),$H17,IF(AND(($D17+$C$1)&gt;CA$4,CA$4&gt;=$C$1),$G17,0))*IF($A17="Residential",'General Inputs'!H$14,'General Inputs'!H$19)</f>
        <v>1928.3416202997937</v>
      </c>
      <c r="CB17" s="214">
        <f>IF(AND(($E17+$C$1)&gt;CB$4,CB$4&gt;=$C$1),$H17,IF(AND(($D17+$C$1)&gt;CB$4,CB$4&gt;=$C$1),$G17,0))*IF($A17="Residential",'General Inputs'!I$14,'General Inputs'!I$19)</f>
        <v>1957.2667446042906</v>
      </c>
      <c r="CC17" s="214">
        <f>IF(AND(($E17+$C$1)&gt;CC$4,CC$4&gt;=$C$1),$H17,IF(AND(($D17+$C$1)&gt;CC$4,CC$4&gt;=$C$1),$G17,0))*IF($A17="Residential",'General Inputs'!J$14,'General Inputs'!J$19)</f>
        <v>1986.6257457733545</v>
      </c>
      <c r="CD17" s="214">
        <f>IF(AND(($E17+$C$1)&gt;CD$4,CD$4&gt;=$C$1),$H17,IF(AND(($D17+$C$1)&gt;CD$4,CD$4&gt;=$C$1),$G17,0))*IF($A17="Residential",'General Inputs'!K$14,'General Inputs'!K$19)</f>
        <v>2016.4251319599546</v>
      </c>
      <c r="CE17" s="214">
        <f>IF(AND(($E17+$C$1)&gt;CE$4,CE$4&gt;=$C$1),$H17,IF(AND(($D17+$C$1)&gt;CE$4,CE$4&gt;=$C$1),$G17,0))*IF($A17="Residential",'General Inputs'!L$14,'General Inputs'!L$19)</f>
        <v>2046.6715089393535</v>
      </c>
      <c r="CF17" s="214">
        <f>IF(AND(($E17+$C$1)&gt;CF$4,CF$4&gt;=$C$1),$H17,IF(AND(($D17+$C$1)&gt;CF$4,CF$4&gt;=$C$1),$G17,0))*IF($A17="Residential",'General Inputs'!M$14,'General Inputs'!M$19)</f>
        <v>2077.3715815734436</v>
      </c>
      <c r="CG17" s="214">
        <f>IF(AND(($E17+$C$1)&gt;CG$4,CG$4&gt;=$C$1),$H17,IF(AND(($D17+$C$1)&gt;CG$4,CG$4&gt;=$C$1),$G17,0))*IF($A17="Residential",'General Inputs'!N$14,'General Inputs'!N$19)</f>
        <v>2108.5321552970454</v>
      </c>
      <c r="CH17" s="214">
        <f>IF(AND(($E17+$C$1)&gt;CH$4,CH$4&gt;=$C$1),$H17,IF(AND(($D17+$C$1)&gt;CH$4,CH$4&gt;=$C$1),$G17,0))*IF($A17="Residential",'General Inputs'!O$14,'General Inputs'!O$19)</f>
        <v>2140.1601376265007</v>
      </c>
      <c r="CI17" s="214">
        <f>IF(AND(($E17+$C$1)&gt;CI$4,CI$4&gt;=$C$1),$H17,IF(AND(($D17+$C$1)&gt;CI$4,CI$4&gt;=$C$1),$G17,0))*IF($A17="Residential",'General Inputs'!P$14,'General Inputs'!P$19)</f>
        <v>2172.2625396908979</v>
      </c>
      <c r="CJ17" s="214">
        <f>IF(AND(($E17+$C$1)&gt;CJ$4,CJ$4&gt;=$C$1),$H17,IF(AND(($D17+$C$1)&gt;CJ$4,CJ$4&gt;=$C$1),$G17,0))*IF($A17="Residential",'General Inputs'!Q$14,'General Inputs'!Q$19)</f>
        <v>2204.8464777862609</v>
      </c>
      <c r="CK17" s="214">
        <f>IF(AND(($E17+$C$1)&gt;CK$4,CK$4&gt;=$C$1),$H17,IF(AND(($D17+$C$1)&gt;CK$4,CK$4&gt;=$C$1),$G17,0))*IF($A17="Residential",'General Inputs'!R$14,'General Inputs'!R$19)</f>
        <v>2237.9191749530546</v>
      </c>
      <c r="CL17" s="214">
        <f>IF(AND(($E17+$C$1)&gt;CL$4,CL$4&gt;=$C$1),$H17,IF(AND(($D17+$C$1)&gt;CL$4,CL$4&gt;=$C$1),$G17,0))*IF($A17="Residential",'General Inputs'!S$14,'General Inputs'!S$19)</f>
        <v>2271.4879625773506</v>
      </c>
      <c r="CM17" s="214">
        <f>IF(AND(($E17+$C$1)&gt;CM$4,CM$4&gt;=$C$1),$H17,IF(AND(($D17+$C$1)&gt;CM$4,CM$4&gt;=$C$1),$G17,0))*IF($A17="Residential",'General Inputs'!T$14,'General Inputs'!T$19)</f>
        <v>2305.5602820160107</v>
      </c>
      <c r="CN17" s="214">
        <f>IF(AND(($E17+$C$1)&gt;CN$4,CN$4&gt;=$C$1),$H17,IF(AND(($D17+$C$1)&gt;CN$4,CN$4&gt;=$C$1),$G17,0))*IF($A17="Residential",'General Inputs'!U$14,'General Inputs'!U$19)</f>
        <v>2340.1436862462506</v>
      </c>
      <c r="CO17" s="214">
        <f>IF(AND(($E17+$C$1)&gt;CO$4,CO$4&gt;=$C$1),$H17,IF(AND(($D17+$C$1)&gt;CO$4,CO$4&gt;=$C$1),$G17,0))*IF($A17="Residential",'General Inputs'!V$14,'General Inputs'!V$19)</f>
        <v>0</v>
      </c>
      <c r="CP17" s="214">
        <f>IF(AND(($E17+$C$1)&gt;CP$4,CP$4&gt;=$C$1),$H17,IF(AND(($D17+$C$1)&gt;CP$4,CP$4&gt;=$C$1),$G17,0))*IF($A17="Residential",'General Inputs'!W$14,'General Inputs'!W$19)</f>
        <v>0</v>
      </c>
      <c r="CR17" s="214">
        <f>IF(AND(($E17+$C$1)&gt;CR$4,CR$4&gt;=$C$1),$H17,IF(AND(($D17+$C$1)&gt;CR$4,CR$4&gt;=$C$1),$G17,0))*IF($A17="Residential",'General Inputs'!D$15,'General Inputs'!D$19)</f>
        <v>1478.0250118021909</v>
      </c>
      <c r="CS17" s="214">
        <f>IF(AND(($E17+$C$1)&gt;CS$4,CS$4&gt;=$C$1),$H17,IF(AND(($D17+$C$1)&gt;CS$4,CS$4&gt;=$C$1),$G17,0))*IF($A17="Residential",'General Inputs'!E$15,'General Inputs'!E$19)</f>
        <v>1500.1953869792235</v>
      </c>
      <c r="CT17" s="214">
        <f>IF(AND(($E17+$C$1)&gt;CT$4,CT$4&gt;=$C$1),$H17,IF(AND(($D17+$C$1)&gt;CT$4,CT$4&gt;=$C$1),$G17,0))*IF($A17="Residential",'General Inputs'!F$15,'General Inputs'!F$19)</f>
        <v>1522.6983177839118</v>
      </c>
      <c r="CU17" s="214">
        <f>IF(AND(($E17+$C$1)&gt;CU$4,CU$4&gt;=$C$1),$H17,IF(AND(($D17+$C$1)&gt;CU$4,CU$4&gt;=$C$1),$G17,0))*IF($A17="Residential",'General Inputs'!G$15,'General Inputs'!G$19)</f>
        <v>1545.5387925506702</v>
      </c>
      <c r="CV17" s="214">
        <f>IF(AND(($E17+$C$1)&gt;CV$4,CV$4&gt;=$C$1),$H17,IF(AND(($D17+$C$1)&gt;CV$4,CV$4&gt;=$C$1),$G17,0))*IF($A17="Residential",'General Inputs'!H$15,'General Inputs'!H$19)</f>
        <v>1568.7218744389302</v>
      </c>
      <c r="CW17" s="214">
        <f>IF(AND(($E17+$C$1)&gt;CW$4,CW$4&gt;=$C$1),$H17,IF(AND(($D17+$C$1)&gt;CW$4,CW$4&gt;=$C$1),$G17,0))*IF($A17="Residential",'General Inputs'!I$15,'General Inputs'!I$19)</f>
        <v>1592.2527025555141</v>
      </c>
      <c r="CX17" s="214">
        <f>IF(AND(($E17+$C$1)&gt;CX$4,CX$4&gt;=$C$1),$H17,IF(AND(($D17+$C$1)&gt;CX$4,CX$4&gt;=$C$1),$G17,0))*IF($A17="Residential",'General Inputs'!J$15,'General Inputs'!J$19)</f>
        <v>1616.1364930938466</v>
      </c>
      <c r="CY17" s="214">
        <f>IF(AND(($E17+$C$1)&gt;CY$4,CY$4&gt;=$C$1),$H17,IF(AND(($D17+$C$1)&gt;CY$4,CY$4&gt;=$C$1),$G17,0))*IF($A17="Residential",'General Inputs'!K$15,'General Inputs'!K$19)</f>
        <v>1640.378540490254</v>
      </c>
      <c r="CZ17" s="214">
        <f>IF(AND(($E17+$C$1)&gt;CZ$4,CZ$4&gt;=$C$1),$H17,IF(AND(($D17+$C$1)&gt;CZ$4,CZ$4&gt;=$C$1),$G17,0))*IF($A17="Residential",'General Inputs'!L$15,'General Inputs'!L$19)</f>
        <v>1664.9842185976077</v>
      </c>
      <c r="DA17" s="214">
        <f>IF(AND(($E17+$C$1)&gt;DA$4,DA$4&gt;=$C$1),$H17,IF(AND(($D17+$C$1)&gt;DA$4,DA$4&gt;=$C$1),$G17,0))*IF($A17="Residential",'General Inputs'!M$15,'General Inputs'!M$19)</f>
        <v>1689.9589818765717</v>
      </c>
      <c r="DB17" s="214">
        <f>IF(AND(($E17+$C$1)&gt;DB$4,DB$4&gt;=$C$1),$H17,IF(AND(($D17+$C$1)&gt;DB$4,DB$4&gt;=$C$1),$G17,0))*IF($A17="Residential",'General Inputs'!N$15,'General Inputs'!N$19)</f>
        <v>1715.30836660472</v>
      </c>
      <c r="DC17" s="214">
        <f>IF(AND(($E17+$C$1)&gt;DC$4,DC$4&gt;=$C$1),$H17,IF(AND(($D17+$C$1)&gt;DC$4,DC$4&gt;=$C$1),$G17,0))*IF($A17="Residential",'General Inputs'!O$15,'General Inputs'!O$19)</f>
        <v>1741.0379921037904</v>
      </c>
      <c r="DD17" s="214">
        <f>IF(AND(($E17+$C$1)&gt;DD$4,DD$4&gt;=$C$1),$H17,IF(AND(($D17+$C$1)&gt;DD$4,DD$4&gt;=$C$1),$G17,0))*IF($A17="Residential",'General Inputs'!P$15,'General Inputs'!P$19)</f>
        <v>1767.1535619853473</v>
      </c>
      <c r="DE17" s="214">
        <f>IF(AND(($E17+$C$1)&gt;DE$4,DE$4&gt;=$C$1),$H17,IF(AND(($D17+$C$1)&gt;DE$4,DE$4&gt;=$C$1),$G17,0))*IF($A17="Residential",'General Inputs'!Q$15,'General Inputs'!Q$19)</f>
        <v>1793.6608654151275</v>
      </c>
      <c r="DF17" s="214">
        <f>IF(AND(($E17+$C$1)&gt;DF$4,DF$4&gt;=$C$1),$H17,IF(AND(($D17+$C$1)&gt;DF$4,DF$4&gt;=$C$1),$G17,0))*IF($A17="Residential",'General Inputs'!R$15,'General Inputs'!R$19)</f>
        <v>1820.5657783963541</v>
      </c>
      <c r="DG17" s="214">
        <f>IF(AND(($E17+$C$1)&gt;DG$4,DG$4&gt;=$C$1),$H17,IF(AND(($D17+$C$1)&gt;DG$4,DG$4&gt;=$C$1),$G17,0))*IF($A17="Residential",'General Inputs'!S$15,'General Inputs'!S$19)</f>
        <v>1847.8742650722993</v>
      </c>
      <c r="DH17" s="214">
        <f>IF(AND(($E17+$C$1)&gt;DH$4,DH$4&gt;=$C$1),$H17,IF(AND(($D17+$C$1)&gt;DH$4,DH$4&gt;=$C$1),$G17,0))*IF($A17="Residential",'General Inputs'!T$15,'General Inputs'!T$19)</f>
        <v>1875.5923790483835</v>
      </c>
      <c r="DI17" s="214">
        <f>IF(AND(($E17+$C$1)&gt;DI$4,DI$4&gt;=$C$1),$H17,IF(AND(($D17+$C$1)&gt;DI$4,DI$4&gt;=$C$1),$G17,0))*IF($A17="Residential",'General Inputs'!U$15,'General Inputs'!U$19)</f>
        <v>1903.726264734109</v>
      </c>
      <c r="DJ17" s="214">
        <f>IF(AND(($E17+$C$1)&gt;DJ$4,DJ$4&gt;=$C$1),$H17,IF(AND(($D17+$C$1)&gt;DJ$4,DJ$4&gt;=$C$1),$G17,0))*IF($A17="Residential",'General Inputs'!V$15,'General Inputs'!V$19)</f>
        <v>0</v>
      </c>
      <c r="DK17" s="214">
        <f>IF(AND(($E17+$C$1)&gt;DK$4,DK$4&gt;=$C$1),$H17,IF(AND(($D17+$C$1)&gt;DK$4,DK$4&gt;=$C$1),$G17,0))*IF($A17="Residential",'General Inputs'!W$15,'General Inputs'!W$19)</f>
        <v>0</v>
      </c>
      <c r="DM17" s="214">
        <f t="shared" ref="DM17:DW32" si="200">IF($C$1=DM$4,$L17*$C17,IF($E17+$C$1=DM$4,-$M17*$C17,0))</f>
        <v>7932.8226975600755</v>
      </c>
      <c r="DN17" s="214">
        <f t="shared" si="105"/>
        <v>0</v>
      </c>
      <c r="DO17" s="214">
        <f t="shared" si="105"/>
        <v>0</v>
      </c>
      <c r="DP17" s="214">
        <f t="shared" si="105"/>
        <v>0</v>
      </c>
      <c r="DQ17" s="214">
        <f t="shared" si="105"/>
        <v>0</v>
      </c>
      <c r="DR17" s="214">
        <f t="shared" si="105"/>
        <v>0</v>
      </c>
      <c r="DS17" s="214">
        <f t="shared" si="105"/>
        <v>0</v>
      </c>
      <c r="DT17" s="214">
        <f t="shared" si="105"/>
        <v>0</v>
      </c>
      <c r="DU17" s="214">
        <f t="shared" si="105"/>
        <v>0</v>
      </c>
      <c r="DV17" s="214">
        <f t="shared" si="105"/>
        <v>0</v>
      </c>
      <c r="DW17" s="214">
        <f t="shared" si="105"/>
        <v>0</v>
      </c>
      <c r="DZ17" s="650"/>
      <c r="FI17" s="195"/>
      <c r="FJ17" s="195"/>
      <c r="FK17" s="195"/>
      <c r="FL17" s="195"/>
      <c r="FM17" s="195"/>
      <c r="FN17" s="195"/>
      <c r="FO17" s="195"/>
    </row>
    <row r="18" spans="1:171">
      <c r="A18" s="342" t="s">
        <v>12</v>
      </c>
      <c r="B18" s="427" t="str">
        <f>'Portfolio Inputs'!A17</f>
        <v>Early Retirement Heat Pump SEER 15</v>
      </c>
      <c r="C18" s="217">
        <f>IF($C$1=2014,'Portfolio Inputs'!$C17,IF($C$1=2015,'Portfolio Inputs'!$D17,'Portfolio Inputs'!$E17))</f>
        <v>1</v>
      </c>
      <c r="D18" s="504">
        <f>VLOOKUP(B18,Sources!$B$4:$J$104,2,FALSE)</f>
        <v>18</v>
      </c>
      <c r="E18" s="504">
        <f>VLOOKUP(B18,Sources!$B$4:$J$104,3,FALSE)</f>
        <v>8</v>
      </c>
      <c r="G18" s="504">
        <f>IF($C$1=2014,'Portfolio Inputs'!$G17,IF($C$1=2015,'Portfolio Inputs'!$H17,'Portfolio Inputs'!$I17))*EnergyLineLoss</f>
        <v>501.30875023570508</v>
      </c>
      <c r="H18" s="504">
        <f>VLOOKUP($B18,Sources!$B$4:$K$104,6,FALSE)*C18*EnergyLineLoss</f>
        <v>3443.3489647058827</v>
      </c>
      <c r="I18" s="504">
        <f>IF($C$1=2014,'Portfolio Inputs'!$K17,IF($C$1=2015,'Portfolio Inputs'!$L17,'Portfolio Inputs'!$M17))*PeakLineLoss</f>
        <v>0.5246773594887183</v>
      </c>
      <c r="J18" s="510">
        <f>VLOOKUP($B18,Sources!$B$4:$K$104,8,FALSE)*C18*PeakLineLoss</f>
        <v>2.0040190526854222</v>
      </c>
      <c r="L18" s="606">
        <f>IF($C$1=2014,'Portfolio Inputs'!$O17,IF($C$1=2015,'Portfolio Inputs'!$P17,'Portfolio Inputs'!$Q17))</f>
        <v>2480.1501390380126</v>
      </c>
      <c r="M18" s="518">
        <f>VLOOKUP($B18,Sources!$B$4:$K$104,10,FALSE)</f>
        <v>2186.3418909802322</v>
      </c>
      <c r="N18" s="419">
        <f>IF($C$1=2014,'Portfolio Inputs'!$W17,IF($C$1=2015,'Portfolio Inputs'!$X17,'Portfolio Inputs'!$Y17))</f>
        <v>1000</v>
      </c>
      <c r="O18" s="419"/>
      <c r="Q18" s="438">
        <f t="shared" ref="Q18" si="201">IF(OR(AE18&gt;0,AC18&gt;0),Y18/(AC18+AE18),"n/a")</f>
        <v>0.86060049410599282</v>
      </c>
      <c r="R18" s="439">
        <f t="shared" ref="R18" si="202">IF(OR(AC18&gt;0,AD18&gt;0),Y18/((AD18+AC18)),"n/a")</f>
        <v>1.1789608724737266</v>
      </c>
      <c r="S18" s="439">
        <f t="shared" ref="S18" si="203">IF(OR(AC18&gt;0,AE18&gt;0),(Y18+Z18)/(AC18+AE18),"n/a")</f>
        <v>1.0491489905164497</v>
      </c>
      <c r="T18" s="439">
        <f t="shared" ref="T18" si="204">IF(AE18&gt;0,(AD18+AA18)/AE18,"n/a")</f>
        <v>3.0804458596485773</v>
      </c>
      <c r="U18" s="439">
        <f t="shared" ref="U18" si="205">IF(AE18&gt;0,(AD18+AB18)/AE18,"n/a")</f>
        <v>2.6421006916368608</v>
      </c>
      <c r="V18" s="439">
        <f t="shared" ref="V18" si="206">IF((AA18+AC18+AD18)&gt;0,Y18/(AA18+AC18+AD18),"n/a")</f>
        <v>0.27937530257524851</v>
      </c>
      <c r="W18" s="439">
        <f t="shared" ref="W18" si="207">IF((AB18+AC18+AD18)&gt;0,Y18/(AB18+AC18+AD18),"n/a")</f>
        <v>0.32572585020324296</v>
      </c>
      <c r="Y18" s="215">
        <f t="shared" ref="Y18" si="208">AG18+NPV(DiscountRate,AH18:AZ18)</f>
        <v>1178.9608724737266</v>
      </c>
      <c r="Z18" s="215">
        <f t="shared" ref="Z18" si="209">BB18+NPV(DiscountRate,BC18:BU18)</f>
        <v>258.29789937850529</v>
      </c>
      <c r="AA18" s="215">
        <f t="shared" ref="AA18" si="210">BW18+NPV(DiscountRate,BX18:CP18)</f>
        <v>3219.9896039707323</v>
      </c>
      <c r="AB18" s="215">
        <f t="shared" ref="AB18" si="211">CR18+NPV(DiscountRate,CS18:DK18)</f>
        <v>2619.4882037704133</v>
      </c>
      <c r="AC18" s="216">
        <f t="shared" ref="AC18" si="212">O18/((1+DiscountRate)^(IF($C$1=2015,1,IF($C$1=2016,2,0))))</f>
        <v>0</v>
      </c>
      <c r="AD18" s="216">
        <f t="shared" ref="AD18" si="213">N18/((1+DiscountRate)^(IF($C$1=2015,1,IF($C$1=2016,2,0))))</f>
        <v>1000</v>
      </c>
      <c r="AE18" s="215">
        <f t="shared" si="35"/>
        <v>1369.9281845038356</v>
      </c>
      <c r="AG18" s="214">
        <f>IF(AND(($E18+$C$1)&gt;AG$4,AG$4&gt;=$C$1),'General Inputs'!D$9*$H18,IF(AND(($D18+$C$1)&gt;AG$4,AG$4&gt;=$C$1),'General Inputs'!D$9*$G18,0))+IF(AND(($E18+$C$1)&gt;AG$4,AG$4&gt;=$C$1),'General Inputs'!D$10*$J18,IF(AND(($D18+$C$1)&gt;AG$4,AG$4&gt;=$C$1),'General Inputs'!D$10*$I18,0))</f>
        <v>167.09580175797041</v>
      </c>
      <c r="AH18" s="214">
        <f>IF(AND(($E18+$C$1)&gt;AH$4,AH$4&gt;=$C$1),'General Inputs'!E$9*$H18,IF(AND(($D18+$C$1)&gt;AH$4,AH$4&gt;=$C$1),'General Inputs'!E$9*$G18,0))+IF(AND(($E18+$C$1)&gt;AH$4,AH$4&gt;=$C$1),'General Inputs'!E$10*$J18,IF(AND(($D18+$C$1)&gt;AH$4,AH$4&gt;=$C$1),'General Inputs'!E$10*$I18,0))</f>
        <v>169.60223878433996</v>
      </c>
      <c r="AI18" s="214">
        <f>IF(AND(($E18+$C$1)&gt;AI$4,AI$4&gt;=$C$1),'General Inputs'!F$9*$H18,IF(AND(($D18+$C$1)&gt;AI$4,AI$4&gt;=$C$1),'General Inputs'!F$9*$G18,0))+IF(AND(($E18+$C$1)&gt;AI$4,AI$4&gt;=$C$1),'General Inputs'!F$10*$J18,IF(AND(($D18+$C$1)&gt;AI$4,AI$4&gt;=$C$1),'General Inputs'!F$10*$I18,0))</f>
        <v>172.14627236610505</v>
      </c>
      <c r="AJ18" s="214">
        <f>IF(AND(($E18+$C$1)&gt;AJ$4,AJ$4&gt;=$C$1),'General Inputs'!G$9*$H18,IF(AND(($D18+$C$1)&gt;AJ$4,AJ$4&gt;=$C$1),'General Inputs'!G$9*$G18,0))+IF(AND(($E18+$C$1)&gt;AJ$4,AJ$4&gt;=$C$1),'General Inputs'!G$10*$J18,IF(AND(($D18+$C$1)&gt;AJ$4,AJ$4&gt;=$C$1),'General Inputs'!G$10*$I18,0))</f>
        <v>174.7284664515966</v>
      </c>
      <c r="AK18" s="214">
        <f>IF(AND(($E18+$C$1)&gt;AK$4,AK$4&gt;=$C$1),'General Inputs'!H$9*$H18,IF(AND(($D18+$C$1)&gt;AK$4,AK$4&gt;=$C$1),'General Inputs'!H$9*$G18,0))+IF(AND(($E18+$C$1)&gt;AK$4,AK$4&gt;=$C$1),'General Inputs'!H$10*$J18,IF(AND(($D18+$C$1)&gt;AK$4,AK$4&gt;=$C$1),'General Inputs'!H$10*$I18,0))</f>
        <v>177.34939344837053</v>
      </c>
      <c r="AL18" s="214">
        <f>IF(AND(($E18+$C$1)&gt;AL$4,AL$4&gt;=$C$1),'General Inputs'!I$9*$H18,IF(AND(($D18+$C$1)&gt;AL$4,AL$4&gt;=$C$1),'General Inputs'!I$9*$G18,0))+IF(AND(($E18+$C$1)&gt;AL$4,AL$4&gt;=$C$1),'General Inputs'!I$10*$J18,IF(AND(($D18+$C$1)&gt;AL$4,AL$4&gt;=$C$1),'General Inputs'!I$10*$I18,0))</f>
        <v>180.00963435009606</v>
      </c>
      <c r="AM18" s="214">
        <f>IF(AND(($E18+$C$1)&gt;AM$4,AM$4&gt;=$C$1),'General Inputs'!J$9*$H18,IF(AND(($D18+$C$1)&gt;AM$4,AM$4&gt;=$C$1),'General Inputs'!J$9*$G18,0))+IF(AND(($E18+$C$1)&gt;AM$4,AM$4&gt;=$C$1),'General Inputs'!J$10*$J18,IF(AND(($D18+$C$1)&gt;AM$4,AM$4&gt;=$C$1),'General Inputs'!J$10*$I18,0))</f>
        <v>182.70977886534749</v>
      </c>
      <c r="AN18" s="214">
        <f>IF(AND(($E18+$C$1)&gt;AN$4,AN$4&gt;=$C$1),'General Inputs'!K$9*$H18,IF(AND(($D18+$C$1)&gt;AN$4,AN$4&gt;=$C$1),'General Inputs'!K$9*$G18,0))+IF(AND(($E18+$C$1)&gt;AN$4,AN$4&gt;=$C$1),'General Inputs'!K$10*$J18,IF(AND(($D18+$C$1)&gt;AN$4,AN$4&gt;=$C$1),'General Inputs'!K$10*$I18,0))</f>
        <v>185.45042554832767</v>
      </c>
      <c r="AO18" s="214">
        <f>IF(AND(($E18+$C$1)&gt;AO$4,AO$4&gt;=$C$1),'General Inputs'!L$9*$H18,IF(AND(($D18+$C$1)&gt;AO$4,AO$4&gt;=$C$1),'General Inputs'!L$9*$G18,0))+IF(AND(($E18+$C$1)&gt;AO$4,AO$4&gt;=$C$1),'General Inputs'!L$10*$J18,IF(AND(($D18+$C$1)&gt;AO$4,AO$4&gt;=$C$1),'General Inputs'!L$10*$I18,0))</f>
        <v>31.333143256899852</v>
      </c>
      <c r="AP18" s="214">
        <f>IF(AND(($E18+$C$1)&gt;AP$4,AP$4&gt;=$C$1),'General Inputs'!M$9*$H18,IF(AND(($D18+$C$1)&gt;AP$4,AP$4&gt;=$C$1),'General Inputs'!M$9*$G18,0))+IF(AND(($E18+$C$1)&gt;AP$4,AP$4&gt;=$C$1),'General Inputs'!M$10*$J18,IF(AND(($D18+$C$1)&gt;AP$4,AP$4&gt;=$C$1),'General Inputs'!M$10*$I18,0))</f>
        <v>31.803140405753346</v>
      </c>
      <c r="AQ18" s="214">
        <f>IF(AND(($E18+$C$1)&gt;AQ$4,AQ$4&gt;=$C$1),'General Inputs'!N$9*$H18,IF(AND(($D18+$C$1)&gt;AQ$4,AQ$4&gt;=$C$1),'General Inputs'!N$9*$G18,0))+IF(AND(($E18+$C$1)&gt;AQ$4,AQ$4&gt;=$C$1),'General Inputs'!N$10*$J18,IF(AND(($D18+$C$1)&gt;AQ$4,AQ$4&gt;=$C$1),'General Inputs'!N$10*$I18,0))</f>
        <v>32.280187511839642</v>
      </c>
      <c r="AR18" s="214">
        <f>IF(AND(($E18+$C$1)&gt;AR$4,AR$4&gt;=$C$1),'General Inputs'!O$9*$H18,IF(AND(($D18+$C$1)&gt;AR$4,AR$4&gt;=$C$1),'General Inputs'!O$9*$G18,0))+IF(AND(($E18+$C$1)&gt;AR$4,AR$4&gt;=$C$1),'General Inputs'!O$10*$J18,IF(AND(($D18+$C$1)&gt;AR$4,AR$4&gt;=$C$1),'General Inputs'!O$10*$I18,0))</f>
        <v>32.764390324517237</v>
      </c>
      <c r="AS18" s="214">
        <f>IF(AND(($E18+$C$1)&gt;AS$4,AS$4&gt;=$C$1),'General Inputs'!P$9*$H18,IF(AND(($D18+$C$1)&gt;AS$4,AS$4&gt;=$C$1),'General Inputs'!P$9*$G18,0))+IF(AND(($E18+$C$1)&gt;AS$4,AS$4&gt;=$C$1),'General Inputs'!P$10*$J18,IF(AND(($D18+$C$1)&gt;AS$4,AS$4&gt;=$C$1),'General Inputs'!P$10*$I18,0))</f>
        <v>33.255856179384992</v>
      </c>
      <c r="AT18" s="214">
        <f>IF(AND(($E18+$C$1)&gt;AT$4,AT$4&gt;=$C$1),'General Inputs'!Q$9*$H18,IF(AND(($D18+$C$1)&gt;AT$4,AT$4&gt;=$C$1),'General Inputs'!Q$9*$G18,0))+IF(AND(($E18+$C$1)&gt;AT$4,AT$4&gt;=$C$1),'General Inputs'!Q$10*$J18,IF(AND(($D18+$C$1)&gt;AT$4,AT$4&gt;=$C$1),'General Inputs'!Q$10*$I18,0))</f>
        <v>33.754694022075761</v>
      </c>
      <c r="AU18" s="214">
        <f>IF(AND(($E18+$C$1)&gt;AU$4,AU$4&gt;=$C$1),'General Inputs'!R$9*$H18,IF(AND(($D18+$C$1)&gt;AU$4,AU$4&gt;=$C$1),'General Inputs'!R$9*$G18,0))+IF(AND(($E18+$C$1)&gt;AU$4,AU$4&gt;=$C$1),'General Inputs'!R$10*$J18,IF(AND(($D18+$C$1)&gt;AU$4,AU$4&gt;=$C$1),'General Inputs'!R$10*$I18,0))</f>
        <v>34.261014432406895</v>
      </c>
      <c r="AV18" s="214">
        <f>IF(AND(($E18+$C$1)&gt;AV$4,AV$4&gt;=$C$1),'General Inputs'!S$9*$H18,IF(AND(($D18+$C$1)&gt;AV$4,AV$4&gt;=$C$1),'General Inputs'!S$9*$G18,0))+IF(AND(($E18+$C$1)&gt;AV$4,AV$4&gt;=$C$1),'General Inputs'!S$10*$J18,IF(AND(($D18+$C$1)&gt;AV$4,AV$4&gt;=$C$1),'General Inputs'!S$10*$I18,0))</f>
        <v>34.774929648893</v>
      </c>
      <c r="AW18" s="214">
        <f>IF(AND(($E18+$C$1)&gt;AW$4,AW$4&gt;=$C$1),'General Inputs'!T$9*$H18,IF(AND(($D18+$C$1)&gt;AW$4,AW$4&gt;=$C$1),'General Inputs'!T$9*$G18,0))+IF(AND(($E18+$C$1)&gt;AW$4,AW$4&gt;=$C$1),'General Inputs'!T$10*$J18,IF(AND(($D18+$C$1)&gt;AW$4,AW$4&gt;=$C$1),'General Inputs'!T$10*$I18,0))</f>
        <v>35.296553593626385</v>
      </c>
      <c r="AX18" s="214">
        <f>IF(AND(($E18+$C$1)&gt;AX$4,AX$4&gt;=$C$1),'General Inputs'!U$9*$H18,IF(AND(($D18+$C$1)&gt;AX$4,AX$4&gt;=$C$1),'General Inputs'!U$9*$G18,0))+IF(AND(($E18+$C$1)&gt;AX$4,AX$4&gt;=$C$1),'General Inputs'!U$10*$J18,IF(AND(($D18+$C$1)&gt;AX$4,AX$4&gt;=$C$1),'General Inputs'!U$10*$I18,0))</f>
        <v>35.826001897530787</v>
      </c>
      <c r="AY18" s="214">
        <f>IF(AND(($E18+$C$1)&gt;AY$4,AY$4&gt;=$C$1),'General Inputs'!V$9*$H18,IF(AND(($D18+$C$1)&gt;AY$4,AY$4&gt;=$C$1),'General Inputs'!V$9*$G18,0))+IF(AND(($E18+$C$1)&gt;AY$4,AY$4&gt;=$C$1),'General Inputs'!V$10*$J18,IF(AND(($D18+$C$1)&gt;AY$4,AY$4&gt;=$C$1),'General Inputs'!V$10*$I18,0))</f>
        <v>0</v>
      </c>
      <c r="AZ18" s="214">
        <f>IF(AND(($E18+$C$1)&gt;AZ$4,AZ$4&gt;=$C$1),'General Inputs'!W$9*$H18,IF(AND(($D18+$C$1)&gt;AZ$4,AZ$4&gt;=$C$1),'General Inputs'!W$9*$G18,0))+IF(AND(($E18+$C$1)&gt;AZ$4,AZ$4&gt;=$C$1),'General Inputs'!W$10*$J18,IF(AND(($D18+$C$1)&gt;AZ$4,AZ$4&gt;=$C$1),'General Inputs'!W$10*$I18,0))</f>
        <v>0</v>
      </c>
      <c r="BB18" s="214">
        <f>IF(AND(($E18+$C$1)&gt;BB$4,BB$4&gt;=$C$1),'General Inputs'!D$11*$H18,IF(AND(($D18+$C$1)&gt;BB$4,BB$4&gt;=$C$1),'General Inputs'!D$11*$G18,0))</f>
        <v>39.254178197647065</v>
      </c>
      <c r="BC18" s="214">
        <f>IF(AND(($E18+$C$1)&gt;BC$4,BC$4&gt;=$C$1),'General Inputs'!E$11*$H18,IF(AND(($D18+$C$1)&gt;BC$4,BC$4&gt;=$C$1),'General Inputs'!E$11*$G18,0))</f>
        <v>39.254178197647065</v>
      </c>
      <c r="BD18" s="214">
        <f>IF(AND(($E18+$C$1)&gt;BD$4,BD$4&gt;=$C$1),'General Inputs'!F$11*$H18,IF(AND(($D18+$C$1)&gt;BD$4,BD$4&gt;=$C$1),'General Inputs'!F$11*$G18,0))</f>
        <v>39.254178197647065</v>
      </c>
      <c r="BE18" s="214">
        <f>IF(AND(($E18+$C$1)&gt;BE$4,BE$4&gt;=$C$1),'General Inputs'!G$11*$H18,IF(AND(($D18+$C$1)&gt;BE$4,BE$4&gt;=$C$1),'General Inputs'!G$11*$G18,0))</f>
        <v>39.254178197647065</v>
      </c>
      <c r="BF18" s="214">
        <f>IF(AND(($E18+$C$1)&gt;BF$4,BF$4&gt;=$C$1),'General Inputs'!H$11*$H18,IF(AND(($D18+$C$1)&gt;BF$4,BF$4&gt;=$C$1),'General Inputs'!H$11*$G18,0))</f>
        <v>39.254178197647065</v>
      </c>
      <c r="BG18" s="214">
        <f>IF(AND(($E18+$C$1)&gt;BG$4,BG$4&gt;=$C$1),'General Inputs'!I$11*$H18,IF(AND(($D18+$C$1)&gt;BG$4,BG$4&gt;=$C$1),'General Inputs'!I$11*$G18,0))</f>
        <v>39.254178197647065</v>
      </c>
      <c r="BH18" s="214">
        <f>IF(AND(($E18+$C$1)&gt;BH$4,BH$4&gt;=$C$1),'General Inputs'!J$11*$H18,IF(AND(($D18+$C$1)&gt;BH$4,BH$4&gt;=$C$1),'General Inputs'!J$11*$G18,0))</f>
        <v>39.254178197647065</v>
      </c>
      <c r="BI18" s="214">
        <f>IF(AND(($E18+$C$1)&gt;BI$4,BI$4&gt;=$C$1),'General Inputs'!K$11*$H18,IF(AND(($D18+$C$1)&gt;BI$4,BI$4&gt;=$C$1),'General Inputs'!K$11*$G18,0))</f>
        <v>39.254178197647065</v>
      </c>
      <c r="BJ18" s="214">
        <f>IF(AND(($E18+$C$1)&gt;BJ$4,BJ$4&gt;=$C$1),'General Inputs'!L$11*$H18,IF(AND(($D18+$C$1)&gt;BJ$4,BJ$4&gt;=$C$1),'General Inputs'!L$11*$G18,0))</f>
        <v>5.7149197526870381</v>
      </c>
      <c r="BK18" s="214">
        <f>IF(AND(($E18+$C$1)&gt;BK$4,BK$4&gt;=$C$1),'General Inputs'!M$11*$H18,IF(AND(($D18+$C$1)&gt;BK$4,BK$4&gt;=$C$1),'General Inputs'!M$11*$G18,0))</f>
        <v>5.7149197526870381</v>
      </c>
      <c r="BL18" s="214">
        <f>IF(AND(($E18+$C$1)&gt;BL$4,BL$4&gt;=$C$1),'General Inputs'!N$11*$H18,IF(AND(($D18+$C$1)&gt;BL$4,BL$4&gt;=$C$1),'General Inputs'!N$11*$G18,0))</f>
        <v>5.7149197526870381</v>
      </c>
      <c r="BM18" s="214">
        <f>IF(AND(($E18+$C$1)&gt;BM$4,BM$4&gt;=$C$1),'General Inputs'!O$11*$H18,IF(AND(($D18+$C$1)&gt;BM$4,BM$4&gt;=$C$1),'General Inputs'!O$11*$G18,0))</f>
        <v>5.7149197526870381</v>
      </c>
      <c r="BN18" s="214">
        <f>IF(AND(($E18+$C$1)&gt;BN$4,BN$4&gt;=$C$1),'General Inputs'!P$11*$H18,IF(AND(($D18+$C$1)&gt;BN$4,BN$4&gt;=$C$1),'General Inputs'!P$11*$G18,0))</f>
        <v>5.7149197526870381</v>
      </c>
      <c r="BO18" s="214">
        <f>IF(AND(($E18+$C$1)&gt;BO$4,BO$4&gt;=$C$1),'General Inputs'!Q$11*$H18,IF(AND(($D18+$C$1)&gt;BO$4,BO$4&gt;=$C$1),'General Inputs'!Q$11*$G18,0))</f>
        <v>5.7149197526870381</v>
      </c>
      <c r="BP18" s="214">
        <f>IF(AND(($E18+$C$1)&gt;BP$4,BP$4&gt;=$C$1),'General Inputs'!R$11*$H18,IF(AND(($D18+$C$1)&gt;BP$4,BP$4&gt;=$C$1),'General Inputs'!R$11*$G18,0))</f>
        <v>5.7149197526870381</v>
      </c>
      <c r="BQ18" s="214">
        <f>IF(AND(($E18+$C$1)&gt;BQ$4,BQ$4&gt;=$C$1),'General Inputs'!S$11*$H18,IF(AND(($D18+$C$1)&gt;BQ$4,BQ$4&gt;=$C$1),'General Inputs'!S$11*$G18,0))</f>
        <v>5.7149197526870381</v>
      </c>
      <c r="BR18" s="214">
        <f>IF(AND(($E18+$C$1)&gt;BR$4,BR$4&gt;=$C$1),'General Inputs'!T$11*$H18,IF(AND(($D18+$C$1)&gt;BR$4,BR$4&gt;=$C$1),'General Inputs'!T$11*$G18,0))</f>
        <v>5.7149197526870381</v>
      </c>
      <c r="BS18" s="214">
        <f>IF(AND(($E18+$C$1)&gt;BS$4,BS$4&gt;=$C$1),'General Inputs'!U$11*$H18,IF(AND(($D18+$C$1)&gt;BS$4,BS$4&gt;=$C$1),'General Inputs'!U$11*$G18,0))</f>
        <v>5.7149197526870381</v>
      </c>
      <c r="BT18" s="214">
        <f>IF(AND(($E18+$C$1)&gt;BT$4,BT$4&gt;=$C$1),'General Inputs'!V$11*$H18,IF(AND(($D18+$C$1)&gt;BT$4,BT$4&gt;=$C$1),'General Inputs'!V$11*$G18,0))</f>
        <v>0</v>
      </c>
      <c r="BU18" s="214">
        <f>IF(AND(($E18+$C$1)&gt;BU$4,BU$4&gt;=$C$1),'General Inputs'!W$11*$H18,IF(AND(($D18+$C$1)&gt;BU$4,BU$4&gt;=$C$1),'General Inputs'!W$11*$G18,0))</f>
        <v>0</v>
      </c>
      <c r="BW18" s="214">
        <f>IF(AND(($E18+$C$1)&gt;BW$4,BW$4&gt;=$C$1),$H18,IF(AND(($D18+$C$1)&gt;BW$4,BW$4&gt;=$C$1),$G18,0))*IF($A18="Residential",'General Inputs'!D$14,'General Inputs'!D$19)</f>
        <v>462.20197287797481</v>
      </c>
      <c r="BX18" s="214">
        <f>IF(AND(($E18+$C$1)&gt;BX$4,BX$4&gt;=$C$1),$H18,IF(AND(($D18+$C$1)&gt;BX$4,BX$4&gt;=$C$1),$G18,0))*IF($A18="Residential",'General Inputs'!E$14,'General Inputs'!E$19)</f>
        <v>469.13500247114439</v>
      </c>
      <c r="BY18" s="214">
        <f>IF(AND(($E18+$C$1)&gt;BY$4,BY$4&gt;=$C$1),$H18,IF(AND(($D18+$C$1)&gt;BY$4,BY$4&gt;=$C$1),$G18,0))*IF($A18="Residential",'General Inputs'!F$14,'General Inputs'!F$19)</f>
        <v>476.17202750821144</v>
      </c>
      <c r="BZ18" s="214">
        <f>IF(AND(($E18+$C$1)&gt;BZ$4,BZ$4&gt;=$C$1),$H18,IF(AND(($D18+$C$1)&gt;BZ$4,BZ$4&gt;=$C$1),$G18,0))*IF($A18="Residential",'General Inputs'!G$14,'General Inputs'!G$19)</f>
        <v>483.31460792083453</v>
      </c>
      <c r="CA18" s="214">
        <f>IF(AND(($E18+$C$1)&gt;CA$4,CA$4&gt;=$C$1),$H18,IF(AND(($D18+$C$1)&gt;CA$4,CA$4&gt;=$C$1),$G18,0))*IF($A18="Residential",'General Inputs'!H$14,'General Inputs'!H$19)</f>
        <v>490.56432703964697</v>
      </c>
      <c r="CB18" s="214">
        <f>IF(AND(($E18+$C$1)&gt;CB$4,CB$4&gt;=$C$1),$H18,IF(AND(($D18+$C$1)&gt;CB$4,CB$4&gt;=$C$1),$G18,0))*IF($A18="Residential",'General Inputs'!I$14,'General Inputs'!I$19)</f>
        <v>497.92279194524167</v>
      </c>
      <c r="CC18" s="214">
        <f>IF(AND(($E18+$C$1)&gt;CC$4,CC$4&gt;=$C$1),$H18,IF(AND(($D18+$C$1)&gt;CC$4,CC$4&gt;=$C$1),$G18,0))*IF($A18="Residential",'General Inputs'!J$14,'General Inputs'!J$19)</f>
        <v>505.39163382442018</v>
      </c>
      <c r="CD18" s="214">
        <f>IF(AND(($E18+$C$1)&gt;CD$4,CD$4&gt;=$C$1),$H18,IF(AND(($D18+$C$1)&gt;CD$4,CD$4&gt;=$C$1),$G18,0))*IF($A18="Residential",'General Inputs'!K$14,'General Inputs'!K$19)</f>
        <v>512.97250833178646</v>
      </c>
      <c r="CE18" s="214">
        <f>IF(AND(($E18+$C$1)&gt;CE$4,CE$4&gt;=$C$1),$H18,IF(AND(($D18+$C$1)&gt;CE$4,CE$4&gt;=$C$1),$G18,0))*IF($A18="Residential",'General Inputs'!L$14,'General Inputs'!L$19)</f>
        <v>75.802648479235316</v>
      </c>
      <c r="CF18" s="214">
        <f>IF(AND(($E18+$C$1)&gt;CF$4,CF$4&gt;=$C$1),$H18,IF(AND(($D18+$C$1)&gt;CF$4,CF$4&gt;=$C$1),$G18,0))*IF($A18="Residential",'General Inputs'!M$14,'General Inputs'!M$19)</f>
        <v>76.939688206423838</v>
      </c>
      <c r="CG18" s="214">
        <f>IF(AND(($E18+$C$1)&gt;CG$4,CG$4&gt;=$C$1),$H18,IF(AND(($D18+$C$1)&gt;CG$4,CG$4&gt;=$C$1),$G18,0))*IF($A18="Residential",'General Inputs'!N$14,'General Inputs'!N$19)</f>
        <v>78.093783529520181</v>
      </c>
      <c r="CH18" s="214">
        <f>IF(AND(($E18+$C$1)&gt;CH$4,CH$4&gt;=$C$1),$H18,IF(AND(($D18+$C$1)&gt;CH$4,CH$4&gt;=$C$1),$G18,0))*IF($A18="Residential",'General Inputs'!O$14,'General Inputs'!O$19)</f>
        <v>79.265190282462981</v>
      </c>
      <c r="CI18" s="214">
        <f>IF(AND(($E18+$C$1)&gt;CI$4,CI$4&gt;=$C$1),$H18,IF(AND(($D18+$C$1)&gt;CI$4,CI$4&gt;=$C$1),$G18,0))*IF($A18="Residential",'General Inputs'!P$14,'General Inputs'!P$19)</f>
        <v>80.45416813669992</v>
      </c>
      <c r="CJ18" s="214">
        <f>IF(AND(($E18+$C$1)&gt;CJ$4,CJ$4&gt;=$C$1),$H18,IF(AND(($D18+$C$1)&gt;CJ$4,CJ$4&gt;=$C$1),$G18,0))*IF($A18="Residential",'General Inputs'!Q$14,'General Inputs'!Q$19)</f>
        <v>81.660980658750404</v>
      </c>
      <c r="CK18" s="214">
        <f>IF(AND(($E18+$C$1)&gt;CK$4,CK$4&gt;=$C$1),$H18,IF(AND(($D18+$C$1)&gt;CK$4,CK$4&gt;=$C$1),$G18,0))*IF($A18="Residential",'General Inputs'!R$14,'General Inputs'!R$19)</f>
        <v>82.885895368631651</v>
      </c>
      <c r="CL18" s="214">
        <f>IF(AND(($E18+$C$1)&gt;CL$4,CL$4&gt;=$C$1),$H18,IF(AND(($D18+$C$1)&gt;CL$4,CL$4&gt;=$C$1),$G18,0))*IF($A18="Residential",'General Inputs'!S$14,'General Inputs'!S$19)</f>
        <v>84.129183799161126</v>
      </c>
      <c r="CM18" s="214">
        <f>IF(AND(($E18+$C$1)&gt;CM$4,CM$4&gt;=$C$1),$H18,IF(AND(($D18+$C$1)&gt;CM$4,CM$4&gt;=$C$1),$G18,0))*IF($A18="Residential",'General Inputs'!T$14,'General Inputs'!T$19)</f>
        <v>85.391121556148534</v>
      </c>
      <c r="CN18" s="214">
        <f>IF(AND(($E18+$C$1)&gt;CN$4,CN$4&gt;=$C$1),$H18,IF(AND(($D18+$C$1)&gt;CN$4,CN$4&gt;=$C$1),$G18,0))*IF($A18="Residential",'General Inputs'!U$14,'General Inputs'!U$19)</f>
        <v>86.671988379490742</v>
      </c>
      <c r="CO18" s="214">
        <f>IF(AND(($E18+$C$1)&gt;CO$4,CO$4&gt;=$C$1),$H18,IF(AND(($D18+$C$1)&gt;CO$4,CO$4&gt;=$C$1),$G18,0))*IF($A18="Residential",'General Inputs'!V$14,'General Inputs'!V$19)</f>
        <v>0</v>
      </c>
      <c r="CP18" s="214">
        <f>IF(AND(($E18+$C$1)&gt;CP$4,CP$4&gt;=$C$1),$H18,IF(AND(($D18+$C$1)&gt;CP$4,CP$4&gt;=$C$1),$G18,0))*IF($A18="Residential",'General Inputs'!W$14,'General Inputs'!W$19)</f>
        <v>0</v>
      </c>
      <c r="CR18" s="214">
        <f>IF(AND(($E18+$C$1)&gt;CR$4,CR$4&gt;=$C$1),$H18,IF(AND(($D18+$C$1)&gt;CR$4,CR$4&gt;=$C$1),$G18,0))*IF($A18="Residential",'General Inputs'!D$15,'General Inputs'!D$19)</f>
        <v>376.00513188621841</v>
      </c>
      <c r="CS18" s="214">
        <f>IF(AND(($E18+$C$1)&gt;CS$4,CS$4&gt;=$C$1),$H18,IF(AND(($D18+$C$1)&gt;CS$4,CS$4&gt;=$C$1),$G18,0))*IF($A18="Residential",'General Inputs'!E$15,'General Inputs'!E$19)</f>
        <v>381.64520886451163</v>
      </c>
      <c r="CT18" s="214">
        <f>IF(AND(($E18+$C$1)&gt;CT$4,CT$4&gt;=$C$1),$H18,IF(AND(($D18+$C$1)&gt;CT$4,CT$4&gt;=$C$1),$G18,0))*IF($A18="Residential",'General Inputs'!F$15,'General Inputs'!F$19)</f>
        <v>387.36988699747928</v>
      </c>
      <c r="CU18" s="214">
        <f>IF(AND(($E18+$C$1)&gt;CU$4,CU$4&gt;=$C$1),$H18,IF(AND(($D18+$C$1)&gt;CU$4,CU$4&gt;=$C$1),$G18,0))*IF($A18="Residential",'General Inputs'!G$15,'General Inputs'!G$19)</f>
        <v>393.18043530244142</v>
      </c>
      <c r="CV18" s="214">
        <f>IF(AND(($E18+$C$1)&gt;CV$4,CV$4&gt;=$C$1),$H18,IF(AND(($D18+$C$1)&gt;CV$4,CV$4&gt;=$C$1),$G18,0))*IF($A18="Residential",'General Inputs'!H$15,'General Inputs'!H$19)</f>
        <v>399.07814183197803</v>
      </c>
      <c r="CW18" s="214">
        <f>IF(AND(($E18+$C$1)&gt;CW$4,CW$4&gt;=$C$1),$H18,IF(AND(($D18+$C$1)&gt;CW$4,CW$4&gt;=$C$1),$G18,0))*IF($A18="Residential",'General Inputs'!I$15,'General Inputs'!I$19)</f>
        <v>405.06431395945765</v>
      </c>
      <c r="CX18" s="214">
        <f>IF(AND(($E18+$C$1)&gt;CX$4,CX$4&gt;=$C$1),$H18,IF(AND(($D18+$C$1)&gt;CX$4,CX$4&gt;=$C$1),$G18,0))*IF($A18="Residential",'General Inputs'!J$15,'General Inputs'!J$19)</f>
        <v>411.14027866884948</v>
      </c>
      <c r="CY18" s="214">
        <f>IF(AND(($E18+$C$1)&gt;CY$4,CY$4&gt;=$C$1),$H18,IF(AND(($D18+$C$1)&gt;CY$4,CY$4&gt;=$C$1),$G18,0))*IF($A18="Residential",'General Inputs'!K$15,'General Inputs'!K$19)</f>
        <v>417.30738284888218</v>
      </c>
      <c r="CZ18" s="214">
        <f>IF(AND(($E18+$C$1)&gt;CZ$4,CZ$4&gt;=$C$1),$H18,IF(AND(($D18+$C$1)&gt;CZ$4,CZ$4&gt;=$C$1),$G18,0))*IF($A18="Residential",'General Inputs'!L$15,'General Inputs'!L$19)</f>
        <v>61.666082170281761</v>
      </c>
      <c r="DA18" s="214">
        <f>IF(AND(($E18+$C$1)&gt;DA$4,DA$4&gt;=$C$1),$H18,IF(AND(($D18+$C$1)&gt;DA$4,DA$4&gt;=$C$1),$G18,0))*IF($A18="Residential",'General Inputs'!M$15,'General Inputs'!M$19)</f>
        <v>62.591073402835981</v>
      </c>
      <c r="DB18" s="214">
        <f>IF(AND(($E18+$C$1)&gt;DB$4,DB$4&gt;=$C$1),$H18,IF(AND(($D18+$C$1)&gt;DB$4,DB$4&gt;=$C$1),$G18,0))*IF($A18="Residential",'General Inputs'!N$15,'General Inputs'!N$19)</f>
        <v>63.529939503878509</v>
      </c>
      <c r="DC18" s="214">
        <f>IF(AND(($E18+$C$1)&gt;DC$4,DC$4&gt;=$C$1),$H18,IF(AND(($D18+$C$1)&gt;DC$4,DC$4&gt;=$C$1),$G18,0))*IF($A18="Residential",'General Inputs'!O$15,'General Inputs'!O$19)</f>
        <v>64.48288859643668</v>
      </c>
      <c r="DD18" s="214">
        <f>IF(AND(($E18+$C$1)&gt;DD$4,DD$4&gt;=$C$1),$H18,IF(AND(($D18+$C$1)&gt;DD$4,DD$4&gt;=$C$1),$G18,0))*IF($A18="Residential",'General Inputs'!P$15,'General Inputs'!P$19)</f>
        <v>65.450131925383232</v>
      </c>
      <c r="DE18" s="214">
        <f>IF(AND(($E18+$C$1)&gt;DE$4,DE$4&gt;=$C$1),$H18,IF(AND(($D18+$C$1)&gt;DE$4,DE$4&gt;=$C$1),$G18,0))*IF($A18="Residential",'General Inputs'!Q$15,'General Inputs'!Q$19)</f>
        <v>66.431883904263969</v>
      </c>
      <c r="DF18" s="214">
        <f>IF(AND(($E18+$C$1)&gt;DF$4,DF$4&gt;=$C$1),$H18,IF(AND(($D18+$C$1)&gt;DF$4,DF$4&gt;=$C$1),$G18,0))*IF($A18="Residential",'General Inputs'!R$15,'General Inputs'!R$19)</f>
        <v>67.428362162827923</v>
      </c>
      <c r="DG18" s="214">
        <f>IF(AND(($E18+$C$1)&gt;DG$4,DG$4&gt;=$C$1),$H18,IF(AND(($D18+$C$1)&gt;DG$4,DG$4&gt;=$C$1),$G18,0))*IF($A18="Residential",'General Inputs'!S$15,'General Inputs'!S$19)</f>
        <v>68.439787595270332</v>
      </c>
      <c r="DH18" s="214">
        <f>IF(AND(($E18+$C$1)&gt;DH$4,DH$4&gt;=$C$1),$H18,IF(AND(($D18+$C$1)&gt;DH$4,DH$4&gt;=$C$1),$G18,0))*IF($A18="Residential",'General Inputs'!T$15,'General Inputs'!T$19)</f>
        <v>69.466384409199378</v>
      </c>
      <c r="DI18" s="214">
        <f>IF(AND(($E18+$C$1)&gt;DI$4,DI$4&gt;=$C$1),$H18,IF(AND(($D18+$C$1)&gt;DI$4,DI$4&gt;=$C$1),$G18,0))*IF($A18="Residential",'General Inputs'!U$15,'General Inputs'!U$19)</f>
        <v>70.508380175337365</v>
      </c>
      <c r="DJ18" s="214">
        <f>IF(AND(($E18+$C$1)&gt;DJ$4,DJ$4&gt;=$C$1),$H18,IF(AND(($D18+$C$1)&gt;DJ$4,DJ$4&gt;=$C$1),$G18,0))*IF($A18="Residential",'General Inputs'!V$15,'General Inputs'!V$19)</f>
        <v>0</v>
      </c>
      <c r="DK18" s="214">
        <f>IF(AND(($E18+$C$1)&gt;DK$4,DK$4&gt;=$C$1),$H18,IF(AND(($D18+$C$1)&gt;DK$4,DK$4&gt;=$C$1),$G18,0))*IF($A18="Residential",'General Inputs'!W$15,'General Inputs'!W$19)</f>
        <v>0</v>
      </c>
      <c r="DM18" s="214">
        <f t="shared" si="200"/>
        <v>2480.1501390380126</v>
      </c>
      <c r="DN18" s="214">
        <f t="shared" si="105"/>
        <v>0</v>
      </c>
      <c r="DO18" s="214">
        <f t="shared" si="105"/>
        <v>0</v>
      </c>
      <c r="DP18" s="214">
        <f t="shared" si="105"/>
        <v>0</v>
      </c>
      <c r="DQ18" s="214">
        <f t="shared" si="105"/>
        <v>0</v>
      </c>
      <c r="DR18" s="214">
        <f t="shared" si="105"/>
        <v>0</v>
      </c>
      <c r="DS18" s="214">
        <f t="shared" si="105"/>
        <v>0</v>
      </c>
      <c r="DT18" s="214">
        <f t="shared" si="105"/>
        <v>0</v>
      </c>
      <c r="DU18" s="214">
        <f t="shared" si="105"/>
        <v>-2186.3418909802322</v>
      </c>
      <c r="DV18" s="214">
        <f t="shared" si="105"/>
        <v>0</v>
      </c>
      <c r="DW18" s="214">
        <f t="shared" si="105"/>
        <v>0</v>
      </c>
      <c r="DZ18" s="650"/>
      <c r="FI18" s="195"/>
      <c r="FJ18" s="195"/>
      <c r="FK18" s="195"/>
      <c r="FL18" s="195"/>
      <c r="FM18" s="195"/>
      <c r="FN18" s="195"/>
      <c r="FO18" s="195"/>
    </row>
    <row r="19" spans="1:171">
      <c r="A19" s="342" t="s">
        <v>12</v>
      </c>
      <c r="B19" s="427" t="str">
        <f>'Portfolio Inputs'!A18</f>
        <v>Heat Pump Water Heater</v>
      </c>
      <c r="C19" s="217">
        <f>IF($C$1=2014,'Portfolio Inputs'!$C18,IF($C$1=2015,'Portfolio Inputs'!$D18,'Portfolio Inputs'!$E18))</f>
        <v>4</v>
      </c>
      <c r="D19" s="504">
        <f>VLOOKUP(B19,Sources!$B$4:$J$104,2,FALSE)</f>
        <v>15</v>
      </c>
      <c r="E19" s="504">
        <f>VLOOKUP(B19,Sources!$B$4:$J$104,3,FALSE)</f>
        <v>0</v>
      </c>
      <c r="G19" s="504">
        <f>IF($C$1=2014,'Portfolio Inputs'!$G18,IF($C$1=2015,'Portfolio Inputs'!$H18,'Portfolio Inputs'!$I18))*EnergyLineLoss</f>
        <v>7260.7734353717369</v>
      </c>
      <c r="H19" s="504">
        <f>VLOOKUP($B19,Sources!$B$4:$K$104,6,FALSE)*C19*EnergyLineLoss</f>
        <v>0</v>
      </c>
      <c r="I19" s="504">
        <f>IF($C$1=2014,'Portfolio Inputs'!$K18,IF($C$1=2015,'Portfolio Inputs'!$L18,'Portfolio Inputs'!$M18))*PeakLineLoss</f>
        <v>0.34397663333778461</v>
      </c>
      <c r="J19" s="510">
        <f>VLOOKUP($B19,Sources!$B$4:$K$104,8,FALSE)*C19*PeakLineLoss</f>
        <v>0</v>
      </c>
      <c r="L19" s="606">
        <f>IF($C$1=2014,'Portfolio Inputs'!$O18,IF($C$1=2015,'Portfolio Inputs'!$P18,'Portfolio Inputs'!$Q18))</f>
        <v>700</v>
      </c>
      <c r="M19" s="518">
        <f>VLOOKUP($B19,Sources!$B$4:$K$104,10,FALSE)</f>
        <v>0</v>
      </c>
      <c r="N19" s="419">
        <f>IF($C$1=2014,'Portfolio Inputs'!$W18,IF($C$1=2015,'Portfolio Inputs'!$X18,'Portfolio Inputs'!$Y18))</f>
        <v>1000</v>
      </c>
      <c r="O19" s="419"/>
      <c r="Q19" s="438">
        <f t="shared" ref="Q19" si="214">IF(OR(AE19&gt;0,AC19&gt;0),Y19/(AC19+AE19),"n/a")</f>
        <v>1.0114102808052037</v>
      </c>
      <c r="R19" s="439">
        <f t="shared" ref="R19" si="215">IF(OR(AC19&gt;0,AD19&gt;0),Y19/((AD19+AC19)),"n/a")</f>
        <v>2.83194878625457</v>
      </c>
      <c r="S19" s="439">
        <f t="shared" ref="S19" si="216">IF(OR(AC19&gt;0,AE19&gt;0),(Y19+Z19)/(AC19+AE19),"n/a")</f>
        <v>1.2732306959291486</v>
      </c>
      <c r="T19" s="439">
        <f t="shared" ref="T19" si="217">IF(AE19&gt;0,(AD19+AA19)/AE19,"n/a")</f>
        <v>3.7074984179573196</v>
      </c>
      <c r="U19" s="439">
        <f t="shared" ref="U19" si="218">IF(AE19&gt;0,(AD19+AB19)/AE19,"n/a")</f>
        <v>3.0826848462125409</v>
      </c>
      <c r="V19" s="439">
        <f t="shared" ref="V19" si="219">IF((AA19+AC19+AD19)&gt;0,Y19/(AA19+AC19+AD19),"n/a")</f>
        <v>0.27280127104206547</v>
      </c>
      <c r="W19" s="439">
        <f t="shared" ref="W19" si="220">IF((AB19+AC19+AD19)&gt;0,Y19/(AB19+AC19+AD19),"n/a")</f>
        <v>0.32809396070696167</v>
      </c>
      <c r="Y19" s="215">
        <f t="shared" ref="Y19" si="221">AG19+NPV(DiscountRate,AH19:AZ19)</f>
        <v>2831.9487862545702</v>
      </c>
      <c r="Z19" s="215">
        <f t="shared" ref="Z19" si="222">BB19+NPV(DiscountRate,BC19:BU19)</f>
        <v>733.0971623470457</v>
      </c>
      <c r="AA19" s="215">
        <f t="shared" ref="AA19" si="223">BW19+NPV(DiscountRate,BX19:CP19)</f>
        <v>9380.9955702804946</v>
      </c>
      <c r="AB19" s="215">
        <f t="shared" ref="AB19" si="224">CR19+NPV(DiscountRate,CS19:DK19)</f>
        <v>7631.5175693951151</v>
      </c>
      <c r="AC19" s="216">
        <f t="shared" ref="AC19" si="225">O19/((1+DiscountRate)^(IF($C$1=2015,1,IF($C$1=2016,2,0))))</f>
        <v>0</v>
      </c>
      <c r="AD19" s="216">
        <f t="shared" ref="AD19" si="226">N19/((1+DiscountRate)^(IF($C$1=2015,1,IF($C$1=2016,2,0))))</f>
        <v>1000</v>
      </c>
      <c r="AE19" s="215">
        <f t="shared" ref="AE19" si="227">DM19+NPV(DiscountRate,DN19:DW19)</f>
        <v>2800</v>
      </c>
      <c r="AG19" s="214">
        <f>IF(AND(($E19+$C$1)&gt;AG$4,AG$4&gt;=$C$1),'General Inputs'!D$9*$H19,IF(AND(($D19+$C$1)&gt;AG$4,AG$4&gt;=$C$1),'General Inputs'!D$9*$G19,0))+IF(AND(($E19+$C$1)&gt;AG$4,AG$4&gt;=$C$1),'General Inputs'!D$10*$J19,IF(AND(($D19+$C$1)&gt;AG$4,AG$4&gt;=$C$1),'General Inputs'!D$10*$I19,0))</f>
        <v>294.21858749375593</v>
      </c>
      <c r="AH19" s="214">
        <f>IF(AND(($E19+$C$1)&gt;AH$4,AH$4&gt;=$C$1),'General Inputs'!E$9*$H19,IF(AND(($D19+$C$1)&gt;AH$4,AH$4&gt;=$C$1),'General Inputs'!E$9*$G19,0))+IF(AND(($E19+$C$1)&gt;AH$4,AH$4&gt;=$C$1),'General Inputs'!E$10*$J19,IF(AND(($D19+$C$1)&gt;AH$4,AH$4&gt;=$C$1),'General Inputs'!E$10*$I19,0))</f>
        <v>298.63186630616224</v>
      </c>
      <c r="AI19" s="214">
        <f>IF(AND(($E19+$C$1)&gt;AI$4,AI$4&gt;=$C$1),'General Inputs'!F$9*$H19,IF(AND(($D19+$C$1)&gt;AI$4,AI$4&gt;=$C$1),'General Inputs'!F$9*$G19,0))+IF(AND(($E19+$C$1)&gt;AI$4,AI$4&gt;=$C$1),'General Inputs'!F$10*$J19,IF(AND(($D19+$C$1)&gt;AI$4,AI$4&gt;=$C$1),'General Inputs'!F$10*$I19,0))</f>
        <v>303.11134430075464</v>
      </c>
      <c r="AJ19" s="214">
        <f>IF(AND(($E19+$C$1)&gt;AJ$4,AJ$4&gt;=$C$1),'General Inputs'!G$9*$H19,IF(AND(($D19+$C$1)&gt;AJ$4,AJ$4&gt;=$C$1),'General Inputs'!G$9*$G19,0))+IF(AND(($E19+$C$1)&gt;AJ$4,AJ$4&gt;=$C$1),'General Inputs'!G$10*$J19,IF(AND(($D19+$C$1)&gt;AJ$4,AJ$4&gt;=$C$1),'General Inputs'!G$10*$I19,0))</f>
        <v>307.65801446526592</v>
      </c>
      <c r="AK19" s="214">
        <f>IF(AND(($E19+$C$1)&gt;AK$4,AK$4&gt;=$C$1),'General Inputs'!H$9*$H19,IF(AND(($D19+$C$1)&gt;AK$4,AK$4&gt;=$C$1),'General Inputs'!H$9*$G19,0))+IF(AND(($E19+$C$1)&gt;AK$4,AK$4&gt;=$C$1),'General Inputs'!H$10*$J19,IF(AND(($D19+$C$1)&gt;AK$4,AK$4&gt;=$C$1),'General Inputs'!H$10*$I19,0))</f>
        <v>312.27288468224486</v>
      </c>
      <c r="AL19" s="214">
        <f>IF(AND(($E19+$C$1)&gt;AL$4,AL$4&gt;=$C$1),'General Inputs'!I$9*$H19,IF(AND(($D19+$C$1)&gt;AL$4,AL$4&gt;=$C$1),'General Inputs'!I$9*$G19,0))+IF(AND(($E19+$C$1)&gt;AL$4,AL$4&gt;=$C$1),'General Inputs'!I$10*$J19,IF(AND(($D19+$C$1)&gt;AL$4,AL$4&gt;=$C$1),'General Inputs'!I$10*$I19,0))</f>
        <v>316.9569779524785</v>
      </c>
      <c r="AM19" s="214">
        <f>IF(AND(($E19+$C$1)&gt;AM$4,AM$4&gt;=$C$1),'General Inputs'!J$9*$H19,IF(AND(($D19+$C$1)&gt;AM$4,AM$4&gt;=$C$1),'General Inputs'!J$9*$G19,0))+IF(AND(($E19+$C$1)&gt;AM$4,AM$4&gt;=$C$1),'General Inputs'!J$10*$J19,IF(AND(($D19+$C$1)&gt;AM$4,AM$4&gt;=$C$1),'General Inputs'!J$10*$I19,0))</f>
        <v>321.71133262176562</v>
      </c>
      <c r="AN19" s="214">
        <f>IF(AND(($E19+$C$1)&gt;AN$4,AN$4&gt;=$C$1),'General Inputs'!K$9*$H19,IF(AND(($D19+$C$1)&gt;AN$4,AN$4&gt;=$C$1),'General Inputs'!K$9*$G19,0))+IF(AND(($E19+$C$1)&gt;AN$4,AN$4&gt;=$C$1),'General Inputs'!K$10*$J19,IF(AND(($D19+$C$1)&gt;AN$4,AN$4&gt;=$C$1),'General Inputs'!K$10*$I19,0))</f>
        <v>326.53700261109208</v>
      </c>
      <c r="AO19" s="214">
        <f>IF(AND(($E19+$C$1)&gt;AO$4,AO$4&gt;=$C$1),'General Inputs'!L$9*$H19,IF(AND(($D19+$C$1)&gt;AO$4,AO$4&gt;=$C$1),'General Inputs'!L$9*$G19,0))+IF(AND(($E19+$C$1)&gt;AO$4,AO$4&gt;=$C$1),'General Inputs'!L$10*$J19,IF(AND(($D19+$C$1)&gt;AO$4,AO$4&gt;=$C$1),'General Inputs'!L$10*$I19,0))</f>
        <v>331.43505765025839</v>
      </c>
      <c r="AP19" s="214">
        <f>IF(AND(($E19+$C$1)&gt;AP$4,AP$4&gt;=$C$1),'General Inputs'!M$9*$H19,IF(AND(($D19+$C$1)&gt;AP$4,AP$4&gt;=$C$1),'General Inputs'!M$9*$G19,0))+IF(AND(($E19+$C$1)&gt;AP$4,AP$4&gt;=$C$1),'General Inputs'!M$10*$J19,IF(AND(($D19+$C$1)&gt;AP$4,AP$4&gt;=$C$1),'General Inputs'!M$10*$I19,0))</f>
        <v>336.40658351501219</v>
      </c>
      <c r="AQ19" s="214">
        <f>IF(AND(($E19+$C$1)&gt;AQ$4,AQ$4&gt;=$C$1),'General Inputs'!N$9*$H19,IF(AND(($D19+$C$1)&gt;AQ$4,AQ$4&gt;=$C$1),'General Inputs'!N$9*$G19,0))+IF(AND(($E19+$C$1)&gt;AQ$4,AQ$4&gt;=$C$1),'General Inputs'!N$10*$J19,IF(AND(($D19+$C$1)&gt;AQ$4,AQ$4&gt;=$C$1),'General Inputs'!N$10*$I19,0))</f>
        <v>341.45268226773737</v>
      </c>
      <c r="AR19" s="214">
        <f>IF(AND(($E19+$C$1)&gt;AR$4,AR$4&gt;=$C$1),'General Inputs'!O$9*$H19,IF(AND(($D19+$C$1)&gt;AR$4,AR$4&gt;=$C$1),'General Inputs'!O$9*$G19,0))+IF(AND(($E19+$C$1)&gt;AR$4,AR$4&gt;=$C$1),'General Inputs'!O$10*$J19,IF(AND(($D19+$C$1)&gt;AR$4,AR$4&gt;=$C$1),'General Inputs'!O$10*$I19,0))</f>
        <v>346.57447250175346</v>
      </c>
      <c r="AS19" s="214">
        <f>IF(AND(($E19+$C$1)&gt;AS$4,AS$4&gt;=$C$1),'General Inputs'!P$9*$H19,IF(AND(($D19+$C$1)&gt;AS$4,AS$4&gt;=$C$1),'General Inputs'!P$9*$G19,0))+IF(AND(($E19+$C$1)&gt;AS$4,AS$4&gt;=$C$1),'General Inputs'!P$10*$J19,IF(AND(($D19+$C$1)&gt;AS$4,AS$4&gt;=$C$1),'General Inputs'!P$10*$I19,0))</f>
        <v>351.77308958927966</v>
      </c>
      <c r="AT19" s="214">
        <f>IF(AND(($E19+$C$1)&gt;AT$4,AT$4&gt;=$C$1),'General Inputs'!Q$9*$H19,IF(AND(($D19+$C$1)&gt;AT$4,AT$4&gt;=$C$1),'General Inputs'!Q$9*$G19,0))+IF(AND(($E19+$C$1)&gt;AT$4,AT$4&gt;=$C$1),'General Inputs'!Q$10*$J19,IF(AND(($D19+$C$1)&gt;AT$4,AT$4&gt;=$C$1),'General Inputs'!Q$10*$I19,0))</f>
        <v>357.04968593311889</v>
      </c>
      <c r="AU19" s="214">
        <f>IF(AND(($E19+$C$1)&gt;AU$4,AU$4&gt;=$C$1),'General Inputs'!R$9*$H19,IF(AND(($D19+$C$1)&gt;AU$4,AU$4&gt;=$C$1),'General Inputs'!R$9*$G19,0))+IF(AND(($E19+$C$1)&gt;AU$4,AU$4&gt;=$C$1),'General Inputs'!R$10*$J19,IF(AND(($D19+$C$1)&gt;AU$4,AU$4&gt;=$C$1),'General Inputs'!R$10*$I19,0))</f>
        <v>362.40543122211562</v>
      </c>
      <c r="AV19" s="214">
        <f>IF(AND(($E19+$C$1)&gt;AV$4,AV$4&gt;=$C$1),'General Inputs'!S$9*$H19,IF(AND(($D19+$C$1)&gt;AV$4,AV$4&gt;=$C$1),'General Inputs'!S$9*$G19,0))+IF(AND(($E19+$C$1)&gt;AV$4,AV$4&gt;=$C$1),'General Inputs'!S$10*$J19,IF(AND(($D19+$C$1)&gt;AV$4,AV$4&gt;=$C$1),'General Inputs'!S$10*$I19,0))</f>
        <v>0</v>
      </c>
      <c r="AW19" s="214">
        <f>IF(AND(($E19+$C$1)&gt;AW$4,AW$4&gt;=$C$1),'General Inputs'!T$9*$H19,IF(AND(($D19+$C$1)&gt;AW$4,AW$4&gt;=$C$1),'General Inputs'!T$9*$G19,0))+IF(AND(($E19+$C$1)&gt;AW$4,AW$4&gt;=$C$1),'General Inputs'!T$10*$J19,IF(AND(($D19+$C$1)&gt;AW$4,AW$4&gt;=$C$1),'General Inputs'!T$10*$I19,0))</f>
        <v>0</v>
      </c>
      <c r="AX19" s="214">
        <f>IF(AND(($E19+$C$1)&gt;AX$4,AX$4&gt;=$C$1),'General Inputs'!U$9*$H19,IF(AND(($D19+$C$1)&gt;AX$4,AX$4&gt;=$C$1),'General Inputs'!U$9*$G19,0))+IF(AND(($E19+$C$1)&gt;AX$4,AX$4&gt;=$C$1),'General Inputs'!U$10*$J19,IF(AND(($D19+$C$1)&gt;AX$4,AX$4&gt;=$C$1),'General Inputs'!U$10*$I19,0))</f>
        <v>0</v>
      </c>
      <c r="AY19" s="214">
        <f>IF(AND(($E19+$C$1)&gt;AY$4,AY$4&gt;=$C$1),'General Inputs'!V$9*$H19,IF(AND(($D19+$C$1)&gt;AY$4,AY$4&gt;=$C$1),'General Inputs'!V$9*$G19,0))+IF(AND(($E19+$C$1)&gt;AY$4,AY$4&gt;=$C$1),'General Inputs'!V$10*$J19,IF(AND(($D19+$C$1)&gt;AY$4,AY$4&gt;=$C$1),'General Inputs'!V$10*$I19,0))</f>
        <v>0</v>
      </c>
      <c r="AZ19" s="214">
        <f>IF(AND(($E19+$C$1)&gt;AZ$4,AZ$4&gt;=$C$1),'General Inputs'!W$9*$H19,IF(AND(($D19+$C$1)&gt;AZ$4,AZ$4&gt;=$C$1),'General Inputs'!W$9*$G19,0))+IF(AND(($E19+$C$1)&gt;AZ$4,AZ$4&gt;=$C$1),'General Inputs'!W$10*$J19,IF(AND(($D19+$C$1)&gt;AZ$4,AZ$4&gt;=$C$1),'General Inputs'!W$10*$I19,0))</f>
        <v>0</v>
      </c>
      <c r="BB19" s="214">
        <f>IF(AND(($E19+$C$1)&gt;BB$4,BB$4&gt;=$C$1),'General Inputs'!D$11*$H19,IF(AND(($D19+$C$1)&gt;BB$4,BB$4&gt;=$C$1),'General Inputs'!D$11*$G19,0))</f>
        <v>82.772817163237804</v>
      </c>
      <c r="BC19" s="214">
        <f>IF(AND(($E19+$C$1)&gt;BC$4,BC$4&gt;=$C$1),'General Inputs'!E$11*$H19,IF(AND(($D19+$C$1)&gt;BC$4,BC$4&gt;=$C$1),'General Inputs'!E$11*$G19,0))</f>
        <v>82.772817163237804</v>
      </c>
      <c r="BD19" s="214">
        <f>IF(AND(($E19+$C$1)&gt;BD$4,BD$4&gt;=$C$1),'General Inputs'!F$11*$H19,IF(AND(($D19+$C$1)&gt;BD$4,BD$4&gt;=$C$1),'General Inputs'!F$11*$G19,0))</f>
        <v>82.772817163237804</v>
      </c>
      <c r="BE19" s="214">
        <f>IF(AND(($E19+$C$1)&gt;BE$4,BE$4&gt;=$C$1),'General Inputs'!G$11*$H19,IF(AND(($D19+$C$1)&gt;BE$4,BE$4&gt;=$C$1),'General Inputs'!G$11*$G19,0))</f>
        <v>82.772817163237804</v>
      </c>
      <c r="BF19" s="214">
        <f>IF(AND(($E19+$C$1)&gt;BF$4,BF$4&gt;=$C$1),'General Inputs'!H$11*$H19,IF(AND(($D19+$C$1)&gt;BF$4,BF$4&gt;=$C$1),'General Inputs'!H$11*$G19,0))</f>
        <v>82.772817163237804</v>
      </c>
      <c r="BG19" s="214">
        <f>IF(AND(($E19+$C$1)&gt;BG$4,BG$4&gt;=$C$1),'General Inputs'!I$11*$H19,IF(AND(($D19+$C$1)&gt;BG$4,BG$4&gt;=$C$1),'General Inputs'!I$11*$G19,0))</f>
        <v>82.772817163237804</v>
      </c>
      <c r="BH19" s="214">
        <f>IF(AND(($E19+$C$1)&gt;BH$4,BH$4&gt;=$C$1),'General Inputs'!J$11*$H19,IF(AND(($D19+$C$1)&gt;BH$4,BH$4&gt;=$C$1),'General Inputs'!J$11*$G19,0))</f>
        <v>82.772817163237804</v>
      </c>
      <c r="BI19" s="214">
        <f>IF(AND(($E19+$C$1)&gt;BI$4,BI$4&gt;=$C$1),'General Inputs'!K$11*$H19,IF(AND(($D19+$C$1)&gt;BI$4,BI$4&gt;=$C$1),'General Inputs'!K$11*$G19,0))</f>
        <v>82.772817163237804</v>
      </c>
      <c r="BJ19" s="214">
        <f>IF(AND(($E19+$C$1)&gt;BJ$4,BJ$4&gt;=$C$1),'General Inputs'!L$11*$H19,IF(AND(($D19+$C$1)&gt;BJ$4,BJ$4&gt;=$C$1),'General Inputs'!L$11*$G19,0))</f>
        <v>82.772817163237804</v>
      </c>
      <c r="BK19" s="214">
        <f>IF(AND(($E19+$C$1)&gt;BK$4,BK$4&gt;=$C$1),'General Inputs'!M$11*$H19,IF(AND(($D19+$C$1)&gt;BK$4,BK$4&gt;=$C$1),'General Inputs'!M$11*$G19,0))</f>
        <v>82.772817163237804</v>
      </c>
      <c r="BL19" s="214">
        <f>IF(AND(($E19+$C$1)&gt;BL$4,BL$4&gt;=$C$1),'General Inputs'!N$11*$H19,IF(AND(($D19+$C$1)&gt;BL$4,BL$4&gt;=$C$1),'General Inputs'!N$11*$G19,0))</f>
        <v>82.772817163237804</v>
      </c>
      <c r="BM19" s="214">
        <f>IF(AND(($E19+$C$1)&gt;BM$4,BM$4&gt;=$C$1),'General Inputs'!O$11*$H19,IF(AND(($D19+$C$1)&gt;BM$4,BM$4&gt;=$C$1),'General Inputs'!O$11*$G19,0))</f>
        <v>82.772817163237804</v>
      </c>
      <c r="BN19" s="214">
        <f>IF(AND(($E19+$C$1)&gt;BN$4,BN$4&gt;=$C$1),'General Inputs'!P$11*$H19,IF(AND(($D19+$C$1)&gt;BN$4,BN$4&gt;=$C$1),'General Inputs'!P$11*$G19,0))</f>
        <v>82.772817163237804</v>
      </c>
      <c r="BO19" s="214">
        <f>IF(AND(($E19+$C$1)&gt;BO$4,BO$4&gt;=$C$1),'General Inputs'!Q$11*$H19,IF(AND(($D19+$C$1)&gt;BO$4,BO$4&gt;=$C$1),'General Inputs'!Q$11*$G19,0))</f>
        <v>82.772817163237804</v>
      </c>
      <c r="BP19" s="214">
        <f>IF(AND(($E19+$C$1)&gt;BP$4,BP$4&gt;=$C$1),'General Inputs'!R$11*$H19,IF(AND(($D19+$C$1)&gt;BP$4,BP$4&gt;=$C$1),'General Inputs'!R$11*$G19,0))</f>
        <v>82.772817163237804</v>
      </c>
      <c r="BQ19" s="214">
        <f>IF(AND(($E19+$C$1)&gt;BQ$4,BQ$4&gt;=$C$1),'General Inputs'!S$11*$H19,IF(AND(($D19+$C$1)&gt;BQ$4,BQ$4&gt;=$C$1),'General Inputs'!S$11*$G19,0))</f>
        <v>0</v>
      </c>
      <c r="BR19" s="214">
        <f>IF(AND(($E19+$C$1)&gt;BR$4,BR$4&gt;=$C$1),'General Inputs'!T$11*$H19,IF(AND(($D19+$C$1)&gt;BR$4,BR$4&gt;=$C$1),'General Inputs'!T$11*$G19,0))</f>
        <v>0</v>
      </c>
      <c r="BS19" s="214">
        <f>IF(AND(($E19+$C$1)&gt;BS$4,BS$4&gt;=$C$1),'General Inputs'!U$11*$H19,IF(AND(($D19+$C$1)&gt;BS$4,BS$4&gt;=$C$1),'General Inputs'!U$11*$G19,0))</f>
        <v>0</v>
      </c>
      <c r="BT19" s="214">
        <f>IF(AND(($E19+$C$1)&gt;BT$4,BT$4&gt;=$C$1),'General Inputs'!V$11*$H19,IF(AND(($D19+$C$1)&gt;BT$4,BT$4&gt;=$C$1),'General Inputs'!V$11*$G19,0))</f>
        <v>0</v>
      </c>
      <c r="BU19" s="214">
        <f>IF(AND(($E19+$C$1)&gt;BU$4,BU$4&gt;=$C$1),'General Inputs'!W$11*$H19,IF(AND(($D19+$C$1)&gt;BU$4,BU$4&gt;=$C$1),'General Inputs'!W$11*$G19,0))</f>
        <v>0</v>
      </c>
      <c r="BW19" s="214">
        <f>IF(AND(($E19+$C$1)&gt;BW$4,BW$4&gt;=$C$1),$H19,IF(AND(($D19+$C$1)&gt;BW$4,BW$4&gt;=$C$1),$G19,0))*IF($A19="Residential",'General Inputs'!D$14,'General Inputs'!D$19)</f>
        <v>974.61623577715397</v>
      </c>
      <c r="BX19" s="214">
        <f>IF(AND(($E19+$C$1)&gt;BX$4,BX$4&gt;=$C$1),$H19,IF(AND(($D19+$C$1)&gt;BX$4,BX$4&gt;=$C$1),$G19,0))*IF($A19="Residential",'General Inputs'!E$14,'General Inputs'!E$19)</f>
        <v>989.23547931381108</v>
      </c>
      <c r="BY19" s="214">
        <f>IF(AND(($E19+$C$1)&gt;BY$4,BY$4&gt;=$C$1),$H19,IF(AND(($D19+$C$1)&gt;BY$4,BY$4&gt;=$C$1),$G19,0))*IF($A19="Residential",'General Inputs'!F$14,'General Inputs'!F$19)</f>
        <v>1004.0740115035181</v>
      </c>
      <c r="BZ19" s="214">
        <f>IF(AND(($E19+$C$1)&gt;BZ$4,BZ$4&gt;=$C$1),$H19,IF(AND(($D19+$C$1)&gt;BZ$4,BZ$4&gt;=$C$1),$G19,0))*IF($A19="Residential",'General Inputs'!G$14,'General Inputs'!G$19)</f>
        <v>1019.1351216760706</v>
      </c>
      <c r="CA19" s="214">
        <f>IF(AND(($E19+$C$1)&gt;CA$4,CA$4&gt;=$C$1),$H19,IF(AND(($D19+$C$1)&gt;CA$4,CA$4&gt;=$C$1),$G19,0))*IF($A19="Residential",'General Inputs'!H$14,'General Inputs'!H$19)</f>
        <v>1034.4221485012117</v>
      </c>
      <c r="CB19" s="214">
        <f>IF(AND(($E19+$C$1)&gt;CB$4,CB$4&gt;=$C$1),$H19,IF(AND(($D19+$C$1)&gt;CB$4,CB$4&gt;=$C$1),$G19,0))*IF($A19="Residential",'General Inputs'!I$14,'General Inputs'!I$19)</f>
        <v>1049.9384807287297</v>
      </c>
      <c r="CC19" s="214">
        <f>IF(AND(($E19+$C$1)&gt;CC$4,CC$4&gt;=$C$1),$H19,IF(AND(($D19+$C$1)&gt;CC$4,CC$4&gt;=$C$1),$G19,0))*IF($A19="Residential",'General Inputs'!J$14,'General Inputs'!J$19)</f>
        <v>1065.6875579396606</v>
      </c>
      <c r="CD19" s="214">
        <f>IF(AND(($E19+$C$1)&gt;CD$4,CD$4&gt;=$C$1),$H19,IF(AND(($D19+$C$1)&gt;CD$4,CD$4&gt;=$C$1),$G19,0))*IF($A19="Residential",'General Inputs'!K$14,'General Inputs'!K$19)</f>
        <v>1081.6728713087552</v>
      </c>
      <c r="CE19" s="214">
        <f>IF(AND(($E19+$C$1)&gt;CE$4,CE$4&gt;=$C$1),$H19,IF(AND(($D19+$C$1)&gt;CE$4,CE$4&gt;=$C$1),$G19,0))*IF($A19="Residential",'General Inputs'!L$14,'General Inputs'!L$19)</f>
        <v>1097.8979643783864</v>
      </c>
      <c r="CF19" s="214">
        <f>IF(AND(($E19+$C$1)&gt;CF$4,CF$4&gt;=$C$1),$H19,IF(AND(($D19+$C$1)&gt;CF$4,CF$4&gt;=$C$1),$G19,0))*IF($A19="Residential",'General Inputs'!M$14,'General Inputs'!M$19)</f>
        <v>1114.3664338440622</v>
      </c>
      <c r="CG19" s="214">
        <f>IF(AND(($E19+$C$1)&gt;CG$4,CG$4&gt;=$C$1),$H19,IF(AND(($D19+$C$1)&gt;CG$4,CG$4&gt;=$C$1),$G19,0))*IF($A19="Residential",'General Inputs'!N$14,'General Inputs'!N$19)</f>
        <v>1131.081930351723</v>
      </c>
      <c r="CH19" s="214">
        <f>IF(AND(($E19+$C$1)&gt;CH$4,CH$4&gt;=$C$1),$H19,IF(AND(($D19+$C$1)&gt;CH$4,CH$4&gt;=$C$1),$G19,0))*IF($A19="Residential",'General Inputs'!O$14,'General Inputs'!O$19)</f>
        <v>1148.0481593069987</v>
      </c>
      <c r="CI19" s="214">
        <f>IF(AND(($E19+$C$1)&gt;CI$4,CI$4&gt;=$C$1),$H19,IF(AND(($D19+$C$1)&gt;CI$4,CI$4&gt;=$C$1),$G19,0))*IF($A19="Residential",'General Inputs'!P$14,'General Inputs'!P$19)</f>
        <v>1165.2688816966036</v>
      </c>
      <c r="CJ19" s="214">
        <f>IF(AND(($E19+$C$1)&gt;CJ$4,CJ$4&gt;=$C$1),$H19,IF(AND(($D19+$C$1)&gt;CJ$4,CJ$4&gt;=$C$1),$G19,0))*IF($A19="Residential",'General Inputs'!Q$14,'General Inputs'!Q$19)</f>
        <v>1182.7479149220524</v>
      </c>
      <c r="CK19" s="214">
        <f>IF(AND(($E19+$C$1)&gt;CK$4,CK$4&gt;=$C$1),$H19,IF(AND(($D19+$C$1)&gt;CK$4,CK$4&gt;=$C$1),$G19,0))*IF($A19="Residential",'General Inputs'!R$14,'General Inputs'!R$19)</f>
        <v>1200.4891336458829</v>
      </c>
      <c r="CL19" s="214">
        <f>IF(AND(($E19+$C$1)&gt;CL$4,CL$4&gt;=$C$1),$H19,IF(AND(($D19+$C$1)&gt;CL$4,CL$4&gt;=$C$1),$G19,0))*IF($A19="Residential",'General Inputs'!S$14,'General Inputs'!S$19)</f>
        <v>0</v>
      </c>
      <c r="CM19" s="214">
        <f>IF(AND(($E19+$C$1)&gt;CM$4,CM$4&gt;=$C$1),$H19,IF(AND(($D19+$C$1)&gt;CM$4,CM$4&gt;=$C$1),$G19,0))*IF($A19="Residential",'General Inputs'!T$14,'General Inputs'!T$19)</f>
        <v>0</v>
      </c>
      <c r="CN19" s="214">
        <f>IF(AND(($E19+$C$1)&gt;CN$4,CN$4&gt;=$C$1),$H19,IF(AND(($D19+$C$1)&gt;CN$4,CN$4&gt;=$C$1),$G19,0))*IF($A19="Residential",'General Inputs'!U$14,'General Inputs'!U$19)</f>
        <v>0</v>
      </c>
      <c r="CO19" s="214">
        <f>IF(AND(($E19+$C$1)&gt;CO$4,CO$4&gt;=$C$1),$H19,IF(AND(($D19+$C$1)&gt;CO$4,CO$4&gt;=$C$1),$G19,0))*IF($A19="Residential",'General Inputs'!V$14,'General Inputs'!V$19)</f>
        <v>0</v>
      </c>
      <c r="CP19" s="214">
        <f>IF(AND(($E19+$C$1)&gt;CP$4,CP$4&gt;=$C$1),$H19,IF(AND(($D19+$C$1)&gt;CP$4,CP$4&gt;=$C$1),$G19,0))*IF($A19="Residential",'General Inputs'!W$14,'General Inputs'!W$19)</f>
        <v>0</v>
      </c>
      <c r="CR19" s="214">
        <f>IF(AND(($E19+$C$1)&gt;CR$4,CR$4&gt;=$C$1),$H19,IF(AND(($D19+$C$1)&gt;CR$4,CR$4&gt;=$C$1),$G19,0))*IF($A19="Residential",'General Inputs'!D$15,'General Inputs'!D$19)</f>
        <v>792.8583774535017</v>
      </c>
      <c r="CS19" s="214">
        <f>IF(AND(($E19+$C$1)&gt;CS$4,CS$4&gt;=$C$1),$H19,IF(AND(($D19+$C$1)&gt;CS$4,CS$4&gt;=$C$1),$G19,0))*IF($A19="Residential",'General Inputs'!E$15,'General Inputs'!E$19)</f>
        <v>804.75125311530417</v>
      </c>
      <c r="CT19" s="214">
        <f>IF(AND(($E19+$C$1)&gt;CT$4,CT$4&gt;=$C$1),$H19,IF(AND(($D19+$C$1)&gt;CT$4,CT$4&gt;=$C$1),$G19,0))*IF($A19="Residential",'General Inputs'!F$15,'General Inputs'!F$19)</f>
        <v>816.82252191203361</v>
      </c>
      <c r="CU19" s="214">
        <f>IF(AND(($E19+$C$1)&gt;CU$4,CU$4&gt;=$C$1),$H19,IF(AND(($D19+$C$1)&gt;CU$4,CU$4&gt;=$C$1),$G19,0))*IF($A19="Residential",'General Inputs'!G$15,'General Inputs'!G$19)</f>
        <v>829.07485974071403</v>
      </c>
      <c r="CV19" s="214">
        <f>IF(AND(($E19+$C$1)&gt;CV$4,CV$4&gt;=$C$1),$H19,IF(AND(($D19+$C$1)&gt;CV$4,CV$4&gt;=$C$1),$G19,0))*IF($A19="Residential",'General Inputs'!H$15,'General Inputs'!H$19)</f>
        <v>841.51098263682468</v>
      </c>
      <c r="CW19" s="214">
        <f>IF(AND(($E19+$C$1)&gt;CW$4,CW$4&gt;=$C$1),$H19,IF(AND(($D19+$C$1)&gt;CW$4,CW$4&gt;=$C$1),$G19,0))*IF($A19="Residential",'General Inputs'!I$15,'General Inputs'!I$19)</f>
        <v>854.13364737637698</v>
      </c>
      <c r="CX19" s="214">
        <f>IF(AND(($E19+$C$1)&gt;CX$4,CX$4&gt;=$C$1),$H19,IF(AND(($D19+$C$1)&gt;CX$4,CX$4&gt;=$C$1),$G19,0))*IF($A19="Residential",'General Inputs'!J$15,'General Inputs'!J$19)</f>
        <v>866.94565208702249</v>
      </c>
      <c r="CY19" s="214">
        <f>IF(AND(($E19+$C$1)&gt;CY$4,CY$4&gt;=$C$1),$H19,IF(AND(($D19+$C$1)&gt;CY$4,CY$4&gt;=$C$1),$G19,0))*IF($A19="Residential",'General Inputs'!K$15,'General Inputs'!K$19)</f>
        <v>879.94983686832779</v>
      </c>
      <c r="CZ19" s="214">
        <f>IF(AND(($E19+$C$1)&gt;CZ$4,CZ$4&gt;=$C$1),$H19,IF(AND(($D19+$C$1)&gt;CZ$4,CZ$4&gt;=$C$1),$G19,0))*IF($A19="Residential",'General Inputs'!L$15,'General Inputs'!L$19)</f>
        <v>893.14908442135254</v>
      </c>
      <c r="DA19" s="214">
        <f>IF(AND(($E19+$C$1)&gt;DA$4,DA$4&gt;=$C$1),$H19,IF(AND(($D19+$C$1)&gt;DA$4,DA$4&gt;=$C$1),$G19,0))*IF($A19="Residential",'General Inputs'!M$15,'General Inputs'!M$19)</f>
        <v>906.54632068767285</v>
      </c>
      <c r="DB19" s="214">
        <f>IF(AND(($E19+$C$1)&gt;DB$4,DB$4&gt;=$C$1),$H19,IF(AND(($D19+$C$1)&gt;DB$4,DB$4&gt;=$C$1),$G19,0))*IF($A19="Residential",'General Inputs'!N$15,'General Inputs'!N$19)</f>
        <v>920.14451549798775</v>
      </c>
      <c r="DC19" s="214">
        <f>IF(AND(($E19+$C$1)&gt;DC$4,DC$4&gt;=$C$1),$H19,IF(AND(($D19+$C$1)&gt;DC$4,DC$4&gt;=$C$1),$G19,0))*IF($A19="Residential",'General Inputs'!O$15,'General Inputs'!O$19)</f>
        <v>933.94668323045744</v>
      </c>
      <c r="DD19" s="214">
        <f>IF(AND(($E19+$C$1)&gt;DD$4,DD$4&gt;=$C$1),$H19,IF(AND(($D19+$C$1)&gt;DD$4,DD$4&gt;=$C$1),$G19,0))*IF($A19="Residential",'General Inputs'!P$15,'General Inputs'!P$19)</f>
        <v>947.9558834789143</v>
      </c>
      <c r="DE19" s="214">
        <f>IF(AND(($E19+$C$1)&gt;DE$4,DE$4&gt;=$C$1),$H19,IF(AND(($D19+$C$1)&gt;DE$4,DE$4&gt;=$C$1),$G19,0))*IF($A19="Residential",'General Inputs'!Q$15,'General Inputs'!Q$19)</f>
        <v>962.17522173109796</v>
      </c>
      <c r="DF19" s="214">
        <f>IF(AND(($E19+$C$1)&gt;DF$4,DF$4&gt;=$C$1),$H19,IF(AND(($D19+$C$1)&gt;DF$4,DF$4&gt;=$C$1),$G19,0))*IF($A19="Residential",'General Inputs'!R$15,'General Inputs'!R$19)</f>
        <v>976.6078500570643</v>
      </c>
      <c r="DG19" s="214">
        <f>IF(AND(($E19+$C$1)&gt;DG$4,DG$4&gt;=$C$1),$H19,IF(AND(($D19+$C$1)&gt;DG$4,DG$4&gt;=$C$1),$G19,0))*IF($A19="Residential",'General Inputs'!S$15,'General Inputs'!S$19)</f>
        <v>0</v>
      </c>
      <c r="DH19" s="214">
        <f>IF(AND(($E19+$C$1)&gt;DH$4,DH$4&gt;=$C$1),$H19,IF(AND(($D19+$C$1)&gt;DH$4,DH$4&gt;=$C$1),$G19,0))*IF($A19="Residential",'General Inputs'!T$15,'General Inputs'!T$19)</f>
        <v>0</v>
      </c>
      <c r="DI19" s="214">
        <f>IF(AND(($E19+$C$1)&gt;DI$4,DI$4&gt;=$C$1),$H19,IF(AND(($D19+$C$1)&gt;DI$4,DI$4&gt;=$C$1),$G19,0))*IF($A19="Residential",'General Inputs'!U$15,'General Inputs'!U$19)</f>
        <v>0</v>
      </c>
      <c r="DJ19" s="214">
        <f>IF(AND(($E19+$C$1)&gt;DJ$4,DJ$4&gt;=$C$1),$H19,IF(AND(($D19+$C$1)&gt;DJ$4,DJ$4&gt;=$C$1),$G19,0))*IF($A19="Residential",'General Inputs'!V$15,'General Inputs'!V$19)</f>
        <v>0</v>
      </c>
      <c r="DK19" s="214">
        <f>IF(AND(($E19+$C$1)&gt;DK$4,DK$4&gt;=$C$1),$H19,IF(AND(($D19+$C$1)&gt;DK$4,DK$4&gt;=$C$1),$G19,0))*IF($A19="Residential",'General Inputs'!W$15,'General Inputs'!W$19)</f>
        <v>0</v>
      </c>
      <c r="DM19" s="214">
        <f t="shared" si="200"/>
        <v>2800</v>
      </c>
      <c r="DN19" s="214">
        <f t="shared" si="105"/>
        <v>0</v>
      </c>
      <c r="DO19" s="214">
        <f t="shared" si="105"/>
        <v>0</v>
      </c>
      <c r="DP19" s="214">
        <f t="shared" si="105"/>
        <v>0</v>
      </c>
      <c r="DQ19" s="214">
        <f t="shared" si="105"/>
        <v>0</v>
      </c>
      <c r="DR19" s="214">
        <f t="shared" si="105"/>
        <v>0</v>
      </c>
      <c r="DS19" s="214">
        <f t="shared" si="105"/>
        <v>0</v>
      </c>
      <c r="DT19" s="214">
        <f t="shared" si="105"/>
        <v>0</v>
      </c>
      <c r="DU19" s="214">
        <f t="shared" si="105"/>
        <v>0</v>
      </c>
      <c r="DV19" s="214">
        <f t="shared" si="105"/>
        <v>0</v>
      </c>
      <c r="DW19" s="214">
        <f t="shared" si="105"/>
        <v>0</v>
      </c>
      <c r="DZ19" s="650"/>
      <c r="FI19" s="195"/>
      <c r="FJ19" s="195"/>
      <c r="FK19" s="195"/>
      <c r="FL19" s="195"/>
      <c r="FM19" s="195"/>
      <c r="FN19" s="195"/>
      <c r="FO19" s="195"/>
    </row>
    <row r="20" spans="1:171">
      <c r="A20" s="342" t="s">
        <v>12</v>
      </c>
      <c r="B20" s="427" t="str">
        <f>'Portfolio Inputs'!A19</f>
        <v>Electric Storage Water Heater</v>
      </c>
      <c r="C20" s="217">
        <f>IF($C$1=2014,'Portfolio Inputs'!$C19,IF($C$1=2015,'Portfolio Inputs'!$D19,'Portfolio Inputs'!$E19))</f>
        <v>15</v>
      </c>
      <c r="D20" s="504">
        <f>VLOOKUP(B20,Sources!$B$4:$J$104,2,FALSE)</f>
        <v>15</v>
      </c>
      <c r="E20" s="504">
        <f>VLOOKUP(B20,Sources!$B$4:$J$104,3,FALSE)</f>
        <v>0</v>
      </c>
      <c r="G20" s="504">
        <f>IF($C$1=2014,'Portfolio Inputs'!$G19,IF($C$1=2015,'Portfolio Inputs'!$H19,'Portfolio Inputs'!$I19))*EnergyLineLoss</f>
        <v>2001.2866913391003</v>
      </c>
      <c r="H20" s="504">
        <f>VLOOKUP($B20,Sources!$B$4:$K$104,6,FALSE)*C20*EnergyLineLoss</f>
        <v>0</v>
      </c>
      <c r="I20" s="504">
        <f>IF($C$1=2014,'Portfolio Inputs'!$K19,IF($C$1=2015,'Portfolio Inputs'!$L19,'Portfolio Inputs'!$M19))*PeakLineLoss</f>
        <v>0.23822492267711765</v>
      </c>
      <c r="J20" s="510">
        <f>VLOOKUP($B20,Sources!$B$4:$K$104,8,FALSE)*C20*PeakLineLoss</f>
        <v>0</v>
      </c>
      <c r="L20" s="606">
        <f>IF($C$1=2014,'Portfolio Inputs'!$O19,IF($C$1=2015,'Portfolio Inputs'!$P19,'Portfolio Inputs'!$Q19))</f>
        <v>50</v>
      </c>
      <c r="M20" s="518">
        <f>VLOOKUP($B20,Sources!$B$4:$K$104,10,FALSE)</f>
        <v>0</v>
      </c>
      <c r="N20" s="419">
        <f>IF($C$1=2014,'Portfolio Inputs'!$W19,IF($C$1=2015,'Portfolio Inputs'!$X19,'Portfolio Inputs'!$Y19))</f>
        <v>1490</v>
      </c>
      <c r="O20" s="419"/>
      <c r="Q20" s="438">
        <f t="shared" ref="Q20" si="228">IF(OR(AE20&gt;0,AC20&gt;0),Y20/(AC20+AE20),"n/a")</f>
        <v>1.0683203771285581</v>
      </c>
      <c r="R20" s="439">
        <f t="shared" ref="R20" si="229">IF(OR(AC20&gt;0,AD20&gt;0),Y20/((AD20+AC20)),"n/a")</f>
        <v>0.5377451562727642</v>
      </c>
      <c r="S20" s="439">
        <f t="shared" ref="S20" si="230">IF(OR(AC20&gt;0,AE20&gt;0),(Y20+Z20)/(AC20+AE20),"n/a")</f>
        <v>1.3377384324771824</v>
      </c>
      <c r="T20" s="439">
        <f t="shared" ref="T20" si="231">IF(AE20&gt;0,(AD20+AA20)/AE20,"n/a")</f>
        <v>5.4342445780139244</v>
      </c>
      <c r="U20" s="439">
        <f t="shared" ref="U20" si="232">IF(AE20&gt;0,(AD20+AB20)/AE20,"n/a")</f>
        <v>4.7912998428785194</v>
      </c>
      <c r="V20" s="439">
        <f t="shared" ref="V20" si="233">IF((AA20+AC20+AD20)&gt;0,Y20/(AA20+AC20+AD20),"n/a")</f>
        <v>0.19659041137949695</v>
      </c>
      <c r="W20" s="439">
        <f t="shared" ref="W20" si="234">IF((AB20+AC20+AD20)&gt;0,Y20/(AB20+AC20+AD20),"n/a")</f>
        <v>0.22297088726693676</v>
      </c>
      <c r="Y20" s="215">
        <f t="shared" ref="Y20" si="235">AG20+NPV(DiscountRate,AH20:AZ20)</f>
        <v>801.24028284641861</v>
      </c>
      <c r="Z20" s="215">
        <f t="shared" ref="Z20" si="236">BB20+NPV(DiscountRate,BC20:BU20)</f>
        <v>202.06354151146817</v>
      </c>
      <c r="AA20" s="215">
        <f t="shared" ref="AA20" si="237">BW20+NPV(DiscountRate,BX20:CP20)</f>
        <v>2585.6834335104431</v>
      </c>
      <c r="AB20" s="215">
        <f t="shared" ref="AB20" si="238">CR20+NPV(DiscountRate,CS20:DK20)</f>
        <v>2103.4748821588896</v>
      </c>
      <c r="AC20" s="216">
        <f t="shared" ref="AC20" si="239">O20/((1+DiscountRate)^(IF($C$1=2015,1,IF($C$1=2016,2,0))))</f>
        <v>0</v>
      </c>
      <c r="AD20" s="216">
        <f t="shared" ref="AD20" si="240">N20/((1+DiscountRate)^(IF($C$1=2015,1,IF($C$1=2016,2,0))))</f>
        <v>1490</v>
      </c>
      <c r="AE20" s="215">
        <f t="shared" ref="AE20" si="241">DM20+NPV(DiscountRate,DN20:DW20)</f>
        <v>750</v>
      </c>
      <c r="AG20" s="214">
        <f>IF(AND(($E20+$C$1)&gt;AG$4,AG$4&gt;=$C$1),'General Inputs'!D$9*$H20,IF(AND(($D20+$C$1)&gt;AG$4,AG$4&gt;=$C$1),'General Inputs'!D$9*$G20,0))+IF(AND(($E20+$C$1)&gt;AG$4,AG$4&gt;=$C$1),'General Inputs'!D$10*$J20,IF(AND(($D20+$C$1)&gt;AG$4,AG$4&gt;=$C$1),'General Inputs'!D$10*$I20,0))</f>
        <v>83.242954606517245</v>
      </c>
      <c r="AH20" s="214">
        <f>IF(AND(($E20+$C$1)&gt;AH$4,AH$4&gt;=$C$1),'General Inputs'!E$9*$H20,IF(AND(($D20+$C$1)&gt;AH$4,AH$4&gt;=$C$1),'General Inputs'!E$9*$G20,0))+IF(AND(($E20+$C$1)&gt;AH$4,AH$4&gt;=$C$1),'General Inputs'!E$10*$J20,IF(AND(($D20+$C$1)&gt;AH$4,AH$4&gt;=$C$1),'General Inputs'!E$10*$I20,0))</f>
        <v>84.491598925614994</v>
      </c>
      <c r="AI20" s="214">
        <f>IF(AND(($E20+$C$1)&gt;AI$4,AI$4&gt;=$C$1),'General Inputs'!F$9*$H20,IF(AND(($D20+$C$1)&gt;AI$4,AI$4&gt;=$C$1),'General Inputs'!F$9*$G20,0))+IF(AND(($E20+$C$1)&gt;AI$4,AI$4&gt;=$C$1),'General Inputs'!F$10*$J20,IF(AND(($D20+$C$1)&gt;AI$4,AI$4&gt;=$C$1),'General Inputs'!F$10*$I20,0))</f>
        <v>85.758972909499207</v>
      </c>
      <c r="AJ20" s="214">
        <f>IF(AND(($E20+$C$1)&gt;AJ$4,AJ$4&gt;=$C$1),'General Inputs'!G$9*$H20,IF(AND(($D20+$C$1)&gt;AJ$4,AJ$4&gt;=$C$1),'General Inputs'!G$9*$G20,0))+IF(AND(($E20+$C$1)&gt;AJ$4,AJ$4&gt;=$C$1),'General Inputs'!G$10*$J20,IF(AND(($D20+$C$1)&gt;AJ$4,AJ$4&gt;=$C$1),'General Inputs'!G$10*$I20,0))</f>
        <v>87.045357503141688</v>
      </c>
      <c r="AK20" s="214">
        <f>IF(AND(($E20+$C$1)&gt;AK$4,AK$4&gt;=$C$1),'General Inputs'!H$9*$H20,IF(AND(($D20+$C$1)&gt;AK$4,AK$4&gt;=$C$1),'General Inputs'!H$9*$G20,0))+IF(AND(($E20+$C$1)&gt;AK$4,AK$4&gt;=$C$1),'General Inputs'!H$10*$J20,IF(AND(($D20+$C$1)&gt;AK$4,AK$4&gt;=$C$1),'General Inputs'!H$10*$I20,0))</f>
        <v>88.351037865688795</v>
      </c>
      <c r="AL20" s="214">
        <f>IF(AND(($E20+$C$1)&gt;AL$4,AL$4&gt;=$C$1),'General Inputs'!I$9*$H20,IF(AND(($D20+$C$1)&gt;AL$4,AL$4&gt;=$C$1),'General Inputs'!I$9*$G20,0))+IF(AND(($E20+$C$1)&gt;AL$4,AL$4&gt;=$C$1),'General Inputs'!I$10*$J20,IF(AND(($D20+$C$1)&gt;AL$4,AL$4&gt;=$C$1),'General Inputs'!I$10*$I20,0))</f>
        <v>89.676303433674121</v>
      </c>
      <c r="AM20" s="214">
        <f>IF(AND(($E20+$C$1)&gt;AM$4,AM$4&gt;=$C$1),'General Inputs'!J$9*$H20,IF(AND(($D20+$C$1)&gt;AM$4,AM$4&gt;=$C$1),'General Inputs'!J$9*$G20,0))+IF(AND(($E20+$C$1)&gt;AM$4,AM$4&gt;=$C$1),'General Inputs'!J$10*$J20,IF(AND(($D20+$C$1)&gt;AM$4,AM$4&gt;=$C$1),'General Inputs'!J$10*$I20,0))</f>
        <v>91.021447985179222</v>
      </c>
      <c r="AN20" s="214">
        <f>IF(AND(($E20+$C$1)&gt;AN$4,AN$4&gt;=$C$1),'General Inputs'!K$9*$H20,IF(AND(($D20+$C$1)&gt;AN$4,AN$4&gt;=$C$1),'General Inputs'!K$9*$G20,0))+IF(AND(($E20+$C$1)&gt;AN$4,AN$4&gt;=$C$1),'General Inputs'!K$10*$J20,IF(AND(($D20+$C$1)&gt;AN$4,AN$4&gt;=$C$1),'General Inputs'!K$10*$I20,0))</f>
        <v>92.38676970495689</v>
      </c>
      <c r="AO20" s="214">
        <f>IF(AND(($E20+$C$1)&gt;AO$4,AO$4&gt;=$C$1),'General Inputs'!L$9*$H20,IF(AND(($D20+$C$1)&gt;AO$4,AO$4&gt;=$C$1),'General Inputs'!L$9*$G20,0))+IF(AND(($E20+$C$1)&gt;AO$4,AO$4&gt;=$C$1),'General Inputs'!L$10*$J20,IF(AND(($D20+$C$1)&gt;AO$4,AO$4&gt;=$C$1),'General Inputs'!L$10*$I20,0))</f>
        <v>93.772571250531243</v>
      </c>
      <c r="AP20" s="214">
        <f>IF(AND(($E20+$C$1)&gt;AP$4,AP$4&gt;=$C$1),'General Inputs'!M$9*$H20,IF(AND(($D20+$C$1)&gt;AP$4,AP$4&gt;=$C$1),'General Inputs'!M$9*$G20,0))+IF(AND(($E20+$C$1)&gt;AP$4,AP$4&gt;=$C$1),'General Inputs'!M$10*$J20,IF(AND(($D20+$C$1)&gt;AP$4,AP$4&gt;=$C$1),'General Inputs'!M$10*$I20,0))</f>
        <v>95.179159819289197</v>
      </c>
      <c r="AQ20" s="214">
        <f>IF(AND(($E20+$C$1)&gt;AQ$4,AQ$4&gt;=$C$1),'General Inputs'!N$9*$H20,IF(AND(($D20+$C$1)&gt;AQ$4,AQ$4&gt;=$C$1),'General Inputs'!N$9*$G20,0))+IF(AND(($E20+$C$1)&gt;AQ$4,AQ$4&gt;=$C$1),'General Inputs'!N$10*$J20,IF(AND(($D20+$C$1)&gt;AQ$4,AQ$4&gt;=$C$1),'General Inputs'!N$10*$I20,0))</f>
        <v>96.606847216578515</v>
      </c>
      <c r="AR20" s="214">
        <f>IF(AND(($E20+$C$1)&gt;AR$4,AR$4&gt;=$C$1),'General Inputs'!O$9*$H20,IF(AND(($D20+$C$1)&gt;AR$4,AR$4&gt;=$C$1),'General Inputs'!O$9*$G20,0))+IF(AND(($E20+$C$1)&gt;AR$4,AR$4&gt;=$C$1),'General Inputs'!O$10*$J20,IF(AND(($D20+$C$1)&gt;AR$4,AR$4&gt;=$C$1),'General Inputs'!O$10*$I20,0))</f>
        <v>98.055949924827189</v>
      </c>
      <c r="AS20" s="214">
        <f>IF(AND(($E20+$C$1)&gt;AS$4,AS$4&gt;=$C$1),'General Inputs'!P$9*$H20,IF(AND(($D20+$C$1)&gt;AS$4,AS$4&gt;=$C$1),'General Inputs'!P$9*$G20,0))+IF(AND(($E20+$C$1)&gt;AS$4,AS$4&gt;=$C$1),'General Inputs'!P$10*$J20,IF(AND(($D20+$C$1)&gt;AS$4,AS$4&gt;=$C$1),'General Inputs'!P$10*$I20,0))</f>
        <v>99.526789173699584</v>
      </c>
      <c r="AT20" s="214">
        <f>IF(AND(($E20+$C$1)&gt;AT$4,AT$4&gt;=$C$1),'General Inputs'!Q$9*$H20,IF(AND(($D20+$C$1)&gt;AT$4,AT$4&gt;=$C$1),'General Inputs'!Q$9*$G20,0))+IF(AND(($E20+$C$1)&gt;AT$4,AT$4&gt;=$C$1),'General Inputs'!Q$10*$J20,IF(AND(($D20+$C$1)&gt;AT$4,AT$4&gt;=$C$1),'General Inputs'!Q$10*$I20,0))</f>
        <v>101.01969101130507</v>
      </c>
      <c r="AU20" s="214">
        <f>IF(AND(($E20+$C$1)&gt;AU$4,AU$4&gt;=$C$1),'General Inputs'!R$9*$H20,IF(AND(($D20+$C$1)&gt;AU$4,AU$4&gt;=$C$1),'General Inputs'!R$9*$G20,0))+IF(AND(($E20+$C$1)&gt;AU$4,AU$4&gt;=$C$1),'General Inputs'!R$10*$J20,IF(AND(($D20+$C$1)&gt;AU$4,AU$4&gt;=$C$1),'General Inputs'!R$10*$I20,0))</f>
        <v>102.53498637647465</v>
      </c>
      <c r="AV20" s="214">
        <f>IF(AND(($E20+$C$1)&gt;AV$4,AV$4&gt;=$C$1),'General Inputs'!S$9*$H20,IF(AND(($D20+$C$1)&gt;AV$4,AV$4&gt;=$C$1),'General Inputs'!S$9*$G20,0))+IF(AND(($E20+$C$1)&gt;AV$4,AV$4&gt;=$C$1),'General Inputs'!S$10*$J20,IF(AND(($D20+$C$1)&gt;AV$4,AV$4&gt;=$C$1),'General Inputs'!S$10*$I20,0))</f>
        <v>0</v>
      </c>
      <c r="AW20" s="214">
        <f>IF(AND(($E20+$C$1)&gt;AW$4,AW$4&gt;=$C$1),'General Inputs'!T$9*$H20,IF(AND(($D20+$C$1)&gt;AW$4,AW$4&gt;=$C$1),'General Inputs'!T$9*$G20,0))+IF(AND(($E20+$C$1)&gt;AW$4,AW$4&gt;=$C$1),'General Inputs'!T$10*$J20,IF(AND(($D20+$C$1)&gt;AW$4,AW$4&gt;=$C$1),'General Inputs'!T$10*$I20,0))</f>
        <v>0</v>
      </c>
      <c r="AX20" s="214">
        <f>IF(AND(($E20+$C$1)&gt;AX$4,AX$4&gt;=$C$1),'General Inputs'!U$9*$H20,IF(AND(($D20+$C$1)&gt;AX$4,AX$4&gt;=$C$1),'General Inputs'!U$9*$G20,0))+IF(AND(($E20+$C$1)&gt;AX$4,AX$4&gt;=$C$1),'General Inputs'!U$10*$J20,IF(AND(($D20+$C$1)&gt;AX$4,AX$4&gt;=$C$1),'General Inputs'!U$10*$I20,0))</f>
        <v>0</v>
      </c>
      <c r="AY20" s="214">
        <f>IF(AND(($E20+$C$1)&gt;AY$4,AY$4&gt;=$C$1),'General Inputs'!V$9*$H20,IF(AND(($D20+$C$1)&gt;AY$4,AY$4&gt;=$C$1),'General Inputs'!V$9*$G20,0))+IF(AND(($E20+$C$1)&gt;AY$4,AY$4&gt;=$C$1),'General Inputs'!V$10*$J20,IF(AND(($D20+$C$1)&gt;AY$4,AY$4&gt;=$C$1),'General Inputs'!V$10*$I20,0))</f>
        <v>0</v>
      </c>
      <c r="AZ20" s="214">
        <f>IF(AND(($E20+$C$1)&gt;AZ$4,AZ$4&gt;=$C$1),'General Inputs'!W$9*$H20,IF(AND(($D20+$C$1)&gt;AZ$4,AZ$4&gt;=$C$1),'General Inputs'!W$9*$G20,0))+IF(AND(($E20+$C$1)&gt;AZ$4,AZ$4&gt;=$C$1),'General Inputs'!W$10*$J20,IF(AND(($D20+$C$1)&gt;AZ$4,AZ$4&gt;=$C$1),'General Inputs'!W$10*$I20,0))</f>
        <v>0</v>
      </c>
      <c r="BB20" s="214">
        <f>IF(AND(($E20+$C$1)&gt;BB$4,BB$4&gt;=$C$1),'General Inputs'!D$11*$H20,IF(AND(($D20+$C$1)&gt;BB$4,BB$4&gt;=$C$1),'General Inputs'!D$11*$G20,0))</f>
        <v>22.814668281265746</v>
      </c>
      <c r="BC20" s="214">
        <f>IF(AND(($E20+$C$1)&gt;BC$4,BC$4&gt;=$C$1),'General Inputs'!E$11*$H20,IF(AND(($D20+$C$1)&gt;BC$4,BC$4&gt;=$C$1),'General Inputs'!E$11*$G20,0))</f>
        <v>22.814668281265746</v>
      </c>
      <c r="BD20" s="214">
        <f>IF(AND(($E20+$C$1)&gt;BD$4,BD$4&gt;=$C$1),'General Inputs'!F$11*$H20,IF(AND(($D20+$C$1)&gt;BD$4,BD$4&gt;=$C$1),'General Inputs'!F$11*$G20,0))</f>
        <v>22.814668281265746</v>
      </c>
      <c r="BE20" s="214">
        <f>IF(AND(($E20+$C$1)&gt;BE$4,BE$4&gt;=$C$1),'General Inputs'!G$11*$H20,IF(AND(($D20+$C$1)&gt;BE$4,BE$4&gt;=$C$1),'General Inputs'!G$11*$G20,0))</f>
        <v>22.814668281265746</v>
      </c>
      <c r="BF20" s="214">
        <f>IF(AND(($E20+$C$1)&gt;BF$4,BF$4&gt;=$C$1),'General Inputs'!H$11*$H20,IF(AND(($D20+$C$1)&gt;BF$4,BF$4&gt;=$C$1),'General Inputs'!H$11*$G20,0))</f>
        <v>22.814668281265746</v>
      </c>
      <c r="BG20" s="214">
        <f>IF(AND(($E20+$C$1)&gt;BG$4,BG$4&gt;=$C$1),'General Inputs'!I$11*$H20,IF(AND(($D20+$C$1)&gt;BG$4,BG$4&gt;=$C$1),'General Inputs'!I$11*$G20,0))</f>
        <v>22.814668281265746</v>
      </c>
      <c r="BH20" s="214">
        <f>IF(AND(($E20+$C$1)&gt;BH$4,BH$4&gt;=$C$1),'General Inputs'!J$11*$H20,IF(AND(($D20+$C$1)&gt;BH$4,BH$4&gt;=$C$1),'General Inputs'!J$11*$G20,0))</f>
        <v>22.814668281265746</v>
      </c>
      <c r="BI20" s="214">
        <f>IF(AND(($E20+$C$1)&gt;BI$4,BI$4&gt;=$C$1),'General Inputs'!K$11*$H20,IF(AND(($D20+$C$1)&gt;BI$4,BI$4&gt;=$C$1),'General Inputs'!K$11*$G20,0))</f>
        <v>22.814668281265746</v>
      </c>
      <c r="BJ20" s="214">
        <f>IF(AND(($E20+$C$1)&gt;BJ$4,BJ$4&gt;=$C$1),'General Inputs'!L$11*$H20,IF(AND(($D20+$C$1)&gt;BJ$4,BJ$4&gt;=$C$1),'General Inputs'!L$11*$G20,0))</f>
        <v>22.814668281265746</v>
      </c>
      <c r="BK20" s="214">
        <f>IF(AND(($E20+$C$1)&gt;BK$4,BK$4&gt;=$C$1),'General Inputs'!M$11*$H20,IF(AND(($D20+$C$1)&gt;BK$4,BK$4&gt;=$C$1),'General Inputs'!M$11*$G20,0))</f>
        <v>22.814668281265746</v>
      </c>
      <c r="BL20" s="214">
        <f>IF(AND(($E20+$C$1)&gt;BL$4,BL$4&gt;=$C$1),'General Inputs'!N$11*$H20,IF(AND(($D20+$C$1)&gt;BL$4,BL$4&gt;=$C$1),'General Inputs'!N$11*$G20,0))</f>
        <v>22.814668281265746</v>
      </c>
      <c r="BM20" s="214">
        <f>IF(AND(($E20+$C$1)&gt;BM$4,BM$4&gt;=$C$1),'General Inputs'!O$11*$H20,IF(AND(($D20+$C$1)&gt;BM$4,BM$4&gt;=$C$1),'General Inputs'!O$11*$G20,0))</f>
        <v>22.814668281265746</v>
      </c>
      <c r="BN20" s="214">
        <f>IF(AND(($E20+$C$1)&gt;BN$4,BN$4&gt;=$C$1),'General Inputs'!P$11*$H20,IF(AND(($D20+$C$1)&gt;BN$4,BN$4&gt;=$C$1),'General Inputs'!P$11*$G20,0))</f>
        <v>22.814668281265746</v>
      </c>
      <c r="BO20" s="214">
        <f>IF(AND(($E20+$C$1)&gt;BO$4,BO$4&gt;=$C$1),'General Inputs'!Q$11*$H20,IF(AND(($D20+$C$1)&gt;BO$4,BO$4&gt;=$C$1),'General Inputs'!Q$11*$G20,0))</f>
        <v>22.814668281265746</v>
      </c>
      <c r="BP20" s="214">
        <f>IF(AND(($E20+$C$1)&gt;BP$4,BP$4&gt;=$C$1),'General Inputs'!R$11*$H20,IF(AND(($D20+$C$1)&gt;BP$4,BP$4&gt;=$C$1),'General Inputs'!R$11*$G20,0))</f>
        <v>22.814668281265746</v>
      </c>
      <c r="BQ20" s="214">
        <f>IF(AND(($E20+$C$1)&gt;BQ$4,BQ$4&gt;=$C$1),'General Inputs'!S$11*$H20,IF(AND(($D20+$C$1)&gt;BQ$4,BQ$4&gt;=$C$1),'General Inputs'!S$11*$G20,0))</f>
        <v>0</v>
      </c>
      <c r="BR20" s="214">
        <f>IF(AND(($E20+$C$1)&gt;BR$4,BR$4&gt;=$C$1),'General Inputs'!T$11*$H20,IF(AND(($D20+$C$1)&gt;BR$4,BR$4&gt;=$C$1),'General Inputs'!T$11*$G20,0))</f>
        <v>0</v>
      </c>
      <c r="BS20" s="214">
        <f>IF(AND(($E20+$C$1)&gt;BS$4,BS$4&gt;=$C$1),'General Inputs'!U$11*$H20,IF(AND(($D20+$C$1)&gt;BS$4,BS$4&gt;=$C$1),'General Inputs'!U$11*$G20,0))</f>
        <v>0</v>
      </c>
      <c r="BT20" s="214">
        <f>IF(AND(($E20+$C$1)&gt;BT$4,BT$4&gt;=$C$1),'General Inputs'!V$11*$H20,IF(AND(($D20+$C$1)&gt;BT$4,BT$4&gt;=$C$1),'General Inputs'!V$11*$G20,0))</f>
        <v>0</v>
      </c>
      <c r="BU20" s="214">
        <f>IF(AND(($E20+$C$1)&gt;BU$4,BU$4&gt;=$C$1),'General Inputs'!W$11*$H20,IF(AND(($D20+$C$1)&gt;BU$4,BU$4&gt;=$C$1),'General Inputs'!W$11*$G20,0))</f>
        <v>0</v>
      </c>
      <c r="BW20" s="214">
        <f>IF(AND(($E20+$C$1)&gt;BW$4,BW$4&gt;=$C$1),$H20,IF(AND(($D20+$C$1)&gt;BW$4,BW$4&gt;=$C$1),$G20,0))*IF($A20="Residential",'General Inputs'!D$14,'General Inputs'!D$19)</f>
        <v>268.63343405287895</v>
      </c>
      <c r="BX20" s="214">
        <f>IF(AND(($E20+$C$1)&gt;BX$4,BX$4&gt;=$C$1),$H20,IF(AND(($D20+$C$1)&gt;BX$4,BX$4&gt;=$C$1),$G20,0))*IF($A20="Residential",'General Inputs'!E$14,'General Inputs'!E$19)</f>
        <v>272.66293556367214</v>
      </c>
      <c r="BY20" s="214">
        <f>IF(AND(($E20+$C$1)&gt;BY$4,BY$4&gt;=$C$1),$H20,IF(AND(($D20+$C$1)&gt;BY$4,BY$4&gt;=$C$1),$G20,0))*IF($A20="Residential",'General Inputs'!F$14,'General Inputs'!F$19)</f>
        <v>276.75287959712716</v>
      </c>
      <c r="BZ20" s="214">
        <f>IF(AND(($E20+$C$1)&gt;BZ$4,BZ$4&gt;=$C$1),$H20,IF(AND(($D20+$C$1)&gt;BZ$4,BZ$4&gt;=$C$1),$G20,0))*IF($A20="Residential",'General Inputs'!G$14,'General Inputs'!G$19)</f>
        <v>280.90417279108402</v>
      </c>
      <c r="CA20" s="214">
        <f>IF(AND(($E20+$C$1)&gt;CA$4,CA$4&gt;=$C$1),$H20,IF(AND(($D20+$C$1)&gt;CA$4,CA$4&gt;=$C$1),$G20,0))*IF($A20="Residential",'General Inputs'!H$14,'General Inputs'!H$19)</f>
        <v>285.11773538295023</v>
      </c>
      <c r="CB20" s="214">
        <f>IF(AND(($E20+$C$1)&gt;CB$4,CB$4&gt;=$C$1),$H20,IF(AND(($D20+$C$1)&gt;CB$4,CB$4&gt;=$C$1),$G20,0))*IF($A20="Residential",'General Inputs'!I$14,'General Inputs'!I$19)</f>
        <v>289.39450141369446</v>
      </c>
      <c r="CC20" s="214">
        <f>IF(AND(($E20+$C$1)&gt;CC$4,CC$4&gt;=$C$1),$H20,IF(AND(($D20+$C$1)&gt;CC$4,CC$4&gt;=$C$1),$G20,0))*IF($A20="Residential",'General Inputs'!J$14,'General Inputs'!J$19)</f>
        <v>293.73541893489983</v>
      </c>
      <c r="CD20" s="214">
        <f>IF(AND(($E20+$C$1)&gt;CD$4,CD$4&gt;=$C$1),$H20,IF(AND(($D20+$C$1)&gt;CD$4,CD$4&gt;=$C$1),$G20,0))*IF($A20="Residential",'General Inputs'!K$14,'General Inputs'!K$19)</f>
        <v>298.1414502189233</v>
      </c>
      <c r="CE20" s="214">
        <f>IF(AND(($E20+$C$1)&gt;CE$4,CE$4&gt;=$C$1),$H20,IF(AND(($D20+$C$1)&gt;CE$4,CE$4&gt;=$C$1),$G20,0))*IF($A20="Residential",'General Inputs'!L$14,'General Inputs'!L$19)</f>
        <v>302.61357197220707</v>
      </c>
      <c r="CF20" s="214">
        <f>IF(AND(($E20+$C$1)&gt;CF$4,CF$4&gt;=$C$1),$H20,IF(AND(($D20+$C$1)&gt;CF$4,CF$4&gt;=$C$1),$G20,0))*IF($A20="Residential",'General Inputs'!M$14,'General Inputs'!M$19)</f>
        <v>307.15277555179017</v>
      </c>
      <c r="CG20" s="214">
        <f>IF(AND(($E20+$C$1)&gt;CG$4,CG$4&gt;=$C$1),$H20,IF(AND(($D20+$C$1)&gt;CG$4,CG$4&gt;=$C$1),$G20,0))*IF($A20="Residential",'General Inputs'!N$14,'General Inputs'!N$19)</f>
        <v>311.76006718506699</v>
      </c>
      <c r="CH20" s="214">
        <f>IF(AND(($E20+$C$1)&gt;CH$4,CH$4&gt;=$C$1),$H20,IF(AND(($D20+$C$1)&gt;CH$4,CH$4&gt;=$C$1),$G20,0))*IF($A20="Residential",'General Inputs'!O$14,'General Inputs'!O$19)</f>
        <v>316.43646819284299</v>
      </c>
      <c r="CI20" s="214">
        <f>IF(AND(($E20+$C$1)&gt;CI$4,CI$4&gt;=$C$1),$H20,IF(AND(($D20+$C$1)&gt;CI$4,CI$4&gt;=$C$1),$G20,0))*IF($A20="Residential",'General Inputs'!P$14,'General Inputs'!P$19)</f>
        <v>321.18301521573557</v>
      </c>
      <c r="CJ20" s="214">
        <f>IF(AND(($E20+$C$1)&gt;CJ$4,CJ$4&gt;=$C$1),$H20,IF(AND(($D20+$C$1)&gt;CJ$4,CJ$4&gt;=$C$1),$G20,0))*IF($A20="Residential",'General Inputs'!Q$14,'General Inputs'!Q$19)</f>
        <v>326.00076044397156</v>
      </c>
      <c r="CK20" s="214">
        <f>IF(AND(($E20+$C$1)&gt;CK$4,CK$4&gt;=$C$1),$H20,IF(AND(($D20+$C$1)&gt;CK$4,CK$4&gt;=$C$1),$G20,0))*IF($A20="Residential",'General Inputs'!R$14,'General Inputs'!R$19)</f>
        <v>330.8907718506311</v>
      </c>
      <c r="CL20" s="214">
        <f>IF(AND(($E20+$C$1)&gt;CL$4,CL$4&gt;=$C$1),$H20,IF(AND(($D20+$C$1)&gt;CL$4,CL$4&gt;=$C$1),$G20,0))*IF($A20="Residential",'General Inputs'!S$14,'General Inputs'!S$19)</f>
        <v>0</v>
      </c>
      <c r="CM20" s="214">
        <f>IF(AND(($E20+$C$1)&gt;CM$4,CM$4&gt;=$C$1),$H20,IF(AND(($D20+$C$1)&gt;CM$4,CM$4&gt;=$C$1),$G20,0))*IF($A20="Residential",'General Inputs'!T$14,'General Inputs'!T$19)</f>
        <v>0</v>
      </c>
      <c r="CN20" s="214">
        <f>IF(AND(($E20+$C$1)&gt;CN$4,CN$4&gt;=$C$1),$H20,IF(AND(($D20+$C$1)&gt;CN$4,CN$4&gt;=$C$1),$G20,0))*IF($A20="Residential",'General Inputs'!U$14,'General Inputs'!U$19)</f>
        <v>0</v>
      </c>
      <c r="CO20" s="214">
        <f>IF(AND(($E20+$C$1)&gt;CO$4,CO$4&gt;=$C$1),$H20,IF(AND(($D20+$C$1)&gt;CO$4,CO$4&gt;=$C$1),$G20,0))*IF($A20="Residential",'General Inputs'!V$14,'General Inputs'!V$19)</f>
        <v>0</v>
      </c>
      <c r="CP20" s="214">
        <f>IF(AND(($E20+$C$1)&gt;CP$4,CP$4&gt;=$C$1),$H20,IF(AND(($D20+$C$1)&gt;CP$4,CP$4&gt;=$C$1),$G20,0))*IF($A20="Residential",'General Inputs'!W$14,'General Inputs'!W$19)</f>
        <v>0</v>
      </c>
      <c r="CR20" s="214">
        <f>IF(AND(($E20+$C$1)&gt;CR$4,CR$4&gt;=$C$1),$H20,IF(AND(($D20+$C$1)&gt;CR$4,CR$4&gt;=$C$1),$G20,0))*IF($A20="Residential",'General Inputs'!D$15,'General Inputs'!D$19)</f>
        <v>218.53552283898915</v>
      </c>
      <c r="CS20" s="214">
        <f>IF(AND(($E20+$C$1)&gt;CS$4,CS$4&gt;=$C$1),$H20,IF(AND(($D20+$C$1)&gt;CS$4,CS$4&gt;=$C$1),$G20,0))*IF($A20="Residential",'General Inputs'!E$15,'General Inputs'!E$19)</f>
        <v>221.81355568157397</v>
      </c>
      <c r="CT20" s="214">
        <f>IF(AND(($E20+$C$1)&gt;CT$4,CT$4&gt;=$C$1),$H20,IF(AND(($D20+$C$1)&gt;CT$4,CT$4&gt;=$C$1),$G20,0))*IF($A20="Residential",'General Inputs'!F$15,'General Inputs'!F$19)</f>
        <v>225.14075901679757</v>
      </c>
      <c r="CU20" s="214">
        <f>IF(AND(($E20+$C$1)&gt;CU$4,CU$4&gt;=$C$1),$H20,IF(AND(($D20+$C$1)&gt;CU$4,CU$4&gt;=$C$1),$G20,0))*IF($A20="Residential",'General Inputs'!G$15,'General Inputs'!G$19)</f>
        <v>228.51787040204951</v>
      </c>
      <c r="CV20" s="214">
        <f>IF(AND(($E20+$C$1)&gt;CV$4,CV$4&gt;=$C$1),$H20,IF(AND(($D20+$C$1)&gt;CV$4,CV$4&gt;=$C$1),$G20,0))*IF($A20="Residential",'General Inputs'!H$15,'General Inputs'!H$19)</f>
        <v>231.94563845808023</v>
      </c>
      <c r="CW20" s="214">
        <f>IF(AND(($E20+$C$1)&gt;CW$4,CW$4&gt;=$C$1),$H20,IF(AND(($D20+$C$1)&gt;CW$4,CW$4&gt;=$C$1),$G20,0))*IF($A20="Residential",'General Inputs'!I$15,'General Inputs'!I$19)</f>
        <v>235.4248230349514</v>
      </c>
      <c r="CX20" s="214">
        <f>IF(AND(($E20+$C$1)&gt;CX$4,CX$4&gt;=$C$1),$H20,IF(AND(($D20+$C$1)&gt;CX$4,CX$4&gt;=$C$1),$G20,0))*IF($A20="Residential",'General Inputs'!J$15,'General Inputs'!J$19)</f>
        <v>238.95619538047563</v>
      </c>
      <c r="CY20" s="214">
        <f>IF(AND(($E20+$C$1)&gt;CY$4,CY$4&gt;=$C$1),$H20,IF(AND(($D20+$C$1)&gt;CY$4,CY$4&gt;=$C$1),$G20,0))*IF($A20="Residential",'General Inputs'!K$15,'General Inputs'!K$19)</f>
        <v>242.54053831118276</v>
      </c>
      <c r="CZ20" s="214">
        <f>IF(AND(($E20+$C$1)&gt;CZ$4,CZ$4&gt;=$C$1),$H20,IF(AND(($D20+$C$1)&gt;CZ$4,CZ$4&gt;=$C$1),$G20,0))*IF($A20="Residential",'General Inputs'!L$15,'General Inputs'!L$19)</f>
        <v>246.17864638585047</v>
      </c>
      <c r="DA20" s="214">
        <f>IF(AND(($E20+$C$1)&gt;DA$4,DA$4&gt;=$C$1),$H20,IF(AND(($D20+$C$1)&gt;DA$4,DA$4&gt;=$C$1),$G20,0))*IF($A20="Residential",'General Inputs'!M$15,'General Inputs'!M$19)</f>
        <v>249.87132608163822</v>
      </c>
      <c r="DB20" s="214">
        <f>IF(AND(($E20+$C$1)&gt;DB$4,DB$4&gt;=$C$1),$H20,IF(AND(($D20+$C$1)&gt;DB$4,DB$4&gt;=$C$1),$G20,0))*IF($A20="Residential",'General Inputs'!N$15,'General Inputs'!N$19)</f>
        <v>253.61939597286272</v>
      </c>
      <c r="DC20" s="214">
        <f>IF(AND(($E20+$C$1)&gt;DC$4,DC$4&gt;=$C$1),$H20,IF(AND(($D20+$C$1)&gt;DC$4,DC$4&gt;=$C$1),$G20,0))*IF($A20="Residential",'General Inputs'!O$15,'General Inputs'!O$19)</f>
        <v>257.42368691245565</v>
      </c>
      <c r="DD20" s="214">
        <f>IF(AND(($E20+$C$1)&gt;DD$4,DD$4&gt;=$C$1),$H20,IF(AND(($D20+$C$1)&gt;DD$4,DD$4&gt;=$C$1),$G20,0))*IF($A20="Residential",'General Inputs'!P$15,'General Inputs'!P$19)</f>
        <v>261.28504221614247</v>
      </c>
      <c r="DE20" s="214">
        <f>IF(AND(($E20+$C$1)&gt;DE$4,DE$4&gt;=$C$1),$H20,IF(AND(($D20+$C$1)&gt;DE$4,DE$4&gt;=$C$1),$G20,0))*IF($A20="Residential",'General Inputs'!Q$15,'General Inputs'!Q$19)</f>
        <v>265.20431784938461</v>
      </c>
      <c r="DF20" s="214">
        <f>IF(AND(($E20+$C$1)&gt;DF$4,DF$4&gt;=$C$1),$H20,IF(AND(($D20+$C$1)&gt;DF$4,DF$4&gt;=$C$1),$G20,0))*IF($A20="Residential",'General Inputs'!R$15,'General Inputs'!R$19)</f>
        <v>269.18238261712531</v>
      </c>
      <c r="DG20" s="214">
        <f>IF(AND(($E20+$C$1)&gt;DG$4,DG$4&gt;=$C$1),$H20,IF(AND(($D20+$C$1)&gt;DG$4,DG$4&gt;=$C$1),$G20,0))*IF($A20="Residential",'General Inputs'!S$15,'General Inputs'!S$19)</f>
        <v>0</v>
      </c>
      <c r="DH20" s="214">
        <f>IF(AND(($E20+$C$1)&gt;DH$4,DH$4&gt;=$C$1),$H20,IF(AND(($D20+$C$1)&gt;DH$4,DH$4&gt;=$C$1),$G20,0))*IF($A20="Residential",'General Inputs'!T$15,'General Inputs'!T$19)</f>
        <v>0</v>
      </c>
      <c r="DI20" s="214">
        <f>IF(AND(($E20+$C$1)&gt;DI$4,DI$4&gt;=$C$1),$H20,IF(AND(($D20+$C$1)&gt;DI$4,DI$4&gt;=$C$1),$G20,0))*IF($A20="Residential",'General Inputs'!U$15,'General Inputs'!U$19)</f>
        <v>0</v>
      </c>
      <c r="DJ20" s="214">
        <f>IF(AND(($E20+$C$1)&gt;DJ$4,DJ$4&gt;=$C$1),$H20,IF(AND(($D20+$C$1)&gt;DJ$4,DJ$4&gt;=$C$1),$G20,0))*IF($A20="Residential",'General Inputs'!V$15,'General Inputs'!V$19)</f>
        <v>0</v>
      </c>
      <c r="DK20" s="214">
        <f>IF(AND(($E20+$C$1)&gt;DK$4,DK$4&gt;=$C$1),$H20,IF(AND(($D20+$C$1)&gt;DK$4,DK$4&gt;=$C$1),$G20,0))*IF($A20="Residential",'General Inputs'!W$15,'General Inputs'!W$19)</f>
        <v>0</v>
      </c>
      <c r="DM20" s="214">
        <f t="shared" si="200"/>
        <v>750</v>
      </c>
      <c r="DN20" s="214">
        <f t="shared" si="105"/>
        <v>0</v>
      </c>
      <c r="DO20" s="214">
        <f t="shared" si="105"/>
        <v>0</v>
      </c>
      <c r="DP20" s="214">
        <f t="shared" si="105"/>
        <v>0</v>
      </c>
      <c r="DQ20" s="214">
        <f t="shared" si="105"/>
        <v>0</v>
      </c>
      <c r="DR20" s="214">
        <f t="shared" si="105"/>
        <v>0</v>
      </c>
      <c r="DS20" s="214">
        <f t="shared" si="105"/>
        <v>0</v>
      </c>
      <c r="DT20" s="214">
        <f t="shared" si="105"/>
        <v>0</v>
      </c>
      <c r="DU20" s="214">
        <f t="shared" si="105"/>
        <v>0</v>
      </c>
      <c r="DV20" s="214">
        <f t="shared" si="105"/>
        <v>0</v>
      </c>
      <c r="DW20" s="214">
        <f t="shared" si="105"/>
        <v>0</v>
      </c>
      <c r="DZ20" s="650"/>
      <c r="FI20" s="195"/>
      <c r="FJ20" s="195"/>
      <c r="FK20" s="195"/>
      <c r="FL20" s="195"/>
      <c r="FM20" s="195"/>
      <c r="FN20" s="195"/>
      <c r="FO20" s="195"/>
    </row>
    <row r="21" spans="1:171">
      <c r="A21" s="342" t="s">
        <v>12</v>
      </c>
      <c r="B21" s="427" t="str">
        <f>'Portfolio Inputs'!A20</f>
        <v>Geothermal EER ≥21</v>
      </c>
      <c r="C21" s="217">
        <f>IF($C$1=2014,'Portfolio Inputs'!$C20,IF($C$1=2015,'Portfolio Inputs'!$D20,'Portfolio Inputs'!$E20))</f>
        <v>6</v>
      </c>
      <c r="D21" s="504">
        <f>VLOOKUP(B21,Sources!$B$4:$J$104,2,FALSE)</f>
        <v>18</v>
      </c>
      <c r="E21" s="504">
        <f>VLOOKUP(B21,Sources!$B$4:$J$104,3,FALSE)</f>
        <v>0</v>
      </c>
      <c r="G21" s="504">
        <f>IF($C$1=2014,'Portfolio Inputs'!$G20,IF($C$1=2015,'Portfolio Inputs'!$H20,'Portfolio Inputs'!$I20))*EnergyLineLoss</f>
        <v>31127.97853210965</v>
      </c>
      <c r="H21" s="504">
        <f>VLOOKUP($B21,Sources!$B$4:$K$104,6,FALSE)*C21*EnergyLineLoss</f>
        <v>0</v>
      </c>
      <c r="I21" s="504">
        <f>IF($C$1=2014,'Portfolio Inputs'!$K20,IF($C$1=2015,'Portfolio Inputs'!$L20,'Portfolio Inputs'!$M20))*PeakLineLoss</f>
        <v>4.8683938603976342</v>
      </c>
      <c r="J21" s="510">
        <f>VLOOKUP($B21,Sources!$B$4:$K$104,8,FALSE)*C21*PeakLineLoss</f>
        <v>0</v>
      </c>
      <c r="L21" s="606">
        <f>IF($C$1=2014,'Portfolio Inputs'!$O20,IF($C$1=2015,'Portfolio Inputs'!$P20,'Portfolio Inputs'!$Q20))</f>
        <v>1230</v>
      </c>
      <c r="M21" s="518">
        <f>VLOOKUP($B21,Sources!$B$4:$K$104,10,FALSE)</f>
        <v>0</v>
      </c>
      <c r="N21" s="419">
        <f>IF($C$1=2014,'Portfolio Inputs'!$W20,IF($C$1=2015,'Portfolio Inputs'!$X20,'Portfolio Inputs'!$Y20))</f>
        <v>6400</v>
      </c>
      <c r="O21" s="419"/>
      <c r="Q21" s="438">
        <f t="shared" ref="Q21:Q23" si="242">IF(OR(AE21&gt;0,AC21&gt;0),Y21/(AC21+AE21),"n/a")</f>
        <v>1.8862211496557282</v>
      </c>
      <c r="R21" s="439">
        <f t="shared" ref="R21:R23" si="243">IF(OR(AC21&gt;0,AD21&gt;0),Y21/((AD21+AC21)),"n/a")</f>
        <v>2.1750487631967617</v>
      </c>
      <c r="S21" s="439">
        <f t="shared" ref="S21:S23" si="244">IF(OR(AC21&gt;0,AE21&gt;0),(Y21+Z21)/(AC21+AE21),"n/a")</f>
        <v>2.3493730844539056</v>
      </c>
      <c r="T21" s="439">
        <f t="shared" ref="T21:T23" si="245">IF(AE21&gt;0,(AD21+AA21)/AE21,"n/a")</f>
        <v>6.8734465275352665</v>
      </c>
      <c r="U21" s="439">
        <f t="shared" ref="U21:U23" si="246">IF(AE21&gt;0,(AD21+AB21)/AE21,"n/a")</f>
        <v>5.7533328980734391</v>
      </c>
      <c r="V21" s="439">
        <f t="shared" ref="V21:V23" si="247">IF((AA21+AC21+AD21)&gt;0,Y21/(AA21+AC21+AD21),"n/a")</f>
        <v>0.27442144811914382</v>
      </c>
      <c r="W21" s="439">
        <f t="shared" ref="W21:W23" si="248">IF((AB21+AC21+AD21)&gt;0,Y21/(AB21+AC21+AD21),"n/a")</f>
        <v>0.32784842856691782</v>
      </c>
      <c r="Y21" s="215">
        <f t="shared" ref="Y21:Y23" si="249">AG21+NPV(DiscountRate,AH21:AZ21)</f>
        <v>13920.312084459274</v>
      </c>
      <c r="Z21" s="215">
        <f t="shared" ref="Z21:Z23" si="250">BB21+NPV(DiscountRate,BC21:BU21)</f>
        <v>3418.0612788105514</v>
      </c>
      <c r="AA21" s="215">
        <f t="shared" ref="AA21:AA23" si="251">BW21+NPV(DiscountRate,BX21:CP21)</f>
        <v>44326.035373210267</v>
      </c>
      <c r="AB21" s="215">
        <f t="shared" ref="AB21:AB23" si="252">CR21+NPV(DiscountRate,CS21:DK21)</f>
        <v>36059.596787781978</v>
      </c>
      <c r="AC21" s="216">
        <f t="shared" ref="AC21:AC23" si="253">O21/((1+DiscountRate)^(IF($C$1=2015,1,IF($C$1=2016,2,0))))</f>
        <v>0</v>
      </c>
      <c r="AD21" s="216">
        <f t="shared" ref="AD21:AD23" si="254">N21/((1+DiscountRate)^(IF($C$1=2015,1,IF($C$1=2016,2,0))))</f>
        <v>6400</v>
      </c>
      <c r="AE21" s="215">
        <f t="shared" ref="AE21:AE23" si="255">DM21+NPV(DiscountRate,DN21:DW21)</f>
        <v>7380</v>
      </c>
      <c r="AG21" s="214">
        <f>IF(AND(($E21+$C$1)&gt;AG$4,AG$4&gt;=$C$1),'General Inputs'!D$9*$H21,IF(AND(($D21+$C$1)&gt;AG$4,AG$4&gt;=$C$1),'General Inputs'!D$9*$G21,0))+IF(AND(($E21+$C$1)&gt;AG$4,AG$4&gt;=$C$1),'General Inputs'!D$10*$J21,IF(AND(($D21+$C$1)&gt;AG$4,AG$4&gt;=$C$1),'General Inputs'!D$10*$I21,0))</f>
        <v>1312.1749969033151</v>
      </c>
      <c r="AH21" s="214">
        <f>IF(AND(($E21+$C$1)&gt;AH$4,AH$4&gt;=$C$1),'General Inputs'!E$9*$H21,IF(AND(($D21+$C$1)&gt;AH$4,AH$4&gt;=$C$1),'General Inputs'!E$9*$G21,0))+IF(AND(($E21+$C$1)&gt;AH$4,AH$4&gt;=$C$1),'General Inputs'!E$10*$J21,IF(AND(($D21+$C$1)&gt;AH$4,AH$4&gt;=$C$1),'General Inputs'!E$10*$I21,0))</f>
        <v>1331.8576218568649</v>
      </c>
      <c r="AI21" s="214">
        <f>IF(AND(($E21+$C$1)&gt;AI$4,AI$4&gt;=$C$1),'General Inputs'!F$9*$H21,IF(AND(($D21+$C$1)&gt;AI$4,AI$4&gt;=$C$1),'General Inputs'!F$9*$G21,0))+IF(AND(($E21+$C$1)&gt;AI$4,AI$4&gt;=$C$1),'General Inputs'!F$10*$J21,IF(AND(($D21+$C$1)&gt;AI$4,AI$4&gt;=$C$1),'General Inputs'!F$10*$I21,0))</f>
        <v>1351.8354861847176</v>
      </c>
      <c r="AJ21" s="214">
        <f>IF(AND(($E21+$C$1)&gt;AJ$4,AJ$4&gt;=$C$1),'General Inputs'!G$9*$H21,IF(AND(($D21+$C$1)&gt;AJ$4,AJ$4&gt;=$C$1),'General Inputs'!G$9*$G21,0))+IF(AND(($E21+$C$1)&gt;AJ$4,AJ$4&gt;=$C$1),'General Inputs'!G$10*$J21,IF(AND(($D21+$C$1)&gt;AJ$4,AJ$4&gt;=$C$1),'General Inputs'!G$10*$I21,0))</f>
        <v>1372.1130184774884</v>
      </c>
      <c r="AK21" s="214">
        <f>IF(AND(($E21+$C$1)&gt;AK$4,AK$4&gt;=$C$1),'General Inputs'!H$9*$H21,IF(AND(($D21+$C$1)&gt;AK$4,AK$4&gt;=$C$1),'General Inputs'!H$9*$G21,0))+IF(AND(($E21+$C$1)&gt;AK$4,AK$4&gt;=$C$1),'General Inputs'!H$10*$J21,IF(AND(($D21+$C$1)&gt;AK$4,AK$4&gt;=$C$1),'General Inputs'!H$10*$I21,0))</f>
        <v>1392.6947137546504</v>
      </c>
      <c r="AL21" s="214">
        <f>IF(AND(($E21+$C$1)&gt;AL$4,AL$4&gt;=$C$1),'General Inputs'!I$9*$H21,IF(AND(($D21+$C$1)&gt;AL$4,AL$4&gt;=$C$1),'General Inputs'!I$9*$G21,0))+IF(AND(($E21+$C$1)&gt;AL$4,AL$4&gt;=$C$1),'General Inputs'!I$10*$J21,IF(AND(($D21+$C$1)&gt;AL$4,AL$4&gt;=$C$1),'General Inputs'!I$10*$I21,0))</f>
        <v>1413.58513446097</v>
      </c>
      <c r="AM21" s="214">
        <f>IF(AND(($E21+$C$1)&gt;AM$4,AM$4&gt;=$C$1),'General Inputs'!J$9*$H21,IF(AND(($D21+$C$1)&gt;AM$4,AM$4&gt;=$C$1),'General Inputs'!J$9*$G21,0))+IF(AND(($E21+$C$1)&gt;AM$4,AM$4&gt;=$C$1),'General Inputs'!J$10*$J21,IF(AND(($D21+$C$1)&gt;AM$4,AM$4&gt;=$C$1),'General Inputs'!J$10*$I21,0))</f>
        <v>1434.7889114778843</v>
      </c>
      <c r="AN21" s="214">
        <f>IF(AND(($E21+$C$1)&gt;AN$4,AN$4&gt;=$C$1),'General Inputs'!K$9*$H21,IF(AND(($D21+$C$1)&gt;AN$4,AN$4&gt;=$C$1),'General Inputs'!K$9*$G21,0))+IF(AND(($E21+$C$1)&gt;AN$4,AN$4&gt;=$C$1),'General Inputs'!K$10*$J21,IF(AND(($D21+$C$1)&gt;AN$4,AN$4&gt;=$C$1),'General Inputs'!K$10*$I21,0))</f>
        <v>1456.3107451500523</v>
      </c>
      <c r="AO21" s="214">
        <f>IF(AND(($E21+$C$1)&gt;AO$4,AO$4&gt;=$C$1),'General Inputs'!L$9*$H21,IF(AND(($D21+$C$1)&gt;AO$4,AO$4&gt;=$C$1),'General Inputs'!L$9*$G21,0))+IF(AND(($E21+$C$1)&gt;AO$4,AO$4&gt;=$C$1),'General Inputs'!L$10*$J21,IF(AND(($D21+$C$1)&gt;AO$4,AO$4&gt;=$C$1),'General Inputs'!L$10*$I21,0))</f>
        <v>1478.1554063273029</v>
      </c>
      <c r="AP21" s="214">
        <f>IF(AND(($E21+$C$1)&gt;AP$4,AP$4&gt;=$C$1),'General Inputs'!M$9*$H21,IF(AND(($D21+$C$1)&gt;AP$4,AP$4&gt;=$C$1),'General Inputs'!M$9*$G21,0))+IF(AND(($E21+$C$1)&gt;AP$4,AP$4&gt;=$C$1),'General Inputs'!M$10*$J21,IF(AND(($D21+$C$1)&gt;AP$4,AP$4&gt;=$C$1),'General Inputs'!M$10*$I21,0))</f>
        <v>1500.3277374222123</v>
      </c>
      <c r="AQ21" s="214">
        <f>IF(AND(($E21+$C$1)&gt;AQ$4,AQ$4&gt;=$C$1),'General Inputs'!N$9*$H21,IF(AND(($D21+$C$1)&gt;AQ$4,AQ$4&gt;=$C$1),'General Inputs'!N$9*$G21,0))+IF(AND(($E21+$C$1)&gt;AQ$4,AQ$4&gt;=$C$1),'General Inputs'!N$10*$J21,IF(AND(($D21+$C$1)&gt;AQ$4,AQ$4&gt;=$C$1),'General Inputs'!N$10*$I21,0))</f>
        <v>1522.8326534835453</v>
      </c>
      <c r="AR21" s="214">
        <f>IF(AND(($E21+$C$1)&gt;AR$4,AR$4&gt;=$C$1),'General Inputs'!O$9*$H21,IF(AND(($D21+$C$1)&gt;AR$4,AR$4&gt;=$C$1),'General Inputs'!O$9*$G21,0))+IF(AND(($E21+$C$1)&gt;AR$4,AR$4&gt;=$C$1),'General Inputs'!O$10*$J21,IF(AND(($D21+$C$1)&gt;AR$4,AR$4&gt;=$C$1),'General Inputs'!O$10*$I21,0))</f>
        <v>1545.6751432857984</v>
      </c>
      <c r="AS21" s="214">
        <f>IF(AND(($E21+$C$1)&gt;AS$4,AS$4&gt;=$C$1),'General Inputs'!P$9*$H21,IF(AND(($D21+$C$1)&gt;AS$4,AS$4&gt;=$C$1),'General Inputs'!P$9*$G21,0))+IF(AND(($E21+$C$1)&gt;AS$4,AS$4&gt;=$C$1),'General Inputs'!P$10*$J21,IF(AND(($D21+$C$1)&gt;AS$4,AS$4&gt;=$C$1),'General Inputs'!P$10*$I21,0))</f>
        <v>1568.8602704350851</v>
      </c>
      <c r="AT21" s="214">
        <f>IF(AND(($E21+$C$1)&gt;AT$4,AT$4&gt;=$C$1),'General Inputs'!Q$9*$H21,IF(AND(($D21+$C$1)&gt;AT$4,AT$4&gt;=$C$1),'General Inputs'!Q$9*$G21,0))+IF(AND(($E21+$C$1)&gt;AT$4,AT$4&gt;=$C$1),'General Inputs'!Q$10*$J21,IF(AND(($D21+$C$1)&gt;AT$4,AT$4&gt;=$C$1),'General Inputs'!Q$10*$I21,0))</f>
        <v>1592.3931744916113</v>
      </c>
      <c r="AU21" s="214">
        <f>IF(AND(($E21+$C$1)&gt;AU$4,AU$4&gt;=$C$1),'General Inputs'!R$9*$H21,IF(AND(($D21+$C$1)&gt;AU$4,AU$4&gt;=$C$1),'General Inputs'!R$9*$G21,0))+IF(AND(($E21+$C$1)&gt;AU$4,AU$4&gt;=$C$1),'General Inputs'!R$10*$J21,IF(AND(($D21+$C$1)&gt;AU$4,AU$4&gt;=$C$1),'General Inputs'!R$10*$I21,0))</f>
        <v>1616.2790721089855</v>
      </c>
      <c r="AV21" s="214">
        <f>IF(AND(($E21+$C$1)&gt;AV$4,AV$4&gt;=$C$1),'General Inputs'!S$9*$H21,IF(AND(($D21+$C$1)&gt;AV$4,AV$4&gt;=$C$1),'General Inputs'!S$9*$G21,0))+IF(AND(($E21+$C$1)&gt;AV$4,AV$4&gt;=$C$1),'General Inputs'!S$10*$J21,IF(AND(($D21+$C$1)&gt;AV$4,AV$4&gt;=$C$1),'General Inputs'!S$10*$I21,0))</f>
        <v>1640.52325819062</v>
      </c>
      <c r="AW21" s="214">
        <f>IF(AND(($E21+$C$1)&gt;AW$4,AW$4&gt;=$C$1),'General Inputs'!T$9*$H21,IF(AND(($D21+$C$1)&gt;AW$4,AW$4&gt;=$C$1),'General Inputs'!T$9*$G21,0))+IF(AND(($E21+$C$1)&gt;AW$4,AW$4&gt;=$C$1),'General Inputs'!T$10*$J21,IF(AND(($D21+$C$1)&gt;AW$4,AW$4&gt;=$C$1),'General Inputs'!T$10*$I21,0))</f>
        <v>1665.1311070634792</v>
      </c>
      <c r="AX21" s="214">
        <f>IF(AND(($E21+$C$1)&gt;AX$4,AX$4&gt;=$C$1),'General Inputs'!U$9*$H21,IF(AND(($D21+$C$1)&gt;AX$4,AX$4&gt;=$C$1),'General Inputs'!U$9*$G21,0))+IF(AND(($E21+$C$1)&gt;AX$4,AX$4&gt;=$C$1),'General Inputs'!U$10*$J21,IF(AND(($D21+$C$1)&gt;AX$4,AX$4&gt;=$C$1),'General Inputs'!U$10*$I21,0))</f>
        <v>1690.1080736694312</v>
      </c>
      <c r="AY21" s="214">
        <f>IF(AND(($E21+$C$1)&gt;AY$4,AY$4&gt;=$C$1),'General Inputs'!V$9*$H21,IF(AND(($D21+$C$1)&gt;AY$4,AY$4&gt;=$C$1),'General Inputs'!V$9*$G21,0))+IF(AND(($E21+$C$1)&gt;AY$4,AY$4&gt;=$C$1),'General Inputs'!V$10*$J21,IF(AND(($D21+$C$1)&gt;AY$4,AY$4&gt;=$C$1),'General Inputs'!V$10*$I21,0))</f>
        <v>0</v>
      </c>
      <c r="AZ21" s="214">
        <f>IF(AND(($E21+$C$1)&gt;AZ$4,AZ$4&gt;=$C$1),'General Inputs'!W$9*$H21,IF(AND(($D21+$C$1)&gt;AZ$4,AZ$4&gt;=$C$1),'General Inputs'!W$9*$G21,0))+IF(AND(($E21+$C$1)&gt;AZ$4,AZ$4&gt;=$C$1),'General Inputs'!W$10*$J21,IF(AND(($D21+$C$1)&gt;AZ$4,AZ$4&gt;=$C$1),'General Inputs'!W$10*$I21,0))</f>
        <v>0</v>
      </c>
      <c r="BB21" s="214">
        <f>IF(AND(($E21+$C$1)&gt;BB$4,BB$4&gt;=$C$1),'General Inputs'!D$11*$H21,IF(AND(($D21+$C$1)&gt;BB$4,BB$4&gt;=$C$1),'General Inputs'!D$11*$G21,0))</f>
        <v>354.85895526605003</v>
      </c>
      <c r="BC21" s="214">
        <f>IF(AND(($E21+$C$1)&gt;BC$4,BC$4&gt;=$C$1),'General Inputs'!E$11*$H21,IF(AND(($D21+$C$1)&gt;BC$4,BC$4&gt;=$C$1),'General Inputs'!E$11*$G21,0))</f>
        <v>354.85895526605003</v>
      </c>
      <c r="BD21" s="214">
        <f>IF(AND(($E21+$C$1)&gt;BD$4,BD$4&gt;=$C$1),'General Inputs'!F$11*$H21,IF(AND(($D21+$C$1)&gt;BD$4,BD$4&gt;=$C$1),'General Inputs'!F$11*$G21,0))</f>
        <v>354.85895526605003</v>
      </c>
      <c r="BE21" s="214">
        <f>IF(AND(($E21+$C$1)&gt;BE$4,BE$4&gt;=$C$1),'General Inputs'!G$11*$H21,IF(AND(($D21+$C$1)&gt;BE$4,BE$4&gt;=$C$1),'General Inputs'!G$11*$G21,0))</f>
        <v>354.85895526605003</v>
      </c>
      <c r="BF21" s="214">
        <f>IF(AND(($E21+$C$1)&gt;BF$4,BF$4&gt;=$C$1),'General Inputs'!H$11*$H21,IF(AND(($D21+$C$1)&gt;BF$4,BF$4&gt;=$C$1),'General Inputs'!H$11*$G21,0))</f>
        <v>354.85895526605003</v>
      </c>
      <c r="BG21" s="214">
        <f>IF(AND(($E21+$C$1)&gt;BG$4,BG$4&gt;=$C$1),'General Inputs'!I$11*$H21,IF(AND(($D21+$C$1)&gt;BG$4,BG$4&gt;=$C$1),'General Inputs'!I$11*$G21,0))</f>
        <v>354.85895526605003</v>
      </c>
      <c r="BH21" s="214">
        <f>IF(AND(($E21+$C$1)&gt;BH$4,BH$4&gt;=$C$1),'General Inputs'!J$11*$H21,IF(AND(($D21+$C$1)&gt;BH$4,BH$4&gt;=$C$1),'General Inputs'!J$11*$G21,0))</f>
        <v>354.85895526605003</v>
      </c>
      <c r="BI21" s="214">
        <f>IF(AND(($E21+$C$1)&gt;BI$4,BI$4&gt;=$C$1),'General Inputs'!K$11*$H21,IF(AND(($D21+$C$1)&gt;BI$4,BI$4&gt;=$C$1),'General Inputs'!K$11*$G21,0))</f>
        <v>354.85895526605003</v>
      </c>
      <c r="BJ21" s="214">
        <f>IF(AND(($E21+$C$1)&gt;BJ$4,BJ$4&gt;=$C$1),'General Inputs'!L$11*$H21,IF(AND(($D21+$C$1)&gt;BJ$4,BJ$4&gt;=$C$1),'General Inputs'!L$11*$G21,0))</f>
        <v>354.85895526605003</v>
      </c>
      <c r="BK21" s="214">
        <f>IF(AND(($E21+$C$1)&gt;BK$4,BK$4&gt;=$C$1),'General Inputs'!M$11*$H21,IF(AND(($D21+$C$1)&gt;BK$4,BK$4&gt;=$C$1),'General Inputs'!M$11*$G21,0))</f>
        <v>354.85895526605003</v>
      </c>
      <c r="BL21" s="214">
        <f>IF(AND(($E21+$C$1)&gt;BL$4,BL$4&gt;=$C$1),'General Inputs'!N$11*$H21,IF(AND(($D21+$C$1)&gt;BL$4,BL$4&gt;=$C$1),'General Inputs'!N$11*$G21,0))</f>
        <v>354.85895526605003</v>
      </c>
      <c r="BM21" s="214">
        <f>IF(AND(($E21+$C$1)&gt;BM$4,BM$4&gt;=$C$1),'General Inputs'!O$11*$H21,IF(AND(($D21+$C$1)&gt;BM$4,BM$4&gt;=$C$1),'General Inputs'!O$11*$G21,0))</f>
        <v>354.85895526605003</v>
      </c>
      <c r="BN21" s="214">
        <f>IF(AND(($E21+$C$1)&gt;BN$4,BN$4&gt;=$C$1),'General Inputs'!P$11*$H21,IF(AND(($D21+$C$1)&gt;BN$4,BN$4&gt;=$C$1),'General Inputs'!P$11*$G21,0))</f>
        <v>354.85895526605003</v>
      </c>
      <c r="BO21" s="214">
        <f>IF(AND(($E21+$C$1)&gt;BO$4,BO$4&gt;=$C$1),'General Inputs'!Q$11*$H21,IF(AND(($D21+$C$1)&gt;BO$4,BO$4&gt;=$C$1),'General Inputs'!Q$11*$G21,0))</f>
        <v>354.85895526605003</v>
      </c>
      <c r="BP21" s="214">
        <f>IF(AND(($E21+$C$1)&gt;BP$4,BP$4&gt;=$C$1),'General Inputs'!R$11*$H21,IF(AND(($D21+$C$1)&gt;BP$4,BP$4&gt;=$C$1),'General Inputs'!R$11*$G21,0))</f>
        <v>354.85895526605003</v>
      </c>
      <c r="BQ21" s="214">
        <f>IF(AND(($E21+$C$1)&gt;BQ$4,BQ$4&gt;=$C$1),'General Inputs'!S$11*$H21,IF(AND(($D21+$C$1)&gt;BQ$4,BQ$4&gt;=$C$1),'General Inputs'!S$11*$G21,0))</f>
        <v>354.85895526605003</v>
      </c>
      <c r="BR21" s="214">
        <f>IF(AND(($E21+$C$1)&gt;BR$4,BR$4&gt;=$C$1),'General Inputs'!T$11*$H21,IF(AND(($D21+$C$1)&gt;BR$4,BR$4&gt;=$C$1),'General Inputs'!T$11*$G21,0))</f>
        <v>354.85895526605003</v>
      </c>
      <c r="BS21" s="214">
        <f>IF(AND(($E21+$C$1)&gt;BS$4,BS$4&gt;=$C$1),'General Inputs'!U$11*$H21,IF(AND(($D21+$C$1)&gt;BS$4,BS$4&gt;=$C$1),'General Inputs'!U$11*$G21,0))</f>
        <v>354.85895526605003</v>
      </c>
      <c r="BT21" s="214">
        <f>IF(AND(($E21+$C$1)&gt;BT$4,BT$4&gt;=$C$1),'General Inputs'!V$11*$H21,IF(AND(($D21+$C$1)&gt;BT$4,BT$4&gt;=$C$1),'General Inputs'!V$11*$G21,0))</f>
        <v>0</v>
      </c>
      <c r="BU21" s="214">
        <f>IF(AND(($E21+$C$1)&gt;BU$4,BU$4&gt;=$C$1),'General Inputs'!W$11*$H21,IF(AND(($D21+$C$1)&gt;BU$4,BU$4&gt;=$C$1),'General Inputs'!W$11*$G21,0))</f>
        <v>0</v>
      </c>
      <c r="BW21" s="214">
        <f>IF(AND(($E21+$C$1)&gt;BW$4,BW$4&gt;=$C$1),$H21,IF(AND(($D21+$C$1)&gt;BW$4,BW$4&gt;=$C$1),$G21,0))*IF($A21="Residential",'General Inputs'!D$14,'General Inputs'!D$19)</f>
        <v>4178.3197801658898</v>
      </c>
      <c r="BX21" s="214">
        <f>IF(AND(($E21+$C$1)&gt;BX$4,BX$4&gt;=$C$1),$H21,IF(AND(($D21+$C$1)&gt;BX$4,BX$4&gt;=$C$1),$G21,0))*IF($A21="Residential",'General Inputs'!E$14,'General Inputs'!E$19)</f>
        <v>4240.9945768683774</v>
      </c>
      <c r="BY21" s="214">
        <f>IF(AND(($E21+$C$1)&gt;BY$4,BY$4&gt;=$C$1),$H21,IF(AND(($D21+$C$1)&gt;BY$4,BY$4&gt;=$C$1),$G21,0))*IF($A21="Residential",'General Inputs'!F$14,'General Inputs'!F$19)</f>
        <v>4304.6094955214021</v>
      </c>
      <c r="BZ21" s="214">
        <f>IF(AND(($E21+$C$1)&gt;BZ$4,BZ$4&gt;=$C$1),$H21,IF(AND(($D21+$C$1)&gt;BZ$4,BZ$4&gt;=$C$1),$G21,0))*IF($A21="Residential",'General Inputs'!G$14,'General Inputs'!G$19)</f>
        <v>4369.1786379542218</v>
      </c>
      <c r="CA21" s="214">
        <f>IF(AND(($E21+$C$1)&gt;CA$4,CA$4&gt;=$C$1),$H21,IF(AND(($D21+$C$1)&gt;CA$4,CA$4&gt;=$C$1),$G21,0))*IF($A21="Residential",'General Inputs'!H$14,'General Inputs'!H$19)</f>
        <v>4434.7163175235346</v>
      </c>
      <c r="CB21" s="214">
        <f>IF(AND(($E21+$C$1)&gt;CB$4,CB$4&gt;=$C$1),$H21,IF(AND(($D21+$C$1)&gt;CB$4,CB$4&gt;=$C$1),$G21,0))*IF($A21="Residential",'General Inputs'!I$14,'General Inputs'!I$19)</f>
        <v>4501.2370622863882</v>
      </c>
      <c r="CC21" s="214">
        <f>IF(AND(($E21+$C$1)&gt;CC$4,CC$4&gt;=$C$1),$H21,IF(AND(($D21+$C$1)&gt;CC$4,CC$4&gt;=$C$1),$G21,0))*IF($A21="Residential",'General Inputs'!J$14,'General Inputs'!J$19)</f>
        <v>4568.7556182206827</v>
      </c>
      <c r="CD21" s="214">
        <f>IF(AND(($E21+$C$1)&gt;CD$4,CD$4&gt;=$C$1),$H21,IF(AND(($D21+$C$1)&gt;CD$4,CD$4&gt;=$C$1),$G21,0))*IF($A21="Residential",'General Inputs'!K$14,'General Inputs'!K$19)</f>
        <v>4637.2869524939924</v>
      </c>
      <c r="CE21" s="214">
        <f>IF(AND(($E21+$C$1)&gt;CE$4,CE$4&gt;=$C$1),$H21,IF(AND(($D21+$C$1)&gt;CE$4,CE$4&gt;=$C$1),$G21,0))*IF($A21="Residential",'General Inputs'!L$14,'General Inputs'!L$19)</f>
        <v>4706.8462567814013</v>
      </c>
      <c r="CF21" s="214">
        <f>IF(AND(($E21+$C$1)&gt;CF$4,CF$4&gt;=$C$1),$H21,IF(AND(($D21+$C$1)&gt;CF$4,CF$4&gt;=$C$1),$G21,0))*IF($A21="Residential",'General Inputs'!M$14,'General Inputs'!M$19)</f>
        <v>4777.448950633122</v>
      </c>
      <c r="CG21" s="214">
        <f>IF(AND(($E21+$C$1)&gt;CG$4,CG$4&gt;=$C$1),$H21,IF(AND(($D21+$C$1)&gt;CG$4,CG$4&gt;=$C$1),$G21,0))*IF($A21="Residential",'General Inputs'!N$14,'General Inputs'!N$19)</f>
        <v>4849.1106848926183</v>
      </c>
      <c r="CH21" s="214">
        <f>IF(AND(($E21+$C$1)&gt;CH$4,CH$4&gt;=$C$1),$H21,IF(AND(($D21+$C$1)&gt;CH$4,CH$4&gt;=$C$1),$G21,0))*IF($A21="Residential",'General Inputs'!O$14,'General Inputs'!O$19)</f>
        <v>4921.8473451660075</v>
      </c>
      <c r="CI21" s="214">
        <f>IF(AND(($E21+$C$1)&gt;CI$4,CI$4&gt;=$C$1),$H21,IF(AND(($D21+$C$1)&gt;CI$4,CI$4&gt;=$C$1),$G21,0))*IF($A21="Residential",'General Inputs'!P$14,'General Inputs'!P$19)</f>
        <v>4995.6750553434968</v>
      </c>
      <c r="CJ21" s="214">
        <f>IF(AND(($E21+$C$1)&gt;CJ$4,CJ$4&gt;=$C$1),$H21,IF(AND(($D21+$C$1)&gt;CJ$4,CJ$4&gt;=$C$1),$G21,0))*IF($A21="Residential",'General Inputs'!Q$14,'General Inputs'!Q$19)</f>
        <v>5070.6101811736489</v>
      </c>
      <c r="CK21" s="214">
        <f>IF(AND(($E21+$C$1)&gt;CK$4,CK$4&gt;=$C$1),$H21,IF(AND(($D21+$C$1)&gt;CK$4,CK$4&gt;=$C$1),$G21,0))*IF($A21="Residential",'General Inputs'!R$14,'General Inputs'!R$19)</f>
        <v>5146.6693338912528</v>
      </c>
      <c r="CL21" s="214">
        <f>IF(AND(($E21+$C$1)&gt;CL$4,CL$4&gt;=$C$1),$H21,IF(AND(($D21+$C$1)&gt;CL$4,CL$4&gt;=$C$1),$G21,0))*IF($A21="Residential",'General Inputs'!S$14,'General Inputs'!S$19)</f>
        <v>5223.8693738996217</v>
      </c>
      <c r="CM21" s="214">
        <f>IF(AND(($E21+$C$1)&gt;CM$4,CM$4&gt;=$C$1),$H21,IF(AND(($D21+$C$1)&gt;CM$4,CM$4&gt;=$C$1),$G21,0))*IF($A21="Residential",'General Inputs'!T$14,'General Inputs'!T$19)</f>
        <v>5302.2274145081155</v>
      </c>
      <c r="CN21" s="214">
        <f>IF(AND(($E21+$C$1)&gt;CN$4,CN$4&gt;=$C$1),$H21,IF(AND(($D21+$C$1)&gt;CN$4,CN$4&gt;=$C$1),$G21,0))*IF($A21="Residential",'General Inputs'!U$14,'General Inputs'!U$19)</f>
        <v>5381.7608257257361</v>
      </c>
      <c r="CO21" s="214">
        <f>IF(AND(($E21+$C$1)&gt;CO$4,CO$4&gt;=$C$1),$H21,IF(AND(($D21+$C$1)&gt;CO$4,CO$4&gt;=$C$1),$G21,0))*IF($A21="Residential",'General Inputs'!V$14,'General Inputs'!V$19)</f>
        <v>0</v>
      </c>
      <c r="CP21" s="214">
        <f>IF(AND(($E21+$C$1)&gt;CP$4,CP$4&gt;=$C$1),$H21,IF(AND(($D21+$C$1)&gt;CP$4,CP$4&gt;=$C$1),$G21,0))*IF($A21="Residential",'General Inputs'!W$14,'General Inputs'!W$19)</f>
        <v>0</v>
      </c>
      <c r="CR21" s="214">
        <f>IF(AND(($E21+$C$1)&gt;CR$4,CR$4&gt;=$C$1),$H21,IF(AND(($D21+$C$1)&gt;CR$4,CR$4&gt;=$C$1),$G21,0))*IF($A21="Residential",'General Inputs'!D$15,'General Inputs'!D$19)</f>
        <v>3399.0977369082884</v>
      </c>
      <c r="CS21" s="214">
        <f>IF(AND(($E21+$C$1)&gt;CS$4,CS$4&gt;=$C$1),$H21,IF(AND(($D21+$C$1)&gt;CS$4,CS$4&gt;=$C$1),$G21,0))*IF($A21="Residential",'General Inputs'!E$15,'General Inputs'!E$19)</f>
        <v>3450.0842029619125</v>
      </c>
      <c r="CT21" s="214">
        <f>IF(AND(($E21+$C$1)&gt;CT$4,CT$4&gt;=$C$1),$H21,IF(AND(($D21+$C$1)&gt;CT$4,CT$4&gt;=$C$1),$G21,0))*IF($A21="Residential",'General Inputs'!F$15,'General Inputs'!F$19)</f>
        <v>3501.835466006341</v>
      </c>
      <c r="CU21" s="214">
        <f>IF(AND(($E21+$C$1)&gt;CU$4,CU$4&gt;=$C$1),$H21,IF(AND(($D21+$C$1)&gt;CU$4,CU$4&gt;=$C$1),$G21,0))*IF($A21="Residential",'General Inputs'!G$15,'General Inputs'!G$19)</f>
        <v>3554.3629979964358</v>
      </c>
      <c r="CV21" s="214">
        <f>IF(AND(($E21+$C$1)&gt;CV$4,CV$4&gt;=$C$1),$H21,IF(AND(($D21+$C$1)&gt;CV$4,CV$4&gt;=$C$1),$G21,0))*IF($A21="Residential",'General Inputs'!H$15,'General Inputs'!H$19)</f>
        <v>3607.6784429663817</v>
      </c>
      <c r="CW21" s="214">
        <f>IF(AND(($E21+$C$1)&gt;CW$4,CW$4&gt;=$C$1),$H21,IF(AND(($D21+$C$1)&gt;CW$4,CW$4&gt;=$C$1),$G21,0))*IF($A21="Residential",'General Inputs'!I$15,'General Inputs'!I$19)</f>
        <v>3661.7936196108772</v>
      </c>
      <c r="CX21" s="214">
        <f>IF(AND(($E21+$C$1)&gt;CX$4,CX$4&gt;=$C$1),$H21,IF(AND(($D21+$C$1)&gt;CX$4,CX$4&gt;=$C$1),$G21,0))*IF($A21="Residential",'General Inputs'!J$15,'General Inputs'!J$19)</f>
        <v>3716.72052390504</v>
      </c>
      <c r="CY21" s="214">
        <f>IF(AND(($E21+$C$1)&gt;CY$4,CY$4&gt;=$C$1),$H21,IF(AND(($D21+$C$1)&gt;CY$4,CY$4&gt;=$C$1),$G21,0))*IF($A21="Residential",'General Inputs'!K$15,'General Inputs'!K$19)</f>
        <v>3772.4713317636151</v>
      </c>
      <c r="CZ21" s="214">
        <f>IF(AND(($E21+$C$1)&gt;CZ$4,CZ$4&gt;=$C$1),$H21,IF(AND(($D21+$C$1)&gt;CZ$4,CZ$4&gt;=$C$1),$G21,0))*IF($A21="Residential",'General Inputs'!L$15,'General Inputs'!L$19)</f>
        <v>3829.0584017400688</v>
      </c>
      <c r="DA21" s="214">
        <f>IF(AND(($E21+$C$1)&gt;DA$4,DA$4&gt;=$C$1),$H21,IF(AND(($D21+$C$1)&gt;DA$4,DA$4&gt;=$C$1),$G21,0))*IF($A21="Residential",'General Inputs'!M$15,'General Inputs'!M$19)</f>
        <v>3886.4942777661695</v>
      </c>
      <c r="DB21" s="214">
        <f>IF(AND(($E21+$C$1)&gt;DB$4,DB$4&gt;=$C$1),$H21,IF(AND(($D21+$C$1)&gt;DB$4,DB$4&gt;=$C$1),$G21,0))*IF($A21="Residential",'General Inputs'!N$15,'General Inputs'!N$19)</f>
        <v>3944.7916919326613</v>
      </c>
      <c r="DC21" s="214">
        <f>IF(AND(($E21+$C$1)&gt;DC$4,DC$4&gt;=$C$1),$H21,IF(AND(($D21+$C$1)&gt;DC$4,DC$4&gt;=$C$1),$G21,0))*IF($A21="Residential",'General Inputs'!O$15,'General Inputs'!O$19)</f>
        <v>4003.9635673116509</v>
      </c>
      <c r="DD21" s="214">
        <f>IF(AND(($E21+$C$1)&gt;DD$4,DD$4&gt;=$C$1),$H21,IF(AND(($D21+$C$1)&gt;DD$4,DD$4&gt;=$C$1),$G21,0))*IF($A21="Residential",'General Inputs'!P$15,'General Inputs'!P$19)</f>
        <v>4064.0230208213256</v>
      </c>
      <c r="DE21" s="214">
        <f>IF(AND(($E21+$C$1)&gt;DE$4,DE$4&gt;=$C$1),$H21,IF(AND(($D21+$C$1)&gt;DE$4,DE$4&gt;=$C$1),$G21,0))*IF($A21="Residential",'General Inputs'!Q$15,'General Inputs'!Q$19)</f>
        <v>4124.9833661336452</v>
      </c>
      <c r="DF21" s="214">
        <f>IF(AND(($E21+$C$1)&gt;DF$4,DF$4&gt;=$C$1),$H21,IF(AND(($D21+$C$1)&gt;DF$4,DF$4&gt;=$C$1),$G21,0))*IF($A21="Residential",'General Inputs'!R$15,'General Inputs'!R$19)</f>
        <v>4186.858116625649</v>
      </c>
      <c r="DG21" s="214">
        <f>IF(AND(($E21+$C$1)&gt;DG$4,DG$4&gt;=$C$1),$H21,IF(AND(($D21+$C$1)&gt;DG$4,DG$4&gt;=$C$1),$G21,0))*IF($A21="Residential",'General Inputs'!S$15,'General Inputs'!S$19)</f>
        <v>4249.6609883750334</v>
      </c>
      <c r="DH21" s="214">
        <f>IF(AND(($E21+$C$1)&gt;DH$4,DH$4&gt;=$C$1),$H21,IF(AND(($D21+$C$1)&gt;DH$4,DH$4&gt;=$C$1),$G21,0))*IF($A21="Residential",'General Inputs'!T$15,'General Inputs'!T$19)</f>
        <v>4313.4059032006589</v>
      </c>
      <c r="DI21" s="214">
        <f>IF(AND(($E21+$C$1)&gt;DI$4,DI$4&gt;=$C$1),$H21,IF(AND(($D21+$C$1)&gt;DI$4,DI$4&gt;=$C$1),$G21,0))*IF($A21="Residential",'General Inputs'!U$15,'General Inputs'!U$19)</f>
        <v>4378.1069917486675</v>
      </c>
      <c r="DJ21" s="214">
        <f>IF(AND(($E21+$C$1)&gt;DJ$4,DJ$4&gt;=$C$1),$H21,IF(AND(($D21+$C$1)&gt;DJ$4,DJ$4&gt;=$C$1),$G21,0))*IF($A21="Residential",'General Inputs'!V$15,'General Inputs'!V$19)</f>
        <v>0</v>
      </c>
      <c r="DK21" s="214">
        <f>IF(AND(($E21+$C$1)&gt;DK$4,DK$4&gt;=$C$1),$H21,IF(AND(($D21+$C$1)&gt;DK$4,DK$4&gt;=$C$1),$G21,0))*IF($A21="Residential",'General Inputs'!W$15,'General Inputs'!W$19)</f>
        <v>0</v>
      </c>
      <c r="DM21" s="214">
        <f t="shared" si="200"/>
        <v>7380</v>
      </c>
      <c r="DN21" s="214">
        <f t="shared" si="105"/>
        <v>0</v>
      </c>
      <c r="DO21" s="214">
        <f t="shared" si="105"/>
        <v>0</v>
      </c>
      <c r="DP21" s="214">
        <f t="shared" si="105"/>
        <v>0</v>
      </c>
      <c r="DQ21" s="214">
        <f t="shared" si="105"/>
        <v>0</v>
      </c>
      <c r="DR21" s="214">
        <f t="shared" si="105"/>
        <v>0</v>
      </c>
      <c r="DS21" s="214">
        <f t="shared" si="105"/>
        <v>0</v>
      </c>
      <c r="DT21" s="214">
        <f t="shared" si="105"/>
        <v>0</v>
      </c>
      <c r="DU21" s="214">
        <f t="shared" si="105"/>
        <v>0</v>
      </c>
      <c r="DV21" s="214">
        <f t="shared" si="105"/>
        <v>0</v>
      </c>
      <c r="DW21" s="214">
        <f t="shared" si="105"/>
        <v>0</v>
      </c>
      <c r="DZ21" s="650"/>
      <c r="FI21" s="195"/>
      <c r="FJ21" s="195"/>
      <c r="FK21" s="195"/>
      <c r="FL21" s="195"/>
      <c r="FM21" s="195"/>
      <c r="FN21" s="195"/>
      <c r="FO21" s="195"/>
    </row>
    <row r="22" spans="1:171">
      <c r="A22" s="342" t="s">
        <v>12</v>
      </c>
      <c r="B22" s="427" t="str">
        <f>'Portfolio Inputs'!A21</f>
        <v>Early Retirement Geothermal EER ≥21</v>
      </c>
      <c r="C22" s="217">
        <f>IF($C$1=2014,'Portfolio Inputs'!$C21,IF($C$1=2015,'Portfolio Inputs'!$D21,'Portfolio Inputs'!$E21))</f>
        <v>1</v>
      </c>
      <c r="D22" s="504">
        <f>VLOOKUP(B22,Sources!$B$4:$J$104,2,FALSE)</f>
        <v>18</v>
      </c>
      <c r="E22" s="504">
        <f>VLOOKUP(B22,Sources!$B$4:$J$104,3,FALSE)</f>
        <v>6</v>
      </c>
      <c r="G22" s="504">
        <f>IF($C$1=2014,'Portfolio Inputs'!$G21,IF($C$1=2015,'Portfolio Inputs'!$H21,'Portfolio Inputs'!$I21))*EnergyLineLoss</f>
        <v>5187.9964220182746</v>
      </c>
      <c r="H22" s="504">
        <f>VLOOKUP($B22,Sources!$B$4:$K$104,6,FALSE)*C22*EnergyLineLoss</f>
        <v>11718.587321318171</v>
      </c>
      <c r="I22" s="504">
        <f>IF($C$1=2014,'Portfolio Inputs'!$K21,IF($C$1=2015,'Portfolio Inputs'!$L21,'Portfolio Inputs'!$M21))*PeakLineLoss</f>
        <v>0.81139897673293904</v>
      </c>
      <c r="J22" s="510">
        <f>VLOOKUP($B22,Sources!$B$4:$K$104,8,FALSE)*C22*PeakLineLoss</f>
        <v>1.7098151489817426</v>
      </c>
      <c r="L22" s="606">
        <f>IF($C$1=2014,'Portfolio Inputs'!$O21,IF($C$1=2015,'Portfolio Inputs'!$P21,'Portfolio Inputs'!$Q21))</f>
        <v>2913</v>
      </c>
      <c r="M22" s="518">
        <f>VLOOKUP($B22,Sources!$B$4:$K$104,10,FALSE)</f>
        <v>2376</v>
      </c>
      <c r="N22" s="419">
        <f>IF($C$1=2014,'Portfolio Inputs'!$W21,IF($C$1=2015,'Portfolio Inputs'!$X21,'Portfolio Inputs'!$Y21))</f>
        <v>1300</v>
      </c>
      <c r="O22" s="419"/>
      <c r="Q22" s="438">
        <f t="shared" si="242"/>
        <v>2.4989690633805148</v>
      </c>
      <c r="R22" s="439">
        <f t="shared" si="243"/>
        <v>2.8521442128074188</v>
      </c>
      <c r="S22" s="439">
        <f t="shared" si="244"/>
        <v>3.1290792712471376</v>
      </c>
      <c r="T22" s="439">
        <f t="shared" si="245"/>
        <v>8.8536187866377212</v>
      </c>
      <c r="U22" s="439">
        <f t="shared" si="246"/>
        <v>7.3658910235014821</v>
      </c>
      <c r="V22" s="439">
        <f t="shared" si="247"/>
        <v>0.28225397135373287</v>
      </c>
      <c r="W22" s="439">
        <f t="shared" si="248"/>
        <v>0.33926229093090682</v>
      </c>
      <c r="Y22" s="215">
        <f t="shared" si="249"/>
        <v>3707.7874766496443</v>
      </c>
      <c r="Z22" s="215">
        <f t="shared" si="250"/>
        <v>934.91142882596762</v>
      </c>
      <c r="AA22" s="215">
        <f t="shared" si="251"/>
        <v>11836.351842514501</v>
      </c>
      <c r="AB22" s="215">
        <f t="shared" si="252"/>
        <v>9628.9702267699467</v>
      </c>
      <c r="AC22" s="216">
        <f t="shared" si="253"/>
        <v>0</v>
      </c>
      <c r="AD22" s="216">
        <f t="shared" si="254"/>
        <v>1300</v>
      </c>
      <c r="AE22" s="215">
        <f t="shared" si="255"/>
        <v>1483.7268419937475</v>
      </c>
      <c r="AG22" s="214">
        <f>IF(AND(($E22+$C$1)&gt;AG$4,AG$4&gt;=$C$1),'General Inputs'!D$9*$H22,IF(AND(($D22+$C$1)&gt;AG$4,AG$4&gt;=$C$1),'General Inputs'!D$9*$G22,0))+IF(AND(($E22+$C$1)&gt;AG$4,AG$4&gt;=$C$1),'General Inputs'!D$10*$J22,IF(AND(($D22+$C$1)&gt;AG$4,AG$4&gt;=$C$1),'General Inputs'!D$10*$I22,0))</f>
        <v>492.14639759440013</v>
      </c>
      <c r="AH22" s="214">
        <f>IF(AND(($E22+$C$1)&gt;AH$4,AH$4&gt;=$C$1),'General Inputs'!E$9*$H22,IF(AND(($D22+$C$1)&gt;AH$4,AH$4&gt;=$C$1),'General Inputs'!E$9*$G22,0))+IF(AND(($E22+$C$1)&gt;AH$4,AH$4&gt;=$C$1),'General Inputs'!E$10*$J22,IF(AND(($D22+$C$1)&gt;AH$4,AH$4&gt;=$C$1),'General Inputs'!E$10*$I22,0))</f>
        <v>499.52859355831606</v>
      </c>
      <c r="AI22" s="214">
        <f>IF(AND(($E22+$C$1)&gt;AI$4,AI$4&gt;=$C$1),'General Inputs'!F$9*$H22,IF(AND(($D22+$C$1)&gt;AI$4,AI$4&gt;=$C$1),'General Inputs'!F$9*$G22,0))+IF(AND(($E22+$C$1)&gt;AI$4,AI$4&gt;=$C$1),'General Inputs'!F$10*$J22,IF(AND(($D22+$C$1)&gt;AI$4,AI$4&gt;=$C$1),'General Inputs'!F$10*$I22,0))</f>
        <v>507.02152246169084</v>
      </c>
      <c r="AJ22" s="214">
        <f>IF(AND(($E22+$C$1)&gt;AJ$4,AJ$4&gt;=$C$1),'General Inputs'!G$9*$H22,IF(AND(($D22+$C$1)&gt;AJ$4,AJ$4&gt;=$C$1),'General Inputs'!G$9*$G22,0))+IF(AND(($E22+$C$1)&gt;AJ$4,AJ$4&gt;=$C$1),'General Inputs'!G$10*$J22,IF(AND(($D22+$C$1)&gt;AJ$4,AJ$4&gt;=$C$1),'General Inputs'!G$10*$I22,0))</f>
        <v>514.6268452986161</v>
      </c>
      <c r="AK22" s="214">
        <f>IF(AND(($E22+$C$1)&gt;AK$4,AK$4&gt;=$C$1),'General Inputs'!H$9*$H22,IF(AND(($D22+$C$1)&gt;AK$4,AK$4&gt;=$C$1),'General Inputs'!H$9*$G22,0))+IF(AND(($E22+$C$1)&gt;AK$4,AK$4&gt;=$C$1),'General Inputs'!H$10*$J22,IF(AND(($D22+$C$1)&gt;AK$4,AK$4&gt;=$C$1),'General Inputs'!H$10*$I22,0))</f>
        <v>522.34624797809522</v>
      </c>
      <c r="AL22" s="214">
        <f>IF(AND(($E22+$C$1)&gt;AL$4,AL$4&gt;=$C$1),'General Inputs'!I$9*$H22,IF(AND(($D22+$C$1)&gt;AL$4,AL$4&gt;=$C$1),'General Inputs'!I$9*$G22,0))+IF(AND(($E22+$C$1)&gt;AL$4,AL$4&gt;=$C$1),'General Inputs'!I$10*$J22,IF(AND(($D22+$C$1)&gt;AL$4,AL$4&gt;=$C$1),'General Inputs'!I$10*$I22,0))</f>
        <v>530.18144169776667</v>
      </c>
      <c r="AM22" s="214">
        <f>IF(AND(($E22+$C$1)&gt;AM$4,AM$4&gt;=$C$1),'General Inputs'!J$9*$H22,IF(AND(($D22+$C$1)&gt;AM$4,AM$4&gt;=$C$1),'General Inputs'!J$9*$G22,0))+IF(AND(($E22+$C$1)&gt;AM$4,AM$4&gt;=$C$1),'General Inputs'!J$10*$J22,IF(AND(($D22+$C$1)&gt;AM$4,AM$4&gt;=$C$1),'General Inputs'!J$10*$I22,0))</f>
        <v>239.13148524631404</v>
      </c>
      <c r="AN22" s="214">
        <f>IF(AND(($E22+$C$1)&gt;AN$4,AN$4&gt;=$C$1),'General Inputs'!K$9*$H22,IF(AND(($D22+$C$1)&gt;AN$4,AN$4&gt;=$C$1),'General Inputs'!K$9*$G22,0))+IF(AND(($E22+$C$1)&gt;AN$4,AN$4&gt;=$C$1),'General Inputs'!K$10*$J22,IF(AND(($D22+$C$1)&gt;AN$4,AN$4&gt;=$C$1),'General Inputs'!K$10*$I22,0))</f>
        <v>242.71845752500869</v>
      </c>
      <c r="AO22" s="214">
        <f>IF(AND(($E22+$C$1)&gt;AO$4,AO$4&gt;=$C$1),'General Inputs'!L$9*$H22,IF(AND(($D22+$C$1)&gt;AO$4,AO$4&gt;=$C$1),'General Inputs'!L$9*$G22,0))+IF(AND(($E22+$C$1)&gt;AO$4,AO$4&gt;=$C$1),'General Inputs'!L$10*$J22,IF(AND(($D22+$C$1)&gt;AO$4,AO$4&gt;=$C$1),'General Inputs'!L$10*$I22,0))</f>
        <v>246.35923438788382</v>
      </c>
      <c r="AP22" s="214">
        <f>IF(AND(($E22+$C$1)&gt;AP$4,AP$4&gt;=$C$1),'General Inputs'!M$9*$H22,IF(AND(($D22+$C$1)&gt;AP$4,AP$4&gt;=$C$1),'General Inputs'!M$9*$G22,0))+IF(AND(($E22+$C$1)&gt;AP$4,AP$4&gt;=$C$1),'General Inputs'!M$10*$J22,IF(AND(($D22+$C$1)&gt;AP$4,AP$4&gt;=$C$1),'General Inputs'!M$10*$I22,0))</f>
        <v>250.05462290370204</v>
      </c>
      <c r="AQ22" s="214">
        <f>IF(AND(($E22+$C$1)&gt;AQ$4,AQ$4&gt;=$C$1),'General Inputs'!N$9*$H22,IF(AND(($D22+$C$1)&gt;AQ$4,AQ$4&gt;=$C$1),'General Inputs'!N$9*$G22,0))+IF(AND(($E22+$C$1)&gt;AQ$4,AQ$4&gt;=$C$1),'General Inputs'!N$10*$J22,IF(AND(($D22+$C$1)&gt;AQ$4,AQ$4&gt;=$C$1),'General Inputs'!N$10*$I22,0))</f>
        <v>253.80544224725756</v>
      </c>
      <c r="AR22" s="214">
        <f>IF(AND(($E22+$C$1)&gt;AR$4,AR$4&gt;=$C$1),'General Inputs'!O$9*$H22,IF(AND(($D22+$C$1)&gt;AR$4,AR$4&gt;=$C$1),'General Inputs'!O$9*$G22,0))+IF(AND(($E22+$C$1)&gt;AR$4,AR$4&gt;=$C$1),'General Inputs'!O$10*$J22,IF(AND(($D22+$C$1)&gt;AR$4,AR$4&gt;=$C$1),'General Inputs'!O$10*$I22,0))</f>
        <v>257.61252388096636</v>
      </c>
      <c r="AS22" s="214">
        <f>IF(AND(($E22+$C$1)&gt;AS$4,AS$4&gt;=$C$1),'General Inputs'!P$9*$H22,IF(AND(($D22+$C$1)&gt;AS$4,AS$4&gt;=$C$1),'General Inputs'!P$9*$G22,0))+IF(AND(($E22+$C$1)&gt;AS$4,AS$4&gt;=$C$1),'General Inputs'!P$10*$J22,IF(AND(($D22+$C$1)&gt;AS$4,AS$4&gt;=$C$1),'General Inputs'!P$10*$I22,0))</f>
        <v>261.47671173918087</v>
      </c>
      <c r="AT22" s="214">
        <f>IF(AND(($E22+$C$1)&gt;AT$4,AT$4&gt;=$C$1),'General Inputs'!Q$9*$H22,IF(AND(($D22+$C$1)&gt;AT$4,AT$4&gt;=$C$1),'General Inputs'!Q$9*$G22,0))+IF(AND(($E22+$C$1)&gt;AT$4,AT$4&gt;=$C$1),'General Inputs'!Q$10*$J22,IF(AND(($D22+$C$1)&gt;AT$4,AT$4&gt;=$C$1),'General Inputs'!Q$10*$I22,0))</f>
        <v>265.39886241526852</v>
      </c>
      <c r="AU22" s="214">
        <f>IF(AND(($E22+$C$1)&gt;AU$4,AU$4&gt;=$C$1),'General Inputs'!R$9*$H22,IF(AND(($D22+$C$1)&gt;AU$4,AU$4&gt;=$C$1),'General Inputs'!R$9*$G22,0))+IF(AND(($E22+$C$1)&gt;AU$4,AU$4&gt;=$C$1),'General Inputs'!R$10*$J22,IF(AND(($D22+$C$1)&gt;AU$4,AU$4&gt;=$C$1),'General Inputs'!R$10*$I22,0))</f>
        <v>269.37984535149752</v>
      </c>
      <c r="AV22" s="214">
        <f>IF(AND(($E22+$C$1)&gt;AV$4,AV$4&gt;=$C$1),'General Inputs'!S$9*$H22,IF(AND(($D22+$C$1)&gt;AV$4,AV$4&gt;=$C$1),'General Inputs'!S$9*$G22,0))+IF(AND(($E22+$C$1)&gt;AV$4,AV$4&gt;=$C$1),'General Inputs'!S$10*$J22,IF(AND(($D22+$C$1)&gt;AV$4,AV$4&gt;=$C$1),'General Inputs'!S$10*$I22,0))</f>
        <v>273.42054303176997</v>
      </c>
      <c r="AW22" s="214">
        <f>IF(AND(($E22+$C$1)&gt;AW$4,AW$4&gt;=$C$1),'General Inputs'!T$9*$H22,IF(AND(($D22+$C$1)&gt;AW$4,AW$4&gt;=$C$1),'General Inputs'!T$9*$G22,0))+IF(AND(($E22+$C$1)&gt;AW$4,AW$4&gt;=$C$1),'General Inputs'!T$10*$J22,IF(AND(($D22+$C$1)&gt;AW$4,AW$4&gt;=$C$1),'General Inputs'!T$10*$I22,0))</f>
        <v>277.52185117724656</v>
      </c>
      <c r="AX22" s="214">
        <f>IF(AND(($E22+$C$1)&gt;AX$4,AX$4&gt;=$C$1),'General Inputs'!U$9*$H22,IF(AND(($D22+$C$1)&gt;AX$4,AX$4&gt;=$C$1),'General Inputs'!U$9*$G22,0))+IF(AND(($E22+$C$1)&gt;AX$4,AX$4&gt;=$C$1),'General Inputs'!U$10*$J22,IF(AND(($D22+$C$1)&gt;AX$4,AX$4&gt;=$C$1),'General Inputs'!U$10*$I22,0))</f>
        <v>281.68467894490522</v>
      </c>
      <c r="AY22" s="214">
        <f>IF(AND(($E22+$C$1)&gt;AY$4,AY$4&gt;=$C$1),'General Inputs'!V$9*$H22,IF(AND(($D22+$C$1)&gt;AY$4,AY$4&gt;=$C$1),'General Inputs'!V$9*$G22,0))+IF(AND(($E22+$C$1)&gt;AY$4,AY$4&gt;=$C$1),'General Inputs'!V$10*$J22,IF(AND(($D22+$C$1)&gt;AY$4,AY$4&gt;=$C$1),'General Inputs'!V$10*$I22,0))</f>
        <v>0</v>
      </c>
      <c r="AZ22" s="214">
        <f>IF(AND(($E22+$C$1)&gt;AZ$4,AZ$4&gt;=$C$1),'General Inputs'!W$9*$H22,IF(AND(($D22+$C$1)&gt;AZ$4,AZ$4&gt;=$C$1),'General Inputs'!W$9*$G22,0))+IF(AND(($E22+$C$1)&gt;AZ$4,AZ$4&gt;=$C$1),'General Inputs'!W$10*$J22,IF(AND(($D22+$C$1)&gt;AZ$4,AZ$4&gt;=$C$1),'General Inputs'!W$10*$I22,0))</f>
        <v>0</v>
      </c>
      <c r="BB22" s="214">
        <f>IF(AND(($E22+$C$1)&gt;BB$4,BB$4&gt;=$C$1),'General Inputs'!D$11*$H22,IF(AND(($D22+$C$1)&gt;BB$4,BB$4&gt;=$C$1),'General Inputs'!D$11*$G22,0))</f>
        <v>133.59189546302716</v>
      </c>
      <c r="BC22" s="214">
        <f>IF(AND(($E22+$C$1)&gt;BC$4,BC$4&gt;=$C$1),'General Inputs'!E$11*$H22,IF(AND(($D22+$C$1)&gt;BC$4,BC$4&gt;=$C$1),'General Inputs'!E$11*$G22,0))</f>
        <v>133.59189546302716</v>
      </c>
      <c r="BD22" s="214">
        <f>IF(AND(($E22+$C$1)&gt;BD$4,BD$4&gt;=$C$1),'General Inputs'!F$11*$H22,IF(AND(($D22+$C$1)&gt;BD$4,BD$4&gt;=$C$1),'General Inputs'!F$11*$G22,0))</f>
        <v>133.59189546302716</v>
      </c>
      <c r="BE22" s="214">
        <f>IF(AND(($E22+$C$1)&gt;BE$4,BE$4&gt;=$C$1),'General Inputs'!G$11*$H22,IF(AND(($D22+$C$1)&gt;BE$4,BE$4&gt;=$C$1),'General Inputs'!G$11*$G22,0))</f>
        <v>133.59189546302716</v>
      </c>
      <c r="BF22" s="214">
        <f>IF(AND(($E22+$C$1)&gt;BF$4,BF$4&gt;=$C$1),'General Inputs'!H$11*$H22,IF(AND(($D22+$C$1)&gt;BF$4,BF$4&gt;=$C$1),'General Inputs'!H$11*$G22,0))</f>
        <v>133.59189546302716</v>
      </c>
      <c r="BG22" s="214">
        <f>IF(AND(($E22+$C$1)&gt;BG$4,BG$4&gt;=$C$1),'General Inputs'!I$11*$H22,IF(AND(($D22+$C$1)&gt;BG$4,BG$4&gt;=$C$1),'General Inputs'!I$11*$G22,0))</f>
        <v>133.59189546302716</v>
      </c>
      <c r="BH22" s="214">
        <f>IF(AND(($E22+$C$1)&gt;BH$4,BH$4&gt;=$C$1),'General Inputs'!J$11*$H22,IF(AND(($D22+$C$1)&gt;BH$4,BH$4&gt;=$C$1),'General Inputs'!J$11*$G22,0))</f>
        <v>59.143159211008332</v>
      </c>
      <c r="BI22" s="214">
        <f>IF(AND(($E22+$C$1)&gt;BI$4,BI$4&gt;=$C$1),'General Inputs'!K$11*$H22,IF(AND(($D22+$C$1)&gt;BI$4,BI$4&gt;=$C$1),'General Inputs'!K$11*$G22,0))</f>
        <v>59.143159211008332</v>
      </c>
      <c r="BJ22" s="214">
        <f>IF(AND(($E22+$C$1)&gt;BJ$4,BJ$4&gt;=$C$1),'General Inputs'!L$11*$H22,IF(AND(($D22+$C$1)&gt;BJ$4,BJ$4&gt;=$C$1),'General Inputs'!L$11*$G22,0))</f>
        <v>59.143159211008332</v>
      </c>
      <c r="BK22" s="214">
        <f>IF(AND(($E22+$C$1)&gt;BK$4,BK$4&gt;=$C$1),'General Inputs'!M$11*$H22,IF(AND(($D22+$C$1)&gt;BK$4,BK$4&gt;=$C$1),'General Inputs'!M$11*$G22,0))</f>
        <v>59.143159211008332</v>
      </c>
      <c r="BL22" s="214">
        <f>IF(AND(($E22+$C$1)&gt;BL$4,BL$4&gt;=$C$1),'General Inputs'!N$11*$H22,IF(AND(($D22+$C$1)&gt;BL$4,BL$4&gt;=$C$1),'General Inputs'!N$11*$G22,0))</f>
        <v>59.143159211008332</v>
      </c>
      <c r="BM22" s="214">
        <f>IF(AND(($E22+$C$1)&gt;BM$4,BM$4&gt;=$C$1),'General Inputs'!O$11*$H22,IF(AND(($D22+$C$1)&gt;BM$4,BM$4&gt;=$C$1),'General Inputs'!O$11*$G22,0))</f>
        <v>59.143159211008332</v>
      </c>
      <c r="BN22" s="214">
        <f>IF(AND(($E22+$C$1)&gt;BN$4,BN$4&gt;=$C$1),'General Inputs'!P$11*$H22,IF(AND(($D22+$C$1)&gt;BN$4,BN$4&gt;=$C$1),'General Inputs'!P$11*$G22,0))</f>
        <v>59.143159211008332</v>
      </c>
      <c r="BO22" s="214">
        <f>IF(AND(($E22+$C$1)&gt;BO$4,BO$4&gt;=$C$1),'General Inputs'!Q$11*$H22,IF(AND(($D22+$C$1)&gt;BO$4,BO$4&gt;=$C$1),'General Inputs'!Q$11*$G22,0))</f>
        <v>59.143159211008332</v>
      </c>
      <c r="BP22" s="214">
        <f>IF(AND(($E22+$C$1)&gt;BP$4,BP$4&gt;=$C$1),'General Inputs'!R$11*$H22,IF(AND(($D22+$C$1)&gt;BP$4,BP$4&gt;=$C$1),'General Inputs'!R$11*$G22,0))</f>
        <v>59.143159211008332</v>
      </c>
      <c r="BQ22" s="214">
        <f>IF(AND(($E22+$C$1)&gt;BQ$4,BQ$4&gt;=$C$1),'General Inputs'!S$11*$H22,IF(AND(($D22+$C$1)&gt;BQ$4,BQ$4&gt;=$C$1),'General Inputs'!S$11*$G22,0))</f>
        <v>59.143159211008332</v>
      </c>
      <c r="BR22" s="214">
        <f>IF(AND(($E22+$C$1)&gt;BR$4,BR$4&gt;=$C$1),'General Inputs'!T$11*$H22,IF(AND(($D22+$C$1)&gt;BR$4,BR$4&gt;=$C$1),'General Inputs'!T$11*$G22,0))</f>
        <v>59.143159211008332</v>
      </c>
      <c r="BS22" s="214">
        <f>IF(AND(($E22+$C$1)&gt;BS$4,BS$4&gt;=$C$1),'General Inputs'!U$11*$H22,IF(AND(($D22+$C$1)&gt;BS$4,BS$4&gt;=$C$1),'General Inputs'!U$11*$G22,0))</f>
        <v>59.143159211008332</v>
      </c>
      <c r="BT22" s="214">
        <f>IF(AND(($E22+$C$1)&gt;BT$4,BT$4&gt;=$C$1),'General Inputs'!V$11*$H22,IF(AND(($D22+$C$1)&gt;BT$4,BT$4&gt;=$C$1),'General Inputs'!V$11*$G22,0))</f>
        <v>0</v>
      </c>
      <c r="BU22" s="214">
        <f>IF(AND(($E22+$C$1)&gt;BU$4,BU$4&gt;=$C$1),'General Inputs'!W$11*$H22,IF(AND(($D22+$C$1)&gt;BU$4,BU$4&gt;=$C$1),'General Inputs'!W$11*$G22,0))</f>
        <v>0</v>
      </c>
      <c r="BW22" s="214">
        <f>IF(AND(($E22+$C$1)&gt;BW$4,BW$4&gt;=$C$1),$H22,IF(AND(($D22+$C$1)&gt;BW$4,BW$4&gt;=$C$1),$G22,0))*IF($A22="Residential",'General Inputs'!D$14,'General Inputs'!D$19)</f>
        <v>1572.9902007532148</v>
      </c>
      <c r="BX22" s="214">
        <f>IF(AND(($E22+$C$1)&gt;BX$4,BX$4&gt;=$C$1),$H22,IF(AND(($D22+$C$1)&gt;BX$4,BX$4&gt;=$C$1),$G22,0))*IF($A22="Residential",'General Inputs'!E$14,'General Inputs'!E$19)</f>
        <v>1596.5850537645128</v>
      </c>
      <c r="BY22" s="214">
        <f>IF(AND(($E22+$C$1)&gt;BY$4,BY$4&gt;=$C$1),$H22,IF(AND(($D22+$C$1)&gt;BY$4,BY$4&gt;=$C$1),$G22,0))*IF($A22="Residential",'General Inputs'!F$14,'General Inputs'!F$19)</f>
        <v>1620.5338295709803</v>
      </c>
      <c r="BZ22" s="214">
        <f>IF(AND(($E22+$C$1)&gt;BZ$4,BZ$4&gt;=$C$1),$H22,IF(AND(($D22+$C$1)&gt;BZ$4,BZ$4&gt;=$C$1),$G22,0))*IF($A22="Residential",'General Inputs'!G$14,'General Inputs'!G$19)</f>
        <v>1644.8418370145446</v>
      </c>
      <c r="CA22" s="214">
        <f>IF(AND(($E22+$C$1)&gt;CA$4,CA$4&gt;=$C$1),$H22,IF(AND(($D22+$C$1)&gt;CA$4,CA$4&gt;=$C$1),$G22,0))*IF($A22="Residential",'General Inputs'!H$14,'General Inputs'!H$19)</f>
        <v>1669.5144645697626</v>
      </c>
      <c r="CB22" s="214">
        <f>IF(AND(($E22+$C$1)&gt;CB$4,CB$4&gt;=$C$1),$H22,IF(AND(($D22+$C$1)&gt;CB$4,CB$4&gt;=$C$1),$G22,0))*IF($A22="Residential",'General Inputs'!I$14,'General Inputs'!I$19)</f>
        <v>1694.5571815383089</v>
      </c>
      <c r="CC22" s="214">
        <f>IF(AND(($E22+$C$1)&gt;CC$4,CC$4&gt;=$C$1),$H22,IF(AND(($D22+$C$1)&gt;CC$4,CC$4&gt;=$C$1),$G22,0))*IF($A22="Residential",'General Inputs'!J$14,'General Inputs'!J$19)</f>
        <v>761.45926970344703</v>
      </c>
      <c r="CD22" s="214">
        <f>IF(AND(($E22+$C$1)&gt;CD$4,CD$4&gt;=$C$1),$H22,IF(AND(($D22+$C$1)&gt;CD$4,CD$4&gt;=$C$1),$G22,0))*IF($A22="Residential",'General Inputs'!K$14,'General Inputs'!K$19)</f>
        <v>772.8811587489987</v>
      </c>
      <c r="CE22" s="214">
        <f>IF(AND(($E22+$C$1)&gt;CE$4,CE$4&gt;=$C$1),$H22,IF(AND(($D22+$C$1)&gt;CE$4,CE$4&gt;=$C$1),$G22,0))*IF($A22="Residential",'General Inputs'!L$14,'General Inputs'!L$19)</f>
        <v>784.47437613023351</v>
      </c>
      <c r="CF22" s="214">
        <f>IF(AND(($E22+$C$1)&gt;CF$4,CF$4&gt;=$C$1),$H22,IF(AND(($D22+$C$1)&gt;CF$4,CF$4&gt;=$C$1),$G22,0))*IF($A22="Residential",'General Inputs'!M$14,'General Inputs'!M$19)</f>
        <v>796.24149177218703</v>
      </c>
      <c r="CG22" s="214">
        <f>IF(AND(($E22+$C$1)&gt;CG$4,CG$4&gt;=$C$1),$H22,IF(AND(($D22+$C$1)&gt;CG$4,CG$4&gt;=$C$1),$G22,0))*IF($A22="Residential",'General Inputs'!N$14,'General Inputs'!N$19)</f>
        <v>808.18511414876969</v>
      </c>
      <c r="CH22" s="214">
        <f>IF(AND(($E22+$C$1)&gt;CH$4,CH$4&gt;=$C$1),$H22,IF(AND(($D22+$C$1)&gt;CH$4,CH$4&gt;=$C$1),$G22,0))*IF($A22="Residential",'General Inputs'!O$14,'General Inputs'!O$19)</f>
        <v>820.30789086100117</v>
      </c>
      <c r="CI22" s="214">
        <f>IF(AND(($E22+$C$1)&gt;CI$4,CI$4&gt;=$C$1),$H22,IF(AND(($D22+$C$1)&gt;CI$4,CI$4&gt;=$C$1),$G22,0))*IF($A22="Residential",'General Inputs'!P$14,'General Inputs'!P$19)</f>
        <v>832.61250922391616</v>
      </c>
      <c r="CJ22" s="214">
        <f>IF(AND(($E22+$C$1)&gt;CJ$4,CJ$4&gt;=$C$1),$H22,IF(AND(($D22+$C$1)&gt;CJ$4,CJ$4&gt;=$C$1),$G22,0))*IF($A22="Residential",'General Inputs'!Q$14,'General Inputs'!Q$19)</f>
        <v>845.10169686227471</v>
      </c>
      <c r="CK22" s="214">
        <f>IF(AND(($E22+$C$1)&gt;CK$4,CK$4&gt;=$C$1),$H22,IF(AND(($D22+$C$1)&gt;CK$4,CK$4&gt;=$C$1),$G22,0))*IF($A22="Residential",'General Inputs'!R$14,'General Inputs'!R$19)</f>
        <v>857.77822231520872</v>
      </c>
      <c r="CL22" s="214">
        <f>IF(AND(($E22+$C$1)&gt;CL$4,CL$4&gt;=$C$1),$H22,IF(AND(($D22+$C$1)&gt;CL$4,CL$4&gt;=$C$1),$G22,0))*IF($A22="Residential",'General Inputs'!S$14,'General Inputs'!S$19)</f>
        <v>870.64489564993687</v>
      </c>
      <c r="CM22" s="214">
        <f>IF(AND(($E22+$C$1)&gt;CM$4,CM$4&gt;=$C$1),$H22,IF(AND(($D22+$C$1)&gt;CM$4,CM$4&gt;=$C$1),$G22,0))*IF($A22="Residential",'General Inputs'!T$14,'General Inputs'!T$19)</f>
        <v>883.70456908468577</v>
      </c>
      <c r="CN22" s="214">
        <f>IF(AND(($E22+$C$1)&gt;CN$4,CN$4&gt;=$C$1),$H22,IF(AND(($D22+$C$1)&gt;CN$4,CN$4&gt;=$C$1),$G22,0))*IF($A22="Residential",'General Inputs'!U$14,'General Inputs'!U$19)</f>
        <v>896.96013762095595</v>
      </c>
      <c r="CO22" s="214">
        <f>IF(AND(($E22+$C$1)&gt;CO$4,CO$4&gt;=$C$1),$H22,IF(AND(($D22+$C$1)&gt;CO$4,CO$4&gt;=$C$1),$G22,0))*IF($A22="Residential",'General Inputs'!V$14,'General Inputs'!V$19)</f>
        <v>0</v>
      </c>
      <c r="CP22" s="214">
        <f>IF(AND(($E22+$C$1)&gt;CP$4,CP$4&gt;=$C$1),$H22,IF(AND(($D22+$C$1)&gt;CP$4,CP$4&gt;=$C$1),$G22,0))*IF($A22="Residential",'General Inputs'!W$14,'General Inputs'!W$19)</f>
        <v>0</v>
      </c>
      <c r="CR22" s="214">
        <f>IF(AND(($E22+$C$1)&gt;CR$4,CR$4&gt;=$C$1),$H22,IF(AND(($D22+$C$1)&gt;CR$4,CR$4&gt;=$C$1),$G22,0))*IF($A22="Residential",'General Inputs'!D$15,'General Inputs'!D$19)</f>
        <v>1279.6405523913463</v>
      </c>
      <c r="CS22" s="214">
        <f>IF(AND(($E22+$C$1)&gt;CS$4,CS$4&gt;=$C$1),$H22,IF(AND(($D22+$C$1)&gt;CS$4,CS$4&gt;=$C$1),$G22,0))*IF($A22="Residential",'General Inputs'!E$15,'General Inputs'!E$19)</f>
        <v>1298.8351606772162</v>
      </c>
      <c r="CT22" s="214">
        <f>IF(AND(($E22+$C$1)&gt;CT$4,CT$4&gt;=$C$1),$H22,IF(AND(($D22+$C$1)&gt;CT$4,CT$4&gt;=$C$1),$G22,0))*IF($A22="Residential",'General Inputs'!F$15,'General Inputs'!F$19)</f>
        <v>1318.3176880873743</v>
      </c>
      <c r="CU22" s="214">
        <f>IF(AND(($E22+$C$1)&gt;CU$4,CU$4&gt;=$C$1),$H22,IF(AND(($D22+$C$1)&gt;CU$4,CU$4&gt;=$C$1),$G22,0))*IF($A22="Residential",'General Inputs'!G$15,'General Inputs'!G$19)</f>
        <v>1338.0924534086848</v>
      </c>
      <c r="CV22" s="214">
        <f>IF(AND(($E22+$C$1)&gt;CV$4,CV$4&gt;=$C$1),$H22,IF(AND(($D22+$C$1)&gt;CV$4,CV$4&gt;=$C$1),$G22,0))*IF($A22="Residential",'General Inputs'!H$15,'General Inputs'!H$19)</f>
        <v>1358.1638402098151</v>
      </c>
      <c r="CW22" s="214">
        <f>IF(AND(($E22+$C$1)&gt;CW$4,CW$4&gt;=$C$1),$H22,IF(AND(($D22+$C$1)&gt;CW$4,CW$4&gt;=$C$1),$G22,0))*IF($A22="Residential",'General Inputs'!I$15,'General Inputs'!I$19)</f>
        <v>1378.5362978129622</v>
      </c>
      <c r="CX22" s="214">
        <f>IF(AND(($E22+$C$1)&gt;CX$4,CX$4&gt;=$C$1),$H22,IF(AND(($D22+$C$1)&gt;CX$4,CX$4&gt;=$C$1),$G22,0))*IF($A22="Residential",'General Inputs'!J$15,'General Inputs'!J$19)</f>
        <v>619.45342065083992</v>
      </c>
      <c r="CY22" s="214">
        <f>IF(AND(($E22+$C$1)&gt;CY$4,CY$4&gt;=$C$1),$H22,IF(AND(($D22+$C$1)&gt;CY$4,CY$4&gt;=$C$1),$G22,0))*IF($A22="Residential",'General Inputs'!K$15,'General Inputs'!K$19)</f>
        <v>628.74522196060252</v>
      </c>
      <c r="CZ22" s="214">
        <f>IF(AND(($E22+$C$1)&gt;CZ$4,CZ$4&gt;=$C$1),$H22,IF(AND(($D22+$C$1)&gt;CZ$4,CZ$4&gt;=$C$1),$G22,0))*IF($A22="Residential",'General Inputs'!L$15,'General Inputs'!L$19)</f>
        <v>638.17640029001143</v>
      </c>
      <c r="DA22" s="214">
        <f>IF(AND(($E22+$C$1)&gt;DA$4,DA$4&gt;=$C$1),$H22,IF(AND(($D22+$C$1)&gt;DA$4,DA$4&gt;=$C$1),$G22,0))*IF($A22="Residential",'General Inputs'!M$15,'General Inputs'!M$19)</f>
        <v>647.74904629436151</v>
      </c>
      <c r="DB22" s="214">
        <f>IF(AND(($E22+$C$1)&gt;DB$4,DB$4&gt;=$C$1),$H22,IF(AND(($D22+$C$1)&gt;DB$4,DB$4&gt;=$C$1),$G22,0))*IF($A22="Residential",'General Inputs'!N$15,'General Inputs'!N$19)</f>
        <v>657.46528198877684</v>
      </c>
      <c r="DC22" s="214">
        <f>IF(AND(($E22+$C$1)&gt;DC$4,DC$4&gt;=$C$1),$H22,IF(AND(($D22+$C$1)&gt;DC$4,DC$4&gt;=$C$1),$G22,0))*IF($A22="Residential",'General Inputs'!O$15,'General Inputs'!O$19)</f>
        <v>667.32726121860844</v>
      </c>
      <c r="DD22" s="214">
        <f>IF(AND(($E22+$C$1)&gt;DD$4,DD$4&gt;=$C$1),$H22,IF(AND(($D22+$C$1)&gt;DD$4,DD$4&gt;=$C$1),$G22,0))*IF($A22="Residential",'General Inputs'!P$15,'General Inputs'!P$19)</f>
        <v>677.33717013688761</v>
      </c>
      <c r="DE22" s="214">
        <f>IF(AND(($E22+$C$1)&gt;DE$4,DE$4&gt;=$C$1),$H22,IF(AND(($D22+$C$1)&gt;DE$4,DE$4&gt;=$C$1),$G22,0))*IF($A22="Residential",'General Inputs'!Q$15,'General Inputs'!Q$19)</f>
        <v>687.49722768894082</v>
      </c>
      <c r="DF22" s="214">
        <f>IF(AND(($E22+$C$1)&gt;DF$4,DF$4&gt;=$C$1),$H22,IF(AND(($D22+$C$1)&gt;DF$4,DF$4&gt;=$C$1),$G22,0))*IF($A22="Residential",'General Inputs'!R$15,'General Inputs'!R$19)</f>
        <v>697.80968610427487</v>
      </c>
      <c r="DG22" s="214">
        <f>IF(AND(($E22+$C$1)&gt;DG$4,DG$4&gt;=$C$1),$H22,IF(AND(($D22+$C$1)&gt;DG$4,DG$4&gt;=$C$1),$G22,0))*IF($A22="Residential",'General Inputs'!S$15,'General Inputs'!S$19)</f>
        <v>708.27683139583883</v>
      </c>
      <c r="DH22" s="214">
        <f>IF(AND(($E22+$C$1)&gt;DH$4,DH$4&gt;=$C$1),$H22,IF(AND(($D22+$C$1)&gt;DH$4,DH$4&gt;=$C$1),$G22,0))*IF($A22="Residential",'General Inputs'!T$15,'General Inputs'!T$19)</f>
        <v>718.90098386677641</v>
      </c>
      <c r="DI22" s="214">
        <f>IF(AND(($E22+$C$1)&gt;DI$4,DI$4&gt;=$C$1),$H22,IF(AND(($D22+$C$1)&gt;DI$4,DI$4&gt;=$C$1),$G22,0))*IF($A22="Residential",'General Inputs'!U$15,'General Inputs'!U$19)</f>
        <v>729.68449862477792</v>
      </c>
      <c r="DJ22" s="214">
        <f>IF(AND(($E22+$C$1)&gt;DJ$4,DJ$4&gt;=$C$1),$H22,IF(AND(($D22+$C$1)&gt;DJ$4,DJ$4&gt;=$C$1),$G22,0))*IF($A22="Residential",'General Inputs'!V$15,'General Inputs'!V$19)</f>
        <v>0</v>
      </c>
      <c r="DK22" s="214">
        <f>IF(AND(($E22+$C$1)&gt;DK$4,DK$4&gt;=$C$1),$H22,IF(AND(($D22+$C$1)&gt;DK$4,DK$4&gt;=$C$1),$G22,0))*IF($A22="Residential",'General Inputs'!W$15,'General Inputs'!W$19)</f>
        <v>0</v>
      </c>
      <c r="DM22" s="214">
        <f t="shared" si="200"/>
        <v>2913</v>
      </c>
      <c r="DN22" s="214">
        <f t="shared" si="105"/>
        <v>0</v>
      </c>
      <c r="DO22" s="214">
        <f t="shared" si="105"/>
        <v>0</v>
      </c>
      <c r="DP22" s="214">
        <f t="shared" si="105"/>
        <v>0</v>
      </c>
      <c r="DQ22" s="214">
        <f t="shared" si="105"/>
        <v>0</v>
      </c>
      <c r="DR22" s="214">
        <f t="shared" si="105"/>
        <v>0</v>
      </c>
      <c r="DS22" s="214">
        <f t="shared" si="105"/>
        <v>-2376</v>
      </c>
      <c r="DT22" s="214">
        <f t="shared" si="105"/>
        <v>0</v>
      </c>
      <c r="DU22" s="214">
        <f t="shared" si="105"/>
        <v>0</v>
      </c>
      <c r="DV22" s="214">
        <f t="shared" si="105"/>
        <v>0</v>
      </c>
      <c r="DW22" s="214">
        <f t="shared" si="105"/>
        <v>0</v>
      </c>
      <c r="DZ22" s="650"/>
      <c r="FI22" s="195"/>
      <c r="FJ22" s="195"/>
      <c r="FK22" s="195"/>
      <c r="FL22" s="195"/>
      <c r="FM22" s="195"/>
      <c r="FN22" s="195"/>
      <c r="FO22" s="195"/>
    </row>
    <row r="23" spans="1:171">
      <c r="A23" s="342" t="s">
        <v>12</v>
      </c>
      <c r="B23" s="427" t="str">
        <f>'Portfolio Inputs'!A22</f>
        <v>Heat Pump SEER 15 Replace Electric Furnace</v>
      </c>
      <c r="C23" s="217">
        <f>IF($C$1=2014,'Portfolio Inputs'!$C22,IF($C$1=2015,'Portfolio Inputs'!$D22,'Portfolio Inputs'!$E22))</f>
        <v>2</v>
      </c>
      <c r="D23" s="504">
        <f>VLOOKUP(B23,Sources!$B$4:$J$104,2,FALSE)</f>
        <v>18</v>
      </c>
      <c r="E23" s="504">
        <f>VLOOKUP(B23,Sources!$B$4:$J$104,3,FALSE)</f>
        <v>0</v>
      </c>
      <c r="G23" s="504">
        <f>IF($C$1=2014,'Portfolio Inputs'!$G22,IF($C$1=2015,'Portfolio Inputs'!$H22,'Portfolio Inputs'!$I22))*EnergyLineLoss</f>
        <v>29241.206091150583</v>
      </c>
      <c r="H23" s="504">
        <f>VLOOKUP($B23,Sources!$B$4:$K$104,6,FALSE)*C23*EnergyLineLoss</f>
        <v>0</v>
      </c>
      <c r="I23" s="504">
        <f>IF($C$1=2014,'Portfolio Inputs'!$K22,IF($C$1=2015,'Portfolio Inputs'!$L22,'Portfolio Inputs'!$M22))*PeakLineLoss</f>
        <v>6.5946968718992558</v>
      </c>
      <c r="J23" s="510">
        <f>VLOOKUP($B23,Sources!$B$4:$K$104,8,FALSE)*C23*PeakLineLoss</f>
        <v>0</v>
      </c>
      <c r="L23" s="606">
        <f>IF($C$1=2014,'Portfolio Inputs'!$O22,IF($C$1=2015,'Portfolio Inputs'!$P22,'Portfolio Inputs'!$Q22))</f>
        <v>4554</v>
      </c>
      <c r="M23" s="518">
        <f>VLOOKUP($B23,Sources!$B$4:$K$104,10,FALSE)</f>
        <v>0</v>
      </c>
      <c r="N23" s="419">
        <f>IF($C$1=2014,'Portfolio Inputs'!$W22,IF($C$1=2015,'Portfolio Inputs'!$X22,'Portfolio Inputs'!$Y22))</f>
        <v>2588</v>
      </c>
      <c r="O23" s="419"/>
      <c r="Q23" s="438">
        <f t="shared" si="242"/>
        <v>1.4709771261685625</v>
      </c>
      <c r="R23" s="439">
        <f t="shared" si="243"/>
        <v>5.1768391287261464</v>
      </c>
      <c r="S23" s="439">
        <f t="shared" si="244"/>
        <v>1.8235112700299985</v>
      </c>
      <c r="T23" s="439">
        <f t="shared" si="245"/>
        <v>4.8558721900603103</v>
      </c>
      <c r="U23" s="439">
        <f t="shared" si="246"/>
        <v>4.0032830724915307</v>
      </c>
      <c r="V23" s="439">
        <f t="shared" si="247"/>
        <v>0.30292748008886383</v>
      </c>
      <c r="W23" s="439">
        <f t="shared" si="248"/>
        <v>0.36744269629003973</v>
      </c>
      <c r="Y23" s="215">
        <f t="shared" si="249"/>
        <v>13397.659665143266</v>
      </c>
      <c r="Z23" s="215">
        <f t="shared" si="250"/>
        <v>3210.8809822899602</v>
      </c>
      <c r="AA23" s="215">
        <f t="shared" si="251"/>
        <v>41639.283907069308</v>
      </c>
      <c r="AB23" s="215">
        <f t="shared" si="252"/>
        <v>33873.902224252859</v>
      </c>
      <c r="AC23" s="216">
        <f t="shared" si="253"/>
        <v>0</v>
      </c>
      <c r="AD23" s="216">
        <f t="shared" si="254"/>
        <v>2588</v>
      </c>
      <c r="AE23" s="215">
        <f t="shared" si="255"/>
        <v>9108</v>
      </c>
      <c r="AG23" s="214">
        <f>IF(AND(($E23+$C$1)&gt;AG$4,AG$4&gt;=$C$1),'General Inputs'!D$9*$H23,IF(AND(($D23+$C$1)&gt;AG$4,AG$4&gt;=$C$1),'General Inputs'!D$9*$G23,0))+IF(AND(($E23+$C$1)&gt;AG$4,AG$4&gt;=$C$1),'General Inputs'!D$10*$J23,IF(AND(($D23+$C$1)&gt;AG$4,AG$4&gt;=$C$1),'General Inputs'!D$10*$I23,0))</f>
        <v>1262.9080384805127</v>
      </c>
      <c r="AH23" s="214">
        <f>IF(AND(($E23+$C$1)&gt;AH$4,AH$4&gt;=$C$1),'General Inputs'!E$9*$H23,IF(AND(($D23+$C$1)&gt;AH$4,AH$4&gt;=$C$1),'General Inputs'!E$9*$G23,0))+IF(AND(($E23+$C$1)&gt;AH$4,AH$4&gt;=$C$1),'General Inputs'!E$10*$J23,IF(AND(($D23+$C$1)&gt;AH$4,AH$4&gt;=$C$1),'General Inputs'!E$10*$I23,0))</f>
        <v>1281.8516590577203</v>
      </c>
      <c r="AI23" s="214">
        <f>IF(AND(($E23+$C$1)&gt;AI$4,AI$4&gt;=$C$1),'General Inputs'!F$9*$H23,IF(AND(($D23+$C$1)&gt;AI$4,AI$4&gt;=$C$1),'General Inputs'!F$9*$G23,0))+IF(AND(($E23+$C$1)&gt;AI$4,AI$4&gt;=$C$1),'General Inputs'!F$10*$J23,IF(AND(($D23+$C$1)&gt;AI$4,AI$4&gt;=$C$1),'General Inputs'!F$10*$I23,0))</f>
        <v>1301.0794339435861</v>
      </c>
      <c r="AJ23" s="214">
        <f>IF(AND(($E23+$C$1)&gt;AJ$4,AJ$4&gt;=$C$1),'General Inputs'!G$9*$H23,IF(AND(($D23+$C$1)&gt;AJ$4,AJ$4&gt;=$C$1),'General Inputs'!G$9*$G23,0))+IF(AND(($E23+$C$1)&gt;AJ$4,AJ$4&gt;=$C$1),'General Inputs'!G$10*$J23,IF(AND(($D23+$C$1)&gt;AJ$4,AJ$4&gt;=$C$1),'General Inputs'!G$10*$I23,0))</f>
        <v>1320.5956254527396</v>
      </c>
      <c r="AK23" s="214">
        <f>IF(AND(($E23+$C$1)&gt;AK$4,AK$4&gt;=$C$1),'General Inputs'!H$9*$H23,IF(AND(($D23+$C$1)&gt;AK$4,AK$4&gt;=$C$1),'General Inputs'!H$9*$G23,0))+IF(AND(($E23+$C$1)&gt;AK$4,AK$4&gt;=$C$1),'General Inputs'!H$10*$J23,IF(AND(($D23+$C$1)&gt;AK$4,AK$4&gt;=$C$1),'General Inputs'!H$10*$I23,0))</f>
        <v>1340.4045598345306</v>
      </c>
      <c r="AL23" s="214">
        <f>IF(AND(($E23+$C$1)&gt;AL$4,AL$4&gt;=$C$1),'General Inputs'!I$9*$H23,IF(AND(($D23+$C$1)&gt;AL$4,AL$4&gt;=$C$1),'General Inputs'!I$9*$G23,0))+IF(AND(($E23+$C$1)&gt;AL$4,AL$4&gt;=$C$1),'General Inputs'!I$10*$J23,IF(AND(($D23+$C$1)&gt;AL$4,AL$4&gt;=$C$1),'General Inputs'!I$10*$I23,0))</f>
        <v>1360.5106282320482</v>
      </c>
      <c r="AM23" s="214">
        <f>IF(AND(($E23+$C$1)&gt;AM$4,AM$4&gt;=$C$1),'General Inputs'!J$9*$H23,IF(AND(($D23+$C$1)&gt;AM$4,AM$4&gt;=$C$1),'General Inputs'!J$9*$G23,0))+IF(AND(($E23+$C$1)&gt;AM$4,AM$4&gt;=$C$1),'General Inputs'!J$10*$J23,IF(AND(($D23+$C$1)&gt;AM$4,AM$4&gt;=$C$1),'General Inputs'!J$10*$I23,0))</f>
        <v>1380.9182876555287</v>
      </c>
      <c r="AN23" s="214">
        <f>IF(AND(($E23+$C$1)&gt;AN$4,AN$4&gt;=$C$1),'General Inputs'!K$9*$H23,IF(AND(($D23+$C$1)&gt;AN$4,AN$4&gt;=$C$1),'General Inputs'!K$9*$G23,0))+IF(AND(($E23+$C$1)&gt;AN$4,AN$4&gt;=$C$1),'General Inputs'!K$10*$J23,IF(AND(($D23+$C$1)&gt;AN$4,AN$4&gt;=$C$1),'General Inputs'!K$10*$I23,0))</f>
        <v>1401.6320619703615</v>
      </c>
      <c r="AO23" s="214">
        <f>IF(AND(($E23+$C$1)&gt;AO$4,AO$4&gt;=$C$1),'General Inputs'!L$9*$H23,IF(AND(($D23+$C$1)&gt;AO$4,AO$4&gt;=$C$1),'General Inputs'!L$9*$G23,0))+IF(AND(($E23+$C$1)&gt;AO$4,AO$4&gt;=$C$1),'General Inputs'!L$10*$J23,IF(AND(($D23+$C$1)&gt;AO$4,AO$4&gt;=$C$1),'General Inputs'!L$10*$I23,0))</f>
        <v>1422.6565428999168</v>
      </c>
      <c r="AP23" s="214">
        <f>IF(AND(($E23+$C$1)&gt;AP$4,AP$4&gt;=$C$1),'General Inputs'!M$9*$H23,IF(AND(($D23+$C$1)&gt;AP$4,AP$4&gt;=$C$1),'General Inputs'!M$9*$G23,0))+IF(AND(($E23+$C$1)&gt;AP$4,AP$4&gt;=$C$1),'General Inputs'!M$10*$J23,IF(AND(($D23+$C$1)&gt;AP$4,AP$4&gt;=$C$1),'General Inputs'!M$10*$I23,0))</f>
        <v>1443.9963910434153</v>
      </c>
      <c r="AQ23" s="214">
        <f>IF(AND(($E23+$C$1)&gt;AQ$4,AQ$4&gt;=$C$1),'General Inputs'!N$9*$H23,IF(AND(($D23+$C$1)&gt;AQ$4,AQ$4&gt;=$C$1),'General Inputs'!N$9*$G23,0))+IF(AND(($E23+$C$1)&gt;AQ$4,AQ$4&gt;=$C$1),'General Inputs'!N$10*$J23,IF(AND(($D23+$C$1)&gt;AQ$4,AQ$4&gt;=$C$1),'General Inputs'!N$10*$I23,0))</f>
        <v>1465.6563369090666</v>
      </c>
      <c r="AR23" s="214">
        <f>IF(AND(($E23+$C$1)&gt;AR$4,AR$4&gt;=$C$1),'General Inputs'!O$9*$H23,IF(AND(($D23+$C$1)&gt;AR$4,AR$4&gt;=$C$1),'General Inputs'!O$9*$G23,0))+IF(AND(($E23+$C$1)&gt;AR$4,AR$4&gt;=$C$1),'General Inputs'!O$10*$J23,IF(AND(($D23+$C$1)&gt;AR$4,AR$4&gt;=$C$1),'General Inputs'!O$10*$I23,0))</f>
        <v>1487.6411819627024</v>
      </c>
      <c r="AS23" s="214">
        <f>IF(AND(($E23+$C$1)&gt;AS$4,AS$4&gt;=$C$1),'General Inputs'!P$9*$H23,IF(AND(($D23+$C$1)&gt;AS$4,AS$4&gt;=$C$1),'General Inputs'!P$9*$G23,0))+IF(AND(($E23+$C$1)&gt;AS$4,AS$4&gt;=$C$1),'General Inputs'!P$10*$J23,IF(AND(($D23+$C$1)&gt;AS$4,AS$4&gt;=$C$1),'General Inputs'!P$10*$I23,0))</f>
        <v>1509.9557996921426</v>
      </c>
      <c r="AT23" s="214">
        <f>IF(AND(($E23+$C$1)&gt;AT$4,AT$4&gt;=$C$1),'General Inputs'!Q$9*$H23,IF(AND(($D23+$C$1)&gt;AT$4,AT$4&gt;=$C$1),'General Inputs'!Q$9*$G23,0))+IF(AND(($E23+$C$1)&gt;AT$4,AT$4&gt;=$C$1),'General Inputs'!Q$10*$J23,IF(AND(($D23+$C$1)&gt;AT$4,AT$4&gt;=$C$1),'General Inputs'!Q$10*$I23,0))</f>
        <v>1532.6051366875249</v>
      </c>
      <c r="AU23" s="214">
        <f>IF(AND(($E23+$C$1)&gt;AU$4,AU$4&gt;=$C$1),'General Inputs'!R$9*$H23,IF(AND(($D23+$C$1)&gt;AU$4,AU$4&gt;=$C$1),'General Inputs'!R$9*$G23,0))+IF(AND(($E23+$C$1)&gt;AU$4,AU$4&gt;=$C$1),'General Inputs'!R$10*$J23,IF(AND(($D23+$C$1)&gt;AU$4,AU$4&gt;=$C$1),'General Inputs'!R$10*$I23,0))</f>
        <v>1555.5942137378377</v>
      </c>
      <c r="AV23" s="214">
        <f>IF(AND(($E23+$C$1)&gt;AV$4,AV$4&gt;=$C$1),'General Inputs'!S$9*$H23,IF(AND(($D23+$C$1)&gt;AV$4,AV$4&gt;=$C$1),'General Inputs'!S$9*$G23,0))+IF(AND(($E23+$C$1)&gt;AV$4,AV$4&gt;=$C$1),'General Inputs'!S$10*$J23,IF(AND(($D23+$C$1)&gt;AV$4,AV$4&gt;=$C$1),'General Inputs'!S$10*$I23,0))</f>
        <v>1578.928126943905</v>
      </c>
      <c r="AW23" s="214">
        <f>IF(AND(($E23+$C$1)&gt;AW$4,AW$4&gt;=$C$1),'General Inputs'!T$9*$H23,IF(AND(($D23+$C$1)&gt;AW$4,AW$4&gt;=$C$1),'General Inputs'!T$9*$G23,0))+IF(AND(($E23+$C$1)&gt;AW$4,AW$4&gt;=$C$1),'General Inputs'!T$10*$J23,IF(AND(($D23+$C$1)&gt;AW$4,AW$4&gt;=$C$1),'General Inputs'!T$10*$I23,0))</f>
        <v>1602.6120488480633</v>
      </c>
      <c r="AX23" s="214">
        <f>IF(AND(($E23+$C$1)&gt;AX$4,AX$4&gt;=$C$1),'General Inputs'!U$9*$H23,IF(AND(($D23+$C$1)&gt;AX$4,AX$4&gt;=$C$1),'General Inputs'!U$9*$G23,0))+IF(AND(($E23+$C$1)&gt;AX$4,AX$4&gt;=$C$1),'General Inputs'!U$10*$J23,IF(AND(($D23+$C$1)&gt;AX$4,AX$4&gt;=$C$1),'General Inputs'!U$10*$I23,0))</f>
        <v>1626.6512295807843</v>
      </c>
      <c r="AY23" s="214">
        <f>IF(AND(($E23+$C$1)&gt;AY$4,AY$4&gt;=$C$1),'General Inputs'!V$9*$H23,IF(AND(($D23+$C$1)&gt;AY$4,AY$4&gt;=$C$1),'General Inputs'!V$9*$G23,0))+IF(AND(($E23+$C$1)&gt;AY$4,AY$4&gt;=$C$1),'General Inputs'!V$10*$J23,IF(AND(($D23+$C$1)&gt;AY$4,AY$4&gt;=$C$1),'General Inputs'!V$10*$I23,0))</f>
        <v>0</v>
      </c>
      <c r="AZ23" s="214">
        <f>IF(AND(($E23+$C$1)&gt;AZ$4,AZ$4&gt;=$C$1),'General Inputs'!W$9*$H23,IF(AND(($D23+$C$1)&gt;AZ$4,AZ$4&gt;=$C$1),'General Inputs'!W$9*$G23,0))+IF(AND(($E23+$C$1)&gt;AZ$4,AZ$4&gt;=$C$1),'General Inputs'!W$10*$J23,IF(AND(($D23+$C$1)&gt;AZ$4,AZ$4&gt;=$C$1),'General Inputs'!W$10*$I23,0))</f>
        <v>0</v>
      </c>
      <c r="BB23" s="214">
        <f>IF(AND(($E23+$C$1)&gt;BB$4,BB$4&gt;=$C$1),'General Inputs'!D$11*$H23,IF(AND(($D23+$C$1)&gt;BB$4,BB$4&gt;=$C$1),'General Inputs'!D$11*$G23,0))</f>
        <v>333.34974943911664</v>
      </c>
      <c r="BC23" s="214">
        <f>IF(AND(($E23+$C$1)&gt;BC$4,BC$4&gt;=$C$1),'General Inputs'!E$11*$H23,IF(AND(($D23+$C$1)&gt;BC$4,BC$4&gt;=$C$1),'General Inputs'!E$11*$G23,0))</f>
        <v>333.34974943911664</v>
      </c>
      <c r="BD23" s="214">
        <f>IF(AND(($E23+$C$1)&gt;BD$4,BD$4&gt;=$C$1),'General Inputs'!F$11*$H23,IF(AND(($D23+$C$1)&gt;BD$4,BD$4&gt;=$C$1),'General Inputs'!F$11*$G23,0))</f>
        <v>333.34974943911664</v>
      </c>
      <c r="BE23" s="214">
        <f>IF(AND(($E23+$C$1)&gt;BE$4,BE$4&gt;=$C$1),'General Inputs'!G$11*$H23,IF(AND(($D23+$C$1)&gt;BE$4,BE$4&gt;=$C$1),'General Inputs'!G$11*$G23,0))</f>
        <v>333.34974943911664</v>
      </c>
      <c r="BF23" s="214">
        <f>IF(AND(($E23+$C$1)&gt;BF$4,BF$4&gt;=$C$1),'General Inputs'!H$11*$H23,IF(AND(($D23+$C$1)&gt;BF$4,BF$4&gt;=$C$1),'General Inputs'!H$11*$G23,0))</f>
        <v>333.34974943911664</v>
      </c>
      <c r="BG23" s="214">
        <f>IF(AND(($E23+$C$1)&gt;BG$4,BG$4&gt;=$C$1),'General Inputs'!I$11*$H23,IF(AND(($D23+$C$1)&gt;BG$4,BG$4&gt;=$C$1),'General Inputs'!I$11*$G23,0))</f>
        <v>333.34974943911664</v>
      </c>
      <c r="BH23" s="214">
        <f>IF(AND(($E23+$C$1)&gt;BH$4,BH$4&gt;=$C$1),'General Inputs'!J$11*$H23,IF(AND(($D23+$C$1)&gt;BH$4,BH$4&gt;=$C$1),'General Inputs'!J$11*$G23,0))</f>
        <v>333.34974943911664</v>
      </c>
      <c r="BI23" s="214">
        <f>IF(AND(($E23+$C$1)&gt;BI$4,BI$4&gt;=$C$1),'General Inputs'!K$11*$H23,IF(AND(($D23+$C$1)&gt;BI$4,BI$4&gt;=$C$1),'General Inputs'!K$11*$G23,0))</f>
        <v>333.34974943911664</v>
      </c>
      <c r="BJ23" s="214">
        <f>IF(AND(($E23+$C$1)&gt;BJ$4,BJ$4&gt;=$C$1),'General Inputs'!L$11*$H23,IF(AND(($D23+$C$1)&gt;BJ$4,BJ$4&gt;=$C$1),'General Inputs'!L$11*$G23,0))</f>
        <v>333.34974943911664</v>
      </c>
      <c r="BK23" s="214">
        <f>IF(AND(($E23+$C$1)&gt;BK$4,BK$4&gt;=$C$1),'General Inputs'!M$11*$H23,IF(AND(($D23+$C$1)&gt;BK$4,BK$4&gt;=$C$1),'General Inputs'!M$11*$G23,0))</f>
        <v>333.34974943911664</v>
      </c>
      <c r="BL23" s="214">
        <f>IF(AND(($E23+$C$1)&gt;BL$4,BL$4&gt;=$C$1),'General Inputs'!N$11*$H23,IF(AND(($D23+$C$1)&gt;BL$4,BL$4&gt;=$C$1),'General Inputs'!N$11*$G23,0))</f>
        <v>333.34974943911664</v>
      </c>
      <c r="BM23" s="214">
        <f>IF(AND(($E23+$C$1)&gt;BM$4,BM$4&gt;=$C$1),'General Inputs'!O$11*$H23,IF(AND(($D23+$C$1)&gt;BM$4,BM$4&gt;=$C$1),'General Inputs'!O$11*$G23,0))</f>
        <v>333.34974943911664</v>
      </c>
      <c r="BN23" s="214">
        <f>IF(AND(($E23+$C$1)&gt;BN$4,BN$4&gt;=$C$1),'General Inputs'!P$11*$H23,IF(AND(($D23+$C$1)&gt;BN$4,BN$4&gt;=$C$1),'General Inputs'!P$11*$G23,0))</f>
        <v>333.34974943911664</v>
      </c>
      <c r="BO23" s="214">
        <f>IF(AND(($E23+$C$1)&gt;BO$4,BO$4&gt;=$C$1),'General Inputs'!Q$11*$H23,IF(AND(($D23+$C$1)&gt;BO$4,BO$4&gt;=$C$1),'General Inputs'!Q$11*$G23,0))</f>
        <v>333.34974943911664</v>
      </c>
      <c r="BP23" s="214">
        <f>IF(AND(($E23+$C$1)&gt;BP$4,BP$4&gt;=$C$1),'General Inputs'!R$11*$H23,IF(AND(($D23+$C$1)&gt;BP$4,BP$4&gt;=$C$1),'General Inputs'!R$11*$G23,0))</f>
        <v>333.34974943911664</v>
      </c>
      <c r="BQ23" s="214">
        <f>IF(AND(($E23+$C$1)&gt;BQ$4,BQ$4&gt;=$C$1),'General Inputs'!S$11*$H23,IF(AND(($D23+$C$1)&gt;BQ$4,BQ$4&gt;=$C$1),'General Inputs'!S$11*$G23,0))</f>
        <v>333.34974943911664</v>
      </c>
      <c r="BR23" s="214">
        <f>IF(AND(($E23+$C$1)&gt;BR$4,BR$4&gt;=$C$1),'General Inputs'!T$11*$H23,IF(AND(($D23+$C$1)&gt;BR$4,BR$4&gt;=$C$1),'General Inputs'!T$11*$G23,0))</f>
        <v>333.34974943911664</v>
      </c>
      <c r="BS23" s="214">
        <f>IF(AND(($E23+$C$1)&gt;BS$4,BS$4&gt;=$C$1),'General Inputs'!U$11*$H23,IF(AND(($D23+$C$1)&gt;BS$4,BS$4&gt;=$C$1),'General Inputs'!U$11*$G23,0))</f>
        <v>333.34974943911664</v>
      </c>
      <c r="BT23" s="214">
        <f>IF(AND(($E23+$C$1)&gt;BT$4,BT$4&gt;=$C$1),'General Inputs'!V$11*$H23,IF(AND(($D23+$C$1)&gt;BT$4,BT$4&gt;=$C$1),'General Inputs'!V$11*$G23,0))</f>
        <v>0</v>
      </c>
      <c r="BU23" s="214">
        <f>IF(AND(($E23+$C$1)&gt;BU$4,BU$4&gt;=$C$1),'General Inputs'!W$11*$H23,IF(AND(($D23+$C$1)&gt;BU$4,BU$4&gt;=$C$1),'General Inputs'!W$11*$G23,0))</f>
        <v>0</v>
      </c>
      <c r="BW23" s="214">
        <f>IF(AND(($E23+$C$1)&gt;BW$4,BW$4&gt;=$C$1),$H23,IF(AND(($D23+$C$1)&gt;BW$4,BW$4&gt;=$C$1),$G23,0))*IF($A23="Residential",'General Inputs'!D$14,'General Inputs'!D$19)</f>
        <v>3925.0576352245148</v>
      </c>
      <c r="BX23" s="214">
        <f>IF(AND(($E23+$C$1)&gt;BX$4,BX$4&gt;=$C$1),$H23,IF(AND(($D23+$C$1)&gt;BX$4,BX$4&gt;=$C$1),$G23,0))*IF($A23="Residential",'General Inputs'!E$14,'General Inputs'!E$19)</f>
        <v>3983.9334997528822</v>
      </c>
      <c r="BY23" s="214">
        <f>IF(AND(($E23+$C$1)&gt;BY$4,BY$4&gt;=$C$1),$H23,IF(AND(($D23+$C$1)&gt;BY$4,BY$4&gt;=$C$1),$G23,0))*IF($A23="Residential",'General Inputs'!F$14,'General Inputs'!F$19)</f>
        <v>4043.6925022491746</v>
      </c>
      <c r="BZ23" s="214">
        <f>IF(AND(($E23+$C$1)&gt;BZ$4,BZ$4&gt;=$C$1),$H23,IF(AND(($D23+$C$1)&gt;BZ$4,BZ$4&gt;=$C$1),$G23,0))*IF($A23="Residential",'General Inputs'!G$14,'General Inputs'!G$19)</f>
        <v>4104.3478897829118</v>
      </c>
      <c r="CA23" s="214">
        <f>IF(AND(($E23+$C$1)&gt;CA$4,CA$4&gt;=$C$1),$H23,IF(AND(($D23+$C$1)&gt;CA$4,CA$4&gt;=$C$1),$G23,0))*IF($A23="Residential",'General Inputs'!H$14,'General Inputs'!H$19)</f>
        <v>4165.9131081296546</v>
      </c>
      <c r="CB23" s="214">
        <f>IF(AND(($E23+$C$1)&gt;CB$4,CB$4&gt;=$C$1),$H23,IF(AND(($D23+$C$1)&gt;CB$4,CB$4&gt;=$C$1),$G23,0))*IF($A23="Residential",'General Inputs'!I$14,'General Inputs'!I$19)</f>
        <v>4228.4018047515992</v>
      </c>
      <c r="CC23" s="214">
        <f>IF(AND(($E23+$C$1)&gt;CC$4,CC$4&gt;=$C$1),$H23,IF(AND(($D23+$C$1)&gt;CC$4,CC$4&gt;=$C$1),$G23,0))*IF($A23="Residential",'General Inputs'!J$14,'General Inputs'!J$19)</f>
        <v>4291.8278318228722</v>
      </c>
      <c r="CD23" s="214">
        <f>IF(AND(($E23+$C$1)&gt;CD$4,CD$4&gt;=$C$1),$H23,IF(AND(($D23+$C$1)&gt;CD$4,CD$4&gt;=$C$1),$G23,0))*IF($A23="Residential",'General Inputs'!K$14,'General Inputs'!K$19)</f>
        <v>4356.2052493002147</v>
      </c>
      <c r="CE23" s="214">
        <f>IF(AND(($E23+$C$1)&gt;CE$4,CE$4&gt;=$C$1),$H23,IF(AND(($D23+$C$1)&gt;CE$4,CE$4&gt;=$C$1),$G23,0))*IF($A23="Residential",'General Inputs'!L$14,'General Inputs'!L$19)</f>
        <v>4421.5483280397175</v>
      </c>
      <c r="CF23" s="214">
        <f>IF(AND(($E23+$C$1)&gt;CF$4,CF$4&gt;=$C$1),$H23,IF(AND(($D23+$C$1)&gt;CF$4,CF$4&gt;=$C$1),$G23,0))*IF($A23="Residential",'General Inputs'!M$14,'General Inputs'!M$19)</f>
        <v>4487.8715529603132</v>
      </c>
      <c r="CG23" s="214">
        <f>IF(AND(($E23+$C$1)&gt;CG$4,CG$4&gt;=$C$1),$H23,IF(AND(($D23+$C$1)&gt;CG$4,CG$4&gt;=$C$1),$G23,0))*IF($A23="Residential",'General Inputs'!N$14,'General Inputs'!N$19)</f>
        <v>4555.189626254717</v>
      </c>
      <c r="CH23" s="214">
        <f>IF(AND(($E23+$C$1)&gt;CH$4,CH$4&gt;=$C$1),$H23,IF(AND(($D23+$C$1)&gt;CH$4,CH$4&gt;=$C$1),$G23,0))*IF($A23="Residential",'General Inputs'!O$14,'General Inputs'!O$19)</f>
        <v>4623.5174706485377</v>
      </c>
      <c r="CI23" s="214">
        <f>IF(AND(($E23+$C$1)&gt;CI$4,CI$4&gt;=$C$1),$H23,IF(AND(($D23+$C$1)&gt;CI$4,CI$4&gt;=$C$1),$G23,0))*IF($A23="Residential",'General Inputs'!P$14,'General Inputs'!P$19)</f>
        <v>4692.8702327082647</v>
      </c>
      <c r="CJ23" s="214">
        <f>IF(AND(($E23+$C$1)&gt;CJ$4,CJ$4&gt;=$C$1),$H23,IF(AND(($D23+$C$1)&gt;CJ$4,CJ$4&gt;=$C$1),$G23,0))*IF($A23="Residential",'General Inputs'!Q$14,'General Inputs'!Q$19)</f>
        <v>4763.2632861988886</v>
      </c>
      <c r="CK23" s="214">
        <f>IF(AND(($E23+$C$1)&gt;CK$4,CK$4&gt;=$C$1),$H23,IF(AND(($D23+$C$1)&gt;CK$4,CK$4&gt;=$C$1),$G23,0))*IF($A23="Residential",'General Inputs'!R$14,'General Inputs'!R$19)</f>
        <v>4834.7122354918711</v>
      </c>
      <c r="CL23" s="214">
        <f>IF(AND(($E23+$C$1)&gt;CL$4,CL$4&gt;=$C$1),$H23,IF(AND(($D23+$C$1)&gt;CL$4,CL$4&gt;=$C$1),$G23,0))*IF($A23="Residential",'General Inputs'!S$14,'General Inputs'!S$19)</f>
        <v>4907.232919024249</v>
      </c>
      <c r="CM23" s="214">
        <f>IF(AND(($E23+$C$1)&gt;CM$4,CM$4&gt;=$C$1),$H23,IF(AND(($D23+$C$1)&gt;CM$4,CM$4&gt;=$C$1),$G23,0))*IF($A23="Residential",'General Inputs'!T$14,'General Inputs'!T$19)</f>
        <v>4980.8414128096119</v>
      </c>
      <c r="CN23" s="214">
        <f>IF(AND(($E23+$C$1)&gt;CN$4,CN$4&gt;=$C$1),$H23,IF(AND(($D23+$C$1)&gt;CN$4,CN$4&gt;=$C$1),$G23,0))*IF($A23="Residential",'General Inputs'!U$14,'General Inputs'!U$19)</f>
        <v>5055.554034001756</v>
      </c>
      <c r="CO23" s="214">
        <f>IF(AND(($E23+$C$1)&gt;CO$4,CO$4&gt;=$C$1),$H23,IF(AND(($D23+$C$1)&gt;CO$4,CO$4&gt;=$C$1),$G23,0))*IF($A23="Residential",'General Inputs'!V$14,'General Inputs'!V$19)</f>
        <v>0</v>
      </c>
      <c r="CP23" s="214">
        <f>IF(AND(($E23+$C$1)&gt;CP$4,CP$4&gt;=$C$1),$H23,IF(AND(($D23+$C$1)&gt;CP$4,CP$4&gt;=$C$1),$G23,0))*IF($A23="Residential",'General Inputs'!W$14,'General Inputs'!W$19)</f>
        <v>0</v>
      </c>
      <c r="CR23" s="214">
        <f>IF(AND(($E23+$C$1)&gt;CR$4,CR$4&gt;=$C$1),$H23,IF(AND(($D23+$C$1)&gt;CR$4,CR$4&gt;=$C$1),$G23,0))*IF($A23="Residential",'General Inputs'!D$15,'General Inputs'!D$19)</f>
        <v>3193.0668850330435</v>
      </c>
      <c r="CS23" s="214">
        <f>IF(AND(($E23+$C$1)&gt;CS$4,CS$4&gt;=$C$1),$H23,IF(AND(($D23+$C$1)&gt;CS$4,CS$4&gt;=$C$1),$G23,0))*IF($A23="Residential",'General Inputs'!E$15,'General Inputs'!E$19)</f>
        <v>3240.9628883085388</v>
      </c>
      <c r="CT23" s="214">
        <f>IF(AND(($E23+$C$1)&gt;CT$4,CT$4&gt;=$C$1),$H23,IF(AND(($D23+$C$1)&gt;CT$4,CT$4&gt;=$C$1),$G23,0))*IF($A23="Residential",'General Inputs'!F$15,'General Inputs'!F$19)</f>
        <v>3289.5773316331665</v>
      </c>
      <c r="CU23" s="214">
        <f>IF(AND(($E23+$C$1)&gt;CU$4,CU$4&gt;=$C$1),$H23,IF(AND(($D23+$C$1)&gt;CU$4,CU$4&gt;=$C$1),$G23,0))*IF($A23="Residential",'General Inputs'!G$15,'General Inputs'!G$19)</f>
        <v>3338.9209916076638</v>
      </c>
      <c r="CV23" s="214">
        <f>IF(AND(($E23+$C$1)&gt;CV$4,CV$4&gt;=$C$1),$H23,IF(AND(($D23+$C$1)&gt;CV$4,CV$4&gt;=$C$1),$G23,0))*IF($A23="Residential",'General Inputs'!H$15,'General Inputs'!H$19)</f>
        <v>3389.0048064817784</v>
      </c>
      <c r="CW23" s="214">
        <f>IF(AND(($E23+$C$1)&gt;CW$4,CW$4&gt;=$C$1),$H23,IF(AND(($D23+$C$1)&gt;CW$4,CW$4&gt;=$C$1),$G23,0))*IF($A23="Residential",'General Inputs'!I$15,'General Inputs'!I$19)</f>
        <v>3439.8398785790046</v>
      </c>
      <c r="CX23" s="214">
        <f>IF(AND(($E23+$C$1)&gt;CX$4,CX$4&gt;=$C$1),$H23,IF(AND(($D23+$C$1)&gt;CX$4,CX$4&gt;=$C$1),$G23,0))*IF($A23="Residential",'General Inputs'!J$15,'General Inputs'!J$19)</f>
        <v>3491.4374767576892</v>
      </c>
      <c r="CY23" s="214">
        <f>IF(AND(($E23+$C$1)&gt;CY$4,CY$4&gt;=$C$1),$H23,IF(AND(($D23+$C$1)&gt;CY$4,CY$4&gt;=$C$1),$G23,0))*IF($A23="Residential",'General Inputs'!K$15,'General Inputs'!K$19)</f>
        <v>3543.8090389090544</v>
      </c>
      <c r="CZ23" s="214">
        <f>IF(AND(($E23+$C$1)&gt;CZ$4,CZ$4&gt;=$C$1),$H23,IF(AND(($D23+$C$1)&gt;CZ$4,CZ$4&gt;=$C$1),$G23,0))*IF($A23="Residential",'General Inputs'!L$15,'General Inputs'!L$19)</f>
        <v>3596.9661744926898</v>
      </c>
      <c r="DA23" s="214">
        <f>IF(AND(($E23+$C$1)&gt;DA$4,DA$4&gt;=$C$1),$H23,IF(AND(($D23+$C$1)&gt;DA$4,DA$4&gt;=$C$1),$G23,0))*IF($A23="Residential",'General Inputs'!M$15,'General Inputs'!M$19)</f>
        <v>3650.9206671100796</v>
      </c>
      <c r="DB23" s="214">
        <f>IF(AND(($E23+$C$1)&gt;DB$4,DB$4&gt;=$C$1),$H23,IF(AND(($D23+$C$1)&gt;DB$4,DB$4&gt;=$C$1),$G23,0))*IF($A23="Residential",'General Inputs'!N$15,'General Inputs'!N$19)</f>
        <v>3705.6844771167302</v>
      </c>
      <c r="DC23" s="214">
        <f>IF(AND(($E23+$C$1)&gt;DC$4,DC$4&gt;=$C$1),$H23,IF(AND(($D23+$C$1)&gt;DC$4,DC$4&gt;=$C$1),$G23,0))*IF($A23="Residential",'General Inputs'!O$15,'General Inputs'!O$19)</f>
        <v>3761.2697442734807</v>
      </c>
      <c r="DD23" s="214">
        <f>IF(AND(($E23+$C$1)&gt;DD$4,DD$4&gt;=$C$1),$H23,IF(AND(($D23+$C$1)&gt;DD$4,DD$4&gt;=$C$1),$G23,0))*IF($A23="Residential",'General Inputs'!P$15,'General Inputs'!P$19)</f>
        <v>3817.6887904375831</v>
      </c>
      <c r="DE23" s="214">
        <f>IF(AND(($E23+$C$1)&gt;DE$4,DE$4&gt;=$C$1),$H23,IF(AND(($D23+$C$1)&gt;DE$4,DE$4&gt;=$C$1),$G23,0))*IF($A23="Residential",'General Inputs'!Q$15,'General Inputs'!Q$19)</f>
        <v>3874.9541222941466</v>
      </c>
      <c r="DF23" s="214">
        <f>IF(AND(($E23+$C$1)&gt;DF$4,DF$4&gt;=$C$1),$H23,IF(AND(($D23+$C$1)&gt;DF$4,DF$4&gt;=$C$1),$G23,0))*IF($A23="Residential",'General Inputs'!R$15,'General Inputs'!R$19)</f>
        <v>3933.0784341285585</v>
      </c>
      <c r="DG23" s="214">
        <f>IF(AND(($E23+$C$1)&gt;DG$4,DG$4&gt;=$C$1),$H23,IF(AND(($D23+$C$1)&gt;DG$4,DG$4&gt;=$C$1),$G23,0))*IF($A23="Residential",'General Inputs'!S$15,'General Inputs'!S$19)</f>
        <v>3992.0746106404858</v>
      </c>
      <c r="DH23" s="214">
        <f>IF(AND(($E23+$C$1)&gt;DH$4,DH$4&gt;=$C$1),$H23,IF(AND(($D23+$C$1)&gt;DH$4,DH$4&gt;=$C$1),$G23,0))*IF($A23="Residential",'General Inputs'!T$15,'General Inputs'!T$19)</f>
        <v>4051.9557298000927</v>
      </c>
      <c r="DI23" s="214">
        <f>IF(AND(($E23+$C$1)&gt;DI$4,DI$4&gt;=$C$1),$H23,IF(AND(($D23+$C$1)&gt;DI$4,DI$4&gt;=$C$1),$G23,0))*IF($A23="Residential",'General Inputs'!U$15,'General Inputs'!U$19)</f>
        <v>4112.7350657470934</v>
      </c>
      <c r="DJ23" s="214">
        <f>IF(AND(($E23+$C$1)&gt;DJ$4,DJ$4&gt;=$C$1),$H23,IF(AND(($D23+$C$1)&gt;DJ$4,DJ$4&gt;=$C$1),$G23,0))*IF($A23="Residential",'General Inputs'!V$15,'General Inputs'!V$19)</f>
        <v>0</v>
      </c>
      <c r="DK23" s="214">
        <f>IF(AND(($E23+$C$1)&gt;DK$4,DK$4&gt;=$C$1),$H23,IF(AND(($D23+$C$1)&gt;DK$4,DK$4&gt;=$C$1),$G23,0))*IF($A23="Residential",'General Inputs'!W$15,'General Inputs'!W$19)</f>
        <v>0</v>
      </c>
      <c r="DM23" s="214">
        <f t="shared" si="200"/>
        <v>9108</v>
      </c>
      <c r="DN23" s="214">
        <f t="shared" si="105"/>
        <v>0</v>
      </c>
      <c r="DO23" s="214">
        <f t="shared" si="105"/>
        <v>0</v>
      </c>
      <c r="DP23" s="214">
        <f t="shared" si="105"/>
        <v>0</v>
      </c>
      <c r="DQ23" s="214">
        <f t="shared" si="105"/>
        <v>0</v>
      </c>
      <c r="DR23" s="214">
        <f t="shared" si="105"/>
        <v>0</v>
      </c>
      <c r="DS23" s="214">
        <f t="shared" si="105"/>
        <v>0</v>
      </c>
      <c r="DT23" s="214">
        <f t="shared" si="105"/>
        <v>0</v>
      </c>
      <c r="DU23" s="214">
        <f t="shared" si="105"/>
        <v>0</v>
      </c>
      <c r="DV23" s="214">
        <f t="shared" si="105"/>
        <v>0</v>
      </c>
      <c r="DW23" s="214">
        <f t="shared" si="105"/>
        <v>0</v>
      </c>
      <c r="DZ23" s="650"/>
      <c r="FI23" s="195"/>
      <c r="FJ23" s="195"/>
      <c r="FK23" s="195"/>
      <c r="FL23" s="195"/>
      <c r="FM23" s="195"/>
      <c r="FN23" s="195"/>
      <c r="FO23" s="195"/>
    </row>
    <row r="24" spans="1:171">
      <c r="A24" s="441" t="s">
        <v>12</v>
      </c>
      <c r="B24" s="426" t="str">
        <f>'Portfolio Inputs'!A23</f>
        <v>Whole House Efficiency</v>
      </c>
      <c r="C24" s="356">
        <f>IF($C$1=2014,'Portfolio Inputs'!$C23,IF($C$1=2015,'Portfolio Inputs'!$D23,'Portfolio Inputs'!$E23))</f>
        <v>26</v>
      </c>
      <c r="D24" s="503"/>
      <c r="E24" s="503"/>
      <c r="G24" s="513">
        <f>SUM(G25:G32)</f>
        <v>23290.268641043054</v>
      </c>
      <c r="H24" s="513"/>
      <c r="I24" s="509">
        <f>SUM(I25:I32)</f>
        <v>6.0498768319852019</v>
      </c>
      <c r="J24" s="509"/>
      <c r="L24" s="453"/>
      <c r="M24" s="453"/>
      <c r="N24" s="453">
        <f>IF($C$1=2014,'Portfolio Inputs'!$W23,IF($C$1=2015,'Portfolio Inputs'!$X23,'Portfolio Inputs'!$Y23))</f>
        <v>0</v>
      </c>
      <c r="O24" s="453">
        <f>IF($C$1=2014,'Portfolio Inputs'!$AA23,IF($C$1=2015,'Portfolio Inputs'!$AB23,'Portfolio Inputs'!$AC23))+Expenditures!G8</f>
        <v>29517.531426151741</v>
      </c>
      <c r="Q24" s="442">
        <f>IF(OR(AE24&gt;0,AC24&gt;0),Y24/(AC24+AE24),"n/a")</f>
        <v>0.25122293023390019</v>
      </c>
      <c r="R24" s="443">
        <f>IF(OR(AC24&gt;0,AD24&gt;0),Y24/((AD24+AC24)),"n/a")</f>
        <v>0.25122293023390019</v>
      </c>
      <c r="S24" s="443">
        <f>IF(OR(AC24&gt;0,AE24&gt;0),(Y24+Z24)/(AC24+AE24),"n/a")</f>
        <v>0.31141648098972213</v>
      </c>
      <c r="T24" s="443" t="str">
        <f>IF(AE24&gt;0,(AD24+AA24)/AE24,"n/a")</f>
        <v>n/a</v>
      </c>
      <c r="U24" s="443" t="str">
        <f>IF(AE24&gt;0,(AD24+AB24)/AE24,"n/a")</f>
        <v>n/a</v>
      </c>
      <c r="V24" s="522">
        <f>IF((AA24+AC24+AD24)&gt;0,Y24/(AA24+AC24+AD24),"n/a")</f>
        <v>0.1429552832360429</v>
      </c>
      <c r="W24" s="522">
        <f>IF((AB24+AC24+AD24)&gt;0,Y24/(AB24+AC24+AD24),"n/a")</f>
        <v>0.15544885149578119</v>
      </c>
      <c r="Y24" s="444">
        <f t="shared" si="29"/>
        <v>7415.4807381490755</v>
      </c>
      <c r="Z24" s="444">
        <f t="shared" si="30"/>
        <v>1776.7650260866344</v>
      </c>
      <c r="AA24" s="444">
        <f t="shared" si="31"/>
        <v>22355.198075596621</v>
      </c>
      <c r="AB24" s="444">
        <f t="shared" si="32"/>
        <v>18186.138731554947</v>
      </c>
      <c r="AC24" s="445">
        <f t="shared" si="33"/>
        <v>29517.531426151741</v>
      </c>
      <c r="AD24" s="445">
        <f t="shared" si="34"/>
        <v>0</v>
      </c>
      <c r="AE24" s="526">
        <f t="shared" si="35"/>
        <v>0</v>
      </c>
      <c r="AG24" s="446">
        <f t="shared" ref="AG24:AZ24" si="256">SUM(AG25:AG32)</f>
        <v>1017.8295562646299</v>
      </c>
      <c r="AH24" s="446">
        <f t="shared" si="256"/>
        <v>1033.0969996085992</v>
      </c>
      <c r="AI24" s="446">
        <f t="shared" si="256"/>
        <v>963.46448125498534</v>
      </c>
      <c r="AJ24" s="446">
        <f t="shared" si="256"/>
        <v>977.91644847380996</v>
      </c>
      <c r="AK24" s="446">
        <f t="shared" si="256"/>
        <v>992.58519520091704</v>
      </c>
      <c r="AL24" s="446">
        <f t="shared" si="256"/>
        <v>763.23742738532314</v>
      </c>
      <c r="AM24" s="446">
        <f t="shared" si="256"/>
        <v>774.68598879610295</v>
      </c>
      <c r="AN24" s="446">
        <f t="shared" si="256"/>
        <v>786.30627862804431</v>
      </c>
      <c r="AO24" s="446">
        <f t="shared" si="256"/>
        <v>798.10087280746495</v>
      </c>
      <c r="AP24" s="446">
        <f t="shared" si="256"/>
        <v>721.9449513419022</v>
      </c>
      <c r="AQ24" s="446">
        <f t="shared" si="256"/>
        <v>548.27727252643331</v>
      </c>
      <c r="AR24" s="446">
        <f t="shared" si="256"/>
        <v>556.50143161432982</v>
      </c>
      <c r="AS24" s="446">
        <f t="shared" si="256"/>
        <v>564.8489530885447</v>
      </c>
      <c r="AT24" s="446">
        <f t="shared" si="256"/>
        <v>573.3216873848728</v>
      </c>
      <c r="AU24" s="446">
        <f t="shared" si="256"/>
        <v>581.9215126956459</v>
      </c>
      <c r="AV24" s="446">
        <f t="shared" si="256"/>
        <v>0</v>
      </c>
      <c r="AW24" s="446">
        <f t="shared" si="256"/>
        <v>0</v>
      </c>
      <c r="AX24" s="446">
        <f t="shared" si="256"/>
        <v>0</v>
      </c>
      <c r="AY24" s="446">
        <f t="shared" si="256"/>
        <v>0</v>
      </c>
      <c r="AZ24" s="446">
        <f t="shared" si="256"/>
        <v>0</v>
      </c>
      <c r="BB24" s="446">
        <f t="shared" ref="BB24:BU24" si="257">SUM(BB25:BB32)</f>
        <v>265.50906250789075</v>
      </c>
      <c r="BC24" s="446">
        <f t="shared" si="257"/>
        <v>265.50906250789075</v>
      </c>
      <c r="BD24" s="446">
        <f t="shared" si="257"/>
        <v>242.82149386789075</v>
      </c>
      <c r="BE24" s="446">
        <f t="shared" si="257"/>
        <v>242.82149386789075</v>
      </c>
      <c r="BF24" s="446">
        <f t="shared" si="257"/>
        <v>242.82149386789075</v>
      </c>
      <c r="BG24" s="446">
        <f t="shared" si="257"/>
        <v>180.25373129997234</v>
      </c>
      <c r="BH24" s="446">
        <f t="shared" si="257"/>
        <v>180.25373129997234</v>
      </c>
      <c r="BI24" s="446">
        <f t="shared" si="257"/>
        <v>180.25373129997234</v>
      </c>
      <c r="BJ24" s="446">
        <f t="shared" si="257"/>
        <v>180.25373129997234</v>
      </c>
      <c r="BK24" s="446">
        <f t="shared" si="257"/>
        <v>159.07325280714554</v>
      </c>
      <c r="BL24" s="446">
        <f t="shared" si="257"/>
        <v>114.77078494368421</v>
      </c>
      <c r="BM24" s="446">
        <f t="shared" si="257"/>
        <v>114.77078494368421</v>
      </c>
      <c r="BN24" s="446">
        <f t="shared" si="257"/>
        <v>114.77078494368421</v>
      </c>
      <c r="BO24" s="446">
        <f t="shared" si="257"/>
        <v>114.77078494368421</v>
      </c>
      <c r="BP24" s="446">
        <f t="shared" si="257"/>
        <v>114.77078494368421</v>
      </c>
      <c r="BQ24" s="446">
        <f t="shared" si="257"/>
        <v>0</v>
      </c>
      <c r="BR24" s="446">
        <f t="shared" si="257"/>
        <v>0</v>
      </c>
      <c r="BS24" s="446">
        <f t="shared" si="257"/>
        <v>0</v>
      </c>
      <c r="BT24" s="446">
        <f t="shared" si="257"/>
        <v>0</v>
      </c>
      <c r="BU24" s="446">
        <f t="shared" si="257"/>
        <v>0</v>
      </c>
      <c r="BW24" s="446">
        <f t="shared" ref="BW24:CP24" si="258">SUM(BW25:BW32)</f>
        <v>3126.261155952172</v>
      </c>
      <c r="BX24" s="446">
        <f t="shared" si="258"/>
        <v>3173.1550732914543</v>
      </c>
      <c r="BY24" s="446">
        <f t="shared" si="258"/>
        <v>2945.5412994629182</v>
      </c>
      <c r="BZ24" s="446">
        <f t="shared" si="258"/>
        <v>2989.7244189548614</v>
      </c>
      <c r="CA24" s="446">
        <f t="shared" si="258"/>
        <v>3034.5702852391842</v>
      </c>
      <c r="CB24" s="446">
        <f t="shared" si="258"/>
        <v>2286.4430047553383</v>
      </c>
      <c r="CC24" s="446">
        <f t="shared" si="258"/>
        <v>2320.739649826668</v>
      </c>
      <c r="CD24" s="446">
        <f t="shared" si="258"/>
        <v>2355.5507445740677</v>
      </c>
      <c r="CE24" s="446">
        <f t="shared" si="258"/>
        <v>2390.8840057426778</v>
      </c>
      <c r="CF24" s="446">
        <f t="shared" si="258"/>
        <v>2141.595508354927</v>
      </c>
      <c r="CG24" s="446">
        <f t="shared" si="258"/>
        <v>1568.3308292633549</v>
      </c>
      <c r="CH24" s="446">
        <f t="shared" si="258"/>
        <v>1591.8557917023049</v>
      </c>
      <c r="CI24" s="446">
        <f t="shared" si="258"/>
        <v>1615.7336285778392</v>
      </c>
      <c r="CJ24" s="446">
        <f t="shared" si="258"/>
        <v>1639.9696330065067</v>
      </c>
      <c r="CK24" s="446">
        <f t="shared" si="258"/>
        <v>1664.5691775016041</v>
      </c>
      <c r="CL24" s="446">
        <f t="shared" si="258"/>
        <v>0</v>
      </c>
      <c r="CM24" s="446">
        <f t="shared" si="258"/>
        <v>0</v>
      </c>
      <c r="CN24" s="446">
        <f t="shared" si="258"/>
        <v>0</v>
      </c>
      <c r="CO24" s="446">
        <f t="shared" si="258"/>
        <v>0</v>
      </c>
      <c r="CP24" s="446">
        <f t="shared" si="258"/>
        <v>0</v>
      </c>
      <c r="CR24" s="446">
        <f t="shared" ref="CR24:DK24" si="259">SUM(CR25:CR32)</f>
        <v>2543.2393352524641</v>
      </c>
      <c r="CS24" s="446">
        <f t="shared" si="259"/>
        <v>2581.3879252812503</v>
      </c>
      <c r="CT24" s="446">
        <f t="shared" si="259"/>
        <v>2396.2222356702432</v>
      </c>
      <c r="CU24" s="446">
        <f t="shared" si="259"/>
        <v>2432.1655692052964</v>
      </c>
      <c r="CV24" s="446">
        <f t="shared" si="259"/>
        <v>2468.6480527433755</v>
      </c>
      <c r="CW24" s="446">
        <f t="shared" si="259"/>
        <v>1860.0403157091769</v>
      </c>
      <c r="CX24" s="446">
        <f t="shared" si="259"/>
        <v>1887.9409204448143</v>
      </c>
      <c r="CY24" s="446">
        <f t="shared" si="259"/>
        <v>1916.2600342514861</v>
      </c>
      <c r="CZ24" s="446">
        <f t="shared" si="259"/>
        <v>1945.0039347652582</v>
      </c>
      <c r="DA24" s="446">
        <f t="shared" si="259"/>
        <v>1742.2056780759797</v>
      </c>
      <c r="DB24" s="446">
        <f t="shared" si="259"/>
        <v>1275.8501151055798</v>
      </c>
      <c r="DC24" s="446">
        <f t="shared" si="259"/>
        <v>1294.987866832163</v>
      </c>
      <c r="DD24" s="446">
        <f t="shared" si="259"/>
        <v>1314.4126848346455</v>
      </c>
      <c r="DE24" s="446">
        <f t="shared" si="259"/>
        <v>1334.1288751071652</v>
      </c>
      <c r="DF24" s="446">
        <f t="shared" si="259"/>
        <v>1354.1408082337725</v>
      </c>
      <c r="DG24" s="446">
        <f t="shared" si="259"/>
        <v>0</v>
      </c>
      <c r="DH24" s="446">
        <f t="shared" si="259"/>
        <v>0</v>
      </c>
      <c r="DI24" s="446">
        <f t="shared" si="259"/>
        <v>0</v>
      </c>
      <c r="DJ24" s="446">
        <f t="shared" si="259"/>
        <v>0</v>
      </c>
      <c r="DK24" s="446">
        <f t="shared" si="259"/>
        <v>0</v>
      </c>
      <c r="DM24" s="446">
        <f t="shared" ref="DM24:DW24" si="260">SUM(DM25:DM32)</f>
        <v>0</v>
      </c>
      <c r="DN24" s="446">
        <f t="shared" si="260"/>
        <v>0</v>
      </c>
      <c r="DO24" s="446">
        <f t="shared" si="260"/>
        <v>0</v>
      </c>
      <c r="DP24" s="446">
        <f t="shared" si="260"/>
        <v>0</v>
      </c>
      <c r="DQ24" s="446">
        <f t="shared" si="260"/>
        <v>0</v>
      </c>
      <c r="DR24" s="446">
        <f t="shared" si="260"/>
        <v>0</v>
      </c>
      <c r="DS24" s="446">
        <f t="shared" si="260"/>
        <v>0</v>
      </c>
      <c r="DT24" s="446">
        <f t="shared" si="260"/>
        <v>0</v>
      </c>
      <c r="DU24" s="446">
        <f t="shared" si="260"/>
        <v>0</v>
      </c>
      <c r="DV24" s="446">
        <f t="shared" si="260"/>
        <v>0</v>
      </c>
      <c r="DW24" s="446">
        <f t="shared" si="260"/>
        <v>0</v>
      </c>
      <c r="DZ24" s="650"/>
      <c r="FO24" s="195"/>
    </row>
    <row r="25" spans="1:171">
      <c r="A25" s="342" t="s">
        <v>12</v>
      </c>
      <c r="B25" s="427" t="str">
        <f>'Portfolio Inputs'!A24</f>
        <v>Air Sealing (Electric Heat)</v>
      </c>
      <c r="C25" s="217">
        <f>IF($C$1=2014,'Portfolio Inputs'!$C24,IF($C$1=2015,'Portfolio Inputs'!$D24,'Portfolio Inputs'!$E24))</f>
        <v>4</v>
      </c>
      <c r="D25" s="504">
        <f>VLOOKUP(B25,Sources!$B$4:$J$104,2,FALSE)</f>
        <v>15</v>
      </c>
      <c r="E25" s="504">
        <f>VLOOKUP(B25,Sources!$B$4:$J$104,3,FALSE)</f>
        <v>0</v>
      </c>
      <c r="G25" s="504">
        <f>IF($C$1=2014,'Portfolio Inputs'!$G24,IF($C$1=2015,'Portfolio Inputs'!$H24,'Portfolio Inputs'!$I24))*EnergyLineLoss</f>
        <v>5629.9439556677244</v>
      </c>
      <c r="H25" s="504"/>
      <c r="I25" s="504">
        <f>IF($C$1=2014,'Portfolio Inputs'!$K24,IF($C$1=2015,'Portfolio Inputs'!$L24,'Portfolio Inputs'!$M24))*PeakLineLoss</f>
        <v>2.3957070607992774</v>
      </c>
      <c r="J25" s="510"/>
      <c r="L25" s="606">
        <f>IF($C$1=2014,'Portfolio Inputs'!$O24,IF($C$1=2015,'Portfolio Inputs'!$P24,'Portfolio Inputs'!$Q24))</f>
        <v>0</v>
      </c>
      <c r="M25" s="518">
        <f>VLOOKUP($B25,Sources!$B$4:$K$104,10,FALSE)</f>
        <v>0</v>
      </c>
      <c r="N25" s="419">
        <f>IF($C$1=2014,'Portfolio Inputs'!$W24,IF($C$1=2015,'Portfolio Inputs'!$X24,'Portfolio Inputs'!$Y24))</f>
        <v>0</v>
      </c>
      <c r="O25" s="419"/>
      <c r="Q25" s="438" t="str">
        <f t="shared" ref="Q25:Q33" si="261">IF(OR(AE25&gt;0,AC25&gt;0),Y25/(AC25+AE25),"n/a")</f>
        <v>n/a</v>
      </c>
      <c r="R25" s="439" t="str">
        <f t="shared" ref="R25:R33" si="262">IF(OR(AC25&gt;0,AD25&gt;0),Y25/((AD25+AC25)),"n/a")</f>
        <v>n/a</v>
      </c>
      <c r="S25" s="439" t="str">
        <f t="shared" ref="S25:S33" si="263">IF(OR(AC25&gt;0,AE25&gt;0),(Y25+Z25)/(AC25+AE25),"n/a")</f>
        <v>n/a</v>
      </c>
      <c r="T25" s="439" t="str">
        <f t="shared" ref="T25:T33" si="264">IF(AE25&gt;0,(AD25+AA25)/AE25,"n/a")</f>
        <v>n/a</v>
      </c>
      <c r="U25" s="439" t="str">
        <f t="shared" ref="U25:U32" si="265">IF(AE25&gt;0,(AD25+AB25)/AE25,"n/a")</f>
        <v>n/a</v>
      </c>
      <c r="V25" s="439">
        <f t="shared" ref="V25:V33" si="266">IF((AA25+AC25+AD25)&gt;0,Y25/(AA25+AC25+AD25),"n/a")</f>
        <v>0.34406646344199671</v>
      </c>
      <c r="W25" s="439">
        <f t="shared" ref="W25:W33" si="267">IF((AB25+AC25+AD25)&gt;0,Y25/(AB25+AC25+AD25),"n/a")</f>
        <v>0.42294156307462677</v>
      </c>
      <c r="Y25" s="215">
        <f t="shared" si="29"/>
        <v>2502.7211324166237</v>
      </c>
      <c r="Z25" s="215">
        <f t="shared" si="30"/>
        <v>568.43750528921453</v>
      </c>
      <c r="AA25" s="215">
        <f t="shared" si="31"/>
        <v>7273.9467467410886</v>
      </c>
      <c r="AB25" s="215">
        <f t="shared" si="32"/>
        <v>5917.4159054569582</v>
      </c>
      <c r="AC25" s="216">
        <f t="shared" si="33"/>
        <v>0</v>
      </c>
      <c r="AD25" s="216">
        <f t="shared" si="34"/>
        <v>0</v>
      </c>
      <c r="AE25" s="215">
        <f t="shared" si="35"/>
        <v>0</v>
      </c>
      <c r="AG25" s="214">
        <f>IF(AND(($E25+$C$1)&gt;AG$4,AG$4&gt;=$C$1),'General Inputs'!D$9*$H25,IF(AND(($D25+$C$1)&gt;AG$4,AG$4&gt;=$C$1),'General Inputs'!D$9*$G25,0))+IF(AND(($E25+$C$1)&gt;AG$4,AG$4&gt;=$C$1),'General Inputs'!D$10*$J25,IF(AND(($D25+$C$1)&gt;AG$4,AG$4&gt;=$C$1),'General Inputs'!D$10*$I25,0))</f>
        <v>260.01426298540429</v>
      </c>
      <c r="AH25" s="214">
        <f>IF(AND(($E25+$C$1)&gt;AH$4,AH$4&gt;=$C$1),'General Inputs'!E$9*$H25,IF(AND(($D25+$C$1)&gt;AH$4,AH$4&gt;=$C$1),'General Inputs'!E$9*$G25,0))+IF(AND(($E25+$C$1)&gt;AH$4,AH$4&gt;=$C$1),'General Inputs'!E$10*$J25,IF(AND(($D25+$C$1)&gt;AH$4,AH$4&gt;=$C$1),'General Inputs'!E$10*$I25,0))</f>
        <v>263.91447693018534</v>
      </c>
      <c r="AI25" s="214">
        <f>IF(AND(($E25+$C$1)&gt;AI$4,AI$4&gt;=$C$1),'General Inputs'!F$9*$H25,IF(AND(($D25+$C$1)&gt;AI$4,AI$4&gt;=$C$1),'General Inputs'!F$9*$G25,0))+IF(AND(($E25+$C$1)&gt;AI$4,AI$4&gt;=$C$1),'General Inputs'!F$10*$J25,IF(AND(($D25+$C$1)&gt;AI$4,AI$4&gt;=$C$1),'General Inputs'!F$10*$I25,0))</f>
        <v>267.87319408413811</v>
      </c>
      <c r="AJ25" s="214">
        <f>IF(AND(($E25+$C$1)&gt;AJ$4,AJ$4&gt;=$C$1),'General Inputs'!G$9*$H25,IF(AND(($D25+$C$1)&gt;AJ$4,AJ$4&gt;=$C$1),'General Inputs'!G$9*$G25,0))+IF(AND(($E25+$C$1)&gt;AJ$4,AJ$4&gt;=$C$1),'General Inputs'!G$10*$J25,IF(AND(($D25+$C$1)&gt;AJ$4,AJ$4&gt;=$C$1),'General Inputs'!G$10*$I25,0))</f>
        <v>271.89129199540014</v>
      </c>
      <c r="AK25" s="214">
        <f>IF(AND(($E25+$C$1)&gt;AK$4,AK$4&gt;=$C$1),'General Inputs'!H$9*$H25,IF(AND(($D25+$C$1)&gt;AK$4,AK$4&gt;=$C$1),'General Inputs'!H$9*$G25,0))+IF(AND(($E25+$C$1)&gt;AK$4,AK$4&gt;=$C$1),'General Inputs'!H$10*$J25,IF(AND(($D25+$C$1)&gt;AK$4,AK$4&gt;=$C$1),'General Inputs'!H$10*$I25,0))</f>
        <v>275.9696613753311</v>
      </c>
      <c r="AL25" s="214">
        <f>IF(AND(($E25+$C$1)&gt;AL$4,AL$4&gt;=$C$1),'General Inputs'!I$9*$H25,IF(AND(($D25+$C$1)&gt;AL$4,AL$4&gt;=$C$1),'General Inputs'!I$9*$G25,0))+IF(AND(($E25+$C$1)&gt;AL$4,AL$4&gt;=$C$1),'General Inputs'!I$10*$J25,IF(AND(($D25+$C$1)&gt;AL$4,AL$4&gt;=$C$1),'General Inputs'!I$10*$I25,0))</f>
        <v>280.10920629596103</v>
      </c>
      <c r="AM25" s="214">
        <f>IF(AND(($E25+$C$1)&gt;AM$4,AM$4&gt;=$C$1),'General Inputs'!J$9*$H25,IF(AND(($D25+$C$1)&gt;AM$4,AM$4&gt;=$C$1),'General Inputs'!J$9*$G25,0))+IF(AND(($E25+$C$1)&gt;AM$4,AM$4&gt;=$C$1),'General Inputs'!J$10*$J25,IF(AND(($D25+$C$1)&gt;AM$4,AM$4&gt;=$C$1),'General Inputs'!J$10*$I25,0))</f>
        <v>284.3108443904004</v>
      </c>
      <c r="AN25" s="214">
        <f>IF(AND(($E25+$C$1)&gt;AN$4,AN$4&gt;=$C$1),'General Inputs'!K$9*$H25,IF(AND(($D25+$C$1)&gt;AN$4,AN$4&gt;=$C$1),'General Inputs'!K$9*$G25,0))+IF(AND(($E25+$C$1)&gt;AN$4,AN$4&gt;=$C$1),'General Inputs'!K$10*$J25,IF(AND(($D25+$C$1)&gt;AN$4,AN$4&gt;=$C$1),'General Inputs'!K$10*$I25,0))</f>
        <v>288.57550705625636</v>
      </c>
      <c r="AO25" s="214">
        <f>IF(AND(($E25+$C$1)&gt;AO$4,AO$4&gt;=$C$1),'General Inputs'!L$9*$H25,IF(AND(($D25+$C$1)&gt;AO$4,AO$4&gt;=$C$1),'General Inputs'!L$9*$G25,0))+IF(AND(($E25+$C$1)&gt;AO$4,AO$4&gt;=$C$1),'General Inputs'!L$10*$J25,IF(AND(($D25+$C$1)&gt;AO$4,AO$4&gt;=$C$1),'General Inputs'!L$10*$I25,0))</f>
        <v>292.90413966210019</v>
      </c>
      <c r="AP25" s="214">
        <f>IF(AND(($E25+$C$1)&gt;AP$4,AP$4&gt;=$C$1),'General Inputs'!M$9*$H25,IF(AND(($D25+$C$1)&gt;AP$4,AP$4&gt;=$C$1),'General Inputs'!M$9*$G25,0))+IF(AND(($E25+$C$1)&gt;AP$4,AP$4&gt;=$C$1),'General Inputs'!M$10*$J25,IF(AND(($D25+$C$1)&gt;AP$4,AP$4&gt;=$C$1),'General Inputs'!M$10*$I25,0))</f>
        <v>297.29770175703163</v>
      </c>
      <c r="AQ25" s="214">
        <f>IF(AND(($E25+$C$1)&gt;AQ$4,AQ$4&gt;=$C$1),'General Inputs'!N$9*$H25,IF(AND(($D25+$C$1)&gt;AQ$4,AQ$4&gt;=$C$1),'General Inputs'!N$9*$G25,0))+IF(AND(($E25+$C$1)&gt;AQ$4,AQ$4&gt;=$C$1),'General Inputs'!N$10*$J25,IF(AND(($D25+$C$1)&gt;AQ$4,AQ$4&gt;=$C$1),'General Inputs'!N$10*$I25,0))</f>
        <v>301.7571672833871</v>
      </c>
      <c r="AR25" s="214">
        <f>IF(AND(($E25+$C$1)&gt;AR$4,AR$4&gt;=$C$1),'General Inputs'!O$9*$H25,IF(AND(($D25+$C$1)&gt;AR$4,AR$4&gt;=$C$1),'General Inputs'!O$9*$G25,0))+IF(AND(($E25+$C$1)&gt;AR$4,AR$4&gt;=$C$1),'General Inputs'!O$10*$J25,IF(AND(($D25+$C$1)&gt;AR$4,AR$4&gt;=$C$1),'General Inputs'!O$10*$I25,0))</f>
        <v>306.28352479263788</v>
      </c>
      <c r="AS25" s="214">
        <f>IF(AND(($E25+$C$1)&gt;AS$4,AS$4&gt;=$C$1),'General Inputs'!P$9*$H25,IF(AND(($D25+$C$1)&gt;AS$4,AS$4&gt;=$C$1),'General Inputs'!P$9*$G25,0))+IF(AND(($E25+$C$1)&gt;AS$4,AS$4&gt;=$C$1),'General Inputs'!P$10*$J25,IF(AND(($D25+$C$1)&gt;AS$4,AS$4&gt;=$C$1),'General Inputs'!P$10*$I25,0))</f>
        <v>310.8777776645274</v>
      </c>
      <c r="AT25" s="214">
        <f>IF(AND(($E25+$C$1)&gt;AT$4,AT$4&gt;=$C$1),'General Inputs'!Q$9*$H25,IF(AND(($D25+$C$1)&gt;AT$4,AT$4&gt;=$C$1),'General Inputs'!Q$9*$G25,0))+IF(AND(($E25+$C$1)&gt;AT$4,AT$4&gt;=$C$1),'General Inputs'!Q$10*$J25,IF(AND(($D25+$C$1)&gt;AT$4,AT$4&gt;=$C$1),'General Inputs'!Q$10*$I25,0))</f>
        <v>315.54094432949529</v>
      </c>
      <c r="AU25" s="214">
        <f>IF(AND(($E25+$C$1)&gt;AU$4,AU$4&gt;=$C$1),'General Inputs'!R$9*$H25,IF(AND(($D25+$C$1)&gt;AU$4,AU$4&gt;=$C$1),'General Inputs'!R$9*$G25,0))+IF(AND(($E25+$C$1)&gt;AU$4,AU$4&gt;=$C$1),'General Inputs'!R$10*$J25,IF(AND(($D25+$C$1)&gt;AU$4,AU$4&gt;=$C$1),'General Inputs'!R$10*$I25,0))</f>
        <v>320.27405849443767</v>
      </c>
      <c r="AV25" s="214">
        <f>IF(AND(($E25+$C$1)&gt;AV$4,AV$4&gt;=$C$1),'General Inputs'!S$9*$H25,IF(AND(($D25+$C$1)&gt;AV$4,AV$4&gt;=$C$1),'General Inputs'!S$9*$G25,0))+IF(AND(($E25+$C$1)&gt;AV$4,AV$4&gt;=$C$1),'General Inputs'!S$10*$J25,IF(AND(($D25+$C$1)&gt;AV$4,AV$4&gt;=$C$1),'General Inputs'!S$10*$I25,0))</f>
        <v>0</v>
      </c>
      <c r="AW25" s="214">
        <f>IF(AND(($E25+$C$1)&gt;AW$4,AW$4&gt;=$C$1),'General Inputs'!T$9*$H25,IF(AND(($D25+$C$1)&gt;AW$4,AW$4&gt;=$C$1),'General Inputs'!T$9*$G25,0))+IF(AND(($E25+$C$1)&gt;AW$4,AW$4&gt;=$C$1),'General Inputs'!T$10*$J25,IF(AND(($D25+$C$1)&gt;AW$4,AW$4&gt;=$C$1),'General Inputs'!T$10*$I25,0))</f>
        <v>0</v>
      </c>
      <c r="AX25" s="214">
        <f>IF(AND(($E25+$C$1)&gt;AX$4,AX$4&gt;=$C$1),'General Inputs'!U$9*$H25,IF(AND(($D25+$C$1)&gt;AX$4,AX$4&gt;=$C$1),'General Inputs'!U$9*$G25,0))+IF(AND(($E25+$C$1)&gt;AX$4,AX$4&gt;=$C$1),'General Inputs'!U$10*$J25,IF(AND(($D25+$C$1)&gt;AX$4,AX$4&gt;=$C$1),'General Inputs'!U$10*$I25,0))</f>
        <v>0</v>
      </c>
      <c r="AY25" s="214">
        <f>IF(AND(($E25+$C$1)&gt;AY$4,AY$4&gt;=$C$1),'General Inputs'!V$9*$H25,IF(AND(($D25+$C$1)&gt;AY$4,AY$4&gt;=$C$1),'General Inputs'!V$9*$G25,0))+IF(AND(($E25+$C$1)&gt;AY$4,AY$4&gt;=$C$1),'General Inputs'!V$10*$J25,IF(AND(($D25+$C$1)&gt;AY$4,AY$4&gt;=$C$1),'General Inputs'!V$10*$I25,0))</f>
        <v>0</v>
      </c>
      <c r="AZ25" s="214">
        <f>IF(AND(($E25+$C$1)&gt;AZ$4,AZ$4&gt;=$C$1),'General Inputs'!W$9*$H25,IF(AND(($D25+$C$1)&gt;AZ$4,AZ$4&gt;=$C$1),'General Inputs'!W$9*$G25,0))+IF(AND(($E25+$C$1)&gt;AZ$4,AZ$4&gt;=$C$1),'General Inputs'!W$10*$J25,IF(AND(($D25+$C$1)&gt;AZ$4,AZ$4&gt;=$C$1),'General Inputs'!W$10*$I25,0))</f>
        <v>0</v>
      </c>
      <c r="BB25" s="214">
        <f>IF(AND(($E25+$C$1)&gt;BB$4,BB$4&gt;=$C$1),'General Inputs'!D$11*$H25,IF(AND(($D25+$C$1)&gt;BB$4,BB$4&gt;=$C$1),'General Inputs'!D$11*$G25,0))</f>
        <v>64.181361094612058</v>
      </c>
      <c r="BC25" s="214">
        <f>IF(AND(($E25+$C$1)&gt;BC$4,BC$4&gt;=$C$1),'General Inputs'!E$11*$H25,IF(AND(($D25+$C$1)&gt;BC$4,BC$4&gt;=$C$1),'General Inputs'!E$11*$G25,0))</f>
        <v>64.181361094612058</v>
      </c>
      <c r="BD25" s="214">
        <f>IF(AND(($E25+$C$1)&gt;BD$4,BD$4&gt;=$C$1),'General Inputs'!F$11*$H25,IF(AND(($D25+$C$1)&gt;BD$4,BD$4&gt;=$C$1),'General Inputs'!F$11*$G25,0))</f>
        <v>64.181361094612058</v>
      </c>
      <c r="BE25" s="214">
        <f>IF(AND(($E25+$C$1)&gt;BE$4,BE$4&gt;=$C$1),'General Inputs'!G$11*$H25,IF(AND(($D25+$C$1)&gt;BE$4,BE$4&gt;=$C$1),'General Inputs'!G$11*$G25,0))</f>
        <v>64.181361094612058</v>
      </c>
      <c r="BF25" s="214">
        <f>IF(AND(($E25+$C$1)&gt;BF$4,BF$4&gt;=$C$1),'General Inputs'!H$11*$H25,IF(AND(($D25+$C$1)&gt;BF$4,BF$4&gt;=$C$1),'General Inputs'!H$11*$G25,0))</f>
        <v>64.181361094612058</v>
      </c>
      <c r="BG25" s="214">
        <f>IF(AND(($E25+$C$1)&gt;BG$4,BG$4&gt;=$C$1),'General Inputs'!I$11*$H25,IF(AND(($D25+$C$1)&gt;BG$4,BG$4&gt;=$C$1),'General Inputs'!I$11*$G25,0))</f>
        <v>64.181361094612058</v>
      </c>
      <c r="BH25" s="214">
        <f>IF(AND(($E25+$C$1)&gt;BH$4,BH$4&gt;=$C$1),'General Inputs'!J$11*$H25,IF(AND(($D25+$C$1)&gt;BH$4,BH$4&gt;=$C$1),'General Inputs'!J$11*$G25,0))</f>
        <v>64.181361094612058</v>
      </c>
      <c r="BI25" s="214">
        <f>IF(AND(($E25+$C$1)&gt;BI$4,BI$4&gt;=$C$1),'General Inputs'!K$11*$H25,IF(AND(($D25+$C$1)&gt;BI$4,BI$4&gt;=$C$1),'General Inputs'!K$11*$G25,0))</f>
        <v>64.181361094612058</v>
      </c>
      <c r="BJ25" s="214">
        <f>IF(AND(($E25+$C$1)&gt;BJ$4,BJ$4&gt;=$C$1),'General Inputs'!L$11*$H25,IF(AND(($D25+$C$1)&gt;BJ$4,BJ$4&gt;=$C$1),'General Inputs'!L$11*$G25,0))</f>
        <v>64.181361094612058</v>
      </c>
      <c r="BK25" s="214">
        <f>IF(AND(($E25+$C$1)&gt;BK$4,BK$4&gt;=$C$1),'General Inputs'!M$11*$H25,IF(AND(($D25+$C$1)&gt;BK$4,BK$4&gt;=$C$1),'General Inputs'!M$11*$G25,0))</f>
        <v>64.181361094612058</v>
      </c>
      <c r="BL25" s="214">
        <f>IF(AND(($E25+$C$1)&gt;BL$4,BL$4&gt;=$C$1),'General Inputs'!N$11*$H25,IF(AND(($D25+$C$1)&gt;BL$4,BL$4&gt;=$C$1),'General Inputs'!N$11*$G25,0))</f>
        <v>64.181361094612058</v>
      </c>
      <c r="BM25" s="214">
        <f>IF(AND(($E25+$C$1)&gt;BM$4,BM$4&gt;=$C$1),'General Inputs'!O$11*$H25,IF(AND(($D25+$C$1)&gt;BM$4,BM$4&gt;=$C$1),'General Inputs'!O$11*$G25,0))</f>
        <v>64.181361094612058</v>
      </c>
      <c r="BN25" s="214">
        <f>IF(AND(($E25+$C$1)&gt;BN$4,BN$4&gt;=$C$1),'General Inputs'!P$11*$H25,IF(AND(($D25+$C$1)&gt;BN$4,BN$4&gt;=$C$1),'General Inputs'!P$11*$G25,0))</f>
        <v>64.181361094612058</v>
      </c>
      <c r="BO25" s="214">
        <f>IF(AND(($E25+$C$1)&gt;BO$4,BO$4&gt;=$C$1),'General Inputs'!Q$11*$H25,IF(AND(($D25+$C$1)&gt;BO$4,BO$4&gt;=$C$1),'General Inputs'!Q$11*$G25,0))</f>
        <v>64.181361094612058</v>
      </c>
      <c r="BP25" s="214">
        <f>IF(AND(($E25+$C$1)&gt;BP$4,BP$4&gt;=$C$1),'General Inputs'!R$11*$H25,IF(AND(($D25+$C$1)&gt;BP$4,BP$4&gt;=$C$1),'General Inputs'!R$11*$G25,0))</f>
        <v>64.181361094612058</v>
      </c>
      <c r="BQ25" s="214">
        <f>IF(AND(($E25+$C$1)&gt;BQ$4,BQ$4&gt;=$C$1),'General Inputs'!S$11*$H25,IF(AND(($D25+$C$1)&gt;BQ$4,BQ$4&gt;=$C$1),'General Inputs'!S$11*$G25,0))</f>
        <v>0</v>
      </c>
      <c r="BR25" s="214">
        <f>IF(AND(($E25+$C$1)&gt;BR$4,BR$4&gt;=$C$1),'General Inputs'!T$11*$H25,IF(AND(($D25+$C$1)&gt;BR$4,BR$4&gt;=$C$1),'General Inputs'!T$11*$G25,0))</f>
        <v>0</v>
      </c>
      <c r="BS25" s="214">
        <f>IF(AND(($E25+$C$1)&gt;BS$4,BS$4&gt;=$C$1),'General Inputs'!U$11*$H25,IF(AND(($D25+$C$1)&gt;BS$4,BS$4&gt;=$C$1),'General Inputs'!U$11*$G25,0))</f>
        <v>0</v>
      </c>
      <c r="BT25" s="214">
        <f>IF(AND(($E25+$C$1)&gt;BT$4,BT$4&gt;=$C$1),'General Inputs'!V$11*$H25,IF(AND(($D25+$C$1)&gt;BT$4,BT$4&gt;=$C$1),'General Inputs'!V$11*$G25,0))</f>
        <v>0</v>
      </c>
      <c r="BU25" s="214">
        <f>IF(AND(($E25+$C$1)&gt;BU$4,BU$4&gt;=$C$1),'General Inputs'!W$11*$H25,IF(AND(($D25+$C$1)&gt;BU$4,BU$4&gt;=$C$1),'General Inputs'!W$11*$G25,0))</f>
        <v>0</v>
      </c>
      <c r="BW25" s="214">
        <f>IF(AND(($E25+$C$1)&gt;BW$4,BW$4&gt;=$C$1),$H25,IF(AND(($D25+$C$1)&gt;BW$4,BW$4&gt;=$C$1),$G25,0))*IF($A25="Residential",'General Inputs'!D$14,'General Inputs'!D$19)</f>
        <v>755.70940679383591</v>
      </c>
      <c r="BX25" s="214">
        <f>IF(AND(($E25+$C$1)&gt;BX$4,BX$4&gt;=$C$1),$H25,IF(AND(($D25+$C$1)&gt;BX$4,BX$4&gt;=$C$1),$G25,0))*IF($A25="Residential",'General Inputs'!E$14,'General Inputs'!E$19)</f>
        <v>767.04504789574332</v>
      </c>
      <c r="BY25" s="214">
        <f>IF(AND(($E25+$C$1)&gt;BY$4,BY$4&gt;=$C$1),$H25,IF(AND(($D25+$C$1)&gt;BY$4,BY$4&gt;=$C$1),$G25,0))*IF($A25="Residential",'General Inputs'!F$14,'General Inputs'!F$19)</f>
        <v>778.55072361417945</v>
      </c>
      <c r="BZ25" s="214">
        <f>IF(AND(($E25+$C$1)&gt;BZ$4,BZ$4&gt;=$C$1),$H25,IF(AND(($D25+$C$1)&gt;BZ$4,BZ$4&gt;=$C$1),$G25,0))*IF($A25="Residential",'General Inputs'!G$14,'General Inputs'!G$19)</f>
        <v>790.2289844683919</v>
      </c>
      <c r="CA25" s="214">
        <f>IF(AND(($E25+$C$1)&gt;CA$4,CA$4&gt;=$C$1),$H25,IF(AND(($D25+$C$1)&gt;CA$4,CA$4&gt;=$C$1),$G25,0))*IF($A25="Residential",'General Inputs'!H$14,'General Inputs'!H$19)</f>
        <v>802.08241923541777</v>
      </c>
      <c r="CB25" s="214">
        <f>IF(AND(($E25+$C$1)&gt;CB$4,CB$4&gt;=$C$1),$H25,IF(AND(($D25+$C$1)&gt;CB$4,CB$4&gt;=$C$1),$G25,0))*IF($A25="Residential",'General Inputs'!I$14,'General Inputs'!I$19)</f>
        <v>814.11365552394898</v>
      </c>
      <c r="CC25" s="214">
        <f>IF(AND(($E25+$C$1)&gt;CC$4,CC$4&gt;=$C$1),$H25,IF(AND(($D25+$C$1)&gt;CC$4,CC$4&gt;=$C$1),$G25,0))*IF($A25="Residential",'General Inputs'!J$14,'General Inputs'!J$19)</f>
        <v>826.32536035680801</v>
      </c>
      <c r="CD25" s="214">
        <f>IF(AND(($E25+$C$1)&gt;CD$4,CD$4&gt;=$C$1),$H25,IF(AND(($D25+$C$1)&gt;CD$4,CD$4&gt;=$C$1),$G25,0))*IF($A25="Residential",'General Inputs'!K$14,'General Inputs'!K$19)</f>
        <v>838.72024076216007</v>
      </c>
      <c r="CE25" s="214">
        <f>IF(AND(($E25+$C$1)&gt;CE$4,CE$4&gt;=$C$1),$H25,IF(AND(($D25+$C$1)&gt;CE$4,CE$4&gt;=$C$1),$G25,0))*IF($A25="Residential",'General Inputs'!L$14,'General Inputs'!L$19)</f>
        <v>851.30104437359228</v>
      </c>
      <c r="CF25" s="214">
        <f>IF(AND(($E25+$C$1)&gt;CF$4,CF$4&gt;=$C$1),$H25,IF(AND(($D25+$C$1)&gt;CF$4,CF$4&gt;=$C$1),$G25,0))*IF($A25="Residential",'General Inputs'!M$14,'General Inputs'!M$19)</f>
        <v>864.07056003919615</v>
      </c>
      <c r="CG25" s="214">
        <f>IF(AND(($E25+$C$1)&gt;CG$4,CG$4&gt;=$C$1),$H25,IF(AND(($D25+$C$1)&gt;CG$4,CG$4&gt;=$C$1),$G25,0))*IF($A25="Residential",'General Inputs'!N$14,'General Inputs'!N$19)</f>
        <v>877.03161843978398</v>
      </c>
      <c r="CH25" s="214">
        <f>IF(AND(($E25+$C$1)&gt;CH$4,CH$4&gt;=$C$1),$H25,IF(AND(($D25+$C$1)&gt;CH$4,CH$4&gt;=$C$1),$G25,0))*IF($A25="Residential",'General Inputs'!O$14,'General Inputs'!O$19)</f>
        <v>890.18709271638068</v>
      </c>
      <c r="CI25" s="214">
        <f>IF(AND(($E25+$C$1)&gt;CI$4,CI$4&gt;=$C$1),$H25,IF(AND(($D25+$C$1)&gt;CI$4,CI$4&gt;=$C$1),$G25,0))*IF($A25="Residential",'General Inputs'!P$14,'General Inputs'!P$19)</f>
        <v>903.5398991071263</v>
      </c>
      <c r="CJ25" s="214">
        <f>IF(AND(($E25+$C$1)&gt;CJ$4,CJ$4&gt;=$C$1),$H25,IF(AND(($D25+$C$1)&gt;CJ$4,CJ$4&gt;=$C$1),$G25,0))*IF($A25="Residential",'General Inputs'!Q$14,'General Inputs'!Q$19)</f>
        <v>917.092997593733</v>
      </c>
      <c r="CK25" s="214">
        <f>IF(AND(($E25+$C$1)&gt;CK$4,CK$4&gt;=$C$1),$H25,IF(AND(($D25+$C$1)&gt;CK$4,CK$4&gt;=$C$1),$G25,0))*IF($A25="Residential",'General Inputs'!R$14,'General Inputs'!R$19)</f>
        <v>930.84939255763891</v>
      </c>
      <c r="CL25" s="214">
        <f>IF(AND(($E25+$C$1)&gt;CL$4,CL$4&gt;=$C$1),$H25,IF(AND(($D25+$C$1)&gt;CL$4,CL$4&gt;=$C$1),$G25,0))*IF($A25="Residential",'General Inputs'!S$14,'General Inputs'!S$19)</f>
        <v>0</v>
      </c>
      <c r="CM25" s="214">
        <f>IF(AND(($E25+$C$1)&gt;CM$4,CM$4&gt;=$C$1),$H25,IF(AND(($D25+$C$1)&gt;CM$4,CM$4&gt;=$C$1),$G25,0))*IF($A25="Residential",'General Inputs'!T$14,'General Inputs'!T$19)</f>
        <v>0</v>
      </c>
      <c r="CN25" s="214">
        <f>IF(AND(($E25+$C$1)&gt;CN$4,CN$4&gt;=$C$1),$H25,IF(AND(($D25+$C$1)&gt;CN$4,CN$4&gt;=$C$1),$G25,0))*IF($A25="Residential",'General Inputs'!U$14,'General Inputs'!U$19)</f>
        <v>0</v>
      </c>
      <c r="CO25" s="214">
        <f>IF(AND(($E25+$C$1)&gt;CO$4,CO$4&gt;=$C$1),$H25,IF(AND(($D25+$C$1)&gt;CO$4,CO$4&gt;=$C$1),$G25,0))*IF($A25="Residential",'General Inputs'!V$14,'General Inputs'!V$19)</f>
        <v>0</v>
      </c>
      <c r="CP25" s="214">
        <f>IF(AND(($E25+$C$1)&gt;CP$4,CP$4&gt;=$C$1),$H25,IF(AND(($D25+$C$1)&gt;CP$4,CP$4&gt;=$C$1),$G25,0))*IF($A25="Residential",'General Inputs'!W$14,'General Inputs'!W$19)</f>
        <v>0</v>
      </c>
      <c r="CR25" s="214">
        <f>IF(AND(($E25+$C$1)&gt;CR$4,CR$4&gt;=$C$1),$H25,IF(AND(($D25+$C$1)&gt;CR$4,CR$4&gt;=$C$1),$G25,0))*IF($A25="Residential",'General Inputs'!D$15,'General Inputs'!D$19)</f>
        <v>614.7758595660307</v>
      </c>
      <c r="CS25" s="214">
        <f>IF(AND(($E25+$C$1)&gt;CS$4,CS$4&gt;=$C$1),$H25,IF(AND(($D25+$C$1)&gt;CS$4,CS$4&gt;=$C$1),$G25,0))*IF($A25="Residential",'General Inputs'!E$15,'General Inputs'!E$19)</f>
        <v>623.99749745952113</v>
      </c>
      <c r="CT25" s="214">
        <f>IF(AND(($E25+$C$1)&gt;CT$4,CT$4&gt;=$C$1),$H25,IF(AND(($D25+$C$1)&gt;CT$4,CT$4&gt;=$C$1),$G25,0))*IF($A25="Residential",'General Inputs'!F$15,'General Inputs'!F$19)</f>
        <v>633.35745992141381</v>
      </c>
      <c r="CU25" s="214">
        <f>IF(AND(($E25+$C$1)&gt;CU$4,CU$4&gt;=$C$1),$H25,IF(AND(($D25+$C$1)&gt;CU$4,CU$4&gt;=$C$1),$G25,0))*IF($A25="Residential",'General Inputs'!G$15,'General Inputs'!G$19)</f>
        <v>642.85782182023502</v>
      </c>
      <c r="CV25" s="214">
        <f>IF(AND(($E25+$C$1)&gt;CV$4,CV$4&gt;=$C$1),$H25,IF(AND(($D25+$C$1)&gt;CV$4,CV$4&gt;=$C$1),$G25,0))*IF($A25="Residential",'General Inputs'!H$15,'General Inputs'!H$19)</f>
        <v>652.50068914753842</v>
      </c>
      <c r="CW25" s="214">
        <f>IF(AND(($E25+$C$1)&gt;CW$4,CW$4&gt;=$C$1),$H25,IF(AND(($D25+$C$1)&gt;CW$4,CW$4&gt;=$C$1),$G25,0))*IF($A25="Residential",'General Inputs'!I$15,'General Inputs'!I$19)</f>
        <v>662.28819948475143</v>
      </c>
      <c r="CX25" s="214">
        <f>IF(AND(($E25+$C$1)&gt;CX$4,CX$4&gt;=$C$1),$H25,IF(AND(($D25+$C$1)&gt;CX$4,CX$4&gt;=$C$1),$G25,0))*IF($A25="Residential",'General Inputs'!J$15,'General Inputs'!J$19)</f>
        <v>672.22252247702261</v>
      </c>
      <c r="CY25" s="214">
        <f>IF(AND(($E25+$C$1)&gt;CY$4,CY$4&gt;=$C$1),$H25,IF(AND(($D25+$C$1)&gt;CY$4,CY$4&gt;=$C$1),$G25,0))*IF($A25="Residential",'General Inputs'!K$15,'General Inputs'!K$19)</f>
        <v>682.30586031417795</v>
      </c>
      <c r="CZ25" s="214">
        <f>IF(AND(($E25+$C$1)&gt;CZ$4,CZ$4&gt;=$C$1),$H25,IF(AND(($D25+$C$1)&gt;CZ$4,CZ$4&gt;=$C$1),$G25,0))*IF($A25="Residential",'General Inputs'!L$15,'General Inputs'!L$19)</f>
        <v>692.54044821889045</v>
      </c>
      <c r="DA25" s="214">
        <f>IF(AND(($E25+$C$1)&gt;DA$4,DA$4&gt;=$C$1),$H25,IF(AND(($D25+$C$1)&gt;DA$4,DA$4&gt;=$C$1),$G25,0))*IF($A25="Residential",'General Inputs'!M$15,'General Inputs'!M$19)</f>
        <v>702.92855494217383</v>
      </c>
      <c r="DB25" s="214">
        <f>IF(AND(($E25+$C$1)&gt;DB$4,DB$4&gt;=$C$1),$H25,IF(AND(($D25+$C$1)&gt;DB$4,DB$4&gt;=$C$1),$G25,0))*IF($A25="Residential",'General Inputs'!N$15,'General Inputs'!N$19)</f>
        <v>713.47248326630631</v>
      </c>
      <c r="DC25" s="214">
        <f>IF(AND(($E25+$C$1)&gt;DC$4,DC$4&gt;=$C$1),$H25,IF(AND(($D25+$C$1)&gt;DC$4,DC$4&gt;=$C$1),$G25,0))*IF($A25="Residential",'General Inputs'!O$15,'General Inputs'!O$19)</f>
        <v>724.17457051530073</v>
      </c>
      <c r="DD25" s="214">
        <f>IF(AND(($E25+$C$1)&gt;DD$4,DD$4&gt;=$C$1),$H25,IF(AND(($D25+$C$1)&gt;DD$4,DD$4&gt;=$C$1),$G25,0))*IF($A25="Residential",'General Inputs'!P$15,'General Inputs'!P$19)</f>
        <v>735.03718907303028</v>
      </c>
      <c r="DE25" s="214">
        <f>IF(AND(($E25+$C$1)&gt;DE$4,DE$4&gt;=$C$1),$H25,IF(AND(($D25+$C$1)&gt;DE$4,DE$4&gt;=$C$1),$G25,0))*IF($A25="Residential",'General Inputs'!Q$15,'General Inputs'!Q$19)</f>
        <v>746.06274690912574</v>
      </c>
      <c r="DF25" s="214">
        <f>IF(AND(($E25+$C$1)&gt;DF$4,DF$4&gt;=$C$1),$H25,IF(AND(($D25+$C$1)&gt;DF$4,DF$4&gt;=$C$1),$G25,0))*IF($A25="Residential",'General Inputs'!R$15,'General Inputs'!R$19)</f>
        <v>757.25368811276246</v>
      </c>
      <c r="DG25" s="214">
        <f>IF(AND(($E25+$C$1)&gt;DG$4,DG$4&gt;=$C$1),$H25,IF(AND(($D25+$C$1)&gt;DG$4,DG$4&gt;=$C$1),$G25,0))*IF($A25="Residential",'General Inputs'!S$15,'General Inputs'!S$19)</f>
        <v>0</v>
      </c>
      <c r="DH25" s="214">
        <f>IF(AND(($E25+$C$1)&gt;DH$4,DH$4&gt;=$C$1),$H25,IF(AND(($D25+$C$1)&gt;DH$4,DH$4&gt;=$C$1),$G25,0))*IF($A25="Residential",'General Inputs'!T$15,'General Inputs'!T$19)</f>
        <v>0</v>
      </c>
      <c r="DI25" s="214">
        <f>IF(AND(($E25+$C$1)&gt;DI$4,DI$4&gt;=$C$1),$H25,IF(AND(($D25+$C$1)&gt;DI$4,DI$4&gt;=$C$1),$G25,0))*IF($A25="Residential",'General Inputs'!U$15,'General Inputs'!U$19)</f>
        <v>0</v>
      </c>
      <c r="DJ25" s="214">
        <f>IF(AND(($E25+$C$1)&gt;DJ$4,DJ$4&gt;=$C$1),$H25,IF(AND(($D25+$C$1)&gt;DJ$4,DJ$4&gt;=$C$1),$G25,0))*IF($A25="Residential",'General Inputs'!V$15,'General Inputs'!V$19)</f>
        <v>0</v>
      </c>
      <c r="DK25" s="214">
        <f>IF(AND(($E25+$C$1)&gt;DK$4,DK$4&gt;=$C$1),$H25,IF(AND(($D25+$C$1)&gt;DK$4,DK$4&gt;=$C$1),$G25,0))*IF($A25="Residential",'General Inputs'!W$15,'General Inputs'!W$19)</f>
        <v>0</v>
      </c>
      <c r="DM25" s="214">
        <f t="shared" si="200"/>
        <v>0</v>
      </c>
      <c r="DN25" s="214">
        <f t="shared" si="105"/>
        <v>0</v>
      </c>
      <c r="DO25" s="214">
        <f t="shared" si="105"/>
        <v>0</v>
      </c>
      <c r="DP25" s="214">
        <f t="shared" si="105"/>
        <v>0</v>
      </c>
      <c r="DQ25" s="214">
        <f t="shared" si="105"/>
        <v>0</v>
      </c>
      <c r="DR25" s="214">
        <f t="shared" si="105"/>
        <v>0</v>
      </c>
      <c r="DS25" s="214">
        <f t="shared" si="105"/>
        <v>0</v>
      </c>
      <c r="DT25" s="214">
        <f t="shared" si="105"/>
        <v>0</v>
      </c>
      <c r="DU25" s="214">
        <f t="shared" si="105"/>
        <v>0</v>
      </c>
      <c r="DV25" s="214">
        <f t="shared" si="105"/>
        <v>0</v>
      </c>
      <c r="DW25" s="214">
        <f t="shared" si="105"/>
        <v>0</v>
      </c>
      <c r="DZ25" s="650"/>
      <c r="FI25" s="195"/>
      <c r="FJ25" s="195"/>
      <c r="FK25" s="195"/>
      <c r="FL25" s="195"/>
      <c r="FM25" s="195"/>
      <c r="FN25" s="195"/>
      <c r="FO25" s="195"/>
    </row>
    <row r="26" spans="1:171">
      <c r="A26" s="342" t="s">
        <v>12</v>
      </c>
      <c r="B26" s="427" t="str">
        <f>'Portfolio Inputs'!A25</f>
        <v>Air Sealing (Gas Heat)</v>
      </c>
      <c r="C26" s="217">
        <f>IF($C$1=2014,'Portfolio Inputs'!$C25,IF($C$1=2015,'Portfolio Inputs'!$D25,'Portfolio Inputs'!$E25))</f>
        <v>22</v>
      </c>
      <c r="D26" s="504">
        <f>VLOOKUP(B26,Sources!$B$4:$J$104,2,FALSE)</f>
        <v>15</v>
      </c>
      <c r="E26" s="504">
        <f>VLOOKUP(B26,Sources!$B$4:$J$104,3,FALSE)</f>
        <v>0</v>
      </c>
      <c r="G26" s="504">
        <f>IF($C$1=2014,'Portfolio Inputs'!$G25,IF($C$1=2015,'Portfolio Inputs'!$H25,'Portfolio Inputs'!$I25))*EnergyLineLoss</f>
        <v>1316.1129567567566</v>
      </c>
      <c r="H26" s="504"/>
      <c r="I26" s="504">
        <f>IF($C$1=2014,'Portfolio Inputs'!$K25,IF($C$1=2015,'Portfolio Inputs'!$L25,'Portfolio Inputs'!$M25))*PeakLineLoss</f>
        <v>2.0307645116904425</v>
      </c>
      <c r="J26" s="510"/>
      <c r="L26" s="606">
        <f>IF($C$1=2014,'Portfolio Inputs'!$O25,IF($C$1=2015,'Portfolio Inputs'!$P25,'Portfolio Inputs'!$Q25))</f>
        <v>0</v>
      </c>
      <c r="M26" s="518">
        <f>VLOOKUP($B26,Sources!$B$4:$K$104,10,FALSE)</f>
        <v>0</v>
      </c>
      <c r="N26" s="419">
        <f>IF($C$1=2014,'Portfolio Inputs'!$W25,IF($C$1=2015,'Portfolio Inputs'!$X25,'Portfolio Inputs'!$Y25))</f>
        <v>0</v>
      </c>
      <c r="O26" s="419"/>
      <c r="Q26" s="438" t="str">
        <f t="shared" ref="Q26" si="268">IF(OR(AE26&gt;0,AC26&gt;0),Y26/(AC26+AE26),"n/a")</f>
        <v>n/a</v>
      </c>
      <c r="R26" s="439" t="str">
        <f t="shared" ref="R26" si="269">IF(OR(AC26&gt;0,AD26&gt;0),Y26/((AD26+AC26)),"n/a")</f>
        <v>n/a</v>
      </c>
      <c r="S26" s="439" t="str">
        <f t="shared" ref="S26" si="270">IF(OR(AC26&gt;0,AE26&gt;0),(Y26+Z26)/(AC26+AE26),"n/a")</f>
        <v>n/a</v>
      </c>
      <c r="T26" s="439" t="str">
        <f t="shared" ref="T26" si="271">IF(AE26&gt;0,(AD26+AA26)/AE26,"n/a")</f>
        <v>n/a</v>
      </c>
      <c r="U26" s="439" t="str">
        <f t="shared" ref="U26" si="272">IF(AE26&gt;0,(AD26+AB26)/AE26,"n/a")</f>
        <v>n/a</v>
      </c>
      <c r="V26" s="439">
        <f t="shared" ref="V26" si="273">IF((AA26+AC26+AD26)&gt;0,Y26/(AA26+AC26+AD26),"n/a")</f>
        <v>0.46872586226246571</v>
      </c>
      <c r="W26" s="439">
        <f t="shared" ref="W26" si="274">IF((AB26+AC26+AD26)&gt;0,Y26/(AB26+AC26+AD26),"n/a")</f>
        <v>0.57617835477362578</v>
      </c>
      <c r="Y26" s="215">
        <f t="shared" ref="Y26" si="275">AG26+NPV(DiscountRate,AH26:AZ26)</f>
        <v>797.03634716280317</v>
      </c>
      <c r="Z26" s="215">
        <f t="shared" ref="Z26" si="276">BB26+NPV(DiscountRate,BC26:BU26)</f>
        <v>132.88373236193129</v>
      </c>
      <c r="AA26" s="215">
        <f t="shared" ref="AA26" si="277">BW26+NPV(DiscountRate,BX26:CP26)</f>
        <v>1700.4317690422172</v>
      </c>
      <c r="AB26" s="215">
        <f t="shared" ref="AB26" si="278">CR26+NPV(DiscountRate,CS26:DK26)</f>
        <v>1383.3153233879293</v>
      </c>
      <c r="AC26" s="216">
        <f t="shared" ref="AC26" si="279">O26/((1+DiscountRate)^(IF($C$1=2015,1,IF($C$1=2016,2,0))))</f>
        <v>0</v>
      </c>
      <c r="AD26" s="216">
        <f t="shared" ref="AD26" si="280">N26/((1+DiscountRate)^(IF($C$1=2015,1,IF($C$1=2016,2,0))))</f>
        <v>0</v>
      </c>
      <c r="AE26" s="215">
        <f t="shared" ref="AE26" si="281">DM26+NPV(DiscountRate,DN26:DW26)</f>
        <v>0</v>
      </c>
      <c r="AG26" s="214">
        <f>IF(AND(($E26+$C$1)&gt;AG$4,AG$4&gt;=$C$1),'General Inputs'!D$9*$H26,IF(AND(($D26+$C$1)&gt;AG$4,AG$4&gt;=$C$1),'General Inputs'!D$9*$G26,0))+IF(AND(($E26+$C$1)&gt;AG$4,AG$4&gt;=$C$1),'General Inputs'!D$10*$J26,IF(AND(($D26+$C$1)&gt;AG$4,AG$4&gt;=$C$1),'General Inputs'!D$10*$I26,0))</f>
        <v>82.806196701589215</v>
      </c>
      <c r="AH26" s="214">
        <f>IF(AND(($E26+$C$1)&gt;AH$4,AH$4&gt;=$C$1),'General Inputs'!E$9*$H26,IF(AND(($D26+$C$1)&gt;AH$4,AH$4&gt;=$C$1),'General Inputs'!E$9*$G26,0))+IF(AND(($E26+$C$1)&gt;AH$4,AH$4&gt;=$C$1),'General Inputs'!E$10*$J26,IF(AND(($D26+$C$1)&gt;AH$4,AH$4&gt;=$C$1),'General Inputs'!E$10*$I26,0))</f>
        <v>84.048289652113056</v>
      </c>
      <c r="AI26" s="214">
        <f>IF(AND(($E26+$C$1)&gt;AI$4,AI$4&gt;=$C$1),'General Inputs'!F$9*$H26,IF(AND(($D26+$C$1)&gt;AI$4,AI$4&gt;=$C$1),'General Inputs'!F$9*$G26,0))+IF(AND(($E26+$C$1)&gt;AI$4,AI$4&gt;=$C$1),'General Inputs'!F$10*$J26,IF(AND(($D26+$C$1)&gt;AI$4,AI$4&gt;=$C$1),'General Inputs'!F$10*$I26,0))</f>
        <v>85.309013996894748</v>
      </c>
      <c r="AJ26" s="214">
        <f>IF(AND(($E26+$C$1)&gt;AJ$4,AJ$4&gt;=$C$1),'General Inputs'!G$9*$H26,IF(AND(($D26+$C$1)&gt;AJ$4,AJ$4&gt;=$C$1),'General Inputs'!G$9*$G26,0))+IF(AND(($E26+$C$1)&gt;AJ$4,AJ$4&gt;=$C$1),'General Inputs'!G$10*$J26,IF(AND(($D26+$C$1)&gt;AJ$4,AJ$4&gt;=$C$1),'General Inputs'!G$10*$I26,0))</f>
        <v>86.58864920684816</v>
      </c>
      <c r="AK26" s="214">
        <f>IF(AND(($E26+$C$1)&gt;AK$4,AK$4&gt;=$C$1),'General Inputs'!H$9*$H26,IF(AND(($D26+$C$1)&gt;AK$4,AK$4&gt;=$C$1),'General Inputs'!H$9*$G26,0))+IF(AND(($E26+$C$1)&gt;AK$4,AK$4&gt;=$C$1),'General Inputs'!H$10*$J26,IF(AND(($D26+$C$1)&gt;AK$4,AK$4&gt;=$C$1),'General Inputs'!H$10*$I26,0))</f>
        <v>87.887478944950871</v>
      </c>
      <c r="AL26" s="214">
        <f>IF(AND(($E26+$C$1)&gt;AL$4,AL$4&gt;=$C$1),'General Inputs'!I$9*$H26,IF(AND(($D26+$C$1)&gt;AL$4,AL$4&gt;=$C$1),'General Inputs'!I$9*$G26,0))+IF(AND(($E26+$C$1)&gt;AL$4,AL$4&gt;=$C$1),'General Inputs'!I$10*$J26,IF(AND(($D26+$C$1)&gt;AL$4,AL$4&gt;=$C$1),'General Inputs'!I$10*$I26,0))</f>
        <v>89.205791129125117</v>
      </c>
      <c r="AM26" s="214">
        <f>IF(AND(($E26+$C$1)&gt;AM$4,AM$4&gt;=$C$1),'General Inputs'!J$9*$H26,IF(AND(($D26+$C$1)&gt;AM$4,AM$4&gt;=$C$1),'General Inputs'!J$9*$G26,0))+IF(AND(($E26+$C$1)&gt;AM$4,AM$4&gt;=$C$1),'General Inputs'!J$10*$J26,IF(AND(($D26+$C$1)&gt;AM$4,AM$4&gt;=$C$1),'General Inputs'!J$10*$I26,0))</f>
        <v>90.54387799606198</v>
      </c>
      <c r="AN26" s="214">
        <f>IF(AND(($E26+$C$1)&gt;AN$4,AN$4&gt;=$C$1),'General Inputs'!K$9*$H26,IF(AND(($D26+$C$1)&gt;AN$4,AN$4&gt;=$C$1),'General Inputs'!K$9*$G26,0))+IF(AND(($E26+$C$1)&gt;AN$4,AN$4&gt;=$C$1),'General Inputs'!K$10*$J26,IF(AND(($D26+$C$1)&gt;AN$4,AN$4&gt;=$C$1),'General Inputs'!K$10*$I26,0))</f>
        <v>91.902036166002901</v>
      </c>
      <c r="AO26" s="214">
        <f>IF(AND(($E26+$C$1)&gt;AO$4,AO$4&gt;=$C$1),'General Inputs'!L$9*$H26,IF(AND(($D26+$C$1)&gt;AO$4,AO$4&gt;=$C$1),'General Inputs'!L$9*$G26,0))+IF(AND(($E26+$C$1)&gt;AO$4,AO$4&gt;=$C$1),'General Inputs'!L$10*$J26,IF(AND(($D26+$C$1)&gt;AO$4,AO$4&gt;=$C$1),'General Inputs'!L$10*$I26,0))</f>
        <v>93.280566708492941</v>
      </c>
      <c r="AP26" s="214">
        <f>IF(AND(($E26+$C$1)&gt;AP$4,AP$4&gt;=$C$1),'General Inputs'!M$9*$H26,IF(AND(($D26+$C$1)&gt;AP$4,AP$4&gt;=$C$1),'General Inputs'!M$9*$G26,0))+IF(AND(($E26+$C$1)&gt;AP$4,AP$4&gt;=$C$1),'General Inputs'!M$10*$J26,IF(AND(($D26+$C$1)&gt;AP$4,AP$4&gt;=$C$1),'General Inputs'!M$10*$I26,0))</f>
        <v>94.679775209120322</v>
      </c>
      <c r="AQ26" s="214">
        <f>IF(AND(($E26+$C$1)&gt;AQ$4,AQ$4&gt;=$C$1),'General Inputs'!N$9*$H26,IF(AND(($D26+$C$1)&gt;AQ$4,AQ$4&gt;=$C$1),'General Inputs'!N$9*$G26,0))+IF(AND(($E26+$C$1)&gt;AQ$4,AQ$4&gt;=$C$1),'General Inputs'!N$10*$J26,IF(AND(($D26+$C$1)&gt;AQ$4,AQ$4&gt;=$C$1),'General Inputs'!N$10*$I26,0))</f>
        <v>96.099971837257115</v>
      </c>
      <c r="AR26" s="214">
        <f>IF(AND(($E26+$C$1)&gt;AR$4,AR$4&gt;=$C$1),'General Inputs'!O$9*$H26,IF(AND(($D26+$C$1)&gt;AR$4,AR$4&gt;=$C$1),'General Inputs'!O$9*$G26,0))+IF(AND(($E26+$C$1)&gt;AR$4,AR$4&gt;=$C$1),'General Inputs'!O$10*$J26,IF(AND(($D26+$C$1)&gt;AR$4,AR$4&gt;=$C$1),'General Inputs'!O$10*$I26,0))</f>
        <v>97.541471414815959</v>
      </c>
      <c r="AS26" s="214">
        <f>IF(AND(($E26+$C$1)&gt;AS$4,AS$4&gt;=$C$1),'General Inputs'!P$9*$H26,IF(AND(($D26+$C$1)&gt;AS$4,AS$4&gt;=$C$1),'General Inputs'!P$9*$G26,0))+IF(AND(($E26+$C$1)&gt;AS$4,AS$4&gt;=$C$1),'General Inputs'!P$10*$J26,IF(AND(($D26+$C$1)&gt;AS$4,AS$4&gt;=$C$1),'General Inputs'!P$10*$I26,0))</f>
        <v>99.004593486038203</v>
      </c>
      <c r="AT26" s="214">
        <f>IF(AND(($E26+$C$1)&gt;AT$4,AT$4&gt;=$C$1),'General Inputs'!Q$9*$H26,IF(AND(($D26+$C$1)&gt;AT$4,AT$4&gt;=$C$1),'General Inputs'!Q$9*$G26,0))+IF(AND(($E26+$C$1)&gt;AT$4,AT$4&gt;=$C$1),'General Inputs'!Q$10*$J26,IF(AND(($D26+$C$1)&gt;AT$4,AT$4&gt;=$C$1),'General Inputs'!Q$10*$I26,0))</f>
        <v>100.48966238832875</v>
      </c>
      <c r="AU26" s="214">
        <f>IF(AND(($E26+$C$1)&gt;AU$4,AU$4&gt;=$C$1),'General Inputs'!R$9*$H26,IF(AND(($D26+$C$1)&gt;AU$4,AU$4&gt;=$C$1),'General Inputs'!R$9*$G26,0))+IF(AND(($E26+$C$1)&gt;AU$4,AU$4&gt;=$C$1),'General Inputs'!R$10*$J26,IF(AND(($D26+$C$1)&gt;AU$4,AU$4&gt;=$C$1),'General Inputs'!R$10*$I26,0))</f>
        <v>101.99700732415369</v>
      </c>
      <c r="AV26" s="214">
        <f>IF(AND(($E26+$C$1)&gt;AV$4,AV$4&gt;=$C$1),'General Inputs'!S$9*$H26,IF(AND(($D26+$C$1)&gt;AV$4,AV$4&gt;=$C$1),'General Inputs'!S$9*$G26,0))+IF(AND(($E26+$C$1)&gt;AV$4,AV$4&gt;=$C$1),'General Inputs'!S$10*$J26,IF(AND(($D26+$C$1)&gt;AV$4,AV$4&gt;=$C$1),'General Inputs'!S$10*$I26,0))</f>
        <v>0</v>
      </c>
      <c r="AW26" s="214">
        <f>IF(AND(($E26+$C$1)&gt;AW$4,AW$4&gt;=$C$1),'General Inputs'!T$9*$H26,IF(AND(($D26+$C$1)&gt;AW$4,AW$4&gt;=$C$1),'General Inputs'!T$9*$G26,0))+IF(AND(($E26+$C$1)&gt;AW$4,AW$4&gt;=$C$1),'General Inputs'!T$10*$J26,IF(AND(($D26+$C$1)&gt;AW$4,AW$4&gt;=$C$1),'General Inputs'!T$10*$I26,0))</f>
        <v>0</v>
      </c>
      <c r="AX26" s="214">
        <f>IF(AND(($E26+$C$1)&gt;AX$4,AX$4&gt;=$C$1),'General Inputs'!U$9*$H26,IF(AND(($D26+$C$1)&gt;AX$4,AX$4&gt;=$C$1),'General Inputs'!U$9*$G26,0))+IF(AND(($E26+$C$1)&gt;AX$4,AX$4&gt;=$C$1),'General Inputs'!U$10*$J26,IF(AND(($D26+$C$1)&gt;AX$4,AX$4&gt;=$C$1),'General Inputs'!U$10*$I26,0))</f>
        <v>0</v>
      </c>
      <c r="AY26" s="214">
        <f>IF(AND(($E26+$C$1)&gt;AY$4,AY$4&gt;=$C$1),'General Inputs'!V$9*$H26,IF(AND(($D26+$C$1)&gt;AY$4,AY$4&gt;=$C$1),'General Inputs'!V$9*$G26,0))+IF(AND(($E26+$C$1)&gt;AY$4,AY$4&gt;=$C$1),'General Inputs'!V$10*$J26,IF(AND(($D26+$C$1)&gt;AY$4,AY$4&gt;=$C$1),'General Inputs'!V$10*$I26,0))</f>
        <v>0</v>
      </c>
      <c r="AZ26" s="214">
        <f>IF(AND(($E26+$C$1)&gt;AZ$4,AZ$4&gt;=$C$1),'General Inputs'!W$9*$H26,IF(AND(($D26+$C$1)&gt;AZ$4,AZ$4&gt;=$C$1),'General Inputs'!W$9*$G26,0))+IF(AND(($E26+$C$1)&gt;AZ$4,AZ$4&gt;=$C$1),'General Inputs'!W$10*$J26,IF(AND(($D26+$C$1)&gt;AZ$4,AZ$4&gt;=$C$1),'General Inputs'!W$10*$I26,0))</f>
        <v>0</v>
      </c>
      <c r="BB26" s="214">
        <f>IF(AND(($E26+$C$1)&gt;BB$4,BB$4&gt;=$C$1),'General Inputs'!D$11*$H26,IF(AND(($D26+$C$1)&gt;BB$4,BB$4&gt;=$C$1),'General Inputs'!D$11*$G26,0))</f>
        <v>15.003687707027026</v>
      </c>
      <c r="BC26" s="214">
        <f>IF(AND(($E26+$C$1)&gt;BC$4,BC$4&gt;=$C$1),'General Inputs'!E$11*$H26,IF(AND(($D26+$C$1)&gt;BC$4,BC$4&gt;=$C$1),'General Inputs'!E$11*$G26,0))</f>
        <v>15.003687707027026</v>
      </c>
      <c r="BD26" s="214">
        <f>IF(AND(($E26+$C$1)&gt;BD$4,BD$4&gt;=$C$1),'General Inputs'!F$11*$H26,IF(AND(($D26+$C$1)&gt;BD$4,BD$4&gt;=$C$1),'General Inputs'!F$11*$G26,0))</f>
        <v>15.003687707027026</v>
      </c>
      <c r="BE26" s="214">
        <f>IF(AND(($E26+$C$1)&gt;BE$4,BE$4&gt;=$C$1),'General Inputs'!G$11*$H26,IF(AND(($D26+$C$1)&gt;BE$4,BE$4&gt;=$C$1),'General Inputs'!G$11*$G26,0))</f>
        <v>15.003687707027026</v>
      </c>
      <c r="BF26" s="214">
        <f>IF(AND(($E26+$C$1)&gt;BF$4,BF$4&gt;=$C$1),'General Inputs'!H$11*$H26,IF(AND(($D26+$C$1)&gt;BF$4,BF$4&gt;=$C$1),'General Inputs'!H$11*$G26,0))</f>
        <v>15.003687707027026</v>
      </c>
      <c r="BG26" s="214">
        <f>IF(AND(($E26+$C$1)&gt;BG$4,BG$4&gt;=$C$1),'General Inputs'!I$11*$H26,IF(AND(($D26+$C$1)&gt;BG$4,BG$4&gt;=$C$1),'General Inputs'!I$11*$G26,0))</f>
        <v>15.003687707027026</v>
      </c>
      <c r="BH26" s="214">
        <f>IF(AND(($E26+$C$1)&gt;BH$4,BH$4&gt;=$C$1),'General Inputs'!J$11*$H26,IF(AND(($D26+$C$1)&gt;BH$4,BH$4&gt;=$C$1),'General Inputs'!J$11*$G26,0))</f>
        <v>15.003687707027026</v>
      </c>
      <c r="BI26" s="214">
        <f>IF(AND(($E26+$C$1)&gt;BI$4,BI$4&gt;=$C$1),'General Inputs'!K$11*$H26,IF(AND(($D26+$C$1)&gt;BI$4,BI$4&gt;=$C$1),'General Inputs'!K$11*$G26,0))</f>
        <v>15.003687707027026</v>
      </c>
      <c r="BJ26" s="214">
        <f>IF(AND(($E26+$C$1)&gt;BJ$4,BJ$4&gt;=$C$1),'General Inputs'!L$11*$H26,IF(AND(($D26+$C$1)&gt;BJ$4,BJ$4&gt;=$C$1),'General Inputs'!L$11*$G26,0))</f>
        <v>15.003687707027026</v>
      </c>
      <c r="BK26" s="214">
        <f>IF(AND(($E26+$C$1)&gt;BK$4,BK$4&gt;=$C$1),'General Inputs'!M$11*$H26,IF(AND(($D26+$C$1)&gt;BK$4,BK$4&gt;=$C$1),'General Inputs'!M$11*$G26,0))</f>
        <v>15.003687707027026</v>
      </c>
      <c r="BL26" s="214">
        <f>IF(AND(($E26+$C$1)&gt;BL$4,BL$4&gt;=$C$1),'General Inputs'!N$11*$H26,IF(AND(($D26+$C$1)&gt;BL$4,BL$4&gt;=$C$1),'General Inputs'!N$11*$G26,0))</f>
        <v>15.003687707027026</v>
      </c>
      <c r="BM26" s="214">
        <f>IF(AND(($E26+$C$1)&gt;BM$4,BM$4&gt;=$C$1),'General Inputs'!O$11*$H26,IF(AND(($D26+$C$1)&gt;BM$4,BM$4&gt;=$C$1),'General Inputs'!O$11*$G26,0))</f>
        <v>15.003687707027026</v>
      </c>
      <c r="BN26" s="214">
        <f>IF(AND(($E26+$C$1)&gt;BN$4,BN$4&gt;=$C$1),'General Inputs'!P$11*$H26,IF(AND(($D26+$C$1)&gt;BN$4,BN$4&gt;=$C$1),'General Inputs'!P$11*$G26,0))</f>
        <v>15.003687707027026</v>
      </c>
      <c r="BO26" s="214">
        <f>IF(AND(($E26+$C$1)&gt;BO$4,BO$4&gt;=$C$1),'General Inputs'!Q$11*$H26,IF(AND(($D26+$C$1)&gt;BO$4,BO$4&gt;=$C$1),'General Inputs'!Q$11*$G26,0))</f>
        <v>15.003687707027026</v>
      </c>
      <c r="BP26" s="214">
        <f>IF(AND(($E26+$C$1)&gt;BP$4,BP$4&gt;=$C$1),'General Inputs'!R$11*$H26,IF(AND(($D26+$C$1)&gt;BP$4,BP$4&gt;=$C$1),'General Inputs'!R$11*$G26,0))</f>
        <v>15.003687707027026</v>
      </c>
      <c r="BQ26" s="214">
        <f>IF(AND(($E26+$C$1)&gt;BQ$4,BQ$4&gt;=$C$1),'General Inputs'!S$11*$H26,IF(AND(($D26+$C$1)&gt;BQ$4,BQ$4&gt;=$C$1),'General Inputs'!S$11*$G26,0))</f>
        <v>0</v>
      </c>
      <c r="BR26" s="214">
        <f>IF(AND(($E26+$C$1)&gt;BR$4,BR$4&gt;=$C$1),'General Inputs'!T$11*$H26,IF(AND(($D26+$C$1)&gt;BR$4,BR$4&gt;=$C$1),'General Inputs'!T$11*$G26,0))</f>
        <v>0</v>
      </c>
      <c r="BS26" s="214">
        <f>IF(AND(($E26+$C$1)&gt;BS$4,BS$4&gt;=$C$1),'General Inputs'!U$11*$H26,IF(AND(($D26+$C$1)&gt;BS$4,BS$4&gt;=$C$1),'General Inputs'!U$11*$G26,0))</f>
        <v>0</v>
      </c>
      <c r="BT26" s="214">
        <f>IF(AND(($E26+$C$1)&gt;BT$4,BT$4&gt;=$C$1),'General Inputs'!V$11*$H26,IF(AND(($D26+$C$1)&gt;BT$4,BT$4&gt;=$C$1),'General Inputs'!V$11*$G26,0))</f>
        <v>0</v>
      </c>
      <c r="BU26" s="214">
        <f>IF(AND(($E26+$C$1)&gt;BU$4,BU$4&gt;=$C$1),'General Inputs'!W$11*$H26,IF(AND(($D26+$C$1)&gt;BU$4,BU$4&gt;=$C$1),'General Inputs'!W$11*$G26,0))</f>
        <v>0</v>
      </c>
      <c r="BW26" s="214">
        <f>IF(AND(($E26+$C$1)&gt;BW$4,BW$4&gt;=$C$1),$H26,IF(AND(($D26+$C$1)&gt;BW$4,BW$4&gt;=$C$1),$G26,0))*IF($A26="Residential",'General Inputs'!D$14,'General Inputs'!D$19)</f>
        <v>176.66231665113764</v>
      </c>
      <c r="BX26" s="214">
        <f>IF(AND(($E26+$C$1)&gt;BX$4,BX$4&gt;=$C$1),$H26,IF(AND(($D26+$C$1)&gt;BX$4,BX$4&gt;=$C$1),$G26,0))*IF($A26="Residential",'General Inputs'!E$14,'General Inputs'!E$19)</f>
        <v>179.3122514009047</v>
      </c>
      <c r="BY26" s="214">
        <f>IF(AND(($E26+$C$1)&gt;BY$4,BY$4&gt;=$C$1),$H26,IF(AND(($D26+$C$1)&gt;BY$4,BY$4&gt;=$C$1),$G26,0))*IF($A26="Residential",'General Inputs'!F$14,'General Inputs'!F$19)</f>
        <v>182.00193517191823</v>
      </c>
      <c r="BZ26" s="214">
        <f>IF(AND(($E26+$C$1)&gt;BZ$4,BZ$4&gt;=$C$1),$H26,IF(AND(($D26+$C$1)&gt;BZ$4,BZ$4&gt;=$C$1),$G26,0))*IF($A26="Residential",'General Inputs'!G$14,'General Inputs'!G$19)</f>
        <v>184.73196419949696</v>
      </c>
      <c r="CA26" s="214">
        <f>IF(AND(($E26+$C$1)&gt;CA$4,CA$4&gt;=$C$1),$H26,IF(AND(($D26+$C$1)&gt;CA$4,CA$4&gt;=$C$1),$G26,0))*IF($A26="Residential",'General Inputs'!H$14,'General Inputs'!H$19)</f>
        <v>187.5029436624894</v>
      </c>
      <c r="CB26" s="214">
        <f>IF(AND(($E26+$C$1)&gt;CB$4,CB$4&gt;=$C$1),$H26,IF(AND(($D26+$C$1)&gt;CB$4,CB$4&gt;=$C$1),$G26,0))*IF($A26="Residential",'General Inputs'!I$14,'General Inputs'!I$19)</f>
        <v>190.31548781742674</v>
      </c>
      <c r="CC26" s="214">
        <f>IF(AND(($E26+$C$1)&gt;CC$4,CC$4&gt;=$C$1),$H26,IF(AND(($D26+$C$1)&gt;CC$4,CC$4&gt;=$C$1),$G26,0))*IF($A26="Residential",'General Inputs'!J$14,'General Inputs'!J$19)</f>
        <v>193.17022013468809</v>
      </c>
      <c r="CD26" s="214">
        <f>IF(AND(($E26+$C$1)&gt;CD$4,CD$4&gt;=$C$1),$H26,IF(AND(($D26+$C$1)&gt;CD$4,CD$4&gt;=$C$1),$G26,0))*IF($A26="Residential",'General Inputs'!K$14,'General Inputs'!K$19)</f>
        <v>196.06777343670839</v>
      </c>
      <c r="CE26" s="214">
        <f>IF(AND(($E26+$C$1)&gt;CE$4,CE$4&gt;=$C$1),$H26,IF(AND(($D26+$C$1)&gt;CE$4,CE$4&gt;=$C$1),$G26,0))*IF($A26="Residential",'General Inputs'!L$14,'General Inputs'!L$19)</f>
        <v>199.00879003825898</v>
      </c>
      <c r="CF26" s="214">
        <f>IF(AND(($E26+$C$1)&gt;CF$4,CF$4&gt;=$C$1),$H26,IF(AND(($D26+$C$1)&gt;CF$4,CF$4&gt;=$C$1),$G26,0))*IF($A26="Residential",'General Inputs'!M$14,'General Inputs'!M$19)</f>
        <v>201.99392188883286</v>
      </c>
      <c r="CG26" s="214">
        <f>IF(AND(($E26+$C$1)&gt;CG$4,CG$4&gt;=$C$1),$H26,IF(AND(($D26+$C$1)&gt;CG$4,CG$4&gt;=$C$1),$G26,0))*IF($A26="Residential",'General Inputs'!N$14,'General Inputs'!N$19)</f>
        <v>205.02383071716534</v>
      </c>
      <c r="CH26" s="214">
        <f>IF(AND(($E26+$C$1)&gt;CH$4,CH$4&gt;=$C$1),$H26,IF(AND(($D26+$C$1)&gt;CH$4,CH$4&gt;=$C$1),$G26,0))*IF($A26="Residential",'General Inputs'!O$14,'General Inputs'!O$19)</f>
        <v>208.0991881779228</v>
      </c>
      <c r="CI26" s="214">
        <f>IF(AND(($E26+$C$1)&gt;CI$4,CI$4&gt;=$C$1),$H26,IF(AND(($D26+$C$1)&gt;CI$4,CI$4&gt;=$C$1),$G26,0))*IF($A26="Residential",'General Inputs'!P$14,'General Inputs'!P$19)</f>
        <v>211.2206760005916</v>
      </c>
      <c r="CJ26" s="214">
        <f>IF(AND(($E26+$C$1)&gt;CJ$4,CJ$4&gt;=$C$1),$H26,IF(AND(($D26+$C$1)&gt;CJ$4,CJ$4&gt;=$C$1),$G26,0))*IF($A26="Residential",'General Inputs'!Q$14,'General Inputs'!Q$19)</f>
        <v>214.38898614060045</v>
      </c>
      <c r="CK26" s="214">
        <f>IF(AND(($E26+$C$1)&gt;CK$4,CK$4&gt;=$C$1),$H26,IF(AND(($D26+$C$1)&gt;CK$4,CK$4&gt;=$C$1),$G26,0))*IF($A26="Residential",'General Inputs'!R$14,'General Inputs'!R$19)</f>
        <v>217.60482093270943</v>
      </c>
      <c r="CL26" s="214">
        <f>IF(AND(($E26+$C$1)&gt;CL$4,CL$4&gt;=$C$1),$H26,IF(AND(($D26+$C$1)&gt;CL$4,CL$4&gt;=$C$1),$G26,0))*IF($A26="Residential",'General Inputs'!S$14,'General Inputs'!S$19)</f>
        <v>0</v>
      </c>
      <c r="CM26" s="214">
        <f>IF(AND(($E26+$C$1)&gt;CM$4,CM$4&gt;=$C$1),$H26,IF(AND(($D26+$C$1)&gt;CM$4,CM$4&gt;=$C$1),$G26,0))*IF($A26="Residential",'General Inputs'!T$14,'General Inputs'!T$19)</f>
        <v>0</v>
      </c>
      <c r="CN26" s="214">
        <f>IF(AND(($E26+$C$1)&gt;CN$4,CN$4&gt;=$C$1),$H26,IF(AND(($D26+$C$1)&gt;CN$4,CN$4&gt;=$C$1),$G26,0))*IF($A26="Residential",'General Inputs'!U$14,'General Inputs'!U$19)</f>
        <v>0</v>
      </c>
      <c r="CO26" s="214">
        <f>IF(AND(($E26+$C$1)&gt;CO$4,CO$4&gt;=$C$1),$H26,IF(AND(($D26+$C$1)&gt;CO$4,CO$4&gt;=$C$1),$G26,0))*IF($A26="Residential",'General Inputs'!V$14,'General Inputs'!V$19)</f>
        <v>0</v>
      </c>
      <c r="CP26" s="214">
        <f>IF(AND(($E26+$C$1)&gt;CP$4,CP$4&gt;=$C$1),$H26,IF(AND(($D26+$C$1)&gt;CP$4,CP$4&gt;=$C$1),$G26,0))*IF($A26="Residential",'General Inputs'!W$14,'General Inputs'!W$19)</f>
        <v>0</v>
      </c>
      <c r="CR26" s="214">
        <f>IF(AND(($E26+$C$1)&gt;CR$4,CR$4&gt;=$C$1),$H26,IF(AND(($D26+$C$1)&gt;CR$4,CR$4&gt;=$C$1),$G26,0))*IF($A26="Residential",'General Inputs'!D$15,'General Inputs'!D$19)</f>
        <v>143.71625732820681</v>
      </c>
      <c r="CS26" s="214">
        <f>IF(AND(($E26+$C$1)&gt;CS$4,CS$4&gt;=$C$1),$H26,IF(AND(($D26+$C$1)&gt;CS$4,CS$4&gt;=$C$1),$G26,0))*IF($A26="Residential",'General Inputs'!E$15,'General Inputs'!E$19)</f>
        <v>145.8720011881299</v>
      </c>
      <c r="CT26" s="214">
        <f>IF(AND(($E26+$C$1)&gt;CT$4,CT$4&gt;=$C$1),$H26,IF(AND(($D26+$C$1)&gt;CT$4,CT$4&gt;=$C$1),$G26,0))*IF($A26="Residential",'General Inputs'!F$15,'General Inputs'!F$19)</f>
        <v>148.06008120595183</v>
      </c>
      <c r="CU26" s="214">
        <f>IF(AND(($E26+$C$1)&gt;CU$4,CU$4&gt;=$C$1),$H26,IF(AND(($D26+$C$1)&gt;CU$4,CU$4&gt;=$C$1),$G26,0))*IF($A26="Residential",'General Inputs'!G$15,'General Inputs'!G$19)</f>
        <v>150.2809824240411</v>
      </c>
      <c r="CV26" s="214">
        <f>IF(AND(($E26+$C$1)&gt;CV$4,CV$4&gt;=$C$1),$H26,IF(AND(($D26+$C$1)&gt;CV$4,CV$4&gt;=$C$1),$G26,0))*IF($A26="Residential",'General Inputs'!H$15,'General Inputs'!H$19)</f>
        <v>152.53519716040168</v>
      </c>
      <c r="CW26" s="214">
        <f>IF(AND(($E26+$C$1)&gt;CW$4,CW$4&gt;=$C$1),$H26,IF(AND(($D26+$C$1)&gt;CW$4,CW$4&gt;=$C$1),$G26,0))*IF($A26="Residential",'General Inputs'!I$15,'General Inputs'!I$19)</f>
        <v>154.82322511780771</v>
      </c>
      <c r="CX26" s="214">
        <f>IF(AND(($E26+$C$1)&gt;CX$4,CX$4&gt;=$C$1),$H26,IF(AND(($D26+$C$1)&gt;CX$4,CX$4&gt;=$C$1),$G26,0))*IF($A26="Residential",'General Inputs'!J$15,'General Inputs'!J$19)</f>
        <v>157.14557349457479</v>
      </c>
      <c r="CY26" s="214">
        <f>IF(AND(($E26+$C$1)&gt;CY$4,CY$4&gt;=$C$1),$H26,IF(AND(($D26+$C$1)&gt;CY$4,CY$4&gt;=$C$1),$G26,0))*IF($A26="Residential",'General Inputs'!K$15,'General Inputs'!K$19)</f>
        <v>159.50275709699341</v>
      </c>
      <c r="CZ26" s="214">
        <f>IF(AND(($E26+$C$1)&gt;CZ$4,CZ$4&gt;=$C$1),$H26,IF(AND(($D26+$C$1)&gt;CZ$4,CZ$4&gt;=$C$1),$G26,0))*IF($A26="Residential",'General Inputs'!L$15,'General Inputs'!L$19)</f>
        <v>161.89529845344828</v>
      </c>
      <c r="DA26" s="214">
        <f>IF(AND(($E26+$C$1)&gt;DA$4,DA$4&gt;=$C$1),$H26,IF(AND(($D26+$C$1)&gt;DA$4,DA$4&gt;=$C$1),$G26,0))*IF($A26="Residential",'General Inputs'!M$15,'General Inputs'!M$19)</f>
        <v>164.32372793024999</v>
      </c>
      <c r="DB26" s="214">
        <f>IF(AND(($E26+$C$1)&gt;DB$4,DB$4&gt;=$C$1),$H26,IF(AND(($D26+$C$1)&gt;DB$4,DB$4&gt;=$C$1),$G26,0))*IF($A26="Residential",'General Inputs'!N$15,'General Inputs'!N$19)</f>
        <v>166.78858384920372</v>
      </c>
      <c r="DC26" s="214">
        <f>IF(AND(($E26+$C$1)&gt;DC$4,DC$4&gt;=$C$1),$H26,IF(AND(($D26+$C$1)&gt;DC$4,DC$4&gt;=$C$1),$G26,0))*IF($A26="Residential",'General Inputs'!O$15,'General Inputs'!O$19)</f>
        <v>169.29041260694174</v>
      </c>
      <c r="DD26" s="214">
        <f>IF(AND(($E26+$C$1)&gt;DD$4,DD$4&gt;=$C$1),$H26,IF(AND(($D26+$C$1)&gt;DD$4,DD$4&gt;=$C$1),$G26,0))*IF($A26="Residential",'General Inputs'!P$15,'General Inputs'!P$19)</f>
        <v>171.82976879604587</v>
      </c>
      <c r="DE26" s="214">
        <f>IF(AND(($E26+$C$1)&gt;DE$4,DE$4&gt;=$C$1),$H26,IF(AND(($D26+$C$1)&gt;DE$4,DE$4&gt;=$C$1),$G26,0))*IF($A26="Residential",'General Inputs'!Q$15,'General Inputs'!Q$19)</f>
        <v>174.40721532798656</v>
      </c>
      <c r="DF26" s="214">
        <f>IF(AND(($E26+$C$1)&gt;DF$4,DF$4&gt;=$C$1),$H26,IF(AND(($D26+$C$1)&gt;DF$4,DF$4&gt;=$C$1),$G26,0))*IF($A26="Residential",'General Inputs'!R$15,'General Inputs'!R$19)</f>
        <v>177.02332355790634</v>
      </c>
      <c r="DG26" s="214">
        <f>IF(AND(($E26+$C$1)&gt;DG$4,DG$4&gt;=$C$1),$H26,IF(AND(($D26+$C$1)&gt;DG$4,DG$4&gt;=$C$1),$G26,0))*IF($A26="Residential",'General Inputs'!S$15,'General Inputs'!S$19)</f>
        <v>0</v>
      </c>
      <c r="DH26" s="214">
        <f>IF(AND(($E26+$C$1)&gt;DH$4,DH$4&gt;=$C$1),$H26,IF(AND(($D26+$C$1)&gt;DH$4,DH$4&gt;=$C$1),$G26,0))*IF($A26="Residential",'General Inputs'!T$15,'General Inputs'!T$19)</f>
        <v>0</v>
      </c>
      <c r="DI26" s="214">
        <f>IF(AND(($E26+$C$1)&gt;DI$4,DI$4&gt;=$C$1),$H26,IF(AND(($D26+$C$1)&gt;DI$4,DI$4&gt;=$C$1),$G26,0))*IF($A26="Residential",'General Inputs'!U$15,'General Inputs'!U$19)</f>
        <v>0</v>
      </c>
      <c r="DJ26" s="214">
        <f>IF(AND(($E26+$C$1)&gt;DJ$4,DJ$4&gt;=$C$1),$H26,IF(AND(($D26+$C$1)&gt;DJ$4,DJ$4&gt;=$C$1),$G26,0))*IF($A26="Residential",'General Inputs'!V$15,'General Inputs'!V$19)</f>
        <v>0</v>
      </c>
      <c r="DK26" s="214">
        <f>IF(AND(($E26+$C$1)&gt;DK$4,DK$4&gt;=$C$1),$H26,IF(AND(($D26+$C$1)&gt;DK$4,DK$4&gt;=$C$1),$G26,0))*IF($A26="Residential",'General Inputs'!W$15,'General Inputs'!W$19)</f>
        <v>0</v>
      </c>
      <c r="DM26" s="214">
        <f t="shared" si="200"/>
        <v>0</v>
      </c>
      <c r="DN26" s="214">
        <f t="shared" si="105"/>
        <v>0</v>
      </c>
      <c r="DO26" s="214">
        <f t="shared" si="105"/>
        <v>0</v>
      </c>
      <c r="DP26" s="214">
        <f t="shared" si="105"/>
        <v>0</v>
      </c>
      <c r="DQ26" s="214">
        <f t="shared" si="105"/>
        <v>0</v>
      </c>
      <c r="DR26" s="214">
        <f t="shared" si="105"/>
        <v>0</v>
      </c>
      <c r="DS26" s="214">
        <f t="shared" si="105"/>
        <v>0</v>
      </c>
      <c r="DT26" s="214">
        <f t="shared" si="105"/>
        <v>0</v>
      </c>
      <c r="DU26" s="214">
        <f t="shared" si="105"/>
        <v>0</v>
      </c>
      <c r="DV26" s="214">
        <f t="shared" si="105"/>
        <v>0</v>
      </c>
      <c r="DW26" s="214">
        <f t="shared" si="105"/>
        <v>0</v>
      </c>
      <c r="DZ26" s="650"/>
      <c r="FI26" s="195"/>
      <c r="FJ26" s="195"/>
      <c r="FK26" s="195"/>
      <c r="FL26" s="195"/>
      <c r="FM26" s="195"/>
      <c r="FN26" s="195"/>
      <c r="FO26" s="195"/>
    </row>
    <row r="27" spans="1:171">
      <c r="A27" s="342" t="s">
        <v>12</v>
      </c>
      <c r="B27" s="427" t="str">
        <f>'Portfolio Inputs'!A26</f>
        <v>CFL</v>
      </c>
      <c r="C27" s="217">
        <f>IF($C$1=2014,'Portfolio Inputs'!$C26,IF($C$1=2015,'Portfolio Inputs'!$D26,'Portfolio Inputs'!$E26))</f>
        <v>104</v>
      </c>
      <c r="D27" s="504">
        <f>VLOOKUP(B27,Sources!$B$4:$J$104,2,FALSE)</f>
        <v>5</v>
      </c>
      <c r="E27" s="504">
        <f>VLOOKUP(B27,Sources!$B$4:$J$104,3,FALSE)</f>
        <v>0</v>
      </c>
      <c r="G27" s="504">
        <f>IF($C$1=2014,'Portfolio Inputs'!$G26,IF($C$1=2015,'Portfolio Inputs'!$H26,'Portfolio Inputs'!$I26))*EnergyLineLoss</f>
        <v>3337.8622252559999</v>
      </c>
      <c r="H27" s="504"/>
      <c r="I27" s="504">
        <f>IF($C$1=2014,'Portfolio Inputs'!$K26,IF($C$1=2015,'Portfolio Inputs'!$L26,'Portfolio Inputs'!$M26))*PeakLineLoss</f>
        <v>0.30324594783599995</v>
      </c>
      <c r="J27" s="510"/>
      <c r="L27" s="606">
        <f>IF($C$1=2014,'Portfolio Inputs'!$O26,IF($C$1=2015,'Portfolio Inputs'!$P26,'Portfolio Inputs'!$Q26))</f>
        <v>0</v>
      </c>
      <c r="M27" s="518">
        <f>VLOOKUP($B27,Sources!$B$4:$K$104,10,FALSE)</f>
        <v>0</v>
      </c>
      <c r="N27" s="419">
        <f>IF($C$1=2014,'Portfolio Inputs'!$W26,IF($C$1=2015,'Portfolio Inputs'!$X26,'Portfolio Inputs'!$Y26))</f>
        <v>0</v>
      </c>
      <c r="O27" s="419"/>
      <c r="Q27" s="438" t="str">
        <f t="shared" si="261"/>
        <v>n/a</v>
      </c>
      <c r="R27" s="439" t="str">
        <f t="shared" si="262"/>
        <v>n/a</v>
      </c>
      <c r="S27" s="439" t="str">
        <f t="shared" si="263"/>
        <v>n/a</v>
      </c>
      <c r="T27" s="439" t="str">
        <f t="shared" si="264"/>
        <v>n/a</v>
      </c>
      <c r="U27" s="439" t="str">
        <f t="shared" si="265"/>
        <v>n/a</v>
      </c>
      <c r="V27" s="439">
        <f t="shared" si="266"/>
        <v>0.30673139843962099</v>
      </c>
      <c r="W27" s="439">
        <f t="shared" si="267"/>
        <v>0.37704766632098535</v>
      </c>
      <c r="Y27" s="215">
        <f t="shared" si="29"/>
        <v>600.50594112457259</v>
      </c>
      <c r="Z27" s="215">
        <f t="shared" si="30"/>
        <v>161.7624346437164</v>
      </c>
      <c r="AA27" s="215">
        <f t="shared" si="31"/>
        <v>1957.7582998656726</v>
      </c>
      <c r="AB27" s="215">
        <f t="shared" si="32"/>
        <v>1592.652586830638</v>
      </c>
      <c r="AC27" s="216">
        <f t="shared" si="33"/>
        <v>0</v>
      </c>
      <c r="AD27" s="216">
        <f t="shared" si="34"/>
        <v>0</v>
      </c>
      <c r="AE27" s="215">
        <f t="shared" si="35"/>
        <v>0</v>
      </c>
      <c r="AG27" s="214">
        <f>IF(AND(($E27+$C$1)&gt;AG$4,AG$4&gt;=$C$1),'General Inputs'!D$9*$H27,IF(AND(($D27+$C$1)&gt;AG$4,AG$4&gt;=$C$1),'General Inputs'!D$9*$G27,0))+IF(AND(($E27+$C$1)&gt;AG$4,AG$4&gt;=$C$1),'General Inputs'!D$10*$J27,IF(AND(($D27+$C$1)&gt;AG$4,AG$4&gt;=$C$1),'General Inputs'!D$10*$I27,0))</f>
        <v>137.42868719148274</v>
      </c>
      <c r="AH27" s="214">
        <f>IF(AND(($E27+$C$1)&gt;AH$4,AH$4&gt;=$C$1),'General Inputs'!E$9*$H27,IF(AND(($D27+$C$1)&gt;AH$4,AH$4&gt;=$C$1),'General Inputs'!E$9*$G27,0))+IF(AND(($E27+$C$1)&gt;AH$4,AH$4&gt;=$C$1),'General Inputs'!E$10*$J27,IF(AND(($D27+$C$1)&gt;AH$4,AH$4&gt;=$C$1),'General Inputs'!E$10*$I27,0))</f>
        <v>139.49011749935497</v>
      </c>
      <c r="AI27" s="214">
        <f>IF(AND(($E27+$C$1)&gt;AI$4,AI$4&gt;=$C$1),'General Inputs'!F$9*$H27,IF(AND(($D27+$C$1)&gt;AI$4,AI$4&gt;=$C$1),'General Inputs'!F$9*$G27,0))+IF(AND(($E27+$C$1)&gt;AI$4,AI$4&gt;=$C$1),'General Inputs'!F$10*$J27,IF(AND(($D27+$C$1)&gt;AI$4,AI$4&gt;=$C$1),'General Inputs'!F$10*$I27,0))</f>
        <v>141.58246926184526</v>
      </c>
      <c r="AJ27" s="214">
        <f>IF(AND(($E27+$C$1)&gt;AJ$4,AJ$4&gt;=$C$1),'General Inputs'!G$9*$H27,IF(AND(($D27+$C$1)&gt;AJ$4,AJ$4&gt;=$C$1),'General Inputs'!G$9*$G27,0))+IF(AND(($E27+$C$1)&gt;AJ$4,AJ$4&gt;=$C$1),'General Inputs'!G$10*$J27,IF(AND(($D27+$C$1)&gt;AJ$4,AJ$4&gt;=$C$1),'General Inputs'!G$10*$I27,0))</f>
        <v>143.70620630077295</v>
      </c>
      <c r="AK27" s="214">
        <f>IF(AND(($E27+$C$1)&gt;AK$4,AK$4&gt;=$C$1),'General Inputs'!H$9*$H27,IF(AND(($D27+$C$1)&gt;AK$4,AK$4&gt;=$C$1),'General Inputs'!H$9*$G27,0))+IF(AND(($E27+$C$1)&gt;AK$4,AK$4&gt;=$C$1),'General Inputs'!H$10*$J27,IF(AND(($D27+$C$1)&gt;AK$4,AK$4&gt;=$C$1),'General Inputs'!H$10*$I27,0))</f>
        <v>145.86179939528452</v>
      </c>
      <c r="AL27" s="214">
        <f>IF(AND(($E27+$C$1)&gt;AL$4,AL$4&gt;=$C$1),'General Inputs'!I$9*$H27,IF(AND(($D27+$C$1)&gt;AL$4,AL$4&gt;=$C$1),'General Inputs'!I$9*$G27,0))+IF(AND(($E27+$C$1)&gt;AL$4,AL$4&gt;=$C$1),'General Inputs'!I$10*$J27,IF(AND(($D27+$C$1)&gt;AL$4,AL$4&gt;=$C$1),'General Inputs'!I$10*$I27,0))</f>
        <v>0</v>
      </c>
      <c r="AM27" s="214">
        <f>IF(AND(($E27+$C$1)&gt;AM$4,AM$4&gt;=$C$1),'General Inputs'!J$9*$H27,IF(AND(($D27+$C$1)&gt;AM$4,AM$4&gt;=$C$1),'General Inputs'!J$9*$G27,0))+IF(AND(($E27+$C$1)&gt;AM$4,AM$4&gt;=$C$1),'General Inputs'!J$10*$J27,IF(AND(($D27+$C$1)&gt;AM$4,AM$4&gt;=$C$1),'General Inputs'!J$10*$I27,0))</f>
        <v>0</v>
      </c>
      <c r="AN27" s="214">
        <f>IF(AND(($E27+$C$1)&gt;AN$4,AN$4&gt;=$C$1),'General Inputs'!K$9*$H27,IF(AND(($D27+$C$1)&gt;AN$4,AN$4&gt;=$C$1),'General Inputs'!K$9*$G27,0))+IF(AND(($E27+$C$1)&gt;AN$4,AN$4&gt;=$C$1),'General Inputs'!K$10*$J27,IF(AND(($D27+$C$1)&gt;AN$4,AN$4&gt;=$C$1),'General Inputs'!K$10*$I27,0))</f>
        <v>0</v>
      </c>
      <c r="AO27" s="214">
        <f>IF(AND(($E27+$C$1)&gt;AO$4,AO$4&gt;=$C$1),'General Inputs'!L$9*$H27,IF(AND(($D27+$C$1)&gt;AO$4,AO$4&gt;=$C$1),'General Inputs'!L$9*$G27,0))+IF(AND(($E27+$C$1)&gt;AO$4,AO$4&gt;=$C$1),'General Inputs'!L$10*$J27,IF(AND(($D27+$C$1)&gt;AO$4,AO$4&gt;=$C$1),'General Inputs'!L$10*$I27,0))</f>
        <v>0</v>
      </c>
      <c r="AP27" s="214">
        <f>IF(AND(($E27+$C$1)&gt;AP$4,AP$4&gt;=$C$1),'General Inputs'!M$9*$H27,IF(AND(($D27+$C$1)&gt;AP$4,AP$4&gt;=$C$1),'General Inputs'!M$9*$G27,0))+IF(AND(($E27+$C$1)&gt;AP$4,AP$4&gt;=$C$1),'General Inputs'!M$10*$J27,IF(AND(($D27+$C$1)&gt;AP$4,AP$4&gt;=$C$1),'General Inputs'!M$10*$I27,0))</f>
        <v>0</v>
      </c>
      <c r="AQ27" s="214">
        <f>IF(AND(($E27+$C$1)&gt;AQ$4,AQ$4&gt;=$C$1),'General Inputs'!N$9*$H27,IF(AND(($D27+$C$1)&gt;AQ$4,AQ$4&gt;=$C$1),'General Inputs'!N$9*$G27,0))+IF(AND(($E27+$C$1)&gt;AQ$4,AQ$4&gt;=$C$1),'General Inputs'!N$10*$J27,IF(AND(($D27+$C$1)&gt;AQ$4,AQ$4&gt;=$C$1),'General Inputs'!N$10*$I27,0))</f>
        <v>0</v>
      </c>
      <c r="AR27" s="214">
        <f>IF(AND(($E27+$C$1)&gt;AR$4,AR$4&gt;=$C$1),'General Inputs'!O$9*$H27,IF(AND(($D27+$C$1)&gt;AR$4,AR$4&gt;=$C$1),'General Inputs'!O$9*$G27,0))+IF(AND(($E27+$C$1)&gt;AR$4,AR$4&gt;=$C$1),'General Inputs'!O$10*$J27,IF(AND(($D27+$C$1)&gt;AR$4,AR$4&gt;=$C$1),'General Inputs'!O$10*$I27,0))</f>
        <v>0</v>
      </c>
      <c r="AS27" s="214">
        <f>IF(AND(($E27+$C$1)&gt;AS$4,AS$4&gt;=$C$1),'General Inputs'!P$9*$H27,IF(AND(($D27+$C$1)&gt;AS$4,AS$4&gt;=$C$1),'General Inputs'!P$9*$G27,0))+IF(AND(($E27+$C$1)&gt;AS$4,AS$4&gt;=$C$1),'General Inputs'!P$10*$J27,IF(AND(($D27+$C$1)&gt;AS$4,AS$4&gt;=$C$1),'General Inputs'!P$10*$I27,0))</f>
        <v>0</v>
      </c>
      <c r="AT27" s="214">
        <f>IF(AND(($E27+$C$1)&gt;AT$4,AT$4&gt;=$C$1),'General Inputs'!Q$9*$H27,IF(AND(($D27+$C$1)&gt;AT$4,AT$4&gt;=$C$1),'General Inputs'!Q$9*$G27,0))+IF(AND(($E27+$C$1)&gt;AT$4,AT$4&gt;=$C$1),'General Inputs'!Q$10*$J27,IF(AND(($D27+$C$1)&gt;AT$4,AT$4&gt;=$C$1),'General Inputs'!Q$10*$I27,0))</f>
        <v>0</v>
      </c>
      <c r="AU27" s="214">
        <f>IF(AND(($E27+$C$1)&gt;AU$4,AU$4&gt;=$C$1),'General Inputs'!R$9*$H27,IF(AND(($D27+$C$1)&gt;AU$4,AU$4&gt;=$C$1),'General Inputs'!R$9*$G27,0))+IF(AND(($E27+$C$1)&gt;AU$4,AU$4&gt;=$C$1),'General Inputs'!R$10*$J27,IF(AND(($D27+$C$1)&gt;AU$4,AU$4&gt;=$C$1),'General Inputs'!R$10*$I27,0))</f>
        <v>0</v>
      </c>
      <c r="AV27" s="214">
        <f>IF(AND(($E27+$C$1)&gt;AV$4,AV$4&gt;=$C$1),'General Inputs'!S$9*$H27,IF(AND(($D27+$C$1)&gt;AV$4,AV$4&gt;=$C$1),'General Inputs'!S$9*$G27,0))+IF(AND(($E27+$C$1)&gt;AV$4,AV$4&gt;=$C$1),'General Inputs'!S$10*$J27,IF(AND(($D27+$C$1)&gt;AV$4,AV$4&gt;=$C$1),'General Inputs'!S$10*$I27,0))</f>
        <v>0</v>
      </c>
      <c r="AW27" s="214">
        <f>IF(AND(($E27+$C$1)&gt;AW$4,AW$4&gt;=$C$1),'General Inputs'!T$9*$H27,IF(AND(($D27+$C$1)&gt;AW$4,AW$4&gt;=$C$1),'General Inputs'!T$9*$G27,0))+IF(AND(($E27+$C$1)&gt;AW$4,AW$4&gt;=$C$1),'General Inputs'!T$10*$J27,IF(AND(($D27+$C$1)&gt;AW$4,AW$4&gt;=$C$1),'General Inputs'!T$10*$I27,0))</f>
        <v>0</v>
      </c>
      <c r="AX27" s="214">
        <f>IF(AND(($E27+$C$1)&gt;AX$4,AX$4&gt;=$C$1),'General Inputs'!U$9*$H27,IF(AND(($D27+$C$1)&gt;AX$4,AX$4&gt;=$C$1),'General Inputs'!U$9*$G27,0))+IF(AND(($E27+$C$1)&gt;AX$4,AX$4&gt;=$C$1),'General Inputs'!U$10*$J27,IF(AND(($D27+$C$1)&gt;AX$4,AX$4&gt;=$C$1),'General Inputs'!U$10*$I27,0))</f>
        <v>0</v>
      </c>
      <c r="AY27" s="214">
        <f>IF(AND(($E27+$C$1)&gt;AY$4,AY$4&gt;=$C$1),'General Inputs'!V$9*$H27,IF(AND(($D27+$C$1)&gt;AY$4,AY$4&gt;=$C$1),'General Inputs'!V$9*$G27,0))+IF(AND(($E27+$C$1)&gt;AY$4,AY$4&gt;=$C$1),'General Inputs'!V$10*$J27,IF(AND(($D27+$C$1)&gt;AY$4,AY$4&gt;=$C$1),'General Inputs'!V$10*$I27,0))</f>
        <v>0</v>
      </c>
      <c r="AZ27" s="214">
        <f>IF(AND(($E27+$C$1)&gt;AZ$4,AZ$4&gt;=$C$1),'General Inputs'!W$9*$H27,IF(AND(($D27+$C$1)&gt;AZ$4,AZ$4&gt;=$C$1),'General Inputs'!W$9*$G27,0))+IF(AND(($E27+$C$1)&gt;AZ$4,AZ$4&gt;=$C$1),'General Inputs'!W$10*$J27,IF(AND(($D27+$C$1)&gt;AZ$4,AZ$4&gt;=$C$1),'General Inputs'!W$10*$I27,0))</f>
        <v>0</v>
      </c>
      <c r="BB27" s="214">
        <f>IF(AND(($E27+$C$1)&gt;BB$4,BB$4&gt;=$C$1),'General Inputs'!D$11*$H27,IF(AND(($D27+$C$1)&gt;BB$4,BB$4&gt;=$C$1),'General Inputs'!D$11*$G27,0))</f>
        <v>38.051629367918402</v>
      </c>
      <c r="BC27" s="214">
        <f>IF(AND(($E27+$C$1)&gt;BC$4,BC$4&gt;=$C$1),'General Inputs'!E$11*$H27,IF(AND(($D27+$C$1)&gt;BC$4,BC$4&gt;=$C$1),'General Inputs'!E$11*$G27,0))</f>
        <v>38.051629367918402</v>
      </c>
      <c r="BD27" s="214">
        <f>IF(AND(($E27+$C$1)&gt;BD$4,BD$4&gt;=$C$1),'General Inputs'!F$11*$H27,IF(AND(($D27+$C$1)&gt;BD$4,BD$4&gt;=$C$1),'General Inputs'!F$11*$G27,0))</f>
        <v>38.051629367918402</v>
      </c>
      <c r="BE27" s="214">
        <f>IF(AND(($E27+$C$1)&gt;BE$4,BE$4&gt;=$C$1),'General Inputs'!G$11*$H27,IF(AND(($D27+$C$1)&gt;BE$4,BE$4&gt;=$C$1),'General Inputs'!G$11*$G27,0))</f>
        <v>38.051629367918402</v>
      </c>
      <c r="BF27" s="214">
        <f>IF(AND(($E27+$C$1)&gt;BF$4,BF$4&gt;=$C$1),'General Inputs'!H$11*$H27,IF(AND(($D27+$C$1)&gt;BF$4,BF$4&gt;=$C$1),'General Inputs'!H$11*$G27,0))</f>
        <v>38.051629367918402</v>
      </c>
      <c r="BG27" s="214">
        <f>IF(AND(($E27+$C$1)&gt;BG$4,BG$4&gt;=$C$1),'General Inputs'!I$11*$H27,IF(AND(($D27+$C$1)&gt;BG$4,BG$4&gt;=$C$1),'General Inputs'!I$11*$G27,0))</f>
        <v>0</v>
      </c>
      <c r="BH27" s="214">
        <f>IF(AND(($E27+$C$1)&gt;BH$4,BH$4&gt;=$C$1),'General Inputs'!J$11*$H27,IF(AND(($D27+$C$1)&gt;BH$4,BH$4&gt;=$C$1),'General Inputs'!J$11*$G27,0))</f>
        <v>0</v>
      </c>
      <c r="BI27" s="214">
        <f>IF(AND(($E27+$C$1)&gt;BI$4,BI$4&gt;=$C$1),'General Inputs'!K$11*$H27,IF(AND(($D27+$C$1)&gt;BI$4,BI$4&gt;=$C$1),'General Inputs'!K$11*$G27,0))</f>
        <v>0</v>
      </c>
      <c r="BJ27" s="214">
        <f>IF(AND(($E27+$C$1)&gt;BJ$4,BJ$4&gt;=$C$1),'General Inputs'!L$11*$H27,IF(AND(($D27+$C$1)&gt;BJ$4,BJ$4&gt;=$C$1),'General Inputs'!L$11*$G27,0))</f>
        <v>0</v>
      </c>
      <c r="BK27" s="214">
        <f>IF(AND(($E27+$C$1)&gt;BK$4,BK$4&gt;=$C$1),'General Inputs'!M$11*$H27,IF(AND(($D27+$C$1)&gt;BK$4,BK$4&gt;=$C$1),'General Inputs'!M$11*$G27,0))</f>
        <v>0</v>
      </c>
      <c r="BL27" s="214">
        <f>IF(AND(($E27+$C$1)&gt;BL$4,BL$4&gt;=$C$1),'General Inputs'!N$11*$H27,IF(AND(($D27+$C$1)&gt;BL$4,BL$4&gt;=$C$1),'General Inputs'!N$11*$G27,0))</f>
        <v>0</v>
      </c>
      <c r="BM27" s="214">
        <f>IF(AND(($E27+$C$1)&gt;BM$4,BM$4&gt;=$C$1),'General Inputs'!O$11*$H27,IF(AND(($D27+$C$1)&gt;BM$4,BM$4&gt;=$C$1),'General Inputs'!O$11*$G27,0))</f>
        <v>0</v>
      </c>
      <c r="BN27" s="214">
        <f>IF(AND(($E27+$C$1)&gt;BN$4,BN$4&gt;=$C$1),'General Inputs'!P$11*$H27,IF(AND(($D27+$C$1)&gt;BN$4,BN$4&gt;=$C$1),'General Inputs'!P$11*$G27,0))</f>
        <v>0</v>
      </c>
      <c r="BO27" s="214">
        <f>IF(AND(($E27+$C$1)&gt;BO$4,BO$4&gt;=$C$1),'General Inputs'!Q$11*$H27,IF(AND(($D27+$C$1)&gt;BO$4,BO$4&gt;=$C$1),'General Inputs'!Q$11*$G27,0))</f>
        <v>0</v>
      </c>
      <c r="BP27" s="214">
        <f>IF(AND(($E27+$C$1)&gt;BP$4,BP$4&gt;=$C$1),'General Inputs'!R$11*$H27,IF(AND(($D27+$C$1)&gt;BP$4,BP$4&gt;=$C$1),'General Inputs'!R$11*$G27,0))</f>
        <v>0</v>
      </c>
      <c r="BQ27" s="214">
        <f>IF(AND(($E27+$C$1)&gt;BQ$4,BQ$4&gt;=$C$1),'General Inputs'!S$11*$H27,IF(AND(($D27+$C$1)&gt;BQ$4,BQ$4&gt;=$C$1),'General Inputs'!S$11*$G27,0))</f>
        <v>0</v>
      </c>
      <c r="BR27" s="214">
        <f>IF(AND(($E27+$C$1)&gt;BR$4,BR$4&gt;=$C$1),'General Inputs'!T$11*$H27,IF(AND(($D27+$C$1)&gt;BR$4,BR$4&gt;=$C$1),'General Inputs'!T$11*$G27,0))</f>
        <v>0</v>
      </c>
      <c r="BS27" s="214">
        <f>IF(AND(($E27+$C$1)&gt;BS$4,BS$4&gt;=$C$1),'General Inputs'!U$11*$H27,IF(AND(($D27+$C$1)&gt;BS$4,BS$4&gt;=$C$1),'General Inputs'!U$11*$G27,0))</f>
        <v>0</v>
      </c>
      <c r="BT27" s="214">
        <f>IF(AND(($E27+$C$1)&gt;BT$4,BT$4&gt;=$C$1),'General Inputs'!V$11*$H27,IF(AND(($D27+$C$1)&gt;BT$4,BT$4&gt;=$C$1),'General Inputs'!V$11*$G27,0))</f>
        <v>0</v>
      </c>
      <c r="BU27" s="214">
        <f>IF(AND(($E27+$C$1)&gt;BU$4,BU$4&gt;=$C$1),'General Inputs'!W$11*$H27,IF(AND(($D27+$C$1)&gt;BU$4,BU$4&gt;=$C$1),'General Inputs'!W$11*$G27,0))</f>
        <v>0</v>
      </c>
      <c r="BW27" s="214">
        <f>IF(AND(($E27+$C$1)&gt;BW$4,BW$4&gt;=$C$1),$H27,IF(AND(($D27+$C$1)&gt;BW$4,BW$4&gt;=$C$1),$G27,0))*IF($A27="Residential",'General Inputs'!D$14,'General Inputs'!D$19)</f>
        <v>448.04244981308983</v>
      </c>
      <c r="BX27" s="214">
        <f>IF(AND(($E27+$C$1)&gt;BX$4,BX$4&gt;=$C$1),$H27,IF(AND(($D27+$C$1)&gt;BX$4,BX$4&gt;=$C$1),$G27,0))*IF($A27="Residential",'General Inputs'!E$14,'General Inputs'!E$19)</f>
        <v>454.76308656028613</v>
      </c>
      <c r="BY27" s="214">
        <f>IF(AND(($E27+$C$1)&gt;BY$4,BY$4&gt;=$C$1),$H27,IF(AND(($D27+$C$1)&gt;BY$4,BY$4&gt;=$C$1),$G27,0))*IF($A27="Residential",'General Inputs'!F$14,'General Inputs'!F$19)</f>
        <v>461.58453285869035</v>
      </c>
      <c r="BZ27" s="214">
        <f>IF(AND(($E27+$C$1)&gt;BZ$4,BZ$4&gt;=$C$1),$H27,IF(AND(($D27+$C$1)&gt;BZ$4,BZ$4&gt;=$C$1),$G27,0))*IF($A27="Residential",'General Inputs'!G$14,'General Inputs'!G$19)</f>
        <v>468.5083008515706</v>
      </c>
      <c r="CA27" s="214">
        <f>IF(AND(($E27+$C$1)&gt;CA$4,CA$4&gt;=$C$1),$H27,IF(AND(($D27+$C$1)&gt;CA$4,CA$4&gt;=$C$1),$G27,0))*IF($A27="Residential",'General Inputs'!H$14,'General Inputs'!H$19)</f>
        <v>475.53592536434411</v>
      </c>
      <c r="CB27" s="214">
        <f>IF(AND(($E27+$C$1)&gt;CB$4,CB$4&gt;=$C$1),$H27,IF(AND(($D27+$C$1)&gt;CB$4,CB$4&gt;=$C$1),$G27,0))*IF($A27="Residential",'General Inputs'!I$14,'General Inputs'!I$19)</f>
        <v>0</v>
      </c>
      <c r="CC27" s="214">
        <f>IF(AND(($E27+$C$1)&gt;CC$4,CC$4&gt;=$C$1),$H27,IF(AND(($D27+$C$1)&gt;CC$4,CC$4&gt;=$C$1),$G27,0))*IF($A27="Residential",'General Inputs'!J$14,'General Inputs'!J$19)</f>
        <v>0</v>
      </c>
      <c r="CD27" s="214">
        <f>IF(AND(($E27+$C$1)&gt;CD$4,CD$4&gt;=$C$1),$H27,IF(AND(($D27+$C$1)&gt;CD$4,CD$4&gt;=$C$1),$G27,0))*IF($A27="Residential",'General Inputs'!K$14,'General Inputs'!K$19)</f>
        <v>0</v>
      </c>
      <c r="CE27" s="214">
        <f>IF(AND(($E27+$C$1)&gt;CE$4,CE$4&gt;=$C$1),$H27,IF(AND(($D27+$C$1)&gt;CE$4,CE$4&gt;=$C$1),$G27,0))*IF($A27="Residential",'General Inputs'!L$14,'General Inputs'!L$19)</f>
        <v>0</v>
      </c>
      <c r="CF27" s="214">
        <f>IF(AND(($E27+$C$1)&gt;CF$4,CF$4&gt;=$C$1),$H27,IF(AND(($D27+$C$1)&gt;CF$4,CF$4&gt;=$C$1),$G27,0))*IF($A27="Residential",'General Inputs'!M$14,'General Inputs'!M$19)</f>
        <v>0</v>
      </c>
      <c r="CG27" s="214">
        <f>IF(AND(($E27+$C$1)&gt;CG$4,CG$4&gt;=$C$1),$H27,IF(AND(($D27+$C$1)&gt;CG$4,CG$4&gt;=$C$1),$G27,0))*IF($A27="Residential",'General Inputs'!N$14,'General Inputs'!N$19)</f>
        <v>0</v>
      </c>
      <c r="CH27" s="214">
        <f>IF(AND(($E27+$C$1)&gt;CH$4,CH$4&gt;=$C$1),$H27,IF(AND(($D27+$C$1)&gt;CH$4,CH$4&gt;=$C$1),$G27,0))*IF($A27="Residential",'General Inputs'!O$14,'General Inputs'!O$19)</f>
        <v>0</v>
      </c>
      <c r="CI27" s="214">
        <f>IF(AND(($E27+$C$1)&gt;CI$4,CI$4&gt;=$C$1),$H27,IF(AND(($D27+$C$1)&gt;CI$4,CI$4&gt;=$C$1),$G27,0))*IF($A27="Residential",'General Inputs'!P$14,'General Inputs'!P$19)</f>
        <v>0</v>
      </c>
      <c r="CJ27" s="214">
        <f>IF(AND(($E27+$C$1)&gt;CJ$4,CJ$4&gt;=$C$1),$H27,IF(AND(($D27+$C$1)&gt;CJ$4,CJ$4&gt;=$C$1),$G27,0))*IF($A27="Residential",'General Inputs'!Q$14,'General Inputs'!Q$19)</f>
        <v>0</v>
      </c>
      <c r="CK27" s="214">
        <f>IF(AND(($E27+$C$1)&gt;CK$4,CK$4&gt;=$C$1),$H27,IF(AND(($D27+$C$1)&gt;CK$4,CK$4&gt;=$C$1),$G27,0))*IF($A27="Residential",'General Inputs'!R$14,'General Inputs'!R$19)</f>
        <v>0</v>
      </c>
      <c r="CL27" s="214">
        <f>IF(AND(($E27+$C$1)&gt;CL$4,CL$4&gt;=$C$1),$H27,IF(AND(($D27+$C$1)&gt;CL$4,CL$4&gt;=$C$1),$G27,0))*IF($A27="Residential",'General Inputs'!S$14,'General Inputs'!S$19)</f>
        <v>0</v>
      </c>
      <c r="CM27" s="214">
        <f>IF(AND(($E27+$C$1)&gt;CM$4,CM$4&gt;=$C$1),$H27,IF(AND(($D27+$C$1)&gt;CM$4,CM$4&gt;=$C$1),$G27,0))*IF($A27="Residential",'General Inputs'!T$14,'General Inputs'!T$19)</f>
        <v>0</v>
      </c>
      <c r="CN27" s="214">
        <f>IF(AND(($E27+$C$1)&gt;CN$4,CN$4&gt;=$C$1),$H27,IF(AND(($D27+$C$1)&gt;CN$4,CN$4&gt;=$C$1),$G27,0))*IF($A27="Residential",'General Inputs'!U$14,'General Inputs'!U$19)</f>
        <v>0</v>
      </c>
      <c r="CO27" s="214">
        <f>IF(AND(($E27+$C$1)&gt;CO$4,CO$4&gt;=$C$1),$H27,IF(AND(($D27+$C$1)&gt;CO$4,CO$4&gt;=$C$1),$G27,0))*IF($A27="Residential",'General Inputs'!V$14,'General Inputs'!V$19)</f>
        <v>0</v>
      </c>
      <c r="CP27" s="214">
        <f>IF(AND(($E27+$C$1)&gt;CP$4,CP$4&gt;=$C$1),$H27,IF(AND(($D27+$C$1)&gt;CP$4,CP$4&gt;=$C$1),$G27,0))*IF($A27="Residential",'General Inputs'!W$14,'General Inputs'!W$19)</f>
        <v>0</v>
      </c>
      <c r="CR27" s="214">
        <f>IF(AND(($E27+$C$1)&gt;CR$4,CR$4&gt;=$C$1),$H27,IF(AND(($D27+$C$1)&gt;CR$4,CR$4&gt;=$C$1),$G27,0))*IF($A27="Residential",'General Inputs'!D$15,'General Inputs'!D$19)</f>
        <v>364.4862426346063</v>
      </c>
      <c r="CS27" s="214">
        <f>IF(AND(($E27+$C$1)&gt;CS$4,CS$4&gt;=$C$1),$H27,IF(AND(($D27+$C$1)&gt;CS$4,CS$4&gt;=$C$1),$G27,0))*IF($A27="Residential",'General Inputs'!E$15,'General Inputs'!E$19)</f>
        <v>369.95353627412533</v>
      </c>
      <c r="CT27" s="214">
        <f>IF(AND(($E27+$C$1)&gt;CT$4,CT$4&gt;=$C$1),$H27,IF(AND(($D27+$C$1)&gt;CT$4,CT$4&gt;=$C$1),$G27,0))*IF($A27="Residential",'General Inputs'!F$15,'General Inputs'!F$19)</f>
        <v>375.50283931823719</v>
      </c>
      <c r="CU27" s="214">
        <f>IF(AND(($E27+$C$1)&gt;CU$4,CU$4&gt;=$C$1),$H27,IF(AND(($D27+$C$1)&gt;CU$4,CU$4&gt;=$C$1),$G27,0))*IF($A27="Residential",'General Inputs'!G$15,'General Inputs'!G$19)</f>
        <v>381.13538190801069</v>
      </c>
      <c r="CV27" s="214">
        <f>IF(AND(($E27+$C$1)&gt;CV$4,CV$4&gt;=$C$1),$H27,IF(AND(($D27+$C$1)&gt;CV$4,CV$4&gt;=$C$1),$G27,0))*IF($A27="Residential",'General Inputs'!H$15,'General Inputs'!H$19)</f>
        <v>386.85241263663085</v>
      </c>
      <c r="CW27" s="214">
        <f>IF(AND(($E27+$C$1)&gt;CW$4,CW$4&gt;=$C$1),$H27,IF(AND(($D27+$C$1)&gt;CW$4,CW$4&gt;=$C$1),$G27,0))*IF($A27="Residential",'General Inputs'!I$15,'General Inputs'!I$19)</f>
        <v>0</v>
      </c>
      <c r="CX27" s="214">
        <f>IF(AND(($E27+$C$1)&gt;CX$4,CX$4&gt;=$C$1),$H27,IF(AND(($D27+$C$1)&gt;CX$4,CX$4&gt;=$C$1),$G27,0))*IF($A27="Residential",'General Inputs'!J$15,'General Inputs'!J$19)</f>
        <v>0</v>
      </c>
      <c r="CY27" s="214">
        <f>IF(AND(($E27+$C$1)&gt;CY$4,CY$4&gt;=$C$1),$H27,IF(AND(($D27+$C$1)&gt;CY$4,CY$4&gt;=$C$1),$G27,0))*IF($A27="Residential",'General Inputs'!K$15,'General Inputs'!K$19)</f>
        <v>0</v>
      </c>
      <c r="CZ27" s="214">
        <f>IF(AND(($E27+$C$1)&gt;CZ$4,CZ$4&gt;=$C$1),$H27,IF(AND(($D27+$C$1)&gt;CZ$4,CZ$4&gt;=$C$1),$G27,0))*IF($A27="Residential",'General Inputs'!L$15,'General Inputs'!L$19)</f>
        <v>0</v>
      </c>
      <c r="DA27" s="214">
        <f>IF(AND(($E27+$C$1)&gt;DA$4,DA$4&gt;=$C$1),$H27,IF(AND(($D27+$C$1)&gt;DA$4,DA$4&gt;=$C$1),$G27,0))*IF($A27="Residential",'General Inputs'!M$15,'General Inputs'!M$19)</f>
        <v>0</v>
      </c>
      <c r="DB27" s="214">
        <f>IF(AND(($E27+$C$1)&gt;DB$4,DB$4&gt;=$C$1),$H27,IF(AND(($D27+$C$1)&gt;DB$4,DB$4&gt;=$C$1),$G27,0))*IF($A27="Residential",'General Inputs'!N$15,'General Inputs'!N$19)</f>
        <v>0</v>
      </c>
      <c r="DC27" s="214">
        <f>IF(AND(($E27+$C$1)&gt;DC$4,DC$4&gt;=$C$1),$H27,IF(AND(($D27+$C$1)&gt;DC$4,DC$4&gt;=$C$1),$G27,0))*IF($A27="Residential",'General Inputs'!O$15,'General Inputs'!O$19)</f>
        <v>0</v>
      </c>
      <c r="DD27" s="214">
        <f>IF(AND(($E27+$C$1)&gt;DD$4,DD$4&gt;=$C$1),$H27,IF(AND(($D27+$C$1)&gt;DD$4,DD$4&gt;=$C$1),$G27,0))*IF($A27="Residential",'General Inputs'!P$15,'General Inputs'!P$19)</f>
        <v>0</v>
      </c>
      <c r="DE27" s="214">
        <f>IF(AND(($E27+$C$1)&gt;DE$4,DE$4&gt;=$C$1),$H27,IF(AND(($D27+$C$1)&gt;DE$4,DE$4&gt;=$C$1),$G27,0))*IF($A27="Residential",'General Inputs'!Q$15,'General Inputs'!Q$19)</f>
        <v>0</v>
      </c>
      <c r="DF27" s="214">
        <f>IF(AND(($E27+$C$1)&gt;DF$4,DF$4&gt;=$C$1),$H27,IF(AND(($D27+$C$1)&gt;DF$4,DF$4&gt;=$C$1),$G27,0))*IF($A27="Residential",'General Inputs'!R$15,'General Inputs'!R$19)</f>
        <v>0</v>
      </c>
      <c r="DG27" s="214">
        <f>IF(AND(($E27+$C$1)&gt;DG$4,DG$4&gt;=$C$1),$H27,IF(AND(($D27+$C$1)&gt;DG$4,DG$4&gt;=$C$1),$G27,0))*IF($A27="Residential",'General Inputs'!S$15,'General Inputs'!S$19)</f>
        <v>0</v>
      </c>
      <c r="DH27" s="214">
        <f>IF(AND(($E27+$C$1)&gt;DH$4,DH$4&gt;=$C$1),$H27,IF(AND(($D27+$C$1)&gt;DH$4,DH$4&gt;=$C$1),$G27,0))*IF($A27="Residential",'General Inputs'!T$15,'General Inputs'!T$19)</f>
        <v>0</v>
      </c>
      <c r="DI27" s="214">
        <f>IF(AND(($E27+$C$1)&gt;DI$4,DI$4&gt;=$C$1),$H27,IF(AND(($D27+$C$1)&gt;DI$4,DI$4&gt;=$C$1),$G27,0))*IF($A27="Residential",'General Inputs'!U$15,'General Inputs'!U$19)</f>
        <v>0</v>
      </c>
      <c r="DJ27" s="214">
        <f>IF(AND(($E27+$C$1)&gt;DJ$4,DJ$4&gt;=$C$1),$H27,IF(AND(($D27+$C$1)&gt;DJ$4,DJ$4&gt;=$C$1),$G27,0))*IF($A27="Residential",'General Inputs'!V$15,'General Inputs'!V$19)</f>
        <v>0</v>
      </c>
      <c r="DK27" s="214">
        <f>IF(AND(($E27+$C$1)&gt;DK$4,DK$4&gt;=$C$1),$H27,IF(AND(($D27+$C$1)&gt;DK$4,DK$4&gt;=$C$1),$G27,0))*IF($A27="Residential",'General Inputs'!W$15,'General Inputs'!W$19)</f>
        <v>0</v>
      </c>
      <c r="DM27" s="214">
        <f t="shared" si="200"/>
        <v>0</v>
      </c>
      <c r="DN27" s="214">
        <f t="shared" si="105"/>
        <v>0</v>
      </c>
      <c r="DO27" s="214">
        <f t="shared" si="105"/>
        <v>0</v>
      </c>
      <c r="DP27" s="214">
        <f t="shared" si="105"/>
        <v>0</v>
      </c>
      <c r="DQ27" s="214">
        <f t="shared" si="105"/>
        <v>0</v>
      </c>
      <c r="DR27" s="214">
        <f t="shared" si="105"/>
        <v>0</v>
      </c>
      <c r="DS27" s="214">
        <f t="shared" si="105"/>
        <v>0</v>
      </c>
      <c r="DT27" s="214">
        <f t="shared" si="105"/>
        <v>0</v>
      </c>
      <c r="DU27" s="214">
        <f t="shared" si="105"/>
        <v>0</v>
      </c>
      <c r="DV27" s="214">
        <f t="shared" si="105"/>
        <v>0</v>
      </c>
      <c r="DW27" s="214">
        <f t="shared" si="105"/>
        <v>0</v>
      </c>
      <c r="DZ27" s="650"/>
      <c r="FI27" s="195"/>
      <c r="FJ27" s="195"/>
      <c r="FK27" s="195"/>
      <c r="FL27" s="195"/>
      <c r="FM27" s="195"/>
      <c r="FN27" s="195"/>
      <c r="FO27" s="195"/>
    </row>
    <row r="28" spans="1:171">
      <c r="A28" s="342" t="s">
        <v>12</v>
      </c>
      <c r="B28" s="427" t="str">
        <f>'Portfolio Inputs'!A27</f>
        <v>Faucet Aerator - Bathroom</v>
      </c>
      <c r="C28" s="217">
        <f>IF($C$1=2014,'Portfolio Inputs'!$C27,IF($C$1=2015,'Portfolio Inputs'!$D27,'Portfolio Inputs'!$E27))</f>
        <v>26</v>
      </c>
      <c r="D28" s="504">
        <f>VLOOKUP(B28,Sources!$B$4:$J$104,2,FALSE)</f>
        <v>9</v>
      </c>
      <c r="E28" s="504">
        <f>VLOOKUP(B28,Sources!$B$4:$J$104,3,FALSE)</f>
        <v>0</v>
      </c>
      <c r="G28" s="504">
        <f>IF($C$1=2014,'Portfolio Inputs'!$G27,IF($C$1=2015,'Portfolio Inputs'!$H27,'Portfolio Inputs'!$I27))*EnergyLineLoss</f>
        <v>1857.9367098970913</v>
      </c>
      <c r="H28" s="504"/>
      <c r="I28" s="504">
        <f>IF($C$1=2014,'Portfolio Inputs'!$K27,IF($C$1=2015,'Portfolio Inputs'!$L27,'Portfolio Inputs'!$M27))*PeakLineLoss</f>
        <v>0.20748531785652796</v>
      </c>
      <c r="J28" s="510"/>
      <c r="L28" s="606">
        <f>IF($C$1=2014,'Portfolio Inputs'!$O27,IF($C$1=2015,'Portfolio Inputs'!$P27,'Portfolio Inputs'!$Q27))</f>
        <v>0</v>
      </c>
      <c r="M28" s="518">
        <f>VLOOKUP($B28,Sources!$B$4:$K$104,10,FALSE)</f>
        <v>0</v>
      </c>
      <c r="N28" s="419">
        <f>IF($C$1=2014,'Portfolio Inputs'!$W27,IF($C$1=2015,'Portfolio Inputs'!$X27,'Portfolio Inputs'!$Y27))</f>
        <v>0</v>
      </c>
      <c r="O28" s="419"/>
      <c r="Q28" s="438" t="str">
        <f t="shared" si="261"/>
        <v>n/a</v>
      </c>
      <c r="R28" s="439" t="str">
        <f t="shared" si="262"/>
        <v>n/a</v>
      </c>
      <c r="S28" s="439" t="str">
        <f t="shared" si="263"/>
        <v>n/a</v>
      </c>
      <c r="T28" s="439" t="str">
        <f t="shared" si="264"/>
        <v>n/a</v>
      </c>
      <c r="U28" s="439" t="str">
        <f t="shared" si="265"/>
        <v>n/a</v>
      </c>
      <c r="V28" s="439">
        <f t="shared" si="266"/>
        <v>0.30905450255113226</v>
      </c>
      <c r="W28" s="439">
        <f t="shared" si="267"/>
        <v>0.3799033276204869</v>
      </c>
      <c r="Y28" s="215">
        <f t="shared" si="29"/>
        <v>533.21578520986304</v>
      </c>
      <c r="Z28" s="215">
        <f t="shared" si="30"/>
        <v>139.11096857789263</v>
      </c>
      <c r="AA28" s="215">
        <f t="shared" si="31"/>
        <v>1725.3131108214284</v>
      </c>
      <c r="AB28" s="215">
        <f t="shared" si="32"/>
        <v>1403.5565009383943</v>
      </c>
      <c r="AC28" s="216">
        <f t="shared" si="33"/>
        <v>0</v>
      </c>
      <c r="AD28" s="216">
        <f t="shared" si="34"/>
        <v>0</v>
      </c>
      <c r="AE28" s="215">
        <f t="shared" si="35"/>
        <v>0</v>
      </c>
      <c r="AG28" s="214">
        <f>IF(AND(($E28+$C$1)&gt;AG$4,AG$4&gt;=$C$1),'General Inputs'!D$9*$H28,IF(AND(($D28+$C$1)&gt;AG$4,AG$4&gt;=$C$1),'General Inputs'!D$9*$G28,0))+IF(AND(($E28+$C$1)&gt;AG$4,AG$4&gt;=$C$1),'General Inputs'!D$10*$J28,IF(AND(($D28+$C$1)&gt;AG$4,AG$4&gt;=$C$1),'General Inputs'!D$10*$I28,0))</f>
        <v>77.075570412700671</v>
      </c>
      <c r="AH28" s="214">
        <f>IF(AND(($E28+$C$1)&gt;AH$4,AH$4&gt;=$C$1),'General Inputs'!E$9*$H28,IF(AND(($D28+$C$1)&gt;AH$4,AH$4&gt;=$C$1),'General Inputs'!E$9*$G28,0))+IF(AND(($E28+$C$1)&gt;AH$4,AH$4&gt;=$C$1),'General Inputs'!E$10*$J28,IF(AND(($D28+$C$1)&gt;AH$4,AH$4&gt;=$C$1),'General Inputs'!E$10*$I28,0))</f>
        <v>78.231703968891182</v>
      </c>
      <c r="AI28" s="214">
        <f>IF(AND(($E28+$C$1)&gt;AI$4,AI$4&gt;=$C$1),'General Inputs'!F$9*$H28,IF(AND(($D28+$C$1)&gt;AI$4,AI$4&gt;=$C$1),'General Inputs'!F$9*$G28,0))+IF(AND(($E28+$C$1)&gt;AI$4,AI$4&gt;=$C$1),'General Inputs'!F$10*$J28,IF(AND(($D28+$C$1)&gt;AI$4,AI$4&gt;=$C$1),'General Inputs'!F$10*$I28,0))</f>
        <v>79.40517952842454</v>
      </c>
      <c r="AJ28" s="214">
        <f>IF(AND(($E28+$C$1)&gt;AJ$4,AJ$4&gt;=$C$1),'General Inputs'!G$9*$H28,IF(AND(($D28+$C$1)&gt;AJ$4,AJ$4&gt;=$C$1),'General Inputs'!G$9*$G28,0))+IF(AND(($E28+$C$1)&gt;AJ$4,AJ$4&gt;=$C$1),'General Inputs'!G$10*$J28,IF(AND(($D28+$C$1)&gt;AJ$4,AJ$4&gt;=$C$1),'General Inputs'!G$10*$I28,0))</f>
        <v>80.596257221350896</v>
      </c>
      <c r="AK28" s="214">
        <f>IF(AND(($E28+$C$1)&gt;AK$4,AK$4&gt;=$C$1),'General Inputs'!H$9*$H28,IF(AND(($D28+$C$1)&gt;AK$4,AK$4&gt;=$C$1),'General Inputs'!H$9*$G28,0))+IF(AND(($E28+$C$1)&gt;AK$4,AK$4&gt;=$C$1),'General Inputs'!H$10*$J28,IF(AND(($D28+$C$1)&gt;AK$4,AK$4&gt;=$C$1),'General Inputs'!H$10*$I28,0))</f>
        <v>81.805201079671164</v>
      </c>
      <c r="AL28" s="214">
        <f>IF(AND(($E28+$C$1)&gt;AL$4,AL$4&gt;=$C$1),'General Inputs'!I$9*$H28,IF(AND(($D28+$C$1)&gt;AL$4,AL$4&gt;=$C$1),'General Inputs'!I$9*$G28,0))+IF(AND(($E28+$C$1)&gt;AL$4,AL$4&gt;=$C$1),'General Inputs'!I$10*$J28,IF(AND(($D28+$C$1)&gt;AL$4,AL$4&gt;=$C$1),'General Inputs'!I$10*$I28,0))</f>
        <v>83.032279095866215</v>
      </c>
      <c r="AM28" s="214">
        <f>IF(AND(($E28+$C$1)&gt;AM$4,AM$4&gt;=$C$1),'General Inputs'!J$9*$H28,IF(AND(($D28+$C$1)&gt;AM$4,AM$4&gt;=$C$1),'General Inputs'!J$9*$G28,0))+IF(AND(($E28+$C$1)&gt;AM$4,AM$4&gt;=$C$1),'General Inputs'!J$10*$J28,IF(AND(($D28+$C$1)&gt;AM$4,AM$4&gt;=$C$1),'General Inputs'!J$10*$I28,0))</f>
        <v>84.277763282304193</v>
      </c>
      <c r="AN28" s="214">
        <f>IF(AND(($E28+$C$1)&gt;AN$4,AN$4&gt;=$C$1),'General Inputs'!K$9*$H28,IF(AND(($D28+$C$1)&gt;AN$4,AN$4&gt;=$C$1),'General Inputs'!K$9*$G28,0))+IF(AND(($E28+$C$1)&gt;AN$4,AN$4&gt;=$C$1),'General Inputs'!K$10*$J28,IF(AND(($D28+$C$1)&gt;AN$4,AN$4&gt;=$C$1),'General Inputs'!K$10*$I28,0))</f>
        <v>85.541929731538744</v>
      </c>
      <c r="AO28" s="214">
        <f>IF(AND(($E28+$C$1)&gt;AO$4,AO$4&gt;=$C$1),'General Inputs'!L$9*$H28,IF(AND(($D28+$C$1)&gt;AO$4,AO$4&gt;=$C$1),'General Inputs'!L$9*$G28,0))+IF(AND(($E28+$C$1)&gt;AO$4,AO$4&gt;=$C$1),'General Inputs'!L$10*$J28,IF(AND(($D28+$C$1)&gt;AO$4,AO$4&gt;=$C$1),'General Inputs'!L$10*$I28,0))</f>
        <v>86.825058677511819</v>
      </c>
      <c r="AP28" s="214">
        <f>IF(AND(($E28+$C$1)&gt;AP$4,AP$4&gt;=$C$1),'General Inputs'!M$9*$H28,IF(AND(($D28+$C$1)&gt;AP$4,AP$4&gt;=$C$1),'General Inputs'!M$9*$G28,0))+IF(AND(($E28+$C$1)&gt;AP$4,AP$4&gt;=$C$1),'General Inputs'!M$10*$J28,IF(AND(($D28+$C$1)&gt;AP$4,AP$4&gt;=$C$1),'General Inputs'!M$10*$I28,0))</f>
        <v>0</v>
      </c>
      <c r="AQ28" s="214">
        <f>IF(AND(($E28+$C$1)&gt;AQ$4,AQ$4&gt;=$C$1),'General Inputs'!N$9*$H28,IF(AND(($D28+$C$1)&gt;AQ$4,AQ$4&gt;=$C$1),'General Inputs'!N$9*$G28,0))+IF(AND(($E28+$C$1)&gt;AQ$4,AQ$4&gt;=$C$1),'General Inputs'!N$10*$J28,IF(AND(($D28+$C$1)&gt;AQ$4,AQ$4&gt;=$C$1),'General Inputs'!N$10*$I28,0))</f>
        <v>0</v>
      </c>
      <c r="AR28" s="214">
        <f>IF(AND(($E28+$C$1)&gt;AR$4,AR$4&gt;=$C$1),'General Inputs'!O$9*$H28,IF(AND(($D28+$C$1)&gt;AR$4,AR$4&gt;=$C$1),'General Inputs'!O$9*$G28,0))+IF(AND(($E28+$C$1)&gt;AR$4,AR$4&gt;=$C$1),'General Inputs'!O$10*$J28,IF(AND(($D28+$C$1)&gt;AR$4,AR$4&gt;=$C$1),'General Inputs'!O$10*$I28,0))</f>
        <v>0</v>
      </c>
      <c r="AS28" s="214">
        <f>IF(AND(($E28+$C$1)&gt;AS$4,AS$4&gt;=$C$1),'General Inputs'!P$9*$H28,IF(AND(($D28+$C$1)&gt;AS$4,AS$4&gt;=$C$1),'General Inputs'!P$9*$G28,0))+IF(AND(($E28+$C$1)&gt;AS$4,AS$4&gt;=$C$1),'General Inputs'!P$10*$J28,IF(AND(($D28+$C$1)&gt;AS$4,AS$4&gt;=$C$1),'General Inputs'!P$10*$I28,0))</f>
        <v>0</v>
      </c>
      <c r="AT28" s="214">
        <f>IF(AND(($E28+$C$1)&gt;AT$4,AT$4&gt;=$C$1),'General Inputs'!Q$9*$H28,IF(AND(($D28+$C$1)&gt;AT$4,AT$4&gt;=$C$1),'General Inputs'!Q$9*$G28,0))+IF(AND(($E28+$C$1)&gt;AT$4,AT$4&gt;=$C$1),'General Inputs'!Q$10*$J28,IF(AND(($D28+$C$1)&gt;AT$4,AT$4&gt;=$C$1),'General Inputs'!Q$10*$I28,0))</f>
        <v>0</v>
      </c>
      <c r="AU28" s="214">
        <f>IF(AND(($E28+$C$1)&gt;AU$4,AU$4&gt;=$C$1),'General Inputs'!R$9*$H28,IF(AND(($D28+$C$1)&gt;AU$4,AU$4&gt;=$C$1),'General Inputs'!R$9*$G28,0))+IF(AND(($E28+$C$1)&gt;AU$4,AU$4&gt;=$C$1),'General Inputs'!R$10*$J28,IF(AND(($D28+$C$1)&gt;AU$4,AU$4&gt;=$C$1),'General Inputs'!R$10*$I28,0))</f>
        <v>0</v>
      </c>
      <c r="AV28" s="214">
        <f>IF(AND(($E28+$C$1)&gt;AV$4,AV$4&gt;=$C$1),'General Inputs'!S$9*$H28,IF(AND(($D28+$C$1)&gt;AV$4,AV$4&gt;=$C$1),'General Inputs'!S$9*$G28,0))+IF(AND(($E28+$C$1)&gt;AV$4,AV$4&gt;=$C$1),'General Inputs'!S$10*$J28,IF(AND(($D28+$C$1)&gt;AV$4,AV$4&gt;=$C$1),'General Inputs'!S$10*$I28,0))</f>
        <v>0</v>
      </c>
      <c r="AW28" s="214">
        <f>IF(AND(($E28+$C$1)&gt;AW$4,AW$4&gt;=$C$1),'General Inputs'!T$9*$H28,IF(AND(($D28+$C$1)&gt;AW$4,AW$4&gt;=$C$1),'General Inputs'!T$9*$G28,0))+IF(AND(($E28+$C$1)&gt;AW$4,AW$4&gt;=$C$1),'General Inputs'!T$10*$J28,IF(AND(($D28+$C$1)&gt;AW$4,AW$4&gt;=$C$1),'General Inputs'!T$10*$I28,0))</f>
        <v>0</v>
      </c>
      <c r="AX28" s="214">
        <f>IF(AND(($E28+$C$1)&gt;AX$4,AX$4&gt;=$C$1),'General Inputs'!U$9*$H28,IF(AND(($D28+$C$1)&gt;AX$4,AX$4&gt;=$C$1),'General Inputs'!U$9*$G28,0))+IF(AND(($E28+$C$1)&gt;AX$4,AX$4&gt;=$C$1),'General Inputs'!U$10*$J28,IF(AND(($D28+$C$1)&gt;AX$4,AX$4&gt;=$C$1),'General Inputs'!U$10*$I28,0))</f>
        <v>0</v>
      </c>
      <c r="AY28" s="214">
        <f>IF(AND(($E28+$C$1)&gt;AY$4,AY$4&gt;=$C$1),'General Inputs'!V$9*$H28,IF(AND(($D28+$C$1)&gt;AY$4,AY$4&gt;=$C$1),'General Inputs'!V$9*$G28,0))+IF(AND(($E28+$C$1)&gt;AY$4,AY$4&gt;=$C$1),'General Inputs'!V$10*$J28,IF(AND(($D28+$C$1)&gt;AY$4,AY$4&gt;=$C$1),'General Inputs'!V$10*$I28,0))</f>
        <v>0</v>
      </c>
      <c r="AZ28" s="214">
        <f>IF(AND(($E28+$C$1)&gt;AZ$4,AZ$4&gt;=$C$1),'General Inputs'!W$9*$H28,IF(AND(($D28+$C$1)&gt;AZ$4,AZ$4&gt;=$C$1),'General Inputs'!W$9*$G28,0))+IF(AND(($E28+$C$1)&gt;AZ$4,AZ$4&gt;=$C$1),'General Inputs'!W$10*$J28,IF(AND(($D28+$C$1)&gt;AZ$4,AZ$4&gt;=$C$1),'General Inputs'!W$10*$I28,0))</f>
        <v>0</v>
      </c>
      <c r="BB28" s="214">
        <f>IF(AND(($E28+$C$1)&gt;BB$4,BB$4&gt;=$C$1),'General Inputs'!D$11*$H28,IF(AND(($D28+$C$1)&gt;BB$4,BB$4&gt;=$C$1),'General Inputs'!D$11*$G28,0))</f>
        <v>21.180478492826843</v>
      </c>
      <c r="BC28" s="214">
        <f>IF(AND(($E28+$C$1)&gt;BC$4,BC$4&gt;=$C$1),'General Inputs'!E$11*$H28,IF(AND(($D28+$C$1)&gt;BC$4,BC$4&gt;=$C$1),'General Inputs'!E$11*$G28,0))</f>
        <v>21.180478492826843</v>
      </c>
      <c r="BD28" s="214">
        <f>IF(AND(($E28+$C$1)&gt;BD$4,BD$4&gt;=$C$1),'General Inputs'!F$11*$H28,IF(AND(($D28+$C$1)&gt;BD$4,BD$4&gt;=$C$1),'General Inputs'!F$11*$G28,0))</f>
        <v>21.180478492826843</v>
      </c>
      <c r="BE28" s="214">
        <f>IF(AND(($E28+$C$1)&gt;BE$4,BE$4&gt;=$C$1),'General Inputs'!G$11*$H28,IF(AND(($D28+$C$1)&gt;BE$4,BE$4&gt;=$C$1),'General Inputs'!G$11*$G28,0))</f>
        <v>21.180478492826843</v>
      </c>
      <c r="BF28" s="214">
        <f>IF(AND(($E28+$C$1)&gt;BF$4,BF$4&gt;=$C$1),'General Inputs'!H$11*$H28,IF(AND(($D28+$C$1)&gt;BF$4,BF$4&gt;=$C$1),'General Inputs'!H$11*$G28,0))</f>
        <v>21.180478492826843</v>
      </c>
      <c r="BG28" s="214">
        <f>IF(AND(($E28+$C$1)&gt;BG$4,BG$4&gt;=$C$1),'General Inputs'!I$11*$H28,IF(AND(($D28+$C$1)&gt;BG$4,BG$4&gt;=$C$1),'General Inputs'!I$11*$G28,0))</f>
        <v>21.180478492826843</v>
      </c>
      <c r="BH28" s="214">
        <f>IF(AND(($E28+$C$1)&gt;BH$4,BH$4&gt;=$C$1),'General Inputs'!J$11*$H28,IF(AND(($D28+$C$1)&gt;BH$4,BH$4&gt;=$C$1),'General Inputs'!J$11*$G28,0))</f>
        <v>21.180478492826843</v>
      </c>
      <c r="BI28" s="214">
        <f>IF(AND(($E28+$C$1)&gt;BI$4,BI$4&gt;=$C$1),'General Inputs'!K$11*$H28,IF(AND(($D28+$C$1)&gt;BI$4,BI$4&gt;=$C$1),'General Inputs'!K$11*$G28,0))</f>
        <v>21.180478492826843</v>
      </c>
      <c r="BJ28" s="214">
        <f>IF(AND(($E28+$C$1)&gt;BJ$4,BJ$4&gt;=$C$1),'General Inputs'!L$11*$H28,IF(AND(($D28+$C$1)&gt;BJ$4,BJ$4&gt;=$C$1),'General Inputs'!L$11*$G28,0))</f>
        <v>21.180478492826843</v>
      </c>
      <c r="BK28" s="214">
        <f>IF(AND(($E28+$C$1)&gt;BK$4,BK$4&gt;=$C$1),'General Inputs'!M$11*$H28,IF(AND(($D28+$C$1)&gt;BK$4,BK$4&gt;=$C$1),'General Inputs'!M$11*$G28,0))</f>
        <v>0</v>
      </c>
      <c r="BL28" s="214">
        <f>IF(AND(($E28+$C$1)&gt;BL$4,BL$4&gt;=$C$1),'General Inputs'!N$11*$H28,IF(AND(($D28+$C$1)&gt;BL$4,BL$4&gt;=$C$1),'General Inputs'!N$11*$G28,0))</f>
        <v>0</v>
      </c>
      <c r="BM28" s="214">
        <f>IF(AND(($E28+$C$1)&gt;BM$4,BM$4&gt;=$C$1),'General Inputs'!O$11*$H28,IF(AND(($D28+$C$1)&gt;BM$4,BM$4&gt;=$C$1),'General Inputs'!O$11*$G28,0))</f>
        <v>0</v>
      </c>
      <c r="BN28" s="214">
        <f>IF(AND(($E28+$C$1)&gt;BN$4,BN$4&gt;=$C$1),'General Inputs'!P$11*$H28,IF(AND(($D28+$C$1)&gt;BN$4,BN$4&gt;=$C$1),'General Inputs'!P$11*$G28,0))</f>
        <v>0</v>
      </c>
      <c r="BO28" s="214">
        <f>IF(AND(($E28+$C$1)&gt;BO$4,BO$4&gt;=$C$1),'General Inputs'!Q$11*$H28,IF(AND(($D28+$C$1)&gt;BO$4,BO$4&gt;=$C$1),'General Inputs'!Q$11*$G28,0))</f>
        <v>0</v>
      </c>
      <c r="BP28" s="214">
        <f>IF(AND(($E28+$C$1)&gt;BP$4,BP$4&gt;=$C$1),'General Inputs'!R$11*$H28,IF(AND(($D28+$C$1)&gt;BP$4,BP$4&gt;=$C$1),'General Inputs'!R$11*$G28,0))</f>
        <v>0</v>
      </c>
      <c r="BQ28" s="214">
        <f>IF(AND(($E28+$C$1)&gt;BQ$4,BQ$4&gt;=$C$1),'General Inputs'!S$11*$H28,IF(AND(($D28+$C$1)&gt;BQ$4,BQ$4&gt;=$C$1),'General Inputs'!S$11*$G28,0))</f>
        <v>0</v>
      </c>
      <c r="BR28" s="214">
        <f>IF(AND(($E28+$C$1)&gt;BR$4,BR$4&gt;=$C$1),'General Inputs'!T$11*$H28,IF(AND(($D28+$C$1)&gt;BR$4,BR$4&gt;=$C$1),'General Inputs'!T$11*$G28,0))</f>
        <v>0</v>
      </c>
      <c r="BS28" s="214">
        <f>IF(AND(($E28+$C$1)&gt;BS$4,BS$4&gt;=$C$1),'General Inputs'!U$11*$H28,IF(AND(($D28+$C$1)&gt;BS$4,BS$4&gt;=$C$1),'General Inputs'!U$11*$G28,0))</f>
        <v>0</v>
      </c>
      <c r="BT28" s="214">
        <f>IF(AND(($E28+$C$1)&gt;BT$4,BT$4&gt;=$C$1),'General Inputs'!V$11*$H28,IF(AND(($D28+$C$1)&gt;BT$4,BT$4&gt;=$C$1),'General Inputs'!V$11*$G28,0))</f>
        <v>0</v>
      </c>
      <c r="BU28" s="214">
        <f>IF(AND(($E28+$C$1)&gt;BU$4,BU$4&gt;=$C$1),'General Inputs'!W$11*$H28,IF(AND(($D28+$C$1)&gt;BU$4,BU$4&gt;=$C$1),'General Inputs'!W$11*$G28,0))</f>
        <v>0</v>
      </c>
      <c r="BW28" s="214">
        <f>IF(AND(($E28+$C$1)&gt;BW$4,BW$4&gt;=$C$1),$H28,IF(AND(($D28+$C$1)&gt;BW$4,BW$4&gt;=$C$1),$G28,0))*IF($A28="Residential",'General Inputs'!D$14,'General Inputs'!D$19)</f>
        <v>249.39151436549201</v>
      </c>
      <c r="BX28" s="214">
        <f>IF(AND(($E28+$C$1)&gt;BX$4,BX$4&gt;=$C$1),$H28,IF(AND(($D28+$C$1)&gt;BX$4,BX$4&gt;=$C$1),$G28,0))*IF($A28="Residential",'General Inputs'!E$14,'General Inputs'!E$19)</f>
        <v>253.13238708097435</v>
      </c>
      <c r="BY28" s="214">
        <f>IF(AND(($E28+$C$1)&gt;BY$4,BY$4&gt;=$C$1),$H28,IF(AND(($D28+$C$1)&gt;BY$4,BY$4&gt;=$C$1),$G28,0))*IF($A28="Residential",'General Inputs'!F$14,'General Inputs'!F$19)</f>
        <v>256.92937288718889</v>
      </c>
      <c r="BZ28" s="214">
        <f>IF(AND(($E28+$C$1)&gt;BZ$4,BZ$4&gt;=$C$1),$H28,IF(AND(($D28+$C$1)&gt;BZ$4,BZ$4&gt;=$C$1),$G28,0))*IF($A28="Residential",'General Inputs'!G$14,'General Inputs'!G$19)</f>
        <v>260.7833134804967</v>
      </c>
      <c r="CA28" s="214">
        <f>IF(AND(($E28+$C$1)&gt;CA$4,CA$4&gt;=$C$1),$H28,IF(AND(($D28+$C$1)&gt;CA$4,CA$4&gt;=$C$1),$G28,0))*IF($A28="Residential",'General Inputs'!H$14,'General Inputs'!H$19)</f>
        <v>264.69506318270413</v>
      </c>
      <c r="CB28" s="214">
        <f>IF(AND(($E28+$C$1)&gt;CB$4,CB$4&gt;=$C$1),$H28,IF(AND(($D28+$C$1)&gt;CB$4,CB$4&gt;=$C$1),$G28,0))*IF($A28="Residential",'General Inputs'!I$14,'General Inputs'!I$19)</f>
        <v>268.66548913044466</v>
      </c>
      <c r="CC28" s="214">
        <f>IF(AND(($E28+$C$1)&gt;CC$4,CC$4&gt;=$C$1),$H28,IF(AND(($D28+$C$1)&gt;CC$4,CC$4&gt;=$C$1),$G28,0))*IF($A28="Residential",'General Inputs'!J$14,'General Inputs'!J$19)</f>
        <v>272.69547146740126</v>
      </c>
      <c r="CD28" s="214">
        <f>IF(AND(($E28+$C$1)&gt;CD$4,CD$4&gt;=$C$1),$H28,IF(AND(($D28+$C$1)&gt;CD$4,CD$4&gt;=$C$1),$G28,0))*IF($A28="Residential",'General Inputs'!K$14,'General Inputs'!K$19)</f>
        <v>276.78590353941229</v>
      </c>
      <c r="CE28" s="214">
        <f>IF(AND(($E28+$C$1)&gt;CE$4,CE$4&gt;=$C$1),$H28,IF(AND(($D28+$C$1)&gt;CE$4,CE$4&gt;=$C$1),$G28,0))*IF($A28="Residential",'General Inputs'!L$14,'General Inputs'!L$19)</f>
        <v>280.93769209250343</v>
      </c>
      <c r="CF28" s="214">
        <f>IF(AND(($E28+$C$1)&gt;CF$4,CF$4&gt;=$C$1),$H28,IF(AND(($D28+$C$1)&gt;CF$4,CF$4&gt;=$C$1),$G28,0))*IF($A28="Residential",'General Inputs'!M$14,'General Inputs'!M$19)</f>
        <v>0</v>
      </c>
      <c r="CG28" s="214">
        <f>IF(AND(($E28+$C$1)&gt;CG$4,CG$4&gt;=$C$1),$H28,IF(AND(($D28+$C$1)&gt;CG$4,CG$4&gt;=$C$1),$G28,0))*IF($A28="Residential",'General Inputs'!N$14,'General Inputs'!N$19)</f>
        <v>0</v>
      </c>
      <c r="CH28" s="214">
        <f>IF(AND(($E28+$C$1)&gt;CH$4,CH$4&gt;=$C$1),$H28,IF(AND(($D28+$C$1)&gt;CH$4,CH$4&gt;=$C$1),$G28,0))*IF($A28="Residential",'General Inputs'!O$14,'General Inputs'!O$19)</f>
        <v>0</v>
      </c>
      <c r="CI28" s="214">
        <f>IF(AND(($E28+$C$1)&gt;CI$4,CI$4&gt;=$C$1),$H28,IF(AND(($D28+$C$1)&gt;CI$4,CI$4&gt;=$C$1),$G28,0))*IF($A28="Residential",'General Inputs'!P$14,'General Inputs'!P$19)</f>
        <v>0</v>
      </c>
      <c r="CJ28" s="214">
        <f>IF(AND(($E28+$C$1)&gt;CJ$4,CJ$4&gt;=$C$1),$H28,IF(AND(($D28+$C$1)&gt;CJ$4,CJ$4&gt;=$C$1),$G28,0))*IF($A28="Residential",'General Inputs'!Q$14,'General Inputs'!Q$19)</f>
        <v>0</v>
      </c>
      <c r="CK28" s="214">
        <f>IF(AND(($E28+$C$1)&gt;CK$4,CK$4&gt;=$C$1),$H28,IF(AND(($D28+$C$1)&gt;CK$4,CK$4&gt;=$C$1),$G28,0))*IF($A28="Residential",'General Inputs'!R$14,'General Inputs'!R$19)</f>
        <v>0</v>
      </c>
      <c r="CL28" s="214">
        <f>IF(AND(($E28+$C$1)&gt;CL$4,CL$4&gt;=$C$1),$H28,IF(AND(($D28+$C$1)&gt;CL$4,CL$4&gt;=$C$1),$G28,0))*IF($A28="Residential",'General Inputs'!S$14,'General Inputs'!S$19)</f>
        <v>0</v>
      </c>
      <c r="CM28" s="214">
        <f>IF(AND(($E28+$C$1)&gt;CM$4,CM$4&gt;=$C$1),$H28,IF(AND(($D28+$C$1)&gt;CM$4,CM$4&gt;=$C$1),$G28,0))*IF($A28="Residential",'General Inputs'!T$14,'General Inputs'!T$19)</f>
        <v>0</v>
      </c>
      <c r="CN28" s="214">
        <f>IF(AND(($E28+$C$1)&gt;CN$4,CN$4&gt;=$C$1),$H28,IF(AND(($D28+$C$1)&gt;CN$4,CN$4&gt;=$C$1),$G28,0))*IF($A28="Residential",'General Inputs'!U$14,'General Inputs'!U$19)</f>
        <v>0</v>
      </c>
      <c r="CO28" s="214">
        <f>IF(AND(($E28+$C$1)&gt;CO$4,CO$4&gt;=$C$1),$H28,IF(AND(($D28+$C$1)&gt;CO$4,CO$4&gt;=$C$1),$G28,0))*IF($A28="Residential",'General Inputs'!V$14,'General Inputs'!V$19)</f>
        <v>0</v>
      </c>
      <c r="CP28" s="214">
        <f>IF(AND(($E28+$C$1)&gt;CP$4,CP$4&gt;=$C$1),$H28,IF(AND(($D28+$C$1)&gt;CP$4,CP$4&gt;=$C$1),$G28,0))*IF($A28="Residential",'General Inputs'!W$14,'General Inputs'!W$19)</f>
        <v>0</v>
      </c>
      <c r="CR28" s="214">
        <f>IF(AND(($E28+$C$1)&gt;CR$4,CR$4&gt;=$C$1),$H28,IF(AND(($D28+$C$1)&gt;CR$4,CR$4&gt;=$C$1),$G28,0))*IF($A28="Residential",'General Inputs'!D$15,'General Inputs'!D$19)</f>
        <v>202.88206185363313</v>
      </c>
      <c r="CS28" s="214">
        <f>IF(AND(($E28+$C$1)&gt;CS$4,CS$4&gt;=$C$1),$H28,IF(AND(($D28+$C$1)&gt;CS$4,CS$4&gt;=$C$1),$G28,0))*IF($A28="Residential",'General Inputs'!E$15,'General Inputs'!E$19)</f>
        <v>205.92529278143761</v>
      </c>
      <c r="CT28" s="214">
        <f>IF(AND(($E28+$C$1)&gt;CT$4,CT$4&gt;=$C$1),$H28,IF(AND(($D28+$C$1)&gt;CT$4,CT$4&gt;=$C$1),$G28,0))*IF($A28="Residential",'General Inputs'!F$15,'General Inputs'!F$19)</f>
        <v>209.01417217315915</v>
      </c>
      <c r="CU28" s="214">
        <f>IF(AND(($E28+$C$1)&gt;CU$4,CU$4&gt;=$C$1),$H28,IF(AND(($D28+$C$1)&gt;CU$4,CU$4&gt;=$C$1),$G28,0))*IF($A28="Residential",'General Inputs'!G$15,'General Inputs'!G$19)</f>
        <v>212.14938475575653</v>
      </c>
      <c r="CV28" s="214">
        <f>IF(AND(($E28+$C$1)&gt;CV$4,CV$4&gt;=$C$1),$H28,IF(AND(($D28+$C$1)&gt;CV$4,CV$4&gt;=$C$1),$G28,0))*IF($A28="Residential",'General Inputs'!H$15,'General Inputs'!H$19)</f>
        <v>215.33162552709285</v>
      </c>
      <c r="CW28" s="214">
        <f>IF(AND(($E28+$C$1)&gt;CW$4,CW$4&gt;=$C$1),$H28,IF(AND(($D28+$C$1)&gt;CW$4,CW$4&gt;=$C$1),$G28,0))*IF($A28="Residential",'General Inputs'!I$15,'General Inputs'!I$19)</f>
        <v>218.56159990999922</v>
      </c>
      <c r="CX28" s="214">
        <f>IF(AND(($E28+$C$1)&gt;CX$4,CX$4&gt;=$C$1),$H28,IF(AND(($D28+$C$1)&gt;CX$4,CX$4&gt;=$C$1),$G28,0))*IF($A28="Residential",'General Inputs'!J$15,'General Inputs'!J$19)</f>
        <v>221.84002390864919</v>
      </c>
      <c r="CY28" s="214">
        <f>IF(AND(($E28+$C$1)&gt;CY$4,CY$4&gt;=$C$1),$H28,IF(AND(($D28+$C$1)&gt;CY$4,CY$4&gt;=$C$1),$G28,0))*IF($A28="Residential",'General Inputs'!K$15,'General Inputs'!K$19)</f>
        <v>225.16762426727891</v>
      </c>
      <c r="CZ28" s="214">
        <f>IF(AND(($E28+$C$1)&gt;CZ$4,CZ$4&gt;=$C$1),$H28,IF(AND(($D28+$C$1)&gt;CZ$4,CZ$4&gt;=$C$1),$G28,0))*IF($A28="Residential",'General Inputs'!L$15,'General Inputs'!L$19)</f>
        <v>228.54513863128804</v>
      </c>
      <c r="DA28" s="214">
        <f>IF(AND(($E28+$C$1)&gt;DA$4,DA$4&gt;=$C$1),$H28,IF(AND(($D28+$C$1)&gt;DA$4,DA$4&gt;=$C$1),$G28,0))*IF($A28="Residential",'General Inputs'!M$15,'General Inputs'!M$19)</f>
        <v>0</v>
      </c>
      <c r="DB28" s="214">
        <f>IF(AND(($E28+$C$1)&gt;DB$4,DB$4&gt;=$C$1),$H28,IF(AND(($D28+$C$1)&gt;DB$4,DB$4&gt;=$C$1),$G28,0))*IF($A28="Residential",'General Inputs'!N$15,'General Inputs'!N$19)</f>
        <v>0</v>
      </c>
      <c r="DC28" s="214">
        <f>IF(AND(($E28+$C$1)&gt;DC$4,DC$4&gt;=$C$1),$H28,IF(AND(($D28+$C$1)&gt;DC$4,DC$4&gt;=$C$1),$G28,0))*IF($A28="Residential",'General Inputs'!O$15,'General Inputs'!O$19)</f>
        <v>0</v>
      </c>
      <c r="DD28" s="214">
        <f>IF(AND(($E28+$C$1)&gt;DD$4,DD$4&gt;=$C$1),$H28,IF(AND(($D28+$C$1)&gt;DD$4,DD$4&gt;=$C$1),$G28,0))*IF($A28="Residential",'General Inputs'!P$15,'General Inputs'!P$19)</f>
        <v>0</v>
      </c>
      <c r="DE28" s="214">
        <f>IF(AND(($E28+$C$1)&gt;DE$4,DE$4&gt;=$C$1),$H28,IF(AND(($D28+$C$1)&gt;DE$4,DE$4&gt;=$C$1),$G28,0))*IF($A28="Residential",'General Inputs'!Q$15,'General Inputs'!Q$19)</f>
        <v>0</v>
      </c>
      <c r="DF28" s="214">
        <f>IF(AND(($E28+$C$1)&gt;DF$4,DF$4&gt;=$C$1),$H28,IF(AND(($D28+$C$1)&gt;DF$4,DF$4&gt;=$C$1),$G28,0))*IF($A28="Residential",'General Inputs'!R$15,'General Inputs'!R$19)</f>
        <v>0</v>
      </c>
      <c r="DG28" s="214">
        <f>IF(AND(($E28+$C$1)&gt;DG$4,DG$4&gt;=$C$1),$H28,IF(AND(($D28+$C$1)&gt;DG$4,DG$4&gt;=$C$1),$G28,0))*IF($A28="Residential",'General Inputs'!S$15,'General Inputs'!S$19)</f>
        <v>0</v>
      </c>
      <c r="DH28" s="214">
        <f>IF(AND(($E28+$C$1)&gt;DH$4,DH$4&gt;=$C$1),$H28,IF(AND(($D28+$C$1)&gt;DH$4,DH$4&gt;=$C$1),$G28,0))*IF($A28="Residential",'General Inputs'!T$15,'General Inputs'!T$19)</f>
        <v>0</v>
      </c>
      <c r="DI28" s="214">
        <f>IF(AND(($E28+$C$1)&gt;DI$4,DI$4&gt;=$C$1),$H28,IF(AND(($D28+$C$1)&gt;DI$4,DI$4&gt;=$C$1),$G28,0))*IF($A28="Residential",'General Inputs'!U$15,'General Inputs'!U$19)</f>
        <v>0</v>
      </c>
      <c r="DJ28" s="214">
        <f>IF(AND(($E28+$C$1)&gt;DJ$4,DJ$4&gt;=$C$1),$H28,IF(AND(($D28+$C$1)&gt;DJ$4,DJ$4&gt;=$C$1),$G28,0))*IF($A28="Residential",'General Inputs'!V$15,'General Inputs'!V$19)</f>
        <v>0</v>
      </c>
      <c r="DK28" s="214">
        <f>IF(AND(($E28+$C$1)&gt;DK$4,DK$4&gt;=$C$1),$H28,IF(AND(($D28+$C$1)&gt;DK$4,DK$4&gt;=$C$1),$G28,0))*IF($A28="Residential",'General Inputs'!W$15,'General Inputs'!W$19)</f>
        <v>0</v>
      </c>
      <c r="DM28" s="214">
        <f t="shared" si="200"/>
        <v>0</v>
      </c>
      <c r="DN28" s="214">
        <f t="shared" si="105"/>
        <v>0</v>
      </c>
      <c r="DO28" s="214">
        <f t="shared" si="105"/>
        <v>0</v>
      </c>
      <c r="DP28" s="214">
        <f t="shared" si="105"/>
        <v>0</v>
      </c>
      <c r="DQ28" s="214">
        <f t="shared" si="105"/>
        <v>0</v>
      </c>
      <c r="DR28" s="214">
        <f t="shared" si="105"/>
        <v>0</v>
      </c>
      <c r="DS28" s="214">
        <f t="shared" si="105"/>
        <v>0</v>
      </c>
      <c r="DT28" s="214">
        <f t="shared" si="105"/>
        <v>0</v>
      </c>
      <c r="DU28" s="214">
        <f t="shared" si="105"/>
        <v>0</v>
      </c>
      <c r="DV28" s="214">
        <f t="shared" si="105"/>
        <v>0</v>
      </c>
      <c r="DW28" s="214">
        <f t="shared" si="105"/>
        <v>0</v>
      </c>
      <c r="DZ28" s="650"/>
      <c r="FI28" s="195"/>
      <c r="FJ28" s="195"/>
      <c r="FK28" s="195"/>
      <c r="FL28" s="195"/>
      <c r="FM28" s="195"/>
      <c r="FN28" s="195"/>
      <c r="FO28" s="195"/>
    </row>
    <row r="29" spans="1:171">
      <c r="A29" s="342" t="s">
        <v>12</v>
      </c>
      <c r="B29" s="427" t="str">
        <f>'Portfolio Inputs'!A28</f>
        <v>Low Flow Showerhead</v>
      </c>
      <c r="C29" s="217">
        <f>IF($C$1=2014,'Portfolio Inputs'!$C28,IF($C$1=2015,'Portfolio Inputs'!$D28,'Portfolio Inputs'!$E28))</f>
        <v>26</v>
      </c>
      <c r="D29" s="504">
        <f>VLOOKUP(B29,Sources!$B$4:$J$104,2,FALSE)</f>
        <v>10</v>
      </c>
      <c r="E29" s="504">
        <f>VLOOKUP(B29,Sources!$B$4:$J$104,3,FALSE)</f>
        <v>0</v>
      </c>
      <c r="G29" s="504">
        <f>IF($C$1=2014,'Portfolio Inputs'!$G28,IF($C$1=2015,'Portfolio Inputs'!$H28,'Portfolio Inputs'!$I28))*EnergyLineLoss</f>
        <v>3886.1813915316957</v>
      </c>
      <c r="H29" s="504"/>
      <c r="I29" s="504">
        <f>IF($C$1=2014,'Portfolio Inputs'!$K28,IF($C$1=2015,'Portfolio Inputs'!$L28,'Portfolio Inputs'!$M28))*PeakLineLoss</f>
        <v>0.28430484916995041</v>
      </c>
      <c r="J29" s="510"/>
      <c r="L29" s="606">
        <f>IF($C$1=2014,'Portfolio Inputs'!$O28,IF($C$1=2015,'Portfolio Inputs'!$P28,'Portfolio Inputs'!$Q28))</f>
        <v>0</v>
      </c>
      <c r="M29" s="518">
        <f>VLOOKUP($B29,Sources!$B$4:$K$104,10,FALSE)</f>
        <v>0</v>
      </c>
      <c r="N29" s="419">
        <f>IF($C$1=2014,'Portfolio Inputs'!$W28,IF($C$1=2015,'Portfolio Inputs'!$X28,'Portfolio Inputs'!$Y28))</f>
        <v>0</v>
      </c>
      <c r="O29" s="419"/>
      <c r="Q29" s="438" t="str">
        <f t="shared" si="261"/>
        <v>n/a</v>
      </c>
      <c r="R29" s="439" t="str">
        <f t="shared" si="262"/>
        <v>n/a</v>
      </c>
      <c r="S29" s="439" t="str">
        <f t="shared" si="263"/>
        <v>n/a</v>
      </c>
      <c r="T29" s="439" t="str">
        <f t="shared" si="264"/>
        <v>n/a</v>
      </c>
      <c r="U29" s="439" t="str">
        <f t="shared" si="265"/>
        <v>n/a</v>
      </c>
      <c r="V29" s="439">
        <f t="shared" si="266"/>
        <v>0.30475772010702351</v>
      </c>
      <c r="W29" s="439">
        <f t="shared" si="267"/>
        <v>0.37462153448981361</v>
      </c>
      <c r="Y29" s="215">
        <f t="shared" si="29"/>
        <v>1184.6086338075411</v>
      </c>
      <c r="Z29" s="215">
        <f t="shared" si="30"/>
        <v>311.64311404750305</v>
      </c>
      <c r="AA29" s="215">
        <f t="shared" si="31"/>
        <v>3887.0504523774994</v>
      </c>
      <c r="AB29" s="215">
        <f t="shared" si="32"/>
        <v>3162.1477270942946</v>
      </c>
      <c r="AC29" s="216">
        <f t="shared" si="33"/>
        <v>0</v>
      </c>
      <c r="AD29" s="216">
        <f t="shared" si="34"/>
        <v>0</v>
      </c>
      <c r="AE29" s="215">
        <f t="shared" si="35"/>
        <v>0</v>
      </c>
      <c r="AG29" s="214">
        <f>IF(AND(($E29+$C$1)&gt;AG$4,AG$4&gt;=$C$1),'General Inputs'!D$9*$H29,IF(AND(($D29+$C$1)&gt;AG$4,AG$4&gt;=$C$1),'General Inputs'!D$9*$G29,0))+IF(AND(($E29+$C$1)&gt;AG$4,AG$4&gt;=$C$1),'General Inputs'!D$10*$J29,IF(AND(($D29+$C$1)&gt;AG$4,AG$4&gt;=$C$1),'General Inputs'!D$10*$I29,0))</f>
        <v>158.97489265972129</v>
      </c>
      <c r="AH29" s="214">
        <f>IF(AND(($E29+$C$1)&gt;AH$4,AH$4&gt;=$C$1),'General Inputs'!E$9*$H29,IF(AND(($D29+$C$1)&gt;AH$4,AH$4&gt;=$C$1),'General Inputs'!E$9*$G29,0))+IF(AND(($E29+$C$1)&gt;AH$4,AH$4&gt;=$C$1),'General Inputs'!E$10*$J29,IF(AND(($D29+$C$1)&gt;AH$4,AH$4&gt;=$C$1),'General Inputs'!E$10*$I29,0))</f>
        <v>161.35951604961707</v>
      </c>
      <c r="AI29" s="214">
        <f>IF(AND(($E29+$C$1)&gt;AI$4,AI$4&gt;=$C$1),'General Inputs'!F$9*$H29,IF(AND(($D29+$C$1)&gt;AI$4,AI$4&gt;=$C$1),'General Inputs'!F$9*$G29,0))+IF(AND(($E29+$C$1)&gt;AI$4,AI$4&gt;=$C$1),'General Inputs'!F$10*$J29,IF(AND(($D29+$C$1)&gt;AI$4,AI$4&gt;=$C$1),'General Inputs'!F$10*$I29,0))</f>
        <v>163.77990879036133</v>
      </c>
      <c r="AJ29" s="214">
        <f>IF(AND(($E29+$C$1)&gt;AJ$4,AJ$4&gt;=$C$1),'General Inputs'!G$9*$H29,IF(AND(($D29+$C$1)&gt;AJ$4,AJ$4&gt;=$C$1),'General Inputs'!G$9*$G29,0))+IF(AND(($E29+$C$1)&gt;AJ$4,AJ$4&gt;=$C$1),'General Inputs'!G$10*$J29,IF(AND(($D29+$C$1)&gt;AJ$4,AJ$4&gt;=$C$1),'General Inputs'!G$10*$I29,0))</f>
        <v>166.23660742221674</v>
      </c>
      <c r="AK29" s="214">
        <f>IF(AND(($E29+$C$1)&gt;AK$4,AK$4&gt;=$C$1),'General Inputs'!H$9*$H29,IF(AND(($D29+$C$1)&gt;AK$4,AK$4&gt;=$C$1),'General Inputs'!H$9*$G29,0))+IF(AND(($E29+$C$1)&gt;AK$4,AK$4&gt;=$C$1),'General Inputs'!H$10*$J29,IF(AND(($D29+$C$1)&gt;AK$4,AK$4&gt;=$C$1),'General Inputs'!H$10*$I29,0))</f>
        <v>168.73015653354994</v>
      </c>
      <c r="AL29" s="214">
        <f>IF(AND(($E29+$C$1)&gt;AL$4,AL$4&gt;=$C$1),'General Inputs'!I$9*$H29,IF(AND(($D29+$C$1)&gt;AL$4,AL$4&gt;=$C$1),'General Inputs'!I$9*$G29,0))+IF(AND(($E29+$C$1)&gt;AL$4,AL$4&gt;=$C$1),'General Inputs'!I$10*$J29,IF(AND(($D29+$C$1)&gt;AL$4,AL$4&gt;=$C$1),'General Inputs'!I$10*$I29,0))</f>
        <v>171.26110888155318</v>
      </c>
      <c r="AM29" s="214">
        <f>IF(AND(($E29+$C$1)&gt;AM$4,AM$4&gt;=$C$1),'General Inputs'!J$9*$H29,IF(AND(($D29+$C$1)&gt;AM$4,AM$4&gt;=$C$1),'General Inputs'!J$9*$G29,0))+IF(AND(($E29+$C$1)&gt;AM$4,AM$4&gt;=$C$1),'General Inputs'!J$10*$J29,IF(AND(($D29+$C$1)&gt;AM$4,AM$4&gt;=$C$1),'General Inputs'!J$10*$I29,0))</f>
        <v>173.83002551477648</v>
      </c>
      <c r="AN29" s="214">
        <f>IF(AND(($E29+$C$1)&gt;AN$4,AN$4&gt;=$C$1),'General Inputs'!K$9*$H29,IF(AND(($D29+$C$1)&gt;AN$4,AN$4&gt;=$C$1),'General Inputs'!K$9*$G29,0))+IF(AND(($E29+$C$1)&gt;AN$4,AN$4&gt;=$C$1),'General Inputs'!K$10*$J29,IF(AND(($D29+$C$1)&gt;AN$4,AN$4&gt;=$C$1),'General Inputs'!K$10*$I29,0))</f>
        <v>176.43747589749808</v>
      </c>
      <c r="AO29" s="214">
        <f>IF(AND(($E29+$C$1)&gt;AO$4,AO$4&gt;=$C$1),'General Inputs'!L$9*$H29,IF(AND(($D29+$C$1)&gt;AO$4,AO$4&gt;=$C$1),'General Inputs'!L$9*$G29,0))+IF(AND(($E29+$C$1)&gt;AO$4,AO$4&gt;=$C$1),'General Inputs'!L$10*$J29,IF(AND(($D29+$C$1)&gt;AO$4,AO$4&gt;=$C$1),'General Inputs'!L$10*$I29,0))</f>
        <v>179.08403803596053</v>
      </c>
      <c r="AP29" s="214">
        <f>IF(AND(($E29+$C$1)&gt;AP$4,AP$4&gt;=$C$1),'General Inputs'!M$9*$H29,IF(AND(($D29+$C$1)&gt;AP$4,AP$4&gt;=$C$1),'General Inputs'!M$9*$G29,0))+IF(AND(($E29+$C$1)&gt;AP$4,AP$4&gt;=$C$1),'General Inputs'!M$10*$J29,IF(AND(($D29+$C$1)&gt;AP$4,AP$4&gt;=$C$1),'General Inputs'!M$10*$I29,0))</f>
        <v>181.77029860649992</v>
      </c>
      <c r="AQ29" s="214">
        <f>IF(AND(($E29+$C$1)&gt;AQ$4,AQ$4&gt;=$C$1),'General Inputs'!N$9*$H29,IF(AND(($D29+$C$1)&gt;AQ$4,AQ$4&gt;=$C$1),'General Inputs'!N$9*$G29,0))+IF(AND(($E29+$C$1)&gt;AQ$4,AQ$4&gt;=$C$1),'General Inputs'!N$10*$J29,IF(AND(($D29+$C$1)&gt;AQ$4,AQ$4&gt;=$C$1),'General Inputs'!N$10*$I29,0))</f>
        <v>0</v>
      </c>
      <c r="AR29" s="214">
        <f>IF(AND(($E29+$C$1)&gt;AR$4,AR$4&gt;=$C$1),'General Inputs'!O$9*$H29,IF(AND(($D29+$C$1)&gt;AR$4,AR$4&gt;=$C$1),'General Inputs'!O$9*$G29,0))+IF(AND(($E29+$C$1)&gt;AR$4,AR$4&gt;=$C$1),'General Inputs'!O$10*$J29,IF(AND(($D29+$C$1)&gt;AR$4,AR$4&gt;=$C$1),'General Inputs'!O$10*$I29,0))</f>
        <v>0</v>
      </c>
      <c r="AS29" s="214">
        <f>IF(AND(($E29+$C$1)&gt;AS$4,AS$4&gt;=$C$1),'General Inputs'!P$9*$H29,IF(AND(($D29+$C$1)&gt;AS$4,AS$4&gt;=$C$1),'General Inputs'!P$9*$G29,0))+IF(AND(($E29+$C$1)&gt;AS$4,AS$4&gt;=$C$1),'General Inputs'!P$10*$J29,IF(AND(($D29+$C$1)&gt;AS$4,AS$4&gt;=$C$1),'General Inputs'!P$10*$I29,0))</f>
        <v>0</v>
      </c>
      <c r="AT29" s="214">
        <f>IF(AND(($E29+$C$1)&gt;AT$4,AT$4&gt;=$C$1),'General Inputs'!Q$9*$H29,IF(AND(($D29+$C$1)&gt;AT$4,AT$4&gt;=$C$1),'General Inputs'!Q$9*$G29,0))+IF(AND(($E29+$C$1)&gt;AT$4,AT$4&gt;=$C$1),'General Inputs'!Q$10*$J29,IF(AND(($D29+$C$1)&gt;AT$4,AT$4&gt;=$C$1),'General Inputs'!Q$10*$I29,0))</f>
        <v>0</v>
      </c>
      <c r="AU29" s="214">
        <f>IF(AND(($E29+$C$1)&gt;AU$4,AU$4&gt;=$C$1),'General Inputs'!R$9*$H29,IF(AND(($D29+$C$1)&gt;AU$4,AU$4&gt;=$C$1),'General Inputs'!R$9*$G29,0))+IF(AND(($E29+$C$1)&gt;AU$4,AU$4&gt;=$C$1),'General Inputs'!R$10*$J29,IF(AND(($D29+$C$1)&gt;AU$4,AU$4&gt;=$C$1),'General Inputs'!R$10*$I29,0))</f>
        <v>0</v>
      </c>
      <c r="AV29" s="214">
        <f>IF(AND(($E29+$C$1)&gt;AV$4,AV$4&gt;=$C$1),'General Inputs'!S$9*$H29,IF(AND(($D29+$C$1)&gt;AV$4,AV$4&gt;=$C$1),'General Inputs'!S$9*$G29,0))+IF(AND(($E29+$C$1)&gt;AV$4,AV$4&gt;=$C$1),'General Inputs'!S$10*$J29,IF(AND(($D29+$C$1)&gt;AV$4,AV$4&gt;=$C$1),'General Inputs'!S$10*$I29,0))</f>
        <v>0</v>
      </c>
      <c r="AW29" s="214">
        <f>IF(AND(($E29+$C$1)&gt;AW$4,AW$4&gt;=$C$1),'General Inputs'!T$9*$H29,IF(AND(($D29+$C$1)&gt;AW$4,AW$4&gt;=$C$1),'General Inputs'!T$9*$G29,0))+IF(AND(($E29+$C$1)&gt;AW$4,AW$4&gt;=$C$1),'General Inputs'!T$10*$J29,IF(AND(($D29+$C$1)&gt;AW$4,AW$4&gt;=$C$1),'General Inputs'!T$10*$I29,0))</f>
        <v>0</v>
      </c>
      <c r="AX29" s="214">
        <f>IF(AND(($E29+$C$1)&gt;AX$4,AX$4&gt;=$C$1),'General Inputs'!U$9*$H29,IF(AND(($D29+$C$1)&gt;AX$4,AX$4&gt;=$C$1),'General Inputs'!U$9*$G29,0))+IF(AND(($E29+$C$1)&gt;AX$4,AX$4&gt;=$C$1),'General Inputs'!U$10*$J29,IF(AND(($D29+$C$1)&gt;AX$4,AX$4&gt;=$C$1),'General Inputs'!U$10*$I29,0))</f>
        <v>0</v>
      </c>
      <c r="AY29" s="214">
        <f>IF(AND(($E29+$C$1)&gt;AY$4,AY$4&gt;=$C$1),'General Inputs'!V$9*$H29,IF(AND(($D29+$C$1)&gt;AY$4,AY$4&gt;=$C$1),'General Inputs'!V$9*$G29,0))+IF(AND(($E29+$C$1)&gt;AY$4,AY$4&gt;=$C$1),'General Inputs'!V$10*$J29,IF(AND(($D29+$C$1)&gt;AY$4,AY$4&gt;=$C$1),'General Inputs'!V$10*$I29,0))</f>
        <v>0</v>
      </c>
      <c r="AZ29" s="214">
        <f>IF(AND(($E29+$C$1)&gt;AZ$4,AZ$4&gt;=$C$1),'General Inputs'!W$9*$H29,IF(AND(($D29+$C$1)&gt;AZ$4,AZ$4&gt;=$C$1),'General Inputs'!W$9*$G29,0))+IF(AND(($E29+$C$1)&gt;AZ$4,AZ$4&gt;=$C$1),'General Inputs'!W$10*$J29,IF(AND(($D29+$C$1)&gt;AZ$4,AZ$4&gt;=$C$1),'General Inputs'!W$10*$I29,0))</f>
        <v>0</v>
      </c>
      <c r="BB29" s="214">
        <f>IF(AND(($E29+$C$1)&gt;BB$4,BB$4&gt;=$C$1),'General Inputs'!D$11*$H29,IF(AND(($D29+$C$1)&gt;BB$4,BB$4&gt;=$C$1),'General Inputs'!D$11*$G29,0))</f>
        <v>44.302467863461331</v>
      </c>
      <c r="BC29" s="214">
        <f>IF(AND(($E29+$C$1)&gt;BC$4,BC$4&gt;=$C$1),'General Inputs'!E$11*$H29,IF(AND(($D29+$C$1)&gt;BC$4,BC$4&gt;=$C$1),'General Inputs'!E$11*$G29,0))</f>
        <v>44.302467863461331</v>
      </c>
      <c r="BD29" s="214">
        <f>IF(AND(($E29+$C$1)&gt;BD$4,BD$4&gt;=$C$1),'General Inputs'!F$11*$H29,IF(AND(($D29+$C$1)&gt;BD$4,BD$4&gt;=$C$1),'General Inputs'!F$11*$G29,0))</f>
        <v>44.302467863461331</v>
      </c>
      <c r="BE29" s="214">
        <f>IF(AND(($E29+$C$1)&gt;BE$4,BE$4&gt;=$C$1),'General Inputs'!G$11*$H29,IF(AND(($D29+$C$1)&gt;BE$4,BE$4&gt;=$C$1),'General Inputs'!G$11*$G29,0))</f>
        <v>44.302467863461331</v>
      </c>
      <c r="BF29" s="214">
        <f>IF(AND(($E29+$C$1)&gt;BF$4,BF$4&gt;=$C$1),'General Inputs'!H$11*$H29,IF(AND(($D29+$C$1)&gt;BF$4,BF$4&gt;=$C$1),'General Inputs'!H$11*$G29,0))</f>
        <v>44.302467863461331</v>
      </c>
      <c r="BG29" s="214">
        <f>IF(AND(($E29+$C$1)&gt;BG$4,BG$4&gt;=$C$1),'General Inputs'!I$11*$H29,IF(AND(($D29+$C$1)&gt;BG$4,BG$4&gt;=$C$1),'General Inputs'!I$11*$G29,0))</f>
        <v>44.302467863461331</v>
      </c>
      <c r="BH29" s="214">
        <f>IF(AND(($E29+$C$1)&gt;BH$4,BH$4&gt;=$C$1),'General Inputs'!J$11*$H29,IF(AND(($D29+$C$1)&gt;BH$4,BH$4&gt;=$C$1),'General Inputs'!J$11*$G29,0))</f>
        <v>44.302467863461331</v>
      </c>
      <c r="BI29" s="214">
        <f>IF(AND(($E29+$C$1)&gt;BI$4,BI$4&gt;=$C$1),'General Inputs'!K$11*$H29,IF(AND(($D29+$C$1)&gt;BI$4,BI$4&gt;=$C$1),'General Inputs'!K$11*$G29,0))</f>
        <v>44.302467863461331</v>
      </c>
      <c r="BJ29" s="214">
        <f>IF(AND(($E29+$C$1)&gt;BJ$4,BJ$4&gt;=$C$1),'General Inputs'!L$11*$H29,IF(AND(($D29+$C$1)&gt;BJ$4,BJ$4&gt;=$C$1),'General Inputs'!L$11*$G29,0))</f>
        <v>44.302467863461331</v>
      </c>
      <c r="BK29" s="214">
        <f>IF(AND(($E29+$C$1)&gt;BK$4,BK$4&gt;=$C$1),'General Inputs'!M$11*$H29,IF(AND(($D29+$C$1)&gt;BK$4,BK$4&gt;=$C$1),'General Inputs'!M$11*$G29,0))</f>
        <v>44.302467863461331</v>
      </c>
      <c r="BL29" s="214">
        <f>IF(AND(($E29+$C$1)&gt;BL$4,BL$4&gt;=$C$1),'General Inputs'!N$11*$H29,IF(AND(($D29+$C$1)&gt;BL$4,BL$4&gt;=$C$1),'General Inputs'!N$11*$G29,0))</f>
        <v>0</v>
      </c>
      <c r="BM29" s="214">
        <f>IF(AND(($E29+$C$1)&gt;BM$4,BM$4&gt;=$C$1),'General Inputs'!O$11*$H29,IF(AND(($D29+$C$1)&gt;BM$4,BM$4&gt;=$C$1),'General Inputs'!O$11*$G29,0))</f>
        <v>0</v>
      </c>
      <c r="BN29" s="214">
        <f>IF(AND(($E29+$C$1)&gt;BN$4,BN$4&gt;=$C$1),'General Inputs'!P$11*$H29,IF(AND(($D29+$C$1)&gt;BN$4,BN$4&gt;=$C$1),'General Inputs'!P$11*$G29,0))</f>
        <v>0</v>
      </c>
      <c r="BO29" s="214">
        <f>IF(AND(($E29+$C$1)&gt;BO$4,BO$4&gt;=$C$1),'General Inputs'!Q$11*$H29,IF(AND(($D29+$C$1)&gt;BO$4,BO$4&gt;=$C$1),'General Inputs'!Q$11*$G29,0))</f>
        <v>0</v>
      </c>
      <c r="BP29" s="214">
        <f>IF(AND(($E29+$C$1)&gt;BP$4,BP$4&gt;=$C$1),'General Inputs'!R$11*$H29,IF(AND(($D29+$C$1)&gt;BP$4,BP$4&gt;=$C$1),'General Inputs'!R$11*$G29,0))</f>
        <v>0</v>
      </c>
      <c r="BQ29" s="214">
        <f>IF(AND(($E29+$C$1)&gt;BQ$4,BQ$4&gt;=$C$1),'General Inputs'!S$11*$H29,IF(AND(($D29+$C$1)&gt;BQ$4,BQ$4&gt;=$C$1),'General Inputs'!S$11*$G29,0))</f>
        <v>0</v>
      </c>
      <c r="BR29" s="214">
        <f>IF(AND(($E29+$C$1)&gt;BR$4,BR$4&gt;=$C$1),'General Inputs'!T$11*$H29,IF(AND(($D29+$C$1)&gt;BR$4,BR$4&gt;=$C$1),'General Inputs'!T$11*$G29,0))</f>
        <v>0</v>
      </c>
      <c r="BS29" s="214">
        <f>IF(AND(($E29+$C$1)&gt;BS$4,BS$4&gt;=$C$1),'General Inputs'!U$11*$H29,IF(AND(($D29+$C$1)&gt;BS$4,BS$4&gt;=$C$1),'General Inputs'!U$11*$G29,0))</f>
        <v>0</v>
      </c>
      <c r="BT29" s="214">
        <f>IF(AND(($E29+$C$1)&gt;BT$4,BT$4&gt;=$C$1),'General Inputs'!V$11*$H29,IF(AND(($D29+$C$1)&gt;BT$4,BT$4&gt;=$C$1),'General Inputs'!V$11*$G29,0))</f>
        <v>0</v>
      </c>
      <c r="BU29" s="214">
        <f>IF(AND(($E29+$C$1)&gt;BU$4,BU$4&gt;=$C$1),'General Inputs'!W$11*$H29,IF(AND(($D29+$C$1)&gt;BU$4,BU$4&gt;=$C$1),'General Inputs'!W$11*$G29,0))</f>
        <v>0</v>
      </c>
      <c r="BW29" s="214">
        <f>IF(AND(($E29+$C$1)&gt;BW$4,BW$4&gt;=$C$1),$H29,IF(AND(($D29+$C$1)&gt;BW$4,BW$4&gt;=$C$1),$G29,0))*IF($A29="Residential",'General Inputs'!D$14,'General Inputs'!D$19)</f>
        <v>521.64352917423446</v>
      </c>
      <c r="BX29" s="214">
        <f>IF(AND(($E29+$C$1)&gt;BX$4,BX$4&gt;=$C$1),$H29,IF(AND(($D29+$C$1)&gt;BX$4,BX$4&gt;=$C$1),$G29,0))*IF($A29="Residential",'General Inputs'!E$14,'General Inputs'!E$19)</f>
        <v>529.46818211184791</v>
      </c>
      <c r="BY29" s="214">
        <f>IF(AND(($E29+$C$1)&gt;BY$4,BY$4&gt;=$C$1),$H29,IF(AND(($D29+$C$1)&gt;BY$4,BY$4&gt;=$C$1),$G29,0))*IF($A29="Residential",'General Inputs'!F$14,'General Inputs'!F$19)</f>
        <v>537.41020484352555</v>
      </c>
      <c r="BZ29" s="214">
        <f>IF(AND(($E29+$C$1)&gt;BZ$4,BZ$4&gt;=$C$1),$H29,IF(AND(($D29+$C$1)&gt;BZ$4,BZ$4&gt;=$C$1),$G29,0))*IF($A29="Residential",'General Inputs'!G$14,'General Inputs'!G$19)</f>
        <v>545.47135791617836</v>
      </c>
      <c r="CA29" s="214">
        <f>IF(AND(($E29+$C$1)&gt;CA$4,CA$4&gt;=$C$1),$H29,IF(AND(($D29+$C$1)&gt;CA$4,CA$4&gt;=$C$1),$G29,0))*IF($A29="Residential",'General Inputs'!H$14,'General Inputs'!H$19)</f>
        <v>553.65342828492089</v>
      </c>
      <c r="CB29" s="214">
        <f>IF(AND(($E29+$C$1)&gt;CB$4,CB$4&gt;=$C$1),$H29,IF(AND(($D29+$C$1)&gt;CB$4,CB$4&gt;=$C$1),$G29,0))*IF($A29="Residential",'General Inputs'!I$14,'General Inputs'!I$19)</f>
        <v>561.95822970919471</v>
      </c>
      <c r="CC29" s="214">
        <f>IF(AND(($E29+$C$1)&gt;CC$4,CC$4&gt;=$C$1),$H29,IF(AND(($D29+$C$1)&gt;CC$4,CC$4&gt;=$C$1),$G29,0))*IF($A29="Residential",'General Inputs'!J$14,'General Inputs'!J$19)</f>
        <v>570.3876031548325</v>
      </c>
      <c r="CD29" s="214">
        <f>IF(AND(($E29+$C$1)&gt;CD$4,CD$4&gt;=$C$1),$H29,IF(AND(($D29+$C$1)&gt;CD$4,CD$4&gt;=$C$1),$G29,0))*IF($A29="Residential",'General Inputs'!K$14,'General Inputs'!K$19)</f>
        <v>578.94341720215493</v>
      </c>
      <c r="CE29" s="214">
        <f>IF(AND(($E29+$C$1)&gt;CE$4,CE$4&gt;=$C$1),$H29,IF(AND(($D29+$C$1)&gt;CE$4,CE$4&gt;=$C$1),$G29,0))*IF($A29="Residential",'General Inputs'!L$14,'General Inputs'!L$19)</f>
        <v>587.62756846018715</v>
      </c>
      <c r="CF29" s="214">
        <f>IF(AND(($E29+$C$1)&gt;CF$4,CF$4&gt;=$C$1),$H29,IF(AND(($D29+$C$1)&gt;CF$4,CF$4&gt;=$C$1),$G29,0))*IF($A29="Residential",'General Inputs'!M$14,'General Inputs'!M$19)</f>
        <v>596.44198198708989</v>
      </c>
      <c r="CG29" s="214">
        <f>IF(AND(($E29+$C$1)&gt;CG$4,CG$4&gt;=$C$1),$H29,IF(AND(($D29+$C$1)&gt;CG$4,CG$4&gt;=$C$1),$G29,0))*IF($A29="Residential",'General Inputs'!N$14,'General Inputs'!N$19)</f>
        <v>0</v>
      </c>
      <c r="CH29" s="214">
        <f>IF(AND(($E29+$C$1)&gt;CH$4,CH$4&gt;=$C$1),$H29,IF(AND(($D29+$C$1)&gt;CH$4,CH$4&gt;=$C$1),$G29,0))*IF($A29="Residential",'General Inputs'!O$14,'General Inputs'!O$19)</f>
        <v>0</v>
      </c>
      <c r="CI29" s="214">
        <f>IF(AND(($E29+$C$1)&gt;CI$4,CI$4&gt;=$C$1),$H29,IF(AND(($D29+$C$1)&gt;CI$4,CI$4&gt;=$C$1),$G29,0))*IF($A29="Residential",'General Inputs'!P$14,'General Inputs'!P$19)</f>
        <v>0</v>
      </c>
      <c r="CJ29" s="214">
        <f>IF(AND(($E29+$C$1)&gt;CJ$4,CJ$4&gt;=$C$1),$H29,IF(AND(($D29+$C$1)&gt;CJ$4,CJ$4&gt;=$C$1),$G29,0))*IF($A29="Residential",'General Inputs'!Q$14,'General Inputs'!Q$19)</f>
        <v>0</v>
      </c>
      <c r="CK29" s="214">
        <f>IF(AND(($E29+$C$1)&gt;CK$4,CK$4&gt;=$C$1),$H29,IF(AND(($D29+$C$1)&gt;CK$4,CK$4&gt;=$C$1),$G29,0))*IF($A29="Residential",'General Inputs'!R$14,'General Inputs'!R$19)</f>
        <v>0</v>
      </c>
      <c r="CL29" s="214">
        <f>IF(AND(($E29+$C$1)&gt;CL$4,CL$4&gt;=$C$1),$H29,IF(AND(($D29+$C$1)&gt;CL$4,CL$4&gt;=$C$1),$G29,0))*IF($A29="Residential",'General Inputs'!S$14,'General Inputs'!S$19)</f>
        <v>0</v>
      </c>
      <c r="CM29" s="214">
        <f>IF(AND(($E29+$C$1)&gt;CM$4,CM$4&gt;=$C$1),$H29,IF(AND(($D29+$C$1)&gt;CM$4,CM$4&gt;=$C$1),$G29,0))*IF($A29="Residential",'General Inputs'!T$14,'General Inputs'!T$19)</f>
        <v>0</v>
      </c>
      <c r="CN29" s="214">
        <f>IF(AND(($E29+$C$1)&gt;CN$4,CN$4&gt;=$C$1),$H29,IF(AND(($D29+$C$1)&gt;CN$4,CN$4&gt;=$C$1),$G29,0))*IF($A29="Residential",'General Inputs'!U$14,'General Inputs'!U$19)</f>
        <v>0</v>
      </c>
      <c r="CO29" s="214">
        <f>IF(AND(($E29+$C$1)&gt;CO$4,CO$4&gt;=$C$1),$H29,IF(AND(($D29+$C$1)&gt;CO$4,CO$4&gt;=$C$1),$G29,0))*IF($A29="Residential",'General Inputs'!V$14,'General Inputs'!V$19)</f>
        <v>0</v>
      </c>
      <c r="CP29" s="214">
        <f>IF(AND(($E29+$C$1)&gt;CP$4,CP$4&gt;=$C$1),$H29,IF(AND(($D29+$C$1)&gt;CP$4,CP$4&gt;=$C$1),$G29,0))*IF($A29="Residential",'General Inputs'!W$14,'General Inputs'!W$19)</f>
        <v>0</v>
      </c>
      <c r="CR29" s="214">
        <f>IF(AND(($E29+$C$1)&gt;CR$4,CR$4&gt;=$C$1),$H29,IF(AND(($D29+$C$1)&gt;CR$4,CR$4&gt;=$C$1),$G29,0))*IF($A29="Residential",'General Inputs'!D$15,'General Inputs'!D$19)</f>
        <v>424.36133009872123</v>
      </c>
      <c r="CS29" s="214">
        <f>IF(AND(($E29+$C$1)&gt;CS$4,CS$4&gt;=$C$1),$H29,IF(AND(($D29+$C$1)&gt;CS$4,CS$4&gt;=$C$1),$G29,0))*IF($A29="Residential",'General Inputs'!E$15,'General Inputs'!E$19)</f>
        <v>430.72675005020199</v>
      </c>
      <c r="CT29" s="214">
        <f>IF(AND(($E29+$C$1)&gt;CT$4,CT$4&gt;=$C$1),$H29,IF(AND(($D29+$C$1)&gt;CT$4,CT$4&gt;=$C$1),$G29,0))*IF($A29="Residential",'General Inputs'!F$15,'General Inputs'!F$19)</f>
        <v>437.187651300955</v>
      </c>
      <c r="CU29" s="214">
        <f>IF(AND(($E29+$C$1)&gt;CU$4,CU$4&gt;=$C$1),$H29,IF(AND(($D29+$C$1)&gt;CU$4,CU$4&gt;=$C$1),$G29,0))*IF($A29="Residential",'General Inputs'!G$15,'General Inputs'!G$19)</f>
        <v>443.74546607046926</v>
      </c>
      <c r="CV29" s="214">
        <f>IF(AND(($E29+$C$1)&gt;CV$4,CV$4&gt;=$C$1),$H29,IF(AND(($D29+$C$1)&gt;CV$4,CV$4&gt;=$C$1),$G29,0))*IF($A29="Residential",'General Inputs'!H$15,'General Inputs'!H$19)</f>
        <v>450.40164806152626</v>
      </c>
      <c r="CW29" s="214">
        <f>IF(AND(($E29+$C$1)&gt;CW$4,CW$4&gt;=$C$1),$H29,IF(AND(($D29+$C$1)&gt;CW$4,CW$4&gt;=$C$1),$G29,0))*IF($A29="Residential",'General Inputs'!I$15,'General Inputs'!I$19)</f>
        <v>457.15767278244908</v>
      </c>
      <c r="CX29" s="214">
        <f>IF(AND(($E29+$C$1)&gt;CX$4,CX$4&gt;=$C$1),$H29,IF(AND(($D29+$C$1)&gt;CX$4,CX$4&gt;=$C$1),$G29,0))*IF($A29="Residential",'General Inputs'!J$15,'General Inputs'!J$19)</f>
        <v>464.01503787418579</v>
      </c>
      <c r="CY29" s="214">
        <f>IF(AND(($E29+$C$1)&gt;CY$4,CY$4&gt;=$C$1),$H29,IF(AND(($D29+$C$1)&gt;CY$4,CY$4&gt;=$C$1),$G29,0))*IF($A29="Residential",'General Inputs'!K$15,'General Inputs'!K$19)</f>
        <v>470.97526344229851</v>
      </c>
      <c r="CZ29" s="214">
        <f>IF(AND(($E29+$C$1)&gt;CZ$4,CZ$4&gt;=$C$1),$H29,IF(AND(($D29+$C$1)&gt;CZ$4,CZ$4&gt;=$C$1),$G29,0))*IF($A29="Residential",'General Inputs'!L$15,'General Inputs'!L$19)</f>
        <v>478.03989239393292</v>
      </c>
      <c r="DA29" s="214">
        <f>IF(AND(($E29+$C$1)&gt;DA$4,DA$4&gt;=$C$1),$H29,IF(AND(($D29+$C$1)&gt;DA$4,DA$4&gt;=$C$1),$G29,0))*IF($A29="Residential",'General Inputs'!M$15,'General Inputs'!M$19)</f>
        <v>485.2104907798419</v>
      </c>
      <c r="DB29" s="214">
        <f>IF(AND(($E29+$C$1)&gt;DB$4,DB$4&gt;=$C$1),$H29,IF(AND(($D29+$C$1)&gt;DB$4,DB$4&gt;=$C$1),$G29,0))*IF($A29="Residential",'General Inputs'!N$15,'General Inputs'!N$19)</f>
        <v>0</v>
      </c>
      <c r="DC29" s="214">
        <f>IF(AND(($E29+$C$1)&gt;DC$4,DC$4&gt;=$C$1),$H29,IF(AND(($D29+$C$1)&gt;DC$4,DC$4&gt;=$C$1),$G29,0))*IF($A29="Residential",'General Inputs'!O$15,'General Inputs'!O$19)</f>
        <v>0</v>
      </c>
      <c r="DD29" s="214">
        <f>IF(AND(($E29+$C$1)&gt;DD$4,DD$4&gt;=$C$1),$H29,IF(AND(($D29+$C$1)&gt;DD$4,DD$4&gt;=$C$1),$G29,0))*IF($A29="Residential",'General Inputs'!P$15,'General Inputs'!P$19)</f>
        <v>0</v>
      </c>
      <c r="DE29" s="214">
        <f>IF(AND(($E29+$C$1)&gt;DE$4,DE$4&gt;=$C$1),$H29,IF(AND(($D29+$C$1)&gt;DE$4,DE$4&gt;=$C$1),$G29,0))*IF($A29="Residential",'General Inputs'!Q$15,'General Inputs'!Q$19)</f>
        <v>0</v>
      </c>
      <c r="DF29" s="214">
        <f>IF(AND(($E29+$C$1)&gt;DF$4,DF$4&gt;=$C$1),$H29,IF(AND(($D29+$C$1)&gt;DF$4,DF$4&gt;=$C$1),$G29,0))*IF($A29="Residential",'General Inputs'!R$15,'General Inputs'!R$19)</f>
        <v>0</v>
      </c>
      <c r="DG29" s="214">
        <f>IF(AND(($E29+$C$1)&gt;DG$4,DG$4&gt;=$C$1),$H29,IF(AND(($D29+$C$1)&gt;DG$4,DG$4&gt;=$C$1),$G29,0))*IF($A29="Residential",'General Inputs'!S$15,'General Inputs'!S$19)</f>
        <v>0</v>
      </c>
      <c r="DH29" s="214">
        <f>IF(AND(($E29+$C$1)&gt;DH$4,DH$4&gt;=$C$1),$H29,IF(AND(($D29+$C$1)&gt;DH$4,DH$4&gt;=$C$1),$G29,0))*IF($A29="Residential",'General Inputs'!T$15,'General Inputs'!T$19)</f>
        <v>0</v>
      </c>
      <c r="DI29" s="214">
        <f>IF(AND(($E29+$C$1)&gt;DI$4,DI$4&gt;=$C$1),$H29,IF(AND(($D29+$C$1)&gt;DI$4,DI$4&gt;=$C$1),$G29,0))*IF($A29="Residential",'General Inputs'!U$15,'General Inputs'!U$19)</f>
        <v>0</v>
      </c>
      <c r="DJ29" s="214">
        <f>IF(AND(($E29+$C$1)&gt;DJ$4,DJ$4&gt;=$C$1),$H29,IF(AND(($D29+$C$1)&gt;DJ$4,DJ$4&gt;=$C$1),$G29,0))*IF($A29="Residential",'General Inputs'!V$15,'General Inputs'!V$19)</f>
        <v>0</v>
      </c>
      <c r="DK29" s="214">
        <f>IF(AND(($E29+$C$1)&gt;DK$4,DK$4&gt;=$C$1),$H29,IF(AND(($D29+$C$1)&gt;DK$4,DK$4&gt;=$C$1),$G29,0))*IF($A29="Residential",'General Inputs'!W$15,'General Inputs'!W$19)</f>
        <v>0</v>
      </c>
      <c r="DM29" s="214">
        <f t="shared" si="200"/>
        <v>0</v>
      </c>
      <c r="DN29" s="214">
        <f t="shared" si="200"/>
        <v>0</v>
      </c>
      <c r="DO29" s="214">
        <f t="shared" si="200"/>
        <v>0</v>
      </c>
      <c r="DP29" s="214">
        <f t="shared" si="200"/>
        <v>0</v>
      </c>
      <c r="DQ29" s="214">
        <f t="shared" si="200"/>
        <v>0</v>
      </c>
      <c r="DR29" s="214">
        <f t="shared" si="200"/>
        <v>0</v>
      </c>
      <c r="DS29" s="214">
        <f t="shared" si="200"/>
        <v>0</v>
      </c>
      <c r="DT29" s="214">
        <f t="shared" si="200"/>
        <v>0</v>
      </c>
      <c r="DU29" s="214">
        <f t="shared" si="200"/>
        <v>0</v>
      </c>
      <c r="DV29" s="214">
        <f t="shared" si="200"/>
        <v>0</v>
      </c>
      <c r="DW29" s="214">
        <f t="shared" si="200"/>
        <v>0</v>
      </c>
      <c r="DZ29" s="650"/>
      <c r="FI29" s="195"/>
      <c r="FJ29" s="195"/>
      <c r="FK29" s="195"/>
      <c r="FL29" s="195"/>
      <c r="FM29" s="195"/>
      <c r="FN29" s="195"/>
      <c r="FO29" s="195"/>
    </row>
    <row r="30" spans="1:171">
      <c r="A30" s="342" t="s">
        <v>12</v>
      </c>
      <c r="B30" s="427" t="str">
        <f>'Portfolio Inputs'!A29</f>
        <v>Hot Water Pipe Insulation</v>
      </c>
      <c r="C30" s="217">
        <f>IF($C$1=2014,'Portfolio Inputs'!$C29,IF($C$1=2015,'Portfolio Inputs'!$D29,'Portfolio Inputs'!$E29))</f>
        <v>22</v>
      </c>
      <c r="D30" s="504">
        <f>VLOOKUP(B30,Sources!$B$4:$J$104,2,FALSE)</f>
        <v>15</v>
      </c>
      <c r="E30" s="504">
        <f>VLOOKUP(B30,Sources!$B$4:$J$104,3,FALSE)</f>
        <v>0</v>
      </c>
      <c r="G30" s="504">
        <f>IF($C$1=2014,'Portfolio Inputs'!$G29,IF($C$1=2015,'Portfolio Inputs'!$H29,'Portfolio Inputs'!$I29))*EnergyLineLoss</f>
        <v>3121.5558019337823</v>
      </c>
      <c r="H30" s="504"/>
      <c r="I30" s="504">
        <f>IF($C$1=2014,'Portfolio Inputs'!$K29,IF($C$1=2015,'Portfolio Inputs'!$L29,'Portfolio Inputs'!$M29))*PeakLineLoss</f>
        <v>0.35634198652212129</v>
      </c>
      <c r="J30" s="510"/>
      <c r="L30" s="606">
        <f>IF($C$1=2014,'Portfolio Inputs'!$O29,IF($C$1=2015,'Portfolio Inputs'!$P29,'Portfolio Inputs'!$Q29))</f>
        <v>0</v>
      </c>
      <c r="M30" s="518">
        <f>VLOOKUP($B30,Sources!$B$4:$K$104,10,FALSE)</f>
        <v>0</v>
      </c>
      <c r="N30" s="419">
        <f>IF($C$1=2014,'Portfolio Inputs'!$W29,IF($C$1=2015,'Portfolio Inputs'!$X29,'Portfolio Inputs'!$Y29))</f>
        <v>0</v>
      </c>
      <c r="O30" s="419"/>
      <c r="Q30" s="438" t="str">
        <f t="shared" si="261"/>
        <v>n/a</v>
      </c>
      <c r="R30" s="439" t="str">
        <f t="shared" si="262"/>
        <v>n/a</v>
      </c>
      <c r="S30" s="439" t="str">
        <f t="shared" si="263"/>
        <v>n/a</v>
      </c>
      <c r="T30" s="439" t="str">
        <f t="shared" si="264"/>
        <v>n/a</v>
      </c>
      <c r="U30" s="439" t="str">
        <f t="shared" si="265"/>
        <v>n/a</v>
      </c>
      <c r="V30" s="439">
        <f t="shared" si="266"/>
        <v>0.30933117233464419</v>
      </c>
      <c r="W30" s="439">
        <f t="shared" si="267"/>
        <v>0.3802434222333807</v>
      </c>
      <c r="Y30" s="215">
        <f t="shared" si="29"/>
        <v>1247.5582601889098</v>
      </c>
      <c r="Z30" s="215">
        <f t="shared" si="30"/>
        <v>315.17354464710013</v>
      </c>
      <c r="AA30" s="215">
        <f t="shared" si="31"/>
        <v>4033.0828955035354</v>
      </c>
      <c r="AB30" s="215">
        <f t="shared" si="32"/>
        <v>3280.9463286999353</v>
      </c>
      <c r="AC30" s="216">
        <f t="shared" si="33"/>
        <v>0</v>
      </c>
      <c r="AD30" s="216">
        <f t="shared" si="34"/>
        <v>0</v>
      </c>
      <c r="AE30" s="215">
        <f t="shared" si="35"/>
        <v>0</v>
      </c>
      <c r="AG30" s="214">
        <f>IF(AND(($E30+$C$1)&gt;AG$4,AG$4&gt;=$C$1),'General Inputs'!D$9*$H30,IF(AND(($D30+$C$1)&gt;AG$4,AG$4&gt;=$C$1),'General Inputs'!D$9*$G30,0))+IF(AND(($E30+$C$1)&gt;AG$4,AG$4&gt;=$C$1),'General Inputs'!D$10*$J30,IF(AND(($D30+$C$1)&gt;AG$4,AG$4&gt;=$C$1),'General Inputs'!D$10*$I30,0))</f>
        <v>129.61209994704805</v>
      </c>
      <c r="AH30" s="214">
        <f>IF(AND(($E30+$C$1)&gt;AH$4,AH$4&gt;=$C$1),'General Inputs'!E$9*$H30,IF(AND(($D30+$C$1)&gt;AH$4,AH$4&gt;=$C$1),'General Inputs'!E$9*$G30,0))+IF(AND(($E30+$C$1)&gt;AH$4,AH$4&gt;=$C$1),'General Inputs'!E$10*$J30,IF(AND(($D30+$C$1)&gt;AH$4,AH$4&gt;=$C$1),'General Inputs'!E$10*$I30,0))</f>
        <v>131.55628144625373</v>
      </c>
      <c r="AI30" s="214">
        <f>IF(AND(($E30+$C$1)&gt;AI$4,AI$4&gt;=$C$1),'General Inputs'!F$9*$H30,IF(AND(($D30+$C$1)&gt;AI$4,AI$4&gt;=$C$1),'General Inputs'!F$9*$G30,0))+IF(AND(($E30+$C$1)&gt;AI$4,AI$4&gt;=$C$1),'General Inputs'!F$10*$J30,IF(AND(($D30+$C$1)&gt;AI$4,AI$4&gt;=$C$1),'General Inputs'!F$10*$I30,0))</f>
        <v>133.52962566794753</v>
      </c>
      <c r="AJ30" s="214">
        <f>IF(AND(($E30+$C$1)&gt;AJ$4,AJ$4&gt;=$C$1),'General Inputs'!G$9*$H30,IF(AND(($D30+$C$1)&gt;AJ$4,AJ$4&gt;=$C$1),'General Inputs'!G$9*$G30,0))+IF(AND(($E30+$C$1)&gt;AJ$4,AJ$4&gt;=$C$1),'General Inputs'!G$10*$J30,IF(AND(($D30+$C$1)&gt;AJ$4,AJ$4&gt;=$C$1),'General Inputs'!G$10*$I30,0))</f>
        <v>135.53257005296672</v>
      </c>
      <c r="AK30" s="214">
        <f>IF(AND(($E30+$C$1)&gt;AK$4,AK$4&gt;=$C$1),'General Inputs'!H$9*$H30,IF(AND(($D30+$C$1)&gt;AK$4,AK$4&gt;=$C$1),'General Inputs'!H$9*$G30,0))+IF(AND(($E30+$C$1)&gt;AK$4,AK$4&gt;=$C$1),'General Inputs'!H$10*$J30,IF(AND(($D30+$C$1)&gt;AK$4,AK$4&gt;=$C$1),'General Inputs'!H$10*$I30,0))</f>
        <v>137.56555860376122</v>
      </c>
      <c r="AL30" s="214">
        <f>IF(AND(($E30+$C$1)&gt;AL$4,AL$4&gt;=$C$1),'General Inputs'!I$9*$H30,IF(AND(($D30+$C$1)&gt;AL$4,AL$4&gt;=$C$1),'General Inputs'!I$9*$G30,0))+IF(AND(($E30+$C$1)&gt;AL$4,AL$4&gt;=$C$1),'General Inputs'!I$10*$J30,IF(AND(($D30+$C$1)&gt;AL$4,AL$4&gt;=$C$1),'General Inputs'!I$10*$I30,0))</f>
        <v>139.62904198281763</v>
      </c>
      <c r="AM30" s="214">
        <f>IF(AND(($E30+$C$1)&gt;AM$4,AM$4&gt;=$C$1),'General Inputs'!J$9*$H30,IF(AND(($D30+$C$1)&gt;AM$4,AM$4&gt;=$C$1),'General Inputs'!J$9*$G30,0))+IF(AND(($E30+$C$1)&gt;AM$4,AM$4&gt;=$C$1),'General Inputs'!J$10*$J30,IF(AND(($D30+$C$1)&gt;AM$4,AM$4&gt;=$C$1),'General Inputs'!J$10*$I30,0))</f>
        <v>141.72347761255986</v>
      </c>
      <c r="AN30" s="214">
        <f>IF(AND(($E30+$C$1)&gt;AN$4,AN$4&gt;=$C$1),'General Inputs'!K$9*$H30,IF(AND(($D30+$C$1)&gt;AN$4,AN$4&gt;=$C$1),'General Inputs'!K$9*$G30,0))+IF(AND(($E30+$C$1)&gt;AN$4,AN$4&gt;=$C$1),'General Inputs'!K$10*$J30,IF(AND(($D30+$C$1)&gt;AN$4,AN$4&gt;=$C$1),'General Inputs'!K$10*$I30,0))</f>
        <v>143.84932977674822</v>
      </c>
      <c r="AO30" s="214">
        <f>IF(AND(($E30+$C$1)&gt;AO$4,AO$4&gt;=$C$1),'General Inputs'!L$9*$H30,IF(AND(($D30+$C$1)&gt;AO$4,AO$4&gt;=$C$1),'General Inputs'!L$9*$G30,0))+IF(AND(($E30+$C$1)&gt;AO$4,AO$4&gt;=$C$1),'General Inputs'!L$10*$J30,IF(AND(($D30+$C$1)&gt;AO$4,AO$4&gt;=$C$1),'General Inputs'!L$10*$I30,0))</f>
        <v>146.00706972339944</v>
      </c>
      <c r="AP30" s="214">
        <f>IF(AND(($E30+$C$1)&gt;AP$4,AP$4&gt;=$C$1),'General Inputs'!M$9*$H30,IF(AND(($D30+$C$1)&gt;AP$4,AP$4&gt;=$C$1),'General Inputs'!M$9*$G30,0))+IF(AND(($E30+$C$1)&gt;AP$4,AP$4&gt;=$C$1),'General Inputs'!M$10*$J30,IF(AND(($D30+$C$1)&gt;AP$4,AP$4&gt;=$C$1),'General Inputs'!M$10*$I30,0))</f>
        <v>148.19717576925041</v>
      </c>
      <c r="AQ30" s="214">
        <f>IF(AND(($E30+$C$1)&gt;AQ$4,AQ$4&gt;=$C$1),'General Inputs'!N$9*$H30,IF(AND(($D30+$C$1)&gt;AQ$4,AQ$4&gt;=$C$1),'General Inputs'!N$9*$G30,0))+IF(AND(($E30+$C$1)&gt;AQ$4,AQ$4&gt;=$C$1),'General Inputs'!N$10*$J30,IF(AND(($D30+$C$1)&gt;AQ$4,AQ$4&gt;=$C$1),'General Inputs'!N$10*$I30,0))</f>
        <v>150.42013340578916</v>
      </c>
      <c r="AR30" s="214">
        <f>IF(AND(($E30+$C$1)&gt;AR$4,AR$4&gt;=$C$1),'General Inputs'!O$9*$H30,IF(AND(($D30+$C$1)&gt;AR$4,AR$4&gt;=$C$1),'General Inputs'!O$9*$G30,0))+IF(AND(($E30+$C$1)&gt;AR$4,AR$4&gt;=$C$1),'General Inputs'!O$10*$J30,IF(AND(($D30+$C$1)&gt;AR$4,AR$4&gt;=$C$1),'General Inputs'!O$10*$I30,0))</f>
        <v>152.67643540687598</v>
      </c>
      <c r="AS30" s="214">
        <f>IF(AND(($E30+$C$1)&gt;AS$4,AS$4&gt;=$C$1),'General Inputs'!P$9*$H30,IF(AND(($D30+$C$1)&gt;AS$4,AS$4&gt;=$C$1),'General Inputs'!P$9*$G30,0))+IF(AND(($E30+$C$1)&gt;AS$4,AS$4&gt;=$C$1),'General Inputs'!P$10*$J30,IF(AND(($D30+$C$1)&gt;AS$4,AS$4&gt;=$C$1),'General Inputs'!P$10*$I30,0))</f>
        <v>154.9665819379791</v>
      </c>
      <c r="AT30" s="214">
        <f>IF(AND(($E30+$C$1)&gt;AT$4,AT$4&gt;=$C$1),'General Inputs'!Q$9*$H30,IF(AND(($D30+$C$1)&gt;AT$4,AT$4&gt;=$C$1),'General Inputs'!Q$9*$G30,0))+IF(AND(($E30+$C$1)&gt;AT$4,AT$4&gt;=$C$1),'General Inputs'!Q$10*$J30,IF(AND(($D30+$C$1)&gt;AT$4,AT$4&gt;=$C$1),'General Inputs'!Q$10*$I30,0))</f>
        <v>157.29108066704879</v>
      </c>
      <c r="AU30" s="214">
        <f>IF(AND(($E30+$C$1)&gt;AU$4,AU$4&gt;=$C$1),'General Inputs'!R$9*$H30,IF(AND(($D30+$C$1)&gt;AU$4,AU$4&gt;=$C$1),'General Inputs'!R$9*$G30,0))+IF(AND(($E30+$C$1)&gt;AU$4,AU$4&gt;=$C$1),'General Inputs'!R$10*$J30,IF(AND(($D30+$C$1)&gt;AU$4,AU$4&gt;=$C$1),'General Inputs'!R$10*$I30,0))</f>
        <v>159.65044687705452</v>
      </c>
      <c r="AV30" s="214">
        <f>IF(AND(($E30+$C$1)&gt;AV$4,AV$4&gt;=$C$1),'General Inputs'!S$9*$H30,IF(AND(($D30+$C$1)&gt;AV$4,AV$4&gt;=$C$1),'General Inputs'!S$9*$G30,0))+IF(AND(($E30+$C$1)&gt;AV$4,AV$4&gt;=$C$1),'General Inputs'!S$10*$J30,IF(AND(($D30+$C$1)&gt;AV$4,AV$4&gt;=$C$1),'General Inputs'!S$10*$I30,0))</f>
        <v>0</v>
      </c>
      <c r="AW30" s="214">
        <f>IF(AND(($E30+$C$1)&gt;AW$4,AW$4&gt;=$C$1),'General Inputs'!T$9*$H30,IF(AND(($D30+$C$1)&gt;AW$4,AW$4&gt;=$C$1),'General Inputs'!T$9*$G30,0))+IF(AND(($E30+$C$1)&gt;AW$4,AW$4&gt;=$C$1),'General Inputs'!T$10*$J30,IF(AND(($D30+$C$1)&gt;AW$4,AW$4&gt;=$C$1),'General Inputs'!T$10*$I30,0))</f>
        <v>0</v>
      </c>
      <c r="AX30" s="214">
        <f>IF(AND(($E30+$C$1)&gt;AX$4,AX$4&gt;=$C$1),'General Inputs'!U$9*$H30,IF(AND(($D30+$C$1)&gt;AX$4,AX$4&gt;=$C$1),'General Inputs'!U$9*$G30,0))+IF(AND(($E30+$C$1)&gt;AX$4,AX$4&gt;=$C$1),'General Inputs'!U$10*$J30,IF(AND(($D30+$C$1)&gt;AX$4,AX$4&gt;=$C$1),'General Inputs'!U$10*$I30,0))</f>
        <v>0</v>
      </c>
      <c r="AY30" s="214">
        <f>IF(AND(($E30+$C$1)&gt;AY$4,AY$4&gt;=$C$1),'General Inputs'!V$9*$H30,IF(AND(($D30+$C$1)&gt;AY$4,AY$4&gt;=$C$1),'General Inputs'!V$9*$G30,0))+IF(AND(($E30+$C$1)&gt;AY$4,AY$4&gt;=$C$1),'General Inputs'!V$10*$J30,IF(AND(($D30+$C$1)&gt;AY$4,AY$4&gt;=$C$1),'General Inputs'!V$10*$I30,0))</f>
        <v>0</v>
      </c>
      <c r="AZ30" s="214">
        <f>IF(AND(($E30+$C$1)&gt;AZ$4,AZ$4&gt;=$C$1),'General Inputs'!W$9*$H30,IF(AND(($D30+$C$1)&gt;AZ$4,AZ$4&gt;=$C$1),'General Inputs'!W$9*$G30,0))+IF(AND(($E30+$C$1)&gt;AZ$4,AZ$4&gt;=$C$1),'General Inputs'!W$10*$J30,IF(AND(($D30+$C$1)&gt;AZ$4,AZ$4&gt;=$C$1),'General Inputs'!W$10*$I30,0))</f>
        <v>0</v>
      </c>
      <c r="BB30" s="214">
        <f>IF(AND(($E30+$C$1)&gt;BB$4,BB$4&gt;=$C$1),'General Inputs'!D$11*$H30,IF(AND(($D30+$C$1)&gt;BB$4,BB$4&gt;=$C$1),'General Inputs'!D$11*$G30,0))</f>
        <v>35.585736142045121</v>
      </c>
      <c r="BC30" s="214">
        <f>IF(AND(($E30+$C$1)&gt;BC$4,BC$4&gt;=$C$1),'General Inputs'!E$11*$H30,IF(AND(($D30+$C$1)&gt;BC$4,BC$4&gt;=$C$1),'General Inputs'!E$11*$G30,0))</f>
        <v>35.585736142045121</v>
      </c>
      <c r="BD30" s="214">
        <f>IF(AND(($E30+$C$1)&gt;BD$4,BD$4&gt;=$C$1),'General Inputs'!F$11*$H30,IF(AND(($D30+$C$1)&gt;BD$4,BD$4&gt;=$C$1),'General Inputs'!F$11*$G30,0))</f>
        <v>35.585736142045121</v>
      </c>
      <c r="BE30" s="214">
        <f>IF(AND(($E30+$C$1)&gt;BE$4,BE$4&gt;=$C$1),'General Inputs'!G$11*$H30,IF(AND(($D30+$C$1)&gt;BE$4,BE$4&gt;=$C$1),'General Inputs'!G$11*$G30,0))</f>
        <v>35.585736142045121</v>
      </c>
      <c r="BF30" s="214">
        <f>IF(AND(($E30+$C$1)&gt;BF$4,BF$4&gt;=$C$1),'General Inputs'!H$11*$H30,IF(AND(($D30+$C$1)&gt;BF$4,BF$4&gt;=$C$1),'General Inputs'!H$11*$G30,0))</f>
        <v>35.585736142045121</v>
      </c>
      <c r="BG30" s="214">
        <f>IF(AND(($E30+$C$1)&gt;BG$4,BG$4&gt;=$C$1),'General Inputs'!I$11*$H30,IF(AND(($D30+$C$1)&gt;BG$4,BG$4&gt;=$C$1),'General Inputs'!I$11*$G30,0))</f>
        <v>35.585736142045121</v>
      </c>
      <c r="BH30" s="214">
        <f>IF(AND(($E30+$C$1)&gt;BH$4,BH$4&gt;=$C$1),'General Inputs'!J$11*$H30,IF(AND(($D30+$C$1)&gt;BH$4,BH$4&gt;=$C$1),'General Inputs'!J$11*$G30,0))</f>
        <v>35.585736142045121</v>
      </c>
      <c r="BI30" s="214">
        <f>IF(AND(($E30+$C$1)&gt;BI$4,BI$4&gt;=$C$1),'General Inputs'!K$11*$H30,IF(AND(($D30+$C$1)&gt;BI$4,BI$4&gt;=$C$1),'General Inputs'!K$11*$G30,0))</f>
        <v>35.585736142045121</v>
      </c>
      <c r="BJ30" s="214">
        <f>IF(AND(($E30+$C$1)&gt;BJ$4,BJ$4&gt;=$C$1),'General Inputs'!L$11*$H30,IF(AND(($D30+$C$1)&gt;BJ$4,BJ$4&gt;=$C$1),'General Inputs'!L$11*$G30,0))</f>
        <v>35.585736142045121</v>
      </c>
      <c r="BK30" s="214">
        <f>IF(AND(($E30+$C$1)&gt;BK$4,BK$4&gt;=$C$1),'General Inputs'!M$11*$H30,IF(AND(($D30+$C$1)&gt;BK$4,BK$4&gt;=$C$1),'General Inputs'!M$11*$G30,0))</f>
        <v>35.585736142045121</v>
      </c>
      <c r="BL30" s="214">
        <f>IF(AND(($E30+$C$1)&gt;BL$4,BL$4&gt;=$C$1),'General Inputs'!N$11*$H30,IF(AND(($D30+$C$1)&gt;BL$4,BL$4&gt;=$C$1),'General Inputs'!N$11*$G30,0))</f>
        <v>35.585736142045121</v>
      </c>
      <c r="BM30" s="214">
        <f>IF(AND(($E30+$C$1)&gt;BM$4,BM$4&gt;=$C$1),'General Inputs'!O$11*$H30,IF(AND(($D30+$C$1)&gt;BM$4,BM$4&gt;=$C$1),'General Inputs'!O$11*$G30,0))</f>
        <v>35.585736142045121</v>
      </c>
      <c r="BN30" s="214">
        <f>IF(AND(($E30+$C$1)&gt;BN$4,BN$4&gt;=$C$1),'General Inputs'!P$11*$H30,IF(AND(($D30+$C$1)&gt;BN$4,BN$4&gt;=$C$1),'General Inputs'!P$11*$G30,0))</f>
        <v>35.585736142045121</v>
      </c>
      <c r="BO30" s="214">
        <f>IF(AND(($E30+$C$1)&gt;BO$4,BO$4&gt;=$C$1),'General Inputs'!Q$11*$H30,IF(AND(($D30+$C$1)&gt;BO$4,BO$4&gt;=$C$1),'General Inputs'!Q$11*$G30,0))</f>
        <v>35.585736142045121</v>
      </c>
      <c r="BP30" s="214">
        <f>IF(AND(($E30+$C$1)&gt;BP$4,BP$4&gt;=$C$1),'General Inputs'!R$11*$H30,IF(AND(($D30+$C$1)&gt;BP$4,BP$4&gt;=$C$1),'General Inputs'!R$11*$G30,0))</f>
        <v>35.585736142045121</v>
      </c>
      <c r="BQ30" s="214">
        <f>IF(AND(($E30+$C$1)&gt;BQ$4,BQ$4&gt;=$C$1),'General Inputs'!S$11*$H30,IF(AND(($D30+$C$1)&gt;BQ$4,BQ$4&gt;=$C$1),'General Inputs'!S$11*$G30,0))</f>
        <v>0</v>
      </c>
      <c r="BR30" s="214">
        <f>IF(AND(($E30+$C$1)&gt;BR$4,BR$4&gt;=$C$1),'General Inputs'!T$11*$H30,IF(AND(($D30+$C$1)&gt;BR$4,BR$4&gt;=$C$1),'General Inputs'!T$11*$G30,0))</f>
        <v>0</v>
      </c>
      <c r="BS30" s="214">
        <f>IF(AND(($E30+$C$1)&gt;BS$4,BS$4&gt;=$C$1),'General Inputs'!U$11*$H30,IF(AND(($D30+$C$1)&gt;BS$4,BS$4&gt;=$C$1),'General Inputs'!U$11*$G30,0))</f>
        <v>0</v>
      </c>
      <c r="BT30" s="214">
        <f>IF(AND(($E30+$C$1)&gt;BT$4,BT$4&gt;=$C$1),'General Inputs'!V$11*$H30,IF(AND(($D30+$C$1)&gt;BT$4,BT$4&gt;=$C$1),'General Inputs'!V$11*$G30,0))</f>
        <v>0</v>
      </c>
      <c r="BU30" s="214">
        <f>IF(AND(($E30+$C$1)&gt;BU$4,BU$4&gt;=$C$1),'General Inputs'!W$11*$H30,IF(AND(($D30+$C$1)&gt;BU$4,BU$4&gt;=$C$1),'General Inputs'!W$11*$G30,0))</f>
        <v>0</v>
      </c>
      <c r="BW30" s="214">
        <f>IF(AND(($E30+$C$1)&gt;BW$4,BW$4&gt;=$C$1),$H30,IF(AND(($D30+$C$1)&gt;BW$4,BW$4&gt;=$C$1),$G30,0))*IF($A30="Residential",'General Inputs'!D$14,'General Inputs'!D$19)</f>
        <v>419.00756063093951</v>
      </c>
      <c r="BX30" s="214">
        <f>IF(AND(($E30+$C$1)&gt;BX$4,BX$4&gt;=$C$1),$H30,IF(AND(($D30+$C$1)&gt;BX$4,BX$4&gt;=$C$1),$G30,0))*IF($A30="Residential",'General Inputs'!E$14,'General Inputs'!E$19)</f>
        <v>425.29267404040354</v>
      </c>
      <c r="BY30" s="214">
        <f>IF(AND(($E30+$C$1)&gt;BY$4,BY$4&gt;=$C$1),$H30,IF(AND(($D30+$C$1)&gt;BY$4,BY$4&gt;=$C$1),$G30,0))*IF($A30="Residential",'General Inputs'!F$14,'General Inputs'!F$19)</f>
        <v>431.67206415100952</v>
      </c>
      <c r="BZ30" s="214">
        <f>IF(AND(($E30+$C$1)&gt;BZ$4,BZ$4&gt;=$C$1),$H30,IF(AND(($D30+$C$1)&gt;BZ$4,BZ$4&gt;=$C$1),$G30,0))*IF($A30="Residential",'General Inputs'!G$14,'General Inputs'!G$19)</f>
        <v>438.14714511327458</v>
      </c>
      <c r="CA30" s="214">
        <f>IF(AND(($E30+$C$1)&gt;CA$4,CA$4&gt;=$C$1),$H30,IF(AND(($D30+$C$1)&gt;CA$4,CA$4&gt;=$C$1),$G30,0))*IF($A30="Residential",'General Inputs'!H$14,'General Inputs'!H$19)</f>
        <v>444.71935228997364</v>
      </c>
      <c r="CB30" s="214">
        <f>IF(AND(($E30+$C$1)&gt;CB$4,CB$4&gt;=$C$1),$H30,IF(AND(($D30+$C$1)&gt;CB$4,CB$4&gt;=$C$1),$G30,0))*IF($A30="Residential",'General Inputs'!I$14,'General Inputs'!I$19)</f>
        <v>451.39014257432325</v>
      </c>
      <c r="CC30" s="214">
        <f>IF(AND(($E30+$C$1)&gt;CC$4,CC$4&gt;=$C$1),$H30,IF(AND(($D30+$C$1)&gt;CC$4,CC$4&gt;=$C$1),$G30,0))*IF($A30="Residential",'General Inputs'!J$14,'General Inputs'!J$19)</f>
        <v>458.16099471293802</v>
      </c>
      <c r="CD30" s="214">
        <f>IF(AND(($E30+$C$1)&gt;CD$4,CD$4&gt;=$C$1),$H30,IF(AND(($D30+$C$1)&gt;CD$4,CD$4&gt;=$C$1),$G30,0))*IF($A30="Residential",'General Inputs'!K$14,'General Inputs'!K$19)</f>
        <v>465.033409633632</v>
      </c>
      <c r="CE30" s="214">
        <f>IF(AND(($E30+$C$1)&gt;CE$4,CE$4&gt;=$C$1),$H30,IF(AND(($D30+$C$1)&gt;CE$4,CE$4&gt;=$C$1),$G30,0))*IF($A30="Residential",'General Inputs'!L$14,'General Inputs'!L$19)</f>
        <v>472.0089107781364</v>
      </c>
      <c r="CF30" s="214">
        <f>IF(AND(($E30+$C$1)&gt;CF$4,CF$4&gt;=$C$1),$H30,IF(AND(($D30+$C$1)&gt;CF$4,CF$4&gt;=$C$1),$G30,0))*IF($A30="Residential",'General Inputs'!M$14,'General Inputs'!M$19)</f>
        <v>479.08904443980839</v>
      </c>
      <c r="CG30" s="214">
        <f>IF(AND(($E30+$C$1)&gt;CG$4,CG$4&gt;=$C$1),$H30,IF(AND(($D30+$C$1)&gt;CG$4,CG$4&gt;=$C$1),$G30,0))*IF($A30="Residential",'General Inputs'!N$14,'General Inputs'!N$19)</f>
        <v>486.27538010640552</v>
      </c>
      <c r="CH30" s="214">
        <f>IF(AND(($E30+$C$1)&gt;CH$4,CH$4&gt;=$C$1),$H30,IF(AND(($D30+$C$1)&gt;CH$4,CH$4&gt;=$C$1),$G30,0))*IF($A30="Residential",'General Inputs'!O$14,'General Inputs'!O$19)</f>
        <v>493.56951080800155</v>
      </c>
      <c r="CI30" s="214">
        <f>IF(AND(($E30+$C$1)&gt;CI$4,CI$4&gt;=$C$1),$H30,IF(AND(($D30+$C$1)&gt;CI$4,CI$4&gt;=$C$1),$G30,0))*IF($A30="Residential",'General Inputs'!P$14,'General Inputs'!P$19)</f>
        <v>500.9730534701215</v>
      </c>
      <c r="CJ30" s="214">
        <f>IF(AND(($E30+$C$1)&gt;CJ$4,CJ$4&gt;=$C$1),$H30,IF(AND(($D30+$C$1)&gt;CJ$4,CJ$4&gt;=$C$1),$G30,0))*IF($A30="Residential",'General Inputs'!Q$14,'General Inputs'!Q$19)</f>
        <v>508.48764927217326</v>
      </c>
      <c r="CK30" s="214">
        <f>IF(AND(($E30+$C$1)&gt;CK$4,CK$4&gt;=$C$1),$H30,IF(AND(($D30+$C$1)&gt;CK$4,CK$4&gt;=$C$1),$G30,0))*IF($A30="Residential",'General Inputs'!R$14,'General Inputs'!R$19)</f>
        <v>516.11496401125578</v>
      </c>
      <c r="CL30" s="214">
        <f>IF(AND(($E30+$C$1)&gt;CL$4,CL$4&gt;=$C$1),$H30,IF(AND(($D30+$C$1)&gt;CL$4,CL$4&gt;=$C$1),$G30,0))*IF($A30="Residential",'General Inputs'!S$14,'General Inputs'!S$19)</f>
        <v>0</v>
      </c>
      <c r="CM30" s="214">
        <f>IF(AND(($E30+$C$1)&gt;CM$4,CM$4&gt;=$C$1),$H30,IF(AND(($D30+$C$1)&gt;CM$4,CM$4&gt;=$C$1),$G30,0))*IF($A30="Residential",'General Inputs'!T$14,'General Inputs'!T$19)</f>
        <v>0</v>
      </c>
      <c r="CN30" s="214">
        <f>IF(AND(($E30+$C$1)&gt;CN$4,CN$4&gt;=$C$1),$H30,IF(AND(($D30+$C$1)&gt;CN$4,CN$4&gt;=$C$1),$G30,0))*IF($A30="Residential",'General Inputs'!U$14,'General Inputs'!U$19)</f>
        <v>0</v>
      </c>
      <c r="CO30" s="214">
        <f>IF(AND(($E30+$C$1)&gt;CO$4,CO$4&gt;=$C$1),$H30,IF(AND(($D30+$C$1)&gt;CO$4,CO$4&gt;=$C$1),$G30,0))*IF($A30="Residential",'General Inputs'!V$14,'General Inputs'!V$19)</f>
        <v>0</v>
      </c>
      <c r="CP30" s="214">
        <f>IF(AND(($E30+$C$1)&gt;CP$4,CP$4&gt;=$C$1),$H30,IF(AND(($D30+$C$1)&gt;CP$4,CP$4&gt;=$C$1),$G30,0))*IF($A30="Residential",'General Inputs'!W$14,'General Inputs'!W$19)</f>
        <v>0</v>
      </c>
      <c r="CR30" s="214">
        <f>IF(AND(($E30+$C$1)&gt;CR$4,CR$4&gt;=$C$1),$H30,IF(AND(($D30+$C$1)&gt;CR$4,CR$4&gt;=$C$1),$G30,0))*IF($A30="Residential",'General Inputs'!D$15,'General Inputs'!D$19)</f>
        <v>340.86611988121763</v>
      </c>
      <c r="CS30" s="214">
        <f>IF(AND(($E30+$C$1)&gt;CS$4,CS$4&gt;=$C$1),$H30,IF(AND(($D30+$C$1)&gt;CS$4,CS$4&gt;=$C$1),$G30,0))*IF($A30="Residential",'General Inputs'!E$15,'General Inputs'!E$19)</f>
        <v>345.97911167943585</v>
      </c>
      <c r="CT30" s="214">
        <f>IF(AND(($E30+$C$1)&gt;CT$4,CT$4&gt;=$C$1),$H30,IF(AND(($D30+$C$1)&gt;CT$4,CT$4&gt;=$C$1),$G30,0))*IF($A30="Residential",'General Inputs'!F$15,'General Inputs'!F$19)</f>
        <v>351.16879835462737</v>
      </c>
      <c r="CU30" s="214">
        <f>IF(AND(($E30+$C$1)&gt;CU$4,CU$4&gt;=$C$1),$H30,IF(AND(($D30+$C$1)&gt;CU$4,CU$4&gt;=$C$1),$G30,0))*IF($A30="Residential",'General Inputs'!G$15,'General Inputs'!G$19)</f>
        <v>356.43633032994677</v>
      </c>
      <c r="CV30" s="214">
        <f>IF(AND(($E30+$C$1)&gt;CV$4,CV$4&gt;=$C$1),$H30,IF(AND(($D30+$C$1)&gt;CV$4,CV$4&gt;=$C$1),$G30,0))*IF($A30="Residential",'General Inputs'!H$15,'General Inputs'!H$19)</f>
        <v>361.78287528489591</v>
      </c>
      <c r="CW30" s="214">
        <f>IF(AND(($E30+$C$1)&gt;CW$4,CW$4&gt;=$C$1),$H30,IF(AND(($D30+$C$1)&gt;CW$4,CW$4&gt;=$C$1),$G30,0))*IF($A30="Residential",'General Inputs'!I$15,'General Inputs'!I$19)</f>
        <v>367.20961841416931</v>
      </c>
      <c r="CX30" s="214">
        <f>IF(AND(($E30+$C$1)&gt;CX$4,CX$4&gt;=$C$1),$H30,IF(AND(($D30+$C$1)&gt;CX$4,CX$4&gt;=$C$1),$G30,0))*IF($A30="Residential",'General Inputs'!J$15,'General Inputs'!J$19)</f>
        <v>372.71776269038185</v>
      </c>
      <c r="CY30" s="214">
        <f>IF(AND(($E30+$C$1)&gt;CY$4,CY$4&gt;=$C$1),$H30,IF(AND(($D30+$C$1)&gt;CY$4,CY$4&gt;=$C$1),$G30,0))*IF($A30="Residential",'General Inputs'!K$15,'General Inputs'!K$19)</f>
        <v>378.3085291307375</v>
      </c>
      <c r="CZ30" s="214">
        <f>IF(AND(($E30+$C$1)&gt;CZ$4,CZ$4&gt;=$C$1),$H30,IF(AND(($D30+$C$1)&gt;CZ$4,CZ$4&gt;=$C$1),$G30,0))*IF($A30="Residential",'General Inputs'!L$15,'General Inputs'!L$19)</f>
        <v>383.98315706769853</v>
      </c>
      <c r="DA30" s="214">
        <f>IF(AND(($E30+$C$1)&gt;DA$4,DA$4&gt;=$C$1),$H30,IF(AND(($D30+$C$1)&gt;DA$4,DA$4&gt;=$C$1),$G30,0))*IF($A30="Residential",'General Inputs'!M$15,'General Inputs'!M$19)</f>
        <v>389.74290442371398</v>
      </c>
      <c r="DB30" s="214">
        <f>IF(AND(($E30+$C$1)&gt;DB$4,DB$4&gt;=$C$1),$H30,IF(AND(($D30+$C$1)&gt;DB$4,DB$4&gt;=$C$1),$G30,0))*IF($A30="Residential",'General Inputs'!N$15,'General Inputs'!N$19)</f>
        <v>395.58904799006962</v>
      </c>
      <c r="DC30" s="214">
        <f>IF(AND(($E30+$C$1)&gt;DC$4,DC$4&gt;=$C$1),$H30,IF(AND(($D30+$C$1)&gt;DC$4,DC$4&gt;=$C$1),$G30,0))*IF($A30="Residential",'General Inputs'!O$15,'General Inputs'!O$19)</f>
        <v>401.52288370992062</v>
      </c>
      <c r="DD30" s="214">
        <f>IF(AND(($E30+$C$1)&gt;DD$4,DD$4&gt;=$C$1),$H30,IF(AND(($D30+$C$1)&gt;DD$4,DD$4&gt;=$C$1),$G30,0))*IF($A30="Residential",'General Inputs'!P$15,'General Inputs'!P$19)</f>
        <v>407.54572696556943</v>
      </c>
      <c r="DE30" s="214">
        <f>IF(AND(($E30+$C$1)&gt;DE$4,DE$4&gt;=$C$1),$H30,IF(AND(($D30+$C$1)&gt;DE$4,DE$4&gt;=$C$1),$G30,0))*IF($A30="Residential",'General Inputs'!Q$15,'General Inputs'!Q$19)</f>
        <v>413.65891287005292</v>
      </c>
      <c r="DF30" s="214">
        <f>IF(AND(($E30+$C$1)&gt;DF$4,DF$4&gt;=$C$1),$H30,IF(AND(($D30+$C$1)&gt;DF$4,DF$4&gt;=$C$1),$G30,0))*IF($A30="Residential",'General Inputs'!R$15,'General Inputs'!R$19)</f>
        <v>419.86379656310368</v>
      </c>
      <c r="DG30" s="214">
        <f>IF(AND(($E30+$C$1)&gt;DG$4,DG$4&gt;=$C$1),$H30,IF(AND(($D30+$C$1)&gt;DG$4,DG$4&gt;=$C$1),$G30,0))*IF($A30="Residential",'General Inputs'!S$15,'General Inputs'!S$19)</f>
        <v>0</v>
      </c>
      <c r="DH30" s="214">
        <f>IF(AND(($E30+$C$1)&gt;DH$4,DH$4&gt;=$C$1),$H30,IF(AND(($D30+$C$1)&gt;DH$4,DH$4&gt;=$C$1),$G30,0))*IF($A30="Residential",'General Inputs'!T$15,'General Inputs'!T$19)</f>
        <v>0</v>
      </c>
      <c r="DI30" s="214">
        <f>IF(AND(($E30+$C$1)&gt;DI$4,DI$4&gt;=$C$1),$H30,IF(AND(($D30+$C$1)&gt;DI$4,DI$4&gt;=$C$1),$G30,0))*IF($A30="Residential",'General Inputs'!U$15,'General Inputs'!U$19)</f>
        <v>0</v>
      </c>
      <c r="DJ30" s="214">
        <f>IF(AND(($E30+$C$1)&gt;DJ$4,DJ$4&gt;=$C$1),$H30,IF(AND(($D30+$C$1)&gt;DJ$4,DJ$4&gt;=$C$1),$G30,0))*IF($A30="Residential",'General Inputs'!V$15,'General Inputs'!V$19)</f>
        <v>0</v>
      </c>
      <c r="DK30" s="214">
        <f>IF(AND(($E30+$C$1)&gt;DK$4,DK$4&gt;=$C$1),$H30,IF(AND(($D30+$C$1)&gt;DK$4,DK$4&gt;=$C$1),$G30,0))*IF($A30="Residential",'General Inputs'!W$15,'General Inputs'!W$19)</f>
        <v>0</v>
      </c>
      <c r="DM30" s="214">
        <f t="shared" si="200"/>
        <v>0</v>
      </c>
      <c r="DN30" s="214">
        <f t="shared" si="200"/>
        <v>0</v>
      </c>
      <c r="DO30" s="214">
        <f t="shared" si="200"/>
        <v>0</v>
      </c>
      <c r="DP30" s="214">
        <f t="shared" si="200"/>
        <v>0</v>
      </c>
      <c r="DQ30" s="214">
        <f t="shared" si="200"/>
        <v>0</v>
      </c>
      <c r="DR30" s="214">
        <f t="shared" si="200"/>
        <v>0</v>
      </c>
      <c r="DS30" s="214">
        <f t="shared" si="200"/>
        <v>0</v>
      </c>
      <c r="DT30" s="214">
        <f t="shared" si="200"/>
        <v>0</v>
      </c>
      <c r="DU30" s="214">
        <f t="shared" si="200"/>
        <v>0</v>
      </c>
      <c r="DV30" s="214">
        <f t="shared" si="200"/>
        <v>0</v>
      </c>
      <c r="DW30" s="214">
        <f t="shared" si="200"/>
        <v>0</v>
      </c>
      <c r="DZ30" s="650"/>
      <c r="FI30" s="195"/>
      <c r="FJ30" s="195"/>
      <c r="FK30" s="195"/>
      <c r="FL30" s="195"/>
      <c r="FM30" s="195"/>
      <c r="FN30" s="195"/>
      <c r="FO30" s="195"/>
    </row>
    <row r="31" spans="1:171">
      <c r="A31" s="342" t="s">
        <v>12</v>
      </c>
      <c r="B31" s="427" t="str">
        <f>'Portfolio Inputs'!A30</f>
        <v>Water Heater Temperature Setback</v>
      </c>
      <c r="C31" s="217">
        <f>IF($C$1=2014,'Portfolio Inputs'!$C30,IF($C$1=2015,'Portfolio Inputs'!$D30,'Portfolio Inputs'!$E30))</f>
        <v>22</v>
      </c>
      <c r="D31" s="504">
        <f>VLOOKUP(B31,Sources!$B$4:$J$104,2,FALSE)</f>
        <v>2</v>
      </c>
      <c r="E31" s="504">
        <f>VLOOKUP(B31,Sources!$B$4:$J$104,3,FALSE)</f>
        <v>0</v>
      </c>
      <c r="G31" s="504">
        <f>IF($C$1=2014,'Portfolio Inputs'!$G30,IF($C$1=2015,'Portfolio Inputs'!$H30,'Portfolio Inputs'!$I30))*EnergyLineLoss</f>
        <v>1990.1376</v>
      </c>
      <c r="H31" s="504"/>
      <c r="I31" s="504">
        <f>IF($C$1=2014,'Portfolio Inputs'!$K30,IF($C$1=2015,'Portfolio Inputs'!$L30,'Portfolio Inputs'!$M30))*PeakLineLoss</f>
        <v>0.22702915811088295</v>
      </c>
      <c r="J31" s="510"/>
      <c r="L31" s="606">
        <f>IF($C$1=2014,'Portfolio Inputs'!$O30,IF($C$1=2015,'Portfolio Inputs'!$P30,'Portfolio Inputs'!$Q30))</f>
        <v>0</v>
      </c>
      <c r="M31" s="518">
        <f>VLOOKUP($B31,Sources!$B$4:$K$104,10,FALSE)</f>
        <v>0</v>
      </c>
      <c r="N31" s="419">
        <f>IF($C$1=2014,'Portfolio Inputs'!$W30,IF($C$1=2015,'Portfolio Inputs'!$X30,'Portfolio Inputs'!$Y30))</f>
        <v>0</v>
      </c>
      <c r="O31" s="419"/>
      <c r="Q31" s="438" t="str">
        <f t="shared" si="261"/>
        <v>n/a</v>
      </c>
      <c r="R31" s="439" t="str">
        <f t="shared" si="262"/>
        <v>n/a</v>
      </c>
      <c r="S31" s="439" t="str">
        <f t="shared" si="263"/>
        <v>n/a</v>
      </c>
      <c r="T31" s="439" t="str">
        <f t="shared" si="264"/>
        <v>n/a</v>
      </c>
      <c r="U31" s="439" t="str">
        <f t="shared" si="265"/>
        <v>n/a</v>
      </c>
      <c r="V31" s="439">
        <f t="shared" si="266"/>
        <v>0.30932245599847835</v>
      </c>
      <c r="W31" s="439">
        <f t="shared" si="267"/>
        <v>0.38023270773128898</v>
      </c>
      <c r="Y31" s="215">
        <f t="shared" si="29"/>
        <v>159.69034083349894</v>
      </c>
      <c r="Z31" s="215">
        <f t="shared" si="30"/>
        <v>43.532449786637272</v>
      </c>
      <c r="AA31" s="215">
        <f t="shared" si="31"/>
        <v>516.25847957926635</v>
      </c>
      <c r="AB31" s="215">
        <f t="shared" si="32"/>
        <v>419.9805476659634</v>
      </c>
      <c r="AC31" s="216">
        <f t="shared" si="33"/>
        <v>0</v>
      </c>
      <c r="AD31" s="216">
        <f t="shared" si="34"/>
        <v>0</v>
      </c>
      <c r="AE31" s="215">
        <f t="shared" si="35"/>
        <v>0</v>
      </c>
      <c r="AG31" s="214">
        <f>IF(AND(($E31+$C$1)&gt;AG$4,AG$4&gt;=$C$1),'General Inputs'!D$9*$H31,IF(AND(($D31+$C$1)&gt;AG$4,AG$4&gt;=$C$1),'General Inputs'!D$9*$G31,0))+IF(AND(($E31+$C$1)&gt;AG$4,AG$4&gt;=$C$1),'General Inputs'!D$10*$J31,IF(AND(($D31+$C$1)&gt;AG$4,AG$4&gt;=$C$1),'General Inputs'!D$10*$I31,0))</f>
        <v>82.631438130255901</v>
      </c>
      <c r="AH31" s="214">
        <f>IF(AND(($E31+$C$1)&gt;AH$4,AH$4&gt;=$C$1),'General Inputs'!E$9*$H31,IF(AND(($D31+$C$1)&gt;AH$4,AH$4&gt;=$C$1),'General Inputs'!E$9*$G31,0))+IF(AND(($E31+$C$1)&gt;AH$4,AH$4&gt;=$C$1),'General Inputs'!E$10*$J31,IF(AND(($D31+$C$1)&gt;AH$4,AH$4&gt;=$C$1),'General Inputs'!E$10*$I31,0))</f>
        <v>83.87090970220973</v>
      </c>
      <c r="AI31" s="214">
        <f>IF(AND(($E31+$C$1)&gt;AI$4,AI$4&gt;=$C$1),'General Inputs'!F$9*$H31,IF(AND(($D31+$C$1)&gt;AI$4,AI$4&gt;=$C$1),'General Inputs'!F$9*$G31,0))+IF(AND(($E31+$C$1)&gt;AI$4,AI$4&gt;=$C$1),'General Inputs'!F$10*$J31,IF(AND(($D31+$C$1)&gt;AI$4,AI$4&gt;=$C$1),'General Inputs'!F$10*$I31,0))</f>
        <v>0</v>
      </c>
      <c r="AJ31" s="214">
        <f>IF(AND(($E31+$C$1)&gt;AJ$4,AJ$4&gt;=$C$1),'General Inputs'!G$9*$H31,IF(AND(($D31+$C$1)&gt;AJ$4,AJ$4&gt;=$C$1),'General Inputs'!G$9*$G31,0))+IF(AND(($E31+$C$1)&gt;AJ$4,AJ$4&gt;=$C$1),'General Inputs'!G$10*$J31,IF(AND(($D31+$C$1)&gt;AJ$4,AJ$4&gt;=$C$1),'General Inputs'!G$10*$I31,0))</f>
        <v>0</v>
      </c>
      <c r="AK31" s="214">
        <f>IF(AND(($E31+$C$1)&gt;AK$4,AK$4&gt;=$C$1),'General Inputs'!H$9*$H31,IF(AND(($D31+$C$1)&gt;AK$4,AK$4&gt;=$C$1),'General Inputs'!H$9*$G31,0))+IF(AND(($E31+$C$1)&gt;AK$4,AK$4&gt;=$C$1),'General Inputs'!H$10*$J31,IF(AND(($D31+$C$1)&gt;AK$4,AK$4&gt;=$C$1),'General Inputs'!H$10*$I31,0))</f>
        <v>0</v>
      </c>
      <c r="AL31" s="214">
        <f>IF(AND(($E31+$C$1)&gt;AL$4,AL$4&gt;=$C$1),'General Inputs'!I$9*$H31,IF(AND(($D31+$C$1)&gt;AL$4,AL$4&gt;=$C$1),'General Inputs'!I$9*$G31,0))+IF(AND(($E31+$C$1)&gt;AL$4,AL$4&gt;=$C$1),'General Inputs'!I$10*$J31,IF(AND(($D31+$C$1)&gt;AL$4,AL$4&gt;=$C$1),'General Inputs'!I$10*$I31,0))</f>
        <v>0</v>
      </c>
      <c r="AM31" s="214">
        <f>IF(AND(($E31+$C$1)&gt;AM$4,AM$4&gt;=$C$1),'General Inputs'!J$9*$H31,IF(AND(($D31+$C$1)&gt;AM$4,AM$4&gt;=$C$1),'General Inputs'!J$9*$G31,0))+IF(AND(($E31+$C$1)&gt;AM$4,AM$4&gt;=$C$1),'General Inputs'!J$10*$J31,IF(AND(($D31+$C$1)&gt;AM$4,AM$4&gt;=$C$1),'General Inputs'!J$10*$I31,0))</f>
        <v>0</v>
      </c>
      <c r="AN31" s="214">
        <f>IF(AND(($E31+$C$1)&gt;AN$4,AN$4&gt;=$C$1),'General Inputs'!K$9*$H31,IF(AND(($D31+$C$1)&gt;AN$4,AN$4&gt;=$C$1),'General Inputs'!K$9*$G31,0))+IF(AND(($E31+$C$1)&gt;AN$4,AN$4&gt;=$C$1),'General Inputs'!K$10*$J31,IF(AND(($D31+$C$1)&gt;AN$4,AN$4&gt;=$C$1),'General Inputs'!K$10*$I31,0))</f>
        <v>0</v>
      </c>
      <c r="AO31" s="214">
        <f>IF(AND(($E31+$C$1)&gt;AO$4,AO$4&gt;=$C$1),'General Inputs'!L$9*$H31,IF(AND(($D31+$C$1)&gt;AO$4,AO$4&gt;=$C$1),'General Inputs'!L$9*$G31,0))+IF(AND(($E31+$C$1)&gt;AO$4,AO$4&gt;=$C$1),'General Inputs'!L$10*$J31,IF(AND(($D31+$C$1)&gt;AO$4,AO$4&gt;=$C$1),'General Inputs'!L$10*$I31,0))</f>
        <v>0</v>
      </c>
      <c r="AP31" s="214">
        <f>IF(AND(($E31+$C$1)&gt;AP$4,AP$4&gt;=$C$1),'General Inputs'!M$9*$H31,IF(AND(($D31+$C$1)&gt;AP$4,AP$4&gt;=$C$1),'General Inputs'!M$9*$G31,0))+IF(AND(($E31+$C$1)&gt;AP$4,AP$4&gt;=$C$1),'General Inputs'!M$10*$J31,IF(AND(($D31+$C$1)&gt;AP$4,AP$4&gt;=$C$1),'General Inputs'!M$10*$I31,0))</f>
        <v>0</v>
      </c>
      <c r="AQ31" s="214">
        <f>IF(AND(($E31+$C$1)&gt;AQ$4,AQ$4&gt;=$C$1),'General Inputs'!N$9*$H31,IF(AND(($D31+$C$1)&gt;AQ$4,AQ$4&gt;=$C$1),'General Inputs'!N$9*$G31,0))+IF(AND(($E31+$C$1)&gt;AQ$4,AQ$4&gt;=$C$1),'General Inputs'!N$10*$J31,IF(AND(($D31+$C$1)&gt;AQ$4,AQ$4&gt;=$C$1),'General Inputs'!N$10*$I31,0))</f>
        <v>0</v>
      </c>
      <c r="AR31" s="214">
        <f>IF(AND(($E31+$C$1)&gt;AR$4,AR$4&gt;=$C$1),'General Inputs'!O$9*$H31,IF(AND(($D31+$C$1)&gt;AR$4,AR$4&gt;=$C$1),'General Inputs'!O$9*$G31,0))+IF(AND(($E31+$C$1)&gt;AR$4,AR$4&gt;=$C$1),'General Inputs'!O$10*$J31,IF(AND(($D31+$C$1)&gt;AR$4,AR$4&gt;=$C$1),'General Inputs'!O$10*$I31,0))</f>
        <v>0</v>
      </c>
      <c r="AS31" s="214">
        <f>IF(AND(($E31+$C$1)&gt;AS$4,AS$4&gt;=$C$1),'General Inputs'!P$9*$H31,IF(AND(($D31+$C$1)&gt;AS$4,AS$4&gt;=$C$1),'General Inputs'!P$9*$G31,0))+IF(AND(($E31+$C$1)&gt;AS$4,AS$4&gt;=$C$1),'General Inputs'!P$10*$J31,IF(AND(($D31+$C$1)&gt;AS$4,AS$4&gt;=$C$1),'General Inputs'!P$10*$I31,0))</f>
        <v>0</v>
      </c>
      <c r="AT31" s="214">
        <f>IF(AND(($E31+$C$1)&gt;AT$4,AT$4&gt;=$C$1),'General Inputs'!Q$9*$H31,IF(AND(($D31+$C$1)&gt;AT$4,AT$4&gt;=$C$1),'General Inputs'!Q$9*$G31,0))+IF(AND(($E31+$C$1)&gt;AT$4,AT$4&gt;=$C$1),'General Inputs'!Q$10*$J31,IF(AND(($D31+$C$1)&gt;AT$4,AT$4&gt;=$C$1),'General Inputs'!Q$10*$I31,0))</f>
        <v>0</v>
      </c>
      <c r="AU31" s="214">
        <f>IF(AND(($E31+$C$1)&gt;AU$4,AU$4&gt;=$C$1),'General Inputs'!R$9*$H31,IF(AND(($D31+$C$1)&gt;AU$4,AU$4&gt;=$C$1),'General Inputs'!R$9*$G31,0))+IF(AND(($E31+$C$1)&gt;AU$4,AU$4&gt;=$C$1),'General Inputs'!R$10*$J31,IF(AND(($D31+$C$1)&gt;AU$4,AU$4&gt;=$C$1),'General Inputs'!R$10*$I31,0))</f>
        <v>0</v>
      </c>
      <c r="AV31" s="214">
        <f>IF(AND(($E31+$C$1)&gt;AV$4,AV$4&gt;=$C$1),'General Inputs'!S$9*$H31,IF(AND(($D31+$C$1)&gt;AV$4,AV$4&gt;=$C$1),'General Inputs'!S$9*$G31,0))+IF(AND(($E31+$C$1)&gt;AV$4,AV$4&gt;=$C$1),'General Inputs'!S$10*$J31,IF(AND(($D31+$C$1)&gt;AV$4,AV$4&gt;=$C$1),'General Inputs'!S$10*$I31,0))</f>
        <v>0</v>
      </c>
      <c r="AW31" s="214">
        <f>IF(AND(($E31+$C$1)&gt;AW$4,AW$4&gt;=$C$1),'General Inputs'!T$9*$H31,IF(AND(($D31+$C$1)&gt;AW$4,AW$4&gt;=$C$1),'General Inputs'!T$9*$G31,0))+IF(AND(($E31+$C$1)&gt;AW$4,AW$4&gt;=$C$1),'General Inputs'!T$10*$J31,IF(AND(($D31+$C$1)&gt;AW$4,AW$4&gt;=$C$1),'General Inputs'!T$10*$I31,0))</f>
        <v>0</v>
      </c>
      <c r="AX31" s="214">
        <f>IF(AND(($E31+$C$1)&gt;AX$4,AX$4&gt;=$C$1),'General Inputs'!U$9*$H31,IF(AND(($D31+$C$1)&gt;AX$4,AX$4&gt;=$C$1),'General Inputs'!U$9*$G31,0))+IF(AND(($E31+$C$1)&gt;AX$4,AX$4&gt;=$C$1),'General Inputs'!U$10*$J31,IF(AND(($D31+$C$1)&gt;AX$4,AX$4&gt;=$C$1),'General Inputs'!U$10*$I31,0))</f>
        <v>0</v>
      </c>
      <c r="AY31" s="214">
        <f>IF(AND(($E31+$C$1)&gt;AY$4,AY$4&gt;=$C$1),'General Inputs'!V$9*$H31,IF(AND(($D31+$C$1)&gt;AY$4,AY$4&gt;=$C$1),'General Inputs'!V$9*$G31,0))+IF(AND(($E31+$C$1)&gt;AY$4,AY$4&gt;=$C$1),'General Inputs'!V$10*$J31,IF(AND(($D31+$C$1)&gt;AY$4,AY$4&gt;=$C$1),'General Inputs'!V$10*$I31,0))</f>
        <v>0</v>
      </c>
      <c r="AZ31" s="214">
        <f>IF(AND(($E31+$C$1)&gt;AZ$4,AZ$4&gt;=$C$1),'General Inputs'!W$9*$H31,IF(AND(($D31+$C$1)&gt;AZ$4,AZ$4&gt;=$C$1),'General Inputs'!W$9*$G31,0))+IF(AND(($E31+$C$1)&gt;AZ$4,AZ$4&gt;=$C$1),'General Inputs'!W$10*$J31,IF(AND(($D31+$C$1)&gt;AZ$4,AZ$4&gt;=$C$1),'General Inputs'!W$10*$I31,0))</f>
        <v>0</v>
      </c>
      <c r="BB31" s="214">
        <f>IF(AND(($E31+$C$1)&gt;BB$4,BB$4&gt;=$C$1),'General Inputs'!D$11*$H31,IF(AND(($D31+$C$1)&gt;BB$4,BB$4&gt;=$C$1),'General Inputs'!D$11*$G31,0))</f>
        <v>22.687568640000002</v>
      </c>
      <c r="BC31" s="214">
        <f>IF(AND(($E31+$C$1)&gt;BC$4,BC$4&gt;=$C$1),'General Inputs'!E$11*$H31,IF(AND(($D31+$C$1)&gt;BC$4,BC$4&gt;=$C$1),'General Inputs'!E$11*$G31,0))</f>
        <v>22.687568640000002</v>
      </c>
      <c r="BD31" s="214">
        <f>IF(AND(($E31+$C$1)&gt;BD$4,BD$4&gt;=$C$1),'General Inputs'!F$11*$H31,IF(AND(($D31+$C$1)&gt;BD$4,BD$4&gt;=$C$1),'General Inputs'!F$11*$G31,0))</f>
        <v>0</v>
      </c>
      <c r="BE31" s="214">
        <f>IF(AND(($E31+$C$1)&gt;BE$4,BE$4&gt;=$C$1),'General Inputs'!G$11*$H31,IF(AND(($D31+$C$1)&gt;BE$4,BE$4&gt;=$C$1),'General Inputs'!G$11*$G31,0))</f>
        <v>0</v>
      </c>
      <c r="BF31" s="214">
        <f>IF(AND(($E31+$C$1)&gt;BF$4,BF$4&gt;=$C$1),'General Inputs'!H$11*$H31,IF(AND(($D31+$C$1)&gt;BF$4,BF$4&gt;=$C$1),'General Inputs'!H$11*$G31,0))</f>
        <v>0</v>
      </c>
      <c r="BG31" s="214">
        <f>IF(AND(($E31+$C$1)&gt;BG$4,BG$4&gt;=$C$1),'General Inputs'!I$11*$H31,IF(AND(($D31+$C$1)&gt;BG$4,BG$4&gt;=$C$1),'General Inputs'!I$11*$G31,0))</f>
        <v>0</v>
      </c>
      <c r="BH31" s="214">
        <f>IF(AND(($E31+$C$1)&gt;BH$4,BH$4&gt;=$C$1),'General Inputs'!J$11*$H31,IF(AND(($D31+$C$1)&gt;BH$4,BH$4&gt;=$C$1),'General Inputs'!J$11*$G31,0))</f>
        <v>0</v>
      </c>
      <c r="BI31" s="214">
        <f>IF(AND(($E31+$C$1)&gt;BI$4,BI$4&gt;=$C$1),'General Inputs'!K$11*$H31,IF(AND(($D31+$C$1)&gt;BI$4,BI$4&gt;=$C$1),'General Inputs'!K$11*$G31,0))</f>
        <v>0</v>
      </c>
      <c r="BJ31" s="214">
        <f>IF(AND(($E31+$C$1)&gt;BJ$4,BJ$4&gt;=$C$1),'General Inputs'!L$11*$H31,IF(AND(($D31+$C$1)&gt;BJ$4,BJ$4&gt;=$C$1),'General Inputs'!L$11*$G31,0))</f>
        <v>0</v>
      </c>
      <c r="BK31" s="214">
        <f>IF(AND(($E31+$C$1)&gt;BK$4,BK$4&gt;=$C$1),'General Inputs'!M$11*$H31,IF(AND(($D31+$C$1)&gt;BK$4,BK$4&gt;=$C$1),'General Inputs'!M$11*$G31,0))</f>
        <v>0</v>
      </c>
      <c r="BL31" s="214">
        <f>IF(AND(($E31+$C$1)&gt;BL$4,BL$4&gt;=$C$1),'General Inputs'!N$11*$H31,IF(AND(($D31+$C$1)&gt;BL$4,BL$4&gt;=$C$1),'General Inputs'!N$11*$G31,0))</f>
        <v>0</v>
      </c>
      <c r="BM31" s="214">
        <f>IF(AND(($E31+$C$1)&gt;BM$4,BM$4&gt;=$C$1),'General Inputs'!O$11*$H31,IF(AND(($D31+$C$1)&gt;BM$4,BM$4&gt;=$C$1),'General Inputs'!O$11*$G31,0))</f>
        <v>0</v>
      </c>
      <c r="BN31" s="214">
        <f>IF(AND(($E31+$C$1)&gt;BN$4,BN$4&gt;=$C$1),'General Inputs'!P$11*$H31,IF(AND(($D31+$C$1)&gt;BN$4,BN$4&gt;=$C$1),'General Inputs'!P$11*$G31,0))</f>
        <v>0</v>
      </c>
      <c r="BO31" s="214">
        <f>IF(AND(($E31+$C$1)&gt;BO$4,BO$4&gt;=$C$1),'General Inputs'!Q$11*$H31,IF(AND(($D31+$C$1)&gt;BO$4,BO$4&gt;=$C$1),'General Inputs'!Q$11*$G31,0))</f>
        <v>0</v>
      </c>
      <c r="BP31" s="214">
        <f>IF(AND(($E31+$C$1)&gt;BP$4,BP$4&gt;=$C$1),'General Inputs'!R$11*$H31,IF(AND(($D31+$C$1)&gt;BP$4,BP$4&gt;=$C$1),'General Inputs'!R$11*$G31,0))</f>
        <v>0</v>
      </c>
      <c r="BQ31" s="214">
        <f>IF(AND(($E31+$C$1)&gt;BQ$4,BQ$4&gt;=$C$1),'General Inputs'!S$11*$H31,IF(AND(($D31+$C$1)&gt;BQ$4,BQ$4&gt;=$C$1),'General Inputs'!S$11*$G31,0))</f>
        <v>0</v>
      </c>
      <c r="BR31" s="214">
        <f>IF(AND(($E31+$C$1)&gt;BR$4,BR$4&gt;=$C$1),'General Inputs'!T$11*$H31,IF(AND(($D31+$C$1)&gt;BR$4,BR$4&gt;=$C$1),'General Inputs'!T$11*$G31,0))</f>
        <v>0</v>
      </c>
      <c r="BS31" s="214">
        <f>IF(AND(($E31+$C$1)&gt;BS$4,BS$4&gt;=$C$1),'General Inputs'!U$11*$H31,IF(AND(($D31+$C$1)&gt;BS$4,BS$4&gt;=$C$1),'General Inputs'!U$11*$G31,0))</f>
        <v>0</v>
      </c>
      <c r="BT31" s="214">
        <f>IF(AND(($E31+$C$1)&gt;BT$4,BT$4&gt;=$C$1),'General Inputs'!V$11*$H31,IF(AND(($D31+$C$1)&gt;BT$4,BT$4&gt;=$C$1),'General Inputs'!V$11*$G31,0))</f>
        <v>0</v>
      </c>
      <c r="BU31" s="214">
        <f>IF(AND(($E31+$C$1)&gt;BU$4,BU$4&gt;=$C$1),'General Inputs'!W$11*$H31,IF(AND(($D31+$C$1)&gt;BU$4,BU$4&gt;=$C$1),'General Inputs'!W$11*$G31,0))</f>
        <v>0</v>
      </c>
      <c r="BW31" s="214">
        <f>IF(AND(($E31+$C$1)&gt;BW$4,BW$4&gt;=$C$1),$H31,IF(AND(($D31+$C$1)&gt;BW$4,BW$4&gt;=$C$1),$G31,0))*IF($A31="Residential",'General Inputs'!D$14,'General Inputs'!D$19)</f>
        <v>267.13688750312519</v>
      </c>
      <c r="BX31" s="214">
        <f>IF(AND(($E31+$C$1)&gt;BX$4,BX$4&gt;=$C$1),$H31,IF(AND(($D31+$C$1)&gt;BX$4,BX$4&gt;=$C$1),$G31,0))*IF($A31="Residential",'General Inputs'!E$14,'General Inputs'!E$19)</f>
        <v>271.14394081567201</v>
      </c>
      <c r="BY31" s="214">
        <f>IF(AND(($E31+$C$1)&gt;BY$4,BY$4&gt;=$C$1),$H31,IF(AND(($D31+$C$1)&gt;BY$4,BY$4&gt;=$C$1),$G31,0))*IF($A31="Residential",'General Inputs'!F$14,'General Inputs'!F$19)</f>
        <v>0</v>
      </c>
      <c r="BZ31" s="214">
        <f>IF(AND(($E31+$C$1)&gt;BZ$4,BZ$4&gt;=$C$1),$H31,IF(AND(($D31+$C$1)&gt;BZ$4,BZ$4&gt;=$C$1),$G31,0))*IF($A31="Residential",'General Inputs'!G$14,'General Inputs'!G$19)</f>
        <v>0</v>
      </c>
      <c r="CA31" s="214">
        <f>IF(AND(($E31+$C$1)&gt;CA$4,CA$4&gt;=$C$1),$H31,IF(AND(($D31+$C$1)&gt;CA$4,CA$4&gt;=$C$1),$G31,0))*IF($A31="Residential",'General Inputs'!H$14,'General Inputs'!H$19)</f>
        <v>0</v>
      </c>
      <c r="CB31" s="214">
        <f>IF(AND(($E31+$C$1)&gt;CB$4,CB$4&gt;=$C$1),$H31,IF(AND(($D31+$C$1)&gt;CB$4,CB$4&gt;=$C$1),$G31,0))*IF($A31="Residential",'General Inputs'!I$14,'General Inputs'!I$19)</f>
        <v>0</v>
      </c>
      <c r="CC31" s="214">
        <f>IF(AND(($E31+$C$1)&gt;CC$4,CC$4&gt;=$C$1),$H31,IF(AND(($D31+$C$1)&gt;CC$4,CC$4&gt;=$C$1),$G31,0))*IF($A31="Residential",'General Inputs'!J$14,'General Inputs'!J$19)</f>
        <v>0</v>
      </c>
      <c r="CD31" s="214">
        <f>IF(AND(($E31+$C$1)&gt;CD$4,CD$4&gt;=$C$1),$H31,IF(AND(($D31+$C$1)&gt;CD$4,CD$4&gt;=$C$1),$G31,0))*IF($A31="Residential",'General Inputs'!K$14,'General Inputs'!K$19)</f>
        <v>0</v>
      </c>
      <c r="CE31" s="214">
        <f>IF(AND(($E31+$C$1)&gt;CE$4,CE$4&gt;=$C$1),$H31,IF(AND(($D31+$C$1)&gt;CE$4,CE$4&gt;=$C$1),$G31,0))*IF($A31="Residential",'General Inputs'!L$14,'General Inputs'!L$19)</f>
        <v>0</v>
      </c>
      <c r="CF31" s="214">
        <f>IF(AND(($E31+$C$1)&gt;CF$4,CF$4&gt;=$C$1),$H31,IF(AND(($D31+$C$1)&gt;CF$4,CF$4&gt;=$C$1),$G31,0))*IF($A31="Residential",'General Inputs'!M$14,'General Inputs'!M$19)</f>
        <v>0</v>
      </c>
      <c r="CG31" s="214">
        <f>IF(AND(($E31+$C$1)&gt;CG$4,CG$4&gt;=$C$1),$H31,IF(AND(($D31+$C$1)&gt;CG$4,CG$4&gt;=$C$1),$G31,0))*IF($A31="Residential",'General Inputs'!N$14,'General Inputs'!N$19)</f>
        <v>0</v>
      </c>
      <c r="CH31" s="214">
        <f>IF(AND(($E31+$C$1)&gt;CH$4,CH$4&gt;=$C$1),$H31,IF(AND(($D31+$C$1)&gt;CH$4,CH$4&gt;=$C$1),$G31,0))*IF($A31="Residential",'General Inputs'!O$14,'General Inputs'!O$19)</f>
        <v>0</v>
      </c>
      <c r="CI31" s="214">
        <f>IF(AND(($E31+$C$1)&gt;CI$4,CI$4&gt;=$C$1),$H31,IF(AND(($D31+$C$1)&gt;CI$4,CI$4&gt;=$C$1),$G31,0))*IF($A31="Residential",'General Inputs'!P$14,'General Inputs'!P$19)</f>
        <v>0</v>
      </c>
      <c r="CJ31" s="214">
        <f>IF(AND(($E31+$C$1)&gt;CJ$4,CJ$4&gt;=$C$1),$H31,IF(AND(($D31+$C$1)&gt;CJ$4,CJ$4&gt;=$C$1),$G31,0))*IF($A31="Residential",'General Inputs'!Q$14,'General Inputs'!Q$19)</f>
        <v>0</v>
      </c>
      <c r="CK31" s="214">
        <f>IF(AND(($E31+$C$1)&gt;CK$4,CK$4&gt;=$C$1),$H31,IF(AND(($D31+$C$1)&gt;CK$4,CK$4&gt;=$C$1),$G31,0))*IF($A31="Residential",'General Inputs'!R$14,'General Inputs'!R$19)</f>
        <v>0</v>
      </c>
      <c r="CL31" s="214">
        <f>IF(AND(($E31+$C$1)&gt;CL$4,CL$4&gt;=$C$1),$H31,IF(AND(($D31+$C$1)&gt;CL$4,CL$4&gt;=$C$1),$G31,0))*IF($A31="Residential",'General Inputs'!S$14,'General Inputs'!S$19)</f>
        <v>0</v>
      </c>
      <c r="CM31" s="214">
        <f>IF(AND(($E31+$C$1)&gt;CM$4,CM$4&gt;=$C$1),$H31,IF(AND(($D31+$C$1)&gt;CM$4,CM$4&gt;=$C$1),$G31,0))*IF($A31="Residential",'General Inputs'!T$14,'General Inputs'!T$19)</f>
        <v>0</v>
      </c>
      <c r="CN31" s="214">
        <f>IF(AND(($E31+$C$1)&gt;CN$4,CN$4&gt;=$C$1),$H31,IF(AND(($D31+$C$1)&gt;CN$4,CN$4&gt;=$C$1),$G31,0))*IF($A31="Residential",'General Inputs'!U$14,'General Inputs'!U$19)</f>
        <v>0</v>
      </c>
      <c r="CO31" s="214">
        <f>IF(AND(($E31+$C$1)&gt;CO$4,CO$4&gt;=$C$1),$H31,IF(AND(($D31+$C$1)&gt;CO$4,CO$4&gt;=$C$1),$G31,0))*IF($A31="Residential",'General Inputs'!V$14,'General Inputs'!V$19)</f>
        <v>0</v>
      </c>
      <c r="CP31" s="214">
        <f>IF(AND(($E31+$C$1)&gt;CP$4,CP$4&gt;=$C$1),$H31,IF(AND(($D31+$C$1)&gt;CP$4,CP$4&gt;=$C$1),$G31,0))*IF($A31="Residential",'General Inputs'!W$14,'General Inputs'!W$19)</f>
        <v>0</v>
      </c>
      <c r="CR31" s="214">
        <f>IF(AND(($E31+$C$1)&gt;CR$4,CR$4&gt;=$C$1),$H31,IF(AND(($D31+$C$1)&gt;CR$4,CR$4&gt;=$C$1),$G31,0))*IF($A31="Residential",'General Inputs'!D$15,'General Inputs'!D$19)</f>
        <v>217.31806982962564</v>
      </c>
      <c r="CS31" s="214">
        <f>IF(AND(($E31+$C$1)&gt;CS$4,CS$4&gt;=$C$1),$H31,IF(AND(($D31+$C$1)&gt;CS$4,CS$4&gt;=$C$1),$G31,0))*IF($A31="Residential",'General Inputs'!E$15,'General Inputs'!E$19)</f>
        <v>220.57784087707</v>
      </c>
      <c r="CT31" s="214">
        <f>IF(AND(($E31+$C$1)&gt;CT$4,CT$4&gt;=$C$1),$H31,IF(AND(($D31+$C$1)&gt;CT$4,CT$4&gt;=$C$1),$G31,0))*IF($A31="Residential",'General Inputs'!F$15,'General Inputs'!F$19)</f>
        <v>0</v>
      </c>
      <c r="CU31" s="214">
        <f>IF(AND(($E31+$C$1)&gt;CU$4,CU$4&gt;=$C$1),$H31,IF(AND(($D31+$C$1)&gt;CU$4,CU$4&gt;=$C$1),$G31,0))*IF($A31="Residential",'General Inputs'!G$15,'General Inputs'!G$19)</f>
        <v>0</v>
      </c>
      <c r="CV31" s="214">
        <f>IF(AND(($E31+$C$1)&gt;CV$4,CV$4&gt;=$C$1),$H31,IF(AND(($D31+$C$1)&gt;CV$4,CV$4&gt;=$C$1),$G31,0))*IF($A31="Residential",'General Inputs'!H$15,'General Inputs'!H$19)</f>
        <v>0</v>
      </c>
      <c r="CW31" s="214">
        <f>IF(AND(($E31+$C$1)&gt;CW$4,CW$4&gt;=$C$1),$H31,IF(AND(($D31+$C$1)&gt;CW$4,CW$4&gt;=$C$1),$G31,0))*IF($A31="Residential",'General Inputs'!I$15,'General Inputs'!I$19)</f>
        <v>0</v>
      </c>
      <c r="CX31" s="214">
        <f>IF(AND(($E31+$C$1)&gt;CX$4,CX$4&gt;=$C$1),$H31,IF(AND(($D31+$C$1)&gt;CX$4,CX$4&gt;=$C$1),$G31,0))*IF($A31="Residential",'General Inputs'!J$15,'General Inputs'!J$19)</f>
        <v>0</v>
      </c>
      <c r="CY31" s="214">
        <f>IF(AND(($E31+$C$1)&gt;CY$4,CY$4&gt;=$C$1),$H31,IF(AND(($D31+$C$1)&gt;CY$4,CY$4&gt;=$C$1),$G31,0))*IF($A31="Residential",'General Inputs'!K$15,'General Inputs'!K$19)</f>
        <v>0</v>
      </c>
      <c r="CZ31" s="214">
        <f>IF(AND(($E31+$C$1)&gt;CZ$4,CZ$4&gt;=$C$1),$H31,IF(AND(($D31+$C$1)&gt;CZ$4,CZ$4&gt;=$C$1),$G31,0))*IF($A31="Residential",'General Inputs'!L$15,'General Inputs'!L$19)</f>
        <v>0</v>
      </c>
      <c r="DA31" s="214">
        <f>IF(AND(($E31+$C$1)&gt;DA$4,DA$4&gt;=$C$1),$H31,IF(AND(($D31+$C$1)&gt;DA$4,DA$4&gt;=$C$1),$G31,0))*IF($A31="Residential",'General Inputs'!M$15,'General Inputs'!M$19)</f>
        <v>0</v>
      </c>
      <c r="DB31" s="214">
        <f>IF(AND(($E31+$C$1)&gt;DB$4,DB$4&gt;=$C$1),$H31,IF(AND(($D31+$C$1)&gt;DB$4,DB$4&gt;=$C$1),$G31,0))*IF($A31="Residential",'General Inputs'!N$15,'General Inputs'!N$19)</f>
        <v>0</v>
      </c>
      <c r="DC31" s="214">
        <f>IF(AND(($E31+$C$1)&gt;DC$4,DC$4&gt;=$C$1),$H31,IF(AND(($D31+$C$1)&gt;DC$4,DC$4&gt;=$C$1),$G31,0))*IF($A31="Residential",'General Inputs'!O$15,'General Inputs'!O$19)</f>
        <v>0</v>
      </c>
      <c r="DD31" s="214">
        <f>IF(AND(($E31+$C$1)&gt;DD$4,DD$4&gt;=$C$1),$H31,IF(AND(($D31+$C$1)&gt;DD$4,DD$4&gt;=$C$1),$G31,0))*IF($A31="Residential",'General Inputs'!P$15,'General Inputs'!P$19)</f>
        <v>0</v>
      </c>
      <c r="DE31" s="214">
        <f>IF(AND(($E31+$C$1)&gt;DE$4,DE$4&gt;=$C$1),$H31,IF(AND(($D31+$C$1)&gt;DE$4,DE$4&gt;=$C$1),$G31,0))*IF($A31="Residential",'General Inputs'!Q$15,'General Inputs'!Q$19)</f>
        <v>0</v>
      </c>
      <c r="DF31" s="214">
        <f>IF(AND(($E31+$C$1)&gt;DF$4,DF$4&gt;=$C$1),$H31,IF(AND(($D31+$C$1)&gt;DF$4,DF$4&gt;=$C$1),$G31,0))*IF($A31="Residential",'General Inputs'!R$15,'General Inputs'!R$19)</f>
        <v>0</v>
      </c>
      <c r="DG31" s="214">
        <f>IF(AND(($E31+$C$1)&gt;DG$4,DG$4&gt;=$C$1),$H31,IF(AND(($D31+$C$1)&gt;DG$4,DG$4&gt;=$C$1),$G31,0))*IF($A31="Residential",'General Inputs'!S$15,'General Inputs'!S$19)</f>
        <v>0</v>
      </c>
      <c r="DH31" s="214">
        <f>IF(AND(($E31+$C$1)&gt;DH$4,DH$4&gt;=$C$1),$H31,IF(AND(($D31+$C$1)&gt;DH$4,DH$4&gt;=$C$1),$G31,0))*IF($A31="Residential",'General Inputs'!T$15,'General Inputs'!T$19)</f>
        <v>0</v>
      </c>
      <c r="DI31" s="214">
        <f>IF(AND(($E31+$C$1)&gt;DI$4,DI$4&gt;=$C$1),$H31,IF(AND(($D31+$C$1)&gt;DI$4,DI$4&gt;=$C$1),$G31,0))*IF($A31="Residential",'General Inputs'!U$15,'General Inputs'!U$19)</f>
        <v>0</v>
      </c>
      <c r="DJ31" s="214">
        <f>IF(AND(($E31+$C$1)&gt;DJ$4,DJ$4&gt;=$C$1),$H31,IF(AND(($D31+$C$1)&gt;DJ$4,DJ$4&gt;=$C$1),$G31,0))*IF($A31="Residential",'General Inputs'!V$15,'General Inputs'!V$19)</f>
        <v>0</v>
      </c>
      <c r="DK31" s="214">
        <f>IF(AND(($E31+$C$1)&gt;DK$4,DK$4&gt;=$C$1),$H31,IF(AND(($D31+$C$1)&gt;DK$4,DK$4&gt;=$C$1),$G31,0))*IF($A31="Residential",'General Inputs'!W$15,'General Inputs'!W$19)</f>
        <v>0</v>
      </c>
      <c r="DM31" s="214">
        <f t="shared" si="200"/>
        <v>0</v>
      </c>
      <c r="DN31" s="214">
        <f t="shared" si="200"/>
        <v>0</v>
      </c>
      <c r="DO31" s="214">
        <f t="shared" si="200"/>
        <v>0</v>
      </c>
      <c r="DP31" s="214">
        <f t="shared" si="200"/>
        <v>0</v>
      </c>
      <c r="DQ31" s="214">
        <f t="shared" si="200"/>
        <v>0</v>
      </c>
      <c r="DR31" s="214">
        <f t="shared" si="200"/>
        <v>0</v>
      </c>
      <c r="DS31" s="214">
        <f t="shared" si="200"/>
        <v>0</v>
      </c>
      <c r="DT31" s="214">
        <f t="shared" si="200"/>
        <v>0</v>
      </c>
      <c r="DU31" s="214">
        <f t="shared" si="200"/>
        <v>0</v>
      </c>
      <c r="DV31" s="214">
        <f t="shared" si="200"/>
        <v>0</v>
      </c>
      <c r="DW31" s="214">
        <f t="shared" si="200"/>
        <v>0</v>
      </c>
      <c r="DZ31" s="650"/>
      <c r="FI31" s="195"/>
      <c r="FJ31" s="195"/>
      <c r="FK31" s="195"/>
      <c r="FL31" s="195"/>
      <c r="FM31" s="195"/>
      <c r="FN31" s="195"/>
      <c r="FO31" s="195"/>
    </row>
    <row r="32" spans="1:171">
      <c r="A32" s="342" t="s">
        <v>12</v>
      </c>
      <c r="B32" s="427" t="str">
        <f>'Portfolio Inputs'!A31</f>
        <v>Water Heater Tank Wrap</v>
      </c>
      <c r="C32" s="217">
        <f>IF($C$1=2014,'Portfolio Inputs'!$C31,IF($C$1=2015,'Portfolio Inputs'!$D31,'Portfolio Inputs'!$E31))</f>
        <v>26</v>
      </c>
      <c r="D32" s="504">
        <f>VLOOKUP(B32,Sources!$B$4:$J$104,2,FALSE)</f>
        <v>5</v>
      </c>
      <c r="E32" s="504">
        <f>VLOOKUP(B32,Sources!$B$4:$J$104,3,FALSE)</f>
        <v>0</v>
      </c>
      <c r="G32" s="504">
        <f>IF($C$1=2014,'Portfolio Inputs'!$G31,IF($C$1=2015,'Portfolio Inputs'!$H31,'Portfolio Inputs'!$I31))*EnergyLineLoss</f>
        <v>2150.538</v>
      </c>
      <c r="H32" s="504"/>
      <c r="I32" s="504">
        <f>IF($C$1=2014,'Portfolio Inputs'!$K31,IF($C$1=2015,'Portfolio Inputs'!$L31,'Portfolio Inputs'!$M31))*PeakLineLoss</f>
        <v>0.24499799999999997</v>
      </c>
      <c r="J32" s="510"/>
      <c r="L32" s="606">
        <f>IF($C$1=2014,'Portfolio Inputs'!$O31,IF($C$1=2015,'Portfolio Inputs'!$P31,'Portfolio Inputs'!$Q31))</f>
        <v>0</v>
      </c>
      <c r="M32" s="518">
        <f>VLOOKUP($B32,Sources!$B$4:$K$104,10,FALSE)</f>
        <v>0</v>
      </c>
      <c r="N32" s="419">
        <f>IF($C$1=2014,'Portfolio Inputs'!$W31,IF($C$1=2015,'Portfolio Inputs'!$X31,'Portfolio Inputs'!$Y31))</f>
        <v>0</v>
      </c>
      <c r="O32" s="419"/>
      <c r="Q32" s="438" t="str">
        <f t="shared" si="261"/>
        <v>n/a</v>
      </c>
      <c r="R32" s="439" t="str">
        <f t="shared" si="262"/>
        <v>n/a</v>
      </c>
      <c r="S32" s="439" t="str">
        <f t="shared" si="263"/>
        <v>n/a</v>
      </c>
      <c r="T32" s="439" t="str">
        <f t="shared" si="264"/>
        <v>n/a</v>
      </c>
      <c r="U32" s="439" t="str">
        <f t="shared" si="265"/>
        <v>n/a</v>
      </c>
      <c r="V32" s="439">
        <f t="shared" si="266"/>
        <v>0.30930538080626285</v>
      </c>
      <c r="W32" s="439">
        <f t="shared" si="267"/>
        <v>0.38021171815731775</v>
      </c>
      <c r="Y32" s="215">
        <f t="shared" si="29"/>
        <v>390.14429740526379</v>
      </c>
      <c r="Z32" s="215">
        <f t="shared" si="30"/>
        <v>104.22127673263925</v>
      </c>
      <c r="AA32" s="215">
        <f t="shared" si="31"/>
        <v>1261.3563216659181</v>
      </c>
      <c r="AB32" s="215">
        <f t="shared" si="32"/>
        <v>1026.1238114808348</v>
      </c>
      <c r="AC32" s="216">
        <f t="shared" si="33"/>
        <v>0</v>
      </c>
      <c r="AD32" s="216">
        <f t="shared" si="34"/>
        <v>0</v>
      </c>
      <c r="AE32" s="215">
        <f t="shared" si="35"/>
        <v>0</v>
      </c>
      <c r="AG32" s="214">
        <f>IF(AND(($E32+$C$1)&gt;AG$4,AG$4&gt;=$C$1),'General Inputs'!D$9*$H32,IF(AND(($D32+$C$1)&gt;AG$4,AG$4&gt;=$C$1),'General Inputs'!D$9*$G32,0))+IF(AND(($E32+$C$1)&gt;AG$4,AG$4&gt;=$C$1),'General Inputs'!D$10*$J32,IF(AND(($D32+$C$1)&gt;AG$4,AG$4&gt;=$C$1),'General Inputs'!D$10*$I32,0))</f>
        <v>89.286408236427704</v>
      </c>
      <c r="AH32" s="214">
        <f>IF(AND(($E32+$C$1)&gt;AH$4,AH$4&gt;=$C$1),'General Inputs'!E$9*$H32,IF(AND(($D32+$C$1)&gt;AH$4,AH$4&gt;=$C$1),'General Inputs'!E$9*$G32,0))+IF(AND(($E32+$C$1)&gt;AH$4,AH$4&gt;=$C$1),'General Inputs'!E$10*$J32,IF(AND(($D32+$C$1)&gt;AH$4,AH$4&gt;=$C$1),'General Inputs'!E$10*$I32,0))</f>
        <v>90.625704359974108</v>
      </c>
      <c r="AI32" s="214">
        <f>IF(AND(($E32+$C$1)&gt;AI$4,AI$4&gt;=$C$1),'General Inputs'!F$9*$H32,IF(AND(($D32+$C$1)&gt;AI$4,AI$4&gt;=$C$1),'General Inputs'!F$9*$G32,0))+IF(AND(($E32+$C$1)&gt;AI$4,AI$4&gt;=$C$1),'General Inputs'!F$10*$J32,IF(AND(($D32+$C$1)&gt;AI$4,AI$4&gt;=$C$1),'General Inputs'!F$10*$I32,0))</f>
        <v>91.985089925373714</v>
      </c>
      <c r="AJ32" s="214">
        <f>IF(AND(($E32+$C$1)&gt;AJ$4,AJ$4&gt;=$C$1),'General Inputs'!G$9*$H32,IF(AND(($D32+$C$1)&gt;AJ$4,AJ$4&gt;=$C$1),'General Inputs'!G$9*$G32,0))+IF(AND(($E32+$C$1)&gt;AJ$4,AJ$4&gt;=$C$1),'General Inputs'!G$10*$J32,IF(AND(($D32+$C$1)&gt;AJ$4,AJ$4&gt;=$C$1),'General Inputs'!G$10*$I32,0))</f>
        <v>93.364866274254311</v>
      </c>
      <c r="AK32" s="214">
        <f>IF(AND(($E32+$C$1)&gt;AK$4,AK$4&gt;=$C$1),'General Inputs'!H$9*$H32,IF(AND(($D32+$C$1)&gt;AK$4,AK$4&gt;=$C$1),'General Inputs'!H$9*$G32,0))+IF(AND(($E32+$C$1)&gt;AK$4,AK$4&gt;=$C$1),'General Inputs'!H$10*$J32,IF(AND(($D32+$C$1)&gt;AK$4,AK$4&gt;=$C$1),'General Inputs'!H$10*$I32,0))</f>
        <v>94.765339268368109</v>
      </c>
      <c r="AL32" s="214">
        <f>IF(AND(($E32+$C$1)&gt;AL$4,AL$4&gt;=$C$1),'General Inputs'!I$9*$H32,IF(AND(($D32+$C$1)&gt;AL$4,AL$4&gt;=$C$1),'General Inputs'!I$9*$G32,0))+IF(AND(($E32+$C$1)&gt;AL$4,AL$4&gt;=$C$1),'General Inputs'!I$10*$J32,IF(AND(($D32+$C$1)&gt;AL$4,AL$4&gt;=$C$1),'General Inputs'!I$10*$I32,0))</f>
        <v>0</v>
      </c>
      <c r="AM32" s="214">
        <f>IF(AND(($E32+$C$1)&gt;AM$4,AM$4&gt;=$C$1),'General Inputs'!J$9*$H32,IF(AND(($D32+$C$1)&gt;AM$4,AM$4&gt;=$C$1),'General Inputs'!J$9*$G32,0))+IF(AND(($E32+$C$1)&gt;AM$4,AM$4&gt;=$C$1),'General Inputs'!J$10*$J32,IF(AND(($D32+$C$1)&gt;AM$4,AM$4&gt;=$C$1),'General Inputs'!J$10*$I32,0))</f>
        <v>0</v>
      </c>
      <c r="AN32" s="214">
        <f>IF(AND(($E32+$C$1)&gt;AN$4,AN$4&gt;=$C$1),'General Inputs'!K$9*$H32,IF(AND(($D32+$C$1)&gt;AN$4,AN$4&gt;=$C$1),'General Inputs'!K$9*$G32,0))+IF(AND(($E32+$C$1)&gt;AN$4,AN$4&gt;=$C$1),'General Inputs'!K$10*$J32,IF(AND(($D32+$C$1)&gt;AN$4,AN$4&gt;=$C$1),'General Inputs'!K$10*$I32,0))</f>
        <v>0</v>
      </c>
      <c r="AO32" s="214">
        <f>IF(AND(($E32+$C$1)&gt;AO$4,AO$4&gt;=$C$1),'General Inputs'!L$9*$H32,IF(AND(($D32+$C$1)&gt;AO$4,AO$4&gt;=$C$1),'General Inputs'!L$9*$G32,0))+IF(AND(($E32+$C$1)&gt;AO$4,AO$4&gt;=$C$1),'General Inputs'!L$10*$J32,IF(AND(($D32+$C$1)&gt;AO$4,AO$4&gt;=$C$1),'General Inputs'!L$10*$I32,0))</f>
        <v>0</v>
      </c>
      <c r="AP32" s="214">
        <f>IF(AND(($E32+$C$1)&gt;AP$4,AP$4&gt;=$C$1),'General Inputs'!M$9*$H32,IF(AND(($D32+$C$1)&gt;AP$4,AP$4&gt;=$C$1),'General Inputs'!M$9*$G32,0))+IF(AND(($E32+$C$1)&gt;AP$4,AP$4&gt;=$C$1),'General Inputs'!M$10*$J32,IF(AND(($D32+$C$1)&gt;AP$4,AP$4&gt;=$C$1),'General Inputs'!M$10*$I32,0))</f>
        <v>0</v>
      </c>
      <c r="AQ32" s="214">
        <f>IF(AND(($E32+$C$1)&gt;AQ$4,AQ$4&gt;=$C$1),'General Inputs'!N$9*$H32,IF(AND(($D32+$C$1)&gt;AQ$4,AQ$4&gt;=$C$1),'General Inputs'!N$9*$G32,0))+IF(AND(($E32+$C$1)&gt;AQ$4,AQ$4&gt;=$C$1),'General Inputs'!N$10*$J32,IF(AND(($D32+$C$1)&gt;AQ$4,AQ$4&gt;=$C$1),'General Inputs'!N$10*$I32,0))</f>
        <v>0</v>
      </c>
      <c r="AR32" s="214">
        <f>IF(AND(($E32+$C$1)&gt;AR$4,AR$4&gt;=$C$1),'General Inputs'!O$9*$H32,IF(AND(($D32+$C$1)&gt;AR$4,AR$4&gt;=$C$1),'General Inputs'!O$9*$G32,0))+IF(AND(($E32+$C$1)&gt;AR$4,AR$4&gt;=$C$1),'General Inputs'!O$10*$J32,IF(AND(($D32+$C$1)&gt;AR$4,AR$4&gt;=$C$1),'General Inputs'!O$10*$I32,0))</f>
        <v>0</v>
      </c>
      <c r="AS32" s="214">
        <f>IF(AND(($E32+$C$1)&gt;AS$4,AS$4&gt;=$C$1),'General Inputs'!P$9*$H32,IF(AND(($D32+$C$1)&gt;AS$4,AS$4&gt;=$C$1),'General Inputs'!P$9*$G32,0))+IF(AND(($E32+$C$1)&gt;AS$4,AS$4&gt;=$C$1),'General Inputs'!P$10*$J32,IF(AND(($D32+$C$1)&gt;AS$4,AS$4&gt;=$C$1),'General Inputs'!P$10*$I32,0))</f>
        <v>0</v>
      </c>
      <c r="AT32" s="214">
        <f>IF(AND(($E32+$C$1)&gt;AT$4,AT$4&gt;=$C$1),'General Inputs'!Q$9*$H32,IF(AND(($D32+$C$1)&gt;AT$4,AT$4&gt;=$C$1),'General Inputs'!Q$9*$G32,0))+IF(AND(($E32+$C$1)&gt;AT$4,AT$4&gt;=$C$1),'General Inputs'!Q$10*$J32,IF(AND(($D32+$C$1)&gt;AT$4,AT$4&gt;=$C$1),'General Inputs'!Q$10*$I32,0))</f>
        <v>0</v>
      </c>
      <c r="AU32" s="214">
        <f>IF(AND(($E32+$C$1)&gt;AU$4,AU$4&gt;=$C$1),'General Inputs'!R$9*$H32,IF(AND(($D32+$C$1)&gt;AU$4,AU$4&gt;=$C$1),'General Inputs'!R$9*$G32,0))+IF(AND(($E32+$C$1)&gt;AU$4,AU$4&gt;=$C$1),'General Inputs'!R$10*$J32,IF(AND(($D32+$C$1)&gt;AU$4,AU$4&gt;=$C$1),'General Inputs'!R$10*$I32,0))</f>
        <v>0</v>
      </c>
      <c r="AV32" s="214">
        <f>IF(AND(($E32+$C$1)&gt;AV$4,AV$4&gt;=$C$1),'General Inputs'!S$9*$H32,IF(AND(($D32+$C$1)&gt;AV$4,AV$4&gt;=$C$1),'General Inputs'!S$9*$G32,0))+IF(AND(($E32+$C$1)&gt;AV$4,AV$4&gt;=$C$1),'General Inputs'!S$10*$J32,IF(AND(($D32+$C$1)&gt;AV$4,AV$4&gt;=$C$1),'General Inputs'!S$10*$I32,0))</f>
        <v>0</v>
      </c>
      <c r="AW32" s="214">
        <f>IF(AND(($E32+$C$1)&gt;AW$4,AW$4&gt;=$C$1),'General Inputs'!T$9*$H32,IF(AND(($D32+$C$1)&gt;AW$4,AW$4&gt;=$C$1),'General Inputs'!T$9*$G32,0))+IF(AND(($E32+$C$1)&gt;AW$4,AW$4&gt;=$C$1),'General Inputs'!T$10*$J32,IF(AND(($D32+$C$1)&gt;AW$4,AW$4&gt;=$C$1),'General Inputs'!T$10*$I32,0))</f>
        <v>0</v>
      </c>
      <c r="AX32" s="214">
        <f>IF(AND(($E32+$C$1)&gt;AX$4,AX$4&gt;=$C$1),'General Inputs'!U$9*$H32,IF(AND(($D32+$C$1)&gt;AX$4,AX$4&gt;=$C$1),'General Inputs'!U$9*$G32,0))+IF(AND(($E32+$C$1)&gt;AX$4,AX$4&gt;=$C$1),'General Inputs'!U$10*$J32,IF(AND(($D32+$C$1)&gt;AX$4,AX$4&gt;=$C$1),'General Inputs'!U$10*$I32,0))</f>
        <v>0</v>
      </c>
      <c r="AY32" s="214">
        <f>IF(AND(($E32+$C$1)&gt;AY$4,AY$4&gt;=$C$1),'General Inputs'!V$9*$H32,IF(AND(($D32+$C$1)&gt;AY$4,AY$4&gt;=$C$1),'General Inputs'!V$9*$G32,0))+IF(AND(($E32+$C$1)&gt;AY$4,AY$4&gt;=$C$1),'General Inputs'!V$10*$J32,IF(AND(($D32+$C$1)&gt;AY$4,AY$4&gt;=$C$1),'General Inputs'!V$10*$I32,0))</f>
        <v>0</v>
      </c>
      <c r="AZ32" s="214">
        <f>IF(AND(($E32+$C$1)&gt;AZ$4,AZ$4&gt;=$C$1),'General Inputs'!W$9*$H32,IF(AND(($D32+$C$1)&gt;AZ$4,AZ$4&gt;=$C$1),'General Inputs'!W$9*$G32,0))+IF(AND(($E32+$C$1)&gt;AZ$4,AZ$4&gt;=$C$1),'General Inputs'!W$10*$J32,IF(AND(($D32+$C$1)&gt;AZ$4,AZ$4&gt;=$C$1),'General Inputs'!W$10*$I32,0))</f>
        <v>0</v>
      </c>
      <c r="BB32" s="214">
        <f>IF(AND(($E32+$C$1)&gt;BB$4,BB$4&gt;=$C$1),'General Inputs'!D$11*$H32,IF(AND(($D32+$C$1)&gt;BB$4,BB$4&gt;=$C$1),'General Inputs'!D$11*$G32,0))</f>
        <v>24.516133200000002</v>
      </c>
      <c r="BC32" s="214">
        <f>IF(AND(($E32+$C$1)&gt;BC$4,BC$4&gt;=$C$1),'General Inputs'!E$11*$H32,IF(AND(($D32+$C$1)&gt;BC$4,BC$4&gt;=$C$1),'General Inputs'!E$11*$G32,0))</f>
        <v>24.516133200000002</v>
      </c>
      <c r="BD32" s="214">
        <f>IF(AND(($E32+$C$1)&gt;BD$4,BD$4&gt;=$C$1),'General Inputs'!F$11*$H32,IF(AND(($D32+$C$1)&gt;BD$4,BD$4&gt;=$C$1),'General Inputs'!F$11*$G32,0))</f>
        <v>24.516133200000002</v>
      </c>
      <c r="BE32" s="214">
        <f>IF(AND(($E32+$C$1)&gt;BE$4,BE$4&gt;=$C$1),'General Inputs'!G$11*$H32,IF(AND(($D32+$C$1)&gt;BE$4,BE$4&gt;=$C$1),'General Inputs'!G$11*$G32,0))</f>
        <v>24.516133200000002</v>
      </c>
      <c r="BF32" s="214">
        <f>IF(AND(($E32+$C$1)&gt;BF$4,BF$4&gt;=$C$1),'General Inputs'!H$11*$H32,IF(AND(($D32+$C$1)&gt;BF$4,BF$4&gt;=$C$1),'General Inputs'!H$11*$G32,0))</f>
        <v>24.516133200000002</v>
      </c>
      <c r="BG32" s="214">
        <f>IF(AND(($E32+$C$1)&gt;BG$4,BG$4&gt;=$C$1),'General Inputs'!I$11*$H32,IF(AND(($D32+$C$1)&gt;BG$4,BG$4&gt;=$C$1),'General Inputs'!I$11*$G32,0))</f>
        <v>0</v>
      </c>
      <c r="BH32" s="214">
        <f>IF(AND(($E32+$C$1)&gt;BH$4,BH$4&gt;=$C$1),'General Inputs'!J$11*$H32,IF(AND(($D32+$C$1)&gt;BH$4,BH$4&gt;=$C$1),'General Inputs'!J$11*$G32,0))</f>
        <v>0</v>
      </c>
      <c r="BI32" s="214">
        <f>IF(AND(($E32+$C$1)&gt;BI$4,BI$4&gt;=$C$1),'General Inputs'!K$11*$H32,IF(AND(($D32+$C$1)&gt;BI$4,BI$4&gt;=$C$1),'General Inputs'!K$11*$G32,0))</f>
        <v>0</v>
      </c>
      <c r="BJ32" s="214">
        <f>IF(AND(($E32+$C$1)&gt;BJ$4,BJ$4&gt;=$C$1),'General Inputs'!L$11*$H32,IF(AND(($D32+$C$1)&gt;BJ$4,BJ$4&gt;=$C$1),'General Inputs'!L$11*$G32,0))</f>
        <v>0</v>
      </c>
      <c r="BK32" s="214">
        <f>IF(AND(($E32+$C$1)&gt;BK$4,BK$4&gt;=$C$1),'General Inputs'!M$11*$H32,IF(AND(($D32+$C$1)&gt;BK$4,BK$4&gt;=$C$1),'General Inputs'!M$11*$G32,0))</f>
        <v>0</v>
      </c>
      <c r="BL32" s="214">
        <f>IF(AND(($E32+$C$1)&gt;BL$4,BL$4&gt;=$C$1),'General Inputs'!N$11*$H32,IF(AND(($D32+$C$1)&gt;BL$4,BL$4&gt;=$C$1),'General Inputs'!N$11*$G32,0))</f>
        <v>0</v>
      </c>
      <c r="BM32" s="214">
        <f>IF(AND(($E32+$C$1)&gt;BM$4,BM$4&gt;=$C$1),'General Inputs'!O$11*$H32,IF(AND(($D32+$C$1)&gt;BM$4,BM$4&gt;=$C$1),'General Inputs'!O$11*$G32,0))</f>
        <v>0</v>
      </c>
      <c r="BN32" s="214">
        <f>IF(AND(($E32+$C$1)&gt;BN$4,BN$4&gt;=$C$1),'General Inputs'!P$11*$H32,IF(AND(($D32+$C$1)&gt;BN$4,BN$4&gt;=$C$1),'General Inputs'!P$11*$G32,0))</f>
        <v>0</v>
      </c>
      <c r="BO32" s="214">
        <f>IF(AND(($E32+$C$1)&gt;BO$4,BO$4&gt;=$C$1),'General Inputs'!Q$11*$H32,IF(AND(($D32+$C$1)&gt;BO$4,BO$4&gt;=$C$1),'General Inputs'!Q$11*$G32,0))</f>
        <v>0</v>
      </c>
      <c r="BP32" s="214">
        <f>IF(AND(($E32+$C$1)&gt;BP$4,BP$4&gt;=$C$1),'General Inputs'!R$11*$H32,IF(AND(($D32+$C$1)&gt;BP$4,BP$4&gt;=$C$1),'General Inputs'!R$11*$G32,0))</f>
        <v>0</v>
      </c>
      <c r="BQ32" s="214">
        <f>IF(AND(($E32+$C$1)&gt;BQ$4,BQ$4&gt;=$C$1),'General Inputs'!S$11*$H32,IF(AND(($D32+$C$1)&gt;BQ$4,BQ$4&gt;=$C$1),'General Inputs'!S$11*$G32,0))</f>
        <v>0</v>
      </c>
      <c r="BR32" s="214">
        <f>IF(AND(($E32+$C$1)&gt;BR$4,BR$4&gt;=$C$1),'General Inputs'!T$11*$H32,IF(AND(($D32+$C$1)&gt;BR$4,BR$4&gt;=$C$1),'General Inputs'!T$11*$G32,0))</f>
        <v>0</v>
      </c>
      <c r="BS32" s="214">
        <f>IF(AND(($E32+$C$1)&gt;BS$4,BS$4&gt;=$C$1),'General Inputs'!U$11*$H32,IF(AND(($D32+$C$1)&gt;BS$4,BS$4&gt;=$C$1),'General Inputs'!U$11*$G32,0))</f>
        <v>0</v>
      </c>
      <c r="BT32" s="214">
        <f>IF(AND(($E32+$C$1)&gt;BT$4,BT$4&gt;=$C$1),'General Inputs'!V$11*$H32,IF(AND(($D32+$C$1)&gt;BT$4,BT$4&gt;=$C$1),'General Inputs'!V$11*$G32,0))</f>
        <v>0</v>
      </c>
      <c r="BU32" s="214">
        <f>IF(AND(($E32+$C$1)&gt;BU$4,BU$4&gt;=$C$1),'General Inputs'!W$11*$H32,IF(AND(($D32+$C$1)&gt;BU$4,BU$4&gt;=$C$1),'General Inputs'!W$11*$G32,0))</f>
        <v>0</v>
      </c>
      <c r="BW32" s="214">
        <f>IF(AND(($E32+$C$1)&gt;BW$4,BW$4&gt;=$C$1),$H32,IF(AND(($D32+$C$1)&gt;BW$4,BW$4&gt;=$C$1),$G32,0))*IF($A32="Residential",'General Inputs'!D$14,'General Inputs'!D$19)</f>
        <v>288.6674910203173</v>
      </c>
      <c r="BX32" s="214">
        <f>IF(AND(($E32+$C$1)&gt;BX$4,BX$4&gt;=$C$1),$H32,IF(AND(($D32+$C$1)&gt;BX$4,BX$4&gt;=$C$1),$G32,0))*IF($A32="Residential",'General Inputs'!E$14,'General Inputs'!E$19)</f>
        <v>292.997503385622</v>
      </c>
      <c r="BY32" s="214">
        <f>IF(AND(($E32+$C$1)&gt;BY$4,BY$4&gt;=$C$1),$H32,IF(AND(($D32+$C$1)&gt;BY$4,BY$4&gt;=$C$1),$G32,0))*IF($A32="Residential",'General Inputs'!F$14,'General Inputs'!F$19)</f>
        <v>297.39246593640627</v>
      </c>
      <c r="BZ32" s="214">
        <f>IF(AND(($E32+$C$1)&gt;BZ$4,BZ$4&gt;=$C$1),$H32,IF(AND(($D32+$C$1)&gt;BZ$4,BZ$4&gt;=$C$1),$G32,0))*IF($A32="Residential",'General Inputs'!G$14,'General Inputs'!G$19)</f>
        <v>301.85335292545233</v>
      </c>
      <c r="CA32" s="214">
        <f>IF(AND(($E32+$C$1)&gt;CA$4,CA$4&gt;=$C$1),$H32,IF(AND(($D32+$C$1)&gt;CA$4,CA$4&gt;=$C$1),$G32,0))*IF($A32="Residential",'General Inputs'!H$14,'General Inputs'!H$19)</f>
        <v>306.38115321933407</v>
      </c>
      <c r="CB32" s="214">
        <f>IF(AND(($E32+$C$1)&gt;CB$4,CB$4&gt;=$C$1),$H32,IF(AND(($D32+$C$1)&gt;CB$4,CB$4&gt;=$C$1),$G32,0))*IF($A32="Residential",'General Inputs'!I$14,'General Inputs'!I$19)</f>
        <v>0</v>
      </c>
      <c r="CC32" s="214">
        <f>IF(AND(($E32+$C$1)&gt;CC$4,CC$4&gt;=$C$1),$H32,IF(AND(($D32+$C$1)&gt;CC$4,CC$4&gt;=$C$1),$G32,0))*IF($A32="Residential",'General Inputs'!J$14,'General Inputs'!J$19)</f>
        <v>0</v>
      </c>
      <c r="CD32" s="214">
        <f>IF(AND(($E32+$C$1)&gt;CD$4,CD$4&gt;=$C$1),$H32,IF(AND(($D32+$C$1)&gt;CD$4,CD$4&gt;=$C$1),$G32,0))*IF($A32="Residential",'General Inputs'!K$14,'General Inputs'!K$19)</f>
        <v>0</v>
      </c>
      <c r="CE32" s="214">
        <f>IF(AND(($E32+$C$1)&gt;CE$4,CE$4&gt;=$C$1),$H32,IF(AND(($D32+$C$1)&gt;CE$4,CE$4&gt;=$C$1),$G32,0))*IF($A32="Residential",'General Inputs'!L$14,'General Inputs'!L$19)</f>
        <v>0</v>
      </c>
      <c r="CF32" s="214">
        <f>IF(AND(($E32+$C$1)&gt;CF$4,CF$4&gt;=$C$1),$H32,IF(AND(($D32+$C$1)&gt;CF$4,CF$4&gt;=$C$1),$G32,0))*IF($A32="Residential",'General Inputs'!M$14,'General Inputs'!M$19)</f>
        <v>0</v>
      </c>
      <c r="CG32" s="214">
        <f>IF(AND(($E32+$C$1)&gt;CG$4,CG$4&gt;=$C$1),$H32,IF(AND(($D32+$C$1)&gt;CG$4,CG$4&gt;=$C$1),$G32,0))*IF($A32="Residential",'General Inputs'!N$14,'General Inputs'!N$19)</f>
        <v>0</v>
      </c>
      <c r="CH32" s="214">
        <f>IF(AND(($E32+$C$1)&gt;CH$4,CH$4&gt;=$C$1),$H32,IF(AND(($D32+$C$1)&gt;CH$4,CH$4&gt;=$C$1),$G32,0))*IF($A32="Residential",'General Inputs'!O$14,'General Inputs'!O$19)</f>
        <v>0</v>
      </c>
      <c r="CI32" s="214">
        <f>IF(AND(($E32+$C$1)&gt;CI$4,CI$4&gt;=$C$1),$H32,IF(AND(($D32+$C$1)&gt;CI$4,CI$4&gt;=$C$1),$G32,0))*IF($A32="Residential",'General Inputs'!P$14,'General Inputs'!P$19)</f>
        <v>0</v>
      </c>
      <c r="CJ32" s="214">
        <f>IF(AND(($E32+$C$1)&gt;CJ$4,CJ$4&gt;=$C$1),$H32,IF(AND(($D32+$C$1)&gt;CJ$4,CJ$4&gt;=$C$1),$G32,0))*IF($A32="Residential",'General Inputs'!Q$14,'General Inputs'!Q$19)</f>
        <v>0</v>
      </c>
      <c r="CK32" s="214">
        <f>IF(AND(($E32+$C$1)&gt;CK$4,CK$4&gt;=$C$1),$H32,IF(AND(($D32+$C$1)&gt;CK$4,CK$4&gt;=$C$1),$G32,0))*IF($A32="Residential",'General Inputs'!R$14,'General Inputs'!R$19)</f>
        <v>0</v>
      </c>
      <c r="CL32" s="214">
        <f>IF(AND(($E32+$C$1)&gt;CL$4,CL$4&gt;=$C$1),$H32,IF(AND(($D32+$C$1)&gt;CL$4,CL$4&gt;=$C$1),$G32,0))*IF($A32="Residential",'General Inputs'!S$14,'General Inputs'!S$19)</f>
        <v>0</v>
      </c>
      <c r="CM32" s="214">
        <f>IF(AND(($E32+$C$1)&gt;CM$4,CM$4&gt;=$C$1),$H32,IF(AND(($D32+$C$1)&gt;CM$4,CM$4&gt;=$C$1),$G32,0))*IF($A32="Residential",'General Inputs'!T$14,'General Inputs'!T$19)</f>
        <v>0</v>
      </c>
      <c r="CN32" s="214">
        <f>IF(AND(($E32+$C$1)&gt;CN$4,CN$4&gt;=$C$1),$H32,IF(AND(($D32+$C$1)&gt;CN$4,CN$4&gt;=$C$1),$G32,0))*IF($A32="Residential",'General Inputs'!U$14,'General Inputs'!U$19)</f>
        <v>0</v>
      </c>
      <c r="CO32" s="214">
        <f>IF(AND(($E32+$C$1)&gt;CO$4,CO$4&gt;=$C$1),$H32,IF(AND(($D32+$C$1)&gt;CO$4,CO$4&gt;=$C$1),$G32,0))*IF($A32="Residential",'General Inputs'!V$14,'General Inputs'!V$19)</f>
        <v>0</v>
      </c>
      <c r="CP32" s="214">
        <f>IF(AND(($E32+$C$1)&gt;CP$4,CP$4&gt;=$C$1),$H32,IF(AND(($D32+$C$1)&gt;CP$4,CP$4&gt;=$C$1),$G32,0))*IF($A32="Residential",'General Inputs'!W$14,'General Inputs'!W$19)</f>
        <v>0</v>
      </c>
      <c r="CR32" s="214">
        <f>IF(AND(($E32+$C$1)&gt;CR$4,CR$4&gt;=$C$1),$H32,IF(AND(($D32+$C$1)&gt;CR$4,CR$4&gt;=$C$1),$G32,0))*IF($A32="Residential",'General Inputs'!D$15,'General Inputs'!D$19)</f>
        <v>234.83339406042248</v>
      </c>
      <c r="CS32" s="214">
        <f>IF(AND(($E32+$C$1)&gt;CS$4,CS$4&gt;=$C$1),$H32,IF(AND(($D32+$C$1)&gt;CS$4,CS$4&gt;=$C$1),$G32,0))*IF($A32="Residential",'General Inputs'!E$15,'General Inputs'!E$19)</f>
        <v>238.35589497132881</v>
      </c>
      <c r="CT32" s="214">
        <f>IF(AND(($E32+$C$1)&gt;CT$4,CT$4&gt;=$C$1),$H32,IF(AND(($D32+$C$1)&gt;CT$4,CT$4&gt;=$C$1),$G32,0))*IF($A32="Residential",'General Inputs'!F$15,'General Inputs'!F$19)</f>
        <v>241.93123339589872</v>
      </c>
      <c r="CU32" s="214">
        <f>IF(AND(($E32+$C$1)&gt;CU$4,CU$4&gt;=$C$1),$H32,IF(AND(($D32+$C$1)&gt;CU$4,CU$4&gt;=$C$1),$G32,0))*IF($A32="Residential",'General Inputs'!G$15,'General Inputs'!G$19)</f>
        <v>245.56020189683716</v>
      </c>
      <c r="CV32" s="214">
        <f>IF(AND(($E32+$C$1)&gt;CV$4,CV$4&gt;=$C$1),$H32,IF(AND(($D32+$C$1)&gt;CV$4,CV$4&gt;=$C$1),$G32,0))*IF($A32="Residential",'General Inputs'!H$15,'General Inputs'!H$19)</f>
        <v>249.2436049252897</v>
      </c>
      <c r="CW32" s="214">
        <f>IF(AND(($E32+$C$1)&gt;CW$4,CW$4&gt;=$C$1),$H32,IF(AND(($D32+$C$1)&gt;CW$4,CW$4&gt;=$C$1),$G32,0))*IF($A32="Residential",'General Inputs'!I$15,'General Inputs'!I$19)</f>
        <v>0</v>
      </c>
      <c r="CX32" s="214">
        <f>IF(AND(($E32+$C$1)&gt;CX$4,CX$4&gt;=$C$1),$H32,IF(AND(($D32+$C$1)&gt;CX$4,CX$4&gt;=$C$1),$G32,0))*IF($A32="Residential",'General Inputs'!J$15,'General Inputs'!J$19)</f>
        <v>0</v>
      </c>
      <c r="CY32" s="214">
        <f>IF(AND(($E32+$C$1)&gt;CY$4,CY$4&gt;=$C$1),$H32,IF(AND(($D32+$C$1)&gt;CY$4,CY$4&gt;=$C$1),$G32,0))*IF($A32="Residential",'General Inputs'!K$15,'General Inputs'!K$19)</f>
        <v>0</v>
      </c>
      <c r="CZ32" s="214">
        <f>IF(AND(($E32+$C$1)&gt;CZ$4,CZ$4&gt;=$C$1),$H32,IF(AND(($D32+$C$1)&gt;CZ$4,CZ$4&gt;=$C$1),$G32,0))*IF($A32="Residential",'General Inputs'!L$15,'General Inputs'!L$19)</f>
        <v>0</v>
      </c>
      <c r="DA32" s="214">
        <f>IF(AND(($E32+$C$1)&gt;DA$4,DA$4&gt;=$C$1),$H32,IF(AND(($D32+$C$1)&gt;DA$4,DA$4&gt;=$C$1),$G32,0))*IF($A32="Residential",'General Inputs'!M$15,'General Inputs'!M$19)</f>
        <v>0</v>
      </c>
      <c r="DB32" s="214">
        <f>IF(AND(($E32+$C$1)&gt;DB$4,DB$4&gt;=$C$1),$H32,IF(AND(($D32+$C$1)&gt;DB$4,DB$4&gt;=$C$1),$G32,0))*IF($A32="Residential",'General Inputs'!N$15,'General Inputs'!N$19)</f>
        <v>0</v>
      </c>
      <c r="DC32" s="214">
        <f>IF(AND(($E32+$C$1)&gt;DC$4,DC$4&gt;=$C$1),$H32,IF(AND(($D32+$C$1)&gt;DC$4,DC$4&gt;=$C$1),$G32,0))*IF($A32="Residential",'General Inputs'!O$15,'General Inputs'!O$19)</f>
        <v>0</v>
      </c>
      <c r="DD32" s="214">
        <f>IF(AND(($E32+$C$1)&gt;DD$4,DD$4&gt;=$C$1),$H32,IF(AND(($D32+$C$1)&gt;DD$4,DD$4&gt;=$C$1),$G32,0))*IF($A32="Residential",'General Inputs'!P$15,'General Inputs'!P$19)</f>
        <v>0</v>
      </c>
      <c r="DE32" s="214">
        <f>IF(AND(($E32+$C$1)&gt;DE$4,DE$4&gt;=$C$1),$H32,IF(AND(($D32+$C$1)&gt;DE$4,DE$4&gt;=$C$1),$G32,0))*IF($A32="Residential",'General Inputs'!Q$15,'General Inputs'!Q$19)</f>
        <v>0</v>
      </c>
      <c r="DF32" s="214">
        <f>IF(AND(($E32+$C$1)&gt;DF$4,DF$4&gt;=$C$1),$H32,IF(AND(($D32+$C$1)&gt;DF$4,DF$4&gt;=$C$1),$G32,0))*IF($A32="Residential",'General Inputs'!R$15,'General Inputs'!R$19)</f>
        <v>0</v>
      </c>
      <c r="DG32" s="214">
        <f>IF(AND(($E32+$C$1)&gt;DG$4,DG$4&gt;=$C$1),$H32,IF(AND(($D32+$C$1)&gt;DG$4,DG$4&gt;=$C$1),$G32,0))*IF($A32="Residential",'General Inputs'!S$15,'General Inputs'!S$19)</f>
        <v>0</v>
      </c>
      <c r="DH32" s="214">
        <f>IF(AND(($E32+$C$1)&gt;DH$4,DH$4&gt;=$C$1),$H32,IF(AND(($D32+$C$1)&gt;DH$4,DH$4&gt;=$C$1),$G32,0))*IF($A32="Residential",'General Inputs'!T$15,'General Inputs'!T$19)</f>
        <v>0</v>
      </c>
      <c r="DI32" s="214">
        <f>IF(AND(($E32+$C$1)&gt;DI$4,DI$4&gt;=$C$1),$H32,IF(AND(($D32+$C$1)&gt;DI$4,DI$4&gt;=$C$1),$G32,0))*IF($A32="Residential",'General Inputs'!U$15,'General Inputs'!U$19)</f>
        <v>0</v>
      </c>
      <c r="DJ32" s="214">
        <f>IF(AND(($E32+$C$1)&gt;DJ$4,DJ$4&gt;=$C$1),$H32,IF(AND(($D32+$C$1)&gt;DJ$4,DJ$4&gt;=$C$1),$G32,0))*IF($A32="Residential",'General Inputs'!V$15,'General Inputs'!V$19)</f>
        <v>0</v>
      </c>
      <c r="DK32" s="214">
        <f>IF(AND(($E32+$C$1)&gt;DK$4,DK$4&gt;=$C$1),$H32,IF(AND(($D32+$C$1)&gt;DK$4,DK$4&gt;=$C$1),$G32,0))*IF($A32="Residential",'General Inputs'!W$15,'General Inputs'!W$19)</f>
        <v>0</v>
      </c>
      <c r="DM32" s="214">
        <f t="shared" si="200"/>
        <v>0</v>
      </c>
      <c r="DN32" s="214">
        <f t="shared" si="200"/>
        <v>0</v>
      </c>
      <c r="DO32" s="214">
        <f t="shared" si="200"/>
        <v>0</v>
      </c>
      <c r="DP32" s="214">
        <f t="shared" si="200"/>
        <v>0</v>
      </c>
      <c r="DQ32" s="214">
        <f t="shared" si="200"/>
        <v>0</v>
      </c>
      <c r="DR32" s="214">
        <f t="shared" si="200"/>
        <v>0</v>
      </c>
      <c r="DS32" s="214">
        <f t="shared" si="200"/>
        <v>0</v>
      </c>
      <c r="DT32" s="214">
        <f t="shared" si="200"/>
        <v>0</v>
      </c>
      <c r="DU32" s="214">
        <f t="shared" si="200"/>
        <v>0</v>
      </c>
      <c r="DV32" s="214">
        <f t="shared" si="200"/>
        <v>0</v>
      </c>
      <c r="DW32" s="214">
        <f t="shared" si="200"/>
        <v>0</v>
      </c>
      <c r="DZ32" s="650"/>
      <c r="FI32" s="195"/>
      <c r="FJ32" s="195"/>
      <c r="FK32" s="195"/>
      <c r="FL32" s="195"/>
      <c r="FM32" s="195"/>
      <c r="FN32" s="195"/>
      <c r="FO32" s="195"/>
    </row>
    <row r="33" spans="1:171">
      <c r="A33" s="441" t="s">
        <v>12</v>
      </c>
      <c r="B33" s="426" t="str">
        <f>'Portfolio Inputs'!A32</f>
        <v>Residential Audit</v>
      </c>
      <c r="C33" s="356">
        <f>IF($C$1=2014,'Portfolio Inputs'!$C32,IF($C$1=2015,'Portfolio Inputs'!$D32,'Portfolio Inputs'!$E32))</f>
        <v>208</v>
      </c>
      <c r="D33" s="527">
        <v>5</v>
      </c>
      <c r="E33" s="527">
        <v>0</v>
      </c>
      <c r="G33" s="527">
        <f>Sources!D120*C33*EnergyLineLoss</f>
        <v>20572.588325031982</v>
      </c>
      <c r="H33" s="527"/>
      <c r="I33" s="443">
        <f>Sources!E120*C33*PeakLineLoss</f>
        <v>2.3484689868757971</v>
      </c>
      <c r="J33" s="443"/>
      <c r="L33" s="607">
        <v>0</v>
      </c>
      <c r="M33" s="519">
        <v>0</v>
      </c>
      <c r="N33" s="453">
        <v>0</v>
      </c>
      <c r="O33" s="453">
        <f>IF($C$1=2014,'Portfolio Inputs'!$AA32,IF($C$1=2015,'Portfolio Inputs'!$AB32,'Portfolio Inputs'!$AC32))+Expenditures!G9</f>
        <v>16031.952532602216</v>
      </c>
      <c r="Q33" s="442">
        <f t="shared" si="261"/>
        <v>0.23281817036908295</v>
      </c>
      <c r="R33" s="443">
        <f t="shared" si="262"/>
        <v>0.23281817036908295</v>
      </c>
      <c r="S33" s="443">
        <f t="shared" si="263"/>
        <v>0.29500691432985054</v>
      </c>
      <c r="T33" s="443" t="str">
        <f t="shared" si="264"/>
        <v>n/a</v>
      </c>
      <c r="U33" s="443" t="str">
        <f>IF(AE33&gt;0,(AD33+AB33)/AE33,"n/a")</f>
        <v>n/a</v>
      </c>
      <c r="V33" s="522">
        <f t="shared" si="266"/>
        <v>0.13283778455198014</v>
      </c>
      <c r="W33" s="522">
        <f t="shared" si="267"/>
        <v>0.14440242045412163</v>
      </c>
      <c r="Y33" s="444">
        <f t="shared" ref="Y33" si="282">AG33+NPV(DiscountRate,AH33:AZ33)</f>
        <v>3732.5298560844335</v>
      </c>
      <c r="Z33" s="444">
        <f t="shared" ref="Z33" si="283">BB33+NPV(DiscountRate,BC33:BU33)</f>
        <v>997.00699124117841</v>
      </c>
      <c r="AA33" s="444">
        <f t="shared" ref="AA33" si="284">BW33+NPV(DiscountRate,BX33:CP33)</f>
        <v>12066.452365319537</v>
      </c>
      <c r="AB33" s="444">
        <f t="shared" ref="AB33" si="285">CR33+NPV(DiscountRate,CS33:DK33)</f>
        <v>9816.1589072631759</v>
      </c>
      <c r="AC33" s="445">
        <f t="shared" ref="AC33" si="286">O33/((1+DiscountRate)^(IF($C$1=2015,1,IF($C$1=2016,2,0))))</f>
        <v>16031.952532602216</v>
      </c>
      <c r="AD33" s="445">
        <f t="shared" ref="AD33" si="287">N33/((1+DiscountRate)^(IF($C$1=2015,1,IF($C$1=2016,2,0))))</f>
        <v>0</v>
      </c>
      <c r="AE33" s="526">
        <f t="shared" ref="AE33" si="288">DM33+NPV(DiscountRate,DN33:DW33)</f>
        <v>0</v>
      </c>
      <c r="AG33" s="520">
        <f>IF(AND(($E33+$C$1)&gt;AG$4,AG$4&gt;=$C$1),'General Inputs'!D$9*$H33,IF(AND(($D33+$C$1)&gt;AG$4,AG$4&gt;=$C$1),'General Inputs'!D$9*$G33,0))+IF(AND(($E33+$C$1)&gt;AG$4,AG$4&gt;=$C$1),'General Inputs'!D$10*$J33,IF(AND(($D33+$C$1)&gt;AG$4,AG$4&gt;=$C$1),'General Inputs'!D$10*$I33,0))</f>
        <v>854.20749887016837</v>
      </c>
      <c r="AH33" s="520">
        <f>IF(AND(($E33+$C$1)&gt;AH$4,AH$4&gt;=$C$1),'General Inputs'!E$9*$H33,IF(AND(($D33+$C$1)&gt;AH$4,AH$4&gt;=$C$1),'General Inputs'!E$9*$G33,0))+IF(AND(($E33+$C$1)&gt;AH$4,AH$4&gt;=$C$1),'General Inputs'!E$10*$J33,IF(AND(($D33+$C$1)&gt;AH$4,AH$4&gt;=$C$1),'General Inputs'!E$10*$I33,0))</f>
        <v>867.02061135322083</v>
      </c>
      <c r="AI33" s="520">
        <f>IF(AND(($E33+$C$1)&gt;AI$4,AI$4&gt;=$C$1),'General Inputs'!F$9*$H33,IF(AND(($D33+$C$1)&gt;AI$4,AI$4&gt;=$C$1),'General Inputs'!F$9*$G33,0))+IF(AND(($E33+$C$1)&gt;AI$4,AI$4&gt;=$C$1),'General Inputs'!F$10*$J33,IF(AND(($D33+$C$1)&gt;AI$4,AI$4&gt;=$C$1),'General Inputs'!F$10*$I33,0))</f>
        <v>880.02592052351895</v>
      </c>
      <c r="AJ33" s="520">
        <f>IF(AND(($E33+$C$1)&gt;AJ$4,AJ$4&gt;=$C$1),'General Inputs'!G$9*$H33,IF(AND(($D33+$C$1)&gt;AJ$4,AJ$4&gt;=$C$1),'General Inputs'!G$9*$G33,0))+IF(AND(($E33+$C$1)&gt;AJ$4,AJ$4&gt;=$C$1),'General Inputs'!G$10*$J33,IF(AND(($D33+$C$1)&gt;AJ$4,AJ$4&gt;=$C$1),'General Inputs'!G$10*$I33,0))</f>
        <v>893.22630933137168</v>
      </c>
      <c r="AK33" s="520">
        <f>IF(AND(($E33+$C$1)&gt;AK$4,AK$4&gt;=$C$1),'General Inputs'!H$9*$H33,IF(AND(($D33+$C$1)&gt;AK$4,AK$4&gt;=$C$1),'General Inputs'!H$9*$G33,0))+IF(AND(($E33+$C$1)&gt;AK$4,AK$4&gt;=$C$1),'General Inputs'!H$10*$J33,IF(AND(($D33+$C$1)&gt;AK$4,AK$4&gt;=$C$1),'General Inputs'!H$10*$I33,0))</f>
        <v>906.62470397134211</v>
      </c>
      <c r="AL33" s="520">
        <f>IF(AND(($E33+$C$1)&gt;AL$4,AL$4&gt;=$C$1),'General Inputs'!I$9*$H33,IF(AND(($D33+$C$1)&gt;AL$4,AL$4&gt;=$C$1),'General Inputs'!I$9*$G33,0))+IF(AND(($E33+$C$1)&gt;AL$4,AL$4&gt;=$C$1),'General Inputs'!I$10*$J33,IF(AND(($D33+$C$1)&gt;AL$4,AL$4&gt;=$C$1),'General Inputs'!I$10*$I33,0))</f>
        <v>0</v>
      </c>
      <c r="AM33" s="520">
        <f>IF(AND(($E33+$C$1)&gt;AM$4,AM$4&gt;=$C$1),'General Inputs'!J$9*$H33,IF(AND(($D33+$C$1)&gt;AM$4,AM$4&gt;=$C$1),'General Inputs'!J$9*$G33,0))+IF(AND(($E33+$C$1)&gt;AM$4,AM$4&gt;=$C$1),'General Inputs'!J$10*$J33,IF(AND(($D33+$C$1)&gt;AM$4,AM$4&gt;=$C$1),'General Inputs'!J$10*$I33,0))</f>
        <v>0</v>
      </c>
      <c r="AN33" s="520">
        <f>IF(AND(($E33+$C$1)&gt;AN$4,AN$4&gt;=$C$1),'General Inputs'!K$9*$H33,IF(AND(($D33+$C$1)&gt;AN$4,AN$4&gt;=$C$1),'General Inputs'!K$9*$G33,0))+IF(AND(($E33+$C$1)&gt;AN$4,AN$4&gt;=$C$1),'General Inputs'!K$10*$J33,IF(AND(($D33+$C$1)&gt;AN$4,AN$4&gt;=$C$1),'General Inputs'!K$10*$I33,0))</f>
        <v>0</v>
      </c>
      <c r="AO33" s="520">
        <f>IF(AND(($E33+$C$1)&gt;AO$4,AO$4&gt;=$C$1),'General Inputs'!L$9*$H33,IF(AND(($D33+$C$1)&gt;AO$4,AO$4&gt;=$C$1),'General Inputs'!L$9*$G33,0))+IF(AND(($E33+$C$1)&gt;AO$4,AO$4&gt;=$C$1),'General Inputs'!L$10*$J33,IF(AND(($D33+$C$1)&gt;AO$4,AO$4&gt;=$C$1),'General Inputs'!L$10*$I33,0))</f>
        <v>0</v>
      </c>
      <c r="AP33" s="520">
        <f>IF(AND(($E33+$C$1)&gt;AP$4,AP$4&gt;=$C$1),'General Inputs'!M$9*$H33,IF(AND(($D33+$C$1)&gt;AP$4,AP$4&gt;=$C$1),'General Inputs'!M$9*$G33,0))+IF(AND(($E33+$C$1)&gt;AP$4,AP$4&gt;=$C$1),'General Inputs'!M$10*$J33,IF(AND(($D33+$C$1)&gt;AP$4,AP$4&gt;=$C$1),'General Inputs'!M$10*$I33,0))</f>
        <v>0</v>
      </c>
      <c r="AQ33" s="520">
        <f>IF(AND(($E33+$C$1)&gt;AQ$4,AQ$4&gt;=$C$1),'General Inputs'!N$9*$H33,IF(AND(($D33+$C$1)&gt;AQ$4,AQ$4&gt;=$C$1),'General Inputs'!N$9*$G33,0))+IF(AND(($E33+$C$1)&gt;AQ$4,AQ$4&gt;=$C$1),'General Inputs'!N$10*$J33,IF(AND(($D33+$C$1)&gt;AQ$4,AQ$4&gt;=$C$1),'General Inputs'!N$10*$I33,0))</f>
        <v>0</v>
      </c>
      <c r="AR33" s="520">
        <f>IF(AND(($E33+$C$1)&gt;AR$4,AR$4&gt;=$C$1),'General Inputs'!O$9*$H33,IF(AND(($D33+$C$1)&gt;AR$4,AR$4&gt;=$C$1),'General Inputs'!O$9*$G33,0))+IF(AND(($E33+$C$1)&gt;AR$4,AR$4&gt;=$C$1),'General Inputs'!O$10*$J33,IF(AND(($D33+$C$1)&gt;AR$4,AR$4&gt;=$C$1),'General Inputs'!O$10*$I33,0))</f>
        <v>0</v>
      </c>
      <c r="AS33" s="520">
        <f>IF(AND(($E33+$C$1)&gt;AS$4,AS$4&gt;=$C$1),'General Inputs'!P$9*$H33,IF(AND(($D33+$C$1)&gt;AS$4,AS$4&gt;=$C$1),'General Inputs'!P$9*$G33,0))+IF(AND(($E33+$C$1)&gt;AS$4,AS$4&gt;=$C$1),'General Inputs'!P$10*$J33,IF(AND(($D33+$C$1)&gt;AS$4,AS$4&gt;=$C$1),'General Inputs'!P$10*$I33,0))</f>
        <v>0</v>
      </c>
      <c r="AT33" s="520">
        <f>IF(AND(($E33+$C$1)&gt;AT$4,AT$4&gt;=$C$1),'General Inputs'!Q$9*$H33,IF(AND(($D33+$C$1)&gt;AT$4,AT$4&gt;=$C$1),'General Inputs'!Q$9*$G33,0))+IF(AND(($E33+$C$1)&gt;AT$4,AT$4&gt;=$C$1),'General Inputs'!Q$10*$J33,IF(AND(($D33+$C$1)&gt;AT$4,AT$4&gt;=$C$1),'General Inputs'!Q$10*$I33,0))</f>
        <v>0</v>
      </c>
      <c r="AU33" s="520">
        <f>IF(AND(($E33+$C$1)&gt;AU$4,AU$4&gt;=$C$1),'General Inputs'!R$9*$H33,IF(AND(($D33+$C$1)&gt;AU$4,AU$4&gt;=$C$1),'General Inputs'!R$9*$G33,0))+IF(AND(($E33+$C$1)&gt;AU$4,AU$4&gt;=$C$1),'General Inputs'!R$10*$J33,IF(AND(($D33+$C$1)&gt;AU$4,AU$4&gt;=$C$1),'General Inputs'!R$10*$I33,0))</f>
        <v>0</v>
      </c>
      <c r="AV33" s="520">
        <f>IF(AND(($E33+$C$1)&gt;AV$4,AV$4&gt;=$C$1),'General Inputs'!S$9*$H33,IF(AND(($D33+$C$1)&gt;AV$4,AV$4&gt;=$C$1),'General Inputs'!S$9*$G33,0))+IF(AND(($E33+$C$1)&gt;AV$4,AV$4&gt;=$C$1),'General Inputs'!S$10*$J33,IF(AND(($D33+$C$1)&gt;AV$4,AV$4&gt;=$C$1),'General Inputs'!S$10*$I33,0))</f>
        <v>0</v>
      </c>
      <c r="AW33" s="520">
        <f>IF(AND(($E33+$C$1)&gt;AW$4,AW$4&gt;=$C$1),'General Inputs'!T$9*$H33,IF(AND(($D33+$C$1)&gt;AW$4,AW$4&gt;=$C$1),'General Inputs'!T$9*$G33,0))+IF(AND(($E33+$C$1)&gt;AW$4,AW$4&gt;=$C$1),'General Inputs'!T$10*$J33,IF(AND(($D33+$C$1)&gt;AW$4,AW$4&gt;=$C$1),'General Inputs'!T$10*$I33,0))</f>
        <v>0</v>
      </c>
      <c r="AX33" s="520">
        <f>IF(AND(($E33+$C$1)&gt;AX$4,AX$4&gt;=$C$1),'General Inputs'!U$9*$H33,IF(AND(($D33+$C$1)&gt;AX$4,AX$4&gt;=$C$1),'General Inputs'!U$9*$G33,0))+IF(AND(($E33+$C$1)&gt;AX$4,AX$4&gt;=$C$1),'General Inputs'!U$10*$J33,IF(AND(($D33+$C$1)&gt;AX$4,AX$4&gt;=$C$1),'General Inputs'!U$10*$I33,0))</f>
        <v>0</v>
      </c>
      <c r="AY33" s="520">
        <f>IF(AND(($E33+$C$1)&gt;AY$4,AY$4&gt;=$C$1),'General Inputs'!V$9*$H33,IF(AND(($D33+$C$1)&gt;AY$4,AY$4&gt;=$C$1),'General Inputs'!V$9*$G33,0))+IF(AND(($E33+$C$1)&gt;AY$4,AY$4&gt;=$C$1),'General Inputs'!V$10*$J33,IF(AND(($D33+$C$1)&gt;AY$4,AY$4&gt;=$C$1),'General Inputs'!V$10*$I33,0))</f>
        <v>0</v>
      </c>
      <c r="AZ33" s="520">
        <f>IF(AND(($E33+$C$1)&gt;AZ$4,AZ$4&gt;=$C$1),'General Inputs'!W$9*$H33,IF(AND(($D33+$C$1)&gt;AZ$4,AZ$4&gt;=$C$1),'General Inputs'!W$9*$G33,0))+IF(AND(($E33+$C$1)&gt;AZ$4,AZ$4&gt;=$C$1),'General Inputs'!W$10*$J33,IF(AND(($D33+$C$1)&gt;AZ$4,AZ$4&gt;=$C$1),'General Inputs'!W$10*$I33,0))</f>
        <v>0</v>
      </c>
      <c r="BB33" s="520">
        <f>IF(AND(($E33+$C$1)&gt;BB$4,BB$4&gt;=$C$1),'General Inputs'!D$11*$H33,IF(AND(($D33+$C$1)&gt;BB$4,BB$4&gt;=$C$1),'General Inputs'!D$11*$G33,0))</f>
        <v>234.52750690536462</v>
      </c>
      <c r="BC33" s="520">
        <f>IF(AND(($E33+$C$1)&gt;BC$4,BC$4&gt;=$C$1),'General Inputs'!E$11*$H33,IF(AND(($D33+$C$1)&gt;BC$4,BC$4&gt;=$C$1),'General Inputs'!E$11*$G33,0))</f>
        <v>234.52750690536462</v>
      </c>
      <c r="BD33" s="520">
        <f>IF(AND(($E33+$C$1)&gt;BD$4,BD$4&gt;=$C$1),'General Inputs'!F$11*$H33,IF(AND(($D33+$C$1)&gt;BD$4,BD$4&gt;=$C$1),'General Inputs'!F$11*$G33,0))</f>
        <v>234.52750690536462</v>
      </c>
      <c r="BE33" s="520">
        <f>IF(AND(($E33+$C$1)&gt;BE$4,BE$4&gt;=$C$1),'General Inputs'!G$11*$H33,IF(AND(($D33+$C$1)&gt;BE$4,BE$4&gt;=$C$1),'General Inputs'!G$11*$G33,0))</f>
        <v>234.52750690536462</v>
      </c>
      <c r="BF33" s="520">
        <f>IF(AND(($E33+$C$1)&gt;BF$4,BF$4&gt;=$C$1),'General Inputs'!H$11*$H33,IF(AND(($D33+$C$1)&gt;BF$4,BF$4&gt;=$C$1),'General Inputs'!H$11*$G33,0))</f>
        <v>234.52750690536462</v>
      </c>
      <c r="BG33" s="520">
        <f>IF(AND(($E33+$C$1)&gt;BG$4,BG$4&gt;=$C$1),'General Inputs'!I$11*$H33,IF(AND(($D33+$C$1)&gt;BG$4,BG$4&gt;=$C$1),'General Inputs'!I$11*$G33,0))</f>
        <v>0</v>
      </c>
      <c r="BH33" s="520">
        <f>IF(AND(($E33+$C$1)&gt;BH$4,BH$4&gt;=$C$1),'General Inputs'!J$11*$H33,IF(AND(($D33+$C$1)&gt;BH$4,BH$4&gt;=$C$1),'General Inputs'!J$11*$G33,0))</f>
        <v>0</v>
      </c>
      <c r="BI33" s="520">
        <f>IF(AND(($E33+$C$1)&gt;BI$4,BI$4&gt;=$C$1),'General Inputs'!K$11*$H33,IF(AND(($D33+$C$1)&gt;BI$4,BI$4&gt;=$C$1),'General Inputs'!K$11*$G33,0))</f>
        <v>0</v>
      </c>
      <c r="BJ33" s="520">
        <f>IF(AND(($E33+$C$1)&gt;BJ$4,BJ$4&gt;=$C$1),'General Inputs'!L$11*$H33,IF(AND(($D33+$C$1)&gt;BJ$4,BJ$4&gt;=$C$1),'General Inputs'!L$11*$G33,0))</f>
        <v>0</v>
      </c>
      <c r="BK33" s="520">
        <f>IF(AND(($E33+$C$1)&gt;BK$4,BK$4&gt;=$C$1),'General Inputs'!M$11*$H33,IF(AND(($D33+$C$1)&gt;BK$4,BK$4&gt;=$C$1),'General Inputs'!M$11*$G33,0))</f>
        <v>0</v>
      </c>
      <c r="BL33" s="520">
        <f>IF(AND(($E33+$C$1)&gt;BL$4,BL$4&gt;=$C$1),'General Inputs'!N$11*$H33,IF(AND(($D33+$C$1)&gt;BL$4,BL$4&gt;=$C$1),'General Inputs'!N$11*$G33,0))</f>
        <v>0</v>
      </c>
      <c r="BM33" s="520">
        <f>IF(AND(($E33+$C$1)&gt;BM$4,BM$4&gt;=$C$1),'General Inputs'!O$11*$H33,IF(AND(($D33+$C$1)&gt;BM$4,BM$4&gt;=$C$1),'General Inputs'!O$11*$G33,0))</f>
        <v>0</v>
      </c>
      <c r="BN33" s="520">
        <f>IF(AND(($E33+$C$1)&gt;BN$4,BN$4&gt;=$C$1),'General Inputs'!P$11*$H33,IF(AND(($D33+$C$1)&gt;BN$4,BN$4&gt;=$C$1),'General Inputs'!P$11*$G33,0))</f>
        <v>0</v>
      </c>
      <c r="BO33" s="520">
        <f>IF(AND(($E33+$C$1)&gt;BO$4,BO$4&gt;=$C$1),'General Inputs'!Q$11*$H33,IF(AND(($D33+$C$1)&gt;BO$4,BO$4&gt;=$C$1),'General Inputs'!Q$11*$G33,0))</f>
        <v>0</v>
      </c>
      <c r="BP33" s="520">
        <f>IF(AND(($E33+$C$1)&gt;BP$4,BP$4&gt;=$C$1),'General Inputs'!R$11*$H33,IF(AND(($D33+$C$1)&gt;BP$4,BP$4&gt;=$C$1),'General Inputs'!R$11*$G33,0))</f>
        <v>0</v>
      </c>
      <c r="BQ33" s="520">
        <f>IF(AND(($E33+$C$1)&gt;BQ$4,BQ$4&gt;=$C$1),'General Inputs'!S$11*$H33,IF(AND(($D33+$C$1)&gt;BQ$4,BQ$4&gt;=$C$1),'General Inputs'!S$11*$G33,0))</f>
        <v>0</v>
      </c>
      <c r="BR33" s="520">
        <f>IF(AND(($E33+$C$1)&gt;BR$4,BR$4&gt;=$C$1),'General Inputs'!T$11*$H33,IF(AND(($D33+$C$1)&gt;BR$4,BR$4&gt;=$C$1),'General Inputs'!T$11*$G33,0))</f>
        <v>0</v>
      </c>
      <c r="BS33" s="520">
        <f>IF(AND(($E33+$C$1)&gt;BS$4,BS$4&gt;=$C$1),'General Inputs'!U$11*$H33,IF(AND(($D33+$C$1)&gt;BS$4,BS$4&gt;=$C$1),'General Inputs'!U$11*$G33,0))</f>
        <v>0</v>
      </c>
      <c r="BT33" s="520">
        <f>IF(AND(($E33+$C$1)&gt;BT$4,BT$4&gt;=$C$1),'General Inputs'!V$11*$H33,IF(AND(($D33+$C$1)&gt;BT$4,BT$4&gt;=$C$1),'General Inputs'!V$11*$G33,0))</f>
        <v>0</v>
      </c>
      <c r="BU33" s="520">
        <f>IF(AND(($E33+$C$1)&gt;BU$4,BU$4&gt;=$C$1),'General Inputs'!W$11*$H33,IF(AND(($D33+$C$1)&gt;BU$4,BU$4&gt;=$C$1),'General Inputs'!W$11*$G33,0))</f>
        <v>0</v>
      </c>
      <c r="BW33" s="520">
        <f>IF(AND(($E33+$C$1)&gt;BW$4,BW$4&gt;=$C$1),$H33,IF(AND(($D33+$C$1)&gt;BW$4,BW$4&gt;=$C$1),$G33,0))*IF($A33="Residential",'General Inputs'!D$14,'General Inputs'!D$19)</f>
        <v>2761.4659473958859</v>
      </c>
      <c r="BX33" s="520">
        <f>IF(AND(($E33+$C$1)&gt;BX$4,BX$4&gt;=$C$1),$H33,IF(AND(($D33+$C$1)&gt;BX$4,BX$4&gt;=$C$1),$G33,0))*IF($A33="Residential",'General Inputs'!E$14,'General Inputs'!E$19)</f>
        <v>2802.887936606824</v>
      </c>
      <c r="BY33" s="520">
        <f>IF(AND(($E33+$C$1)&gt;BY$4,BY$4&gt;=$C$1),$H33,IF(AND(($D33+$C$1)&gt;BY$4,BY$4&gt;=$C$1),$G33,0))*IF($A33="Residential",'General Inputs'!F$14,'General Inputs'!F$19)</f>
        <v>2844.9312556559257</v>
      </c>
      <c r="BZ33" s="520">
        <f>IF(AND(($E33+$C$1)&gt;BZ$4,BZ$4&gt;=$C$1),$H33,IF(AND(($D33+$C$1)&gt;BZ$4,BZ$4&gt;=$C$1),$G33,0))*IF($A33="Residential",'General Inputs'!G$14,'General Inputs'!G$19)</f>
        <v>2887.6052244907642</v>
      </c>
      <c r="CA33" s="520">
        <f>IF(AND(($E33+$C$1)&gt;CA$4,CA$4&gt;=$C$1),$H33,IF(AND(($D33+$C$1)&gt;CA$4,CA$4&gt;=$C$1),$G33,0))*IF($A33="Residential",'General Inputs'!H$14,'General Inputs'!H$19)</f>
        <v>2930.9193028581253</v>
      </c>
      <c r="CB33" s="520">
        <f>IF(AND(($E33+$C$1)&gt;CB$4,CB$4&gt;=$C$1),$H33,IF(AND(($D33+$C$1)&gt;CB$4,CB$4&gt;=$C$1),$G33,0))*IF($A33="Residential",'General Inputs'!I$14,'General Inputs'!I$19)</f>
        <v>0</v>
      </c>
      <c r="CC33" s="520">
        <f>IF(AND(($E33+$C$1)&gt;CC$4,CC$4&gt;=$C$1),$H33,IF(AND(($D33+$C$1)&gt;CC$4,CC$4&gt;=$C$1),$G33,0))*IF($A33="Residential",'General Inputs'!J$14,'General Inputs'!J$19)</f>
        <v>0</v>
      </c>
      <c r="CD33" s="520">
        <f>IF(AND(($E33+$C$1)&gt;CD$4,CD$4&gt;=$C$1),$H33,IF(AND(($D33+$C$1)&gt;CD$4,CD$4&gt;=$C$1),$G33,0))*IF($A33="Residential",'General Inputs'!K$14,'General Inputs'!K$19)</f>
        <v>0</v>
      </c>
      <c r="CE33" s="520">
        <f>IF(AND(($E33+$C$1)&gt;CE$4,CE$4&gt;=$C$1),$H33,IF(AND(($D33+$C$1)&gt;CE$4,CE$4&gt;=$C$1),$G33,0))*IF($A33="Residential",'General Inputs'!L$14,'General Inputs'!L$19)</f>
        <v>0</v>
      </c>
      <c r="CF33" s="520">
        <f>IF(AND(($E33+$C$1)&gt;CF$4,CF$4&gt;=$C$1),$H33,IF(AND(($D33+$C$1)&gt;CF$4,CF$4&gt;=$C$1),$G33,0))*IF($A33="Residential",'General Inputs'!M$14,'General Inputs'!M$19)</f>
        <v>0</v>
      </c>
      <c r="CG33" s="520">
        <f>IF(AND(($E33+$C$1)&gt;CG$4,CG$4&gt;=$C$1),$H33,IF(AND(($D33+$C$1)&gt;CG$4,CG$4&gt;=$C$1),$G33,0))*IF($A33="Residential",'General Inputs'!N$14,'General Inputs'!N$19)</f>
        <v>0</v>
      </c>
      <c r="CH33" s="520">
        <f>IF(AND(($E33+$C$1)&gt;CH$4,CH$4&gt;=$C$1),$H33,IF(AND(($D33+$C$1)&gt;CH$4,CH$4&gt;=$C$1),$G33,0))*IF($A33="Residential",'General Inputs'!O$14,'General Inputs'!O$19)</f>
        <v>0</v>
      </c>
      <c r="CI33" s="520">
        <f>IF(AND(($E33+$C$1)&gt;CI$4,CI$4&gt;=$C$1),$H33,IF(AND(($D33+$C$1)&gt;CI$4,CI$4&gt;=$C$1),$G33,0))*IF($A33="Residential",'General Inputs'!P$14,'General Inputs'!P$19)</f>
        <v>0</v>
      </c>
      <c r="CJ33" s="520">
        <f>IF(AND(($E33+$C$1)&gt;CJ$4,CJ$4&gt;=$C$1),$H33,IF(AND(($D33+$C$1)&gt;CJ$4,CJ$4&gt;=$C$1),$G33,0))*IF($A33="Residential",'General Inputs'!Q$14,'General Inputs'!Q$19)</f>
        <v>0</v>
      </c>
      <c r="CK33" s="520">
        <f>IF(AND(($E33+$C$1)&gt;CK$4,CK$4&gt;=$C$1),$H33,IF(AND(($D33+$C$1)&gt;CK$4,CK$4&gt;=$C$1),$G33,0))*IF($A33="Residential",'General Inputs'!R$14,'General Inputs'!R$19)</f>
        <v>0</v>
      </c>
      <c r="CL33" s="520">
        <f>IF(AND(($E33+$C$1)&gt;CL$4,CL$4&gt;=$C$1),$H33,IF(AND(($D33+$C$1)&gt;CL$4,CL$4&gt;=$C$1),$G33,0))*IF($A33="Residential",'General Inputs'!S$14,'General Inputs'!S$19)</f>
        <v>0</v>
      </c>
      <c r="CM33" s="520">
        <f>IF(AND(($E33+$C$1)&gt;CM$4,CM$4&gt;=$C$1),$H33,IF(AND(($D33+$C$1)&gt;CM$4,CM$4&gt;=$C$1),$G33,0))*IF($A33="Residential",'General Inputs'!T$14,'General Inputs'!T$19)</f>
        <v>0</v>
      </c>
      <c r="CN33" s="520">
        <f>IF(AND(($E33+$C$1)&gt;CN$4,CN$4&gt;=$C$1),$H33,IF(AND(($D33+$C$1)&gt;CN$4,CN$4&gt;=$C$1),$G33,0))*IF($A33="Residential",'General Inputs'!U$14,'General Inputs'!U$19)</f>
        <v>0</v>
      </c>
      <c r="CO33" s="520">
        <f>IF(AND(($E33+$C$1)&gt;CO$4,CO$4&gt;=$C$1),$H33,IF(AND(($D33+$C$1)&gt;CO$4,CO$4&gt;=$C$1),$G33,0))*IF($A33="Residential",'General Inputs'!V$14,'General Inputs'!V$19)</f>
        <v>0</v>
      </c>
      <c r="CP33" s="520">
        <f>IF(AND(($E33+$C$1)&gt;CP$4,CP$4&gt;=$C$1),$H33,IF(AND(($D33+$C$1)&gt;CP$4,CP$4&gt;=$C$1),$G33,0))*IF($A33="Residential",'General Inputs'!W$14,'General Inputs'!W$19)</f>
        <v>0</v>
      </c>
      <c r="CR33" s="520">
        <f>IF(AND(($E33+$C$1)&gt;CR$4,CR$4&gt;=$C$1),$H33,IF(AND(($D33+$C$1)&gt;CR$4,CR$4&gt;=$C$1),$G33,0))*IF($A33="Residential",'General Inputs'!D$15,'General Inputs'!D$19)</f>
        <v>2246.4754126525931</v>
      </c>
      <c r="CS33" s="520">
        <f>IF(AND(($E33+$C$1)&gt;CS$4,CS$4&gt;=$C$1),$H33,IF(AND(($D33+$C$1)&gt;CS$4,CS$4&gt;=$C$1),$G33,0))*IF($A33="Residential",'General Inputs'!E$15,'General Inputs'!E$19)</f>
        <v>2280.1725438423819</v>
      </c>
      <c r="CT33" s="520">
        <f>IF(AND(($E33+$C$1)&gt;CT$4,CT$4&gt;=$C$1),$H33,IF(AND(($D33+$C$1)&gt;CT$4,CT$4&gt;=$C$1),$G33,0))*IF($A33="Residential",'General Inputs'!F$15,'General Inputs'!F$19)</f>
        <v>2314.3751320000174</v>
      </c>
      <c r="CU33" s="520">
        <f>IF(AND(($E33+$C$1)&gt;CU$4,CU$4&gt;=$C$1),$H33,IF(AND(($D33+$C$1)&gt;CU$4,CU$4&gt;=$C$1),$G33,0))*IF($A33="Residential",'General Inputs'!G$15,'General Inputs'!G$19)</f>
        <v>2349.0907589800172</v>
      </c>
      <c r="CV33" s="520">
        <f>IF(AND(($E33+$C$1)&gt;CV$4,CV$4&gt;=$C$1),$H33,IF(AND(($D33+$C$1)&gt;CV$4,CV$4&gt;=$C$1),$G33,0))*IF($A33="Residential",'General Inputs'!H$15,'General Inputs'!H$19)</f>
        <v>2384.3271203647173</v>
      </c>
      <c r="CW33" s="520">
        <f>IF(AND(($E33+$C$1)&gt;CW$4,CW$4&gt;=$C$1),$H33,IF(AND(($D33+$C$1)&gt;CW$4,CW$4&gt;=$C$1),$G33,0))*IF($A33="Residential",'General Inputs'!I$15,'General Inputs'!I$19)</f>
        <v>0</v>
      </c>
      <c r="CX33" s="520">
        <f>IF(AND(($E33+$C$1)&gt;CX$4,CX$4&gt;=$C$1),$H33,IF(AND(($D33+$C$1)&gt;CX$4,CX$4&gt;=$C$1),$G33,0))*IF($A33="Residential",'General Inputs'!J$15,'General Inputs'!J$19)</f>
        <v>0</v>
      </c>
      <c r="CY33" s="520">
        <f>IF(AND(($E33+$C$1)&gt;CY$4,CY$4&gt;=$C$1),$H33,IF(AND(($D33+$C$1)&gt;CY$4,CY$4&gt;=$C$1),$G33,0))*IF($A33="Residential",'General Inputs'!K$15,'General Inputs'!K$19)</f>
        <v>0</v>
      </c>
      <c r="CZ33" s="520">
        <f>IF(AND(($E33+$C$1)&gt;CZ$4,CZ$4&gt;=$C$1),$H33,IF(AND(($D33+$C$1)&gt;CZ$4,CZ$4&gt;=$C$1),$G33,0))*IF($A33="Residential",'General Inputs'!L$15,'General Inputs'!L$19)</f>
        <v>0</v>
      </c>
      <c r="DA33" s="520">
        <f>IF(AND(($E33+$C$1)&gt;DA$4,DA$4&gt;=$C$1),$H33,IF(AND(($D33+$C$1)&gt;DA$4,DA$4&gt;=$C$1),$G33,0))*IF($A33="Residential",'General Inputs'!M$15,'General Inputs'!M$19)</f>
        <v>0</v>
      </c>
      <c r="DB33" s="520">
        <f>IF(AND(($E33+$C$1)&gt;DB$4,DB$4&gt;=$C$1),$H33,IF(AND(($D33+$C$1)&gt;DB$4,DB$4&gt;=$C$1),$G33,0))*IF($A33="Residential",'General Inputs'!N$15,'General Inputs'!N$19)</f>
        <v>0</v>
      </c>
      <c r="DC33" s="520">
        <f>IF(AND(($E33+$C$1)&gt;DC$4,DC$4&gt;=$C$1),$H33,IF(AND(($D33+$C$1)&gt;DC$4,DC$4&gt;=$C$1),$G33,0))*IF($A33="Residential",'General Inputs'!O$15,'General Inputs'!O$19)</f>
        <v>0</v>
      </c>
      <c r="DD33" s="520">
        <f>IF(AND(($E33+$C$1)&gt;DD$4,DD$4&gt;=$C$1),$H33,IF(AND(($D33+$C$1)&gt;DD$4,DD$4&gt;=$C$1),$G33,0))*IF($A33="Residential",'General Inputs'!P$15,'General Inputs'!P$19)</f>
        <v>0</v>
      </c>
      <c r="DE33" s="520">
        <f>IF(AND(($E33+$C$1)&gt;DE$4,DE$4&gt;=$C$1),$H33,IF(AND(($D33+$C$1)&gt;DE$4,DE$4&gt;=$C$1),$G33,0))*IF($A33="Residential",'General Inputs'!Q$15,'General Inputs'!Q$19)</f>
        <v>0</v>
      </c>
      <c r="DF33" s="520">
        <f>IF(AND(($E33+$C$1)&gt;DF$4,DF$4&gt;=$C$1),$H33,IF(AND(($D33+$C$1)&gt;DF$4,DF$4&gt;=$C$1),$G33,0))*IF($A33="Residential",'General Inputs'!R$15,'General Inputs'!R$19)</f>
        <v>0</v>
      </c>
      <c r="DG33" s="520">
        <f>IF(AND(($E33+$C$1)&gt;DG$4,DG$4&gt;=$C$1),$H33,IF(AND(($D33+$C$1)&gt;DG$4,DG$4&gt;=$C$1),$G33,0))*IF($A33="Residential",'General Inputs'!S$15,'General Inputs'!S$19)</f>
        <v>0</v>
      </c>
      <c r="DH33" s="520">
        <f>IF(AND(($E33+$C$1)&gt;DH$4,DH$4&gt;=$C$1),$H33,IF(AND(($D33+$C$1)&gt;DH$4,DH$4&gt;=$C$1),$G33,0))*IF($A33="Residential",'General Inputs'!T$15,'General Inputs'!T$19)</f>
        <v>0</v>
      </c>
      <c r="DI33" s="520">
        <f>IF(AND(($E33+$C$1)&gt;DI$4,DI$4&gt;=$C$1),$H33,IF(AND(($D33+$C$1)&gt;DI$4,DI$4&gt;=$C$1),$G33,0))*IF($A33="Residential",'General Inputs'!U$15,'General Inputs'!U$19)</f>
        <v>0</v>
      </c>
      <c r="DJ33" s="520">
        <f>IF(AND(($E33+$C$1)&gt;DJ$4,DJ$4&gt;=$C$1),$H33,IF(AND(($D33+$C$1)&gt;DJ$4,DJ$4&gt;=$C$1),$G33,0))*IF($A33="Residential",'General Inputs'!V$15,'General Inputs'!V$19)</f>
        <v>0</v>
      </c>
      <c r="DK33" s="520">
        <f>IF(AND(($E33+$C$1)&gt;DK$4,DK$4&gt;=$C$1),$H33,IF(AND(($D33+$C$1)&gt;DK$4,DK$4&gt;=$C$1),$G33,0))*IF($A33="Residential",'General Inputs'!W$15,'General Inputs'!W$19)</f>
        <v>0</v>
      </c>
      <c r="DM33" s="524">
        <f>IF($C$1=DM$4,$L33*$C33,IF($E33+$C$1=DM$4,-$M33*$C33,0))</f>
        <v>0</v>
      </c>
      <c r="DN33" s="524">
        <f t="shared" ref="DN33:DW34" si="289">IF($C$1=DN$4,$L33*$C33,IF($E33+$C$1=DN$4,-$M33*$C33,0))</f>
        <v>0</v>
      </c>
      <c r="DO33" s="524">
        <f t="shared" si="289"/>
        <v>0</v>
      </c>
      <c r="DP33" s="524">
        <f t="shared" si="289"/>
        <v>0</v>
      </c>
      <c r="DQ33" s="524">
        <f t="shared" si="289"/>
        <v>0</v>
      </c>
      <c r="DR33" s="524">
        <f t="shared" si="289"/>
        <v>0</v>
      </c>
      <c r="DS33" s="524">
        <f t="shared" si="289"/>
        <v>0</v>
      </c>
      <c r="DT33" s="524">
        <f t="shared" si="289"/>
        <v>0</v>
      </c>
      <c r="DU33" s="524">
        <f t="shared" si="289"/>
        <v>0</v>
      </c>
      <c r="DV33" s="524">
        <f t="shared" si="289"/>
        <v>0</v>
      </c>
      <c r="DW33" s="524">
        <f t="shared" si="289"/>
        <v>0</v>
      </c>
      <c r="DZ33" s="650"/>
      <c r="FI33" s="195"/>
      <c r="FJ33" s="195"/>
      <c r="FK33" s="195"/>
      <c r="FL33" s="195"/>
      <c r="FM33" s="195"/>
      <c r="FN33" s="195"/>
      <c r="FO33" s="195"/>
    </row>
    <row r="34" spans="1:171">
      <c r="A34" s="441" t="s">
        <v>12</v>
      </c>
      <c r="B34" s="426" t="str">
        <f>'Portfolio Inputs'!A33</f>
        <v>School-Based Education</v>
      </c>
      <c r="C34" s="356">
        <f>IF($C$1=2014,'Portfolio Inputs'!$C33,IF($C$1=2015,'Portfolio Inputs'!$D33,'Portfolio Inputs'!$E33))</f>
        <v>325</v>
      </c>
      <c r="D34" s="527">
        <f>VLOOKUP(B34,Sources!$B$3:$J$103,2,FALSE)</f>
        <v>5</v>
      </c>
      <c r="E34" s="527">
        <f>VLOOKUP(B34,Sources!$B$3:$J$103,3,FALSE)</f>
        <v>0</v>
      </c>
      <c r="F34" s="633"/>
      <c r="G34" s="527">
        <f>VLOOKUP($B34,Sources!$B$3:$K$103,5,FALSE)*C34*EnergyLineLoss</f>
        <v>113524.75408355983</v>
      </c>
      <c r="H34" s="527"/>
      <c r="I34" s="443">
        <f>VLOOKUP($B34,Sources!$B$3:$K$103,7,FALSE)*C34*PeakLineLoss</f>
        <v>9.9379514357809793</v>
      </c>
      <c r="J34" s="443"/>
      <c r="L34" s="607">
        <f>IF($C$1=2014,'Portfolio Inputs'!$O33,IF($C$1=2015,'Portfolio Inputs'!$P33,'Portfolio Inputs'!$Q33))</f>
        <v>0</v>
      </c>
      <c r="M34" s="519">
        <f>VLOOKUP($B34,Sources!$B$3:$K$103,10,FALSE)</f>
        <v>0</v>
      </c>
      <c r="N34" s="453">
        <f>IF($C$1=2014,'Portfolio Inputs'!$W33,IF($C$1=2015,'Portfolio Inputs'!$X33,'Portfolio Inputs'!$Y33))</f>
        <v>0</v>
      </c>
      <c r="O34" s="453">
        <f>IF($C$1=2014,'Portfolio Inputs'!$AA33,IF($C$1=2015,'Portfolio Inputs'!$AB33,'Portfolio Inputs'!$AC33))+Expenditures!G10</f>
        <v>47026.227298348444</v>
      </c>
      <c r="Q34" s="442">
        <f t="shared" ref="Q34:Q96" si="290">IF(OR(AE34&gt;0,AC34&gt;0),Y34/(AC34+AE34),"n/a")</f>
        <v>0.43378661478244912</v>
      </c>
      <c r="R34" s="443">
        <f t="shared" ref="R34:R96" si="291">IF(OR(AC34&gt;0,AD34&gt;0),Y34/((AD34+AC34)),"n/a")</f>
        <v>0.43378661478244912</v>
      </c>
      <c r="S34" s="443">
        <f t="shared" ref="S34:S96" si="292">IF(OR(AC34&gt;0,AE34&gt;0),(Y34+Z34)/(AC34+AE34),"n/a")</f>
        <v>0.55077956675957895</v>
      </c>
      <c r="T34" s="443" t="str">
        <f t="shared" ref="T34:T96" si="293">IF(AE34&gt;0,(AD34+AA34)/AE34,"n/a")</f>
        <v>n/a</v>
      </c>
      <c r="U34" s="443" t="str">
        <f>IF(AE34&gt;0,(AD34+AB34)/AE34,"n/a")</f>
        <v>n/a</v>
      </c>
      <c r="V34" s="522">
        <f t="shared" ref="V34:V96" si="294">IF((AA34+AC34+AD34)&gt;0,Y34/(AA34+AC34+AD34),"n/a")</f>
        <v>0.17955280817183297</v>
      </c>
      <c r="W34" s="522">
        <f t="shared" ref="W34:W96" si="295">IF((AB34+AC34+AD34)&gt;0,Y34/(AB34+AC34+AD34),"n/a")</f>
        <v>0.20158598062327571</v>
      </c>
      <c r="Y34" s="444">
        <f t="shared" si="29"/>
        <v>20399.34794574057</v>
      </c>
      <c r="Z34" s="444">
        <f t="shared" si="30"/>
        <v>5501.737151981275</v>
      </c>
      <c r="AA34" s="444">
        <f t="shared" si="31"/>
        <v>66585.740976847155</v>
      </c>
      <c r="AB34" s="444">
        <f t="shared" si="32"/>
        <v>54168.051602737018</v>
      </c>
      <c r="AC34" s="445">
        <f t="shared" si="33"/>
        <v>47026.227298348444</v>
      </c>
      <c r="AD34" s="445">
        <f t="shared" si="34"/>
        <v>0</v>
      </c>
      <c r="AE34" s="526">
        <f t="shared" si="35"/>
        <v>0</v>
      </c>
      <c r="AG34" s="520">
        <f>IF(AND(($E34+$C$1)&gt;AG$4,AG$4&gt;=$C$1),'General Inputs'!D$9*$H34,IF(AND(($D34+$C$1)&gt;AG$4,AG$4&gt;=$C$1),'General Inputs'!D$9*$G34,0))+IF(AND(($E34+$C$1)&gt;AG$4,AG$4&gt;=$C$1),'General Inputs'!D$10*$J34,IF(AND(($D34+$C$1)&gt;AG$4,AG$4&gt;=$C$1),'General Inputs'!D$10*$I34,0))</f>
        <v>4668.4893782988092</v>
      </c>
      <c r="AH34" s="520">
        <f>IF(AND(($E34+$C$1)&gt;AH$4,AH$4&gt;=$C$1),'General Inputs'!E$9*$H34,IF(AND(($D34+$C$1)&gt;AH$4,AH$4&gt;=$C$1),'General Inputs'!E$9*$G34,0))+IF(AND(($E34+$C$1)&gt;AH$4,AH$4&gt;=$C$1),'General Inputs'!E$10*$J34,IF(AND(($D34+$C$1)&gt;AH$4,AH$4&gt;=$C$1),'General Inputs'!E$10*$I34,0))</f>
        <v>4738.5167189732902</v>
      </c>
      <c r="AI34" s="520">
        <f>IF(AND(($E34+$C$1)&gt;AI$4,AI$4&gt;=$C$1),'General Inputs'!F$9*$H34,IF(AND(($D34+$C$1)&gt;AI$4,AI$4&gt;=$C$1),'General Inputs'!F$9*$G34,0))+IF(AND(($E34+$C$1)&gt;AI$4,AI$4&gt;=$C$1),'General Inputs'!F$10*$J34,IF(AND(($D34+$C$1)&gt;AI$4,AI$4&gt;=$C$1),'General Inputs'!F$10*$I34,0))</f>
        <v>4809.5944697578889</v>
      </c>
      <c r="AJ34" s="520">
        <f>IF(AND(($E34+$C$1)&gt;AJ$4,AJ$4&gt;=$C$1),'General Inputs'!G$9*$H34,IF(AND(($D34+$C$1)&gt;AJ$4,AJ$4&gt;=$C$1),'General Inputs'!G$9*$G34,0))+IF(AND(($E34+$C$1)&gt;AJ$4,AJ$4&gt;=$C$1),'General Inputs'!G$10*$J34,IF(AND(($D34+$C$1)&gt;AJ$4,AJ$4&gt;=$C$1),'General Inputs'!G$10*$I34,0))</f>
        <v>4881.7383868042571</v>
      </c>
      <c r="AK34" s="520">
        <f>IF(AND(($E34+$C$1)&gt;AK$4,AK$4&gt;=$C$1),'General Inputs'!H$9*$H34,IF(AND(($D34+$C$1)&gt;AK$4,AK$4&gt;=$C$1),'General Inputs'!H$9*$G34,0))+IF(AND(($E34+$C$1)&gt;AK$4,AK$4&gt;=$C$1),'General Inputs'!H$10*$J34,IF(AND(($D34+$C$1)&gt;AK$4,AK$4&gt;=$C$1),'General Inputs'!H$10*$I34,0))</f>
        <v>4954.9644626063209</v>
      </c>
      <c r="AL34" s="520">
        <f>IF(AND(($E34+$C$1)&gt;AL$4,AL$4&gt;=$C$1),'General Inputs'!I$9*$H34,IF(AND(($D34+$C$1)&gt;AL$4,AL$4&gt;=$C$1),'General Inputs'!I$9*$G34,0))+IF(AND(($E34+$C$1)&gt;AL$4,AL$4&gt;=$C$1),'General Inputs'!I$10*$J34,IF(AND(($D34+$C$1)&gt;AL$4,AL$4&gt;=$C$1),'General Inputs'!I$10*$I34,0))</f>
        <v>0</v>
      </c>
      <c r="AM34" s="520">
        <f>IF(AND(($E34+$C$1)&gt;AM$4,AM$4&gt;=$C$1),'General Inputs'!J$9*$H34,IF(AND(($D34+$C$1)&gt;AM$4,AM$4&gt;=$C$1),'General Inputs'!J$9*$G34,0))+IF(AND(($E34+$C$1)&gt;AM$4,AM$4&gt;=$C$1),'General Inputs'!J$10*$J34,IF(AND(($D34+$C$1)&gt;AM$4,AM$4&gt;=$C$1),'General Inputs'!J$10*$I34,0))</f>
        <v>0</v>
      </c>
      <c r="AN34" s="520">
        <f>IF(AND(($E34+$C$1)&gt;AN$4,AN$4&gt;=$C$1),'General Inputs'!K$9*$H34,IF(AND(($D34+$C$1)&gt;AN$4,AN$4&gt;=$C$1),'General Inputs'!K$9*$G34,0))+IF(AND(($E34+$C$1)&gt;AN$4,AN$4&gt;=$C$1),'General Inputs'!K$10*$J34,IF(AND(($D34+$C$1)&gt;AN$4,AN$4&gt;=$C$1),'General Inputs'!K$10*$I34,0))</f>
        <v>0</v>
      </c>
      <c r="AO34" s="520">
        <f>IF(AND(($E34+$C$1)&gt;AO$4,AO$4&gt;=$C$1),'General Inputs'!L$9*$H34,IF(AND(($D34+$C$1)&gt;AO$4,AO$4&gt;=$C$1),'General Inputs'!L$9*$G34,0))+IF(AND(($E34+$C$1)&gt;AO$4,AO$4&gt;=$C$1),'General Inputs'!L$10*$J34,IF(AND(($D34+$C$1)&gt;AO$4,AO$4&gt;=$C$1),'General Inputs'!L$10*$I34,0))</f>
        <v>0</v>
      </c>
      <c r="AP34" s="520">
        <f>IF(AND(($E34+$C$1)&gt;AP$4,AP$4&gt;=$C$1),'General Inputs'!M$9*$H34,IF(AND(($D34+$C$1)&gt;AP$4,AP$4&gt;=$C$1),'General Inputs'!M$9*$G34,0))+IF(AND(($E34+$C$1)&gt;AP$4,AP$4&gt;=$C$1),'General Inputs'!M$10*$J34,IF(AND(($D34+$C$1)&gt;AP$4,AP$4&gt;=$C$1),'General Inputs'!M$10*$I34,0))</f>
        <v>0</v>
      </c>
      <c r="AQ34" s="520">
        <f>IF(AND(($E34+$C$1)&gt;AQ$4,AQ$4&gt;=$C$1),'General Inputs'!N$9*$H34,IF(AND(($D34+$C$1)&gt;AQ$4,AQ$4&gt;=$C$1),'General Inputs'!N$9*$G34,0))+IF(AND(($E34+$C$1)&gt;AQ$4,AQ$4&gt;=$C$1),'General Inputs'!N$10*$J34,IF(AND(($D34+$C$1)&gt;AQ$4,AQ$4&gt;=$C$1),'General Inputs'!N$10*$I34,0))</f>
        <v>0</v>
      </c>
      <c r="AR34" s="520">
        <f>IF(AND(($E34+$C$1)&gt;AR$4,AR$4&gt;=$C$1),'General Inputs'!O$9*$H34,IF(AND(($D34+$C$1)&gt;AR$4,AR$4&gt;=$C$1),'General Inputs'!O$9*$G34,0))+IF(AND(($E34+$C$1)&gt;AR$4,AR$4&gt;=$C$1),'General Inputs'!O$10*$J34,IF(AND(($D34+$C$1)&gt;AR$4,AR$4&gt;=$C$1),'General Inputs'!O$10*$I34,0))</f>
        <v>0</v>
      </c>
      <c r="AS34" s="520">
        <f>IF(AND(($E34+$C$1)&gt;AS$4,AS$4&gt;=$C$1),'General Inputs'!P$9*$H34,IF(AND(($D34+$C$1)&gt;AS$4,AS$4&gt;=$C$1),'General Inputs'!P$9*$G34,0))+IF(AND(($E34+$C$1)&gt;AS$4,AS$4&gt;=$C$1),'General Inputs'!P$10*$J34,IF(AND(($D34+$C$1)&gt;AS$4,AS$4&gt;=$C$1),'General Inputs'!P$10*$I34,0))</f>
        <v>0</v>
      </c>
      <c r="AT34" s="520">
        <f>IF(AND(($E34+$C$1)&gt;AT$4,AT$4&gt;=$C$1),'General Inputs'!Q$9*$H34,IF(AND(($D34+$C$1)&gt;AT$4,AT$4&gt;=$C$1),'General Inputs'!Q$9*$G34,0))+IF(AND(($E34+$C$1)&gt;AT$4,AT$4&gt;=$C$1),'General Inputs'!Q$10*$J34,IF(AND(($D34+$C$1)&gt;AT$4,AT$4&gt;=$C$1),'General Inputs'!Q$10*$I34,0))</f>
        <v>0</v>
      </c>
      <c r="AU34" s="520">
        <f>IF(AND(($E34+$C$1)&gt;AU$4,AU$4&gt;=$C$1),'General Inputs'!R$9*$H34,IF(AND(($D34+$C$1)&gt;AU$4,AU$4&gt;=$C$1),'General Inputs'!R$9*$G34,0))+IF(AND(($E34+$C$1)&gt;AU$4,AU$4&gt;=$C$1),'General Inputs'!R$10*$J34,IF(AND(($D34+$C$1)&gt;AU$4,AU$4&gt;=$C$1),'General Inputs'!R$10*$I34,0))</f>
        <v>0</v>
      </c>
      <c r="AV34" s="520">
        <f>IF(AND(($E34+$C$1)&gt;AV$4,AV$4&gt;=$C$1),'General Inputs'!S$9*$H34,IF(AND(($D34+$C$1)&gt;AV$4,AV$4&gt;=$C$1),'General Inputs'!S$9*$G34,0))+IF(AND(($E34+$C$1)&gt;AV$4,AV$4&gt;=$C$1),'General Inputs'!S$10*$J34,IF(AND(($D34+$C$1)&gt;AV$4,AV$4&gt;=$C$1),'General Inputs'!S$10*$I34,0))</f>
        <v>0</v>
      </c>
      <c r="AW34" s="520">
        <f>IF(AND(($E34+$C$1)&gt;AW$4,AW$4&gt;=$C$1),'General Inputs'!T$9*$H34,IF(AND(($D34+$C$1)&gt;AW$4,AW$4&gt;=$C$1),'General Inputs'!T$9*$G34,0))+IF(AND(($E34+$C$1)&gt;AW$4,AW$4&gt;=$C$1),'General Inputs'!T$10*$J34,IF(AND(($D34+$C$1)&gt;AW$4,AW$4&gt;=$C$1),'General Inputs'!T$10*$I34,0))</f>
        <v>0</v>
      </c>
      <c r="AX34" s="520">
        <f>IF(AND(($E34+$C$1)&gt;AX$4,AX$4&gt;=$C$1),'General Inputs'!U$9*$H34,IF(AND(($D34+$C$1)&gt;AX$4,AX$4&gt;=$C$1),'General Inputs'!U$9*$G34,0))+IF(AND(($E34+$C$1)&gt;AX$4,AX$4&gt;=$C$1),'General Inputs'!U$10*$J34,IF(AND(($D34+$C$1)&gt;AX$4,AX$4&gt;=$C$1),'General Inputs'!U$10*$I34,0))</f>
        <v>0</v>
      </c>
      <c r="AY34" s="520">
        <f>IF(AND(($E34+$C$1)&gt;AY$4,AY$4&gt;=$C$1),'General Inputs'!V$9*$H34,IF(AND(($D34+$C$1)&gt;AY$4,AY$4&gt;=$C$1),'General Inputs'!V$9*$G34,0))+IF(AND(($E34+$C$1)&gt;AY$4,AY$4&gt;=$C$1),'General Inputs'!V$10*$J34,IF(AND(($D34+$C$1)&gt;AY$4,AY$4&gt;=$C$1),'General Inputs'!V$10*$I34,0))</f>
        <v>0</v>
      </c>
      <c r="AZ34" s="520">
        <f>IF(AND(($E34+$C$1)&gt;AZ$4,AZ$4&gt;=$C$1),'General Inputs'!W$9*$H34,IF(AND(($D34+$C$1)&gt;AZ$4,AZ$4&gt;=$C$1),'General Inputs'!W$9*$G34,0))+IF(AND(($E34+$C$1)&gt;AZ$4,AZ$4&gt;=$C$1),'General Inputs'!W$10*$J34,IF(AND(($D34+$C$1)&gt;AZ$4,AZ$4&gt;=$C$1),'General Inputs'!W$10*$I34,0))</f>
        <v>0</v>
      </c>
      <c r="BB34" s="520">
        <f>IF(AND(($E34+$C$1)&gt;BB$4,BB$4&gt;=$C$1),'General Inputs'!D$11*$H34,IF(AND(($D34+$C$1)&gt;BB$4,BB$4&gt;=$C$1),'General Inputs'!D$11*$G34,0))</f>
        <v>1294.1821965525821</v>
      </c>
      <c r="BC34" s="520">
        <f>IF(AND(($E34+$C$1)&gt;BC$4,BC$4&gt;=$C$1),'General Inputs'!E$11*$H34,IF(AND(($D34+$C$1)&gt;BC$4,BC$4&gt;=$C$1),'General Inputs'!E$11*$G34,0))</f>
        <v>1294.1821965525821</v>
      </c>
      <c r="BD34" s="520">
        <f>IF(AND(($E34+$C$1)&gt;BD$4,BD$4&gt;=$C$1),'General Inputs'!F$11*$H34,IF(AND(($D34+$C$1)&gt;BD$4,BD$4&gt;=$C$1),'General Inputs'!F$11*$G34,0))</f>
        <v>1294.1821965525821</v>
      </c>
      <c r="BE34" s="520">
        <f>IF(AND(($E34+$C$1)&gt;BE$4,BE$4&gt;=$C$1),'General Inputs'!G$11*$H34,IF(AND(($D34+$C$1)&gt;BE$4,BE$4&gt;=$C$1),'General Inputs'!G$11*$G34,0))</f>
        <v>1294.1821965525821</v>
      </c>
      <c r="BF34" s="520">
        <f>IF(AND(($E34+$C$1)&gt;BF$4,BF$4&gt;=$C$1),'General Inputs'!H$11*$H34,IF(AND(($D34+$C$1)&gt;BF$4,BF$4&gt;=$C$1),'General Inputs'!H$11*$G34,0))</f>
        <v>1294.1821965525821</v>
      </c>
      <c r="BG34" s="520">
        <f>IF(AND(($E34+$C$1)&gt;BG$4,BG$4&gt;=$C$1),'General Inputs'!I$11*$H34,IF(AND(($D34+$C$1)&gt;BG$4,BG$4&gt;=$C$1),'General Inputs'!I$11*$G34,0))</f>
        <v>0</v>
      </c>
      <c r="BH34" s="520">
        <f>IF(AND(($E34+$C$1)&gt;BH$4,BH$4&gt;=$C$1),'General Inputs'!J$11*$H34,IF(AND(($D34+$C$1)&gt;BH$4,BH$4&gt;=$C$1),'General Inputs'!J$11*$G34,0))</f>
        <v>0</v>
      </c>
      <c r="BI34" s="520">
        <f>IF(AND(($E34+$C$1)&gt;BI$4,BI$4&gt;=$C$1),'General Inputs'!K$11*$H34,IF(AND(($D34+$C$1)&gt;BI$4,BI$4&gt;=$C$1),'General Inputs'!K$11*$G34,0))</f>
        <v>0</v>
      </c>
      <c r="BJ34" s="520">
        <f>IF(AND(($E34+$C$1)&gt;BJ$4,BJ$4&gt;=$C$1),'General Inputs'!L$11*$H34,IF(AND(($D34+$C$1)&gt;BJ$4,BJ$4&gt;=$C$1),'General Inputs'!L$11*$G34,0))</f>
        <v>0</v>
      </c>
      <c r="BK34" s="520">
        <f>IF(AND(($E34+$C$1)&gt;BK$4,BK$4&gt;=$C$1),'General Inputs'!M$11*$H34,IF(AND(($D34+$C$1)&gt;BK$4,BK$4&gt;=$C$1),'General Inputs'!M$11*$G34,0))</f>
        <v>0</v>
      </c>
      <c r="BL34" s="520">
        <f>IF(AND(($E34+$C$1)&gt;BL$4,BL$4&gt;=$C$1),'General Inputs'!N$11*$H34,IF(AND(($D34+$C$1)&gt;BL$4,BL$4&gt;=$C$1),'General Inputs'!N$11*$G34,0))</f>
        <v>0</v>
      </c>
      <c r="BM34" s="520">
        <f>IF(AND(($E34+$C$1)&gt;BM$4,BM$4&gt;=$C$1),'General Inputs'!O$11*$H34,IF(AND(($D34+$C$1)&gt;BM$4,BM$4&gt;=$C$1),'General Inputs'!O$11*$G34,0))</f>
        <v>0</v>
      </c>
      <c r="BN34" s="520">
        <f>IF(AND(($E34+$C$1)&gt;BN$4,BN$4&gt;=$C$1),'General Inputs'!P$11*$H34,IF(AND(($D34+$C$1)&gt;BN$4,BN$4&gt;=$C$1),'General Inputs'!P$11*$G34,0))</f>
        <v>0</v>
      </c>
      <c r="BO34" s="520">
        <f>IF(AND(($E34+$C$1)&gt;BO$4,BO$4&gt;=$C$1),'General Inputs'!Q$11*$H34,IF(AND(($D34+$C$1)&gt;BO$4,BO$4&gt;=$C$1),'General Inputs'!Q$11*$G34,0))</f>
        <v>0</v>
      </c>
      <c r="BP34" s="520">
        <f>IF(AND(($E34+$C$1)&gt;BP$4,BP$4&gt;=$C$1),'General Inputs'!R$11*$H34,IF(AND(($D34+$C$1)&gt;BP$4,BP$4&gt;=$C$1),'General Inputs'!R$11*$G34,0))</f>
        <v>0</v>
      </c>
      <c r="BQ34" s="520">
        <f>IF(AND(($E34+$C$1)&gt;BQ$4,BQ$4&gt;=$C$1),'General Inputs'!S$11*$H34,IF(AND(($D34+$C$1)&gt;BQ$4,BQ$4&gt;=$C$1),'General Inputs'!S$11*$G34,0))</f>
        <v>0</v>
      </c>
      <c r="BR34" s="520">
        <f>IF(AND(($E34+$C$1)&gt;BR$4,BR$4&gt;=$C$1),'General Inputs'!T$11*$H34,IF(AND(($D34+$C$1)&gt;BR$4,BR$4&gt;=$C$1),'General Inputs'!T$11*$G34,0))</f>
        <v>0</v>
      </c>
      <c r="BS34" s="520">
        <f>IF(AND(($E34+$C$1)&gt;BS$4,BS$4&gt;=$C$1),'General Inputs'!U$11*$H34,IF(AND(($D34+$C$1)&gt;BS$4,BS$4&gt;=$C$1),'General Inputs'!U$11*$G34,0))</f>
        <v>0</v>
      </c>
      <c r="BT34" s="520">
        <f>IF(AND(($E34+$C$1)&gt;BT$4,BT$4&gt;=$C$1),'General Inputs'!V$11*$H34,IF(AND(($D34+$C$1)&gt;BT$4,BT$4&gt;=$C$1),'General Inputs'!V$11*$G34,0))</f>
        <v>0</v>
      </c>
      <c r="BU34" s="520">
        <f>IF(AND(($E34+$C$1)&gt;BU$4,BU$4&gt;=$C$1),'General Inputs'!W$11*$H34,IF(AND(($D34+$C$1)&gt;BU$4,BU$4&gt;=$C$1),'General Inputs'!W$11*$G34,0))</f>
        <v>0</v>
      </c>
      <c r="BW34" s="520">
        <f>IF(AND(($E34+$C$1)&gt;BW$4,BW$4&gt;=$C$1),$H34,IF(AND(($D34+$C$1)&gt;BW$4,BW$4&gt;=$C$1),$G34,0))*IF($A34="Residential",'General Inputs'!D$14,'General Inputs'!D$19)</f>
        <v>15238.468666910205</v>
      </c>
      <c r="BX34" s="520">
        <f>IF(AND(($E34+$C$1)&gt;BX$4,BX$4&gt;=$C$1),$H34,IF(AND(($D34+$C$1)&gt;BX$4,BX$4&gt;=$C$1),$G34,0))*IF($A34="Residential",'General Inputs'!E$14,'General Inputs'!E$19)</f>
        <v>15467.045696913854</v>
      </c>
      <c r="BY34" s="520">
        <f>IF(AND(($E34+$C$1)&gt;BY$4,BY$4&gt;=$C$1),$H34,IF(AND(($D34+$C$1)&gt;BY$4,BY$4&gt;=$C$1),$G34,0))*IF($A34="Residential",'General Inputs'!F$14,'General Inputs'!F$19)</f>
        <v>15699.051382367559</v>
      </c>
      <c r="BZ34" s="520">
        <f>IF(AND(($E34+$C$1)&gt;BZ$4,BZ$4&gt;=$C$1),$H34,IF(AND(($D34+$C$1)&gt;BZ$4,BZ$4&gt;=$C$1),$G34,0))*IF($A34="Residential",'General Inputs'!G$14,'General Inputs'!G$19)</f>
        <v>15934.537153103071</v>
      </c>
      <c r="CA34" s="520">
        <f>IF(AND(($E34+$C$1)&gt;CA$4,CA$4&gt;=$C$1),$H34,IF(AND(($D34+$C$1)&gt;CA$4,CA$4&gt;=$C$1),$G34,0))*IF($A34="Residential",'General Inputs'!H$14,'General Inputs'!H$19)</f>
        <v>16173.555210399614</v>
      </c>
      <c r="CB34" s="520">
        <f>IF(AND(($E34+$C$1)&gt;CB$4,CB$4&gt;=$C$1),$H34,IF(AND(($D34+$C$1)&gt;CB$4,CB$4&gt;=$C$1),$G34,0))*IF($A34="Residential",'General Inputs'!I$14,'General Inputs'!I$19)</f>
        <v>0</v>
      </c>
      <c r="CC34" s="520">
        <f>IF(AND(($E34+$C$1)&gt;CC$4,CC$4&gt;=$C$1),$H34,IF(AND(($D34+$C$1)&gt;CC$4,CC$4&gt;=$C$1),$G34,0))*IF($A34="Residential",'General Inputs'!J$14,'General Inputs'!J$19)</f>
        <v>0</v>
      </c>
      <c r="CD34" s="520">
        <f>IF(AND(($E34+$C$1)&gt;CD$4,CD$4&gt;=$C$1),$H34,IF(AND(($D34+$C$1)&gt;CD$4,CD$4&gt;=$C$1),$G34,0))*IF($A34="Residential",'General Inputs'!K$14,'General Inputs'!K$19)</f>
        <v>0</v>
      </c>
      <c r="CE34" s="520">
        <f>IF(AND(($E34+$C$1)&gt;CE$4,CE$4&gt;=$C$1),$H34,IF(AND(($D34+$C$1)&gt;CE$4,CE$4&gt;=$C$1),$G34,0))*IF($A34="Residential",'General Inputs'!L$14,'General Inputs'!L$19)</f>
        <v>0</v>
      </c>
      <c r="CF34" s="520">
        <f>IF(AND(($E34+$C$1)&gt;CF$4,CF$4&gt;=$C$1),$H34,IF(AND(($D34+$C$1)&gt;CF$4,CF$4&gt;=$C$1),$G34,0))*IF($A34="Residential",'General Inputs'!M$14,'General Inputs'!M$19)</f>
        <v>0</v>
      </c>
      <c r="CG34" s="520">
        <f>IF(AND(($E34+$C$1)&gt;CG$4,CG$4&gt;=$C$1),$H34,IF(AND(($D34+$C$1)&gt;CG$4,CG$4&gt;=$C$1),$G34,0))*IF($A34="Residential",'General Inputs'!N$14,'General Inputs'!N$19)</f>
        <v>0</v>
      </c>
      <c r="CH34" s="520">
        <f>IF(AND(($E34+$C$1)&gt;CH$4,CH$4&gt;=$C$1),$H34,IF(AND(($D34+$C$1)&gt;CH$4,CH$4&gt;=$C$1),$G34,0))*IF($A34="Residential",'General Inputs'!O$14,'General Inputs'!O$19)</f>
        <v>0</v>
      </c>
      <c r="CI34" s="520">
        <f>IF(AND(($E34+$C$1)&gt;CI$4,CI$4&gt;=$C$1),$H34,IF(AND(($D34+$C$1)&gt;CI$4,CI$4&gt;=$C$1),$G34,0))*IF($A34="Residential",'General Inputs'!P$14,'General Inputs'!P$19)</f>
        <v>0</v>
      </c>
      <c r="CJ34" s="520">
        <f>IF(AND(($E34+$C$1)&gt;CJ$4,CJ$4&gt;=$C$1),$H34,IF(AND(($D34+$C$1)&gt;CJ$4,CJ$4&gt;=$C$1),$G34,0))*IF($A34="Residential",'General Inputs'!Q$14,'General Inputs'!Q$19)</f>
        <v>0</v>
      </c>
      <c r="CK34" s="520">
        <f>IF(AND(($E34+$C$1)&gt;CK$4,CK$4&gt;=$C$1),$H34,IF(AND(($D34+$C$1)&gt;CK$4,CK$4&gt;=$C$1),$G34,0))*IF($A34="Residential",'General Inputs'!R$14,'General Inputs'!R$19)</f>
        <v>0</v>
      </c>
      <c r="CL34" s="520">
        <f>IF(AND(($E34+$C$1)&gt;CL$4,CL$4&gt;=$C$1),$H34,IF(AND(($D34+$C$1)&gt;CL$4,CL$4&gt;=$C$1),$G34,0))*IF($A34="Residential",'General Inputs'!S$14,'General Inputs'!S$19)</f>
        <v>0</v>
      </c>
      <c r="CM34" s="520">
        <f>IF(AND(($E34+$C$1)&gt;CM$4,CM$4&gt;=$C$1),$H34,IF(AND(($D34+$C$1)&gt;CM$4,CM$4&gt;=$C$1),$G34,0))*IF($A34="Residential",'General Inputs'!T$14,'General Inputs'!T$19)</f>
        <v>0</v>
      </c>
      <c r="CN34" s="520">
        <f>IF(AND(($E34+$C$1)&gt;CN$4,CN$4&gt;=$C$1),$H34,IF(AND(($D34+$C$1)&gt;CN$4,CN$4&gt;=$C$1),$G34,0))*IF($A34="Residential",'General Inputs'!U$14,'General Inputs'!U$19)</f>
        <v>0</v>
      </c>
      <c r="CO34" s="520">
        <f>IF(AND(($E34+$C$1)&gt;CO$4,CO$4&gt;=$C$1),$H34,IF(AND(($D34+$C$1)&gt;CO$4,CO$4&gt;=$C$1),$G34,0))*IF($A34="Residential",'General Inputs'!V$14,'General Inputs'!V$19)</f>
        <v>0</v>
      </c>
      <c r="CP34" s="520">
        <f>IF(AND(($E34+$C$1)&gt;CP$4,CP$4&gt;=$C$1),$H34,IF(AND(($D34+$C$1)&gt;CP$4,CP$4&gt;=$C$1),$G34,0))*IF($A34="Residential",'General Inputs'!W$14,'General Inputs'!W$19)</f>
        <v>0</v>
      </c>
      <c r="CR34" s="520">
        <f>IF(AND(($E34+$C$1)&gt;CR$4,CR$4&gt;=$C$1),$H34,IF(AND(($D34+$C$1)&gt;CR$4,CR$4&gt;=$C$1),$G34,0))*IF($A34="Residential",'General Inputs'!D$15,'General Inputs'!D$19)</f>
        <v>12396.620432337008</v>
      </c>
      <c r="CS34" s="520">
        <f>IF(AND(($E34+$C$1)&gt;CS$4,CS$4&gt;=$C$1),$H34,IF(AND(($D34+$C$1)&gt;CS$4,CS$4&gt;=$C$1),$G34,0))*IF($A34="Residential",'General Inputs'!E$15,'General Inputs'!E$19)</f>
        <v>12582.569738822061</v>
      </c>
      <c r="CT34" s="520">
        <f>IF(AND(($E34+$C$1)&gt;CT$4,CT$4&gt;=$C$1),$H34,IF(AND(($D34+$C$1)&gt;CT$4,CT$4&gt;=$C$1),$G34,0))*IF($A34="Residential",'General Inputs'!F$15,'General Inputs'!F$19)</f>
        <v>12771.308284904391</v>
      </c>
      <c r="CU34" s="520">
        <f>IF(AND(($E34+$C$1)&gt;CU$4,CU$4&gt;=$C$1),$H34,IF(AND(($D34+$C$1)&gt;CU$4,CU$4&gt;=$C$1),$G34,0))*IF($A34="Residential",'General Inputs'!G$15,'General Inputs'!G$19)</f>
        <v>12962.877909177956</v>
      </c>
      <c r="CV34" s="520">
        <f>IF(AND(($E34+$C$1)&gt;CV$4,CV$4&gt;=$C$1),$H34,IF(AND(($D34+$C$1)&gt;CV$4,CV$4&gt;=$C$1),$G34,0))*IF($A34="Residential",'General Inputs'!H$15,'General Inputs'!H$19)</f>
        <v>13157.321077815624</v>
      </c>
      <c r="CW34" s="520">
        <f>IF(AND(($E34+$C$1)&gt;CW$4,CW$4&gt;=$C$1),$H34,IF(AND(($D34+$C$1)&gt;CW$4,CW$4&gt;=$C$1),$G34,0))*IF($A34="Residential",'General Inputs'!I$15,'General Inputs'!I$19)</f>
        <v>0</v>
      </c>
      <c r="CX34" s="520">
        <f>IF(AND(($E34+$C$1)&gt;CX$4,CX$4&gt;=$C$1),$H34,IF(AND(($D34+$C$1)&gt;CX$4,CX$4&gt;=$C$1),$G34,0))*IF($A34="Residential",'General Inputs'!J$15,'General Inputs'!J$19)</f>
        <v>0</v>
      </c>
      <c r="CY34" s="520">
        <f>IF(AND(($E34+$C$1)&gt;CY$4,CY$4&gt;=$C$1),$H34,IF(AND(($D34+$C$1)&gt;CY$4,CY$4&gt;=$C$1),$G34,0))*IF($A34="Residential",'General Inputs'!K$15,'General Inputs'!K$19)</f>
        <v>0</v>
      </c>
      <c r="CZ34" s="520">
        <f>IF(AND(($E34+$C$1)&gt;CZ$4,CZ$4&gt;=$C$1),$H34,IF(AND(($D34+$C$1)&gt;CZ$4,CZ$4&gt;=$C$1),$G34,0))*IF($A34="Residential",'General Inputs'!L$15,'General Inputs'!L$19)</f>
        <v>0</v>
      </c>
      <c r="DA34" s="520">
        <f>IF(AND(($E34+$C$1)&gt;DA$4,DA$4&gt;=$C$1),$H34,IF(AND(($D34+$C$1)&gt;DA$4,DA$4&gt;=$C$1),$G34,0))*IF($A34="Residential",'General Inputs'!M$15,'General Inputs'!M$19)</f>
        <v>0</v>
      </c>
      <c r="DB34" s="520">
        <f>IF(AND(($E34+$C$1)&gt;DB$4,DB$4&gt;=$C$1),$H34,IF(AND(($D34+$C$1)&gt;DB$4,DB$4&gt;=$C$1),$G34,0))*IF($A34="Residential",'General Inputs'!N$15,'General Inputs'!N$19)</f>
        <v>0</v>
      </c>
      <c r="DC34" s="520">
        <f>IF(AND(($E34+$C$1)&gt;DC$4,DC$4&gt;=$C$1),$H34,IF(AND(($D34+$C$1)&gt;DC$4,DC$4&gt;=$C$1),$G34,0))*IF($A34="Residential",'General Inputs'!O$15,'General Inputs'!O$19)</f>
        <v>0</v>
      </c>
      <c r="DD34" s="520">
        <f>IF(AND(($E34+$C$1)&gt;DD$4,DD$4&gt;=$C$1),$H34,IF(AND(($D34+$C$1)&gt;DD$4,DD$4&gt;=$C$1),$G34,0))*IF($A34="Residential",'General Inputs'!P$15,'General Inputs'!P$19)</f>
        <v>0</v>
      </c>
      <c r="DE34" s="520">
        <f>IF(AND(($E34+$C$1)&gt;DE$4,DE$4&gt;=$C$1),$H34,IF(AND(($D34+$C$1)&gt;DE$4,DE$4&gt;=$C$1),$G34,0))*IF($A34="Residential",'General Inputs'!Q$15,'General Inputs'!Q$19)</f>
        <v>0</v>
      </c>
      <c r="DF34" s="520">
        <f>IF(AND(($E34+$C$1)&gt;DF$4,DF$4&gt;=$C$1),$H34,IF(AND(($D34+$C$1)&gt;DF$4,DF$4&gt;=$C$1),$G34,0))*IF($A34="Residential",'General Inputs'!R$15,'General Inputs'!R$19)</f>
        <v>0</v>
      </c>
      <c r="DG34" s="520">
        <f>IF(AND(($E34+$C$1)&gt;DG$4,DG$4&gt;=$C$1),$H34,IF(AND(($D34+$C$1)&gt;DG$4,DG$4&gt;=$C$1),$G34,0))*IF($A34="Residential",'General Inputs'!S$15,'General Inputs'!S$19)</f>
        <v>0</v>
      </c>
      <c r="DH34" s="520">
        <f>IF(AND(($E34+$C$1)&gt;DH$4,DH$4&gt;=$C$1),$H34,IF(AND(($D34+$C$1)&gt;DH$4,DH$4&gt;=$C$1),$G34,0))*IF($A34="Residential",'General Inputs'!T$15,'General Inputs'!T$19)</f>
        <v>0</v>
      </c>
      <c r="DI34" s="520">
        <f>IF(AND(($E34+$C$1)&gt;DI$4,DI$4&gt;=$C$1),$H34,IF(AND(($D34+$C$1)&gt;DI$4,DI$4&gt;=$C$1),$G34,0))*IF($A34="Residential",'General Inputs'!U$15,'General Inputs'!U$19)</f>
        <v>0</v>
      </c>
      <c r="DJ34" s="520">
        <f>IF(AND(($E34+$C$1)&gt;DJ$4,DJ$4&gt;=$C$1),$H34,IF(AND(($D34+$C$1)&gt;DJ$4,DJ$4&gt;=$C$1),$G34,0))*IF($A34="Residential",'General Inputs'!V$15,'General Inputs'!V$19)</f>
        <v>0</v>
      </c>
      <c r="DK34" s="520">
        <f>IF(AND(($E34+$C$1)&gt;DK$4,DK$4&gt;=$C$1),$H34,IF(AND(($D34+$C$1)&gt;DK$4,DK$4&gt;=$C$1),$G34,0))*IF($A34="Residential",'General Inputs'!W$15,'General Inputs'!W$19)</f>
        <v>0</v>
      </c>
      <c r="DM34" s="524">
        <f>IF($C$1=DM$4,$L34*$C34,IF($E34+$C$1=DM$4,-$M34*$C34,0))</f>
        <v>0</v>
      </c>
      <c r="DN34" s="524">
        <f t="shared" si="289"/>
        <v>0</v>
      </c>
      <c r="DO34" s="524">
        <f t="shared" si="289"/>
        <v>0</v>
      </c>
      <c r="DP34" s="524">
        <f t="shared" si="289"/>
        <v>0</v>
      </c>
      <c r="DQ34" s="524">
        <f t="shared" si="289"/>
        <v>0</v>
      </c>
      <c r="DR34" s="524">
        <f t="shared" si="289"/>
        <v>0</v>
      </c>
      <c r="DS34" s="524">
        <f t="shared" si="289"/>
        <v>0</v>
      </c>
      <c r="DT34" s="524">
        <f t="shared" si="289"/>
        <v>0</v>
      </c>
      <c r="DU34" s="524">
        <f t="shared" si="289"/>
        <v>0</v>
      </c>
      <c r="DV34" s="524">
        <f t="shared" si="289"/>
        <v>0</v>
      </c>
      <c r="DW34" s="524">
        <f t="shared" si="289"/>
        <v>0</v>
      </c>
      <c r="DZ34" s="650"/>
      <c r="FI34" s="195"/>
      <c r="FJ34" s="195"/>
      <c r="FK34" s="195"/>
      <c r="FL34" s="195"/>
      <c r="FM34" s="195"/>
      <c r="FN34" s="195"/>
      <c r="FO34" s="195"/>
    </row>
    <row r="35" spans="1:171">
      <c r="A35" s="441" t="s">
        <v>12</v>
      </c>
      <c r="B35" s="426" t="str">
        <f>'Portfolio Inputs'!A34</f>
        <v>Weatherization</v>
      </c>
      <c r="C35" s="356">
        <f>IF($C$1=2014,'Portfolio Inputs'!$C34,IF($C$1=2015,'Portfolio Inputs'!$D34,'Portfolio Inputs'!$E34))</f>
        <v>19</v>
      </c>
      <c r="D35" s="503"/>
      <c r="E35" s="503"/>
      <c r="G35" s="513">
        <f>SUM(G36:G40)</f>
        <v>16378.645409528899</v>
      </c>
      <c r="H35" s="513"/>
      <c r="I35" s="509">
        <f>SUM(I36:I40)</f>
        <v>2.9398586299518081</v>
      </c>
      <c r="J35" s="509"/>
      <c r="L35" s="453"/>
      <c r="M35" s="453"/>
      <c r="N35" s="453">
        <f>IF($C$1=2014,'Portfolio Inputs'!$W34,IF($C$1=2015,'Portfolio Inputs'!$X34,'Portfolio Inputs'!$Y34))</f>
        <v>0</v>
      </c>
      <c r="O35" s="453">
        <f>IF($C$1=2014,'Portfolio Inputs'!$AA34,IF($C$1=2015,'Portfolio Inputs'!$AB34,'Portfolio Inputs'!$AC34))+Expenditures!G11</f>
        <v>8614.5676190183167</v>
      </c>
      <c r="Q35" s="442">
        <f t="shared" si="290"/>
        <v>0.71649433458401501</v>
      </c>
      <c r="R35" s="443">
        <f t="shared" si="291"/>
        <v>0.71649433458401501</v>
      </c>
      <c r="S35" s="443">
        <f t="shared" si="292"/>
        <v>0.89359337938429584</v>
      </c>
      <c r="T35" s="443" t="str">
        <f t="shared" si="293"/>
        <v>n/a</v>
      </c>
      <c r="U35" s="443" t="str">
        <f>IF(AE35&gt;0,(AD35+AB35)/AE35,"n/a")</f>
        <v>n/a</v>
      </c>
      <c r="V35" s="522">
        <f t="shared" si="294"/>
        <v>0.22000565060847868</v>
      </c>
      <c r="W35" s="521">
        <f t="shared" si="295"/>
        <v>0.25265582143382687</v>
      </c>
      <c r="Y35" s="444">
        <f t="shared" si="29"/>
        <v>6172.2888939175309</v>
      </c>
      <c r="Z35" s="444">
        <f t="shared" si="30"/>
        <v>1525.6316966955742</v>
      </c>
      <c r="AA35" s="444">
        <f t="shared" si="31"/>
        <v>19440.57040514869</v>
      </c>
      <c r="AB35" s="444">
        <f t="shared" si="32"/>
        <v>15815.064989047733</v>
      </c>
      <c r="AC35" s="445">
        <f t="shared" si="33"/>
        <v>8614.5676190183167</v>
      </c>
      <c r="AD35" s="445">
        <f t="shared" si="34"/>
        <v>0</v>
      </c>
      <c r="AE35" s="526">
        <f t="shared" si="35"/>
        <v>0</v>
      </c>
      <c r="AG35" s="446">
        <f t="shared" ref="AG35:CR35" si="296">SUM(AG36:AG40)</f>
        <v>696.09260776010092</v>
      </c>
      <c r="AH35" s="446">
        <f t="shared" si="296"/>
        <v>706.53399687650244</v>
      </c>
      <c r="AI35" s="446">
        <f t="shared" si="296"/>
        <v>717.13200682964998</v>
      </c>
      <c r="AJ35" s="446">
        <f t="shared" si="296"/>
        <v>727.88898693209455</v>
      </c>
      <c r="AK35" s="446">
        <f t="shared" si="296"/>
        <v>738.80732173607589</v>
      </c>
      <c r="AL35" s="446">
        <f t="shared" si="296"/>
        <v>641.6992468952684</v>
      </c>
      <c r="AM35" s="446">
        <f t="shared" si="296"/>
        <v>651.32473559869732</v>
      </c>
      <c r="AN35" s="446">
        <f t="shared" si="296"/>
        <v>661.09460663267771</v>
      </c>
      <c r="AO35" s="446">
        <f t="shared" si="296"/>
        <v>671.01102573216781</v>
      </c>
      <c r="AP35" s="446">
        <f t="shared" si="296"/>
        <v>681.07619111815018</v>
      </c>
      <c r="AQ35" s="446">
        <f t="shared" si="296"/>
        <v>691.29233398492238</v>
      </c>
      <c r="AR35" s="446">
        <f t="shared" si="296"/>
        <v>701.66171899469623</v>
      </c>
      <c r="AS35" s="446">
        <f t="shared" si="296"/>
        <v>712.18664477961659</v>
      </c>
      <c r="AT35" s="446">
        <f t="shared" si="296"/>
        <v>722.86944445131076</v>
      </c>
      <c r="AU35" s="446">
        <f t="shared" si="296"/>
        <v>733.71248611808039</v>
      </c>
      <c r="AV35" s="446">
        <f t="shared" si="296"/>
        <v>0</v>
      </c>
      <c r="AW35" s="446">
        <f t="shared" si="296"/>
        <v>0</v>
      </c>
      <c r="AX35" s="446">
        <f t="shared" si="296"/>
        <v>0</v>
      </c>
      <c r="AY35" s="446">
        <f t="shared" si="296"/>
        <v>0</v>
      </c>
      <c r="AZ35" s="446">
        <f t="shared" si="296"/>
        <v>0</v>
      </c>
      <c r="BB35" s="446">
        <f t="shared" si="296"/>
        <v>186.71655766862946</v>
      </c>
      <c r="BC35" s="446">
        <f t="shared" si="296"/>
        <v>186.71655766862946</v>
      </c>
      <c r="BD35" s="446">
        <f t="shared" si="296"/>
        <v>186.71655766862946</v>
      </c>
      <c r="BE35" s="446">
        <f t="shared" si="296"/>
        <v>186.71655766862946</v>
      </c>
      <c r="BF35" s="446">
        <f t="shared" si="296"/>
        <v>186.71655766862946</v>
      </c>
      <c r="BG35" s="446">
        <f t="shared" si="296"/>
        <v>158.90959774591985</v>
      </c>
      <c r="BH35" s="446">
        <f t="shared" si="296"/>
        <v>158.90959774591985</v>
      </c>
      <c r="BI35" s="446">
        <f t="shared" si="296"/>
        <v>158.90959774591985</v>
      </c>
      <c r="BJ35" s="446">
        <f t="shared" si="296"/>
        <v>158.90959774591985</v>
      </c>
      <c r="BK35" s="446">
        <f t="shared" si="296"/>
        <v>158.90959774591985</v>
      </c>
      <c r="BL35" s="446">
        <f t="shared" si="296"/>
        <v>158.90959774591985</v>
      </c>
      <c r="BM35" s="446">
        <f t="shared" si="296"/>
        <v>158.90959774591985</v>
      </c>
      <c r="BN35" s="446">
        <f t="shared" si="296"/>
        <v>158.90959774591985</v>
      </c>
      <c r="BO35" s="446">
        <f t="shared" si="296"/>
        <v>158.90959774591985</v>
      </c>
      <c r="BP35" s="446">
        <f t="shared" si="296"/>
        <v>158.90959774591985</v>
      </c>
      <c r="BQ35" s="446">
        <f t="shared" si="296"/>
        <v>0</v>
      </c>
      <c r="BR35" s="446">
        <f t="shared" si="296"/>
        <v>0</v>
      </c>
      <c r="BS35" s="446">
        <f t="shared" si="296"/>
        <v>0</v>
      </c>
      <c r="BT35" s="446">
        <f t="shared" si="296"/>
        <v>0</v>
      </c>
      <c r="BU35" s="446">
        <f t="shared" si="296"/>
        <v>0</v>
      </c>
      <c r="BW35" s="446">
        <f t="shared" si="296"/>
        <v>2198.511477909316</v>
      </c>
      <c r="BX35" s="446">
        <f t="shared" si="296"/>
        <v>2231.4891500779554</v>
      </c>
      <c r="BY35" s="446">
        <f t="shared" si="296"/>
        <v>2264.9614873291243</v>
      </c>
      <c r="BZ35" s="446">
        <f t="shared" si="296"/>
        <v>2298.9359096390608</v>
      </c>
      <c r="CA35" s="446">
        <f t="shared" si="296"/>
        <v>2333.4199482836466</v>
      </c>
      <c r="CB35" s="446">
        <f t="shared" si="296"/>
        <v>2015.7016197905405</v>
      </c>
      <c r="CC35" s="446">
        <f t="shared" si="296"/>
        <v>2045.9371440873981</v>
      </c>
      <c r="CD35" s="446">
        <f t="shared" si="296"/>
        <v>2076.6262012487086</v>
      </c>
      <c r="CE35" s="446">
        <f t="shared" si="296"/>
        <v>2107.7755942674389</v>
      </c>
      <c r="CF35" s="446">
        <f t="shared" si="296"/>
        <v>2139.3922281814503</v>
      </c>
      <c r="CG35" s="446">
        <f t="shared" si="296"/>
        <v>2171.4831116041719</v>
      </c>
      <c r="CH35" s="446">
        <f t="shared" si="296"/>
        <v>2204.0553582782345</v>
      </c>
      <c r="CI35" s="446">
        <f t="shared" si="296"/>
        <v>2237.1161886524078</v>
      </c>
      <c r="CJ35" s="446">
        <f t="shared" si="296"/>
        <v>2270.6729314821937</v>
      </c>
      <c r="CK35" s="446">
        <f t="shared" si="296"/>
        <v>2304.7330254544258</v>
      </c>
      <c r="CL35" s="446">
        <f t="shared" si="296"/>
        <v>0</v>
      </c>
      <c r="CM35" s="446">
        <f t="shared" si="296"/>
        <v>0</v>
      </c>
      <c r="CN35" s="446">
        <f t="shared" si="296"/>
        <v>0</v>
      </c>
      <c r="CO35" s="446">
        <f t="shared" si="296"/>
        <v>0</v>
      </c>
      <c r="CP35" s="446">
        <f t="shared" si="296"/>
        <v>0</v>
      </c>
      <c r="CR35" s="446">
        <f t="shared" si="296"/>
        <v>1788.5072905625614</v>
      </c>
      <c r="CS35" s="446">
        <f t="shared" ref="CS35:DW35" si="297">SUM(CS36:CS40)</f>
        <v>1815.3348999209998</v>
      </c>
      <c r="CT35" s="446">
        <f t="shared" si="297"/>
        <v>1842.5649234198145</v>
      </c>
      <c r="CU35" s="446">
        <f t="shared" si="297"/>
        <v>1870.2033972711115</v>
      </c>
      <c r="CV35" s="446">
        <f t="shared" si="297"/>
        <v>1898.2564482301782</v>
      </c>
      <c r="CW35" s="446">
        <f t="shared" si="297"/>
        <v>1639.7899573498835</v>
      </c>
      <c r="CX35" s="446">
        <f t="shared" si="297"/>
        <v>1664.3868067101316</v>
      </c>
      <c r="CY35" s="446">
        <f t="shared" si="297"/>
        <v>1689.3526088107833</v>
      </c>
      <c r="CZ35" s="446">
        <f t="shared" si="297"/>
        <v>1714.6928979429449</v>
      </c>
      <c r="DA35" s="446">
        <f t="shared" si="297"/>
        <v>1740.4132914120889</v>
      </c>
      <c r="DB35" s="446">
        <f t="shared" si="297"/>
        <v>1766.5194907832699</v>
      </c>
      <c r="DC35" s="446">
        <f t="shared" si="297"/>
        <v>1793.0172831450188</v>
      </c>
      <c r="DD35" s="446">
        <f t="shared" si="297"/>
        <v>1819.9125423921942</v>
      </c>
      <c r="DE35" s="446">
        <f t="shared" si="297"/>
        <v>1847.2112305280768</v>
      </c>
      <c r="DF35" s="446">
        <f t="shared" si="297"/>
        <v>1874.9193989859978</v>
      </c>
      <c r="DG35" s="446">
        <f t="shared" si="297"/>
        <v>0</v>
      </c>
      <c r="DH35" s="446">
        <f t="shared" si="297"/>
        <v>0</v>
      </c>
      <c r="DI35" s="446">
        <f t="shared" si="297"/>
        <v>0</v>
      </c>
      <c r="DJ35" s="446">
        <f t="shared" si="297"/>
        <v>0</v>
      </c>
      <c r="DK35" s="446">
        <f t="shared" si="297"/>
        <v>0</v>
      </c>
      <c r="DM35" s="446">
        <f t="shared" si="297"/>
        <v>0</v>
      </c>
      <c r="DN35" s="446">
        <f t="shared" si="297"/>
        <v>0</v>
      </c>
      <c r="DO35" s="446">
        <f t="shared" si="297"/>
        <v>0</v>
      </c>
      <c r="DP35" s="446">
        <f t="shared" si="297"/>
        <v>0</v>
      </c>
      <c r="DQ35" s="446">
        <f t="shared" si="297"/>
        <v>0</v>
      </c>
      <c r="DR35" s="446">
        <f t="shared" si="297"/>
        <v>0</v>
      </c>
      <c r="DS35" s="446">
        <f t="shared" si="297"/>
        <v>0</v>
      </c>
      <c r="DT35" s="446">
        <f t="shared" si="297"/>
        <v>0</v>
      </c>
      <c r="DU35" s="446">
        <f t="shared" si="297"/>
        <v>0</v>
      </c>
      <c r="DV35" s="446">
        <f t="shared" si="297"/>
        <v>0</v>
      </c>
      <c r="DW35" s="446">
        <f t="shared" si="297"/>
        <v>0</v>
      </c>
      <c r="DZ35" s="650"/>
      <c r="FO35" s="195"/>
    </row>
    <row r="36" spans="1:171">
      <c r="A36" s="342" t="s">
        <v>12</v>
      </c>
      <c r="B36" s="427" t="str">
        <f>'Portfolio Inputs'!A35</f>
        <v>Air Sealing</v>
      </c>
      <c r="C36" s="217">
        <f>IF($C$1=2014,'Portfolio Inputs'!$C35,IF($C$1=2015,'Portfolio Inputs'!$D35,'Portfolio Inputs'!$E35))</f>
        <v>19</v>
      </c>
      <c r="D36" s="504">
        <f>Sources!C17</f>
        <v>15</v>
      </c>
      <c r="E36" s="504"/>
      <c r="G36" s="504">
        <f>IF($C$1=2014,'Portfolio Inputs'!$G35,IF($C$1=2015,'Portfolio Inputs'!$H35,'Portfolio Inputs'!$I35))*EnergyLineLoss</f>
        <v>13939.4383987649</v>
      </c>
      <c r="H36" s="504"/>
      <c r="I36" s="595">
        <f>IF($C$1=2014,'Portfolio Inputs'!$K35,IF($C$1=2015,'Portfolio Inputs'!$L35,'Portfolio Inputs'!$M35))*PeakLineLoss</f>
        <v>2.7182558219178081</v>
      </c>
      <c r="J36" s="510"/>
      <c r="L36" s="606">
        <f>IF($C$1=2014,'Portfolio Inputs'!$O35,IF($C$1=2015,'Portfolio Inputs'!$P35,'Portfolio Inputs'!$Q35))</f>
        <v>0</v>
      </c>
      <c r="M36" s="518" t="e">
        <f>VLOOKUP($B36,Sources!$B$4:$K$104,10,FALSE)</f>
        <v>#N/A</v>
      </c>
      <c r="N36" s="419">
        <f>IF($C$1=2014,'Portfolio Inputs'!$W35,IF($C$1=2015,'Portfolio Inputs'!$X35,'Portfolio Inputs'!$Y35))</f>
        <v>0</v>
      </c>
      <c r="O36" s="419"/>
      <c r="Q36" s="438" t="str">
        <f t="shared" si="290"/>
        <v>n/a</v>
      </c>
      <c r="R36" s="439" t="str">
        <f t="shared" si="291"/>
        <v>n/a</v>
      </c>
      <c r="S36" s="439" t="str">
        <f t="shared" si="292"/>
        <v>n/a</v>
      </c>
      <c r="T36" s="439" t="str">
        <f t="shared" si="293"/>
        <v>n/a</v>
      </c>
      <c r="U36" s="439" t="str">
        <f t="shared" ref="U36:U40" si="298">IF(AE36&gt;0,(AD36+AB36)/AE36,"n/a")</f>
        <v>n/a</v>
      </c>
      <c r="V36" s="439">
        <f t="shared" si="294"/>
        <v>0.31835031563944965</v>
      </c>
      <c r="W36" s="439">
        <f t="shared" si="295"/>
        <v>0.39133014811990863</v>
      </c>
      <c r="Y36" s="215">
        <f t="shared" si="29"/>
        <v>5733.4576292495758</v>
      </c>
      <c r="Z36" s="215">
        <f t="shared" si="30"/>
        <v>1407.4206867636276</v>
      </c>
      <c r="AA36" s="215">
        <f t="shared" si="31"/>
        <v>18009.900878323777</v>
      </c>
      <c r="AB36" s="215">
        <f t="shared" si="32"/>
        <v>14651.203483286879</v>
      </c>
      <c r="AC36" s="216">
        <f t="shared" si="33"/>
        <v>0</v>
      </c>
      <c r="AD36" s="216">
        <f t="shared" si="34"/>
        <v>0</v>
      </c>
      <c r="AE36" s="215">
        <f t="shared" si="35"/>
        <v>0</v>
      </c>
      <c r="AG36" s="214">
        <f>IF(AND(($E36+$C$1)&gt;AG$4,AG$4&gt;=$C$1),'General Inputs'!D$9*$H36,IF(AND(($D36+$C$1)&gt;AG$4,AG$4&gt;=$C$1),'General Inputs'!D$9*$G36,0))+IF(AND(($E36+$C$1)&gt;AG$4,AG$4&gt;=$C$1),'General Inputs'!D$10*$J36,IF(AND(($D36+$C$1)&gt;AG$4,AG$4&gt;=$C$1),'General Inputs'!D$10*$I36,0))</f>
        <v>595.66395173555588</v>
      </c>
      <c r="AH36" s="214">
        <f>IF(AND(($E36+$C$1)&gt;AH$4,AH$4&gt;=$C$1),'General Inputs'!E$9*$H36,IF(AND(($D36+$C$1)&gt;AH$4,AH$4&gt;=$C$1),'General Inputs'!E$9*$G36,0))+IF(AND(($E36+$C$1)&gt;AH$4,AH$4&gt;=$C$1),'General Inputs'!E$10*$J36,IF(AND(($D36+$C$1)&gt;AH$4,AH$4&gt;=$C$1),'General Inputs'!E$10*$I36,0))</f>
        <v>604.59891101158917</v>
      </c>
      <c r="AI36" s="214">
        <f>IF(AND(($E36+$C$1)&gt;AI$4,AI$4&gt;=$C$1),'General Inputs'!F$9*$H36,IF(AND(($D36+$C$1)&gt;AI$4,AI$4&gt;=$C$1),'General Inputs'!F$9*$G36,0))+IF(AND(($E36+$C$1)&gt;AI$4,AI$4&gt;=$C$1),'General Inputs'!F$10*$J36,IF(AND(($D36+$C$1)&gt;AI$4,AI$4&gt;=$C$1),'General Inputs'!F$10*$I36,0))</f>
        <v>613.66789467676301</v>
      </c>
      <c r="AJ36" s="214">
        <f>IF(AND(($E36+$C$1)&gt;AJ$4,AJ$4&gt;=$C$1),'General Inputs'!G$9*$H36,IF(AND(($D36+$C$1)&gt;AJ$4,AJ$4&gt;=$C$1),'General Inputs'!G$9*$G36,0))+IF(AND(($E36+$C$1)&gt;AJ$4,AJ$4&gt;=$C$1),'General Inputs'!G$10*$J36,IF(AND(($D36+$C$1)&gt;AJ$4,AJ$4&gt;=$C$1),'General Inputs'!G$10*$I36,0))</f>
        <v>622.87291309691432</v>
      </c>
      <c r="AK36" s="214">
        <f>IF(AND(($E36+$C$1)&gt;AK$4,AK$4&gt;=$C$1),'General Inputs'!H$9*$H36,IF(AND(($D36+$C$1)&gt;AK$4,AK$4&gt;=$C$1),'General Inputs'!H$9*$G36,0))+IF(AND(($E36+$C$1)&gt;AK$4,AK$4&gt;=$C$1),'General Inputs'!H$10*$J36,IF(AND(($D36+$C$1)&gt;AK$4,AK$4&gt;=$C$1),'General Inputs'!H$10*$I36,0))</f>
        <v>632.21600679336802</v>
      </c>
      <c r="AL36" s="214">
        <f>IF(AND(($E36+$C$1)&gt;AL$4,AL$4&gt;=$C$1),'General Inputs'!I$9*$H36,IF(AND(($D36+$C$1)&gt;AL$4,AL$4&gt;=$C$1),'General Inputs'!I$9*$G36,0))+IF(AND(($E36+$C$1)&gt;AL$4,AL$4&gt;=$C$1),'General Inputs'!I$10*$J36,IF(AND(($D36+$C$1)&gt;AL$4,AL$4&gt;=$C$1),'General Inputs'!I$10*$I36,0))</f>
        <v>641.6992468952684</v>
      </c>
      <c r="AM36" s="214">
        <f>IF(AND(($E36+$C$1)&gt;AM$4,AM$4&gt;=$C$1),'General Inputs'!J$9*$H36,IF(AND(($D36+$C$1)&gt;AM$4,AM$4&gt;=$C$1),'General Inputs'!J$9*$G36,0))+IF(AND(($E36+$C$1)&gt;AM$4,AM$4&gt;=$C$1),'General Inputs'!J$10*$J36,IF(AND(($D36+$C$1)&gt;AM$4,AM$4&gt;=$C$1),'General Inputs'!J$10*$I36,0))</f>
        <v>651.32473559869732</v>
      </c>
      <c r="AN36" s="214">
        <f>IF(AND(($E36+$C$1)&gt;AN$4,AN$4&gt;=$C$1),'General Inputs'!K$9*$H36,IF(AND(($D36+$C$1)&gt;AN$4,AN$4&gt;=$C$1),'General Inputs'!K$9*$G36,0))+IF(AND(($E36+$C$1)&gt;AN$4,AN$4&gt;=$C$1),'General Inputs'!K$10*$J36,IF(AND(($D36+$C$1)&gt;AN$4,AN$4&gt;=$C$1),'General Inputs'!K$10*$I36,0))</f>
        <v>661.09460663267771</v>
      </c>
      <c r="AO36" s="214">
        <f>IF(AND(($E36+$C$1)&gt;AO$4,AO$4&gt;=$C$1),'General Inputs'!L$9*$H36,IF(AND(($D36+$C$1)&gt;AO$4,AO$4&gt;=$C$1),'General Inputs'!L$9*$G36,0))+IF(AND(($E36+$C$1)&gt;AO$4,AO$4&gt;=$C$1),'General Inputs'!L$10*$J36,IF(AND(($D36+$C$1)&gt;AO$4,AO$4&gt;=$C$1),'General Inputs'!L$10*$I36,0))</f>
        <v>671.01102573216781</v>
      </c>
      <c r="AP36" s="214">
        <f>IF(AND(($E36+$C$1)&gt;AP$4,AP$4&gt;=$C$1),'General Inputs'!M$9*$H36,IF(AND(($D36+$C$1)&gt;AP$4,AP$4&gt;=$C$1),'General Inputs'!M$9*$G36,0))+IF(AND(($E36+$C$1)&gt;AP$4,AP$4&gt;=$C$1),'General Inputs'!M$10*$J36,IF(AND(($D36+$C$1)&gt;AP$4,AP$4&gt;=$C$1),'General Inputs'!M$10*$I36,0))</f>
        <v>681.07619111815018</v>
      </c>
      <c r="AQ36" s="214">
        <f>IF(AND(($E36+$C$1)&gt;AQ$4,AQ$4&gt;=$C$1),'General Inputs'!N$9*$H36,IF(AND(($D36+$C$1)&gt;AQ$4,AQ$4&gt;=$C$1),'General Inputs'!N$9*$G36,0))+IF(AND(($E36+$C$1)&gt;AQ$4,AQ$4&gt;=$C$1),'General Inputs'!N$10*$J36,IF(AND(($D36+$C$1)&gt;AQ$4,AQ$4&gt;=$C$1),'General Inputs'!N$10*$I36,0))</f>
        <v>691.29233398492238</v>
      </c>
      <c r="AR36" s="214">
        <f>IF(AND(($E36+$C$1)&gt;AR$4,AR$4&gt;=$C$1),'General Inputs'!O$9*$H36,IF(AND(($D36+$C$1)&gt;AR$4,AR$4&gt;=$C$1),'General Inputs'!O$9*$G36,0))+IF(AND(($E36+$C$1)&gt;AR$4,AR$4&gt;=$C$1),'General Inputs'!O$10*$J36,IF(AND(($D36+$C$1)&gt;AR$4,AR$4&gt;=$C$1),'General Inputs'!O$10*$I36,0))</f>
        <v>701.66171899469623</v>
      </c>
      <c r="AS36" s="214">
        <f>IF(AND(($E36+$C$1)&gt;AS$4,AS$4&gt;=$C$1),'General Inputs'!P$9*$H36,IF(AND(($D36+$C$1)&gt;AS$4,AS$4&gt;=$C$1),'General Inputs'!P$9*$G36,0))+IF(AND(($E36+$C$1)&gt;AS$4,AS$4&gt;=$C$1),'General Inputs'!P$10*$J36,IF(AND(($D36+$C$1)&gt;AS$4,AS$4&gt;=$C$1),'General Inputs'!P$10*$I36,0))</f>
        <v>712.18664477961659</v>
      </c>
      <c r="AT36" s="214">
        <f>IF(AND(($E36+$C$1)&gt;AT$4,AT$4&gt;=$C$1),'General Inputs'!Q$9*$H36,IF(AND(($D36+$C$1)&gt;AT$4,AT$4&gt;=$C$1),'General Inputs'!Q$9*$G36,0))+IF(AND(($E36+$C$1)&gt;AT$4,AT$4&gt;=$C$1),'General Inputs'!Q$10*$J36,IF(AND(($D36+$C$1)&gt;AT$4,AT$4&gt;=$C$1),'General Inputs'!Q$10*$I36,0))</f>
        <v>722.86944445131076</v>
      </c>
      <c r="AU36" s="214">
        <f>IF(AND(($E36+$C$1)&gt;AU$4,AU$4&gt;=$C$1),'General Inputs'!R$9*$H36,IF(AND(($D36+$C$1)&gt;AU$4,AU$4&gt;=$C$1),'General Inputs'!R$9*$G36,0))+IF(AND(($E36+$C$1)&gt;AU$4,AU$4&gt;=$C$1),'General Inputs'!R$10*$J36,IF(AND(($D36+$C$1)&gt;AU$4,AU$4&gt;=$C$1),'General Inputs'!R$10*$I36,0))</f>
        <v>733.71248611808039</v>
      </c>
      <c r="AV36" s="214">
        <f>IF(AND(($E36+$C$1)&gt;AV$4,AV$4&gt;=$C$1),'General Inputs'!S$9*$H36,IF(AND(($D36+$C$1)&gt;AV$4,AV$4&gt;=$C$1),'General Inputs'!S$9*$G36,0))+IF(AND(($E36+$C$1)&gt;AV$4,AV$4&gt;=$C$1),'General Inputs'!S$10*$J36,IF(AND(($D36+$C$1)&gt;AV$4,AV$4&gt;=$C$1),'General Inputs'!S$10*$I36,0))</f>
        <v>0</v>
      </c>
      <c r="AW36" s="214">
        <f>IF(AND(($E36+$C$1)&gt;AW$4,AW$4&gt;=$C$1),'General Inputs'!T$9*$H36,IF(AND(($D36+$C$1)&gt;AW$4,AW$4&gt;=$C$1),'General Inputs'!T$9*$G36,0))+IF(AND(($E36+$C$1)&gt;AW$4,AW$4&gt;=$C$1),'General Inputs'!T$10*$J36,IF(AND(($D36+$C$1)&gt;AW$4,AW$4&gt;=$C$1),'General Inputs'!T$10*$I36,0))</f>
        <v>0</v>
      </c>
      <c r="AX36" s="214">
        <f>IF(AND(($E36+$C$1)&gt;AX$4,AX$4&gt;=$C$1),'General Inputs'!U$9*$H36,IF(AND(($D36+$C$1)&gt;AX$4,AX$4&gt;=$C$1),'General Inputs'!U$9*$G36,0))+IF(AND(($E36+$C$1)&gt;AX$4,AX$4&gt;=$C$1),'General Inputs'!U$10*$J36,IF(AND(($D36+$C$1)&gt;AX$4,AX$4&gt;=$C$1),'General Inputs'!U$10*$I36,0))</f>
        <v>0</v>
      </c>
      <c r="AY36" s="214">
        <f>IF(AND(($E36+$C$1)&gt;AY$4,AY$4&gt;=$C$1),'General Inputs'!V$9*$H36,IF(AND(($D36+$C$1)&gt;AY$4,AY$4&gt;=$C$1),'General Inputs'!V$9*$G36,0))+IF(AND(($E36+$C$1)&gt;AY$4,AY$4&gt;=$C$1),'General Inputs'!V$10*$J36,IF(AND(($D36+$C$1)&gt;AY$4,AY$4&gt;=$C$1),'General Inputs'!V$10*$I36,0))</f>
        <v>0</v>
      </c>
      <c r="AZ36" s="214">
        <f>IF(AND(($E36+$C$1)&gt;AZ$4,AZ$4&gt;=$C$1),'General Inputs'!W$9*$H36,IF(AND(($D36+$C$1)&gt;AZ$4,AZ$4&gt;=$C$1),'General Inputs'!W$9*$G36,0))+IF(AND(($E36+$C$1)&gt;AZ$4,AZ$4&gt;=$C$1),'General Inputs'!W$10*$J36,IF(AND(($D36+$C$1)&gt;AZ$4,AZ$4&gt;=$C$1),'General Inputs'!W$10*$I36,0))</f>
        <v>0</v>
      </c>
      <c r="BB36" s="214">
        <f>IF(AND(($E36+$C$1)&gt;BB$4,BB$4&gt;=$C$1),'General Inputs'!D$11*$H36,IF(AND(($D36+$C$1)&gt;BB$4,BB$4&gt;=$C$1),'General Inputs'!D$11*$G36,0))</f>
        <v>158.90959774591985</v>
      </c>
      <c r="BC36" s="214">
        <f>IF(AND(($E36+$C$1)&gt;BC$4,BC$4&gt;=$C$1),'General Inputs'!E$11*$H36,IF(AND(($D36+$C$1)&gt;BC$4,BC$4&gt;=$C$1),'General Inputs'!E$11*$G36,0))</f>
        <v>158.90959774591985</v>
      </c>
      <c r="BD36" s="214">
        <f>IF(AND(($E36+$C$1)&gt;BD$4,BD$4&gt;=$C$1),'General Inputs'!F$11*$H36,IF(AND(($D36+$C$1)&gt;BD$4,BD$4&gt;=$C$1),'General Inputs'!F$11*$G36,0))</f>
        <v>158.90959774591985</v>
      </c>
      <c r="BE36" s="214">
        <f>IF(AND(($E36+$C$1)&gt;BE$4,BE$4&gt;=$C$1),'General Inputs'!G$11*$H36,IF(AND(($D36+$C$1)&gt;BE$4,BE$4&gt;=$C$1),'General Inputs'!G$11*$G36,0))</f>
        <v>158.90959774591985</v>
      </c>
      <c r="BF36" s="214">
        <f>IF(AND(($E36+$C$1)&gt;BF$4,BF$4&gt;=$C$1),'General Inputs'!H$11*$H36,IF(AND(($D36+$C$1)&gt;BF$4,BF$4&gt;=$C$1),'General Inputs'!H$11*$G36,0))</f>
        <v>158.90959774591985</v>
      </c>
      <c r="BG36" s="214">
        <f>IF(AND(($E36+$C$1)&gt;BG$4,BG$4&gt;=$C$1),'General Inputs'!I$11*$H36,IF(AND(($D36+$C$1)&gt;BG$4,BG$4&gt;=$C$1),'General Inputs'!I$11*$G36,0))</f>
        <v>158.90959774591985</v>
      </c>
      <c r="BH36" s="214">
        <f>IF(AND(($E36+$C$1)&gt;BH$4,BH$4&gt;=$C$1),'General Inputs'!J$11*$H36,IF(AND(($D36+$C$1)&gt;BH$4,BH$4&gt;=$C$1),'General Inputs'!J$11*$G36,0))</f>
        <v>158.90959774591985</v>
      </c>
      <c r="BI36" s="214">
        <f>IF(AND(($E36+$C$1)&gt;BI$4,BI$4&gt;=$C$1),'General Inputs'!K$11*$H36,IF(AND(($D36+$C$1)&gt;BI$4,BI$4&gt;=$C$1),'General Inputs'!K$11*$G36,0))</f>
        <v>158.90959774591985</v>
      </c>
      <c r="BJ36" s="214">
        <f>IF(AND(($E36+$C$1)&gt;BJ$4,BJ$4&gt;=$C$1),'General Inputs'!L$11*$H36,IF(AND(($D36+$C$1)&gt;BJ$4,BJ$4&gt;=$C$1),'General Inputs'!L$11*$G36,0))</f>
        <v>158.90959774591985</v>
      </c>
      <c r="BK36" s="214">
        <f>IF(AND(($E36+$C$1)&gt;BK$4,BK$4&gt;=$C$1),'General Inputs'!M$11*$H36,IF(AND(($D36+$C$1)&gt;BK$4,BK$4&gt;=$C$1),'General Inputs'!M$11*$G36,0))</f>
        <v>158.90959774591985</v>
      </c>
      <c r="BL36" s="214">
        <f>IF(AND(($E36+$C$1)&gt;BL$4,BL$4&gt;=$C$1),'General Inputs'!N$11*$H36,IF(AND(($D36+$C$1)&gt;BL$4,BL$4&gt;=$C$1),'General Inputs'!N$11*$G36,0))</f>
        <v>158.90959774591985</v>
      </c>
      <c r="BM36" s="214">
        <f>IF(AND(($E36+$C$1)&gt;BM$4,BM$4&gt;=$C$1),'General Inputs'!O$11*$H36,IF(AND(($D36+$C$1)&gt;BM$4,BM$4&gt;=$C$1),'General Inputs'!O$11*$G36,0))</f>
        <v>158.90959774591985</v>
      </c>
      <c r="BN36" s="214">
        <f>IF(AND(($E36+$C$1)&gt;BN$4,BN$4&gt;=$C$1),'General Inputs'!P$11*$H36,IF(AND(($D36+$C$1)&gt;BN$4,BN$4&gt;=$C$1),'General Inputs'!P$11*$G36,0))</f>
        <v>158.90959774591985</v>
      </c>
      <c r="BO36" s="214">
        <f>IF(AND(($E36+$C$1)&gt;BO$4,BO$4&gt;=$C$1),'General Inputs'!Q$11*$H36,IF(AND(($D36+$C$1)&gt;BO$4,BO$4&gt;=$C$1),'General Inputs'!Q$11*$G36,0))</f>
        <v>158.90959774591985</v>
      </c>
      <c r="BP36" s="214">
        <f>IF(AND(($E36+$C$1)&gt;BP$4,BP$4&gt;=$C$1),'General Inputs'!R$11*$H36,IF(AND(($D36+$C$1)&gt;BP$4,BP$4&gt;=$C$1),'General Inputs'!R$11*$G36,0))</f>
        <v>158.90959774591985</v>
      </c>
      <c r="BQ36" s="214">
        <f>IF(AND(($E36+$C$1)&gt;BQ$4,BQ$4&gt;=$C$1),'General Inputs'!S$11*$H36,IF(AND(($D36+$C$1)&gt;BQ$4,BQ$4&gt;=$C$1),'General Inputs'!S$11*$G36,0))</f>
        <v>0</v>
      </c>
      <c r="BR36" s="214">
        <f>IF(AND(($E36+$C$1)&gt;BR$4,BR$4&gt;=$C$1),'General Inputs'!T$11*$H36,IF(AND(($D36+$C$1)&gt;BR$4,BR$4&gt;=$C$1),'General Inputs'!T$11*$G36,0))</f>
        <v>0</v>
      </c>
      <c r="BS36" s="214">
        <f>IF(AND(($E36+$C$1)&gt;BS$4,BS$4&gt;=$C$1),'General Inputs'!U$11*$H36,IF(AND(($D36+$C$1)&gt;BS$4,BS$4&gt;=$C$1),'General Inputs'!U$11*$G36,0))</f>
        <v>0</v>
      </c>
      <c r="BT36" s="214">
        <f>IF(AND(($E36+$C$1)&gt;BT$4,BT$4&gt;=$C$1),'General Inputs'!V$11*$H36,IF(AND(($D36+$C$1)&gt;BT$4,BT$4&gt;=$C$1),'General Inputs'!V$11*$G36,0))</f>
        <v>0</v>
      </c>
      <c r="BU36" s="214">
        <f>IF(AND(($E36+$C$1)&gt;BU$4,BU$4&gt;=$C$1),'General Inputs'!W$11*$H36,IF(AND(($D36+$C$1)&gt;BU$4,BU$4&gt;=$C$1),'General Inputs'!W$11*$G36,0))</f>
        <v>0</v>
      </c>
      <c r="BW36" s="214">
        <f>IF(AND(($E36+$C$1)&gt;BW$4,BW$4&gt;=$C$1),$H36,IF(AND(($D36+$C$1)&gt;BW$4,BW$4&gt;=$C$1),$G36,0))*IF($A36="Residential",'General Inputs'!D$14,'General Inputs'!D$19)</f>
        <v>1871.0958415074426</v>
      </c>
      <c r="BX36" s="214">
        <f>IF(AND(($E36+$C$1)&gt;BX$4,BX$4&gt;=$C$1),$H36,IF(AND(($D36+$C$1)&gt;BX$4,BX$4&gt;=$C$1),$G36,0))*IF($A36="Residential",'General Inputs'!E$14,'General Inputs'!E$19)</f>
        <v>1899.162279130054</v>
      </c>
      <c r="BY36" s="214">
        <f>IF(AND(($E36+$C$1)&gt;BY$4,BY$4&gt;=$C$1),$H36,IF(AND(($D36+$C$1)&gt;BY$4,BY$4&gt;=$C$1),$G36,0))*IF($A36="Residential",'General Inputs'!F$14,'General Inputs'!F$19)</f>
        <v>1927.6497133170044</v>
      </c>
      <c r="BZ36" s="214">
        <f>IF(AND(($E36+$C$1)&gt;BZ$4,BZ$4&gt;=$C$1),$H36,IF(AND(($D36+$C$1)&gt;BZ$4,BZ$4&gt;=$C$1),$G36,0))*IF($A36="Residential",'General Inputs'!G$14,'General Inputs'!G$19)</f>
        <v>1956.5644590167592</v>
      </c>
      <c r="CA36" s="214">
        <f>IF(AND(($E36+$C$1)&gt;CA$4,CA$4&gt;=$C$1),$H36,IF(AND(($D36+$C$1)&gt;CA$4,CA$4&gt;=$C$1),$G36,0))*IF($A36="Residential",'General Inputs'!H$14,'General Inputs'!H$19)</f>
        <v>1985.9129259020103</v>
      </c>
      <c r="CB36" s="214">
        <f>IF(AND(($E36+$C$1)&gt;CB$4,CB$4&gt;=$C$1),$H36,IF(AND(($D36+$C$1)&gt;CB$4,CB$4&gt;=$C$1),$G36,0))*IF($A36="Residential",'General Inputs'!I$14,'General Inputs'!I$19)</f>
        <v>2015.7016197905405</v>
      </c>
      <c r="CC36" s="214">
        <f>IF(AND(($E36+$C$1)&gt;CC$4,CC$4&gt;=$C$1),$H36,IF(AND(($D36+$C$1)&gt;CC$4,CC$4&gt;=$C$1),$G36,0))*IF($A36="Residential",'General Inputs'!J$14,'General Inputs'!J$19)</f>
        <v>2045.9371440873981</v>
      </c>
      <c r="CD36" s="214">
        <f>IF(AND(($E36+$C$1)&gt;CD$4,CD$4&gt;=$C$1),$H36,IF(AND(($D36+$C$1)&gt;CD$4,CD$4&gt;=$C$1),$G36,0))*IF($A36="Residential",'General Inputs'!K$14,'General Inputs'!K$19)</f>
        <v>2076.6262012487086</v>
      </c>
      <c r="CE36" s="214">
        <f>IF(AND(($E36+$C$1)&gt;CE$4,CE$4&gt;=$C$1),$H36,IF(AND(($D36+$C$1)&gt;CE$4,CE$4&gt;=$C$1),$G36,0))*IF($A36="Residential",'General Inputs'!L$14,'General Inputs'!L$19)</f>
        <v>2107.7755942674389</v>
      </c>
      <c r="CF36" s="214">
        <f>IF(AND(($E36+$C$1)&gt;CF$4,CF$4&gt;=$C$1),$H36,IF(AND(($D36+$C$1)&gt;CF$4,CF$4&gt;=$C$1),$G36,0))*IF($A36="Residential",'General Inputs'!M$14,'General Inputs'!M$19)</f>
        <v>2139.3922281814503</v>
      </c>
      <c r="CG36" s="214">
        <f>IF(AND(($E36+$C$1)&gt;CG$4,CG$4&gt;=$C$1),$H36,IF(AND(($D36+$C$1)&gt;CG$4,CG$4&gt;=$C$1),$G36,0))*IF($A36="Residential",'General Inputs'!N$14,'General Inputs'!N$19)</f>
        <v>2171.4831116041719</v>
      </c>
      <c r="CH36" s="214">
        <f>IF(AND(($E36+$C$1)&gt;CH$4,CH$4&gt;=$C$1),$H36,IF(AND(($D36+$C$1)&gt;CH$4,CH$4&gt;=$C$1),$G36,0))*IF($A36="Residential",'General Inputs'!O$14,'General Inputs'!O$19)</f>
        <v>2204.0553582782345</v>
      </c>
      <c r="CI36" s="214">
        <f>IF(AND(($E36+$C$1)&gt;CI$4,CI$4&gt;=$C$1),$H36,IF(AND(($D36+$C$1)&gt;CI$4,CI$4&gt;=$C$1),$G36,0))*IF($A36="Residential",'General Inputs'!P$14,'General Inputs'!P$19)</f>
        <v>2237.1161886524078</v>
      </c>
      <c r="CJ36" s="214">
        <f>IF(AND(($E36+$C$1)&gt;CJ$4,CJ$4&gt;=$C$1),$H36,IF(AND(($D36+$C$1)&gt;CJ$4,CJ$4&gt;=$C$1),$G36,0))*IF($A36="Residential",'General Inputs'!Q$14,'General Inputs'!Q$19)</f>
        <v>2270.6729314821937</v>
      </c>
      <c r="CK36" s="214">
        <f>IF(AND(($E36+$C$1)&gt;CK$4,CK$4&gt;=$C$1),$H36,IF(AND(($D36+$C$1)&gt;CK$4,CK$4&gt;=$C$1),$G36,0))*IF($A36="Residential",'General Inputs'!R$14,'General Inputs'!R$19)</f>
        <v>2304.7330254544258</v>
      </c>
      <c r="CL36" s="214">
        <f>IF(AND(($E36+$C$1)&gt;CL$4,CL$4&gt;=$C$1),$H36,IF(AND(($D36+$C$1)&gt;CL$4,CL$4&gt;=$C$1),$G36,0))*IF($A36="Residential",'General Inputs'!S$14,'General Inputs'!S$19)</f>
        <v>0</v>
      </c>
      <c r="CM36" s="214">
        <f>IF(AND(($E36+$C$1)&gt;CM$4,CM$4&gt;=$C$1),$H36,IF(AND(($D36+$C$1)&gt;CM$4,CM$4&gt;=$C$1),$G36,0))*IF($A36="Residential",'General Inputs'!T$14,'General Inputs'!T$19)</f>
        <v>0</v>
      </c>
      <c r="CN36" s="214">
        <f>IF(AND(($E36+$C$1)&gt;CN$4,CN$4&gt;=$C$1),$H36,IF(AND(($D36+$C$1)&gt;CN$4,CN$4&gt;=$C$1),$G36,0))*IF($A36="Residential",'General Inputs'!U$14,'General Inputs'!U$19)</f>
        <v>0</v>
      </c>
      <c r="CO36" s="214">
        <f>IF(AND(($E36+$C$1)&gt;CO$4,CO$4&gt;=$C$1),$H36,IF(AND(($D36+$C$1)&gt;CO$4,CO$4&gt;=$C$1),$G36,0))*IF($A36="Residential",'General Inputs'!V$14,'General Inputs'!V$19)</f>
        <v>0</v>
      </c>
      <c r="CP36" s="214">
        <f>IF(AND(($E36+$C$1)&gt;CP$4,CP$4&gt;=$C$1),$H36,IF(AND(($D36+$C$1)&gt;CP$4,CP$4&gt;=$C$1),$G36,0))*IF($A36="Residential",'General Inputs'!W$14,'General Inputs'!W$19)</f>
        <v>0</v>
      </c>
      <c r="CR36" s="214">
        <f>IF(AND(($E36+$C$1)&gt;CR$4,CR$4&gt;=$C$1),$H36,IF(AND(($D36+$C$1)&gt;CR$4,CR$4&gt;=$C$1),$G36,0))*IF($A36="Residential",'General Inputs'!D$15,'General Inputs'!D$19)</f>
        <v>1522.151959406503</v>
      </c>
      <c r="CS36" s="214">
        <f>IF(AND(($E36+$C$1)&gt;CS$4,CS$4&gt;=$C$1),$H36,IF(AND(($D36+$C$1)&gt;CS$4,CS$4&gt;=$C$1),$G36,0))*IF($A36="Residential",'General Inputs'!E$15,'General Inputs'!E$19)</f>
        <v>1544.9842387976005</v>
      </c>
      <c r="CT36" s="214">
        <f>IF(AND(($E36+$C$1)&gt;CT$4,CT$4&gt;=$C$1),$H36,IF(AND(($D36+$C$1)&gt;CT$4,CT$4&gt;=$C$1),$G36,0))*IF($A36="Residential",'General Inputs'!F$15,'General Inputs'!F$19)</f>
        <v>1568.1590023795643</v>
      </c>
      <c r="CU36" s="214">
        <f>IF(AND(($E36+$C$1)&gt;CU$4,CU$4&gt;=$C$1),$H36,IF(AND(($D36+$C$1)&gt;CU$4,CU$4&gt;=$C$1),$G36,0))*IF($A36="Residential",'General Inputs'!G$15,'General Inputs'!G$19)</f>
        <v>1591.6813874152576</v>
      </c>
      <c r="CV36" s="214">
        <f>IF(AND(($E36+$C$1)&gt;CV$4,CV$4&gt;=$C$1),$H36,IF(AND(($D36+$C$1)&gt;CV$4,CV$4&gt;=$C$1),$G36,0))*IF($A36="Residential",'General Inputs'!H$15,'General Inputs'!H$19)</f>
        <v>1615.5566082264863</v>
      </c>
      <c r="CW36" s="214">
        <f>IF(AND(($E36+$C$1)&gt;CW$4,CW$4&gt;=$C$1),$H36,IF(AND(($D36+$C$1)&gt;CW$4,CW$4&gt;=$C$1),$G36,0))*IF($A36="Residential",'General Inputs'!I$15,'General Inputs'!I$19)</f>
        <v>1639.7899573498835</v>
      </c>
      <c r="CX36" s="214">
        <f>IF(AND(($E36+$C$1)&gt;CX$4,CX$4&gt;=$C$1),$H36,IF(AND(($D36+$C$1)&gt;CX$4,CX$4&gt;=$C$1),$G36,0))*IF($A36="Residential",'General Inputs'!J$15,'General Inputs'!J$19)</f>
        <v>1664.3868067101316</v>
      </c>
      <c r="CY36" s="214">
        <f>IF(AND(($E36+$C$1)&gt;CY$4,CY$4&gt;=$C$1),$H36,IF(AND(($D36+$C$1)&gt;CY$4,CY$4&gt;=$C$1),$G36,0))*IF($A36="Residential",'General Inputs'!K$15,'General Inputs'!K$19)</f>
        <v>1689.3526088107833</v>
      </c>
      <c r="CZ36" s="214">
        <f>IF(AND(($E36+$C$1)&gt;CZ$4,CZ$4&gt;=$C$1),$H36,IF(AND(($D36+$C$1)&gt;CZ$4,CZ$4&gt;=$C$1),$G36,0))*IF($A36="Residential",'General Inputs'!L$15,'General Inputs'!L$19)</f>
        <v>1714.6928979429449</v>
      </c>
      <c r="DA36" s="214">
        <f>IF(AND(($E36+$C$1)&gt;DA$4,DA$4&gt;=$C$1),$H36,IF(AND(($D36+$C$1)&gt;DA$4,DA$4&gt;=$C$1),$G36,0))*IF($A36="Residential",'General Inputs'!M$15,'General Inputs'!M$19)</f>
        <v>1740.4132914120889</v>
      </c>
      <c r="DB36" s="214">
        <f>IF(AND(($E36+$C$1)&gt;DB$4,DB$4&gt;=$C$1),$H36,IF(AND(($D36+$C$1)&gt;DB$4,DB$4&gt;=$C$1),$G36,0))*IF($A36="Residential",'General Inputs'!N$15,'General Inputs'!N$19)</f>
        <v>1766.5194907832699</v>
      </c>
      <c r="DC36" s="214">
        <f>IF(AND(($E36+$C$1)&gt;DC$4,DC$4&gt;=$C$1),$H36,IF(AND(($D36+$C$1)&gt;DC$4,DC$4&gt;=$C$1),$G36,0))*IF($A36="Residential",'General Inputs'!O$15,'General Inputs'!O$19)</f>
        <v>1793.0172831450188</v>
      </c>
      <c r="DD36" s="214">
        <f>IF(AND(($E36+$C$1)&gt;DD$4,DD$4&gt;=$C$1),$H36,IF(AND(($D36+$C$1)&gt;DD$4,DD$4&gt;=$C$1),$G36,0))*IF($A36="Residential",'General Inputs'!P$15,'General Inputs'!P$19)</f>
        <v>1819.9125423921942</v>
      </c>
      <c r="DE36" s="214">
        <f>IF(AND(($E36+$C$1)&gt;DE$4,DE$4&gt;=$C$1),$H36,IF(AND(($D36+$C$1)&gt;DE$4,DE$4&gt;=$C$1),$G36,0))*IF($A36="Residential",'General Inputs'!Q$15,'General Inputs'!Q$19)</f>
        <v>1847.2112305280768</v>
      </c>
      <c r="DF36" s="214">
        <f>IF(AND(($E36+$C$1)&gt;DF$4,DF$4&gt;=$C$1),$H36,IF(AND(($D36+$C$1)&gt;DF$4,DF$4&gt;=$C$1),$G36,0))*IF($A36="Residential",'General Inputs'!R$15,'General Inputs'!R$19)</f>
        <v>1874.9193989859978</v>
      </c>
      <c r="DG36" s="214">
        <f>IF(AND(($E36+$C$1)&gt;DG$4,DG$4&gt;=$C$1),$H36,IF(AND(($D36+$C$1)&gt;DG$4,DG$4&gt;=$C$1),$G36,0))*IF($A36="Residential",'General Inputs'!S$15,'General Inputs'!S$19)</f>
        <v>0</v>
      </c>
      <c r="DH36" s="214">
        <f>IF(AND(($E36+$C$1)&gt;DH$4,DH$4&gt;=$C$1),$H36,IF(AND(($D36+$C$1)&gt;DH$4,DH$4&gt;=$C$1),$G36,0))*IF($A36="Residential",'General Inputs'!T$15,'General Inputs'!T$19)</f>
        <v>0</v>
      </c>
      <c r="DI36" s="214">
        <f>IF(AND(($E36+$C$1)&gt;DI$4,DI$4&gt;=$C$1),$H36,IF(AND(($D36+$C$1)&gt;DI$4,DI$4&gt;=$C$1),$G36,0))*IF($A36="Residential",'General Inputs'!U$15,'General Inputs'!U$19)</f>
        <v>0</v>
      </c>
      <c r="DJ36" s="214">
        <f>IF(AND(($E36+$C$1)&gt;DJ$4,DJ$4&gt;=$C$1),$H36,IF(AND(($D36+$C$1)&gt;DJ$4,DJ$4&gt;=$C$1),$G36,0))*IF($A36="Residential",'General Inputs'!V$15,'General Inputs'!V$19)</f>
        <v>0</v>
      </c>
      <c r="DK36" s="214">
        <f>IF(AND(($E36+$C$1)&gt;DK$4,DK$4&gt;=$C$1),$H36,IF(AND(($D36+$C$1)&gt;DK$4,DK$4&gt;=$C$1),$G36,0))*IF($A36="Residential",'General Inputs'!W$15,'General Inputs'!W$19)</f>
        <v>0</v>
      </c>
      <c r="DM36" s="214">
        <f t="shared" ref="DM36:DW43" si="299">IF($C$1=DM$4,$L36*$C36,IF($E36+$C$1=DM$4,-$M36*$C36,0))</f>
        <v>0</v>
      </c>
      <c r="DN36" s="214">
        <f t="shared" si="299"/>
        <v>0</v>
      </c>
      <c r="DO36" s="214">
        <f t="shared" si="299"/>
        <v>0</v>
      </c>
      <c r="DP36" s="214">
        <f t="shared" si="299"/>
        <v>0</v>
      </c>
      <c r="DQ36" s="214">
        <f t="shared" si="299"/>
        <v>0</v>
      </c>
      <c r="DR36" s="214">
        <f t="shared" si="299"/>
        <v>0</v>
      </c>
      <c r="DS36" s="214">
        <f t="shared" si="299"/>
        <v>0</v>
      </c>
      <c r="DT36" s="214">
        <f t="shared" si="299"/>
        <v>0</v>
      </c>
      <c r="DU36" s="214">
        <f t="shared" si="299"/>
        <v>0</v>
      </c>
      <c r="DV36" s="214">
        <f t="shared" si="299"/>
        <v>0</v>
      </c>
      <c r="DW36" s="214">
        <f t="shared" si="299"/>
        <v>0</v>
      </c>
      <c r="DZ36" s="650"/>
      <c r="FI36" s="195"/>
      <c r="FJ36" s="195"/>
      <c r="FK36" s="195"/>
      <c r="FL36" s="195"/>
      <c r="FM36" s="195"/>
      <c r="FN36" s="195"/>
      <c r="FO36" s="195"/>
    </row>
    <row r="37" spans="1:171">
      <c r="A37" s="342" t="s">
        <v>12</v>
      </c>
      <c r="B37" s="427" t="str">
        <f>'Portfolio Inputs'!A36</f>
        <v>CFL</v>
      </c>
      <c r="C37" s="217">
        <f>IF($C$1=2014,'Portfolio Inputs'!$C36,IF($C$1=2015,'Portfolio Inputs'!$D36,'Portfolio Inputs'!$E36))</f>
        <v>76</v>
      </c>
      <c r="D37" s="504">
        <f>VLOOKUP(B37,Sources!$B$4:$J$104,2,FALSE)</f>
        <v>5</v>
      </c>
      <c r="E37" s="504">
        <f>VLOOKUP(B37,Sources!$B$4:$J$104,3,FALSE)</f>
        <v>0</v>
      </c>
      <c r="G37" s="504">
        <f>IF($C$1=2014,'Portfolio Inputs'!$G36,IF($C$1=2015,'Portfolio Inputs'!$H36,'Portfolio Inputs'!$I36))*EnergyLineLoss</f>
        <v>2439.2070107639997</v>
      </c>
      <c r="H37" s="504"/>
      <c r="I37" s="595">
        <f>IF($C$1=2014,'Portfolio Inputs'!$K36,IF($C$1=2015,'Portfolio Inputs'!$L36,'Portfolio Inputs'!$M36))*PeakLineLoss</f>
        <v>0.22160280803399998</v>
      </c>
      <c r="J37" s="510"/>
      <c r="L37" s="606">
        <f>IF($C$1=2014,'Portfolio Inputs'!$O36,IF($C$1=2015,'Portfolio Inputs'!$P36,'Portfolio Inputs'!$Q36))</f>
        <v>0</v>
      </c>
      <c r="M37" s="518">
        <f>VLOOKUP($B37,Sources!$B$4:$K$104,10,FALSE)</f>
        <v>0</v>
      </c>
      <c r="N37" s="419">
        <f>IF($C$1=2014,'Portfolio Inputs'!$W36,IF($C$1=2015,'Portfolio Inputs'!$X36,'Portfolio Inputs'!$Y36))</f>
        <v>0</v>
      </c>
      <c r="O37" s="419"/>
      <c r="Q37" s="438" t="str">
        <f t="shared" si="290"/>
        <v>n/a</v>
      </c>
      <c r="R37" s="439" t="str">
        <f t="shared" si="291"/>
        <v>n/a</v>
      </c>
      <c r="S37" s="439" t="str">
        <f t="shared" si="292"/>
        <v>n/a</v>
      </c>
      <c r="T37" s="439" t="str">
        <f t="shared" si="293"/>
        <v>n/a</v>
      </c>
      <c r="U37" s="439" t="str">
        <f t="shared" si="298"/>
        <v>n/a</v>
      </c>
      <c r="V37" s="439">
        <f t="shared" si="294"/>
        <v>0.30673139843962094</v>
      </c>
      <c r="W37" s="439">
        <f t="shared" si="295"/>
        <v>0.3770476663209853</v>
      </c>
      <c r="Y37" s="215">
        <f t="shared" si="29"/>
        <v>438.83126466795682</v>
      </c>
      <c r="Z37" s="215">
        <f t="shared" si="30"/>
        <v>118.21100993194659</v>
      </c>
      <c r="AA37" s="215">
        <f t="shared" si="31"/>
        <v>1430.6695268249146</v>
      </c>
      <c r="AB37" s="215">
        <f t="shared" si="32"/>
        <v>1163.8615057608508</v>
      </c>
      <c r="AC37" s="216">
        <f t="shared" si="33"/>
        <v>0</v>
      </c>
      <c r="AD37" s="216">
        <f t="shared" si="34"/>
        <v>0</v>
      </c>
      <c r="AE37" s="215">
        <f t="shared" si="35"/>
        <v>0</v>
      </c>
      <c r="AG37" s="214">
        <f>IF(AND(($E37+$C$1)&gt;AG$4,AG$4&gt;=$C$1),'General Inputs'!D$9*$H37,IF(AND(($D37+$C$1)&gt;AG$4,AG$4&gt;=$C$1),'General Inputs'!D$9*$G37,0))+IF(AND(($E37+$C$1)&gt;AG$4,AG$4&gt;=$C$1),'General Inputs'!D$10*$J37,IF(AND(($D37+$C$1)&gt;AG$4,AG$4&gt;=$C$1),'General Inputs'!D$10*$I37,0))</f>
        <v>100.42865602454506</v>
      </c>
      <c r="AH37" s="214">
        <f>IF(AND(($E37+$C$1)&gt;AH$4,AH$4&gt;=$C$1),'General Inputs'!E$9*$H37,IF(AND(($D37+$C$1)&gt;AH$4,AH$4&gt;=$C$1),'General Inputs'!E$9*$G37,0))+IF(AND(($E37+$C$1)&gt;AH$4,AH$4&gt;=$C$1),'General Inputs'!E$10*$J37,IF(AND(($D37+$C$1)&gt;AH$4,AH$4&gt;=$C$1),'General Inputs'!E$10*$I37,0))</f>
        <v>101.93508586491323</v>
      </c>
      <c r="AI37" s="214">
        <f>IF(AND(($E37+$C$1)&gt;AI$4,AI$4&gt;=$C$1),'General Inputs'!F$9*$H37,IF(AND(($D37+$C$1)&gt;AI$4,AI$4&gt;=$C$1),'General Inputs'!F$9*$G37,0))+IF(AND(($E37+$C$1)&gt;AI$4,AI$4&gt;=$C$1),'General Inputs'!F$10*$J37,IF(AND(($D37+$C$1)&gt;AI$4,AI$4&gt;=$C$1),'General Inputs'!F$10*$I37,0))</f>
        <v>103.46411215288693</v>
      </c>
      <c r="AJ37" s="214">
        <f>IF(AND(($E37+$C$1)&gt;AJ$4,AJ$4&gt;=$C$1),'General Inputs'!G$9*$H37,IF(AND(($D37+$C$1)&gt;AJ$4,AJ$4&gt;=$C$1),'General Inputs'!G$9*$G37,0))+IF(AND(($E37+$C$1)&gt;AJ$4,AJ$4&gt;=$C$1),'General Inputs'!G$10*$J37,IF(AND(($D37+$C$1)&gt;AJ$4,AJ$4&gt;=$C$1),'General Inputs'!G$10*$I37,0))</f>
        <v>105.01607383518022</v>
      </c>
      <c r="AK37" s="214">
        <f>IF(AND(($E37+$C$1)&gt;AK$4,AK$4&gt;=$C$1),'General Inputs'!H$9*$H37,IF(AND(($D37+$C$1)&gt;AK$4,AK$4&gt;=$C$1),'General Inputs'!H$9*$G37,0))+IF(AND(($E37+$C$1)&gt;AK$4,AK$4&gt;=$C$1),'General Inputs'!H$10*$J37,IF(AND(($D37+$C$1)&gt;AK$4,AK$4&gt;=$C$1),'General Inputs'!H$10*$I37,0))</f>
        <v>106.59131494270791</v>
      </c>
      <c r="AL37" s="214">
        <f>IF(AND(($E37+$C$1)&gt;AL$4,AL$4&gt;=$C$1),'General Inputs'!I$9*$H37,IF(AND(($D37+$C$1)&gt;AL$4,AL$4&gt;=$C$1),'General Inputs'!I$9*$G37,0))+IF(AND(($E37+$C$1)&gt;AL$4,AL$4&gt;=$C$1),'General Inputs'!I$10*$J37,IF(AND(($D37+$C$1)&gt;AL$4,AL$4&gt;=$C$1),'General Inputs'!I$10*$I37,0))</f>
        <v>0</v>
      </c>
      <c r="AM37" s="214">
        <f>IF(AND(($E37+$C$1)&gt;AM$4,AM$4&gt;=$C$1),'General Inputs'!J$9*$H37,IF(AND(($D37+$C$1)&gt;AM$4,AM$4&gt;=$C$1),'General Inputs'!J$9*$G37,0))+IF(AND(($E37+$C$1)&gt;AM$4,AM$4&gt;=$C$1),'General Inputs'!J$10*$J37,IF(AND(($D37+$C$1)&gt;AM$4,AM$4&gt;=$C$1),'General Inputs'!J$10*$I37,0))</f>
        <v>0</v>
      </c>
      <c r="AN37" s="214">
        <f>IF(AND(($E37+$C$1)&gt;AN$4,AN$4&gt;=$C$1),'General Inputs'!K$9*$H37,IF(AND(($D37+$C$1)&gt;AN$4,AN$4&gt;=$C$1),'General Inputs'!K$9*$G37,0))+IF(AND(($E37+$C$1)&gt;AN$4,AN$4&gt;=$C$1),'General Inputs'!K$10*$J37,IF(AND(($D37+$C$1)&gt;AN$4,AN$4&gt;=$C$1),'General Inputs'!K$10*$I37,0))</f>
        <v>0</v>
      </c>
      <c r="AO37" s="214">
        <f>IF(AND(($E37+$C$1)&gt;AO$4,AO$4&gt;=$C$1),'General Inputs'!L$9*$H37,IF(AND(($D37+$C$1)&gt;AO$4,AO$4&gt;=$C$1),'General Inputs'!L$9*$G37,0))+IF(AND(($E37+$C$1)&gt;AO$4,AO$4&gt;=$C$1),'General Inputs'!L$10*$J37,IF(AND(($D37+$C$1)&gt;AO$4,AO$4&gt;=$C$1),'General Inputs'!L$10*$I37,0))</f>
        <v>0</v>
      </c>
      <c r="AP37" s="214">
        <f>IF(AND(($E37+$C$1)&gt;AP$4,AP$4&gt;=$C$1),'General Inputs'!M$9*$H37,IF(AND(($D37+$C$1)&gt;AP$4,AP$4&gt;=$C$1),'General Inputs'!M$9*$G37,0))+IF(AND(($E37+$C$1)&gt;AP$4,AP$4&gt;=$C$1),'General Inputs'!M$10*$J37,IF(AND(($D37+$C$1)&gt;AP$4,AP$4&gt;=$C$1),'General Inputs'!M$10*$I37,0))</f>
        <v>0</v>
      </c>
      <c r="AQ37" s="214">
        <f>IF(AND(($E37+$C$1)&gt;AQ$4,AQ$4&gt;=$C$1),'General Inputs'!N$9*$H37,IF(AND(($D37+$C$1)&gt;AQ$4,AQ$4&gt;=$C$1),'General Inputs'!N$9*$G37,0))+IF(AND(($E37+$C$1)&gt;AQ$4,AQ$4&gt;=$C$1),'General Inputs'!N$10*$J37,IF(AND(($D37+$C$1)&gt;AQ$4,AQ$4&gt;=$C$1),'General Inputs'!N$10*$I37,0))</f>
        <v>0</v>
      </c>
      <c r="AR37" s="214">
        <f>IF(AND(($E37+$C$1)&gt;AR$4,AR$4&gt;=$C$1),'General Inputs'!O$9*$H37,IF(AND(($D37+$C$1)&gt;AR$4,AR$4&gt;=$C$1),'General Inputs'!O$9*$G37,0))+IF(AND(($E37+$C$1)&gt;AR$4,AR$4&gt;=$C$1),'General Inputs'!O$10*$J37,IF(AND(($D37+$C$1)&gt;AR$4,AR$4&gt;=$C$1),'General Inputs'!O$10*$I37,0))</f>
        <v>0</v>
      </c>
      <c r="AS37" s="214">
        <f>IF(AND(($E37+$C$1)&gt;AS$4,AS$4&gt;=$C$1),'General Inputs'!P$9*$H37,IF(AND(($D37+$C$1)&gt;AS$4,AS$4&gt;=$C$1),'General Inputs'!P$9*$G37,0))+IF(AND(($E37+$C$1)&gt;AS$4,AS$4&gt;=$C$1),'General Inputs'!P$10*$J37,IF(AND(($D37+$C$1)&gt;AS$4,AS$4&gt;=$C$1),'General Inputs'!P$10*$I37,0))</f>
        <v>0</v>
      </c>
      <c r="AT37" s="214">
        <f>IF(AND(($E37+$C$1)&gt;AT$4,AT$4&gt;=$C$1),'General Inputs'!Q$9*$H37,IF(AND(($D37+$C$1)&gt;AT$4,AT$4&gt;=$C$1),'General Inputs'!Q$9*$G37,0))+IF(AND(($E37+$C$1)&gt;AT$4,AT$4&gt;=$C$1),'General Inputs'!Q$10*$J37,IF(AND(($D37+$C$1)&gt;AT$4,AT$4&gt;=$C$1),'General Inputs'!Q$10*$I37,0))</f>
        <v>0</v>
      </c>
      <c r="AU37" s="214">
        <f>IF(AND(($E37+$C$1)&gt;AU$4,AU$4&gt;=$C$1),'General Inputs'!R$9*$H37,IF(AND(($D37+$C$1)&gt;AU$4,AU$4&gt;=$C$1),'General Inputs'!R$9*$G37,0))+IF(AND(($E37+$C$1)&gt;AU$4,AU$4&gt;=$C$1),'General Inputs'!R$10*$J37,IF(AND(($D37+$C$1)&gt;AU$4,AU$4&gt;=$C$1),'General Inputs'!R$10*$I37,0))</f>
        <v>0</v>
      </c>
      <c r="AV37" s="214">
        <f>IF(AND(($E37+$C$1)&gt;AV$4,AV$4&gt;=$C$1),'General Inputs'!S$9*$H37,IF(AND(($D37+$C$1)&gt;AV$4,AV$4&gt;=$C$1),'General Inputs'!S$9*$G37,0))+IF(AND(($E37+$C$1)&gt;AV$4,AV$4&gt;=$C$1),'General Inputs'!S$10*$J37,IF(AND(($D37+$C$1)&gt;AV$4,AV$4&gt;=$C$1),'General Inputs'!S$10*$I37,0))</f>
        <v>0</v>
      </c>
      <c r="AW37" s="214">
        <f>IF(AND(($E37+$C$1)&gt;AW$4,AW$4&gt;=$C$1),'General Inputs'!T$9*$H37,IF(AND(($D37+$C$1)&gt;AW$4,AW$4&gt;=$C$1),'General Inputs'!T$9*$G37,0))+IF(AND(($E37+$C$1)&gt;AW$4,AW$4&gt;=$C$1),'General Inputs'!T$10*$J37,IF(AND(($D37+$C$1)&gt;AW$4,AW$4&gt;=$C$1),'General Inputs'!T$10*$I37,0))</f>
        <v>0</v>
      </c>
      <c r="AX37" s="214">
        <f>IF(AND(($E37+$C$1)&gt;AX$4,AX$4&gt;=$C$1),'General Inputs'!U$9*$H37,IF(AND(($D37+$C$1)&gt;AX$4,AX$4&gt;=$C$1),'General Inputs'!U$9*$G37,0))+IF(AND(($E37+$C$1)&gt;AX$4,AX$4&gt;=$C$1),'General Inputs'!U$10*$J37,IF(AND(($D37+$C$1)&gt;AX$4,AX$4&gt;=$C$1),'General Inputs'!U$10*$I37,0))</f>
        <v>0</v>
      </c>
      <c r="AY37" s="214">
        <f>IF(AND(($E37+$C$1)&gt;AY$4,AY$4&gt;=$C$1),'General Inputs'!V$9*$H37,IF(AND(($D37+$C$1)&gt;AY$4,AY$4&gt;=$C$1),'General Inputs'!V$9*$G37,0))+IF(AND(($E37+$C$1)&gt;AY$4,AY$4&gt;=$C$1),'General Inputs'!V$10*$J37,IF(AND(($D37+$C$1)&gt;AY$4,AY$4&gt;=$C$1),'General Inputs'!V$10*$I37,0))</f>
        <v>0</v>
      </c>
      <c r="AZ37" s="214">
        <f>IF(AND(($E37+$C$1)&gt;AZ$4,AZ$4&gt;=$C$1),'General Inputs'!W$9*$H37,IF(AND(($D37+$C$1)&gt;AZ$4,AZ$4&gt;=$C$1),'General Inputs'!W$9*$G37,0))+IF(AND(($E37+$C$1)&gt;AZ$4,AZ$4&gt;=$C$1),'General Inputs'!W$10*$J37,IF(AND(($D37+$C$1)&gt;AZ$4,AZ$4&gt;=$C$1),'General Inputs'!W$10*$I37,0))</f>
        <v>0</v>
      </c>
      <c r="BB37" s="214">
        <f>IF(AND(($E37+$C$1)&gt;BB$4,BB$4&gt;=$C$1),'General Inputs'!D$11*$H37,IF(AND(($D37+$C$1)&gt;BB$4,BB$4&gt;=$C$1),'General Inputs'!D$11*$G37,0))</f>
        <v>27.806959922709598</v>
      </c>
      <c r="BC37" s="214">
        <f>IF(AND(($E37+$C$1)&gt;BC$4,BC$4&gt;=$C$1),'General Inputs'!E$11*$H37,IF(AND(($D37+$C$1)&gt;BC$4,BC$4&gt;=$C$1),'General Inputs'!E$11*$G37,0))</f>
        <v>27.806959922709598</v>
      </c>
      <c r="BD37" s="214">
        <f>IF(AND(($E37+$C$1)&gt;BD$4,BD$4&gt;=$C$1),'General Inputs'!F$11*$H37,IF(AND(($D37+$C$1)&gt;BD$4,BD$4&gt;=$C$1),'General Inputs'!F$11*$G37,0))</f>
        <v>27.806959922709598</v>
      </c>
      <c r="BE37" s="214">
        <f>IF(AND(($E37+$C$1)&gt;BE$4,BE$4&gt;=$C$1),'General Inputs'!G$11*$H37,IF(AND(($D37+$C$1)&gt;BE$4,BE$4&gt;=$C$1),'General Inputs'!G$11*$G37,0))</f>
        <v>27.806959922709598</v>
      </c>
      <c r="BF37" s="214">
        <f>IF(AND(($E37+$C$1)&gt;BF$4,BF$4&gt;=$C$1),'General Inputs'!H$11*$H37,IF(AND(($D37+$C$1)&gt;BF$4,BF$4&gt;=$C$1),'General Inputs'!H$11*$G37,0))</f>
        <v>27.806959922709598</v>
      </c>
      <c r="BG37" s="214">
        <f>IF(AND(($E37+$C$1)&gt;BG$4,BG$4&gt;=$C$1),'General Inputs'!I$11*$H37,IF(AND(($D37+$C$1)&gt;BG$4,BG$4&gt;=$C$1),'General Inputs'!I$11*$G37,0))</f>
        <v>0</v>
      </c>
      <c r="BH37" s="214">
        <f>IF(AND(($E37+$C$1)&gt;BH$4,BH$4&gt;=$C$1),'General Inputs'!J$11*$H37,IF(AND(($D37+$C$1)&gt;BH$4,BH$4&gt;=$C$1),'General Inputs'!J$11*$G37,0))</f>
        <v>0</v>
      </c>
      <c r="BI37" s="214">
        <f>IF(AND(($E37+$C$1)&gt;BI$4,BI$4&gt;=$C$1),'General Inputs'!K$11*$H37,IF(AND(($D37+$C$1)&gt;BI$4,BI$4&gt;=$C$1),'General Inputs'!K$11*$G37,0))</f>
        <v>0</v>
      </c>
      <c r="BJ37" s="214">
        <f>IF(AND(($E37+$C$1)&gt;BJ$4,BJ$4&gt;=$C$1),'General Inputs'!L$11*$H37,IF(AND(($D37+$C$1)&gt;BJ$4,BJ$4&gt;=$C$1),'General Inputs'!L$11*$G37,0))</f>
        <v>0</v>
      </c>
      <c r="BK37" s="214">
        <f>IF(AND(($E37+$C$1)&gt;BK$4,BK$4&gt;=$C$1),'General Inputs'!M$11*$H37,IF(AND(($D37+$C$1)&gt;BK$4,BK$4&gt;=$C$1),'General Inputs'!M$11*$G37,0))</f>
        <v>0</v>
      </c>
      <c r="BL37" s="214">
        <f>IF(AND(($E37+$C$1)&gt;BL$4,BL$4&gt;=$C$1),'General Inputs'!N$11*$H37,IF(AND(($D37+$C$1)&gt;BL$4,BL$4&gt;=$C$1),'General Inputs'!N$11*$G37,0))</f>
        <v>0</v>
      </c>
      <c r="BM37" s="214">
        <f>IF(AND(($E37+$C$1)&gt;BM$4,BM$4&gt;=$C$1),'General Inputs'!O$11*$H37,IF(AND(($D37+$C$1)&gt;BM$4,BM$4&gt;=$C$1),'General Inputs'!O$11*$G37,0))</f>
        <v>0</v>
      </c>
      <c r="BN37" s="214">
        <f>IF(AND(($E37+$C$1)&gt;BN$4,BN$4&gt;=$C$1),'General Inputs'!P$11*$H37,IF(AND(($D37+$C$1)&gt;BN$4,BN$4&gt;=$C$1),'General Inputs'!P$11*$G37,0))</f>
        <v>0</v>
      </c>
      <c r="BO37" s="214">
        <f>IF(AND(($E37+$C$1)&gt;BO$4,BO$4&gt;=$C$1),'General Inputs'!Q$11*$H37,IF(AND(($D37+$C$1)&gt;BO$4,BO$4&gt;=$C$1),'General Inputs'!Q$11*$G37,0))</f>
        <v>0</v>
      </c>
      <c r="BP37" s="214">
        <f>IF(AND(($E37+$C$1)&gt;BP$4,BP$4&gt;=$C$1),'General Inputs'!R$11*$H37,IF(AND(($D37+$C$1)&gt;BP$4,BP$4&gt;=$C$1),'General Inputs'!R$11*$G37,0))</f>
        <v>0</v>
      </c>
      <c r="BQ37" s="214">
        <f>IF(AND(($E37+$C$1)&gt;BQ$4,BQ$4&gt;=$C$1),'General Inputs'!S$11*$H37,IF(AND(($D37+$C$1)&gt;BQ$4,BQ$4&gt;=$C$1),'General Inputs'!S$11*$G37,0))</f>
        <v>0</v>
      </c>
      <c r="BR37" s="214">
        <f>IF(AND(($E37+$C$1)&gt;BR$4,BR$4&gt;=$C$1),'General Inputs'!T$11*$H37,IF(AND(($D37+$C$1)&gt;BR$4,BR$4&gt;=$C$1),'General Inputs'!T$11*$G37,0))</f>
        <v>0</v>
      </c>
      <c r="BS37" s="214">
        <f>IF(AND(($E37+$C$1)&gt;BS$4,BS$4&gt;=$C$1),'General Inputs'!U$11*$H37,IF(AND(($D37+$C$1)&gt;BS$4,BS$4&gt;=$C$1),'General Inputs'!U$11*$G37,0))</f>
        <v>0</v>
      </c>
      <c r="BT37" s="214">
        <f>IF(AND(($E37+$C$1)&gt;BT$4,BT$4&gt;=$C$1),'General Inputs'!V$11*$H37,IF(AND(($D37+$C$1)&gt;BT$4,BT$4&gt;=$C$1),'General Inputs'!V$11*$G37,0))</f>
        <v>0</v>
      </c>
      <c r="BU37" s="214">
        <f>IF(AND(($E37+$C$1)&gt;BU$4,BU$4&gt;=$C$1),'General Inputs'!W$11*$H37,IF(AND(($D37+$C$1)&gt;BU$4,BU$4&gt;=$C$1),'General Inputs'!W$11*$G37,0))</f>
        <v>0</v>
      </c>
      <c r="BW37" s="214">
        <f>IF(AND(($E37+$C$1)&gt;BW$4,BW$4&gt;=$C$1),$H37,IF(AND(($D37+$C$1)&gt;BW$4,BW$4&gt;=$C$1),$G37,0))*IF($A37="Residential",'General Inputs'!D$14,'General Inputs'!D$19)</f>
        <v>327.41563640187331</v>
      </c>
      <c r="BX37" s="214">
        <f>IF(AND(($E37+$C$1)&gt;BX$4,BX$4&gt;=$C$1),$H37,IF(AND(($D37+$C$1)&gt;BX$4,BX$4&gt;=$C$1),$G37,0))*IF($A37="Residential",'General Inputs'!E$14,'General Inputs'!E$19)</f>
        <v>332.3268709479014</v>
      </c>
      <c r="BY37" s="214">
        <f>IF(AND(($E37+$C$1)&gt;BY$4,BY$4&gt;=$C$1),$H37,IF(AND(($D37+$C$1)&gt;BY$4,BY$4&gt;=$C$1),$G37,0))*IF($A37="Residential",'General Inputs'!F$14,'General Inputs'!F$19)</f>
        <v>337.31177401211983</v>
      </c>
      <c r="BZ37" s="214">
        <f>IF(AND(($E37+$C$1)&gt;BZ$4,BZ$4&gt;=$C$1),$H37,IF(AND(($D37+$C$1)&gt;BZ$4,BZ$4&gt;=$C$1),$G37,0))*IF($A37="Residential",'General Inputs'!G$14,'General Inputs'!G$19)</f>
        <v>342.37145062230155</v>
      </c>
      <c r="CA37" s="214">
        <f>IF(AND(($E37+$C$1)&gt;CA$4,CA$4&gt;=$C$1),$H37,IF(AND(($D37+$C$1)&gt;CA$4,CA$4&gt;=$C$1),$G37,0))*IF($A37="Residential",'General Inputs'!H$14,'General Inputs'!H$19)</f>
        <v>347.50702238163603</v>
      </c>
      <c r="CB37" s="214">
        <f>IF(AND(($E37+$C$1)&gt;CB$4,CB$4&gt;=$C$1),$H37,IF(AND(($D37+$C$1)&gt;CB$4,CB$4&gt;=$C$1),$G37,0))*IF($A37="Residential",'General Inputs'!I$14,'General Inputs'!I$19)</f>
        <v>0</v>
      </c>
      <c r="CC37" s="214">
        <f>IF(AND(($E37+$C$1)&gt;CC$4,CC$4&gt;=$C$1),$H37,IF(AND(($D37+$C$1)&gt;CC$4,CC$4&gt;=$C$1),$G37,0))*IF($A37="Residential",'General Inputs'!J$14,'General Inputs'!J$19)</f>
        <v>0</v>
      </c>
      <c r="CD37" s="214">
        <f>IF(AND(($E37+$C$1)&gt;CD$4,CD$4&gt;=$C$1),$H37,IF(AND(($D37+$C$1)&gt;CD$4,CD$4&gt;=$C$1),$G37,0))*IF($A37="Residential",'General Inputs'!K$14,'General Inputs'!K$19)</f>
        <v>0</v>
      </c>
      <c r="CE37" s="214">
        <f>IF(AND(($E37+$C$1)&gt;CE$4,CE$4&gt;=$C$1),$H37,IF(AND(($D37+$C$1)&gt;CE$4,CE$4&gt;=$C$1),$G37,0))*IF($A37="Residential",'General Inputs'!L$14,'General Inputs'!L$19)</f>
        <v>0</v>
      </c>
      <c r="CF37" s="214">
        <f>IF(AND(($E37+$C$1)&gt;CF$4,CF$4&gt;=$C$1),$H37,IF(AND(($D37+$C$1)&gt;CF$4,CF$4&gt;=$C$1),$G37,0))*IF($A37="Residential",'General Inputs'!M$14,'General Inputs'!M$19)</f>
        <v>0</v>
      </c>
      <c r="CG37" s="214">
        <f>IF(AND(($E37+$C$1)&gt;CG$4,CG$4&gt;=$C$1),$H37,IF(AND(($D37+$C$1)&gt;CG$4,CG$4&gt;=$C$1),$G37,0))*IF($A37="Residential",'General Inputs'!N$14,'General Inputs'!N$19)</f>
        <v>0</v>
      </c>
      <c r="CH37" s="214">
        <f>IF(AND(($E37+$C$1)&gt;CH$4,CH$4&gt;=$C$1),$H37,IF(AND(($D37+$C$1)&gt;CH$4,CH$4&gt;=$C$1),$G37,0))*IF($A37="Residential",'General Inputs'!O$14,'General Inputs'!O$19)</f>
        <v>0</v>
      </c>
      <c r="CI37" s="214">
        <f>IF(AND(($E37+$C$1)&gt;CI$4,CI$4&gt;=$C$1),$H37,IF(AND(($D37+$C$1)&gt;CI$4,CI$4&gt;=$C$1),$G37,0))*IF($A37="Residential",'General Inputs'!P$14,'General Inputs'!P$19)</f>
        <v>0</v>
      </c>
      <c r="CJ37" s="214">
        <f>IF(AND(($E37+$C$1)&gt;CJ$4,CJ$4&gt;=$C$1),$H37,IF(AND(($D37+$C$1)&gt;CJ$4,CJ$4&gt;=$C$1),$G37,0))*IF($A37="Residential",'General Inputs'!Q$14,'General Inputs'!Q$19)</f>
        <v>0</v>
      </c>
      <c r="CK37" s="214">
        <f>IF(AND(($E37+$C$1)&gt;CK$4,CK$4&gt;=$C$1),$H37,IF(AND(($D37+$C$1)&gt;CK$4,CK$4&gt;=$C$1),$G37,0))*IF($A37="Residential",'General Inputs'!R$14,'General Inputs'!R$19)</f>
        <v>0</v>
      </c>
      <c r="CL37" s="214">
        <f>IF(AND(($E37+$C$1)&gt;CL$4,CL$4&gt;=$C$1),$H37,IF(AND(($D37+$C$1)&gt;CL$4,CL$4&gt;=$C$1),$G37,0))*IF($A37="Residential",'General Inputs'!S$14,'General Inputs'!S$19)</f>
        <v>0</v>
      </c>
      <c r="CM37" s="214">
        <f>IF(AND(($E37+$C$1)&gt;CM$4,CM$4&gt;=$C$1),$H37,IF(AND(($D37+$C$1)&gt;CM$4,CM$4&gt;=$C$1),$G37,0))*IF($A37="Residential",'General Inputs'!T$14,'General Inputs'!T$19)</f>
        <v>0</v>
      </c>
      <c r="CN37" s="214">
        <f>IF(AND(($E37+$C$1)&gt;CN$4,CN$4&gt;=$C$1),$H37,IF(AND(($D37+$C$1)&gt;CN$4,CN$4&gt;=$C$1),$G37,0))*IF($A37="Residential",'General Inputs'!U$14,'General Inputs'!U$19)</f>
        <v>0</v>
      </c>
      <c r="CO37" s="214">
        <f>IF(AND(($E37+$C$1)&gt;CO$4,CO$4&gt;=$C$1),$H37,IF(AND(($D37+$C$1)&gt;CO$4,CO$4&gt;=$C$1),$G37,0))*IF($A37="Residential",'General Inputs'!V$14,'General Inputs'!V$19)</f>
        <v>0</v>
      </c>
      <c r="CP37" s="214">
        <f>IF(AND(($E37+$C$1)&gt;CP$4,CP$4&gt;=$C$1),$H37,IF(AND(($D37+$C$1)&gt;CP$4,CP$4&gt;=$C$1),$G37,0))*IF($A37="Residential",'General Inputs'!W$14,'General Inputs'!W$19)</f>
        <v>0</v>
      </c>
      <c r="CR37" s="214">
        <f>IF(AND(($E37+$C$1)&gt;CR$4,CR$4&gt;=$C$1),$H37,IF(AND(($D37+$C$1)&gt;CR$4,CR$4&gt;=$C$1),$G37,0))*IF($A37="Residential",'General Inputs'!D$15,'General Inputs'!D$19)</f>
        <v>266.35533115605841</v>
      </c>
      <c r="CS37" s="214">
        <f>IF(AND(($E37+$C$1)&gt;CS$4,CS$4&gt;=$C$1),$H37,IF(AND(($D37+$C$1)&gt;CS$4,CS$4&gt;=$C$1),$G37,0))*IF($A37="Residential",'General Inputs'!E$15,'General Inputs'!E$19)</f>
        <v>270.35066112339928</v>
      </c>
      <c r="CT37" s="214">
        <f>IF(AND(($E37+$C$1)&gt;CT$4,CT$4&gt;=$C$1),$H37,IF(AND(($D37+$C$1)&gt;CT$4,CT$4&gt;=$C$1),$G37,0))*IF($A37="Residential",'General Inputs'!F$15,'General Inputs'!F$19)</f>
        <v>274.40592104025023</v>
      </c>
      <c r="CU37" s="214">
        <f>IF(AND(($E37+$C$1)&gt;CU$4,CU$4&gt;=$C$1),$H37,IF(AND(($D37+$C$1)&gt;CU$4,CU$4&gt;=$C$1),$G37,0))*IF($A37="Residential",'General Inputs'!G$15,'General Inputs'!G$19)</f>
        <v>278.52200985585392</v>
      </c>
      <c r="CV37" s="214">
        <f>IF(AND(($E37+$C$1)&gt;CV$4,CV$4&gt;=$C$1),$H37,IF(AND(($D37+$C$1)&gt;CV$4,CV$4&gt;=$C$1),$G37,0))*IF($A37="Residential",'General Inputs'!H$15,'General Inputs'!H$19)</f>
        <v>282.69984000369175</v>
      </c>
      <c r="CW37" s="214">
        <f>IF(AND(($E37+$C$1)&gt;CW$4,CW$4&gt;=$C$1),$H37,IF(AND(($D37+$C$1)&gt;CW$4,CW$4&gt;=$C$1),$G37,0))*IF($A37="Residential",'General Inputs'!I$15,'General Inputs'!I$19)</f>
        <v>0</v>
      </c>
      <c r="CX37" s="214">
        <f>IF(AND(($E37+$C$1)&gt;CX$4,CX$4&gt;=$C$1),$H37,IF(AND(($D37+$C$1)&gt;CX$4,CX$4&gt;=$C$1),$G37,0))*IF($A37="Residential",'General Inputs'!J$15,'General Inputs'!J$19)</f>
        <v>0</v>
      </c>
      <c r="CY37" s="214">
        <f>IF(AND(($E37+$C$1)&gt;CY$4,CY$4&gt;=$C$1),$H37,IF(AND(($D37+$C$1)&gt;CY$4,CY$4&gt;=$C$1),$G37,0))*IF($A37="Residential",'General Inputs'!K$15,'General Inputs'!K$19)</f>
        <v>0</v>
      </c>
      <c r="CZ37" s="214">
        <f>IF(AND(($E37+$C$1)&gt;CZ$4,CZ$4&gt;=$C$1),$H37,IF(AND(($D37+$C$1)&gt;CZ$4,CZ$4&gt;=$C$1),$G37,0))*IF($A37="Residential",'General Inputs'!L$15,'General Inputs'!L$19)</f>
        <v>0</v>
      </c>
      <c r="DA37" s="214">
        <f>IF(AND(($E37+$C$1)&gt;DA$4,DA$4&gt;=$C$1),$H37,IF(AND(($D37+$C$1)&gt;DA$4,DA$4&gt;=$C$1),$G37,0))*IF($A37="Residential",'General Inputs'!M$15,'General Inputs'!M$19)</f>
        <v>0</v>
      </c>
      <c r="DB37" s="214">
        <f>IF(AND(($E37+$C$1)&gt;DB$4,DB$4&gt;=$C$1),$H37,IF(AND(($D37+$C$1)&gt;DB$4,DB$4&gt;=$C$1),$G37,0))*IF($A37="Residential",'General Inputs'!N$15,'General Inputs'!N$19)</f>
        <v>0</v>
      </c>
      <c r="DC37" s="214">
        <f>IF(AND(($E37+$C$1)&gt;DC$4,DC$4&gt;=$C$1),$H37,IF(AND(($D37+$C$1)&gt;DC$4,DC$4&gt;=$C$1),$G37,0))*IF($A37="Residential",'General Inputs'!O$15,'General Inputs'!O$19)</f>
        <v>0</v>
      </c>
      <c r="DD37" s="214">
        <f>IF(AND(($E37+$C$1)&gt;DD$4,DD$4&gt;=$C$1),$H37,IF(AND(($D37+$C$1)&gt;DD$4,DD$4&gt;=$C$1),$G37,0))*IF($A37="Residential",'General Inputs'!P$15,'General Inputs'!P$19)</f>
        <v>0</v>
      </c>
      <c r="DE37" s="214">
        <f>IF(AND(($E37+$C$1)&gt;DE$4,DE$4&gt;=$C$1),$H37,IF(AND(($D37+$C$1)&gt;DE$4,DE$4&gt;=$C$1),$G37,0))*IF($A37="Residential",'General Inputs'!Q$15,'General Inputs'!Q$19)</f>
        <v>0</v>
      </c>
      <c r="DF37" s="214">
        <f>IF(AND(($E37+$C$1)&gt;DF$4,DF$4&gt;=$C$1),$H37,IF(AND(($D37+$C$1)&gt;DF$4,DF$4&gt;=$C$1),$G37,0))*IF($A37="Residential",'General Inputs'!R$15,'General Inputs'!R$19)</f>
        <v>0</v>
      </c>
      <c r="DG37" s="214">
        <f>IF(AND(($E37+$C$1)&gt;DG$4,DG$4&gt;=$C$1),$H37,IF(AND(($D37+$C$1)&gt;DG$4,DG$4&gt;=$C$1),$G37,0))*IF($A37="Residential",'General Inputs'!S$15,'General Inputs'!S$19)</f>
        <v>0</v>
      </c>
      <c r="DH37" s="214">
        <f>IF(AND(($E37+$C$1)&gt;DH$4,DH$4&gt;=$C$1),$H37,IF(AND(($D37+$C$1)&gt;DH$4,DH$4&gt;=$C$1),$G37,0))*IF($A37="Residential",'General Inputs'!T$15,'General Inputs'!T$19)</f>
        <v>0</v>
      </c>
      <c r="DI37" s="214">
        <f>IF(AND(($E37+$C$1)&gt;DI$4,DI$4&gt;=$C$1),$H37,IF(AND(($D37+$C$1)&gt;DI$4,DI$4&gt;=$C$1),$G37,0))*IF($A37="Residential",'General Inputs'!U$15,'General Inputs'!U$19)</f>
        <v>0</v>
      </c>
      <c r="DJ37" s="214">
        <f>IF(AND(($E37+$C$1)&gt;DJ$4,DJ$4&gt;=$C$1),$H37,IF(AND(($D37+$C$1)&gt;DJ$4,DJ$4&gt;=$C$1),$G37,0))*IF($A37="Residential",'General Inputs'!V$15,'General Inputs'!V$19)</f>
        <v>0</v>
      </c>
      <c r="DK37" s="214">
        <f>IF(AND(($E37+$C$1)&gt;DK$4,DK$4&gt;=$C$1),$H37,IF(AND(($D37+$C$1)&gt;DK$4,DK$4&gt;=$C$1),$G37,0))*IF($A37="Residential",'General Inputs'!W$15,'General Inputs'!W$19)</f>
        <v>0</v>
      </c>
      <c r="DM37" s="214">
        <f t="shared" si="299"/>
        <v>0</v>
      </c>
      <c r="DN37" s="214">
        <f t="shared" si="299"/>
        <v>0</v>
      </c>
      <c r="DO37" s="214">
        <f t="shared" si="299"/>
        <v>0</v>
      </c>
      <c r="DP37" s="214">
        <f t="shared" si="299"/>
        <v>0</v>
      </c>
      <c r="DQ37" s="214">
        <f t="shared" si="299"/>
        <v>0</v>
      </c>
      <c r="DR37" s="214">
        <f t="shared" si="299"/>
        <v>0</v>
      </c>
      <c r="DS37" s="214">
        <f t="shared" si="299"/>
        <v>0</v>
      </c>
      <c r="DT37" s="214">
        <f t="shared" si="299"/>
        <v>0</v>
      </c>
      <c r="DU37" s="214">
        <f t="shared" si="299"/>
        <v>0</v>
      </c>
      <c r="DV37" s="214">
        <f t="shared" si="299"/>
        <v>0</v>
      </c>
      <c r="DW37" s="214">
        <f t="shared" si="299"/>
        <v>0</v>
      </c>
      <c r="DZ37" s="650"/>
      <c r="FI37" s="195"/>
      <c r="FJ37" s="195"/>
      <c r="FK37" s="195"/>
      <c r="FL37" s="195"/>
      <c r="FM37" s="195"/>
      <c r="FN37" s="195"/>
      <c r="FO37" s="195"/>
    </row>
    <row r="38" spans="1:171">
      <c r="A38" s="342" t="s">
        <v>12</v>
      </c>
      <c r="B38" s="427" t="str">
        <f>'Portfolio Inputs'!A37</f>
        <v>Water Heater Tank Wrap</v>
      </c>
      <c r="C38" s="217">
        <f>IF($C$1=2014,'Portfolio Inputs'!$C37,IF($C$1=2015,'Portfolio Inputs'!$D37,'Portfolio Inputs'!$E37))</f>
        <v>0</v>
      </c>
      <c r="D38" s="504">
        <f>VLOOKUP(B38,Sources!$B$4:$J$104,2,FALSE)</f>
        <v>5</v>
      </c>
      <c r="E38" s="504">
        <f>VLOOKUP(B38,Sources!$B$4:$J$104,3,FALSE)</f>
        <v>0</v>
      </c>
      <c r="G38" s="504">
        <f>IF($C$1=2014,'Portfolio Inputs'!$G37,IF($C$1=2015,'Portfolio Inputs'!$H37,'Portfolio Inputs'!$I37))*EnergyLineLoss</f>
        <v>0</v>
      </c>
      <c r="H38" s="504"/>
      <c r="I38" s="595">
        <f>IF($C$1=2014,'Portfolio Inputs'!$K37,IF($C$1=2015,'Portfolio Inputs'!$L37,'Portfolio Inputs'!$M37))*PeakLineLoss</f>
        <v>0</v>
      </c>
      <c r="J38" s="510"/>
      <c r="L38" s="606">
        <f>IF($C$1=2014,'Portfolio Inputs'!$O37,IF($C$1=2015,'Portfolio Inputs'!$P37,'Portfolio Inputs'!$Q37))</f>
        <v>0</v>
      </c>
      <c r="M38" s="518">
        <f>VLOOKUP($B38,Sources!$B$4:$K$104,10,FALSE)</f>
        <v>0</v>
      </c>
      <c r="N38" s="419">
        <f>IF($C$1=2014,'Portfolio Inputs'!$W37,IF($C$1=2015,'Portfolio Inputs'!$X37,'Portfolio Inputs'!$Y37))</f>
        <v>0</v>
      </c>
      <c r="O38" s="419"/>
      <c r="Q38" s="438" t="str">
        <f t="shared" si="290"/>
        <v>n/a</v>
      </c>
      <c r="R38" s="439" t="str">
        <f t="shared" si="291"/>
        <v>n/a</v>
      </c>
      <c r="S38" s="439" t="str">
        <f t="shared" si="292"/>
        <v>n/a</v>
      </c>
      <c r="T38" s="439" t="str">
        <f t="shared" si="293"/>
        <v>n/a</v>
      </c>
      <c r="U38" s="439" t="str">
        <f t="shared" si="298"/>
        <v>n/a</v>
      </c>
      <c r="V38" s="439" t="str">
        <f t="shared" si="294"/>
        <v>n/a</v>
      </c>
      <c r="W38" s="439" t="str">
        <f t="shared" si="295"/>
        <v>n/a</v>
      </c>
      <c r="Y38" s="215">
        <f t="shared" si="29"/>
        <v>0</v>
      </c>
      <c r="Z38" s="215">
        <f t="shared" si="30"/>
        <v>0</v>
      </c>
      <c r="AA38" s="215">
        <f t="shared" si="31"/>
        <v>0</v>
      </c>
      <c r="AB38" s="215">
        <f t="shared" si="32"/>
        <v>0</v>
      </c>
      <c r="AC38" s="216">
        <f t="shared" si="33"/>
        <v>0</v>
      </c>
      <c r="AD38" s="216">
        <f t="shared" si="34"/>
        <v>0</v>
      </c>
      <c r="AE38" s="215">
        <f t="shared" si="35"/>
        <v>0</v>
      </c>
      <c r="AG38" s="214">
        <f>IF(AND(($E38+$C$1)&gt;AG$4,AG$4&gt;=$C$1),'General Inputs'!D$9*$H38,IF(AND(($D38+$C$1)&gt;AG$4,AG$4&gt;=$C$1),'General Inputs'!D$9*$G38,0))+IF(AND(($E38+$C$1)&gt;AG$4,AG$4&gt;=$C$1),'General Inputs'!D$10*$J38,IF(AND(($D38+$C$1)&gt;AG$4,AG$4&gt;=$C$1),'General Inputs'!D$10*$I38,0))</f>
        <v>0</v>
      </c>
      <c r="AH38" s="214">
        <f>IF(AND(($E38+$C$1)&gt;AH$4,AH$4&gt;=$C$1),'General Inputs'!E$9*$H38,IF(AND(($D38+$C$1)&gt;AH$4,AH$4&gt;=$C$1),'General Inputs'!E$9*$G38,0))+IF(AND(($E38+$C$1)&gt;AH$4,AH$4&gt;=$C$1),'General Inputs'!E$10*$J38,IF(AND(($D38+$C$1)&gt;AH$4,AH$4&gt;=$C$1),'General Inputs'!E$10*$I38,0))</f>
        <v>0</v>
      </c>
      <c r="AI38" s="214">
        <f>IF(AND(($E38+$C$1)&gt;AI$4,AI$4&gt;=$C$1),'General Inputs'!F$9*$H38,IF(AND(($D38+$C$1)&gt;AI$4,AI$4&gt;=$C$1),'General Inputs'!F$9*$G38,0))+IF(AND(($E38+$C$1)&gt;AI$4,AI$4&gt;=$C$1),'General Inputs'!F$10*$J38,IF(AND(($D38+$C$1)&gt;AI$4,AI$4&gt;=$C$1),'General Inputs'!F$10*$I38,0))</f>
        <v>0</v>
      </c>
      <c r="AJ38" s="214">
        <f>IF(AND(($E38+$C$1)&gt;AJ$4,AJ$4&gt;=$C$1),'General Inputs'!G$9*$H38,IF(AND(($D38+$C$1)&gt;AJ$4,AJ$4&gt;=$C$1),'General Inputs'!G$9*$G38,0))+IF(AND(($E38+$C$1)&gt;AJ$4,AJ$4&gt;=$C$1),'General Inputs'!G$10*$J38,IF(AND(($D38+$C$1)&gt;AJ$4,AJ$4&gt;=$C$1),'General Inputs'!G$10*$I38,0))</f>
        <v>0</v>
      </c>
      <c r="AK38" s="214">
        <f>IF(AND(($E38+$C$1)&gt;AK$4,AK$4&gt;=$C$1),'General Inputs'!H$9*$H38,IF(AND(($D38+$C$1)&gt;AK$4,AK$4&gt;=$C$1),'General Inputs'!H$9*$G38,0))+IF(AND(($E38+$C$1)&gt;AK$4,AK$4&gt;=$C$1),'General Inputs'!H$10*$J38,IF(AND(($D38+$C$1)&gt;AK$4,AK$4&gt;=$C$1),'General Inputs'!H$10*$I38,0))</f>
        <v>0</v>
      </c>
      <c r="AL38" s="214">
        <f>IF(AND(($E38+$C$1)&gt;AL$4,AL$4&gt;=$C$1),'General Inputs'!I$9*$H38,IF(AND(($D38+$C$1)&gt;AL$4,AL$4&gt;=$C$1),'General Inputs'!I$9*$G38,0))+IF(AND(($E38+$C$1)&gt;AL$4,AL$4&gt;=$C$1),'General Inputs'!I$10*$J38,IF(AND(($D38+$C$1)&gt;AL$4,AL$4&gt;=$C$1),'General Inputs'!I$10*$I38,0))</f>
        <v>0</v>
      </c>
      <c r="AM38" s="214">
        <f>IF(AND(($E38+$C$1)&gt;AM$4,AM$4&gt;=$C$1),'General Inputs'!J$9*$H38,IF(AND(($D38+$C$1)&gt;AM$4,AM$4&gt;=$C$1),'General Inputs'!J$9*$G38,0))+IF(AND(($E38+$C$1)&gt;AM$4,AM$4&gt;=$C$1),'General Inputs'!J$10*$J38,IF(AND(($D38+$C$1)&gt;AM$4,AM$4&gt;=$C$1),'General Inputs'!J$10*$I38,0))</f>
        <v>0</v>
      </c>
      <c r="AN38" s="214">
        <f>IF(AND(($E38+$C$1)&gt;AN$4,AN$4&gt;=$C$1),'General Inputs'!K$9*$H38,IF(AND(($D38+$C$1)&gt;AN$4,AN$4&gt;=$C$1),'General Inputs'!K$9*$G38,0))+IF(AND(($E38+$C$1)&gt;AN$4,AN$4&gt;=$C$1),'General Inputs'!K$10*$J38,IF(AND(($D38+$C$1)&gt;AN$4,AN$4&gt;=$C$1),'General Inputs'!K$10*$I38,0))</f>
        <v>0</v>
      </c>
      <c r="AO38" s="214">
        <f>IF(AND(($E38+$C$1)&gt;AO$4,AO$4&gt;=$C$1),'General Inputs'!L$9*$H38,IF(AND(($D38+$C$1)&gt;AO$4,AO$4&gt;=$C$1),'General Inputs'!L$9*$G38,0))+IF(AND(($E38+$C$1)&gt;AO$4,AO$4&gt;=$C$1),'General Inputs'!L$10*$J38,IF(AND(($D38+$C$1)&gt;AO$4,AO$4&gt;=$C$1),'General Inputs'!L$10*$I38,0))</f>
        <v>0</v>
      </c>
      <c r="AP38" s="214">
        <f>IF(AND(($E38+$C$1)&gt;AP$4,AP$4&gt;=$C$1),'General Inputs'!M$9*$H38,IF(AND(($D38+$C$1)&gt;AP$4,AP$4&gt;=$C$1),'General Inputs'!M$9*$G38,0))+IF(AND(($E38+$C$1)&gt;AP$4,AP$4&gt;=$C$1),'General Inputs'!M$10*$J38,IF(AND(($D38+$C$1)&gt;AP$4,AP$4&gt;=$C$1),'General Inputs'!M$10*$I38,0))</f>
        <v>0</v>
      </c>
      <c r="AQ38" s="214">
        <f>IF(AND(($E38+$C$1)&gt;AQ$4,AQ$4&gt;=$C$1),'General Inputs'!N$9*$H38,IF(AND(($D38+$C$1)&gt;AQ$4,AQ$4&gt;=$C$1),'General Inputs'!N$9*$G38,0))+IF(AND(($E38+$C$1)&gt;AQ$4,AQ$4&gt;=$C$1),'General Inputs'!N$10*$J38,IF(AND(($D38+$C$1)&gt;AQ$4,AQ$4&gt;=$C$1),'General Inputs'!N$10*$I38,0))</f>
        <v>0</v>
      </c>
      <c r="AR38" s="214">
        <f>IF(AND(($E38+$C$1)&gt;AR$4,AR$4&gt;=$C$1),'General Inputs'!O$9*$H38,IF(AND(($D38+$C$1)&gt;AR$4,AR$4&gt;=$C$1),'General Inputs'!O$9*$G38,0))+IF(AND(($E38+$C$1)&gt;AR$4,AR$4&gt;=$C$1),'General Inputs'!O$10*$J38,IF(AND(($D38+$C$1)&gt;AR$4,AR$4&gt;=$C$1),'General Inputs'!O$10*$I38,0))</f>
        <v>0</v>
      </c>
      <c r="AS38" s="214">
        <f>IF(AND(($E38+$C$1)&gt;AS$4,AS$4&gt;=$C$1),'General Inputs'!P$9*$H38,IF(AND(($D38+$C$1)&gt;AS$4,AS$4&gt;=$C$1),'General Inputs'!P$9*$G38,0))+IF(AND(($E38+$C$1)&gt;AS$4,AS$4&gt;=$C$1),'General Inputs'!P$10*$J38,IF(AND(($D38+$C$1)&gt;AS$4,AS$4&gt;=$C$1),'General Inputs'!P$10*$I38,0))</f>
        <v>0</v>
      </c>
      <c r="AT38" s="214">
        <f>IF(AND(($E38+$C$1)&gt;AT$4,AT$4&gt;=$C$1),'General Inputs'!Q$9*$H38,IF(AND(($D38+$C$1)&gt;AT$4,AT$4&gt;=$C$1),'General Inputs'!Q$9*$G38,0))+IF(AND(($E38+$C$1)&gt;AT$4,AT$4&gt;=$C$1),'General Inputs'!Q$10*$J38,IF(AND(($D38+$C$1)&gt;AT$4,AT$4&gt;=$C$1),'General Inputs'!Q$10*$I38,0))</f>
        <v>0</v>
      </c>
      <c r="AU38" s="214">
        <f>IF(AND(($E38+$C$1)&gt;AU$4,AU$4&gt;=$C$1),'General Inputs'!R$9*$H38,IF(AND(($D38+$C$1)&gt;AU$4,AU$4&gt;=$C$1),'General Inputs'!R$9*$G38,0))+IF(AND(($E38+$C$1)&gt;AU$4,AU$4&gt;=$C$1),'General Inputs'!R$10*$J38,IF(AND(($D38+$C$1)&gt;AU$4,AU$4&gt;=$C$1),'General Inputs'!R$10*$I38,0))</f>
        <v>0</v>
      </c>
      <c r="AV38" s="214">
        <f>IF(AND(($E38+$C$1)&gt;AV$4,AV$4&gt;=$C$1),'General Inputs'!S$9*$H38,IF(AND(($D38+$C$1)&gt;AV$4,AV$4&gt;=$C$1),'General Inputs'!S$9*$G38,0))+IF(AND(($E38+$C$1)&gt;AV$4,AV$4&gt;=$C$1),'General Inputs'!S$10*$J38,IF(AND(($D38+$C$1)&gt;AV$4,AV$4&gt;=$C$1),'General Inputs'!S$10*$I38,0))</f>
        <v>0</v>
      </c>
      <c r="AW38" s="214">
        <f>IF(AND(($E38+$C$1)&gt;AW$4,AW$4&gt;=$C$1),'General Inputs'!T$9*$H38,IF(AND(($D38+$C$1)&gt;AW$4,AW$4&gt;=$C$1),'General Inputs'!T$9*$G38,0))+IF(AND(($E38+$C$1)&gt;AW$4,AW$4&gt;=$C$1),'General Inputs'!T$10*$J38,IF(AND(($D38+$C$1)&gt;AW$4,AW$4&gt;=$C$1),'General Inputs'!T$10*$I38,0))</f>
        <v>0</v>
      </c>
      <c r="AX38" s="214">
        <f>IF(AND(($E38+$C$1)&gt;AX$4,AX$4&gt;=$C$1),'General Inputs'!U$9*$H38,IF(AND(($D38+$C$1)&gt;AX$4,AX$4&gt;=$C$1),'General Inputs'!U$9*$G38,0))+IF(AND(($E38+$C$1)&gt;AX$4,AX$4&gt;=$C$1),'General Inputs'!U$10*$J38,IF(AND(($D38+$C$1)&gt;AX$4,AX$4&gt;=$C$1),'General Inputs'!U$10*$I38,0))</f>
        <v>0</v>
      </c>
      <c r="AY38" s="214">
        <f>IF(AND(($E38+$C$1)&gt;AY$4,AY$4&gt;=$C$1),'General Inputs'!V$9*$H38,IF(AND(($D38+$C$1)&gt;AY$4,AY$4&gt;=$C$1),'General Inputs'!V$9*$G38,0))+IF(AND(($E38+$C$1)&gt;AY$4,AY$4&gt;=$C$1),'General Inputs'!V$10*$J38,IF(AND(($D38+$C$1)&gt;AY$4,AY$4&gt;=$C$1),'General Inputs'!V$10*$I38,0))</f>
        <v>0</v>
      </c>
      <c r="AZ38" s="214">
        <f>IF(AND(($E38+$C$1)&gt;AZ$4,AZ$4&gt;=$C$1),'General Inputs'!W$9*$H38,IF(AND(($D38+$C$1)&gt;AZ$4,AZ$4&gt;=$C$1),'General Inputs'!W$9*$G38,0))+IF(AND(($E38+$C$1)&gt;AZ$4,AZ$4&gt;=$C$1),'General Inputs'!W$10*$J38,IF(AND(($D38+$C$1)&gt;AZ$4,AZ$4&gt;=$C$1),'General Inputs'!W$10*$I38,0))</f>
        <v>0</v>
      </c>
      <c r="BB38" s="214">
        <f>IF(AND(($E38+$C$1)&gt;BB$4,BB$4&gt;=$C$1),'General Inputs'!D$11*$H38,IF(AND(($D38+$C$1)&gt;BB$4,BB$4&gt;=$C$1),'General Inputs'!D$11*$G38,0))</f>
        <v>0</v>
      </c>
      <c r="BC38" s="214">
        <f>IF(AND(($E38+$C$1)&gt;BC$4,BC$4&gt;=$C$1),'General Inputs'!E$11*$H38,IF(AND(($D38+$C$1)&gt;BC$4,BC$4&gt;=$C$1),'General Inputs'!E$11*$G38,0))</f>
        <v>0</v>
      </c>
      <c r="BD38" s="214">
        <f>IF(AND(($E38+$C$1)&gt;BD$4,BD$4&gt;=$C$1),'General Inputs'!F$11*$H38,IF(AND(($D38+$C$1)&gt;BD$4,BD$4&gt;=$C$1),'General Inputs'!F$11*$G38,0))</f>
        <v>0</v>
      </c>
      <c r="BE38" s="214">
        <f>IF(AND(($E38+$C$1)&gt;BE$4,BE$4&gt;=$C$1),'General Inputs'!G$11*$H38,IF(AND(($D38+$C$1)&gt;BE$4,BE$4&gt;=$C$1),'General Inputs'!G$11*$G38,0))</f>
        <v>0</v>
      </c>
      <c r="BF38" s="214">
        <f>IF(AND(($E38+$C$1)&gt;BF$4,BF$4&gt;=$C$1),'General Inputs'!H$11*$H38,IF(AND(($D38+$C$1)&gt;BF$4,BF$4&gt;=$C$1),'General Inputs'!H$11*$G38,0))</f>
        <v>0</v>
      </c>
      <c r="BG38" s="214">
        <f>IF(AND(($E38+$C$1)&gt;BG$4,BG$4&gt;=$C$1),'General Inputs'!I$11*$H38,IF(AND(($D38+$C$1)&gt;BG$4,BG$4&gt;=$C$1),'General Inputs'!I$11*$G38,0))</f>
        <v>0</v>
      </c>
      <c r="BH38" s="214">
        <f>IF(AND(($E38+$C$1)&gt;BH$4,BH$4&gt;=$C$1),'General Inputs'!J$11*$H38,IF(AND(($D38+$C$1)&gt;BH$4,BH$4&gt;=$C$1),'General Inputs'!J$11*$G38,0))</f>
        <v>0</v>
      </c>
      <c r="BI38" s="214">
        <f>IF(AND(($E38+$C$1)&gt;BI$4,BI$4&gt;=$C$1),'General Inputs'!K$11*$H38,IF(AND(($D38+$C$1)&gt;BI$4,BI$4&gt;=$C$1),'General Inputs'!K$11*$G38,0))</f>
        <v>0</v>
      </c>
      <c r="BJ38" s="214">
        <f>IF(AND(($E38+$C$1)&gt;BJ$4,BJ$4&gt;=$C$1),'General Inputs'!L$11*$H38,IF(AND(($D38+$C$1)&gt;BJ$4,BJ$4&gt;=$C$1),'General Inputs'!L$11*$G38,0))</f>
        <v>0</v>
      </c>
      <c r="BK38" s="214">
        <f>IF(AND(($E38+$C$1)&gt;BK$4,BK$4&gt;=$C$1),'General Inputs'!M$11*$H38,IF(AND(($D38+$C$1)&gt;BK$4,BK$4&gt;=$C$1),'General Inputs'!M$11*$G38,0))</f>
        <v>0</v>
      </c>
      <c r="BL38" s="214">
        <f>IF(AND(($E38+$C$1)&gt;BL$4,BL$4&gt;=$C$1),'General Inputs'!N$11*$H38,IF(AND(($D38+$C$1)&gt;BL$4,BL$4&gt;=$C$1),'General Inputs'!N$11*$G38,0))</f>
        <v>0</v>
      </c>
      <c r="BM38" s="214">
        <f>IF(AND(($E38+$C$1)&gt;BM$4,BM$4&gt;=$C$1),'General Inputs'!O$11*$H38,IF(AND(($D38+$C$1)&gt;BM$4,BM$4&gt;=$C$1),'General Inputs'!O$11*$G38,0))</f>
        <v>0</v>
      </c>
      <c r="BN38" s="214">
        <f>IF(AND(($E38+$C$1)&gt;BN$4,BN$4&gt;=$C$1),'General Inputs'!P$11*$H38,IF(AND(($D38+$C$1)&gt;BN$4,BN$4&gt;=$C$1),'General Inputs'!P$11*$G38,0))</f>
        <v>0</v>
      </c>
      <c r="BO38" s="214">
        <f>IF(AND(($E38+$C$1)&gt;BO$4,BO$4&gt;=$C$1),'General Inputs'!Q$11*$H38,IF(AND(($D38+$C$1)&gt;BO$4,BO$4&gt;=$C$1),'General Inputs'!Q$11*$G38,0))</f>
        <v>0</v>
      </c>
      <c r="BP38" s="214">
        <f>IF(AND(($E38+$C$1)&gt;BP$4,BP$4&gt;=$C$1),'General Inputs'!R$11*$H38,IF(AND(($D38+$C$1)&gt;BP$4,BP$4&gt;=$C$1),'General Inputs'!R$11*$G38,0))</f>
        <v>0</v>
      </c>
      <c r="BQ38" s="214">
        <f>IF(AND(($E38+$C$1)&gt;BQ$4,BQ$4&gt;=$C$1),'General Inputs'!S$11*$H38,IF(AND(($D38+$C$1)&gt;BQ$4,BQ$4&gt;=$C$1),'General Inputs'!S$11*$G38,0))</f>
        <v>0</v>
      </c>
      <c r="BR38" s="214">
        <f>IF(AND(($E38+$C$1)&gt;BR$4,BR$4&gt;=$C$1),'General Inputs'!T$11*$H38,IF(AND(($D38+$C$1)&gt;BR$4,BR$4&gt;=$C$1),'General Inputs'!T$11*$G38,0))</f>
        <v>0</v>
      </c>
      <c r="BS38" s="214">
        <f>IF(AND(($E38+$C$1)&gt;BS$4,BS$4&gt;=$C$1),'General Inputs'!U$11*$H38,IF(AND(($D38+$C$1)&gt;BS$4,BS$4&gt;=$C$1),'General Inputs'!U$11*$G38,0))</f>
        <v>0</v>
      </c>
      <c r="BT38" s="214">
        <f>IF(AND(($E38+$C$1)&gt;BT$4,BT$4&gt;=$C$1),'General Inputs'!V$11*$H38,IF(AND(($D38+$C$1)&gt;BT$4,BT$4&gt;=$C$1),'General Inputs'!V$11*$G38,0))</f>
        <v>0</v>
      </c>
      <c r="BU38" s="214">
        <f>IF(AND(($E38+$C$1)&gt;BU$4,BU$4&gt;=$C$1),'General Inputs'!W$11*$H38,IF(AND(($D38+$C$1)&gt;BU$4,BU$4&gt;=$C$1),'General Inputs'!W$11*$G38,0))</f>
        <v>0</v>
      </c>
      <c r="BW38" s="214">
        <f>IF(AND(($E38+$C$1)&gt;BW$4,BW$4&gt;=$C$1),$H38,IF(AND(($D38+$C$1)&gt;BW$4,BW$4&gt;=$C$1),$G38,0))*IF($A38="Residential",'General Inputs'!D$14,'General Inputs'!D$19)</f>
        <v>0</v>
      </c>
      <c r="BX38" s="214">
        <f>IF(AND(($E38+$C$1)&gt;BX$4,BX$4&gt;=$C$1),$H38,IF(AND(($D38+$C$1)&gt;BX$4,BX$4&gt;=$C$1),$G38,0))*IF($A38="Residential",'General Inputs'!E$14,'General Inputs'!E$19)</f>
        <v>0</v>
      </c>
      <c r="BY38" s="214">
        <f>IF(AND(($E38+$C$1)&gt;BY$4,BY$4&gt;=$C$1),$H38,IF(AND(($D38+$C$1)&gt;BY$4,BY$4&gt;=$C$1),$G38,0))*IF($A38="Residential",'General Inputs'!F$14,'General Inputs'!F$19)</f>
        <v>0</v>
      </c>
      <c r="BZ38" s="214">
        <f>IF(AND(($E38+$C$1)&gt;BZ$4,BZ$4&gt;=$C$1),$H38,IF(AND(($D38+$C$1)&gt;BZ$4,BZ$4&gt;=$C$1),$G38,0))*IF($A38="Residential",'General Inputs'!G$14,'General Inputs'!G$19)</f>
        <v>0</v>
      </c>
      <c r="CA38" s="214">
        <f>IF(AND(($E38+$C$1)&gt;CA$4,CA$4&gt;=$C$1),$H38,IF(AND(($D38+$C$1)&gt;CA$4,CA$4&gt;=$C$1),$G38,0))*IF($A38="Residential",'General Inputs'!H$14,'General Inputs'!H$19)</f>
        <v>0</v>
      </c>
      <c r="CB38" s="214">
        <f>IF(AND(($E38+$C$1)&gt;CB$4,CB$4&gt;=$C$1),$H38,IF(AND(($D38+$C$1)&gt;CB$4,CB$4&gt;=$C$1),$G38,0))*IF($A38="Residential",'General Inputs'!I$14,'General Inputs'!I$19)</f>
        <v>0</v>
      </c>
      <c r="CC38" s="214">
        <f>IF(AND(($E38+$C$1)&gt;CC$4,CC$4&gt;=$C$1),$H38,IF(AND(($D38+$C$1)&gt;CC$4,CC$4&gt;=$C$1),$G38,0))*IF($A38="Residential",'General Inputs'!J$14,'General Inputs'!J$19)</f>
        <v>0</v>
      </c>
      <c r="CD38" s="214">
        <f>IF(AND(($E38+$C$1)&gt;CD$4,CD$4&gt;=$C$1),$H38,IF(AND(($D38+$C$1)&gt;CD$4,CD$4&gt;=$C$1),$G38,0))*IF($A38="Residential",'General Inputs'!K$14,'General Inputs'!K$19)</f>
        <v>0</v>
      </c>
      <c r="CE38" s="214">
        <f>IF(AND(($E38+$C$1)&gt;CE$4,CE$4&gt;=$C$1),$H38,IF(AND(($D38+$C$1)&gt;CE$4,CE$4&gt;=$C$1),$G38,0))*IF($A38="Residential",'General Inputs'!L$14,'General Inputs'!L$19)</f>
        <v>0</v>
      </c>
      <c r="CF38" s="214">
        <f>IF(AND(($E38+$C$1)&gt;CF$4,CF$4&gt;=$C$1),$H38,IF(AND(($D38+$C$1)&gt;CF$4,CF$4&gt;=$C$1),$G38,0))*IF($A38="Residential",'General Inputs'!M$14,'General Inputs'!M$19)</f>
        <v>0</v>
      </c>
      <c r="CG38" s="214">
        <f>IF(AND(($E38+$C$1)&gt;CG$4,CG$4&gt;=$C$1),$H38,IF(AND(($D38+$C$1)&gt;CG$4,CG$4&gt;=$C$1),$G38,0))*IF($A38="Residential",'General Inputs'!N$14,'General Inputs'!N$19)</f>
        <v>0</v>
      </c>
      <c r="CH38" s="214">
        <f>IF(AND(($E38+$C$1)&gt;CH$4,CH$4&gt;=$C$1),$H38,IF(AND(($D38+$C$1)&gt;CH$4,CH$4&gt;=$C$1),$G38,0))*IF($A38="Residential",'General Inputs'!O$14,'General Inputs'!O$19)</f>
        <v>0</v>
      </c>
      <c r="CI38" s="214">
        <f>IF(AND(($E38+$C$1)&gt;CI$4,CI$4&gt;=$C$1),$H38,IF(AND(($D38+$C$1)&gt;CI$4,CI$4&gt;=$C$1),$G38,0))*IF($A38="Residential",'General Inputs'!P$14,'General Inputs'!P$19)</f>
        <v>0</v>
      </c>
      <c r="CJ38" s="214">
        <f>IF(AND(($E38+$C$1)&gt;CJ$4,CJ$4&gt;=$C$1),$H38,IF(AND(($D38+$C$1)&gt;CJ$4,CJ$4&gt;=$C$1),$G38,0))*IF($A38="Residential",'General Inputs'!Q$14,'General Inputs'!Q$19)</f>
        <v>0</v>
      </c>
      <c r="CK38" s="214">
        <f>IF(AND(($E38+$C$1)&gt;CK$4,CK$4&gt;=$C$1),$H38,IF(AND(($D38+$C$1)&gt;CK$4,CK$4&gt;=$C$1),$G38,0))*IF($A38="Residential",'General Inputs'!R$14,'General Inputs'!R$19)</f>
        <v>0</v>
      </c>
      <c r="CL38" s="214">
        <f>IF(AND(($E38+$C$1)&gt;CL$4,CL$4&gt;=$C$1),$H38,IF(AND(($D38+$C$1)&gt;CL$4,CL$4&gt;=$C$1),$G38,0))*IF($A38="Residential",'General Inputs'!S$14,'General Inputs'!S$19)</f>
        <v>0</v>
      </c>
      <c r="CM38" s="214">
        <f>IF(AND(($E38+$C$1)&gt;CM$4,CM$4&gt;=$C$1),$H38,IF(AND(($D38+$C$1)&gt;CM$4,CM$4&gt;=$C$1),$G38,0))*IF($A38="Residential",'General Inputs'!T$14,'General Inputs'!T$19)</f>
        <v>0</v>
      </c>
      <c r="CN38" s="214">
        <f>IF(AND(($E38+$C$1)&gt;CN$4,CN$4&gt;=$C$1),$H38,IF(AND(($D38+$C$1)&gt;CN$4,CN$4&gt;=$C$1),$G38,0))*IF($A38="Residential",'General Inputs'!U$14,'General Inputs'!U$19)</f>
        <v>0</v>
      </c>
      <c r="CO38" s="214">
        <f>IF(AND(($E38+$C$1)&gt;CO$4,CO$4&gt;=$C$1),$H38,IF(AND(($D38+$C$1)&gt;CO$4,CO$4&gt;=$C$1),$G38,0))*IF($A38="Residential",'General Inputs'!V$14,'General Inputs'!V$19)</f>
        <v>0</v>
      </c>
      <c r="CP38" s="214">
        <f>IF(AND(($E38+$C$1)&gt;CP$4,CP$4&gt;=$C$1),$H38,IF(AND(($D38+$C$1)&gt;CP$4,CP$4&gt;=$C$1),$G38,0))*IF($A38="Residential",'General Inputs'!W$14,'General Inputs'!W$19)</f>
        <v>0</v>
      </c>
      <c r="CR38" s="214">
        <f>IF(AND(($E38+$C$1)&gt;CR$4,CR$4&gt;=$C$1),$H38,IF(AND(($D38+$C$1)&gt;CR$4,CR$4&gt;=$C$1),$G38,0))*IF($A38="Residential",'General Inputs'!D$15,'General Inputs'!D$19)</f>
        <v>0</v>
      </c>
      <c r="CS38" s="214">
        <f>IF(AND(($E38+$C$1)&gt;CS$4,CS$4&gt;=$C$1),$H38,IF(AND(($D38+$C$1)&gt;CS$4,CS$4&gt;=$C$1),$G38,0))*IF($A38="Residential",'General Inputs'!E$15,'General Inputs'!E$19)</f>
        <v>0</v>
      </c>
      <c r="CT38" s="214">
        <f>IF(AND(($E38+$C$1)&gt;CT$4,CT$4&gt;=$C$1),$H38,IF(AND(($D38+$C$1)&gt;CT$4,CT$4&gt;=$C$1),$G38,0))*IF($A38="Residential",'General Inputs'!F$15,'General Inputs'!F$19)</f>
        <v>0</v>
      </c>
      <c r="CU38" s="214">
        <f>IF(AND(($E38+$C$1)&gt;CU$4,CU$4&gt;=$C$1),$H38,IF(AND(($D38+$C$1)&gt;CU$4,CU$4&gt;=$C$1),$G38,0))*IF($A38="Residential",'General Inputs'!G$15,'General Inputs'!G$19)</f>
        <v>0</v>
      </c>
      <c r="CV38" s="214">
        <f>IF(AND(($E38+$C$1)&gt;CV$4,CV$4&gt;=$C$1),$H38,IF(AND(($D38+$C$1)&gt;CV$4,CV$4&gt;=$C$1),$G38,0))*IF($A38="Residential",'General Inputs'!H$15,'General Inputs'!H$19)</f>
        <v>0</v>
      </c>
      <c r="CW38" s="214">
        <f>IF(AND(($E38+$C$1)&gt;CW$4,CW$4&gt;=$C$1),$H38,IF(AND(($D38+$C$1)&gt;CW$4,CW$4&gt;=$C$1),$G38,0))*IF($A38="Residential",'General Inputs'!I$15,'General Inputs'!I$19)</f>
        <v>0</v>
      </c>
      <c r="CX38" s="214">
        <f>IF(AND(($E38+$C$1)&gt;CX$4,CX$4&gt;=$C$1),$H38,IF(AND(($D38+$C$1)&gt;CX$4,CX$4&gt;=$C$1),$G38,0))*IF($A38="Residential",'General Inputs'!J$15,'General Inputs'!J$19)</f>
        <v>0</v>
      </c>
      <c r="CY38" s="214">
        <f>IF(AND(($E38+$C$1)&gt;CY$4,CY$4&gt;=$C$1),$H38,IF(AND(($D38+$C$1)&gt;CY$4,CY$4&gt;=$C$1),$G38,0))*IF($A38="Residential",'General Inputs'!K$15,'General Inputs'!K$19)</f>
        <v>0</v>
      </c>
      <c r="CZ38" s="214">
        <f>IF(AND(($E38+$C$1)&gt;CZ$4,CZ$4&gt;=$C$1),$H38,IF(AND(($D38+$C$1)&gt;CZ$4,CZ$4&gt;=$C$1),$G38,0))*IF($A38="Residential",'General Inputs'!L$15,'General Inputs'!L$19)</f>
        <v>0</v>
      </c>
      <c r="DA38" s="214">
        <f>IF(AND(($E38+$C$1)&gt;DA$4,DA$4&gt;=$C$1),$H38,IF(AND(($D38+$C$1)&gt;DA$4,DA$4&gt;=$C$1),$G38,0))*IF($A38="Residential",'General Inputs'!M$15,'General Inputs'!M$19)</f>
        <v>0</v>
      </c>
      <c r="DB38" s="214">
        <f>IF(AND(($E38+$C$1)&gt;DB$4,DB$4&gt;=$C$1),$H38,IF(AND(($D38+$C$1)&gt;DB$4,DB$4&gt;=$C$1),$G38,0))*IF($A38="Residential",'General Inputs'!N$15,'General Inputs'!N$19)</f>
        <v>0</v>
      </c>
      <c r="DC38" s="214">
        <f>IF(AND(($E38+$C$1)&gt;DC$4,DC$4&gt;=$C$1),$H38,IF(AND(($D38+$C$1)&gt;DC$4,DC$4&gt;=$C$1),$G38,0))*IF($A38="Residential",'General Inputs'!O$15,'General Inputs'!O$19)</f>
        <v>0</v>
      </c>
      <c r="DD38" s="214">
        <f>IF(AND(($E38+$C$1)&gt;DD$4,DD$4&gt;=$C$1),$H38,IF(AND(($D38+$C$1)&gt;DD$4,DD$4&gt;=$C$1),$G38,0))*IF($A38="Residential",'General Inputs'!P$15,'General Inputs'!P$19)</f>
        <v>0</v>
      </c>
      <c r="DE38" s="214">
        <f>IF(AND(($E38+$C$1)&gt;DE$4,DE$4&gt;=$C$1),$H38,IF(AND(($D38+$C$1)&gt;DE$4,DE$4&gt;=$C$1),$G38,0))*IF($A38="Residential",'General Inputs'!Q$15,'General Inputs'!Q$19)</f>
        <v>0</v>
      </c>
      <c r="DF38" s="214">
        <f>IF(AND(($E38+$C$1)&gt;DF$4,DF$4&gt;=$C$1),$H38,IF(AND(($D38+$C$1)&gt;DF$4,DF$4&gt;=$C$1),$G38,0))*IF($A38="Residential",'General Inputs'!R$15,'General Inputs'!R$19)</f>
        <v>0</v>
      </c>
      <c r="DG38" s="214">
        <f>IF(AND(($E38+$C$1)&gt;DG$4,DG$4&gt;=$C$1),$H38,IF(AND(($D38+$C$1)&gt;DG$4,DG$4&gt;=$C$1),$G38,0))*IF($A38="Residential",'General Inputs'!S$15,'General Inputs'!S$19)</f>
        <v>0</v>
      </c>
      <c r="DH38" s="214">
        <f>IF(AND(($E38+$C$1)&gt;DH$4,DH$4&gt;=$C$1),$H38,IF(AND(($D38+$C$1)&gt;DH$4,DH$4&gt;=$C$1),$G38,0))*IF($A38="Residential",'General Inputs'!T$15,'General Inputs'!T$19)</f>
        <v>0</v>
      </c>
      <c r="DI38" s="214">
        <f>IF(AND(($E38+$C$1)&gt;DI$4,DI$4&gt;=$C$1),$H38,IF(AND(($D38+$C$1)&gt;DI$4,DI$4&gt;=$C$1),$G38,0))*IF($A38="Residential",'General Inputs'!U$15,'General Inputs'!U$19)</f>
        <v>0</v>
      </c>
      <c r="DJ38" s="214">
        <f>IF(AND(($E38+$C$1)&gt;DJ$4,DJ$4&gt;=$C$1),$H38,IF(AND(($D38+$C$1)&gt;DJ$4,DJ$4&gt;=$C$1),$G38,0))*IF($A38="Residential",'General Inputs'!V$15,'General Inputs'!V$19)</f>
        <v>0</v>
      </c>
      <c r="DK38" s="214">
        <f>IF(AND(($E38+$C$1)&gt;DK$4,DK$4&gt;=$C$1),$H38,IF(AND(($D38+$C$1)&gt;DK$4,DK$4&gt;=$C$1),$G38,0))*IF($A38="Residential",'General Inputs'!W$15,'General Inputs'!W$19)</f>
        <v>0</v>
      </c>
      <c r="DM38" s="214">
        <f t="shared" si="299"/>
        <v>0</v>
      </c>
      <c r="DN38" s="214">
        <f t="shared" si="299"/>
        <v>0</v>
      </c>
      <c r="DO38" s="214">
        <f t="shared" si="299"/>
        <v>0</v>
      </c>
      <c r="DP38" s="214">
        <f t="shared" si="299"/>
        <v>0</v>
      </c>
      <c r="DQ38" s="214">
        <f t="shared" si="299"/>
        <v>0</v>
      </c>
      <c r="DR38" s="214">
        <f t="shared" si="299"/>
        <v>0</v>
      </c>
      <c r="DS38" s="214">
        <f t="shared" si="299"/>
        <v>0</v>
      </c>
      <c r="DT38" s="214">
        <f t="shared" si="299"/>
        <v>0</v>
      </c>
      <c r="DU38" s="214">
        <f t="shared" si="299"/>
        <v>0</v>
      </c>
      <c r="DV38" s="214">
        <f t="shared" si="299"/>
        <v>0</v>
      </c>
      <c r="DW38" s="214">
        <f t="shared" si="299"/>
        <v>0</v>
      </c>
      <c r="DZ38" s="650"/>
      <c r="FI38" s="195"/>
      <c r="FJ38" s="195"/>
      <c r="FK38" s="195"/>
      <c r="FL38" s="195"/>
      <c r="FM38" s="195"/>
      <c r="FN38" s="195"/>
      <c r="FO38" s="195"/>
    </row>
    <row r="39" spans="1:171">
      <c r="A39" s="342" t="s">
        <v>12</v>
      </c>
      <c r="B39" s="427" t="str">
        <f>'Portfolio Inputs'!A38</f>
        <v>Hot Water Pipe Insulation</v>
      </c>
      <c r="C39" s="217">
        <f>IF($C$1=2014,'Portfolio Inputs'!$C38,IF($C$1=2015,'Portfolio Inputs'!$D38,'Portfolio Inputs'!$E38))</f>
        <v>0</v>
      </c>
      <c r="D39" s="504">
        <f>VLOOKUP(B39,Sources!$B$4:$J$104,2,FALSE)</f>
        <v>15</v>
      </c>
      <c r="E39" s="504">
        <f>VLOOKUP(B39,Sources!$B$4:$J$104,3,FALSE)</f>
        <v>0</v>
      </c>
      <c r="G39" s="504">
        <f>IF($C$1=2014,'Portfolio Inputs'!$G38,IF($C$1=2015,'Portfolio Inputs'!$H38,'Portfolio Inputs'!$I38))*EnergyLineLoss</f>
        <v>0</v>
      </c>
      <c r="H39" s="504"/>
      <c r="I39" s="595">
        <f>IF($C$1=2014,'Portfolio Inputs'!$K38,IF($C$1=2015,'Portfolio Inputs'!$L38,'Portfolio Inputs'!$M38))*PeakLineLoss</f>
        <v>0</v>
      </c>
      <c r="J39" s="510"/>
      <c r="L39" s="606">
        <f>IF($C$1=2014,'Portfolio Inputs'!$O38,IF($C$1=2015,'Portfolio Inputs'!$P38,'Portfolio Inputs'!$Q38))</f>
        <v>0</v>
      </c>
      <c r="M39" s="518">
        <f>VLOOKUP($B39,Sources!$B$4:$K$104,10,FALSE)</f>
        <v>0</v>
      </c>
      <c r="N39" s="419">
        <f>IF($C$1=2014,'Portfolio Inputs'!$W38,IF($C$1=2015,'Portfolio Inputs'!$X38,'Portfolio Inputs'!$Y38))</f>
        <v>0</v>
      </c>
      <c r="O39" s="419"/>
      <c r="Q39" s="438" t="str">
        <f t="shared" si="290"/>
        <v>n/a</v>
      </c>
      <c r="R39" s="439" t="str">
        <f t="shared" si="291"/>
        <v>n/a</v>
      </c>
      <c r="S39" s="439" t="str">
        <f t="shared" si="292"/>
        <v>n/a</v>
      </c>
      <c r="T39" s="439" t="str">
        <f t="shared" si="293"/>
        <v>n/a</v>
      </c>
      <c r="U39" s="439" t="str">
        <f t="shared" si="298"/>
        <v>n/a</v>
      </c>
      <c r="V39" s="439" t="str">
        <f t="shared" si="294"/>
        <v>n/a</v>
      </c>
      <c r="W39" s="439" t="str">
        <f t="shared" si="295"/>
        <v>n/a</v>
      </c>
      <c r="Y39" s="215">
        <f t="shared" si="29"/>
        <v>0</v>
      </c>
      <c r="Z39" s="215">
        <f t="shared" si="30"/>
        <v>0</v>
      </c>
      <c r="AA39" s="215">
        <f t="shared" si="31"/>
        <v>0</v>
      </c>
      <c r="AB39" s="215">
        <f t="shared" si="32"/>
        <v>0</v>
      </c>
      <c r="AC39" s="216">
        <f t="shared" si="33"/>
        <v>0</v>
      </c>
      <c r="AD39" s="216">
        <f t="shared" si="34"/>
        <v>0</v>
      </c>
      <c r="AE39" s="215">
        <f t="shared" si="35"/>
        <v>0</v>
      </c>
      <c r="AG39" s="214">
        <f>IF(AND(($E39+$C$1)&gt;AG$4,AG$4&gt;=$C$1),'General Inputs'!D$9*$H39,IF(AND(($D39+$C$1)&gt;AG$4,AG$4&gt;=$C$1),'General Inputs'!D$9*$G39,0))+IF(AND(($E39+$C$1)&gt;AG$4,AG$4&gt;=$C$1),'General Inputs'!D$10*$J39,IF(AND(($D39+$C$1)&gt;AG$4,AG$4&gt;=$C$1),'General Inputs'!D$10*$I39,0))</f>
        <v>0</v>
      </c>
      <c r="AH39" s="214">
        <f>IF(AND(($E39+$C$1)&gt;AH$4,AH$4&gt;=$C$1),'General Inputs'!E$9*$H39,IF(AND(($D39+$C$1)&gt;AH$4,AH$4&gt;=$C$1),'General Inputs'!E$9*$G39,0))+IF(AND(($E39+$C$1)&gt;AH$4,AH$4&gt;=$C$1),'General Inputs'!E$10*$J39,IF(AND(($D39+$C$1)&gt;AH$4,AH$4&gt;=$C$1),'General Inputs'!E$10*$I39,0))</f>
        <v>0</v>
      </c>
      <c r="AI39" s="214">
        <f>IF(AND(($E39+$C$1)&gt;AI$4,AI$4&gt;=$C$1),'General Inputs'!F$9*$H39,IF(AND(($D39+$C$1)&gt;AI$4,AI$4&gt;=$C$1),'General Inputs'!F$9*$G39,0))+IF(AND(($E39+$C$1)&gt;AI$4,AI$4&gt;=$C$1),'General Inputs'!F$10*$J39,IF(AND(($D39+$C$1)&gt;AI$4,AI$4&gt;=$C$1),'General Inputs'!F$10*$I39,0))</f>
        <v>0</v>
      </c>
      <c r="AJ39" s="214">
        <f>IF(AND(($E39+$C$1)&gt;AJ$4,AJ$4&gt;=$C$1),'General Inputs'!G$9*$H39,IF(AND(($D39+$C$1)&gt;AJ$4,AJ$4&gt;=$C$1),'General Inputs'!G$9*$G39,0))+IF(AND(($E39+$C$1)&gt;AJ$4,AJ$4&gt;=$C$1),'General Inputs'!G$10*$J39,IF(AND(($D39+$C$1)&gt;AJ$4,AJ$4&gt;=$C$1),'General Inputs'!G$10*$I39,0))</f>
        <v>0</v>
      </c>
      <c r="AK39" s="214">
        <f>IF(AND(($E39+$C$1)&gt;AK$4,AK$4&gt;=$C$1),'General Inputs'!H$9*$H39,IF(AND(($D39+$C$1)&gt;AK$4,AK$4&gt;=$C$1),'General Inputs'!H$9*$G39,0))+IF(AND(($E39+$C$1)&gt;AK$4,AK$4&gt;=$C$1),'General Inputs'!H$10*$J39,IF(AND(($D39+$C$1)&gt;AK$4,AK$4&gt;=$C$1),'General Inputs'!H$10*$I39,0))</f>
        <v>0</v>
      </c>
      <c r="AL39" s="214">
        <f>IF(AND(($E39+$C$1)&gt;AL$4,AL$4&gt;=$C$1),'General Inputs'!I$9*$H39,IF(AND(($D39+$C$1)&gt;AL$4,AL$4&gt;=$C$1),'General Inputs'!I$9*$G39,0))+IF(AND(($E39+$C$1)&gt;AL$4,AL$4&gt;=$C$1),'General Inputs'!I$10*$J39,IF(AND(($D39+$C$1)&gt;AL$4,AL$4&gt;=$C$1),'General Inputs'!I$10*$I39,0))</f>
        <v>0</v>
      </c>
      <c r="AM39" s="214">
        <f>IF(AND(($E39+$C$1)&gt;AM$4,AM$4&gt;=$C$1),'General Inputs'!J$9*$H39,IF(AND(($D39+$C$1)&gt;AM$4,AM$4&gt;=$C$1),'General Inputs'!J$9*$G39,0))+IF(AND(($E39+$C$1)&gt;AM$4,AM$4&gt;=$C$1),'General Inputs'!J$10*$J39,IF(AND(($D39+$C$1)&gt;AM$4,AM$4&gt;=$C$1),'General Inputs'!J$10*$I39,0))</f>
        <v>0</v>
      </c>
      <c r="AN39" s="214">
        <f>IF(AND(($E39+$C$1)&gt;AN$4,AN$4&gt;=$C$1),'General Inputs'!K$9*$H39,IF(AND(($D39+$C$1)&gt;AN$4,AN$4&gt;=$C$1),'General Inputs'!K$9*$G39,0))+IF(AND(($E39+$C$1)&gt;AN$4,AN$4&gt;=$C$1),'General Inputs'!K$10*$J39,IF(AND(($D39+$C$1)&gt;AN$4,AN$4&gt;=$C$1),'General Inputs'!K$10*$I39,0))</f>
        <v>0</v>
      </c>
      <c r="AO39" s="214">
        <f>IF(AND(($E39+$C$1)&gt;AO$4,AO$4&gt;=$C$1),'General Inputs'!L$9*$H39,IF(AND(($D39+$C$1)&gt;AO$4,AO$4&gt;=$C$1),'General Inputs'!L$9*$G39,0))+IF(AND(($E39+$C$1)&gt;AO$4,AO$4&gt;=$C$1),'General Inputs'!L$10*$J39,IF(AND(($D39+$C$1)&gt;AO$4,AO$4&gt;=$C$1),'General Inputs'!L$10*$I39,0))</f>
        <v>0</v>
      </c>
      <c r="AP39" s="214">
        <f>IF(AND(($E39+$C$1)&gt;AP$4,AP$4&gt;=$C$1),'General Inputs'!M$9*$H39,IF(AND(($D39+$C$1)&gt;AP$4,AP$4&gt;=$C$1),'General Inputs'!M$9*$G39,0))+IF(AND(($E39+$C$1)&gt;AP$4,AP$4&gt;=$C$1),'General Inputs'!M$10*$J39,IF(AND(($D39+$C$1)&gt;AP$4,AP$4&gt;=$C$1),'General Inputs'!M$10*$I39,0))</f>
        <v>0</v>
      </c>
      <c r="AQ39" s="214">
        <f>IF(AND(($E39+$C$1)&gt;AQ$4,AQ$4&gt;=$C$1),'General Inputs'!N$9*$H39,IF(AND(($D39+$C$1)&gt;AQ$4,AQ$4&gt;=$C$1),'General Inputs'!N$9*$G39,0))+IF(AND(($E39+$C$1)&gt;AQ$4,AQ$4&gt;=$C$1),'General Inputs'!N$10*$J39,IF(AND(($D39+$C$1)&gt;AQ$4,AQ$4&gt;=$C$1),'General Inputs'!N$10*$I39,0))</f>
        <v>0</v>
      </c>
      <c r="AR39" s="214">
        <f>IF(AND(($E39+$C$1)&gt;AR$4,AR$4&gt;=$C$1),'General Inputs'!O$9*$H39,IF(AND(($D39+$C$1)&gt;AR$4,AR$4&gt;=$C$1),'General Inputs'!O$9*$G39,0))+IF(AND(($E39+$C$1)&gt;AR$4,AR$4&gt;=$C$1),'General Inputs'!O$10*$J39,IF(AND(($D39+$C$1)&gt;AR$4,AR$4&gt;=$C$1),'General Inputs'!O$10*$I39,0))</f>
        <v>0</v>
      </c>
      <c r="AS39" s="214">
        <f>IF(AND(($E39+$C$1)&gt;AS$4,AS$4&gt;=$C$1),'General Inputs'!P$9*$H39,IF(AND(($D39+$C$1)&gt;AS$4,AS$4&gt;=$C$1),'General Inputs'!P$9*$G39,0))+IF(AND(($E39+$C$1)&gt;AS$4,AS$4&gt;=$C$1),'General Inputs'!P$10*$J39,IF(AND(($D39+$C$1)&gt;AS$4,AS$4&gt;=$C$1),'General Inputs'!P$10*$I39,0))</f>
        <v>0</v>
      </c>
      <c r="AT39" s="214">
        <f>IF(AND(($E39+$C$1)&gt;AT$4,AT$4&gt;=$C$1),'General Inputs'!Q$9*$H39,IF(AND(($D39+$C$1)&gt;AT$4,AT$4&gt;=$C$1),'General Inputs'!Q$9*$G39,0))+IF(AND(($E39+$C$1)&gt;AT$4,AT$4&gt;=$C$1),'General Inputs'!Q$10*$J39,IF(AND(($D39+$C$1)&gt;AT$4,AT$4&gt;=$C$1),'General Inputs'!Q$10*$I39,0))</f>
        <v>0</v>
      </c>
      <c r="AU39" s="214">
        <f>IF(AND(($E39+$C$1)&gt;AU$4,AU$4&gt;=$C$1),'General Inputs'!R$9*$H39,IF(AND(($D39+$C$1)&gt;AU$4,AU$4&gt;=$C$1),'General Inputs'!R$9*$G39,0))+IF(AND(($E39+$C$1)&gt;AU$4,AU$4&gt;=$C$1),'General Inputs'!R$10*$J39,IF(AND(($D39+$C$1)&gt;AU$4,AU$4&gt;=$C$1),'General Inputs'!R$10*$I39,0))</f>
        <v>0</v>
      </c>
      <c r="AV39" s="214">
        <f>IF(AND(($E39+$C$1)&gt;AV$4,AV$4&gt;=$C$1),'General Inputs'!S$9*$H39,IF(AND(($D39+$C$1)&gt;AV$4,AV$4&gt;=$C$1),'General Inputs'!S$9*$G39,0))+IF(AND(($E39+$C$1)&gt;AV$4,AV$4&gt;=$C$1),'General Inputs'!S$10*$J39,IF(AND(($D39+$C$1)&gt;AV$4,AV$4&gt;=$C$1),'General Inputs'!S$10*$I39,0))</f>
        <v>0</v>
      </c>
      <c r="AW39" s="214">
        <f>IF(AND(($E39+$C$1)&gt;AW$4,AW$4&gt;=$C$1),'General Inputs'!T$9*$H39,IF(AND(($D39+$C$1)&gt;AW$4,AW$4&gt;=$C$1),'General Inputs'!T$9*$G39,0))+IF(AND(($E39+$C$1)&gt;AW$4,AW$4&gt;=$C$1),'General Inputs'!T$10*$J39,IF(AND(($D39+$C$1)&gt;AW$4,AW$4&gt;=$C$1),'General Inputs'!T$10*$I39,0))</f>
        <v>0</v>
      </c>
      <c r="AX39" s="214">
        <f>IF(AND(($E39+$C$1)&gt;AX$4,AX$4&gt;=$C$1),'General Inputs'!U$9*$H39,IF(AND(($D39+$C$1)&gt;AX$4,AX$4&gt;=$C$1),'General Inputs'!U$9*$G39,0))+IF(AND(($E39+$C$1)&gt;AX$4,AX$4&gt;=$C$1),'General Inputs'!U$10*$J39,IF(AND(($D39+$C$1)&gt;AX$4,AX$4&gt;=$C$1),'General Inputs'!U$10*$I39,0))</f>
        <v>0</v>
      </c>
      <c r="AY39" s="214">
        <f>IF(AND(($E39+$C$1)&gt;AY$4,AY$4&gt;=$C$1),'General Inputs'!V$9*$H39,IF(AND(($D39+$C$1)&gt;AY$4,AY$4&gt;=$C$1),'General Inputs'!V$9*$G39,0))+IF(AND(($E39+$C$1)&gt;AY$4,AY$4&gt;=$C$1),'General Inputs'!V$10*$J39,IF(AND(($D39+$C$1)&gt;AY$4,AY$4&gt;=$C$1),'General Inputs'!V$10*$I39,0))</f>
        <v>0</v>
      </c>
      <c r="AZ39" s="214">
        <f>IF(AND(($E39+$C$1)&gt;AZ$4,AZ$4&gt;=$C$1),'General Inputs'!W$9*$H39,IF(AND(($D39+$C$1)&gt;AZ$4,AZ$4&gt;=$C$1),'General Inputs'!W$9*$G39,0))+IF(AND(($E39+$C$1)&gt;AZ$4,AZ$4&gt;=$C$1),'General Inputs'!W$10*$J39,IF(AND(($D39+$C$1)&gt;AZ$4,AZ$4&gt;=$C$1),'General Inputs'!W$10*$I39,0))</f>
        <v>0</v>
      </c>
      <c r="BB39" s="214">
        <f>IF(AND(($E39+$C$1)&gt;BB$4,BB$4&gt;=$C$1),'General Inputs'!D$11*$H39,IF(AND(($D39+$C$1)&gt;BB$4,BB$4&gt;=$C$1),'General Inputs'!D$11*$G39,0))</f>
        <v>0</v>
      </c>
      <c r="BC39" s="214">
        <f>IF(AND(($E39+$C$1)&gt;BC$4,BC$4&gt;=$C$1),'General Inputs'!E$11*$H39,IF(AND(($D39+$C$1)&gt;BC$4,BC$4&gt;=$C$1),'General Inputs'!E$11*$G39,0))</f>
        <v>0</v>
      </c>
      <c r="BD39" s="214">
        <f>IF(AND(($E39+$C$1)&gt;BD$4,BD$4&gt;=$C$1),'General Inputs'!F$11*$H39,IF(AND(($D39+$C$1)&gt;BD$4,BD$4&gt;=$C$1),'General Inputs'!F$11*$G39,0))</f>
        <v>0</v>
      </c>
      <c r="BE39" s="214">
        <f>IF(AND(($E39+$C$1)&gt;BE$4,BE$4&gt;=$C$1),'General Inputs'!G$11*$H39,IF(AND(($D39+$C$1)&gt;BE$4,BE$4&gt;=$C$1),'General Inputs'!G$11*$G39,0))</f>
        <v>0</v>
      </c>
      <c r="BF39" s="214">
        <f>IF(AND(($E39+$C$1)&gt;BF$4,BF$4&gt;=$C$1),'General Inputs'!H$11*$H39,IF(AND(($D39+$C$1)&gt;BF$4,BF$4&gt;=$C$1),'General Inputs'!H$11*$G39,0))</f>
        <v>0</v>
      </c>
      <c r="BG39" s="214">
        <f>IF(AND(($E39+$C$1)&gt;BG$4,BG$4&gt;=$C$1),'General Inputs'!I$11*$H39,IF(AND(($D39+$C$1)&gt;BG$4,BG$4&gt;=$C$1),'General Inputs'!I$11*$G39,0))</f>
        <v>0</v>
      </c>
      <c r="BH39" s="214">
        <f>IF(AND(($E39+$C$1)&gt;BH$4,BH$4&gt;=$C$1),'General Inputs'!J$11*$H39,IF(AND(($D39+$C$1)&gt;BH$4,BH$4&gt;=$C$1),'General Inputs'!J$11*$G39,0))</f>
        <v>0</v>
      </c>
      <c r="BI39" s="214">
        <f>IF(AND(($E39+$C$1)&gt;BI$4,BI$4&gt;=$C$1),'General Inputs'!K$11*$H39,IF(AND(($D39+$C$1)&gt;BI$4,BI$4&gt;=$C$1),'General Inputs'!K$11*$G39,0))</f>
        <v>0</v>
      </c>
      <c r="BJ39" s="214">
        <f>IF(AND(($E39+$C$1)&gt;BJ$4,BJ$4&gt;=$C$1),'General Inputs'!L$11*$H39,IF(AND(($D39+$C$1)&gt;BJ$4,BJ$4&gt;=$C$1),'General Inputs'!L$11*$G39,0))</f>
        <v>0</v>
      </c>
      <c r="BK39" s="214">
        <f>IF(AND(($E39+$C$1)&gt;BK$4,BK$4&gt;=$C$1),'General Inputs'!M$11*$H39,IF(AND(($D39+$C$1)&gt;BK$4,BK$4&gt;=$C$1),'General Inputs'!M$11*$G39,0))</f>
        <v>0</v>
      </c>
      <c r="BL39" s="214">
        <f>IF(AND(($E39+$C$1)&gt;BL$4,BL$4&gt;=$C$1),'General Inputs'!N$11*$H39,IF(AND(($D39+$C$1)&gt;BL$4,BL$4&gt;=$C$1),'General Inputs'!N$11*$G39,0))</f>
        <v>0</v>
      </c>
      <c r="BM39" s="214">
        <f>IF(AND(($E39+$C$1)&gt;BM$4,BM$4&gt;=$C$1),'General Inputs'!O$11*$H39,IF(AND(($D39+$C$1)&gt;BM$4,BM$4&gt;=$C$1),'General Inputs'!O$11*$G39,0))</f>
        <v>0</v>
      </c>
      <c r="BN39" s="214">
        <f>IF(AND(($E39+$C$1)&gt;BN$4,BN$4&gt;=$C$1),'General Inputs'!P$11*$H39,IF(AND(($D39+$C$1)&gt;BN$4,BN$4&gt;=$C$1),'General Inputs'!P$11*$G39,0))</f>
        <v>0</v>
      </c>
      <c r="BO39" s="214">
        <f>IF(AND(($E39+$C$1)&gt;BO$4,BO$4&gt;=$C$1),'General Inputs'!Q$11*$H39,IF(AND(($D39+$C$1)&gt;BO$4,BO$4&gt;=$C$1),'General Inputs'!Q$11*$G39,0))</f>
        <v>0</v>
      </c>
      <c r="BP39" s="214">
        <f>IF(AND(($E39+$C$1)&gt;BP$4,BP$4&gt;=$C$1),'General Inputs'!R$11*$H39,IF(AND(($D39+$C$1)&gt;BP$4,BP$4&gt;=$C$1),'General Inputs'!R$11*$G39,0))</f>
        <v>0</v>
      </c>
      <c r="BQ39" s="214">
        <f>IF(AND(($E39+$C$1)&gt;BQ$4,BQ$4&gt;=$C$1),'General Inputs'!S$11*$H39,IF(AND(($D39+$C$1)&gt;BQ$4,BQ$4&gt;=$C$1),'General Inputs'!S$11*$G39,0))</f>
        <v>0</v>
      </c>
      <c r="BR39" s="214">
        <f>IF(AND(($E39+$C$1)&gt;BR$4,BR$4&gt;=$C$1),'General Inputs'!T$11*$H39,IF(AND(($D39+$C$1)&gt;BR$4,BR$4&gt;=$C$1),'General Inputs'!T$11*$G39,0))</f>
        <v>0</v>
      </c>
      <c r="BS39" s="214">
        <f>IF(AND(($E39+$C$1)&gt;BS$4,BS$4&gt;=$C$1),'General Inputs'!U$11*$H39,IF(AND(($D39+$C$1)&gt;BS$4,BS$4&gt;=$C$1),'General Inputs'!U$11*$G39,0))</f>
        <v>0</v>
      </c>
      <c r="BT39" s="214">
        <f>IF(AND(($E39+$C$1)&gt;BT$4,BT$4&gt;=$C$1),'General Inputs'!V$11*$H39,IF(AND(($D39+$C$1)&gt;BT$4,BT$4&gt;=$C$1),'General Inputs'!V$11*$G39,0))</f>
        <v>0</v>
      </c>
      <c r="BU39" s="214">
        <f>IF(AND(($E39+$C$1)&gt;BU$4,BU$4&gt;=$C$1),'General Inputs'!W$11*$H39,IF(AND(($D39+$C$1)&gt;BU$4,BU$4&gt;=$C$1),'General Inputs'!W$11*$G39,0))</f>
        <v>0</v>
      </c>
      <c r="BW39" s="214">
        <f>IF(AND(($E39+$C$1)&gt;BW$4,BW$4&gt;=$C$1),$H39,IF(AND(($D39+$C$1)&gt;BW$4,BW$4&gt;=$C$1),$G39,0))*IF($A39="Residential",'General Inputs'!D$14,'General Inputs'!D$19)</f>
        <v>0</v>
      </c>
      <c r="BX39" s="214">
        <f>IF(AND(($E39+$C$1)&gt;BX$4,BX$4&gt;=$C$1),$H39,IF(AND(($D39+$C$1)&gt;BX$4,BX$4&gt;=$C$1),$G39,0))*IF($A39="Residential",'General Inputs'!E$14,'General Inputs'!E$19)</f>
        <v>0</v>
      </c>
      <c r="BY39" s="214">
        <f>IF(AND(($E39+$C$1)&gt;BY$4,BY$4&gt;=$C$1),$H39,IF(AND(($D39+$C$1)&gt;BY$4,BY$4&gt;=$C$1),$G39,0))*IF($A39="Residential",'General Inputs'!F$14,'General Inputs'!F$19)</f>
        <v>0</v>
      </c>
      <c r="BZ39" s="214">
        <f>IF(AND(($E39+$C$1)&gt;BZ$4,BZ$4&gt;=$C$1),$H39,IF(AND(($D39+$C$1)&gt;BZ$4,BZ$4&gt;=$C$1),$G39,0))*IF($A39="Residential",'General Inputs'!G$14,'General Inputs'!G$19)</f>
        <v>0</v>
      </c>
      <c r="CA39" s="214">
        <f>IF(AND(($E39+$C$1)&gt;CA$4,CA$4&gt;=$C$1),$H39,IF(AND(($D39+$C$1)&gt;CA$4,CA$4&gt;=$C$1),$G39,0))*IF($A39="Residential",'General Inputs'!H$14,'General Inputs'!H$19)</f>
        <v>0</v>
      </c>
      <c r="CB39" s="214">
        <f>IF(AND(($E39+$C$1)&gt;CB$4,CB$4&gt;=$C$1),$H39,IF(AND(($D39+$C$1)&gt;CB$4,CB$4&gt;=$C$1),$G39,0))*IF($A39="Residential",'General Inputs'!I$14,'General Inputs'!I$19)</f>
        <v>0</v>
      </c>
      <c r="CC39" s="214">
        <f>IF(AND(($E39+$C$1)&gt;CC$4,CC$4&gt;=$C$1),$H39,IF(AND(($D39+$C$1)&gt;CC$4,CC$4&gt;=$C$1),$G39,0))*IF($A39="Residential",'General Inputs'!J$14,'General Inputs'!J$19)</f>
        <v>0</v>
      </c>
      <c r="CD39" s="214">
        <f>IF(AND(($E39+$C$1)&gt;CD$4,CD$4&gt;=$C$1),$H39,IF(AND(($D39+$C$1)&gt;CD$4,CD$4&gt;=$C$1),$G39,0))*IF($A39="Residential",'General Inputs'!K$14,'General Inputs'!K$19)</f>
        <v>0</v>
      </c>
      <c r="CE39" s="214">
        <f>IF(AND(($E39+$C$1)&gt;CE$4,CE$4&gt;=$C$1),$H39,IF(AND(($D39+$C$1)&gt;CE$4,CE$4&gt;=$C$1),$G39,0))*IF($A39="Residential",'General Inputs'!L$14,'General Inputs'!L$19)</f>
        <v>0</v>
      </c>
      <c r="CF39" s="214">
        <f>IF(AND(($E39+$C$1)&gt;CF$4,CF$4&gt;=$C$1),$H39,IF(AND(($D39+$C$1)&gt;CF$4,CF$4&gt;=$C$1),$G39,0))*IF($A39="Residential",'General Inputs'!M$14,'General Inputs'!M$19)</f>
        <v>0</v>
      </c>
      <c r="CG39" s="214">
        <f>IF(AND(($E39+$C$1)&gt;CG$4,CG$4&gt;=$C$1),$H39,IF(AND(($D39+$C$1)&gt;CG$4,CG$4&gt;=$C$1),$G39,0))*IF($A39="Residential",'General Inputs'!N$14,'General Inputs'!N$19)</f>
        <v>0</v>
      </c>
      <c r="CH39" s="214">
        <f>IF(AND(($E39+$C$1)&gt;CH$4,CH$4&gt;=$C$1),$H39,IF(AND(($D39+$C$1)&gt;CH$4,CH$4&gt;=$C$1),$G39,0))*IF($A39="Residential",'General Inputs'!O$14,'General Inputs'!O$19)</f>
        <v>0</v>
      </c>
      <c r="CI39" s="214">
        <f>IF(AND(($E39+$C$1)&gt;CI$4,CI$4&gt;=$C$1),$H39,IF(AND(($D39+$C$1)&gt;CI$4,CI$4&gt;=$C$1),$G39,0))*IF($A39="Residential",'General Inputs'!P$14,'General Inputs'!P$19)</f>
        <v>0</v>
      </c>
      <c r="CJ39" s="214">
        <f>IF(AND(($E39+$C$1)&gt;CJ$4,CJ$4&gt;=$C$1),$H39,IF(AND(($D39+$C$1)&gt;CJ$4,CJ$4&gt;=$C$1),$G39,0))*IF($A39="Residential",'General Inputs'!Q$14,'General Inputs'!Q$19)</f>
        <v>0</v>
      </c>
      <c r="CK39" s="214">
        <f>IF(AND(($E39+$C$1)&gt;CK$4,CK$4&gt;=$C$1),$H39,IF(AND(($D39+$C$1)&gt;CK$4,CK$4&gt;=$C$1),$G39,0))*IF($A39="Residential",'General Inputs'!R$14,'General Inputs'!R$19)</f>
        <v>0</v>
      </c>
      <c r="CL39" s="214">
        <f>IF(AND(($E39+$C$1)&gt;CL$4,CL$4&gt;=$C$1),$H39,IF(AND(($D39+$C$1)&gt;CL$4,CL$4&gt;=$C$1),$G39,0))*IF($A39="Residential",'General Inputs'!S$14,'General Inputs'!S$19)</f>
        <v>0</v>
      </c>
      <c r="CM39" s="214">
        <f>IF(AND(($E39+$C$1)&gt;CM$4,CM$4&gt;=$C$1),$H39,IF(AND(($D39+$C$1)&gt;CM$4,CM$4&gt;=$C$1),$G39,0))*IF($A39="Residential",'General Inputs'!T$14,'General Inputs'!T$19)</f>
        <v>0</v>
      </c>
      <c r="CN39" s="214">
        <f>IF(AND(($E39+$C$1)&gt;CN$4,CN$4&gt;=$C$1),$H39,IF(AND(($D39+$C$1)&gt;CN$4,CN$4&gt;=$C$1),$G39,0))*IF($A39="Residential",'General Inputs'!U$14,'General Inputs'!U$19)</f>
        <v>0</v>
      </c>
      <c r="CO39" s="214">
        <f>IF(AND(($E39+$C$1)&gt;CO$4,CO$4&gt;=$C$1),$H39,IF(AND(($D39+$C$1)&gt;CO$4,CO$4&gt;=$C$1),$G39,0))*IF($A39="Residential",'General Inputs'!V$14,'General Inputs'!V$19)</f>
        <v>0</v>
      </c>
      <c r="CP39" s="214">
        <f>IF(AND(($E39+$C$1)&gt;CP$4,CP$4&gt;=$C$1),$H39,IF(AND(($D39+$C$1)&gt;CP$4,CP$4&gt;=$C$1),$G39,0))*IF($A39="Residential",'General Inputs'!W$14,'General Inputs'!W$19)</f>
        <v>0</v>
      </c>
      <c r="CR39" s="214">
        <f>IF(AND(($E39+$C$1)&gt;CR$4,CR$4&gt;=$C$1),$H39,IF(AND(($D39+$C$1)&gt;CR$4,CR$4&gt;=$C$1),$G39,0))*IF($A39="Residential",'General Inputs'!D$15,'General Inputs'!D$19)</f>
        <v>0</v>
      </c>
      <c r="CS39" s="214">
        <f>IF(AND(($E39+$C$1)&gt;CS$4,CS$4&gt;=$C$1),$H39,IF(AND(($D39+$C$1)&gt;CS$4,CS$4&gt;=$C$1),$G39,0))*IF($A39="Residential",'General Inputs'!E$15,'General Inputs'!E$19)</f>
        <v>0</v>
      </c>
      <c r="CT39" s="214">
        <f>IF(AND(($E39+$C$1)&gt;CT$4,CT$4&gt;=$C$1),$H39,IF(AND(($D39+$C$1)&gt;CT$4,CT$4&gt;=$C$1),$G39,0))*IF($A39="Residential",'General Inputs'!F$15,'General Inputs'!F$19)</f>
        <v>0</v>
      </c>
      <c r="CU39" s="214">
        <f>IF(AND(($E39+$C$1)&gt;CU$4,CU$4&gt;=$C$1),$H39,IF(AND(($D39+$C$1)&gt;CU$4,CU$4&gt;=$C$1),$G39,0))*IF($A39="Residential",'General Inputs'!G$15,'General Inputs'!G$19)</f>
        <v>0</v>
      </c>
      <c r="CV39" s="214">
        <f>IF(AND(($E39+$C$1)&gt;CV$4,CV$4&gt;=$C$1),$H39,IF(AND(($D39+$C$1)&gt;CV$4,CV$4&gt;=$C$1),$G39,0))*IF($A39="Residential",'General Inputs'!H$15,'General Inputs'!H$19)</f>
        <v>0</v>
      </c>
      <c r="CW39" s="214">
        <f>IF(AND(($E39+$C$1)&gt;CW$4,CW$4&gt;=$C$1),$H39,IF(AND(($D39+$C$1)&gt;CW$4,CW$4&gt;=$C$1),$G39,0))*IF($A39="Residential",'General Inputs'!I$15,'General Inputs'!I$19)</f>
        <v>0</v>
      </c>
      <c r="CX39" s="214">
        <f>IF(AND(($E39+$C$1)&gt;CX$4,CX$4&gt;=$C$1),$H39,IF(AND(($D39+$C$1)&gt;CX$4,CX$4&gt;=$C$1),$G39,0))*IF($A39="Residential",'General Inputs'!J$15,'General Inputs'!J$19)</f>
        <v>0</v>
      </c>
      <c r="CY39" s="214">
        <f>IF(AND(($E39+$C$1)&gt;CY$4,CY$4&gt;=$C$1),$H39,IF(AND(($D39+$C$1)&gt;CY$4,CY$4&gt;=$C$1),$G39,0))*IF($A39="Residential",'General Inputs'!K$15,'General Inputs'!K$19)</f>
        <v>0</v>
      </c>
      <c r="CZ39" s="214">
        <f>IF(AND(($E39+$C$1)&gt;CZ$4,CZ$4&gt;=$C$1),$H39,IF(AND(($D39+$C$1)&gt;CZ$4,CZ$4&gt;=$C$1),$G39,0))*IF($A39="Residential",'General Inputs'!L$15,'General Inputs'!L$19)</f>
        <v>0</v>
      </c>
      <c r="DA39" s="214">
        <f>IF(AND(($E39+$C$1)&gt;DA$4,DA$4&gt;=$C$1),$H39,IF(AND(($D39+$C$1)&gt;DA$4,DA$4&gt;=$C$1),$G39,0))*IF($A39="Residential",'General Inputs'!M$15,'General Inputs'!M$19)</f>
        <v>0</v>
      </c>
      <c r="DB39" s="214">
        <f>IF(AND(($E39+$C$1)&gt;DB$4,DB$4&gt;=$C$1),$H39,IF(AND(($D39+$C$1)&gt;DB$4,DB$4&gt;=$C$1),$G39,0))*IF($A39="Residential",'General Inputs'!N$15,'General Inputs'!N$19)</f>
        <v>0</v>
      </c>
      <c r="DC39" s="214">
        <f>IF(AND(($E39+$C$1)&gt;DC$4,DC$4&gt;=$C$1),$H39,IF(AND(($D39+$C$1)&gt;DC$4,DC$4&gt;=$C$1),$G39,0))*IF($A39="Residential",'General Inputs'!O$15,'General Inputs'!O$19)</f>
        <v>0</v>
      </c>
      <c r="DD39" s="214">
        <f>IF(AND(($E39+$C$1)&gt;DD$4,DD$4&gt;=$C$1),$H39,IF(AND(($D39+$C$1)&gt;DD$4,DD$4&gt;=$C$1),$G39,0))*IF($A39="Residential",'General Inputs'!P$15,'General Inputs'!P$19)</f>
        <v>0</v>
      </c>
      <c r="DE39" s="214">
        <f>IF(AND(($E39+$C$1)&gt;DE$4,DE$4&gt;=$C$1),$H39,IF(AND(($D39+$C$1)&gt;DE$4,DE$4&gt;=$C$1),$G39,0))*IF($A39="Residential",'General Inputs'!Q$15,'General Inputs'!Q$19)</f>
        <v>0</v>
      </c>
      <c r="DF39" s="214">
        <f>IF(AND(($E39+$C$1)&gt;DF$4,DF$4&gt;=$C$1),$H39,IF(AND(($D39+$C$1)&gt;DF$4,DF$4&gt;=$C$1),$G39,0))*IF($A39="Residential",'General Inputs'!R$15,'General Inputs'!R$19)</f>
        <v>0</v>
      </c>
      <c r="DG39" s="214">
        <f>IF(AND(($E39+$C$1)&gt;DG$4,DG$4&gt;=$C$1),$H39,IF(AND(($D39+$C$1)&gt;DG$4,DG$4&gt;=$C$1),$G39,0))*IF($A39="Residential",'General Inputs'!S$15,'General Inputs'!S$19)</f>
        <v>0</v>
      </c>
      <c r="DH39" s="214">
        <f>IF(AND(($E39+$C$1)&gt;DH$4,DH$4&gt;=$C$1),$H39,IF(AND(($D39+$C$1)&gt;DH$4,DH$4&gt;=$C$1),$G39,0))*IF($A39="Residential",'General Inputs'!T$15,'General Inputs'!T$19)</f>
        <v>0</v>
      </c>
      <c r="DI39" s="214">
        <f>IF(AND(($E39+$C$1)&gt;DI$4,DI$4&gt;=$C$1),$H39,IF(AND(($D39+$C$1)&gt;DI$4,DI$4&gt;=$C$1),$G39,0))*IF($A39="Residential",'General Inputs'!U$15,'General Inputs'!U$19)</f>
        <v>0</v>
      </c>
      <c r="DJ39" s="214">
        <f>IF(AND(($E39+$C$1)&gt;DJ$4,DJ$4&gt;=$C$1),$H39,IF(AND(($D39+$C$1)&gt;DJ$4,DJ$4&gt;=$C$1),$G39,0))*IF($A39="Residential",'General Inputs'!V$15,'General Inputs'!V$19)</f>
        <v>0</v>
      </c>
      <c r="DK39" s="214">
        <f>IF(AND(($E39+$C$1)&gt;DK$4,DK$4&gt;=$C$1),$H39,IF(AND(($D39+$C$1)&gt;DK$4,DK$4&gt;=$C$1),$G39,0))*IF($A39="Residential",'General Inputs'!W$15,'General Inputs'!W$19)</f>
        <v>0</v>
      </c>
      <c r="DM39" s="214">
        <f t="shared" si="299"/>
        <v>0</v>
      </c>
      <c r="DN39" s="214">
        <f t="shared" si="299"/>
        <v>0</v>
      </c>
      <c r="DO39" s="214">
        <f t="shared" si="299"/>
        <v>0</v>
      </c>
      <c r="DP39" s="214">
        <f t="shared" si="299"/>
        <v>0</v>
      </c>
      <c r="DQ39" s="214">
        <f t="shared" si="299"/>
        <v>0</v>
      </c>
      <c r="DR39" s="214">
        <f t="shared" si="299"/>
        <v>0</v>
      </c>
      <c r="DS39" s="214">
        <f t="shared" si="299"/>
        <v>0</v>
      </c>
      <c r="DT39" s="214">
        <f t="shared" si="299"/>
        <v>0</v>
      </c>
      <c r="DU39" s="214">
        <f t="shared" si="299"/>
        <v>0</v>
      </c>
      <c r="DV39" s="214">
        <f t="shared" si="299"/>
        <v>0</v>
      </c>
      <c r="DW39" s="214">
        <f t="shared" si="299"/>
        <v>0</v>
      </c>
      <c r="DZ39" s="650"/>
      <c r="FI39" s="195"/>
      <c r="FJ39" s="195"/>
      <c r="FK39" s="195"/>
      <c r="FL39" s="195"/>
      <c r="FM39" s="195"/>
      <c r="FN39" s="195"/>
      <c r="FO39" s="195"/>
    </row>
    <row r="40" spans="1:171">
      <c r="A40" s="342" t="s">
        <v>12</v>
      </c>
      <c r="B40" s="427" t="str">
        <f>'Portfolio Inputs'!A39</f>
        <v>Water Heater Temperature Setback</v>
      </c>
      <c r="C40" s="217">
        <f>IF($C$1=2014,'Portfolio Inputs'!$C39,IF($C$1=2015,'Portfolio Inputs'!$D39,'Portfolio Inputs'!$E39))</f>
        <v>0</v>
      </c>
      <c r="D40" s="504">
        <f>VLOOKUP(B40,Sources!$B$4:$J$104,2,FALSE)</f>
        <v>2</v>
      </c>
      <c r="E40" s="504">
        <f>VLOOKUP(B40,Sources!$B$4:$J$104,3,FALSE)</f>
        <v>0</v>
      </c>
      <c r="G40" s="504">
        <f>IF($C$1=2014,'Portfolio Inputs'!$G39,IF($C$1=2015,'Portfolio Inputs'!$H39,'Portfolio Inputs'!$I39))*EnergyLineLoss</f>
        <v>0</v>
      </c>
      <c r="H40" s="504"/>
      <c r="I40" s="595">
        <f>IF($C$1=2014,'Portfolio Inputs'!$K39,IF($C$1=2015,'Portfolio Inputs'!$L39,'Portfolio Inputs'!$M39))*PeakLineLoss</f>
        <v>0</v>
      </c>
      <c r="J40" s="510"/>
      <c r="L40" s="606">
        <f>IF($C$1=2014,'Portfolio Inputs'!$O39,IF($C$1=2015,'Portfolio Inputs'!$P39,'Portfolio Inputs'!$Q39))</f>
        <v>0</v>
      </c>
      <c r="M40" s="518">
        <f>VLOOKUP($B40,Sources!$B$4:$K$104,10,FALSE)</f>
        <v>0</v>
      </c>
      <c r="N40" s="419">
        <f>IF($C$1=2014,'Portfolio Inputs'!$W39,IF($C$1=2015,'Portfolio Inputs'!$X39,'Portfolio Inputs'!$Y39))</f>
        <v>0</v>
      </c>
      <c r="O40" s="419"/>
      <c r="Q40" s="438" t="str">
        <f t="shared" si="290"/>
        <v>n/a</v>
      </c>
      <c r="R40" s="439" t="str">
        <f t="shared" si="291"/>
        <v>n/a</v>
      </c>
      <c r="S40" s="439" t="str">
        <f t="shared" si="292"/>
        <v>n/a</v>
      </c>
      <c r="T40" s="439" t="str">
        <f t="shared" si="293"/>
        <v>n/a</v>
      </c>
      <c r="U40" s="439" t="str">
        <f t="shared" si="298"/>
        <v>n/a</v>
      </c>
      <c r="V40" s="439" t="str">
        <f t="shared" si="294"/>
        <v>n/a</v>
      </c>
      <c r="W40" s="439" t="str">
        <f t="shared" si="295"/>
        <v>n/a</v>
      </c>
      <c r="Y40" s="215">
        <f t="shared" si="29"/>
        <v>0</v>
      </c>
      <c r="Z40" s="215">
        <f t="shared" si="30"/>
        <v>0</v>
      </c>
      <c r="AA40" s="215">
        <f t="shared" si="31"/>
        <v>0</v>
      </c>
      <c r="AB40" s="215">
        <f t="shared" si="32"/>
        <v>0</v>
      </c>
      <c r="AC40" s="216">
        <f t="shared" si="33"/>
        <v>0</v>
      </c>
      <c r="AD40" s="216">
        <f t="shared" si="34"/>
        <v>0</v>
      </c>
      <c r="AE40" s="215">
        <f t="shared" si="35"/>
        <v>0</v>
      </c>
      <c r="AG40" s="214">
        <f>IF(AND(($E40+$C$1)&gt;AG$4,AG$4&gt;=$C$1),'General Inputs'!D$9*$H40,IF(AND(($D40+$C$1)&gt;AG$4,AG$4&gt;=$C$1),'General Inputs'!D$9*$G40,0))+IF(AND(($E40+$C$1)&gt;AG$4,AG$4&gt;=$C$1),'General Inputs'!D$10*$J40,IF(AND(($D40+$C$1)&gt;AG$4,AG$4&gt;=$C$1),'General Inputs'!D$10*$I40,0))</f>
        <v>0</v>
      </c>
      <c r="AH40" s="214">
        <f>IF(AND(($E40+$C$1)&gt;AH$4,AH$4&gt;=$C$1),'General Inputs'!E$9*$H40,IF(AND(($D40+$C$1)&gt;AH$4,AH$4&gt;=$C$1),'General Inputs'!E$9*$G40,0))+IF(AND(($E40+$C$1)&gt;AH$4,AH$4&gt;=$C$1),'General Inputs'!E$10*$J40,IF(AND(($D40+$C$1)&gt;AH$4,AH$4&gt;=$C$1),'General Inputs'!E$10*$I40,0))</f>
        <v>0</v>
      </c>
      <c r="AI40" s="214">
        <f>IF(AND(($E40+$C$1)&gt;AI$4,AI$4&gt;=$C$1),'General Inputs'!F$9*$H40,IF(AND(($D40+$C$1)&gt;AI$4,AI$4&gt;=$C$1),'General Inputs'!F$9*$G40,0))+IF(AND(($E40+$C$1)&gt;AI$4,AI$4&gt;=$C$1),'General Inputs'!F$10*$J40,IF(AND(($D40+$C$1)&gt;AI$4,AI$4&gt;=$C$1),'General Inputs'!F$10*$I40,0))</f>
        <v>0</v>
      </c>
      <c r="AJ40" s="214">
        <f>IF(AND(($E40+$C$1)&gt;AJ$4,AJ$4&gt;=$C$1),'General Inputs'!G$9*$H40,IF(AND(($D40+$C$1)&gt;AJ$4,AJ$4&gt;=$C$1),'General Inputs'!G$9*$G40,0))+IF(AND(($E40+$C$1)&gt;AJ$4,AJ$4&gt;=$C$1),'General Inputs'!G$10*$J40,IF(AND(($D40+$C$1)&gt;AJ$4,AJ$4&gt;=$C$1),'General Inputs'!G$10*$I40,0))</f>
        <v>0</v>
      </c>
      <c r="AK40" s="214">
        <f>IF(AND(($E40+$C$1)&gt;AK$4,AK$4&gt;=$C$1),'General Inputs'!H$9*$H40,IF(AND(($D40+$C$1)&gt;AK$4,AK$4&gt;=$C$1),'General Inputs'!H$9*$G40,0))+IF(AND(($E40+$C$1)&gt;AK$4,AK$4&gt;=$C$1),'General Inputs'!H$10*$J40,IF(AND(($D40+$C$1)&gt;AK$4,AK$4&gt;=$C$1),'General Inputs'!H$10*$I40,0))</f>
        <v>0</v>
      </c>
      <c r="AL40" s="214">
        <f>IF(AND(($E40+$C$1)&gt;AL$4,AL$4&gt;=$C$1),'General Inputs'!I$9*$H40,IF(AND(($D40+$C$1)&gt;AL$4,AL$4&gt;=$C$1),'General Inputs'!I$9*$G40,0))+IF(AND(($E40+$C$1)&gt;AL$4,AL$4&gt;=$C$1),'General Inputs'!I$10*$J40,IF(AND(($D40+$C$1)&gt;AL$4,AL$4&gt;=$C$1),'General Inputs'!I$10*$I40,0))</f>
        <v>0</v>
      </c>
      <c r="AM40" s="214">
        <f>IF(AND(($E40+$C$1)&gt;AM$4,AM$4&gt;=$C$1),'General Inputs'!J$9*$H40,IF(AND(($D40+$C$1)&gt;AM$4,AM$4&gt;=$C$1),'General Inputs'!J$9*$G40,0))+IF(AND(($E40+$C$1)&gt;AM$4,AM$4&gt;=$C$1),'General Inputs'!J$10*$J40,IF(AND(($D40+$C$1)&gt;AM$4,AM$4&gt;=$C$1),'General Inputs'!J$10*$I40,0))</f>
        <v>0</v>
      </c>
      <c r="AN40" s="214">
        <f>IF(AND(($E40+$C$1)&gt;AN$4,AN$4&gt;=$C$1),'General Inputs'!K$9*$H40,IF(AND(($D40+$C$1)&gt;AN$4,AN$4&gt;=$C$1),'General Inputs'!K$9*$G40,0))+IF(AND(($E40+$C$1)&gt;AN$4,AN$4&gt;=$C$1),'General Inputs'!K$10*$J40,IF(AND(($D40+$C$1)&gt;AN$4,AN$4&gt;=$C$1),'General Inputs'!K$10*$I40,0))</f>
        <v>0</v>
      </c>
      <c r="AO40" s="214">
        <f>IF(AND(($E40+$C$1)&gt;AO$4,AO$4&gt;=$C$1),'General Inputs'!L$9*$H40,IF(AND(($D40+$C$1)&gt;AO$4,AO$4&gt;=$C$1),'General Inputs'!L$9*$G40,0))+IF(AND(($E40+$C$1)&gt;AO$4,AO$4&gt;=$C$1),'General Inputs'!L$10*$J40,IF(AND(($D40+$C$1)&gt;AO$4,AO$4&gt;=$C$1),'General Inputs'!L$10*$I40,0))</f>
        <v>0</v>
      </c>
      <c r="AP40" s="214">
        <f>IF(AND(($E40+$C$1)&gt;AP$4,AP$4&gt;=$C$1),'General Inputs'!M$9*$H40,IF(AND(($D40+$C$1)&gt;AP$4,AP$4&gt;=$C$1),'General Inputs'!M$9*$G40,0))+IF(AND(($E40+$C$1)&gt;AP$4,AP$4&gt;=$C$1),'General Inputs'!M$10*$J40,IF(AND(($D40+$C$1)&gt;AP$4,AP$4&gt;=$C$1),'General Inputs'!M$10*$I40,0))</f>
        <v>0</v>
      </c>
      <c r="AQ40" s="214">
        <f>IF(AND(($E40+$C$1)&gt;AQ$4,AQ$4&gt;=$C$1),'General Inputs'!N$9*$H40,IF(AND(($D40+$C$1)&gt;AQ$4,AQ$4&gt;=$C$1),'General Inputs'!N$9*$G40,0))+IF(AND(($E40+$C$1)&gt;AQ$4,AQ$4&gt;=$C$1),'General Inputs'!N$10*$J40,IF(AND(($D40+$C$1)&gt;AQ$4,AQ$4&gt;=$C$1),'General Inputs'!N$10*$I40,0))</f>
        <v>0</v>
      </c>
      <c r="AR40" s="214">
        <f>IF(AND(($E40+$C$1)&gt;AR$4,AR$4&gt;=$C$1),'General Inputs'!O$9*$H40,IF(AND(($D40+$C$1)&gt;AR$4,AR$4&gt;=$C$1),'General Inputs'!O$9*$G40,0))+IF(AND(($E40+$C$1)&gt;AR$4,AR$4&gt;=$C$1),'General Inputs'!O$10*$J40,IF(AND(($D40+$C$1)&gt;AR$4,AR$4&gt;=$C$1),'General Inputs'!O$10*$I40,0))</f>
        <v>0</v>
      </c>
      <c r="AS40" s="214">
        <f>IF(AND(($E40+$C$1)&gt;AS$4,AS$4&gt;=$C$1),'General Inputs'!P$9*$H40,IF(AND(($D40+$C$1)&gt;AS$4,AS$4&gt;=$C$1),'General Inputs'!P$9*$G40,0))+IF(AND(($E40+$C$1)&gt;AS$4,AS$4&gt;=$C$1),'General Inputs'!P$10*$J40,IF(AND(($D40+$C$1)&gt;AS$4,AS$4&gt;=$C$1),'General Inputs'!P$10*$I40,0))</f>
        <v>0</v>
      </c>
      <c r="AT40" s="214">
        <f>IF(AND(($E40+$C$1)&gt;AT$4,AT$4&gt;=$C$1),'General Inputs'!Q$9*$H40,IF(AND(($D40+$C$1)&gt;AT$4,AT$4&gt;=$C$1),'General Inputs'!Q$9*$G40,0))+IF(AND(($E40+$C$1)&gt;AT$4,AT$4&gt;=$C$1),'General Inputs'!Q$10*$J40,IF(AND(($D40+$C$1)&gt;AT$4,AT$4&gt;=$C$1),'General Inputs'!Q$10*$I40,0))</f>
        <v>0</v>
      </c>
      <c r="AU40" s="214">
        <f>IF(AND(($E40+$C$1)&gt;AU$4,AU$4&gt;=$C$1),'General Inputs'!R$9*$H40,IF(AND(($D40+$C$1)&gt;AU$4,AU$4&gt;=$C$1),'General Inputs'!R$9*$G40,0))+IF(AND(($E40+$C$1)&gt;AU$4,AU$4&gt;=$C$1),'General Inputs'!R$10*$J40,IF(AND(($D40+$C$1)&gt;AU$4,AU$4&gt;=$C$1),'General Inputs'!R$10*$I40,0))</f>
        <v>0</v>
      </c>
      <c r="AV40" s="214">
        <f>IF(AND(($E40+$C$1)&gt;AV$4,AV$4&gt;=$C$1),'General Inputs'!S$9*$H40,IF(AND(($D40+$C$1)&gt;AV$4,AV$4&gt;=$C$1),'General Inputs'!S$9*$G40,0))+IF(AND(($E40+$C$1)&gt;AV$4,AV$4&gt;=$C$1),'General Inputs'!S$10*$J40,IF(AND(($D40+$C$1)&gt;AV$4,AV$4&gt;=$C$1),'General Inputs'!S$10*$I40,0))</f>
        <v>0</v>
      </c>
      <c r="AW40" s="214">
        <f>IF(AND(($E40+$C$1)&gt;AW$4,AW$4&gt;=$C$1),'General Inputs'!T$9*$H40,IF(AND(($D40+$C$1)&gt;AW$4,AW$4&gt;=$C$1),'General Inputs'!T$9*$G40,0))+IF(AND(($E40+$C$1)&gt;AW$4,AW$4&gt;=$C$1),'General Inputs'!T$10*$J40,IF(AND(($D40+$C$1)&gt;AW$4,AW$4&gt;=$C$1),'General Inputs'!T$10*$I40,0))</f>
        <v>0</v>
      </c>
      <c r="AX40" s="214">
        <f>IF(AND(($E40+$C$1)&gt;AX$4,AX$4&gt;=$C$1),'General Inputs'!U$9*$H40,IF(AND(($D40+$C$1)&gt;AX$4,AX$4&gt;=$C$1),'General Inputs'!U$9*$G40,0))+IF(AND(($E40+$C$1)&gt;AX$4,AX$4&gt;=$C$1),'General Inputs'!U$10*$J40,IF(AND(($D40+$C$1)&gt;AX$4,AX$4&gt;=$C$1),'General Inputs'!U$10*$I40,0))</f>
        <v>0</v>
      </c>
      <c r="AY40" s="214">
        <f>IF(AND(($E40+$C$1)&gt;AY$4,AY$4&gt;=$C$1),'General Inputs'!V$9*$H40,IF(AND(($D40+$C$1)&gt;AY$4,AY$4&gt;=$C$1),'General Inputs'!V$9*$G40,0))+IF(AND(($E40+$C$1)&gt;AY$4,AY$4&gt;=$C$1),'General Inputs'!V$10*$J40,IF(AND(($D40+$C$1)&gt;AY$4,AY$4&gt;=$C$1),'General Inputs'!V$10*$I40,0))</f>
        <v>0</v>
      </c>
      <c r="AZ40" s="214">
        <f>IF(AND(($E40+$C$1)&gt;AZ$4,AZ$4&gt;=$C$1),'General Inputs'!W$9*$H40,IF(AND(($D40+$C$1)&gt;AZ$4,AZ$4&gt;=$C$1),'General Inputs'!W$9*$G40,0))+IF(AND(($E40+$C$1)&gt;AZ$4,AZ$4&gt;=$C$1),'General Inputs'!W$10*$J40,IF(AND(($D40+$C$1)&gt;AZ$4,AZ$4&gt;=$C$1),'General Inputs'!W$10*$I40,0))</f>
        <v>0</v>
      </c>
      <c r="BB40" s="214">
        <f>IF(AND(($E40+$C$1)&gt;BB$4,BB$4&gt;=$C$1),'General Inputs'!D$11*$H40,IF(AND(($D40+$C$1)&gt;BB$4,BB$4&gt;=$C$1),'General Inputs'!D$11*$G40,0))</f>
        <v>0</v>
      </c>
      <c r="BC40" s="214">
        <f>IF(AND(($E40+$C$1)&gt;BC$4,BC$4&gt;=$C$1),'General Inputs'!E$11*$H40,IF(AND(($D40+$C$1)&gt;BC$4,BC$4&gt;=$C$1),'General Inputs'!E$11*$G40,0))</f>
        <v>0</v>
      </c>
      <c r="BD40" s="214">
        <f>IF(AND(($E40+$C$1)&gt;BD$4,BD$4&gt;=$C$1),'General Inputs'!F$11*$H40,IF(AND(($D40+$C$1)&gt;BD$4,BD$4&gt;=$C$1),'General Inputs'!F$11*$G40,0))</f>
        <v>0</v>
      </c>
      <c r="BE40" s="214">
        <f>IF(AND(($E40+$C$1)&gt;BE$4,BE$4&gt;=$C$1),'General Inputs'!G$11*$H40,IF(AND(($D40+$C$1)&gt;BE$4,BE$4&gt;=$C$1),'General Inputs'!G$11*$G40,0))</f>
        <v>0</v>
      </c>
      <c r="BF40" s="214">
        <f>IF(AND(($E40+$C$1)&gt;BF$4,BF$4&gt;=$C$1),'General Inputs'!H$11*$H40,IF(AND(($D40+$C$1)&gt;BF$4,BF$4&gt;=$C$1),'General Inputs'!H$11*$G40,0))</f>
        <v>0</v>
      </c>
      <c r="BG40" s="214">
        <f>IF(AND(($E40+$C$1)&gt;BG$4,BG$4&gt;=$C$1),'General Inputs'!I$11*$H40,IF(AND(($D40+$C$1)&gt;BG$4,BG$4&gt;=$C$1),'General Inputs'!I$11*$G40,0))</f>
        <v>0</v>
      </c>
      <c r="BH40" s="214">
        <f>IF(AND(($E40+$C$1)&gt;BH$4,BH$4&gt;=$C$1),'General Inputs'!J$11*$H40,IF(AND(($D40+$C$1)&gt;BH$4,BH$4&gt;=$C$1),'General Inputs'!J$11*$G40,0))</f>
        <v>0</v>
      </c>
      <c r="BI40" s="214">
        <f>IF(AND(($E40+$C$1)&gt;BI$4,BI$4&gt;=$C$1),'General Inputs'!K$11*$H40,IF(AND(($D40+$C$1)&gt;BI$4,BI$4&gt;=$C$1),'General Inputs'!K$11*$G40,0))</f>
        <v>0</v>
      </c>
      <c r="BJ40" s="214">
        <f>IF(AND(($E40+$C$1)&gt;BJ$4,BJ$4&gt;=$C$1),'General Inputs'!L$11*$H40,IF(AND(($D40+$C$1)&gt;BJ$4,BJ$4&gt;=$C$1),'General Inputs'!L$11*$G40,0))</f>
        <v>0</v>
      </c>
      <c r="BK40" s="214">
        <f>IF(AND(($E40+$C$1)&gt;BK$4,BK$4&gt;=$C$1),'General Inputs'!M$11*$H40,IF(AND(($D40+$C$1)&gt;BK$4,BK$4&gt;=$C$1),'General Inputs'!M$11*$G40,0))</f>
        <v>0</v>
      </c>
      <c r="BL40" s="214">
        <f>IF(AND(($E40+$C$1)&gt;BL$4,BL$4&gt;=$C$1),'General Inputs'!N$11*$H40,IF(AND(($D40+$C$1)&gt;BL$4,BL$4&gt;=$C$1),'General Inputs'!N$11*$G40,0))</f>
        <v>0</v>
      </c>
      <c r="BM40" s="214">
        <f>IF(AND(($E40+$C$1)&gt;BM$4,BM$4&gt;=$C$1),'General Inputs'!O$11*$H40,IF(AND(($D40+$C$1)&gt;BM$4,BM$4&gt;=$C$1),'General Inputs'!O$11*$G40,0))</f>
        <v>0</v>
      </c>
      <c r="BN40" s="214">
        <f>IF(AND(($E40+$C$1)&gt;BN$4,BN$4&gt;=$C$1),'General Inputs'!P$11*$H40,IF(AND(($D40+$C$1)&gt;BN$4,BN$4&gt;=$C$1),'General Inputs'!P$11*$G40,0))</f>
        <v>0</v>
      </c>
      <c r="BO40" s="214">
        <f>IF(AND(($E40+$C$1)&gt;BO$4,BO$4&gt;=$C$1),'General Inputs'!Q$11*$H40,IF(AND(($D40+$C$1)&gt;BO$4,BO$4&gt;=$C$1),'General Inputs'!Q$11*$G40,0))</f>
        <v>0</v>
      </c>
      <c r="BP40" s="214">
        <f>IF(AND(($E40+$C$1)&gt;BP$4,BP$4&gt;=$C$1),'General Inputs'!R$11*$H40,IF(AND(($D40+$C$1)&gt;BP$4,BP$4&gt;=$C$1),'General Inputs'!R$11*$G40,0))</f>
        <v>0</v>
      </c>
      <c r="BQ40" s="214">
        <f>IF(AND(($E40+$C$1)&gt;BQ$4,BQ$4&gt;=$C$1),'General Inputs'!S$11*$H40,IF(AND(($D40+$C$1)&gt;BQ$4,BQ$4&gt;=$C$1),'General Inputs'!S$11*$G40,0))</f>
        <v>0</v>
      </c>
      <c r="BR40" s="214">
        <f>IF(AND(($E40+$C$1)&gt;BR$4,BR$4&gt;=$C$1),'General Inputs'!T$11*$H40,IF(AND(($D40+$C$1)&gt;BR$4,BR$4&gt;=$C$1),'General Inputs'!T$11*$G40,0))</f>
        <v>0</v>
      </c>
      <c r="BS40" s="214">
        <f>IF(AND(($E40+$C$1)&gt;BS$4,BS$4&gt;=$C$1),'General Inputs'!U$11*$H40,IF(AND(($D40+$C$1)&gt;BS$4,BS$4&gt;=$C$1),'General Inputs'!U$11*$G40,0))</f>
        <v>0</v>
      </c>
      <c r="BT40" s="214">
        <f>IF(AND(($E40+$C$1)&gt;BT$4,BT$4&gt;=$C$1),'General Inputs'!V$11*$H40,IF(AND(($D40+$C$1)&gt;BT$4,BT$4&gt;=$C$1),'General Inputs'!V$11*$G40,0))</f>
        <v>0</v>
      </c>
      <c r="BU40" s="214">
        <f>IF(AND(($E40+$C$1)&gt;BU$4,BU$4&gt;=$C$1),'General Inputs'!W$11*$H40,IF(AND(($D40+$C$1)&gt;BU$4,BU$4&gt;=$C$1),'General Inputs'!W$11*$G40,0))</f>
        <v>0</v>
      </c>
      <c r="BW40" s="214">
        <f>IF(AND(($E40+$C$1)&gt;BW$4,BW$4&gt;=$C$1),$H40,IF(AND(($D40+$C$1)&gt;BW$4,BW$4&gt;=$C$1),$G40,0))*IF($A40="Residential",'General Inputs'!D$14,'General Inputs'!D$19)</f>
        <v>0</v>
      </c>
      <c r="BX40" s="214">
        <f>IF(AND(($E40+$C$1)&gt;BX$4,BX$4&gt;=$C$1),$H40,IF(AND(($D40+$C$1)&gt;BX$4,BX$4&gt;=$C$1),$G40,0))*IF($A40="Residential",'General Inputs'!E$14,'General Inputs'!E$19)</f>
        <v>0</v>
      </c>
      <c r="BY40" s="214">
        <f>IF(AND(($E40+$C$1)&gt;BY$4,BY$4&gt;=$C$1),$H40,IF(AND(($D40+$C$1)&gt;BY$4,BY$4&gt;=$C$1),$G40,0))*IF($A40="Residential",'General Inputs'!F$14,'General Inputs'!F$19)</f>
        <v>0</v>
      </c>
      <c r="BZ40" s="214">
        <f>IF(AND(($E40+$C$1)&gt;BZ$4,BZ$4&gt;=$C$1),$H40,IF(AND(($D40+$C$1)&gt;BZ$4,BZ$4&gt;=$C$1),$G40,0))*IF($A40="Residential",'General Inputs'!G$14,'General Inputs'!G$19)</f>
        <v>0</v>
      </c>
      <c r="CA40" s="214">
        <f>IF(AND(($E40+$C$1)&gt;CA$4,CA$4&gt;=$C$1),$H40,IF(AND(($D40+$C$1)&gt;CA$4,CA$4&gt;=$C$1),$G40,0))*IF($A40="Residential",'General Inputs'!H$14,'General Inputs'!H$19)</f>
        <v>0</v>
      </c>
      <c r="CB40" s="214">
        <f>IF(AND(($E40+$C$1)&gt;CB$4,CB$4&gt;=$C$1),$H40,IF(AND(($D40+$C$1)&gt;CB$4,CB$4&gt;=$C$1),$G40,0))*IF($A40="Residential",'General Inputs'!I$14,'General Inputs'!I$19)</f>
        <v>0</v>
      </c>
      <c r="CC40" s="214">
        <f>IF(AND(($E40+$C$1)&gt;CC$4,CC$4&gt;=$C$1),$H40,IF(AND(($D40+$C$1)&gt;CC$4,CC$4&gt;=$C$1),$G40,0))*IF($A40="Residential",'General Inputs'!J$14,'General Inputs'!J$19)</f>
        <v>0</v>
      </c>
      <c r="CD40" s="214">
        <f>IF(AND(($E40+$C$1)&gt;CD$4,CD$4&gt;=$C$1),$H40,IF(AND(($D40+$C$1)&gt;CD$4,CD$4&gt;=$C$1),$G40,0))*IF($A40="Residential",'General Inputs'!K$14,'General Inputs'!K$19)</f>
        <v>0</v>
      </c>
      <c r="CE40" s="214">
        <f>IF(AND(($E40+$C$1)&gt;CE$4,CE$4&gt;=$C$1),$H40,IF(AND(($D40+$C$1)&gt;CE$4,CE$4&gt;=$C$1),$G40,0))*IF($A40="Residential",'General Inputs'!L$14,'General Inputs'!L$19)</f>
        <v>0</v>
      </c>
      <c r="CF40" s="214">
        <f>IF(AND(($E40+$C$1)&gt;CF$4,CF$4&gt;=$C$1),$H40,IF(AND(($D40+$C$1)&gt;CF$4,CF$4&gt;=$C$1),$G40,0))*IF($A40="Residential",'General Inputs'!M$14,'General Inputs'!M$19)</f>
        <v>0</v>
      </c>
      <c r="CG40" s="214">
        <f>IF(AND(($E40+$C$1)&gt;CG$4,CG$4&gt;=$C$1),$H40,IF(AND(($D40+$C$1)&gt;CG$4,CG$4&gt;=$C$1),$G40,0))*IF($A40="Residential",'General Inputs'!N$14,'General Inputs'!N$19)</f>
        <v>0</v>
      </c>
      <c r="CH40" s="214">
        <f>IF(AND(($E40+$C$1)&gt;CH$4,CH$4&gt;=$C$1),$H40,IF(AND(($D40+$C$1)&gt;CH$4,CH$4&gt;=$C$1),$G40,0))*IF($A40="Residential",'General Inputs'!O$14,'General Inputs'!O$19)</f>
        <v>0</v>
      </c>
      <c r="CI40" s="214">
        <f>IF(AND(($E40+$C$1)&gt;CI$4,CI$4&gt;=$C$1),$H40,IF(AND(($D40+$C$1)&gt;CI$4,CI$4&gt;=$C$1),$G40,0))*IF($A40="Residential",'General Inputs'!P$14,'General Inputs'!P$19)</f>
        <v>0</v>
      </c>
      <c r="CJ40" s="214">
        <f>IF(AND(($E40+$C$1)&gt;CJ$4,CJ$4&gt;=$C$1),$H40,IF(AND(($D40+$C$1)&gt;CJ$4,CJ$4&gt;=$C$1),$G40,0))*IF($A40="Residential",'General Inputs'!Q$14,'General Inputs'!Q$19)</f>
        <v>0</v>
      </c>
      <c r="CK40" s="214">
        <f>IF(AND(($E40+$C$1)&gt;CK$4,CK$4&gt;=$C$1),$H40,IF(AND(($D40+$C$1)&gt;CK$4,CK$4&gt;=$C$1),$G40,0))*IF($A40="Residential",'General Inputs'!R$14,'General Inputs'!R$19)</f>
        <v>0</v>
      </c>
      <c r="CL40" s="214">
        <f>IF(AND(($E40+$C$1)&gt;CL$4,CL$4&gt;=$C$1),$H40,IF(AND(($D40+$C$1)&gt;CL$4,CL$4&gt;=$C$1),$G40,0))*IF($A40="Residential",'General Inputs'!S$14,'General Inputs'!S$19)</f>
        <v>0</v>
      </c>
      <c r="CM40" s="214">
        <f>IF(AND(($E40+$C$1)&gt;CM$4,CM$4&gt;=$C$1),$H40,IF(AND(($D40+$C$1)&gt;CM$4,CM$4&gt;=$C$1),$G40,0))*IF($A40="Residential",'General Inputs'!T$14,'General Inputs'!T$19)</f>
        <v>0</v>
      </c>
      <c r="CN40" s="214">
        <f>IF(AND(($E40+$C$1)&gt;CN$4,CN$4&gt;=$C$1),$H40,IF(AND(($D40+$C$1)&gt;CN$4,CN$4&gt;=$C$1),$G40,0))*IF($A40="Residential",'General Inputs'!U$14,'General Inputs'!U$19)</f>
        <v>0</v>
      </c>
      <c r="CO40" s="214">
        <f>IF(AND(($E40+$C$1)&gt;CO$4,CO$4&gt;=$C$1),$H40,IF(AND(($D40+$C$1)&gt;CO$4,CO$4&gt;=$C$1),$G40,0))*IF($A40="Residential",'General Inputs'!V$14,'General Inputs'!V$19)</f>
        <v>0</v>
      </c>
      <c r="CP40" s="214">
        <f>IF(AND(($E40+$C$1)&gt;CP$4,CP$4&gt;=$C$1),$H40,IF(AND(($D40+$C$1)&gt;CP$4,CP$4&gt;=$C$1),$G40,0))*IF($A40="Residential",'General Inputs'!W$14,'General Inputs'!W$19)</f>
        <v>0</v>
      </c>
      <c r="CR40" s="214">
        <f>IF(AND(($E40+$C$1)&gt;CR$4,CR$4&gt;=$C$1),$H40,IF(AND(($D40+$C$1)&gt;CR$4,CR$4&gt;=$C$1),$G40,0))*IF($A40="Residential",'General Inputs'!D$15,'General Inputs'!D$19)</f>
        <v>0</v>
      </c>
      <c r="CS40" s="214">
        <f>IF(AND(($E40+$C$1)&gt;CS$4,CS$4&gt;=$C$1),$H40,IF(AND(($D40+$C$1)&gt;CS$4,CS$4&gt;=$C$1),$G40,0))*IF($A40="Residential",'General Inputs'!E$15,'General Inputs'!E$19)</f>
        <v>0</v>
      </c>
      <c r="CT40" s="214">
        <f>IF(AND(($E40+$C$1)&gt;CT$4,CT$4&gt;=$C$1),$H40,IF(AND(($D40+$C$1)&gt;CT$4,CT$4&gt;=$C$1),$G40,0))*IF($A40="Residential",'General Inputs'!F$15,'General Inputs'!F$19)</f>
        <v>0</v>
      </c>
      <c r="CU40" s="214">
        <f>IF(AND(($E40+$C$1)&gt;CU$4,CU$4&gt;=$C$1),$H40,IF(AND(($D40+$C$1)&gt;CU$4,CU$4&gt;=$C$1),$G40,0))*IF($A40="Residential",'General Inputs'!G$15,'General Inputs'!G$19)</f>
        <v>0</v>
      </c>
      <c r="CV40" s="214">
        <f>IF(AND(($E40+$C$1)&gt;CV$4,CV$4&gt;=$C$1),$H40,IF(AND(($D40+$C$1)&gt;CV$4,CV$4&gt;=$C$1),$G40,0))*IF($A40="Residential",'General Inputs'!H$15,'General Inputs'!H$19)</f>
        <v>0</v>
      </c>
      <c r="CW40" s="214">
        <f>IF(AND(($E40+$C$1)&gt;CW$4,CW$4&gt;=$C$1),$H40,IF(AND(($D40+$C$1)&gt;CW$4,CW$4&gt;=$C$1),$G40,0))*IF($A40="Residential",'General Inputs'!I$15,'General Inputs'!I$19)</f>
        <v>0</v>
      </c>
      <c r="CX40" s="214">
        <f>IF(AND(($E40+$C$1)&gt;CX$4,CX$4&gt;=$C$1),$H40,IF(AND(($D40+$C$1)&gt;CX$4,CX$4&gt;=$C$1),$G40,0))*IF($A40="Residential",'General Inputs'!J$15,'General Inputs'!J$19)</f>
        <v>0</v>
      </c>
      <c r="CY40" s="214">
        <f>IF(AND(($E40+$C$1)&gt;CY$4,CY$4&gt;=$C$1),$H40,IF(AND(($D40+$C$1)&gt;CY$4,CY$4&gt;=$C$1),$G40,0))*IF($A40="Residential",'General Inputs'!K$15,'General Inputs'!K$19)</f>
        <v>0</v>
      </c>
      <c r="CZ40" s="214">
        <f>IF(AND(($E40+$C$1)&gt;CZ$4,CZ$4&gt;=$C$1),$H40,IF(AND(($D40+$C$1)&gt;CZ$4,CZ$4&gt;=$C$1),$G40,0))*IF($A40="Residential",'General Inputs'!L$15,'General Inputs'!L$19)</f>
        <v>0</v>
      </c>
      <c r="DA40" s="214">
        <f>IF(AND(($E40+$C$1)&gt;DA$4,DA$4&gt;=$C$1),$H40,IF(AND(($D40+$C$1)&gt;DA$4,DA$4&gt;=$C$1),$G40,0))*IF($A40="Residential",'General Inputs'!M$15,'General Inputs'!M$19)</f>
        <v>0</v>
      </c>
      <c r="DB40" s="214">
        <f>IF(AND(($E40+$C$1)&gt;DB$4,DB$4&gt;=$C$1),$H40,IF(AND(($D40+$C$1)&gt;DB$4,DB$4&gt;=$C$1),$G40,0))*IF($A40="Residential",'General Inputs'!N$15,'General Inputs'!N$19)</f>
        <v>0</v>
      </c>
      <c r="DC40" s="214">
        <f>IF(AND(($E40+$C$1)&gt;DC$4,DC$4&gt;=$C$1),$H40,IF(AND(($D40+$C$1)&gt;DC$4,DC$4&gt;=$C$1),$G40,0))*IF($A40="Residential",'General Inputs'!O$15,'General Inputs'!O$19)</f>
        <v>0</v>
      </c>
      <c r="DD40" s="214">
        <f>IF(AND(($E40+$C$1)&gt;DD$4,DD$4&gt;=$C$1),$H40,IF(AND(($D40+$C$1)&gt;DD$4,DD$4&gt;=$C$1),$G40,0))*IF($A40="Residential",'General Inputs'!P$15,'General Inputs'!P$19)</f>
        <v>0</v>
      </c>
      <c r="DE40" s="214">
        <f>IF(AND(($E40+$C$1)&gt;DE$4,DE$4&gt;=$C$1),$H40,IF(AND(($D40+$C$1)&gt;DE$4,DE$4&gt;=$C$1),$G40,0))*IF($A40="Residential",'General Inputs'!Q$15,'General Inputs'!Q$19)</f>
        <v>0</v>
      </c>
      <c r="DF40" s="214">
        <f>IF(AND(($E40+$C$1)&gt;DF$4,DF$4&gt;=$C$1),$H40,IF(AND(($D40+$C$1)&gt;DF$4,DF$4&gt;=$C$1),$G40,0))*IF($A40="Residential",'General Inputs'!R$15,'General Inputs'!R$19)</f>
        <v>0</v>
      </c>
      <c r="DG40" s="214">
        <f>IF(AND(($E40+$C$1)&gt;DG$4,DG$4&gt;=$C$1),$H40,IF(AND(($D40+$C$1)&gt;DG$4,DG$4&gt;=$C$1),$G40,0))*IF($A40="Residential",'General Inputs'!S$15,'General Inputs'!S$19)</f>
        <v>0</v>
      </c>
      <c r="DH40" s="214">
        <f>IF(AND(($E40+$C$1)&gt;DH$4,DH$4&gt;=$C$1),$H40,IF(AND(($D40+$C$1)&gt;DH$4,DH$4&gt;=$C$1),$G40,0))*IF($A40="Residential",'General Inputs'!T$15,'General Inputs'!T$19)</f>
        <v>0</v>
      </c>
      <c r="DI40" s="214">
        <f>IF(AND(($E40+$C$1)&gt;DI$4,DI$4&gt;=$C$1),$H40,IF(AND(($D40+$C$1)&gt;DI$4,DI$4&gt;=$C$1),$G40,0))*IF($A40="Residential",'General Inputs'!U$15,'General Inputs'!U$19)</f>
        <v>0</v>
      </c>
      <c r="DJ40" s="214">
        <f>IF(AND(($E40+$C$1)&gt;DJ$4,DJ$4&gt;=$C$1),$H40,IF(AND(($D40+$C$1)&gt;DJ$4,DJ$4&gt;=$C$1),$G40,0))*IF($A40="Residential",'General Inputs'!V$15,'General Inputs'!V$19)</f>
        <v>0</v>
      </c>
      <c r="DK40" s="214">
        <f>IF(AND(($E40+$C$1)&gt;DK$4,DK$4&gt;=$C$1),$H40,IF(AND(($D40+$C$1)&gt;DK$4,DK$4&gt;=$C$1),$G40,0))*IF($A40="Residential",'General Inputs'!W$15,'General Inputs'!W$19)</f>
        <v>0</v>
      </c>
      <c r="DM40" s="214">
        <f t="shared" si="299"/>
        <v>0</v>
      </c>
      <c r="DN40" s="214">
        <f t="shared" si="299"/>
        <v>0</v>
      </c>
      <c r="DO40" s="214">
        <f t="shared" si="299"/>
        <v>0</v>
      </c>
      <c r="DP40" s="214">
        <f t="shared" si="299"/>
        <v>0</v>
      </c>
      <c r="DQ40" s="214">
        <f t="shared" si="299"/>
        <v>0</v>
      </c>
      <c r="DR40" s="214">
        <f t="shared" si="299"/>
        <v>0</v>
      </c>
      <c r="DS40" s="214">
        <f t="shared" si="299"/>
        <v>0</v>
      </c>
      <c r="DT40" s="214">
        <f t="shared" si="299"/>
        <v>0</v>
      </c>
      <c r="DU40" s="214">
        <f t="shared" si="299"/>
        <v>0</v>
      </c>
      <c r="DV40" s="214">
        <f t="shared" si="299"/>
        <v>0</v>
      </c>
      <c r="DW40" s="214">
        <f t="shared" si="299"/>
        <v>0</v>
      </c>
      <c r="DZ40" s="650"/>
      <c r="FI40" s="195"/>
      <c r="FJ40" s="195"/>
      <c r="FK40" s="195"/>
      <c r="FL40" s="195"/>
      <c r="FM40" s="195"/>
      <c r="FN40" s="195"/>
      <c r="FO40" s="195"/>
    </row>
    <row r="41" spans="1:171">
      <c r="A41" s="343"/>
      <c r="B41" s="340" t="str">
        <f>'Portfolio Inputs'!A40</f>
        <v>C&amp;I Programs</v>
      </c>
      <c r="C41" s="350"/>
      <c r="D41" s="350"/>
      <c r="E41" s="350"/>
      <c r="G41" s="351"/>
      <c r="H41" s="351"/>
      <c r="I41" s="508"/>
      <c r="J41" s="517"/>
      <c r="L41" s="440"/>
      <c r="M41" s="440"/>
      <c r="N41" s="352"/>
      <c r="O41" s="352"/>
      <c r="Q41" s="353">
        <f t="shared" si="290"/>
        <v>3.5890904274045412</v>
      </c>
      <c r="R41" s="354">
        <f t="shared" si="291"/>
        <v>3.2812894500071943</v>
      </c>
      <c r="S41" s="354">
        <f t="shared" si="292"/>
        <v>4.4608409419342019</v>
      </c>
      <c r="T41" s="354">
        <f t="shared" si="293"/>
        <v>12.279900191236877</v>
      </c>
      <c r="U41" s="354">
        <f>IF(AE41&gt;0,(AD41+AB41)/AE41,"n/a")</f>
        <v>12.279900191236877</v>
      </c>
      <c r="V41" s="354">
        <f>IF((AA41+AC41+AD41)&gt;0,Y41/(AA41+AC41+AD41),"n/a")</f>
        <v>0.36708511759026419</v>
      </c>
      <c r="W41" s="354">
        <f>IF((AB41+AC41+AD41)&gt;0,Y41/(AB41+AC41+AD41),"n/a")</f>
        <v>0.36708511759026419</v>
      </c>
      <c r="X41" s="194"/>
      <c r="Y41" s="645">
        <f t="shared" si="29"/>
        <v>1257397.9923374369</v>
      </c>
      <c r="Z41" s="645">
        <f t="shared" si="30"/>
        <v>305408.11633475556</v>
      </c>
      <c r="AA41" s="645">
        <f t="shared" si="31"/>
        <v>3042155.7310831808</v>
      </c>
      <c r="AB41" s="645">
        <f t="shared" si="32"/>
        <v>3042155.7310831808</v>
      </c>
      <c r="AC41" s="352">
        <f>AC42+AC43+AC44</f>
        <v>77728.399999999994</v>
      </c>
      <c r="AD41" s="352">
        <f>AD42+AD43+AD44</f>
        <v>305474</v>
      </c>
      <c r="AE41" s="645">
        <f t="shared" si="35"/>
        <v>272610.5</v>
      </c>
      <c r="AG41" s="355">
        <f>AG42+AG43+AG44</f>
        <v>131451.48113866348</v>
      </c>
      <c r="AH41" s="355">
        <f t="shared" ref="AH41:AZ41" si="300">AH42+AH43+AH44</f>
        <v>133423.25335574342</v>
      </c>
      <c r="AI41" s="355">
        <f t="shared" si="300"/>
        <v>135424.60215607955</v>
      </c>
      <c r="AJ41" s="355">
        <f t="shared" si="300"/>
        <v>137455.97118842072</v>
      </c>
      <c r="AK41" s="355">
        <f t="shared" si="300"/>
        <v>139517.81075624702</v>
      </c>
      <c r="AL41" s="355">
        <f t="shared" si="300"/>
        <v>141610.57791759071</v>
      </c>
      <c r="AM41" s="355">
        <f t="shared" si="300"/>
        <v>142346.63242467819</v>
      </c>
      <c r="AN41" s="355">
        <f t="shared" si="300"/>
        <v>144481.83191104833</v>
      </c>
      <c r="AO41" s="355">
        <f t="shared" si="300"/>
        <v>145997.3644096771</v>
      </c>
      <c r="AP41" s="355">
        <f t="shared" si="300"/>
        <v>148187.32487582223</v>
      </c>
      <c r="AQ41" s="355">
        <f t="shared" si="300"/>
        <v>140446.23011978483</v>
      </c>
      <c r="AR41" s="355">
        <f t="shared" si="300"/>
        <v>142552.92357158154</v>
      </c>
      <c r="AS41" s="355">
        <f t="shared" si="300"/>
        <v>144691.21742515528</v>
      </c>
      <c r="AT41" s="355">
        <f t="shared" si="300"/>
        <v>146861.58568653261</v>
      </c>
      <c r="AU41" s="355">
        <f t="shared" si="300"/>
        <v>149064.50947183062</v>
      </c>
      <c r="AV41" s="355">
        <f t="shared" si="300"/>
        <v>59812.847470877176</v>
      </c>
      <c r="AW41" s="355">
        <f t="shared" si="300"/>
        <v>3381.77519215338</v>
      </c>
      <c r="AX41" s="355">
        <f t="shared" si="300"/>
        <v>3432.5018200356799</v>
      </c>
      <c r="AY41" s="355">
        <f t="shared" si="300"/>
        <v>0</v>
      </c>
      <c r="AZ41" s="355">
        <f t="shared" si="300"/>
        <v>0</v>
      </c>
      <c r="BB41" s="355">
        <f>BB42+BB43+BB44</f>
        <v>34729.242147492274</v>
      </c>
      <c r="BC41" s="355">
        <f t="shared" ref="BC41" si="301">BC42+BC43+BC44</f>
        <v>34729.242147492274</v>
      </c>
      <c r="BD41" s="355">
        <f t="shared" ref="BD41" si="302">BD42+BD43+BD44</f>
        <v>34729.242147492274</v>
      </c>
      <c r="BE41" s="355">
        <f t="shared" ref="BE41" si="303">BE42+BE43+BE44</f>
        <v>34729.242147492274</v>
      </c>
      <c r="BF41" s="355">
        <f t="shared" ref="BF41" si="304">BF42+BF43+BF44</f>
        <v>34729.242147492274</v>
      </c>
      <c r="BG41" s="355">
        <f t="shared" ref="BG41" si="305">BG42+BG43+BG44</f>
        <v>34729.242147492274</v>
      </c>
      <c r="BH41" s="355">
        <f t="shared" ref="BH41" si="306">BH42+BH43+BH44</f>
        <v>34385.71351620552</v>
      </c>
      <c r="BI41" s="355">
        <f t="shared" ref="BI41" si="307">BI42+BI43+BI44</f>
        <v>34385.71351620552</v>
      </c>
      <c r="BJ41" s="355">
        <f t="shared" ref="BJ41" si="308">BJ42+BJ43+BJ44</f>
        <v>34222.024880783523</v>
      </c>
      <c r="BK41" s="355">
        <f t="shared" ref="BK41" si="309">BK42+BK43+BK44</f>
        <v>34222.024880783523</v>
      </c>
      <c r="BL41" s="355">
        <f t="shared" ref="BL41" si="310">BL42+BL43+BL44</f>
        <v>31898.719620413522</v>
      </c>
      <c r="BM41" s="355">
        <f t="shared" ref="BM41" si="311">BM42+BM43+BM44</f>
        <v>31898.719620413522</v>
      </c>
      <c r="BN41" s="355">
        <f t="shared" ref="BN41" si="312">BN42+BN43+BN44</f>
        <v>31898.719620413522</v>
      </c>
      <c r="BO41" s="355">
        <f t="shared" ref="BO41" si="313">BO42+BO43+BO44</f>
        <v>31898.719620413522</v>
      </c>
      <c r="BP41" s="355">
        <f t="shared" ref="BP41" si="314">BP42+BP43+BP44</f>
        <v>31898.719620413522</v>
      </c>
      <c r="BQ41" s="355">
        <f t="shared" ref="BQ41" si="315">BQ42+BQ43+BQ44</f>
        <v>12538.05061358025</v>
      </c>
      <c r="BR41" s="355">
        <f t="shared" ref="BR41" si="316">BR42+BR43+BR44</f>
        <v>707.85170889525011</v>
      </c>
      <c r="BS41" s="355">
        <f t="shared" ref="BS41" si="317">BS42+BS43+BS44</f>
        <v>707.85170889525011</v>
      </c>
      <c r="BT41" s="355">
        <f t="shared" ref="BT41" si="318">BT42+BT43+BT44</f>
        <v>0</v>
      </c>
      <c r="BU41" s="355">
        <f t="shared" ref="BU41" si="319">BU42+BU43+BU44</f>
        <v>0</v>
      </c>
      <c r="BW41" s="355">
        <f>BW42+BW43+BW44</f>
        <v>318250.39407048537</v>
      </c>
      <c r="BX41" s="355">
        <f t="shared" ref="BX41" si="320">BX42+BX43+BX44</f>
        <v>323024.14998154261</v>
      </c>
      <c r="BY41" s="355">
        <f t="shared" ref="BY41" si="321">BY42+BY43+BY44</f>
        <v>327869.51223126578</v>
      </c>
      <c r="BZ41" s="355">
        <f t="shared" ref="BZ41" si="322">BZ42+BZ43+BZ44</f>
        <v>332787.55491473468</v>
      </c>
      <c r="CA41" s="355">
        <f t="shared" ref="CA41" si="323">CA42+CA43+CA44</f>
        <v>337779.36823845567</v>
      </c>
      <c r="CB41" s="355">
        <f t="shared" ref="CB41" si="324">CB42+CB43+CB44</f>
        <v>342846.05876203242</v>
      </c>
      <c r="CC41" s="355">
        <f t="shared" ref="CC41" si="325">CC42+CC43+CC44</f>
        <v>344546.57551364717</v>
      </c>
      <c r="CD41" s="355">
        <f t="shared" ref="CD41" si="326">CD42+CD43+CD44</f>
        <v>349714.77414635173</v>
      </c>
      <c r="CE41" s="355">
        <f t="shared" ref="CE41" si="327">CE42+CE43+CE44</f>
        <v>353270.75332664873</v>
      </c>
      <c r="CF41" s="355">
        <f t="shared" ref="CF41" si="328">CF42+CF43+CF44</f>
        <v>358569.81462654832</v>
      </c>
      <c r="CG41" s="355">
        <f t="shared" ref="CG41" si="329">CG42+CG43+CG44</f>
        <v>339240.20543131739</v>
      </c>
      <c r="CH41" s="355">
        <f t="shared" ref="CH41" si="330">CH42+CH43+CH44</f>
        <v>344328.8085127871</v>
      </c>
      <c r="CI41" s="355">
        <f t="shared" ref="CI41" si="331">CI42+CI43+CI44</f>
        <v>349493.74064047891</v>
      </c>
      <c r="CJ41" s="355">
        <f t="shared" ref="CJ41" si="332">CJ42+CJ43+CJ44</f>
        <v>354736.14675008599</v>
      </c>
      <c r="CK41" s="355">
        <f t="shared" ref="CK41" si="333">CK42+CK43+CK44</f>
        <v>360057.18895133724</v>
      </c>
      <c r="CL41" s="355">
        <f t="shared" ref="CL41" si="334">CL42+CL43+CL44</f>
        <v>143646.25108042886</v>
      </c>
      <c r="CM41" s="355">
        <f t="shared" ref="CM41" si="335">CM42+CM43+CM44</f>
        <v>8231.379115382475</v>
      </c>
      <c r="CN41" s="355">
        <f t="shared" ref="CN41" si="336">CN42+CN43+CN44</f>
        <v>8354.8498021132109</v>
      </c>
      <c r="CO41" s="355">
        <f t="shared" ref="CO41" si="337">CO42+CO43+CO44</f>
        <v>0</v>
      </c>
      <c r="CP41" s="355">
        <f t="shared" ref="CP41" si="338">CP42+CP43+CP44</f>
        <v>0</v>
      </c>
      <c r="CR41" s="355">
        <f>CR42+CR43+CR44</f>
        <v>318250.39407048537</v>
      </c>
      <c r="CS41" s="355">
        <f t="shared" ref="CS41" si="339">CS42+CS43+CS44</f>
        <v>323024.14998154261</v>
      </c>
      <c r="CT41" s="355">
        <f t="shared" ref="CT41" si="340">CT42+CT43+CT44</f>
        <v>327869.51223126578</v>
      </c>
      <c r="CU41" s="355">
        <f t="shared" ref="CU41" si="341">CU42+CU43+CU44</f>
        <v>332787.55491473468</v>
      </c>
      <c r="CV41" s="355">
        <f t="shared" ref="CV41" si="342">CV42+CV43+CV44</f>
        <v>337779.36823845567</v>
      </c>
      <c r="CW41" s="355">
        <f t="shared" ref="CW41" si="343">CW42+CW43+CW44</f>
        <v>342846.05876203242</v>
      </c>
      <c r="CX41" s="355">
        <f t="shared" ref="CX41" si="344">CX42+CX43+CX44</f>
        <v>344546.57551364717</v>
      </c>
      <c r="CY41" s="355">
        <f t="shared" ref="CY41" si="345">CY42+CY43+CY44</f>
        <v>349714.77414635173</v>
      </c>
      <c r="CZ41" s="355">
        <f t="shared" ref="CZ41" si="346">CZ42+CZ43+CZ44</f>
        <v>353270.75332664873</v>
      </c>
      <c r="DA41" s="355">
        <f t="shared" ref="DA41" si="347">DA42+DA43+DA44</f>
        <v>358569.81462654832</v>
      </c>
      <c r="DB41" s="355">
        <f t="shared" ref="DB41" si="348">DB42+DB43+DB44</f>
        <v>339240.20543131739</v>
      </c>
      <c r="DC41" s="355">
        <f t="shared" ref="DC41" si="349">DC42+DC43+DC44</f>
        <v>344328.8085127871</v>
      </c>
      <c r="DD41" s="355">
        <f t="shared" ref="DD41" si="350">DD42+DD43+DD44</f>
        <v>349493.74064047891</v>
      </c>
      <c r="DE41" s="355">
        <f t="shared" ref="DE41" si="351">DE42+DE43+DE44</f>
        <v>354736.14675008599</v>
      </c>
      <c r="DF41" s="355">
        <f t="shared" ref="DF41" si="352">DF42+DF43+DF44</f>
        <v>360057.18895133724</v>
      </c>
      <c r="DG41" s="355">
        <f t="shared" ref="DG41" si="353">DG42+DG43+DG44</f>
        <v>143646.25108042886</v>
      </c>
      <c r="DH41" s="355">
        <f t="shared" ref="DH41" si="354">DH42+DH43+DH44</f>
        <v>8231.379115382475</v>
      </c>
      <c r="DI41" s="355">
        <f t="shared" ref="DI41" si="355">DI42+DI43+DI44</f>
        <v>8354.8498021132109</v>
      </c>
      <c r="DJ41" s="355">
        <f t="shared" ref="DJ41" si="356">DJ42+DJ43+DJ44</f>
        <v>0</v>
      </c>
      <c r="DK41" s="355">
        <f t="shared" ref="DK41" si="357">DK42+DK43+DK44</f>
        <v>0</v>
      </c>
      <c r="DM41" s="355">
        <f>DM42+DM43+DM44</f>
        <v>272610.5</v>
      </c>
      <c r="DN41" s="355">
        <f t="shared" ref="DN41" si="358">DN42+DN43+DN44</f>
        <v>0</v>
      </c>
      <c r="DO41" s="355">
        <f t="shared" ref="DO41" si="359">DO42+DO43+DO44</f>
        <v>0</v>
      </c>
      <c r="DP41" s="355">
        <f t="shared" ref="DP41" si="360">DP42+DP43+DP44</f>
        <v>0</v>
      </c>
      <c r="DQ41" s="355">
        <f t="shared" ref="DQ41" si="361">DQ42+DQ43+DQ44</f>
        <v>0</v>
      </c>
      <c r="DR41" s="355">
        <f t="shared" ref="DR41" si="362">DR42+DR43+DR44</f>
        <v>0</v>
      </c>
      <c r="DS41" s="355">
        <f t="shared" ref="DS41" si="363">DS42+DS43+DS44</f>
        <v>0</v>
      </c>
      <c r="DT41" s="355">
        <f t="shared" ref="DT41" si="364">DT42+DT43+DT44</f>
        <v>0</v>
      </c>
      <c r="DU41" s="355">
        <f t="shared" ref="DU41" si="365">DU42+DU43+DU44</f>
        <v>0</v>
      </c>
      <c r="DV41" s="355">
        <f t="shared" ref="DV41" si="366">DV42+DV43+DV44</f>
        <v>0</v>
      </c>
      <c r="DW41" s="355">
        <f t="shared" ref="DW41" si="367">DW42+DW43+DW44</f>
        <v>0</v>
      </c>
      <c r="DZ41" s="650"/>
      <c r="FO41" s="195"/>
    </row>
    <row r="42" spans="1:171">
      <c r="A42" s="441" t="s">
        <v>12</v>
      </c>
      <c r="B42" s="426" t="str">
        <f>'Portfolio Inputs'!A41</f>
        <v>SBDI</v>
      </c>
      <c r="C42" s="356">
        <f>IF($C$1=2014,'Portfolio Inputs'!$C41,IF($C$1=2015,'Portfolio Inputs'!$D41,'Portfolio Inputs'!$E41))</f>
        <v>0</v>
      </c>
      <c r="D42" s="527">
        <v>15</v>
      </c>
      <c r="E42" s="527"/>
      <c r="G42" s="615">
        <f>Sources!D113*C42*EnergyLineLoss</f>
        <v>0</v>
      </c>
      <c r="H42" s="527"/>
      <c r="I42" s="443">
        <f>Sources!E113*C42*PeakLineLoss</f>
        <v>0</v>
      </c>
      <c r="J42" s="443"/>
      <c r="L42" s="607">
        <f>IF($C$1=2014,'Portfolio Inputs'!$O41,IF($C$1=2015,'Portfolio Inputs'!$P41,'Portfolio Inputs'!$Q41))</f>
        <v>1420</v>
      </c>
      <c r="M42" s="519"/>
      <c r="N42" s="453">
        <f>IF($C$1=2014,'Portfolio Inputs'!$W41,IF($C$1=2015,'Portfolio Inputs'!$X41,'Portfolio Inputs'!$Y41))</f>
        <v>0</v>
      </c>
      <c r="O42" s="453">
        <f>IF($C$1=2014,'Portfolio Inputs'!$AA41,IF($C$1=2015,'Portfolio Inputs'!$AB41,'Portfolio Inputs'!$AC41))+Expenditures!G13</f>
        <v>0</v>
      </c>
      <c r="Q42" s="442" t="str">
        <f t="shared" ref="Q42" si="368">IF(OR(AE42&gt;0,AC42&gt;0),Y42/(AC42+AE42),"n/a")</f>
        <v>n/a</v>
      </c>
      <c r="R42" s="443" t="str">
        <f t="shared" ref="R42" si="369">IF(OR(AC42&gt;0,AD42&gt;0),Y42/((AD42+AC42)),"n/a")</f>
        <v>n/a</v>
      </c>
      <c r="S42" s="443" t="str">
        <f t="shared" ref="S42" si="370">IF(OR(AC42&gt;0,AE42&gt;0),(Y42+Z42)/(AC42+AE42),"n/a")</f>
        <v>n/a</v>
      </c>
      <c r="T42" s="443" t="str">
        <f t="shared" ref="T42" si="371">IF(AE42&gt;0,(AD42+AA42)/AE42,"n/a")</f>
        <v>n/a</v>
      </c>
      <c r="U42" s="443" t="str">
        <f>IF(AE42&gt;0,(AD42+AB42)/AE42,"n/a")</f>
        <v>n/a</v>
      </c>
      <c r="V42" s="522" t="str">
        <f t="shared" ref="V42" si="372">IF((AA42+AC42+AD42)&gt;0,Y42/(AA42+AC42+AD42),"n/a")</f>
        <v>n/a</v>
      </c>
      <c r="W42" s="522" t="str">
        <f t="shared" ref="W42" si="373">IF((AB42+AC42+AD42)&gt;0,Y42/(AB42+AC42+AD42),"n/a")</f>
        <v>n/a</v>
      </c>
      <c r="Y42" s="444">
        <f t="shared" ref="Y42" si="374">AG42+NPV(DiscountRate,AH42:AZ42)</f>
        <v>0</v>
      </c>
      <c r="Z42" s="444">
        <f t="shared" ref="Z42" si="375">BB42+NPV(DiscountRate,BC42:BU42)</f>
        <v>0</v>
      </c>
      <c r="AA42" s="444">
        <f t="shared" ref="AA42" si="376">BW42+NPV(DiscountRate,BX42:CP42)</f>
        <v>0</v>
      </c>
      <c r="AB42" s="444">
        <f t="shared" ref="AB42" si="377">CR42+NPV(DiscountRate,CS42:DK42)</f>
        <v>0</v>
      </c>
      <c r="AC42" s="445">
        <f t="shared" ref="AC42" si="378">O42/((1+DiscountRate)^(IF($C$1=2015,1,IF($C$1=2016,2,0))))</f>
        <v>0</v>
      </c>
      <c r="AD42" s="445">
        <f t="shared" ref="AD42" si="379">N42/((1+DiscountRate)^(IF($C$1=2015,1,IF($C$1=2016,2,0))))</f>
        <v>0</v>
      </c>
      <c r="AE42" s="526">
        <f t="shared" ref="AE42" si="380">DM42+NPV(DiscountRate,DN42:DW42)</f>
        <v>0</v>
      </c>
      <c r="AG42" s="520">
        <f>IF(AND(($E42+$C$1)&gt;AG$4,AG$4&gt;=$C$1),'General Inputs'!D$9*$H42,IF(AND(($D42+$C$1)&gt;AG$4,AG$4&gt;=$C$1),'General Inputs'!D$9*$G42,0))+IF(AND(($E42+$C$1)&gt;AG$4,AG$4&gt;=$C$1),'General Inputs'!D$10*$J42,IF(AND(($D42+$C$1)&gt;AG$4,AG$4&gt;=$C$1),'General Inputs'!D$10*$I42,0))</f>
        <v>0</v>
      </c>
      <c r="AH42" s="520">
        <f>IF(AND(($E42+$C$1)&gt;AH$4,AH$4&gt;=$C$1),'General Inputs'!E$9*$H42,IF(AND(($D42+$C$1)&gt;AH$4,AH$4&gt;=$C$1),'General Inputs'!E$9*$G42,0))+IF(AND(($E42+$C$1)&gt;AH$4,AH$4&gt;=$C$1),'General Inputs'!E$10*$J42,IF(AND(($D42+$C$1)&gt;AH$4,AH$4&gt;=$C$1),'General Inputs'!E$10*$I42,0))</f>
        <v>0</v>
      </c>
      <c r="AI42" s="520">
        <f>IF(AND(($E42+$C$1)&gt;AI$4,AI$4&gt;=$C$1),'General Inputs'!F$9*$H42,IF(AND(($D42+$C$1)&gt;AI$4,AI$4&gt;=$C$1),'General Inputs'!F$9*$G42,0))+IF(AND(($E42+$C$1)&gt;AI$4,AI$4&gt;=$C$1),'General Inputs'!F$10*$J42,IF(AND(($D42+$C$1)&gt;AI$4,AI$4&gt;=$C$1),'General Inputs'!F$10*$I42,0))</f>
        <v>0</v>
      </c>
      <c r="AJ42" s="520">
        <f>IF(AND(($E42+$C$1)&gt;AJ$4,AJ$4&gt;=$C$1),'General Inputs'!G$9*$H42,IF(AND(($D42+$C$1)&gt;AJ$4,AJ$4&gt;=$C$1),'General Inputs'!G$9*$G42,0))+IF(AND(($E42+$C$1)&gt;AJ$4,AJ$4&gt;=$C$1),'General Inputs'!G$10*$J42,IF(AND(($D42+$C$1)&gt;AJ$4,AJ$4&gt;=$C$1),'General Inputs'!G$10*$I42,0))</f>
        <v>0</v>
      </c>
      <c r="AK42" s="520">
        <f>IF(AND(($E42+$C$1)&gt;AK$4,AK$4&gt;=$C$1),'General Inputs'!H$9*$H42,IF(AND(($D42+$C$1)&gt;AK$4,AK$4&gt;=$C$1),'General Inputs'!H$9*$G42,0))+IF(AND(($E42+$C$1)&gt;AK$4,AK$4&gt;=$C$1),'General Inputs'!H$10*$J42,IF(AND(($D42+$C$1)&gt;AK$4,AK$4&gt;=$C$1),'General Inputs'!H$10*$I42,0))</f>
        <v>0</v>
      </c>
      <c r="AL42" s="520">
        <f>IF(AND(($E42+$C$1)&gt;AL$4,AL$4&gt;=$C$1),'General Inputs'!I$9*$H42,IF(AND(($D42+$C$1)&gt;AL$4,AL$4&gt;=$C$1),'General Inputs'!I$9*$G42,0))+IF(AND(($E42+$C$1)&gt;AL$4,AL$4&gt;=$C$1),'General Inputs'!I$10*$J42,IF(AND(($D42+$C$1)&gt;AL$4,AL$4&gt;=$C$1),'General Inputs'!I$10*$I42,0))</f>
        <v>0</v>
      </c>
      <c r="AM42" s="520">
        <f>IF(AND(($E42+$C$1)&gt;AM$4,AM$4&gt;=$C$1),'General Inputs'!J$9*$H42,IF(AND(($D42+$C$1)&gt;AM$4,AM$4&gt;=$C$1),'General Inputs'!J$9*$G42,0))+IF(AND(($E42+$C$1)&gt;AM$4,AM$4&gt;=$C$1),'General Inputs'!J$10*$J42,IF(AND(($D42+$C$1)&gt;AM$4,AM$4&gt;=$C$1),'General Inputs'!J$10*$I42,0))</f>
        <v>0</v>
      </c>
      <c r="AN42" s="520">
        <f>IF(AND(($E42+$C$1)&gt;AN$4,AN$4&gt;=$C$1),'General Inputs'!K$9*$H42,IF(AND(($D42+$C$1)&gt;AN$4,AN$4&gt;=$C$1),'General Inputs'!K$9*$G42,0))+IF(AND(($E42+$C$1)&gt;AN$4,AN$4&gt;=$C$1),'General Inputs'!K$10*$J42,IF(AND(($D42+$C$1)&gt;AN$4,AN$4&gt;=$C$1),'General Inputs'!K$10*$I42,0))</f>
        <v>0</v>
      </c>
      <c r="AO42" s="520">
        <f>IF(AND(($E42+$C$1)&gt;AO$4,AO$4&gt;=$C$1),'General Inputs'!L$9*$H42,IF(AND(($D42+$C$1)&gt;AO$4,AO$4&gt;=$C$1),'General Inputs'!L$9*$G42,0))+IF(AND(($E42+$C$1)&gt;AO$4,AO$4&gt;=$C$1),'General Inputs'!L$10*$J42,IF(AND(($D42+$C$1)&gt;AO$4,AO$4&gt;=$C$1),'General Inputs'!L$10*$I42,0))</f>
        <v>0</v>
      </c>
      <c r="AP42" s="520">
        <f>IF(AND(($E42+$C$1)&gt;AP$4,AP$4&gt;=$C$1),'General Inputs'!M$9*$H42,IF(AND(($D42+$C$1)&gt;AP$4,AP$4&gt;=$C$1),'General Inputs'!M$9*$G42,0))+IF(AND(($E42+$C$1)&gt;AP$4,AP$4&gt;=$C$1),'General Inputs'!M$10*$J42,IF(AND(($D42+$C$1)&gt;AP$4,AP$4&gt;=$C$1),'General Inputs'!M$10*$I42,0))</f>
        <v>0</v>
      </c>
      <c r="AQ42" s="520">
        <f>IF(AND(($E42+$C$1)&gt;AQ$4,AQ$4&gt;=$C$1),'General Inputs'!N$9*$H42,IF(AND(($D42+$C$1)&gt;AQ$4,AQ$4&gt;=$C$1),'General Inputs'!N$9*$G42,0))+IF(AND(($E42+$C$1)&gt;AQ$4,AQ$4&gt;=$C$1),'General Inputs'!N$10*$J42,IF(AND(($D42+$C$1)&gt;AQ$4,AQ$4&gt;=$C$1),'General Inputs'!N$10*$I42,0))</f>
        <v>0</v>
      </c>
      <c r="AR42" s="520">
        <f>IF(AND(($E42+$C$1)&gt;AR$4,AR$4&gt;=$C$1),'General Inputs'!O$9*$H42,IF(AND(($D42+$C$1)&gt;AR$4,AR$4&gt;=$C$1),'General Inputs'!O$9*$G42,0))+IF(AND(($E42+$C$1)&gt;AR$4,AR$4&gt;=$C$1),'General Inputs'!O$10*$J42,IF(AND(($D42+$C$1)&gt;AR$4,AR$4&gt;=$C$1),'General Inputs'!O$10*$I42,0))</f>
        <v>0</v>
      </c>
      <c r="AS42" s="520">
        <f>IF(AND(($E42+$C$1)&gt;AS$4,AS$4&gt;=$C$1),'General Inputs'!P$9*$H42,IF(AND(($D42+$C$1)&gt;AS$4,AS$4&gt;=$C$1),'General Inputs'!P$9*$G42,0))+IF(AND(($E42+$C$1)&gt;AS$4,AS$4&gt;=$C$1),'General Inputs'!P$10*$J42,IF(AND(($D42+$C$1)&gt;AS$4,AS$4&gt;=$C$1),'General Inputs'!P$10*$I42,0))</f>
        <v>0</v>
      </c>
      <c r="AT42" s="520">
        <f>IF(AND(($E42+$C$1)&gt;AT$4,AT$4&gt;=$C$1),'General Inputs'!Q$9*$H42,IF(AND(($D42+$C$1)&gt;AT$4,AT$4&gt;=$C$1),'General Inputs'!Q$9*$G42,0))+IF(AND(($E42+$C$1)&gt;AT$4,AT$4&gt;=$C$1),'General Inputs'!Q$10*$J42,IF(AND(($D42+$C$1)&gt;AT$4,AT$4&gt;=$C$1),'General Inputs'!Q$10*$I42,0))</f>
        <v>0</v>
      </c>
      <c r="AU42" s="520">
        <f>IF(AND(($E42+$C$1)&gt;AU$4,AU$4&gt;=$C$1),'General Inputs'!R$9*$H42,IF(AND(($D42+$C$1)&gt;AU$4,AU$4&gt;=$C$1),'General Inputs'!R$9*$G42,0))+IF(AND(($E42+$C$1)&gt;AU$4,AU$4&gt;=$C$1),'General Inputs'!R$10*$J42,IF(AND(($D42+$C$1)&gt;AU$4,AU$4&gt;=$C$1),'General Inputs'!R$10*$I42,0))</f>
        <v>0</v>
      </c>
      <c r="AV42" s="520">
        <f>IF(AND(($E42+$C$1)&gt;AV$4,AV$4&gt;=$C$1),'General Inputs'!S$9*$H42,IF(AND(($D42+$C$1)&gt;AV$4,AV$4&gt;=$C$1),'General Inputs'!S$9*$G42,0))+IF(AND(($E42+$C$1)&gt;AV$4,AV$4&gt;=$C$1),'General Inputs'!S$10*$J42,IF(AND(($D42+$C$1)&gt;AV$4,AV$4&gt;=$C$1),'General Inputs'!S$10*$I42,0))</f>
        <v>0</v>
      </c>
      <c r="AW42" s="520">
        <f>IF(AND(($E42+$C$1)&gt;AW$4,AW$4&gt;=$C$1),'General Inputs'!T$9*$H42,IF(AND(($D42+$C$1)&gt;AW$4,AW$4&gt;=$C$1),'General Inputs'!T$9*$G42,0))+IF(AND(($E42+$C$1)&gt;AW$4,AW$4&gt;=$C$1),'General Inputs'!T$10*$J42,IF(AND(($D42+$C$1)&gt;AW$4,AW$4&gt;=$C$1),'General Inputs'!T$10*$I42,0))</f>
        <v>0</v>
      </c>
      <c r="AX42" s="520">
        <f>IF(AND(($E42+$C$1)&gt;AX$4,AX$4&gt;=$C$1),'General Inputs'!U$9*$H42,IF(AND(($D42+$C$1)&gt;AX$4,AX$4&gt;=$C$1),'General Inputs'!U$9*$G42,0))+IF(AND(($E42+$C$1)&gt;AX$4,AX$4&gt;=$C$1),'General Inputs'!U$10*$J42,IF(AND(($D42+$C$1)&gt;AX$4,AX$4&gt;=$C$1),'General Inputs'!U$10*$I42,0))</f>
        <v>0</v>
      </c>
      <c r="AY42" s="520">
        <f>IF(AND(($E42+$C$1)&gt;AY$4,AY$4&gt;=$C$1),'General Inputs'!V$9*$H42,IF(AND(($D42+$C$1)&gt;AY$4,AY$4&gt;=$C$1),'General Inputs'!V$9*$G42,0))+IF(AND(($E42+$C$1)&gt;AY$4,AY$4&gt;=$C$1),'General Inputs'!V$10*$J42,IF(AND(($D42+$C$1)&gt;AY$4,AY$4&gt;=$C$1),'General Inputs'!V$10*$I42,0))</f>
        <v>0</v>
      </c>
      <c r="AZ42" s="520">
        <f>IF(AND(($E42+$C$1)&gt;AZ$4,AZ$4&gt;=$C$1),'General Inputs'!W$9*$H42,IF(AND(($D42+$C$1)&gt;AZ$4,AZ$4&gt;=$C$1),'General Inputs'!W$9*$G42,0))+IF(AND(($E42+$C$1)&gt;AZ$4,AZ$4&gt;=$C$1),'General Inputs'!W$10*$J42,IF(AND(($D42+$C$1)&gt;AZ$4,AZ$4&gt;=$C$1),'General Inputs'!W$10*$I42,0))</f>
        <v>0</v>
      </c>
      <c r="BB42" s="520">
        <f>IF(AND(($E42+$C$1)&gt;BB$4,BB$4&gt;=$C$1),'General Inputs'!D$11*$H42,IF(AND(($D42+$C$1)&gt;BB$4,BB$4&gt;=$C$1),'General Inputs'!D$11*$G42,0))</f>
        <v>0</v>
      </c>
      <c r="BC42" s="520">
        <f>IF(AND(($E42+$C$1)&gt;BC$4,BC$4&gt;=$C$1),'General Inputs'!E$11*$H42,IF(AND(($D42+$C$1)&gt;BC$4,BC$4&gt;=$C$1),'General Inputs'!E$11*$G42,0))</f>
        <v>0</v>
      </c>
      <c r="BD42" s="520">
        <f>IF(AND(($E42+$C$1)&gt;BD$4,BD$4&gt;=$C$1),'General Inputs'!F$11*$H42,IF(AND(($D42+$C$1)&gt;BD$4,BD$4&gt;=$C$1),'General Inputs'!F$11*$G42,0))</f>
        <v>0</v>
      </c>
      <c r="BE42" s="520">
        <f>IF(AND(($E42+$C$1)&gt;BE$4,BE$4&gt;=$C$1),'General Inputs'!G$11*$H42,IF(AND(($D42+$C$1)&gt;BE$4,BE$4&gt;=$C$1),'General Inputs'!G$11*$G42,0))</f>
        <v>0</v>
      </c>
      <c r="BF42" s="520">
        <f>IF(AND(($E42+$C$1)&gt;BF$4,BF$4&gt;=$C$1),'General Inputs'!H$11*$H42,IF(AND(($D42+$C$1)&gt;BF$4,BF$4&gt;=$C$1),'General Inputs'!H$11*$G42,0))</f>
        <v>0</v>
      </c>
      <c r="BG42" s="520">
        <f>IF(AND(($E42+$C$1)&gt;BG$4,BG$4&gt;=$C$1),'General Inputs'!I$11*$H42,IF(AND(($D42+$C$1)&gt;BG$4,BG$4&gt;=$C$1),'General Inputs'!I$11*$G42,0))</f>
        <v>0</v>
      </c>
      <c r="BH42" s="520">
        <f>IF(AND(($E42+$C$1)&gt;BH$4,BH$4&gt;=$C$1),'General Inputs'!J$11*$H42,IF(AND(($D42+$C$1)&gt;BH$4,BH$4&gt;=$C$1),'General Inputs'!J$11*$G42,0))</f>
        <v>0</v>
      </c>
      <c r="BI42" s="520">
        <f>IF(AND(($E42+$C$1)&gt;BI$4,BI$4&gt;=$C$1),'General Inputs'!K$11*$H42,IF(AND(($D42+$C$1)&gt;BI$4,BI$4&gt;=$C$1),'General Inputs'!K$11*$G42,0))</f>
        <v>0</v>
      </c>
      <c r="BJ42" s="520">
        <f>IF(AND(($E42+$C$1)&gt;BJ$4,BJ$4&gt;=$C$1),'General Inputs'!L$11*$H42,IF(AND(($D42+$C$1)&gt;BJ$4,BJ$4&gt;=$C$1),'General Inputs'!L$11*$G42,0))</f>
        <v>0</v>
      </c>
      <c r="BK42" s="520">
        <f>IF(AND(($E42+$C$1)&gt;BK$4,BK$4&gt;=$C$1),'General Inputs'!M$11*$H42,IF(AND(($D42+$C$1)&gt;BK$4,BK$4&gt;=$C$1),'General Inputs'!M$11*$G42,0))</f>
        <v>0</v>
      </c>
      <c r="BL42" s="520">
        <f>IF(AND(($E42+$C$1)&gt;BL$4,BL$4&gt;=$C$1),'General Inputs'!N$11*$H42,IF(AND(($D42+$C$1)&gt;BL$4,BL$4&gt;=$C$1),'General Inputs'!N$11*$G42,0))</f>
        <v>0</v>
      </c>
      <c r="BM42" s="520">
        <f>IF(AND(($E42+$C$1)&gt;BM$4,BM$4&gt;=$C$1),'General Inputs'!O$11*$H42,IF(AND(($D42+$C$1)&gt;BM$4,BM$4&gt;=$C$1),'General Inputs'!O$11*$G42,0))</f>
        <v>0</v>
      </c>
      <c r="BN42" s="520">
        <f>IF(AND(($E42+$C$1)&gt;BN$4,BN$4&gt;=$C$1),'General Inputs'!P$11*$H42,IF(AND(($D42+$C$1)&gt;BN$4,BN$4&gt;=$C$1),'General Inputs'!P$11*$G42,0))</f>
        <v>0</v>
      </c>
      <c r="BO42" s="520">
        <f>IF(AND(($E42+$C$1)&gt;BO$4,BO$4&gt;=$C$1),'General Inputs'!Q$11*$H42,IF(AND(($D42+$C$1)&gt;BO$4,BO$4&gt;=$C$1),'General Inputs'!Q$11*$G42,0))</f>
        <v>0</v>
      </c>
      <c r="BP42" s="520">
        <f>IF(AND(($E42+$C$1)&gt;BP$4,BP$4&gt;=$C$1),'General Inputs'!R$11*$H42,IF(AND(($D42+$C$1)&gt;BP$4,BP$4&gt;=$C$1),'General Inputs'!R$11*$G42,0))</f>
        <v>0</v>
      </c>
      <c r="BQ42" s="520">
        <f>IF(AND(($E42+$C$1)&gt;BQ$4,BQ$4&gt;=$C$1),'General Inputs'!S$11*$H42,IF(AND(($D42+$C$1)&gt;BQ$4,BQ$4&gt;=$C$1),'General Inputs'!S$11*$G42,0))</f>
        <v>0</v>
      </c>
      <c r="BR42" s="520">
        <f>IF(AND(($E42+$C$1)&gt;BR$4,BR$4&gt;=$C$1),'General Inputs'!T$11*$H42,IF(AND(($D42+$C$1)&gt;BR$4,BR$4&gt;=$C$1),'General Inputs'!T$11*$G42,0))</f>
        <v>0</v>
      </c>
      <c r="BS42" s="520">
        <f>IF(AND(($E42+$C$1)&gt;BS$4,BS$4&gt;=$C$1),'General Inputs'!U$11*$H42,IF(AND(($D42+$C$1)&gt;BS$4,BS$4&gt;=$C$1),'General Inputs'!U$11*$G42,0))</f>
        <v>0</v>
      </c>
      <c r="BT42" s="520">
        <f>IF(AND(($E42+$C$1)&gt;BT$4,BT$4&gt;=$C$1),'General Inputs'!V$11*$H42,IF(AND(($D42+$C$1)&gt;BT$4,BT$4&gt;=$C$1),'General Inputs'!V$11*$G42,0))</f>
        <v>0</v>
      </c>
      <c r="BU42" s="520">
        <f>IF(AND(($E42+$C$1)&gt;BU$4,BU$4&gt;=$C$1),'General Inputs'!W$11*$H42,IF(AND(($D42+$C$1)&gt;BU$4,BU$4&gt;=$C$1),'General Inputs'!W$11*$G42,0))</f>
        <v>0</v>
      </c>
      <c r="BW42" s="520">
        <f>IF(AND(($E42+$C$1)&gt;BW$4,BW$4&gt;=$C$1),$H42,IF(AND(($D42+$C$1)&gt;BW$4,BW$4&gt;=$C$1),$G42,0))*IF($A42="Residential",'General Inputs'!D$14,'General Inputs'!D$19)</f>
        <v>0</v>
      </c>
      <c r="BX42" s="520">
        <f>IF(AND(($E42+$C$1)&gt;BX$4,BX$4&gt;=$C$1),$H42,IF(AND(($D42+$C$1)&gt;BX$4,BX$4&gt;=$C$1),$G42,0))*IF($A42="Residential",'General Inputs'!E$14,'General Inputs'!E$19)</f>
        <v>0</v>
      </c>
      <c r="BY42" s="520">
        <f>IF(AND(($E42+$C$1)&gt;BY$4,BY$4&gt;=$C$1),$H42,IF(AND(($D42+$C$1)&gt;BY$4,BY$4&gt;=$C$1),$G42,0))*IF($A42="Residential",'General Inputs'!F$14,'General Inputs'!F$19)</f>
        <v>0</v>
      </c>
      <c r="BZ42" s="520">
        <f>IF(AND(($E42+$C$1)&gt;BZ$4,BZ$4&gt;=$C$1),$H42,IF(AND(($D42+$C$1)&gt;BZ$4,BZ$4&gt;=$C$1),$G42,0))*IF($A42="Residential",'General Inputs'!G$14,'General Inputs'!G$19)</f>
        <v>0</v>
      </c>
      <c r="CA42" s="520">
        <f>IF(AND(($E42+$C$1)&gt;CA$4,CA$4&gt;=$C$1),$H42,IF(AND(($D42+$C$1)&gt;CA$4,CA$4&gt;=$C$1),$G42,0))*IF($A42="Residential",'General Inputs'!H$14,'General Inputs'!H$19)</f>
        <v>0</v>
      </c>
      <c r="CB42" s="520">
        <f>IF(AND(($E42+$C$1)&gt;CB$4,CB$4&gt;=$C$1),$H42,IF(AND(($D42+$C$1)&gt;CB$4,CB$4&gt;=$C$1),$G42,0))*IF($A42="Residential",'General Inputs'!I$14,'General Inputs'!I$19)</f>
        <v>0</v>
      </c>
      <c r="CC42" s="520">
        <f>IF(AND(($E42+$C$1)&gt;CC$4,CC$4&gt;=$C$1),$H42,IF(AND(($D42+$C$1)&gt;CC$4,CC$4&gt;=$C$1),$G42,0))*IF($A42="Residential",'General Inputs'!J$14,'General Inputs'!J$19)</f>
        <v>0</v>
      </c>
      <c r="CD42" s="520">
        <f>IF(AND(($E42+$C$1)&gt;CD$4,CD$4&gt;=$C$1),$H42,IF(AND(($D42+$C$1)&gt;CD$4,CD$4&gt;=$C$1),$G42,0))*IF($A42="Residential",'General Inputs'!K$14,'General Inputs'!K$19)</f>
        <v>0</v>
      </c>
      <c r="CE42" s="520">
        <f>IF(AND(($E42+$C$1)&gt;CE$4,CE$4&gt;=$C$1),$H42,IF(AND(($D42+$C$1)&gt;CE$4,CE$4&gt;=$C$1),$G42,0))*IF($A42="Residential",'General Inputs'!L$14,'General Inputs'!L$19)</f>
        <v>0</v>
      </c>
      <c r="CF42" s="520">
        <f>IF(AND(($E42+$C$1)&gt;CF$4,CF$4&gt;=$C$1),$H42,IF(AND(($D42+$C$1)&gt;CF$4,CF$4&gt;=$C$1),$G42,0))*IF($A42="Residential",'General Inputs'!M$14,'General Inputs'!M$19)</f>
        <v>0</v>
      </c>
      <c r="CG42" s="520">
        <f>IF(AND(($E42+$C$1)&gt;CG$4,CG$4&gt;=$C$1),$H42,IF(AND(($D42+$C$1)&gt;CG$4,CG$4&gt;=$C$1),$G42,0))*IF($A42="Residential",'General Inputs'!N$14,'General Inputs'!N$19)</f>
        <v>0</v>
      </c>
      <c r="CH42" s="520">
        <f>IF(AND(($E42+$C$1)&gt;CH$4,CH$4&gt;=$C$1),$H42,IF(AND(($D42+$C$1)&gt;CH$4,CH$4&gt;=$C$1),$G42,0))*IF($A42="Residential",'General Inputs'!O$14,'General Inputs'!O$19)</f>
        <v>0</v>
      </c>
      <c r="CI42" s="520">
        <f>IF(AND(($E42+$C$1)&gt;CI$4,CI$4&gt;=$C$1),$H42,IF(AND(($D42+$C$1)&gt;CI$4,CI$4&gt;=$C$1),$G42,0))*IF($A42="Residential",'General Inputs'!P$14,'General Inputs'!P$19)</f>
        <v>0</v>
      </c>
      <c r="CJ42" s="520">
        <f>IF(AND(($E42+$C$1)&gt;CJ$4,CJ$4&gt;=$C$1),$H42,IF(AND(($D42+$C$1)&gt;CJ$4,CJ$4&gt;=$C$1),$G42,0))*IF($A42="Residential",'General Inputs'!Q$14,'General Inputs'!Q$19)</f>
        <v>0</v>
      </c>
      <c r="CK42" s="520">
        <f>IF(AND(($E42+$C$1)&gt;CK$4,CK$4&gt;=$C$1),$H42,IF(AND(($D42+$C$1)&gt;CK$4,CK$4&gt;=$C$1),$G42,0))*IF($A42="Residential",'General Inputs'!R$14,'General Inputs'!R$19)</f>
        <v>0</v>
      </c>
      <c r="CL42" s="520">
        <f>IF(AND(($E42+$C$1)&gt;CL$4,CL$4&gt;=$C$1),$H42,IF(AND(($D42+$C$1)&gt;CL$4,CL$4&gt;=$C$1),$G42,0))*IF($A42="Residential",'General Inputs'!S$14,'General Inputs'!S$19)</f>
        <v>0</v>
      </c>
      <c r="CM42" s="520">
        <f>IF(AND(($E42+$C$1)&gt;CM$4,CM$4&gt;=$C$1),$H42,IF(AND(($D42+$C$1)&gt;CM$4,CM$4&gt;=$C$1),$G42,0))*IF($A42="Residential",'General Inputs'!T$14,'General Inputs'!T$19)</f>
        <v>0</v>
      </c>
      <c r="CN42" s="520">
        <f>IF(AND(($E42+$C$1)&gt;CN$4,CN$4&gt;=$C$1),$H42,IF(AND(($D42+$C$1)&gt;CN$4,CN$4&gt;=$C$1),$G42,0))*IF($A42="Residential",'General Inputs'!U$14,'General Inputs'!U$19)</f>
        <v>0</v>
      </c>
      <c r="CO42" s="520">
        <f>IF(AND(($E42+$C$1)&gt;CO$4,CO$4&gt;=$C$1),$H42,IF(AND(($D42+$C$1)&gt;CO$4,CO$4&gt;=$C$1),$G42,0))*IF($A42="Residential",'General Inputs'!V$14,'General Inputs'!V$19)</f>
        <v>0</v>
      </c>
      <c r="CP42" s="520">
        <f>IF(AND(($E42+$C$1)&gt;CP$4,CP$4&gt;=$C$1),$H42,IF(AND(($D42+$C$1)&gt;CP$4,CP$4&gt;=$C$1),$G42,0))*IF($A42="Residential",'General Inputs'!W$14,'General Inputs'!W$19)</f>
        <v>0</v>
      </c>
      <c r="CR42" s="520">
        <f>IF(AND(($E42+$C$1)&gt;CR$4,CR$4&gt;=$C$1),$H42,IF(AND(($D42+$C$1)&gt;CR$4,CR$4&gt;=$C$1),$G42,0))*IF($A42="Residential",'General Inputs'!D$15,'General Inputs'!D$19)</f>
        <v>0</v>
      </c>
      <c r="CS42" s="520">
        <f>IF(AND(($E42+$C$1)&gt;CS$4,CS$4&gt;=$C$1),$H42,IF(AND(($D42+$C$1)&gt;CS$4,CS$4&gt;=$C$1),$G42,0))*IF($A42="Residential",'General Inputs'!E$15,'General Inputs'!E$19)</f>
        <v>0</v>
      </c>
      <c r="CT42" s="520">
        <f>IF(AND(($E42+$C$1)&gt;CT$4,CT$4&gt;=$C$1),$H42,IF(AND(($D42+$C$1)&gt;CT$4,CT$4&gt;=$C$1),$G42,0))*IF($A42="Residential",'General Inputs'!F$15,'General Inputs'!F$19)</f>
        <v>0</v>
      </c>
      <c r="CU42" s="520">
        <f>IF(AND(($E42+$C$1)&gt;CU$4,CU$4&gt;=$C$1),$H42,IF(AND(($D42+$C$1)&gt;CU$4,CU$4&gt;=$C$1),$G42,0))*IF($A42="Residential",'General Inputs'!G$15,'General Inputs'!G$19)</f>
        <v>0</v>
      </c>
      <c r="CV42" s="520">
        <f>IF(AND(($E42+$C$1)&gt;CV$4,CV$4&gt;=$C$1),$H42,IF(AND(($D42+$C$1)&gt;CV$4,CV$4&gt;=$C$1),$G42,0))*IF($A42="Residential",'General Inputs'!H$15,'General Inputs'!H$19)</f>
        <v>0</v>
      </c>
      <c r="CW42" s="520">
        <f>IF(AND(($E42+$C$1)&gt;CW$4,CW$4&gt;=$C$1),$H42,IF(AND(($D42+$C$1)&gt;CW$4,CW$4&gt;=$C$1),$G42,0))*IF($A42="Residential",'General Inputs'!I$15,'General Inputs'!I$19)</f>
        <v>0</v>
      </c>
      <c r="CX42" s="520">
        <f>IF(AND(($E42+$C$1)&gt;CX$4,CX$4&gt;=$C$1),$H42,IF(AND(($D42+$C$1)&gt;CX$4,CX$4&gt;=$C$1),$G42,0))*IF($A42="Residential",'General Inputs'!J$15,'General Inputs'!J$19)</f>
        <v>0</v>
      </c>
      <c r="CY42" s="520">
        <f>IF(AND(($E42+$C$1)&gt;CY$4,CY$4&gt;=$C$1),$H42,IF(AND(($D42+$C$1)&gt;CY$4,CY$4&gt;=$C$1),$G42,0))*IF($A42="Residential",'General Inputs'!K$15,'General Inputs'!K$19)</f>
        <v>0</v>
      </c>
      <c r="CZ42" s="520">
        <f>IF(AND(($E42+$C$1)&gt;CZ$4,CZ$4&gt;=$C$1),$H42,IF(AND(($D42+$C$1)&gt;CZ$4,CZ$4&gt;=$C$1),$G42,0))*IF($A42="Residential",'General Inputs'!L$15,'General Inputs'!L$19)</f>
        <v>0</v>
      </c>
      <c r="DA42" s="520">
        <f>IF(AND(($E42+$C$1)&gt;DA$4,DA$4&gt;=$C$1),$H42,IF(AND(($D42+$C$1)&gt;DA$4,DA$4&gt;=$C$1),$G42,0))*IF($A42="Residential",'General Inputs'!M$15,'General Inputs'!M$19)</f>
        <v>0</v>
      </c>
      <c r="DB42" s="520">
        <f>IF(AND(($E42+$C$1)&gt;DB$4,DB$4&gt;=$C$1),$H42,IF(AND(($D42+$C$1)&gt;DB$4,DB$4&gt;=$C$1),$G42,0))*IF($A42="Residential",'General Inputs'!N$15,'General Inputs'!N$19)</f>
        <v>0</v>
      </c>
      <c r="DC42" s="520">
        <f>IF(AND(($E42+$C$1)&gt;DC$4,DC$4&gt;=$C$1),$H42,IF(AND(($D42+$C$1)&gt;DC$4,DC$4&gt;=$C$1),$G42,0))*IF($A42="Residential",'General Inputs'!O$15,'General Inputs'!O$19)</f>
        <v>0</v>
      </c>
      <c r="DD42" s="520">
        <f>IF(AND(($E42+$C$1)&gt;DD$4,DD$4&gt;=$C$1),$H42,IF(AND(($D42+$C$1)&gt;DD$4,DD$4&gt;=$C$1),$G42,0))*IF($A42="Residential",'General Inputs'!P$15,'General Inputs'!P$19)</f>
        <v>0</v>
      </c>
      <c r="DE42" s="520">
        <f>IF(AND(($E42+$C$1)&gt;DE$4,DE$4&gt;=$C$1),$H42,IF(AND(($D42+$C$1)&gt;DE$4,DE$4&gt;=$C$1),$G42,0))*IF($A42="Residential",'General Inputs'!Q$15,'General Inputs'!Q$19)</f>
        <v>0</v>
      </c>
      <c r="DF42" s="520">
        <f>IF(AND(($E42+$C$1)&gt;DF$4,DF$4&gt;=$C$1),$H42,IF(AND(($D42+$C$1)&gt;DF$4,DF$4&gt;=$C$1),$G42,0))*IF($A42="Residential",'General Inputs'!R$15,'General Inputs'!R$19)</f>
        <v>0</v>
      </c>
      <c r="DG42" s="520">
        <f>IF(AND(($E42+$C$1)&gt;DG$4,DG$4&gt;=$C$1),$H42,IF(AND(($D42+$C$1)&gt;DG$4,DG$4&gt;=$C$1),$G42,0))*IF($A42="Residential",'General Inputs'!S$15,'General Inputs'!S$19)</f>
        <v>0</v>
      </c>
      <c r="DH42" s="520">
        <f>IF(AND(($E42+$C$1)&gt;DH$4,DH$4&gt;=$C$1),$H42,IF(AND(($D42+$C$1)&gt;DH$4,DH$4&gt;=$C$1),$G42,0))*IF($A42="Residential",'General Inputs'!T$15,'General Inputs'!T$19)</f>
        <v>0</v>
      </c>
      <c r="DI42" s="520">
        <f>IF(AND(($E42+$C$1)&gt;DI$4,DI$4&gt;=$C$1),$H42,IF(AND(($D42+$C$1)&gt;DI$4,DI$4&gt;=$C$1),$G42,0))*IF($A42="Residential",'General Inputs'!U$15,'General Inputs'!U$19)</f>
        <v>0</v>
      </c>
      <c r="DJ42" s="520">
        <f>IF(AND(($E42+$C$1)&gt;DJ$4,DJ$4&gt;=$C$1),$H42,IF(AND(($D42+$C$1)&gt;DJ$4,DJ$4&gt;=$C$1),$G42,0))*IF($A42="Residential",'General Inputs'!V$15,'General Inputs'!V$19)</f>
        <v>0</v>
      </c>
      <c r="DK42" s="520">
        <f>IF(AND(($E42+$C$1)&gt;DK$4,DK$4&gt;=$C$1),$H42,IF(AND(($D42+$C$1)&gt;DK$4,DK$4&gt;=$C$1),$G42,0))*IF($A42="Residential",'General Inputs'!W$15,'General Inputs'!W$19)</f>
        <v>0</v>
      </c>
      <c r="DM42" s="524">
        <f>IF($C$1=DM$4,$L42*$C42,IF($E42+$C$1=DM$4,-$M42*$C42,0))</f>
        <v>0</v>
      </c>
      <c r="DN42" s="524">
        <f t="shared" si="299"/>
        <v>0</v>
      </c>
      <c r="DO42" s="524">
        <f t="shared" si="299"/>
        <v>0</v>
      </c>
      <c r="DP42" s="524">
        <f t="shared" si="299"/>
        <v>0</v>
      </c>
      <c r="DQ42" s="524">
        <f t="shared" si="299"/>
        <v>0</v>
      </c>
      <c r="DR42" s="524">
        <f t="shared" si="299"/>
        <v>0</v>
      </c>
      <c r="DS42" s="524">
        <f t="shared" si="299"/>
        <v>0</v>
      </c>
      <c r="DT42" s="524">
        <f t="shared" si="299"/>
        <v>0</v>
      </c>
      <c r="DU42" s="524">
        <f t="shared" si="299"/>
        <v>0</v>
      </c>
      <c r="DV42" s="524">
        <f t="shared" si="299"/>
        <v>0</v>
      </c>
      <c r="DW42" s="524">
        <f t="shared" si="299"/>
        <v>0</v>
      </c>
      <c r="DZ42" s="650"/>
      <c r="FI42" s="195"/>
      <c r="FJ42" s="195"/>
      <c r="FK42" s="195"/>
      <c r="FL42" s="195"/>
      <c r="FM42" s="195"/>
      <c r="FN42" s="195"/>
      <c r="FO42" s="195"/>
    </row>
    <row r="43" spans="1:171">
      <c r="A43" s="441" t="s">
        <v>112</v>
      </c>
      <c r="B43" s="426" t="str">
        <f>'Portfolio Inputs'!A42</f>
        <v>C&amp;I Custom</v>
      </c>
      <c r="C43" s="356">
        <f>IF($C$1=2014,'Portfolio Inputs'!$C42,IF($C$1=2015,'Portfolio Inputs'!$D42,'Portfolio Inputs'!$E42))</f>
        <v>30</v>
      </c>
      <c r="D43" s="503">
        <v>15</v>
      </c>
      <c r="E43" s="503"/>
      <c r="G43" s="514">
        <f>IF($C$1=2014,'Portfolio Inputs'!$G42,IF($C$1=2015,'Portfolio Inputs'!$H42,'Portfolio Inputs'!$I42))*EnergyLineLoss</f>
        <v>1400448.3539999998</v>
      </c>
      <c r="H43" s="514"/>
      <c r="I43" s="511">
        <f>IF($C$1=2014,'Portfolio Inputs'!$K42,IF($C$1=2015,'Portfolio Inputs'!$L42,'Portfolio Inputs'!$M42))*PeakLineLoss</f>
        <v>345.53093999999993</v>
      </c>
      <c r="J43" s="511"/>
      <c r="L43" s="607">
        <f>IF($C$1=2014,'Portfolio Inputs'!$O42,IF($C$1=2015,'Portfolio Inputs'!$P42,'Portfolio Inputs'!$Q42))</f>
        <v>2593.3833333333332</v>
      </c>
      <c r="M43" s="453"/>
      <c r="N43" s="453">
        <f>IF($C$1=2014,'Portfolio Inputs'!$W42,IF($C$1=2015,'Portfolio Inputs'!$X42,'Portfolio Inputs'!$Y42))</f>
        <v>155603</v>
      </c>
      <c r="O43" s="453">
        <f>IF($C$1=2014,'Portfolio Inputs'!$AA42,IF($C$1=2015,'Portfolio Inputs'!$AB42,'Portfolio Inputs'!$AC42))+Expenditures!G14</f>
        <v>39961.373730798245</v>
      </c>
      <c r="Q43" s="442">
        <f t="shared" si="290"/>
        <v>4.9800201438047971</v>
      </c>
      <c r="R43" s="443">
        <f t="shared" si="291"/>
        <v>2.9988155418276872</v>
      </c>
      <c r="S43" s="443">
        <f t="shared" si="292"/>
        <v>6.1807280092439498</v>
      </c>
      <c r="T43" s="443">
        <f t="shared" si="293"/>
        <v>20.099763964838782</v>
      </c>
      <c r="U43" s="443">
        <f>IF(AE43&gt;0,(AD43+AB43)/AE43,"n/a")</f>
        <v>20.099763964838782</v>
      </c>
      <c r="V43" s="522">
        <f t="shared" si="294"/>
        <v>0.36568064092218855</v>
      </c>
      <c r="W43" s="522">
        <f t="shared" si="295"/>
        <v>0.36568064092218855</v>
      </c>
      <c r="Y43" s="444">
        <f t="shared" si="29"/>
        <v>586461.48337171611</v>
      </c>
      <c r="Z43" s="444">
        <f t="shared" si="30"/>
        <v>141398.80874528727</v>
      </c>
      <c r="AA43" s="444">
        <f t="shared" si="31"/>
        <v>1408188.7861104044</v>
      </c>
      <c r="AB43" s="444">
        <f t="shared" si="32"/>
        <v>1408188.7861104044</v>
      </c>
      <c r="AC43" s="445">
        <f t="shared" si="33"/>
        <v>39961.373730798245</v>
      </c>
      <c r="AD43" s="445">
        <f t="shared" si="34"/>
        <v>155603</v>
      </c>
      <c r="AE43" s="526">
        <f t="shared" si="35"/>
        <v>77801.5</v>
      </c>
      <c r="AG43" s="520">
        <f>IF(AND(($E43+$C$1)&gt;AG$4,AG$4&gt;=$C$1),'General Inputs'!D$9*$H43,IF(AND(($D43+$C$1)&gt;AG$4,AG$4&gt;=$C$1),'General Inputs'!D$9*$G43,0))+IF(AND(($E43+$C$1)&gt;AG$4,AG$4&gt;=$C$1),'General Inputs'!D$10*$J43,IF(AND(($D43+$C$1)&gt;AG$4,AG$4&gt;=$C$1),'General Inputs'!D$10*$I43,0))</f>
        <v>60929.02177278584</v>
      </c>
      <c r="AH43" s="520">
        <f>IF(AND(($E43+$C$1)&gt;AH$4,AH$4&gt;=$C$1),'General Inputs'!E$9*$H43,IF(AND(($D43+$C$1)&gt;AH$4,AH$4&gt;=$C$1),'General Inputs'!E$9*$G43,0))+IF(AND(($E43+$C$1)&gt;AH$4,AH$4&gt;=$C$1),'General Inputs'!E$10*$J43,IF(AND(($D43+$C$1)&gt;AH$4,AH$4&gt;=$C$1),'General Inputs'!E$10*$I43,0))</f>
        <v>61842.957099377629</v>
      </c>
      <c r="AI43" s="520">
        <f>IF(AND(($E43+$C$1)&gt;AI$4,AI$4&gt;=$C$1),'General Inputs'!F$9*$H43,IF(AND(($D43+$C$1)&gt;AI$4,AI$4&gt;=$C$1),'General Inputs'!F$9*$G43,0))+IF(AND(($E43+$C$1)&gt;AI$4,AI$4&gt;=$C$1),'General Inputs'!F$10*$J43,IF(AND(($D43+$C$1)&gt;AI$4,AI$4&gt;=$C$1),'General Inputs'!F$10*$I43,0))</f>
        <v>62770.60145586828</v>
      </c>
      <c r="AJ43" s="520">
        <f>IF(AND(($E43+$C$1)&gt;AJ$4,AJ$4&gt;=$C$1),'General Inputs'!G$9*$H43,IF(AND(($D43+$C$1)&gt;AJ$4,AJ$4&gt;=$C$1),'General Inputs'!G$9*$G43,0))+IF(AND(($E43+$C$1)&gt;AJ$4,AJ$4&gt;=$C$1),'General Inputs'!G$10*$J43,IF(AND(($D43+$C$1)&gt;AJ$4,AJ$4&gt;=$C$1),'General Inputs'!G$10*$I43,0))</f>
        <v>63712.160477706297</v>
      </c>
      <c r="AK43" s="520">
        <f>IF(AND(($E43+$C$1)&gt;AK$4,AK$4&gt;=$C$1),'General Inputs'!H$9*$H43,IF(AND(($D43+$C$1)&gt;AK$4,AK$4&gt;=$C$1),'General Inputs'!H$9*$G43,0))+IF(AND(($E43+$C$1)&gt;AK$4,AK$4&gt;=$C$1),'General Inputs'!H$10*$J43,IF(AND(($D43+$C$1)&gt;AK$4,AK$4&gt;=$C$1),'General Inputs'!H$10*$I43,0))</f>
        <v>64667.842884871883</v>
      </c>
      <c r="AL43" s="520">
        <f>IF(AND(($E43+$C$1)&gt;AL$4,AL$4&gt;=$C$1),'General Inputs'!I$9*$H43,IF(AND(($D43+$C$1)&gt;AL$4,AL$4&gt;=$C$1),'General Inputs'!I$9*$G43,0))+IF(AND(($E43+$C$1)&gt;AL$4,AL$4&gt;=$C$1),'General Inputs'!I$10*$J43,IF(AND(($D43+$C$1)&gt;AL$4,AL$4&gt;=$C$1),'General Inputs'!I$10*$I43,0))</f>
        <v>65637.860528144956</v>
      </c>
      <c r="AM43" s="520">
        <f>IF(AND(($E43+$C$1)&gt;AM$4,AM$4&gt;=$C$1),'General Inputs'!J$9*$H43,IF(AND(($D43+$C$1)&gt;AM$4,AM$4&gt;=$C$1),'General Inputs'!J$9*$G43,0))+IF(AND(($E43+$C$1)&gt;AM$4,AM$4&gt;=$C$1),'General Inputs'!J$10*$J43,IF(AND(($D43+$C$1)&gt;AM$4,AM$4&gt;=$C$1),'General Inputs'!J$10*$I43,0))</f>
        <v>66622.428436067115</v>
      </c>
      <c r="AN43" s="520">
        <f>IF(AND(($E43+$C$1)&gt;AN$4,AN$4&gt;=$C$1),'General Inputs'!K$9*$H43,IF(AND(($D43+$C$1)&gt;AN$4,AN$4&gt;=$C$1),'General Inputs'!K$9*$G43,0))+IF(AND(($E43+$C$1)&gt;AN$4,AN$4&gt;=$C$1),'General Inputs'!K$10*$J43,IF(AND(($D43+$C$1)&gt;AN$4,AN$4&gt;=$C$1),'General Inputs'!K$10*$I43,0))</f>
        <v>67621.764862608106</v>
      </c>
      <c r="AO43" s="520">
        <f>IF(AND(($E43+$C$1)&gt;AO$4,AO$4&gt;=$C$1),'General Inputs'!L$9*$H43,IF(AND(($D43+$C$1)&gt;AO$4,AO$4&gt;=$C$1),'General Inputs'!L$9*$G43,0))+IF(AND(($E43+$C$1)&gt;AO$4,AO$4&gt;=$C$1),'General Inputs'!L$10*$J43,IF(AND(($D43+$C$1)&gt;AO$4,AO$4&gt;=$C$1),'General Inputs'!L$10*$I43,0))</f>
        <v>68636.091335547229</v>
      </c>
      <c r="AP43" s="520">
        <f>IF(AND(($E43+$C$1)&gt;AP$4,AP$4&gt;=$C$1),'General Inputs'!M$9*$H43,IF(AND(($D43+$C$1)&gt;AP$4,AP$4&gt;=$C$1),'General Inputs'!M$9*$G43,0))+IF(AND(($E43+$C$1)&gt;AP$4,AP$4&gt;=$C$1),'General Inputs'!M$10*$J43,IF(AND(($D43+$C$1)&gt;AP$4,AP$4&gt;=$C$1),'General Inputs'!M$10*$I43,0))</f>
        <v>69665.632705580429</v>
      </c>
      <c r="AQ43" s="520">
        <f>IF(AND(($E43+$C$1)&gt;AQ$4,AQ$4&gt;=$C$1),'General Inputs'!N$9*$H43,IF(AND(($D43+$C$1)&gt;AQ$4,AQ$4&gt;=$C$1),'General Inputs'!N$9*$G43,0))+IF(AND(($E43+$C$1)&gt;AQ$4,AQ$4&gt;=$C$1),'General Inputs'!N$10*$J43,IF(AND(($D43+$C$1)&gt;AQ$4,AQ$4&gt;=$C$1),'General Inputs'!N$10*$I43,0))</f>
        <v>70710.617196164138</v>
      </c>
      <c r="AR43" s="520">
        <f>IF(AND(($E43+$C$1)&gt;AR$4,AR$4&gt;=$C$1),'General Inputs'!O$9*$H43,IF(AND(($D43+$C$1)&gt;AR$4,AR$4&gt;=$C$1),'General Inputs'!O$9*$G43,0))+IF(AND(($E43+$C$1)&gt;AR$4,AR$4&gt;=$C$1),'General Inputs'!O$10*$J43,IF(AND(($D43+$C$1)&gt;AR$4,AR$4&gt;=$C$1),'General Inputs'!O$10*$I43,0))</f>
        <v>71771.276454106584</v>
      </c>
      <c r="AS43" s="520">
        <f>IF(AND(($E43+$C$1)&gt;AS$4,AS$4&gt;=$C$1),'General Inputs'!P$9*$H43,IF(AND(($D43+$C$1)&gt;AS$4,AS$4&gt;=$C$1),'General Inputs'!P$9*$G43,0))+IF(AND(($E43+$C$1)&gt;AS$4,AS$4&gt;=$C$1),'General Inputs'!P$10*$J43,IF(AND(($D43+$C$1)&gt;AS$4,AS$4&gt;=$C$1),'General Inputs'!P$10*$I43,0))</f>
        <v>72847.845600918168</v>
      </c>
      <c r="AT43" s="520">
        <f>IF(AND(($E43+$C$1)&gt;AT$4,AT$4&gt;=$C$1),'General Inputs'!Q$9*$H43,IF(AND(($D43+$C$1)&gt;AT$4,AT$4&gt;=$C$1),'General Inputs'!Q$9*$G43,0))+IF(AND(($E43+$C$1)&gt;AT$4,AT$4&gt;=$C$1),'General Inputs'!Q$10*$J43,IF(AND(($D43+$C$1)&gt;AT$4,AT$4&gt;=$C$1),'General Inputs'!Q$10*$I43,0))</f>
        <v>73940.563284931937</v>
      </c>
      <c r="AU43" s="520">
        <f>IF(AND(($E43+$C$1)&gt;AU$4,AU$4&gt;=$C$1),'General Inputs'!R$9*$H43,IF(AND(($D43+$C$1)&gt;AU$4,AU$4&gt;=$C$1),'General Inputs'!R$9*$G43,0))+IF(AND(($E43+$C$1)&gt;AU$4,AU$4&gt;=$C$1),'General Inputs'!R$10*$J43,IF(AND(($D43+$C$1)&gt;AU$4,AU$4&gt;=$C$1),'General Inputs'!R$10*$I43,0))</f>
        <v>75049.671734205927</v>
      </c>
      <c r="AV43" s="520">
        <f>IF(AND(($E43+$C$1)&gt;AV$4,AV$4&gt;=$C$1),'General Inputs'!S$9*$H43,IF(AND(($D43+$C$1)&gt;AV$4,AV$4&gt;=$C$1),'General Inputs'!S$9*$G43,0))+IF(AND(($E43+$C$1)&gt;AV$4,AV$4&gt;=$C$1),'General Inputs'!S$10*$J43,IF(AND(($D43+$C$1)&gt;AV$4,AV$4&gt;=$C$1),'General Inputs'!S$10*$I43,0))</f>
        <v>0</v>
      </c>
      <c r="AW43" s="520">
        <f>IF(AND(($E43+$C$1)&gt;AW$4,AW$4&gt;=$C$1),'General Inputs'!T$9*$H43,IF(AND(($D43+$C$1)&gt;AW$4,AW$4&gt;=$C$1),'General Inputs'!T$9*$G43,0))+IF(AND(($E43+$C$1)&gt;AW$4,AW$4&gt;=$C$1),'General Inputs'!T$10*$J43,IF(AND(($D43+$C$1)&gt;AW$4,AW$4&gt;=$C$1),'General Inputs'!T$10*$I43,0))</f>
        <v>0</v>
      </c>
      <c r="AX43" s="520">
        <f>IF(AND(($E43+$C$1)&gt;AX$4,AX$4&gt;=$C$1),'General Inputs'!U$9*$H43,IF(AND(($D43+$C$1)&gt;AX$4,AX$4&gt;=$C$1),'General Inputs'!U$9*$G43,0))+IF(AND(($E43+$C$1)&gt;AX$4,AX$4&gt;=$C$1),'General Inputs'!U$10*$J43,IF(AND(($D43+$C$1)&gt;AX$4,AX$4&gt;=$C$1),'General Inputs'!U$10*$I43,0))</f>
        <v>0</v>
      </c>
      <c r="AY43" s="520">
        <f>IF(AND(($E43+$C$1)&gt;AY$4,AY$4&gt;=$C$1),'General Inputs'!V$9*$H43,IF(AND(($D43+$C$1)&gt;AY$4,AY$4&gt;=$C$1),'General Inputs'!V$9*$G43,0))+IF(AND(($E43+$C$1)&gt;AY$4,AY$4&gt;=$C$1),'General Inputs'!V$10*$J43,IF(AND(($D43+$C$1)&gt;AY$4,AY$4&gt;=$C$1),'General Inputs'!V$10*$I43,0))</f>
        <v>0</v>
      </c>
      <c r="AZ43" s="520">
        <f>IF(AND(($E43+$C$1)&gt;AZ$4,AZ$4&gt;=$C$1),'General Inputs'!W$9*$H43,IF(AND(($D43+$C$1)&gt;AZ$4,AZ$4&gt;=$C$1),'General Inputs'!W$9*$G43,0))+IF(AND(($E43+$C$1)&gt;AZ$4,AZ$4&gt;=$C$1),'General Inputs'!W$10*$J43,IF(AND(($D43+$C$1)&gt;AZ$4,AZ$4&gt;=$C$1),'General Inputs'!W$10*$I43,0))</f>
        <v>0</v>
      </c>
      <c r="BB43" s="520">
        <f>IF(AND(($E43+$C$1)&gt;BB$4,BB$4&gt;=$C$1),'General Inputs'!D$11*$H43,IF(AND(($D43+$C$1)&gt;BB$4,BB$4&gt;=$C$1),'General Inputs'!D$11*$G43,0))</f>
        <v>15965.111235599998</v>
      </c>
      <c r="BC43" s="520">
        <f>IF(AND(($E43+$C$1)&gt;BC$4,BC$4&gt;=$C$1),'General Inputs'!E$11*$H43,IF(AND(($D43+$C$1)&gt;BC$4,BC$4&gt;=$C$1),'General Inputs'!E$11*$G43,0))</f>
        <v>15965.111235599998</v>
      </c>
      <c r="BD43" s="520">
        <f>IF(AND(($E43+$C$1)&gt;BD$4,BD$4&gt;=$C$1),'General Inputs'!F$11*$H43,IF(AND(($D43+$C$1)&gt;BD$4,BD$4&gt;=$C$1),'General Inputs'!F$11*$G43,0))</f>
        <v>15965.111235599998</v>
      </c>
      <c r="BE43" s="520">
        <f>IF(AND(($E43+$C$1)&gt;BE$4,BE$4&gt;=$C$1),'General Inputs'!G$11*$H43,IF(AND(($D43+$C$1)&gt;BE$4,BE$4&gt;=$C$1),'General Inputs'!G$11*$G43,0))</f>
        <v>15965.111235599998</v>
      </c>
      <c r="BF43" s="520">
        <f>IF(AND(($E43+$C$1)&gt;BF$4,BF$4&gt;=$C$1),'General Inputs'!H$11*$H43,IF(AND(($D43+$C$1)&gt;BF$4,BF$4&gt;=$C$1),'General Inputs'!H$11*$G43,0))</f>
        <v>15965.111235599998</v>
      </c>
      <c r="BG43" s="520">
        <f>IF(AND(($E43+$C$1)&gt;BG$4,BG$4&gt;=$C$1),'General Inputs'!I$11*$H43,IF(AND(($D43+$C$1)&gt;BG$4,BG$4&gt;=$C$1),'General Inputs'!I$11*$G43,0))</f>
        <v>15965.111235599998</v>
      </c>
      <c r="BH43" s="520">
        <f>IF(AND(($E43+$C$1)&gt;BH$4,BH$4&gt;=$C$1),'General Inputs'!J$11*$H43,IF(AND(($D43+$C$1)&gt;BH$4,BH$4&gt;=$C$1),'General Inputs'!J$11*$G43,0))</f>
        <v>15965.111235599998</v>
      </c>
      <c r="BI43" s="520">
        <f>IF(AND(($E43+$C$1)&gt;BI$4,BI$4&gt;=$C$1),'General Inputs'!K$11*$H43,IF(AND(($D43+$C$1)&gt;BI$4,BI$4&gt;=$C$1),'General Inputs'!K$11*$G43,0))</f>
        <v>15965.111235599998</v>
      </c>
      <c r="BJ43" s="520">
        <f>IF(AND(($E43+$C$1)&gt;BJ$4,BJ$4&gt;=$C$1),'General Inputs'!L$11*$H43,IF(AND(($D43+$C$1)&gt;BJ$4,BJ$4&gt;=$C$1),'General Inputs'!L$11*$G43,0))</f>
        <v>15965.111235599998</v>
      </c>
      <c r="BK43" s="520">
        <f>IF(AND(($E43+$C$1)&gt;BK$4,BK$4&gt;=$C$1),'General Inputs'!M$11*$H43,IF(AND(($D43+$C$1)&gt;BK$4,BK$4&gt;=$C$1),'General Inputs'!M$11*$G43,0))</f>
        <v>15965.111235599998</v>
      </c>
      <c r="BL43" s="520">
        <f>IF(AND(($E43+$C$1)&gt;BL$4,BL$4&gt;=$C$1),'General Inputs'!N$11*$H43,IF(AND(($D43+$C$1)&gt;BL$4,BL$4&gt;=$C$1),'General Inputs'!N$11*$G43,0))</f>
        <v>15965.111235599998</v>
      </c>
      <c r="BM43" s="520">
        <f>IF(AND(($E43+$C$1)&gt;BM$4,BM$4&gt;=$C$1),'General Inputs'!O$11*$H43,IF(AND(($D43+$C$1)&gt;BM$4,BM$4&gt;=$C$1),'General Inputs'!O$11*$G43,0))</f>
        <v>15965.111235599998</v>
      </c>
      <c r="BN43" s="520">
        <f>IF(AND(($E43+$C$1)&gt;BN$4,BN$4&gt;=$C$1),'General Inputs'!P$11*$H43,IF(AND(($D43+$C$1)&gt;BN$4,BN$4&gt;=$C$1),'General Inputs'!P$11*$G43,0))</f>
        <v>15965.111235599998</v>
      </c>
      <c r="BO43" s="520">
        <f>IF(AND(($E43+$C$1)&gt;BO$4,BO$4&gt;=$C$1),'General Inputs'!Q$11*$H43,IF(AND(($D43+$C$1)&gt;BO$4,BO$4&gt;=$C$1),'General Inputs'!Q$11*$G43,0))</f>
        <v>15965.111235599998</v>
      </c>
      <c r="BP43" s="520">
        <f>IF(AND(($E43+$C$1)&gt;BP$4,BP$4&gt;=$C$1),'General Inputs'!R$11*$H43,IF(AND(($D43+$C$1)&gt;BP$4,BP$4&gt;=$C$1),'General Inputs'!R$11*$G43,0))</f>
        <v>15965.111235599998</v>
      </c>
      <c r="BQ43" s="520">
        <f>IF(AND(($E43+$C$1)&gt;BQ$4,BQ$4&gt;=$C$1),'General Inputs'!S$11*$H43,IF(AND(($D43+$C$1)&gt;BQ$4,BQ$4&gt;=$C$1),'General Inputs'!S$11*$G43,0))</f>
        <v>0</v>
      </c>
      <c r="BR43" s="520">
        <f>IF(AND(($E43+$C$1)&gt;BR$4,BR$4&gt;=$C$1),'General Inputs'!T$11*$H43,IF(AND(($D43+$C$1)&gt;BR$4,BR$4&gt;=$C$1),'General Inputs'!T$11*$G43,0))</f>
        <v>0</v>
      </c>
      <c r="BS43" s="520">
        <f>IF(AND(($E43+$C$1)&gt;BS$4,BS$4&gt;=$C$1),'General Inputs'!U$11*$H43,IF(AND(($D43+$C$1)&gt;BS$4,BS$4&gt;=$C$1),'General Inputs'!U$11*$G43,0))</f>
        <v>0</v>
      </c>
      <c r="BT43" s="520">
        <f>IF(AND(($E43+$C$1)&gt;BT$4,BT$4&gt;=$C$1),'General Inputs'!V$11*$H43,IF(AND(($D43+$C$1)&gt;BT$4,BT$4&gt;=$C$1),'General Inputs'!V$11*$G43,0))</f>
        <v>0</v>
      </c>
      <c r="BU43" s="520">
        <f>IF(AND(($E43+$C$1)&gt;BU$4,BU$4&gt;=$C$1),'General Inputs'!W$11*$H43,IF(AND(($D43+$C$1)&gt;BU$4,BU$4&gt;=$C$1),'General Inputs'!W$11*$G43,0))</f>
        <v>0</v>
      </c>
      <c r="BW43" s="520">
        <f>IF(AND(($E43+$C$1)&gt;BW$4,BW$4&gt;=$C$1),$H43,IF(AND(($D43+$C$1)&gt;BW$4,BW$4&gt;=$C$1),$G43,0))*IF($A43="Residential",'General Inputs'!D$14,'General Inputs'!D$19)</f>
        <v>146300.42661255464</v>
      </c>
      <c r="BX43" s="520">
        <f>IF(AND(($E43+$C$1)&gt;BX$4,BX$4&gt;=$C$1),$H43,IF(AND(($D43+$C$1)&gt;BX$4,BX$4&gt;=$C$1),$G43,0))*IF($A43="Residential",'General Inputs'!E$14,'General Inputs'!E$19)</f>
        <v>148494.93301174295</v>
      </c>
      <c r="BY43" s="520">
        <f>IF(AND(($E43+$C$1)&gt;BY$4,BY$4&gt;=$C$1),$H43,IF(AND(($D43+$C$1)&gt;BY$4,BY$4&gt;=$C$1),$G43,0))*IF($A43="Residential",'General Inputs'!F$14,'General Inputs'!F$19)</f>
        <v>150722.3570069191</v>
      </c>
      <c r="BZ43" s="520">
        <f>IF(AND(($E43+$C$1)&gt;BZ$4,BZ$4&gt;=$C$1),$H43,IF(AND(($D43+$C$1)&gt;BZ$4,BZ$4&gt;=$C$1),$G43,0))*IF($A43="Residential",'General Inputs'!G$14,'General Inputs'!G$19)</f>
        <v>152983.19236202288</v>
      </c>
      <c r="CA43" s="520">
        <f>IF(AND(($E43+$C$1)&gt;CA$4,CA$4&gt;=$C$1),$H43,IF(AND(($D43+$C$1)&gt;CA$4,CA$4&gt;=$C$1),$G43,0))*IF($A43="Residential",'General Inputs'!H$14,'General Inputs'!H$19)</f>
        <v>155277.9402474532</v>
      </c>
      <c r="CB43" s="520">
        <f>IF(AND(($E43+$C$1)&gt;CB$4,CB$4&gt;=$C$1),$H43,IF(AND(($D43+$C$1)&gt;CB$4,CB$4&gt;=$C$1),$G43,0))*IF($A43="Residential",'General Inputs'!I$14,'General Inputs'!I$19)</f>
        <v>157607.10935116495</v>
      </c>
      <c r="CC43" s="520">
        <f>IF(AND(($E43+$C$1)&gt;CC$4,CC$4&gt;=$C$1),$H43,IF(AND(($D43+$C$1)&gt;CC$4,CC$4&gt;=$C$1),$G43,0))*IF($A43="Residential",'General Inputs'!J$14,'General Inputs'!J$19)</f>
        <v>159971.21599143243</v>
      </c>
      <c r="CD43" s="520">
        <f>IF(AND(($E43+$C$1)&gt;CD$4,CD$4&gt;=$C$1),$H43,IF(AND(($D43+$C$1)&gt;CD$4,CD$4&gt;=$C$1),$G43,0))*IF($A43="Residential",'General Inputs'!K$14,'General Inputs'!K$19)</f>
        <v>162370.7842313039</v>
      </c>
      <c r="CE43" s="520">
        <f>IF(AND(($E43+$C$1)&gt;CE$4,CE$4&gt;=$C$1),$H43,IF(AND(($D43+$C$1)&gt;CE$4,CE$4&gt;=$C$1),$G43,0))*IF($A43="Residential",'General Inputs'!L$14,'General Inputs'!L$19)</f>
        <v>164806.34599477344</v>
      </c>
      <c r="CF43" s="520">
        <f>IF(AND(($E43+$C$1)&gt;CF$4,CF$4&gt;=$C$1),$H43,IF(AND(($D43+$C$1)&gt;CF$4,CF$4&gt;=$C$1),$G43,0))*IF($A43="Residential",'General Inputs'!M$14,'General Inputs'!M$19)</f>
        <v>167278.44118469502</v>
      </c>
      <c r="CG43" s="520">
        <f>IF(AND(($E43+$C$1)&gt;CG$4,CG$4&gt;=$C$1),$H43,IF(AND(($D43+$C$1)&gt;CG$4,CG$4&gt;=$C$1),$G43,0))*IF($A43="Residential",'General Inputs'!N$14,'General Inputs'!N$19)</f>
        <v>169787.61780246545</v>
      </c>
      <c r="CH43" s="520">
        <f>IF(AND(($E43+$C$1)&gt;CH$4,CH$4&gt;=$C$1),$H43,IF(AND(($D43+$C$1)&gt;CH$4,CH$4&gt;=$C$1),$G43,0))*IF($A43="Residential",'General Inputs'!O$14,'General Inputs'!O$19)</f>
        <v>172334.43206950239</v>
      </c>
      <c r="CI43" s="520">
        <f>IF(AND(($E43+$C$1)&gt;CI$4,CI$4&gt;=$C$1),$H43,IF(AND(($D43+$C$1)&gt;CI$4,CI$4&gt;=$C$1),$G43,0))*IF($A43="Residential",'General Inputs'!P$14,'General Inputs'!P$19)</f>
        <v>174919.44855054491</v>
      </c>
      <c r="CJ43" s="520">
        <f>IF(AND(($E43+$C$1)&gt;CJ$4,CJ$4&gt;=$C$1),$H43,IF(AND(($D43+$C$1)&gt;CJ$4,CJ$4&gt;=$C$1),$G43,0))*IF($A43="Residential",'General Inputs'!Q$14,'General Inputs'!Q$19)</f>
        <v>177543.24027880307</v>
      </c>
      <c r="CK43" s="520">
        <f>IF(AND(($E43+$C$1)&gt;CK$4,CK$4&gt;=$C$1),$H43,IF(AND(($D43+$C$1)&gt;CK$4,CK$4&gt;=$C$1),$G43,0))*IF($A43="Residential",'General Inputs'!R$14,'General Inputs'!R$19)</f>
        <v>180206.38888298511</v>
      </c>
      <c r="CL43" s="520">
        <f>IF(AND(($E43+$C$1)&gt;CL$4,CL$4&gt;=$C$1),$H43,IF(AND(($D43+$C$1)&gt;CL$4,CL$4&gt;=$C$1),$G43,0))*IF($A43="Residential",'General Inputs'!S$14,'General Inputs'!S$19)</f>
        <v>0</v>
      </c>
      <c r="CM43" s="520">
        <f>IF(AND(($E43+$C$1)&gt;CM$4,CM$4&gt;=$C$1),$H43,IF(AND(($D43+$C$1)&gt;CM$4,CM$4&gt;=$C$1),$G43,0))*IF($A43="Residential",'General Inputs'!T$14,'General Inputs'!T$19)</f>
        <v>0</v>
      </c>
      <c r="CN43" s="520">
        <f>IF(AND(($E43+$C$1)&gt;CN$4,CN$4&gt;=$C$1),$H43,IF(AND(($D43+$C$1)&gt;CN$4,CN$4&gt;=$C$1),$G43,0))*IF($A43="Residential",'General Inputs'!U$14,'General Inputs'!U$19)</f>
        <v>0</v>
      </c>
      <c r="CO43" s="520">
        <f>IF(AND(($E43+$C$1)&gt;CO$4,CO$4&gt;=$C$1),$H43,IF(AND(($D43+$C$1)&gt;CO$4,CO$4&gt;=$C$1),$G43,0))*IF($A43="Residential",'General Inputs'!V$14,'General Inputs'!V$19)</f>
        <v>0</v>
      </c>
      <c r="CP43" s="520">
        <f>IF(AND(($E43+$C$1)&gt;CP$4,CP$4&gt;=$C$1),$H43,IF(AND(($D43+$C$1)&gt;CP$4,CP$4&gt;=$C$1),$G43,0))*IF($A43="Residential",'General Inputs'!W$14,'General Inputs'!W$19)</f>
        <v>0</v>
      </c>
      <c r="CR43" s="520">
        <f>IF(AND(($E43+$C$1)&gt;CR$4,CR$4&gt;=$C$1),$H43,IF(AND(($D43+$C$1)&gt;CR$4,CR$4&gt;=$C$1),$G43,0))*IF($A43="Residential",'General Inputs'!D$15,'General Inputs'!D$19)</f>
        <v>146300.42661255464</v>
      </c>
      <c r="CS43" s="520">
        <f>IF(AND(($E43+$C$1)&gt;CS$4,CS$4&gt;=$C$1),$H43,IF(AND(($D43+$C$1)&gt;CS$4,CS$4&gt;=$C$1),$G43,0))*IF($A43="Residential",'General Inputs'!E$15,'General Inputs'!E$19)</f>
        <v>148494.93301174295</v>
      </c>
      <c r="CT43" s="520">
        <f>IF(AND(($E43+$C$1)&gt;CT$4,CT$4&gt;=$C$1),$H43,IF(AND(($D43+$C$1)&gt;CT$4,CT$4&gt;=$C$1),$G43,0))*IF($A43="Residential",'General Inputs'!F$15,'General Inputs'!F$19)</f>
        <v>150722.3570069191</v>
      </c>
      <c r="CU43" s="520">
        <f>IF(AND(($E43+$C$1)&gt;CU$4,CU$4&gt;=$C$1),$H43,IF(AND(($D43+$C$1)&gt;CU$4,CU$4&gt;=$C$1),$G43,0))*IF($A43="Residential",'General Inputs'!G$15,'General Inputs'!G$19)</f>
        <v>152983.19236202288</v>
      </c>
      <c r="CV43" s="520">
        <f>IF(AND(($E43+$C$1)&gt;CV$4,CV$4&gt;=$C$1),$H43,IF(AND(($D43+$C$1)&gt;CV$4,CV$4&gt;=$C$1),$G43,0))*IF($A43="Residential",'General Inputs'!H$15,'General Inputs'!H$19)</f>
        <v>155277.9402474532</v>
      </c>
      <c r="CW43" s="520">
        <f>IF(AND(($E43+$C$1)&gt;CW$4,CW$4&gt;=$C$1),$H43,IF(AND(($D43+$C$1)&gt;CW$4,CW$4&gt;=$C$1),$G43,0))*IF($A43="Residential",'General Inputs'!I$15,'General Inputs'!I$19)</f>
        <v>157607.10935116495</v>
      </c>
      <c r="CX43" s="520">
        <f>IF(AND(($E43+$C$1)&gt;CX$4,CX$4&gt;=$C$1),$H43,IF(AND(($D43+$C$1)&gt;CX$4,CX$4&gt;=$C$1),$G43,0))*IF($A43="Residential",'General Inputs'!J$15,'General Inputs'!J$19)</f>
        <v>159971.21599143243</v>
      </c>
      <c r="CY43" s="520">
        <f>IF(AND(($E43+$C$1)&gt;CY$4,CY$4&gt;=$C$1),$H43,IF(AND(($D43+$C$1)&gt;CY$4,CY$4&gt;=$C$1),$G43,0))*IF($A43="Residential",'General Inputs'!K$15,'General Inputs'!K$19)</f>
        <v>162370.7842313039</v>
      </c>
      <c r="CZ43" s="520">
        <f>IF(AND(($E43+$C$1)&gt;CZ$4,CZ$4&gt;=$C$1),$H43,IF(AND(($D43+$C$1)&gt;CZ$4,CZ$4&gt;=$C$1),$G43,0))*IF($A43="Residential",'General Inputs'!L$15,'General Inputs'!L$19)</f>
        <v>164806.34599477344</v>
      </c>
      <c r="DA43" s="520">
        <f>IF(AND(($E43+$C$1)&gt;DA$4,DA$4&gt;=$C$1),$H43,IF(AND(($D43+$C$1)&gt;DA$4,DA$4&gt;=$C$1),$G43,0))*IF($A43="Residential",'General Inputs'!M$15,'General Inputs'!M$19)</f>
        <v>167278.44118469502</v>
      </c>
      <c r="DB43" s="520">
        <f>IF(AND(($E43+$C$1)&gt;DB$4,DB$4&gt;=$C$1),$H43,IF(AND(($D43+$C$1)&gt;DB$4,DB$4&gt;=$C$1),$G43,0))*IF($A43="Residential",'General Inputs'!N$15,'General Inputs'!N$19)</f>
        <v>169787.61780246545</v>
      </c>
      <c r="DC43" s="520">
        <f>IF(AND(($E43+$C$1)&gt;DC$4,DC$4&gt;=$C$1),$H43,IF(AND(($D43+$C$1)&gt;DC$4,DC$4&gt;=$C$1),$G43,0))*IF($A43="Residential",'General Inputs'!O$15,'General Inputs'!O$19)</f>
        <v>172334.43206950239</v>
      </c>
      <c r="DD43" s="520">
        <f>IF(AND(($E43+$C$1)&gt;DD$4,DD$4&gt;=$C$1),$H43,IF(AND(($D43+$C$1)&gt;DD$4,DD$4&gt;=$C$1),$G43,0))*IF($A43="Residential",'General Inputs'!P$15,'General Inputs'!P$19)</f>
        <v>174919.44855054491</v>
      </c>
      <c r="DE43" s="520">
        <f>IF(AND(($E43+$C$1)&gt;DE$4,DE$4&gt;=$C$1),$H43,IF(AND(($D43+$C$1)&gt;DE$4,DE$4&gt;=$C$1),$G43,0))*IF($A43="Residential",'General Inputs'!Q$15,'General Inputs'!Q$19)</f>
        <v>177543.24027880307</v>
      </c>
      <c r="DF43" s="520">
        <f>IF(AND(($E43+$C$1)&gt;DF$4,DF$4&gt;=$C$1),$H43,IF(AND(($D43+$C$1)&gt;DF$4,DF$4&gt;=$C$1),$G43,0))*IF($A43="Residential",'General Inputs'!R$15,'General Inputs'!R$19)</f>
        <v>180206.38888298511</v>
      </c>
      <c r="DG43" s="520">
        <f>IF(AND(($E43+$C$1)&gt;DG$4,DG$4&gt;=$C$1),$H43,IF(AND(($D43+$C$1)&gt;DG$4,DG$4&gt;=$C$1),$G43,0))*IF($A43="Residential",'General Inputs'!S$15,'General Inputs'!S$19)</f>
        <v>0</v>
      </c>
      <c r="DH43" s="520">
        <f>IF(AND(($E43+$C$1)&gt;DH$4,DH$4&gt;=$C$1),$H43,IF(AND(($D43+$C$1)&gt;DH$4,DH$4&gt;=$C$1),$G43,0))*IF($A43="Residential",'General Inputs'!T$15,'General Inputs'!T$19)</f>
        <v>0</v>
      </c>
      <c r="DI43" s="520">
        <f>IF(AND(($E43+$C$1)&gt;DI$4,DI$4&gt;=$C$1),$H43,IF(AND(($D43+$C$1)&gt;DI$4,DI$4&gt;=$C$1),$G43,0))*IF($A43="Residential",'General Inputs'!U$15,'General Inputs'!U$19)</f>
        <v>0</v>
      </c>
      <c r="DJ43" s="520">
        <f>IF(AND(($E43+$C$1)&gt;DJ$4,DJ$4&gt;=$C$1),$H43,IF(AND(($D43+$C$1)&gt;DJ$4,DJ$4&gt;=$C$1),$G43,0))*IF($A43="Residential",'General Inputs'!V$15,'General Inputs'!V$19)</f>
        <v>0</v>
      </c>
      <c r="DK43" s="520">
        <f>IF(AND(($E43+$C$1)&gt;DK$4,DK$4&gt;=$C$1),$H43,IF(AND(($D43+$C$1)&gt;DK$4,DK$4&gt;=$C$1),$G43,0))*IF($A43="Residential",'General Inputs'!W$15,'General Inputs'!W$19)</f>
        <v>0</v>
      </c>
      <c r="DM43" s="524">
        <f>IF($C$1=DM$4,$L43*$C43,IF($E43+$C$1=DM$4,-$M43*$C43,0))</f>
        <v>77801.5</v>
      </c>
      <c r="DN43" s="524">
        <f t="shared" si="299"/>
        <v>0</v>
      </c>
      <c r="DO43" s="524">
        <f t="shared" si="299"/>
        <v>0</v>
      </c>
      <c r="DP43" s="524">
        <f t="shared" si="299"/>
        <v>0</v>
      </c>
      <c r="DQ43" s="524">
        <f t="shared" si="299"/>
        <v>0</v>
      </c>
      <c r="DR43" s="524">
        <f t="shared" si="299"/>
        <v>0</v>
      </c>
      <c r="DS43" s="524">
        <f t="shared" si="299"/>
        <v>0</v>
      </c>
      <c r="DT43" s="524">
        <f t="shared" si="299"/>
        <v>0</v>
      </c>
      <c r="DU43" s="524">
        <f t="shared" si="299"/>
        <v>0</v>
      </c>
      <c r="DV43" s="524">
        <f t="shared" si="299"/>
        <v>0</v>
      </c>
      <c r="DW43" s="524">
        <f t="shared" si="299"/>
        <v>0</v>
      </c>
      <c r="DZ43" s="650"/>
    </row>
    <row r="44" spans="1:171">
      <c r="A44" s="441" t="s">
        <v>112</v>
      </c>
      <c r="B44" s="426" t="str">
        <f>'Portfolio Inputs'!A43</f>
        <v>C&amp;I Prescriptive</v>
      </c>
      <c r="C44" s="356">
        <f>IF($C$1=2014,'Portfolio Inputs'!$C43,IF($C$1=2015,'Portfolio Inputs'!$D43,'Portfolio Inputs'!$E43))</f>
        <v>52</v>
      </c>
      <c r="D44" s="503"/>
      <c r="E44" s="503"/>
      <c r="G44" s="514">
        <f>IF($C$1=2014,'Portfolio Inputs'!$G43,IF($C$1=2015,'Portfolio Inputs'!$H43,'Portfolio Inputs'!$I43))*EnergyLineLoss</f>
        <v>1481817.4898380239</v>
      </c>
      <c r="H44" s="514"/>
      <c r="I44" s="511">
        <f>IF($C$1=2014,'Portfolio Inputs'!$K43,IF($C$1=2015,'Portfolio Inputs'!$L43,'Portfolio Inputs'!$M43))*PeakLineLoss</f>
        <v>333.4038930137109</v>
      </c>
      <c r="J44" s="511"/>
      <c r="L44" s="453"/>
      <c r="M44" s="453"/>
      <c r="N44" s="453">
        <f>IF($C$1=2014,'Portfolio Inputs'!$W43,IF($C$1=2015,'Portfolio Inputs'!$X43,'Portfolio Inputs'!$Y43))</f>
        <v>149871</v>
      </c>
      <c r="O44" s="453">
        <f>IF($C$1=2014,'Portfolio Inputs'!$AA43,IF($C$1=2015,'Portfolio Inputs'!$AB43,'Portfolio Inputs'!$AC43))+Expenditures!G15</f>
        <v>37767.02626920175</v>
      </c>
      <c r="Q44" s="442">
        <f>IF(OR(AE44&gt;0,AC44&gt;0),Y44/(AC44+AE44),"n/a")</f>
        <v>2.8848051096596095</v>
      </c>
      <c r="R44" s="443">
        <f t="shared" si="291"/>
        <v>3.5756958347192227</v>
      </c>
      <c r="S44" s="443">
        <f t="shared" si="292"/>
        <v>3.5899908943699868</v>
      </c>
      <c r="T44" s="443">
        <f t="shared" si="293"/>
        <v>9.1568559202746087</v>
      </c>
      <c r="U44" s="443">
        <f>IF(AE44&gt;0,(AD44+AB44)/AE44,"n/a")</f>
        <v>9.1568559202746087</v>
      </c>
      <c r="V44" s="522">
        <f t="shared" si="294"/>
        <v>0.36832162821134234</v>
      </c>
      <c r="W44" s="522">
        <f t="shared" si="295"/>
        <v>0.36832162821134234</v>
      </c>
      <c r="X44" s="194"/>
      <c r="Y44" s="444">
        <f>AG44+NPV(DiscountRate,AH44:AZ44)</f>
        <v>670936.50896572077</v>
      </c>
      <c r="Z44" s="444">
        <f t="shared" si="30"/>
        <v>164009.30758946834</v>
      </c>
      <c r="AA44" s="444">
        <f t="shared" si="31"/>
        <v>1633966.9449727763</v>
      </c>
      <c r="AB44" s="444">
        <f t="shared" si="32"/>
        <v>1633966.9449727763</v>
      </c>
      <c r="AC44" s="445">
        <f t="shared" si="33"/>
        <v>37767.02626920175</v>
      </c>
      <c r="AD44" s="445">
        <f t="shared" si="34"/>
        <v>149871</v>
      </c>
      <c r="AE44" s="526">
        <f t="shared" ref="AE44:AE93" si="381">DM44+NPV(DiscountRate,DN44:DW44)</f>
        <v>194809</v>
      </c>
      <c r="AG44" s="446">
        <f>AG45+AG86+AG91+AG94</f>
        <v>70522.459365877628</v>
      </c>
      <c r="AH44" s="446">
        <f t="shared" ref="AH44:AZ44" si="382">AH45+AH86+AH91+AH94</f>
        <v>71580.296256365793</v>
      </c>
      <c r="AI44" s="446">
        <f t="shared" si="382"/>
        <v>72654.000700211269</v>
      </c>
      <c r="AJ44" s="446">
        <f t="shared" si="382"/>
        <v>73743.810710714417</v>
      </c>
      <c r="AK44" s="446">
        <f t="shared" si="382"/>
        <v>74849.967871375149</v>
      </c>
      <c r="AL44" s="446">
        <f t="shared" si="382"/>
        <v>75972.717389445752</v>
      </c>
      <c r="AM44" s="446">
        <f t="shared" si="382"/>
        <v>75724.203988611072</v>
      </c>
      <c r="AN44" s="446">
        <f t="shared" si="382"/>
        <v>76860.067048440222</v>
      </c>
      <c r="AO44" s="446">
        <f t="shared" si="382"/>
        <v>77361.273074129858</v>
      </c>
      <c r="AP44" s="446">
        <f t="shared" si="382"/>
        <v>78521.692170241789</v>
      </c>
      <c r="AQ44" s="446">
        <f t="shared" si="382"/>
        <v>69735.612923620676</v>
      </c>
      <c r="AR44" s="446">
        <f t="shared" si="382"/>
        <v>70781.647117474975</v>
      </c>
      <c r="AS44" s="446">
        <f t="shared" si="382"/>
        <v>71843.371824237096</v>
      </c>
      <c r="AT44" s="446">
        <f t="shared" si="382"/>
        <v>72921.022401600654</v>
      </c>
      <c r="AU44" s="446">
        <f t="shared" si="382"/>
        <v>74014.837737624679</v>
      </c>
      <c r="AV44" s="446">
        <f t="shared" si="382"/>
        <v>59812.847470877176</v>
      </c>
      <c r="AW44" s="446">
        <f t="shared" si="382"/>
        <v>3381.77519215338</v>
      </c>
      <c r="AX44" s="446">
        <f t="shared" si="382"/>
        <v>3432.5018200356799</v>
      </c>
      <c r="AY44" s="446">
        <f t="shared" si="382"/>
        <v>0</v>
      </c>
      <c r="AZ44" s="446">
        <f t="shared" si="382"/>
        <v>0</v>
      </c>
      <c r="BB44" s="446">
        <f t="shared" ref="BB44:BU44" si="383">BB45+BB86+BB91+BB94</f>
        <v>18764.130911892276</v>
      </c>
      <c r="BC44" s="446">
        <f t="shared" si="383"/>
        <v>18764.130911892276</v>
      </c>
      <c r="BD44" s="446">
        <f t="shared" si="383"/>
        <v>18764.130911892276</v>
      </c>
      <c r="BE44" s="446">
        <f t="shared" si="383"/>
        <v>18764.130911892276</v>
      </c>
      <c r="BF44" s="446">
        <f t="shared" si="383"/>
        <v>18764.130911892276</v>
      </c>
      <c r="BG44" s="446">
        <f t="shared" si="383"/>
        <v>18764.130911892276</v>
      </c>
      <c r="BH44" s="446">
        <f t="shared" si="383"/>
        <v>18420.602280605526</v>
      </c>
      <c r="BI44" s="446">
        <f t="shared" si="383"/>
        <v>18420.602280605526</v>
      </c>
      <c r="BJ44" s="446">
        <f t="shared" si="383"/>
        <v>18256.913645183526</v>
      </c>
      <c r="BK44" s="446">
        <f t="shared" si="383"/>
        <v>18256.913645183526</v>
      </c>
      <c r="BL44" s="446">
        <f t="shared" si="383"/>
        <v>15933.608384813524</v>
      </c>
      <c r="BM44" s="446">
        <f t="shared" si="383"/>
        <v>15933.608384813524</v>
      </c>
      <c r="BN44" s="446">
        <f t="shared" si="383"/>
        <v>15933.608384813524</v>
      </c>
      <c r="BO44" s="446">
        <f t="shared" si="383"/>
        <v>15933.608384813524</v>
      </c>
      <c r="BP44" s="446">
        <f t="shared" si="383"/>
        <v>15933.608384813524</v>
      </c>
      <c r="BQ44" s="446">
        <f t="shared" si="383"/>
        <v>12538.05061358025</v>
      </c>
      <c r="BR44" s="446">
        <f t="shared" si="383"/>
        <v>707.85170889525011</v>
      </c>
      <c r="BS44" s="446">
        <f t="shared" si="383"/>
        <v>707.85170889525011</v>
      </c>
      <c r="BT44" s="446">
        <f t="shared" si="383"/>
        <v>0</v>
      </c>
      <c r="BU44" s="446">
        <f t="shared" si="383"/>
        <v>0</v>
      </c>
      <c r="BW44" s="446">
        <f t="shared" ref="BW44:CP44" si="384">BW45+BW86+BW91+BW94</f>
        <v>171949.9674579307</v>
      </c>
      <c r="BX44" s="446">
        <f t="shared" si="384"/>
        <v>174529.21696979963</v>
      </c>
      <c r="BY44" s="446">
        <f t="shared" si="384"/>
        <v>177147.15522434667</v>
      </c>
      <c r="BZ44" s="446">
        <f t="shared" si="384"/>
        <v>179804.3625527118</v>
      </c>
      <c r="CA44" s="446">
        <f t="shared" si="384"/>
        <v>182501.42799100248</v>
      </c>
      <c r="CB44" s="446">
        <f t="shared" si="384"/>
        <v>185238.9494108675</v>
      </c>
      <c r="CC44" s="446">
        <f t="shared" si="384"/>
        <v>184575.35952221474</v>
      </c>
      <c r="CD44" s="446">
        <f t="shared" si="384"/>
        <v>187343.98991504786</v>
      </c>
      <c r="CE44" s="446">
        <f t="shared" si="384"/>
        <v>188464.40733187526</v>
      </c>
      <c r="CF44" s="446">
        <f t="shared" si="384"/>
        <v>191291.37344185333</v>
      </c>
      <c r="CG44" s="446">
        <f t="shared" si="384"/>
        <v>169452.58762885194</v>
      </c>
      <c r="CH44" s="446">
        <f t="shared" si="384"/>
        <v>171994.37644328471</v>
      </c>
      <c r="CI44" s="446">
        <f t="shared" si="384"/>
        <v>174574.29208993397</v>
      </c>
      <c r="CJ44" s="446">
        <f t="shared" si="384"/>
        <v>177192.90647128294</v>
      </c>
      <c r="CK44" s="446">
        <f t="shared" si="384"/>
        <v>179850.80006835214</v>
      </c>
      <c r="CL44" s="446">
        <f t="shared" si="384"/>
        <v>143646.25108042886</v>
      </c>
      <c r="CM44" s="446">
        <f t="shared" si="384"/>
        <v>8231.379115382475</v>
      </c>
      <c r="CN44" s="446">
        <f t="shared" si="384"/>
        <v>8354.8498021132109</v>
      </c>
      <c r="CO44" s="446">
        <f t="shared" si="384"/>
        <v>0</v>
      </c>
      <c r="CP44" s="446">
        <f t="shared" si="384"/>
        <v>0</v>
      </c>
      <c r="CR44" s="446">
        <f t="shared" ref="CR44:DK44" si="385">CR45+CR86+CR91+CR94</f>
        <v>171949.9674579307</v>
      </c>
      <c r="CS44" s="446">
        <f t="shared" si="385"/>
        <v>174529.21696979963</v>
      </c>
      <c r="CT44" s="446">
        <f t="shared" si="385"/>
        <v>177147.15522434667</v>
      </c>
      <c r="CU44" s="446">
        <f t="shared" si="385"/>
        <v>179804.3625527118</v>
      </c>
      <c r="CV44" s="446">
        <f t="shared" si="385"/>
        <v>182501.42799100248</v>
      </c>
      <c r="CW44" s="446">
        <f t="shared" si="385"/>
        <v>185238.9494108675</v>
      </c>
      <c r="CX44" s="446">
        <f t="shared" si="385"/>
        <v>184575.35952221474</v>
      </c>
      <c r="CY44" s="446">
        <f t="shared" si="385"/>
        <v>187343.98991504786</v>
      </c>
      <c r="CZ44" s="446">
        <f t="shared" si="385"/>
        <v>188464.40733187526</v>
      </c>
      <c r="DA44" s="446">
        <f t="shared" si="385"/>
        <v>191291.37344185333</v>
      </c>
      <c r="DB44" s="446">
        <f t="shared" si="385"/>
        <v>169452.58762885194</v>
      </c>
      <c r="DC44" s="446">
        <f t="shared" si="385"/>
        <v>171994.37644328471</v>
      </c>
      <c r="DD44" s="446">
        <f t="shared" si="385"/>
        <v>174574.29208993397</v>
      </c>
      <c r="DE44" s="446">
        <f t="shared" si="385"/>
        <v>177192.90647128294</v>
      </c>
      <c r="DF44" s="446">
        <f t="shared" si="385"/>
        <v>179850.80006835214</v>
      </c>
      <c r="DG44" s="446">
        <f t="shared" si="385"/>
        <v>143646.25108042886</v>
      </c>
      <c r="DH44" s="446">
        <f t="shared" si="385"/>
        <v>8231.379115382475</v>
      </c>
      <c r="DI44" s="446">
        <f t="shared" si="385"/>
        <v>8354.8498021132109</v>
      </c>
      <c r="DJ44" s="446">
        <f t="shared" si="385"/>
        <v>0</v>
      </c>
      <c r="DK44" s="446">
        <f t="shared" si="385"/>
        <v>0</v>
      </c>
      <c r="DM44" s="446">
        <f t="shared" ref="DM44:DW44" si="386">DM45+DM86+DM91+DM94</f>
        <v>194809</v>
      </c>
      <c r="DN44" s="446">
        <f t="shared" si="386"/>
        <v>0</v>
      </c>
      <c r="DO44" s="446">
        <f t="shared" si="386"/>
        <v>0</v>
      </c>
      <c r="DP44" s="446">
        <f t="shared" si="386"/>
        <v>0</v>
      </c>
      <c r="DQ44" s="446">
        <f t="shared" si="386"/>
        <v>0</v>
      </c>
      <c r="DR44" s="446">
        <f t="shared" si="386"/>
        <v>0</v>
      </c>
      <c r="DS44" s="446">
        <f t="shared" si="386"/>
        <v>0</v>
      </c>
      <c r="DT44" s="446">
        <f t="shared" si="386"/>
        <v>0</v>
      </c>
      <c r="DU44" s="446">
        <f t="shared" si="386"/>
        <v>0</v>
      </c>
      <c r="DV44" s="446">
        <f t="shared" si="386"/>
        <v>0</v>
      </c>
      <c r="DW44" s="446">
        <f t="shared" si="386"/>
        <v>0</v>
      </c>
      <c r="DZ44" s="650"/>
    </row>
    <row r="45" spans="1:171">
      <c r="A45" s="428" t="s">
        <v>112</v>
      </c>
      <c r="B45" s="428" t="str">
        <f>'Portfolio Inputs'!A44</f>
        <v>Lighting</v>
      </c>
      <c r="C45" s="454">
        <f>IF($C$1=2014,'Portfolio Inputs'!$C44,IF($C$1=2015,'Portfolio Inputs'!$D44,'Portfolio Inputs'!$E44))</f>
        <v>40</v>
      </c>
      <c r="D45" s="505"/>
      <c r="E45" s="505"/>
      <c r="G45" s="515">
        <f>SUM(G46:G82)</f>
        <v>1354749.9508370247</v>
      </c>
      <c r="H45" s="515"/>
      <c r="I45" s="512">
        <f>SUM(I46:I82)</f>
        <v>308.60866309470003</v>
      </c>
      <c r="J45" s="512"/>
      <c r="L45" s="455"/>
      <c r="M45" s="455"/>
      <c r="N45" s="455">
        <f>IF($C$1=2014,'Portfolio Inputs'!$W44,IF($C$1=2015,'Portfolio Inputs'!$X44,'Portfolio Inputs'!$Y44))</f>
        <v>148041</v>
      </c>
      <c r="O45" s="455">
        <f>IF($C$1=2014,'Portfolio Inputs'!$AA44,IF($C$1=2015,'Portfolio Inputs'!$AB44,'Portfolio Inputs'!$AC44))</f>
        <v>0</v>
      </c>
      <c r="Q45" s="433">
        <f t="shared" si="290"/>
        <v>3.5618166231910933</v>
      </c>
      <c r="R45" s="434">
        <f t="shared" si="291"/>
        <v>4.1790432269788571</v>
      </c>
      <c r="S45" s="434">
        <f t="shared" si="292"/>
        <v>4.4321911474386866</v>
      </c>
      <c r="T45" s="434">
        <f t="shared" si="293"/>
        <v>9.5238094919572571</v>
      </c>
      <c r="U45" s="434">
        <f>IF(AE45&gt;0,(AD45+AB45)/AE45,"n/a")</f>
        <v>9.5238094919572571</v>
      </c>
      <c r="V45" s="523">
        <f t="shared" si="294"/>
        <v>0.3739907466858724</v>
      </c>
      <c r="W45" s="523">
        <f t="shared" si="295"/>
        <v>0.3739907466858724</v>
      </c>
      <c r="X45" s="194"/>
      <c r="Y45" s="430">
        <f t="shared" si="29"/>
        <v>618669.73836517695</v>
      </c>
      <c r="Z45" s="430">
        <f t="shared" si="30"/>
        <v>151179.70298918569</v>
      </c>
      <c r="AA45" s="430">
        <f t="shared" si="31"/>
        <v>1506197.0897055157</v>
      </c>
      <c r="AB45" s="430">
        <f t="shared" si="32"/>
        <v>1506197.0897055157</v>
      </c>
      <c r="AC45" s="431">
        <f t="shared" si="33"/>
        <v>0</v>
      </c>
      <c r="AD45" s="431">
        <f t="shared" si="34"/>
        <v>148041</v>
      </c>
      <c r="AE45" s="525">
        <f t="shared" si="381"/>
        <v>173695</v>
      </c>
      <c r="AG45" s="432">
        <f>SUM(AG46:AG85)</f>
        <v>65092.327474513047</v>
      </c>
      <c r="AH45" s="432">
        <f t="shared" ref="AH45:AZ45" si="387">SUM(AH46:AH85)</f>
        <v>66068.712386630737</v>
      </c>
      <c r="AI45" s="432">
        <f t="shared" si="387"/>
        <v>67059.743072430196</v>
      </c>
      <c r="AJ45" s="432">
        <f t="shared" si="387"/>
        <v>68065.639218516619</v>
      </c>
      <c r="AK45" s="432">
        <f t="shared" si="387"/>
        <v>69086.623806794378</v>
      </c>
      <c r="AL45" s="432">
        <f t="shared" si="387"/>
        <v>70122.923163896281</v>
      </c>
      <c r="AM45" s="432">
        <f t="shared" si="387"/>
        <v>69786.662849678352</v>
      </c>
      <c r="AN45" s="432">
        <f t="shared" si="387"/>
        <v>70833.462792423525</v>
      </c>
      <c r="AO45" s="432">
        <f t="shared" si="387"/>
        <v>71244.269754272915</v>
      </c>
      <c r="AP45" s="432">
        <f t="shared" si="387"/>
        <v>72312.933800586979</v>
      </c>
      <c r="AQ45" s="432">
        <f t="shared" si="387"/>
        <v>63433.723178421053</v>
      </c>
      <c r="AR45" s="432">
        <f t="shared" si="387"/>
        <v>64385.229026097353</v>
      </c>
      <c r="AS45" s="432">
        <f t="shared" si="387"/>
        <v>65351.007461488807</v>
      </c>
      <c r="AT45" s="432">
        <f t="shared" si="387"/>
        <v>66331.272573411145</v>
      </c>
      <c r="AU45" s="432">
        <f t="shared" si="387"/>
        <v>67326.241662012311</v>
      </c>
      <c r="AV45" s="432">
        <f t="shared" si="387"/>
        <v>59812.847470877176</v>
      </c>
      <c r="AW45" s="432">
        <f t="shared" si="387"/>
        <v>3381.77519215338</v>
      </c>
      <c r="AX45" s="432">
        <f t="shared" si="387"/>
        <v>3432.5018200356799</v>
      </c>
      <c r="AY45" s="432">
        <f t="shared" si="387"/>
        <v>0</v>
      </c>
      <c r="AZ45" s="432">
        <f t="shared" si="387"/>
        <v>0</v>
      </c>
      <c r="BB45" s="432">
        <f t="shared" ref="BB45:BU45" si="388">SUM(BB46:BB85)</f>
        <v>17315.560967280886</v>
      </c>
      <c r="BC45" s="432">
        <f t="shared" si="388"/>
        <v>17315.560967280886</v>
      </c>
      <c r="BD45" s="432">
        <f t="shared" si="388"/>
        <v>17315.560967280886</v>
      </c>
      <c r="BE45" s="432">
        <f t="shared" si="388"/>
        <v>17315.560967280886</v>
      </c>
      <c r="BF45" s="432">
        <f t="shared" si="388"/>
        <v>17315.560967280886</v>
      </c>
      <c r="BG45" s="432">
        <f t="shared" si="388"/>
        <v>17315.560967280886</v>
      </c>
      <c r="BH45" s="432">
        <f t="shared" si="388"/>
        <v>16972.032335994136</v>
      </c>
      <c r="BI45" s="432">
        <f t="shared" si="388"/>
        <v>16972.032335994136</v>
      </c>
      <c r="BJ45" s="432">
        <f t="shared" si="388"/>
        <v>16808.343700572135</v>
      </c>
      <c r="BK45" s="432">
        <f t="shared" si="388"/>
        <v>16808.343700572135</v>
      </c>
      <c r="BL45" s="432">
        <f t="shared" si="388"/>
        <v>14485.038440202135</v>
      </c>
      <c r="BM45" s="432">
        <f t="shared" si="388"/>
        <v>14485.038440202135</v>
      </c>
      <c r="BN45" s="432">
        <f t="shared" si="388"/>
        <v>14485.038440202135</v>
      </c>
      <c r="BO45" s="432">
        <f t="shared" si="388"/>
        <v>14485.038440202135</v>
      </c>
      <c r="BP45" s="432">
        <f t="shared" si="388"/>
        <v>14485.038440202135</v>
      </c>
      <c r="BQ45" s="432">
        <f t="shared" si="388"/>
        <v>12538.05061358025</v>
      </c>
      <c r="BR45" s="432">
        <f t="shared" si="388"/>
        <v>707.85170889525011</v>
      </c>
      <c r="BS45" s="432">
        <f t="shared" si="388"/>
        <v>707.85170889525011</v>
      </c>
      <c r="BT45" s="432">
        <f t="shared" si="388"/>
        <v>0</v>
      </c>
      <c r="BU45" s="432">
        <f t="shared" si="388"/>
        <v>0</v>
      </c>
      <c r="BW45" s="432">
        <f t="shared" ref="BW45" si="389">SUM(BW46:BW85)</f>
        <v>158675.62205893316</v>
      </c>
      <c r="BX45" s="432">
        <f t="shared" ref="BX45" si="390">SUM(BX46:BX85)</f>
        <v>161055.75638981714</v>
      </c>
      <c r="BY45" s="432">
        <f t="shared" ref="BY45" si="391">SUM(BY46:BY85)</f>
        <v>163471.59273566442</v>
      </c>
      <c r="BZ45" s="432">
        <f t="shared" ref="BZ45" si="392">SUM(BZ46:BZ85)</f>
        <v>165923.66662669933</v>
      </c>
      <c r="CA45" s="432">
        <f t="shared" ref="CA45" si="393">SUM(CA46:CA85)</f>
        <v>168412.52162609983</v>
      </c>
      <c r="CB45" s="432">
        <f t="shared" ref="CB45" si="394">SUM(CB46:CB85)</f>
        <v>170938.7094504913</v>
      </c>
      <c r="CC45" s="432">
        <f t="shared" ref="CC45" si="395">SUM(CC46:CC85)</f>
        <v>170060.61596243287</v>
      </c>
      <c r="CD45" s="432">
        <f t="shared" ref="CD45" si="396">SUM(CD46:CD85)</f>
        <v>172611.52520186931</v>
      </c>
      <c r="CE45" s="432">
        <f t="shared" ref="CE45" si="397">SUM(CE46:CE85)</f>
        <v>173510.95564799901</v>
      </c>
      <c r="CF45" s="432">
        <f t="shared" ref="CF45" si="398">SUM(CF46:CF85)</f>
        <v>176113.61998271893</v>
      </c>
      <c r="CG45" s="432">
        <f t="shared" ref="CG45" si="399">SUM(CG46:CG85)</f>
        <v>154047.16786783055</v>
      </c>
      <c r="CH45" s="432">
        <f t="shared" ref="CH45" si="400">SUM(CH46:CH85)</f>
        <v>156357.87538584799</v>
      </c>
      <c r="CI45" s="432">
        <f t="shared" ref="CI45" si="401">SUM(CI46:CI85)</f>
        <v>158703.2435166357</v>
      </c>
      <c r="CJ45" s="432">
        <f t="shared" ref="CJ45" si="402">SUM(CJ46:CJ85)</f>
        <v>161083.79216938518</v>
      </c>
      <c r="CK45" s="432">
        <f t="shared" ref="CK45" si="403">SUM(CK46:CK85)</f>
        <v>163500.04905192592</v>
      </c>
      <c r="CL45" s="432">
        <f t="shared" ref="CL45" si="404">SUM(CL46:CL85)</f>
        <v>143646.25108042886</v>
      </c>
      <c r="CM45" s="432">
        <f t="shared" ref="CM45" si="405">SUM(CM46:CM85)</f>
        <v>8231.379115382475</v>
      </c>
      <c r="CN45" s="432">
        <f t="shared" ref="CN45" si="406">SUM(CN46:CN85)</f>
        <v>8354.8498021132109</v>
      </c>
      <c r="CO45" s="432">
        <f t="shared" ref="CO45" si="407">SUM(CO46:CO85)</f>
        <v>0</v>
      </c>
      <c r="CP45" s="432">
        <f t="shared" ref="CP45" si="408">SUM(CP46:CP85)</f>
        <v>0</v>
      </c>
      <c r="CR45" s="432">
        <f t="shared" ref="CR45" si="409">SUM(CR46:CR85)</f>
        <v>158675.62205893316</v>
      </c>
      <c r="CS45" s="432">
        <f t="shared" ref="CS45" si="410">SUM(CS46:CS85)</f>
        <v>161055.75638981714</v>
      </c>
      <c r="CT45" s="432">
        <f t="shared" ref="CT45" si="411">SUM(CT46:CT85)</f>
        <v>163471.59273566442</v>
      </c>
      <c r="CU45" s="432">
        <f t="shared" ref="CU45" si="412">SUM(CU46:CU85)</f>
        <v>165923.66662669933</v>
      </c>
      <c r="CV45" s="432">
        <f t="shared" ref="CV45" si="413">SUM(CV46:CV85)</f>
        <v>168412.52162609983</v>
      </c>
      <c r="CW45" s="432">
        <f t="shared" ref="CW45" si="414">SUM(CW46:CW85)</f>
        <v>170938.7094504913</v>
      </c>
      <c r="CX45" s="432">
        <f t="shared" ref="CX45" si="415">SUM(CX46:CX85)</f>
        <v>170060.61596243287</v>
      </c>
      <c r="CY45" s="432">
        <f t="shared" ref="CY45" si="416">SUM(CY46:CY85)</f>
        <v>172611.52520186931</v>
      </c>
      <c r="CZ45" s="432">
        <f t="shared" ref="CZ45" si="417">SUM(CZ46:CZ85)</f>
        <v>173510.95564799901</v>
      </c>
      <c r="DA45" s="432">
        <f t="shared" ref="DA45" si="418">SUM(DA46:DA85)</f>
        <v>176113.61998271893</v>
      </c>
      <c r="DB45" s="432">
        <f t="shared" ref="DB45" si="419">SUM(DB46:DB85)</f>
        <v>154047.16786783055</v>
      </c>
      <c r="DC45" s="432">
        <f t="shared" ref="DC45" si="420">SUM(DC46:DC85)</f>
        <v>156357.87538584799</v>
      </c>
      <c r="DD45" s="432">
        <f t="shared" ref="DD45" si="421">SUM(DD46:DD85)</f>
        <v>158703.2435166357</v>
      </c>
      <c r="DE45" s="432">
        <f t="shared" ref="DE45" si="422">SUM(DE46:DE85)</f>
        <v>161083.79216938518</v>
      </c>
      <c r="DF45" s="432">
        <f t="shared" ref="DF45" si="423">SUM(DF46:DF85)</f>
        <v>163500.04905192592</v>
      </c>
      <c r="DG45" s="432">
        <f t="shared" ref="DG45" si="424">SUM(DG46:DG85)</f>
        <v>143646.25108042886</v>
      </c>
      <c r="DH45" s="432">
        <f t="shared" ref="DH45" si="425">SUM(DH46:DH85)</f>
        <v>8231.379115382475</v>
      </c>
      <c r="DI45" s="432">
        <f t="shared" ref="DI45" si="426">SUM(DI46:DI85)</f>
        <v>8354.8498021132109</v>
      </c>
      <c r="DJ45" s="432">
        <f t="shared" ref="DJ45" si="427">SUM(DJ46:DJ85)</f>
        <v>0</v>
      </c>
      <c r="DK45" s="432">
        <f t="shared" ref="DK45" si="428">SUM(DK46:DK85)</f>
        <v>0</v>
      </c>
      <c r="DM45" s="432">
        <f t="shared" ref="DM45" si="429">SUM(DM46:DM85)</f>
        <v>173695</v>
      </c>
      <c r="DN45" s="432">
        <f t="shared" ref="DN45" si="430">SUM(DN46:DN85)</f>
        <v>0</v>
      </c>
      <c r="DO45" s="432">
        <f t="shared" ref="DO45" si="431">SUM(DO46:DO85)</f>
        <v>0</v>
      </c>
      <c r="DP45" s="432">
        <f t="shared" ref="DP45" si="432">SUM(DP46:DP85)</f>
        <v>0</v>
      </c>
      <c r="DQ45" s="432">
        <f t="shared" ref="DQ45" si="433">SUM(DQ46:DQ85)</f>
        <v>0</v>
      </c>
      <c r="DR45" s="432">
        <f t="shared" ref="DR45" si="434">SUM(DR46:DR85)</f>
        <v>0</v>
      </c>
      <c r="DS45" s="432">
        <f t="shared" ref="DS45" si="435">SUM(DS46:DS85)</f>
        <v>0</v>
      </c>
      <c r="DT45" s="432">
        <f t="shared" ref="DT45" si="436">SUM(DT46:DT85)</f>
        <v>0</v>
      </c>
      <c r="DU45" s="432">
        <f t="shared" ref="DU45" si="437">SUM(DU46:DU85)</f>
        <v>0</v>
      </c>
      <c r="DV45" s="432">
        <f t="shared" ref="DV45" si="438">SUM(DV46:DV85)</f>
        <v>0</v>
      </c>
      <c r="DW45" s="432">
        <f t="shared" ref="DW45" si="439">SUM(DW46:DW85)</f>
        <v>0</v>
      </c>
      <c r="DZ45" s="650"/>
    </row>
    <row r="46" spans="1:171">
      <c r="A46" s="342" t="s">
        <v>112</v>
      </c>
      <c r="B46" s="427" t="str">
        <f>'Portfolio Inputs'!A45</f>
        <v>Delamping (T8 to T8)</v>
      </c>
      <c r="C46" s="217">
        <f>IF($C$1=2014,'Portfolio Inputs'!$C45,IF($C$1=2015,'Portfolio Inputs'!$D45,'Portfolio Inputs'!$E45))</f>
        <v>0</v>
      </c>
      <c r="D46" s="504">
        <f>VLOOKUP(B46,Sources!$B$4:$J$104,2,FALSE)</f>
        <v>11</v>
      </c>
      <c r="E46" s="504">
        <f>VLOOKUP(B46,Sources!$B$4:$J$104,3,FALSE)</f>
        <v>0</v>
      </c>
      <c r="G46" s="504">
        <f>IF($C$1=2014,'Portfolio Inputs'!$G45,IF($C$1=2015,'Portfolio Inputs'!$H45,'Portfolio Inputs'!$I45))*EnergyLineLoss</f>
        <v>0</v>
      </c>
      <c r="H46" s="504"/>
      <c r="I46" s="595">
        <f>IF($C$1=2014,'Portfolio Inputs'!$K45,IF($C$1=2015,'Portfolio Inputs'!$L45,'Portfolio Inputs'!$M45))*PeakLineLoss</f>
        <v>0</v>
      </c>
      <c r="J46" s="510"/>
      <c r="L46" s="606">
        <f>IF($C$1=2014,'Portfolio Inputs'!$O45,IF($C$1=2015,'Portfolio Inputs'!$P45,'Portfolio Inputs'!$Q45))</f>
        <v>12</v>
      </c>
      <c r="M46" s="518">
        <f>VLOOKUP($B46,Sources!$B$4:$K$104,10,FALSE)</f>
        <v>0</v>
      </c>
      <c r="N46" s="419">
        <f>IF($C$1=2014,'Portfolio Inputs'!$W45,IF($C$1=2015,'Portfolio Inputs'!$X45,'Portfolio Inputs'!$Y45))</f>
        <v>0</v>
      </c>
      <c r="O46" s="419">
        <f>IF($C$1=2014,'Portfolio Inputs'!$AA45,IF($C$1=2015,'Portfolio Inputs'!$AB45,'Portfolio Inputs'!$AC45))</f>
        <v>0</v>
      </c>
      <c r="Q46" s="438" t="str">
        <f t="shared" si="290"/>
        <v>n/a</v>
      </c>
      <c r="R46" s="439" t="str">
        <f t="shared" si="291"/>
        <v>n/a</v>
      </c>
      <c r="S46" s="439" t="str">
        <f t="shared" si="292"/>
        <v>n/a</v>
      </c>
      <c r="T46" s="439" t="str">
        <f t="shared" si="293"/>
        <v>n/a</v>
      </c>
      <c r="U46" s="439" t="str">
        <f t="shared" ref="U46" si="440">IF(AE46&gt;0,(AD46+AB46)/AE46,"n/a")</f>
        <v>n/a</v>
      </c>
      <c r="V46" s="439" t="str">
        <f t="shared" si="294"/>
        <v>n/a</v>
      </c>
      <c r="W46" s="439" t="str">
        <f t="shared" si="295"/>
        <v>n/a</v>
      </c>
      <c r="Y46" s="215">
        <f t="shared" si="29"/>
        <v>0</v>
      </c>
      <c r="Z46" s="215">
        <f t="shared" si="30"/>
        <v>0</v>
      </c>
      <c r="AA46" s="215">
        <f t="shared" si="31"/>
        <v>0</v>
      </c>
      <c r="AB46" s="215">
        <f t="shared" si="32"/>
        <v>0</v>
      </c>
      <c r="AC46" s="216">
        <f t="shared" si="33"/>
        <v>0</v>
      </c>
      <c r="AD46" s="216">
        <f t="shared" si="34"/>
        <v>0</v>
      </c>
      <c r="AE46" s="215">
        <f t="shared" si="381"/>
        <v>0</v>
      </c>
      <c r="AG46" s="214">
        <f>IF(AND(($E46+$C$1)&gt;AG$4,AG$4&gt;=$C$1),'General Inputs'!D$9*$H46,IF(AND(($D46+$C$1)&gt;AG$4,AG$4&gt;=$C$1),'General Inputs'!D$9*$G46,0))+IF(AND(($E46+$C$1)&gt;AG$4,AG$4&gt;=$C$1),'General Inputs'!D$10*$J46,IF(AND(($D46+$C$1)&gt;AG$4,AG$4&gt;=$C$1),'General Inputs'!D$10*$I46,0))</f>
        <v>0</v>
      </c>
      <c r="AH46" s="214">
        <f>IF(AND(($E46+$C$1)&gt;AH$4,AH$4&gt;=$C$1),'General Inputs'!E$9*$H46,IF(AND(($D46+$C$1)&gt;AH$4,AH$4&gt;=$C$1),'General Inputs'!E$9*$G46,0))+IF(AND(($E46+$C$1)&gt;AH$4,AH$4&gt;=$C$1),'General Inputs'!E$10*$J46,IF(AND(($D46+$C$1)&gt;AH$4,AH$4&gt;=$C$1),'General Inputs'!E$10*$I46,0))</f>
        <v>0</v>
      </c>
      <c r="AI46" s="214">
        <f>IF(AND(($E46+$C$1)&gt;AI$4,AI$4&gt;=$C$1),'General Inputs'!F$9*$H46,IF(AND(($D46+$C$1)&gt;AI$4,AI$4&gt;=$C$1),'General Inputs'!F$9*$G46,0))+IF(AND(($E46+$C$1)&gt;AI$4,AI$4&gt;=$C$1),'General Inputs'!F$10*$J46,IF(AND(($D46+$C$1)&gt;AI$4,AI$4&gt;=$C$1),'General Inputs'!F$10*$I46,0))</f>
        <v>0</v>
      </c>
      <c r="AJ46" s="214">
        <f>IF(AND(($E46+$C$1)&gt;AJ$4,AJ$4&gt;=$C$1),'General Inputs'!G$9*$H46,IF(AND(($D46+$C$1)&gt;AJ$4,AJ$4&gt;=$C$1),'General Inputs'!G$9*$G46,0))+IF(AND(($E46+$C$1)&gt;AJ$4,AJ$4&gt;=$C$1),'General Inputs'!G$10*$J46,IF(AND(($D46+$C$1)&gt;AJ$4,AJ$4&gt;=$C$1),'General Inputs'!G$10*$I46,0))</f>
        <v>0</v>
      </c>
      <c r="AK46" s="214">
        <f>IF(AND(($E46+$C$1)&gt;AK$4,AK$4&gt;=$C$1),'General Inputs'!H$9*$H46,IF(AND(($D46+$C$1)&gt;AK$4,AK$4&gt;=$C$1),'General Inputs'!H$9*$G46,0))+IF(AND(($E46+$C$1)&gt;AK$4,AK$4&gt;=$C$1),'General Inputs'!H$10*$J46,IF(AND(($D46+$C$1)&gt;AK$4,AK$4&gt;=$C$1),'General Inputs'!H$10*$I46,0))</f>
        <v>0</v>
      </c>
      <c r="AL46" s="214">
        <f>IF(AND(($E46+$C$1)&gt;AL$4,AL$4&gt;=$C$1),'General Inputs'!I$9*$H46,IF(AND(($D46+$C$1)&gt;AL$4,AL$4&gt;=$C$1),'General Inputs'!I$9*$G46,0))+IF(AND(($E46+$C$1)&gt;AL$4,AL$4&gt;=$C$1),'General Inputs'!I$10*$J46,IF(AND(($D46+$C$1)&gt;AL$4,AL$4&gt;=$C$1),'General Inputs'!I$10*$I46,0))</f>
        <v>0</v>
      </c>
      <c r="AM46" s="214">
        <f>IF(AND(($E46+$C$1)&gt;AM$4,AM$4&gt;=$C$1),'General Inputs'!J$9*$H46,IF(AND(($D46+$C$1)&gt;AM$4,AM$4&gt;=$C$1),'General Inputs'!J$9*$G46,0))+IF(AND(($E46+$C$1)&gt;AM$4,AM$4&gt;=$C$1),'General Inputs'!J$10*$J46,IF(AND(($D46+$C$1)&gt;AM$4,AM$4&gt;=$C$1),'General Inputs'!J$10*$I46,0))</f>
        <v>0</v>
      </c>
      <c r="AN46" s="214">
        <f>IF(AND(($E46+$C$1)&gt;AN$4,AN$4&gt;=$C$1),'General Inputs'!K$9*$H46,IF(AND(($D46+$C$1)&gt;AN$4,AN$4&gt;=$C$1),'General Inputs'!K$9*$G46,0))+IF(AND(($E46+$C$1)&gt;AN$4,AN$4&gt;=$C$1),'General Inputs'!K$10*$J46,IF(AND(($D46+$C$1)&gt;AN$4,AN$4&gt;=$C$1),'General Inputs'!K$10*$I46,0))</f>
        <v>0</v>
      </c>
      <c r="AO46" s="214">
        <f>IF(AND(($E46+$C$1)&gt;AO$4,AO$4&gt;=$C$1),'General Inputs'!L$9*$H46,IF(AND(($D46+$C$1)&gt;AO$4,AO$4&gt;=$C$1),'General Inputs'!L$9*$G46,0))+IF(AND(($E46+$C$1)&gt;AO$4,AO$4&gt;=$C$1),'General Inputs'!L$10*$J46,IF(AND(($D46+$C$1)&gt;AO$4,AO$4&gt;=$C$1),'General Inputs'!L$10*$I46,0))</f>
        <v>0</v>
      </c>
      <c r="AP46" s="214">
        <f>IF(AND(($E46+$C$1)&gt;AP$4,AP$4&gt;=$C$1),'General Inputs'!M$9*$H46,IF(AND(($D46+$C$1)&gt;AP$4,AP$4&gt;=$C$1),'General Inputs'!M$9*$G46,0))+IF(AND(($E46+$C$1)&gt;AP$4,AP$4&gt;=$C$1),'General Inputs'!M$10*$J46,IF(AND(($D46+$C$1)&gt;AP$4,AP$4&gt;=$C$1),'General Inputs'!M$10*$I46,0))</f>
        <v>0</v>
      </c>
      <c r="AQ46" s="214">
        <f>IF(AND(($E46+$C$1)&gt;AQ$4,AQ$4&gt;=$C$1),'General Inputs'!N$9*$H46,IF(AND(($D46+$C$1)&gt;AQ$4,AQ$4&gt;=$C$1),'General Inputs'!N$9*$G46,0))+IF(AND(($E46+$C$1)&gt;AQ$4,AQ$4&gt;=$C$1),'General Inputs'!N$10*$J46,IF(AND(($D46+$C$1)&gt;AQ$4,AQ$4&gt;=$C$1),'General Inputs'!N$10*$I46,0))</f>
        <v>0</v>
      </c>
      <c r="AR46" s="214">
        <f>IF(AND(($E46+$C$1)&gt;AR$4,AR$4&gt;=$C$1),'General Inputs'!O$9*$H46,IF(AND(($D46+$C$1)&gt;AR$4,AR$4&gt;=$C$1),'General Inputs'!O$9*$G46,0))+IF(AND(($E46+$C$1)&gt;AR$4,AR$4&gt;=$C$1),'General Inputs'!O$10*$J46,IF(AND(($D46+$C$1)&gt;AR$4,AR$4&gt;=$C$1),'General Inputs'!O$10*$I46,0))</f>
        <v>0</v>
      </c>
      <c r="AS46" s="214">
        <f>IF(AND(($E46+$C$1)&gt;AS$4,AS$4&gt;=$C$1),'General Inputs'!P$9*$H46,IF(AND(($D46+$C$1)&gt;AS$4,AS$4&gt;=$C$1),'General Inputs'!P$9*$G46,0))+IF(AND(($E46+$C$1)&gt;AS$4,AS$4&gt;=$C$1),'General Inputs'!P$10*$J46,IF(AND(($D46+$C$1)&gt;AS$4,AS$4&gt;=$C$1),'General Inputs'!P$10*$I46,0))</f>
        <v>0</v>
      </c>
      <c r="AT46" s="214">
        <f>IF(AND(($E46+$C$1)&gt;AT$4,AT$4&gt;=$C$1),'General Inputs'!Q$9*$H46,IF(AND(($D46+$C$1)&gt;AT$4,AT$4&gt;=$C$1),'General Inputs'!Q$9*$G46,0))+IF(AND(($E46+$C$1)&gt;AT$4,AT$4&gt;=$C$1),'General Inputs'!Q$10*$J46,IF(AND(($D46+$C$1)&gt;AT$4,AT$4&gt;=$C$1),'General Inputs'!Q$10*$I46,0))</f>
        <v>0</v>
      </c>
      <c r="AU46" s="214">
        <f>IF(AND(($E46+$C$1)&gt;AU$4,AU$4&gt;=$C$1),'General Inputs'!R$9*$H46,IF(AND(($D46+$C$1)&gt;AU$4,AU$4&gt;=$C$1),'General Inputs'!R$9*$G46,0))+IF(AND(($E46+$C$1)&gt;AU$4,AU$4&gt;=$C$1),'General Inputs'!R$10*$J46,IF(AND(($D46+$C$1)&gt;AU$4,AU$4&gt;=$C$1),'General Inputs'!R$10*$I46,0))</f>
        <v>0</v>
      </c>
      <c r="AV46" s="214">
        <f>IF(AND(($E46+$C$1)&gt;AV$4,AV$4&gt;=$C$1),'General Inputs'!S$9*$H46,IF(AND(($D46+$C$1)&gt;AV$4,AV$4&gt;=$C$1),'General Inputs'!S$9*$G46,0))+IF(AND(($E46+$C$1)&gt;AV$4,AV$4&gt;=$C$1),'General Inputs'!S$10*$J46,IF(AND(($D46+$C$1)&gt;AV$4,AV$4&gt;=$C$1),'General Inputs'!S$10*$I46,0))</f>
        <v>0</v>
      </c>
      <c r="AW46" s="214">
        <f>IF(AND(($E46+$C$1)&gt;AW$4,AW$4&gt;=$C$1),'General Inputs'!T$9*$H46,IF(AND(($D46+$C$1)&gt;AW$4,AW$4&gt;=$C$1),'General Inputs'!T$9*$G46,0))+IF(AND(($E46+$C$1)&gt;AW$4,AW$4&gt;=$C$1),'General Inputs'!T$10*$J46,IF(AND(($D46+$C$1)&gt;AW$4,AW$4&gt;=$C$1),'General Inputs'!T$10*$I46,0))</f>
        <v>0</v>
      </c>
      <c r="AX46" s="214">
        <f>IF(AND(($E46+$C$1)&gt;AX$4,AX$4&gt;=$C$1),'General Inputs'!U$9*$H46,IF(AND(($D46+$C$1)&gt;AX$4,AX$4&gt;=$C$1),'General Inputs'!U$9*$G46,0))+IF(AND(($E46+$C$1)&gt;AX$4,AX$4&gt;=$C$1),'General Inputs'!U$10*$J46,IF(AND(($D46+$C$1)&gt;AX$4,AX$4&gt;=$C$1),'General Inputs'!U$10*$I46,0))</f>
        <v>0</v>
      </c>
      <c r="AY46" s="214">
        <f>IF(AND(($E46+$C$1)&gt;AY$4,AY$4&gt;=$C$1),'General Inputs'!V$9*$H46,IF(AND(($D46+$C$1)&gt;AY$4,AY$4&gt;=$C$1),'General Inputs'!V$9*$G46,0))+IF(AND(($E46+$C$1)&gt;AY$4,AY$4&gt;=$C$1),'General Inputs'!V$10*$J46,IF(AND(($D46+$C$1)&gt;AY$4,AY$4&gt;=$C$1),'General Inputs'!V$10*$I46,0))</f>
        <v>0</v>
      </c>
      <c r="AZ46" s="214">
        <f>IF(AND(($E46+$C$1)&gt;AZ$4,AZ$4&gt;=$C$1),'General Inputs'!W$9*$H46,IF(AND(($D46+$C$1)&gt;AZ$4,AZ$4&gt;=$C$1),'General Inputs'!W$9*$G46,0))+IF(AND(($E46+$C$1)&gt;AZ$4,AZ$4&gt;=$C$1),'General Inputs'!W$10*$J46,IF(AND(($D46+$C$1)&gt;AZ$4,AZ$4&gt;=$C$1),'General Inputs'!W$10*$I46,0))</f>
        <v>0</v>
      </c>
      <c r="BB46" s="214">
        <f>IF(AND(($E46+$C$1)&gt;BB$4,BB$4&gt;=$C$1),'General Inputs'!D$11*$H46,IF(AND(($D46+$C$1)&gt;BB$4,BB$4&gt;=$C$1),'General Inputs'!D$11*$G46,0))</f>
        <v>0</v>
      </c>
      <c r="BC46" s="214">
        <f>IF(AND(($E46+$C$1)&gt;BC$4,BC$4&gt;=$C$1),'General Inputs'!E$11*$H46,IF(AND(($D46+$C$1)&gt;BC$4,BC$4&gt;=$C$1),'General Inputs'!E$11*$G46,0))</f>
        <v>0</v>
      </c>
      <c r="BD46" s="214">
        <f>IF(AND(($E46+$C$1)&gt;BD$4,BD$4&gt;=$C$1),'General Inputs'!F$11*$H46,IF(AND(($D46+$C$1)&gt;BD$4,BD$4&gt;=$C$1),'General Inputs'!F$11*$G46,0))</f>
        <v>0</v>
      </c>
      <c r="BE46" s="214">
        <f>IF(AND(($E46+$C$1)&gt;BE$4,BE$4&gt;=$C$1),'General Inputs'!G$11*$H46,IF(AND(($D46+$C$1)&gt;BE$4,BE$4&gt;=$C$1),'General Inputs'!G$11*$G46,0))</f>
        <v>0</v>
      </c>
      <c r="BF46" s="214">
        <f>IF(AND(($E46+$C$1)&gt;BF$4,BF$4&gt;=$C$1),'General Inputs'!H$11*$H46,IF(AND(($D46+$C$1)&gt;BF$4,BF$4&gt;=$C$1),'General Inputs'!H$11*$G46,0))</f>
        <v>0</v>
      </c>
      <c r="BG46" s="214">
        <f>IF(AND(($E46+$C$1)&gt;BG$4,BG$4&gt;=$C$1),'General Inputs'!I$11*$H46,IF(AND(($D46+$C$1)&gt;BG$4,BG$4&gt;=$C$1),'General Inputs'!I$11*$G46,0))</f>
        <v>0</v>
      </c>
      <c r="BH46" s="214">
        <f>IF(AND(($E46+$C$1)&gt;BH$4,BH$4&gt;=$C$1),'General Inputs'!J$11*$H46,IF(AND(($D46+$C$1)&gt;BH$4,BH$4&gt;=$C$1),'General Inputs'!J$11*$G46,0))</f>
        <v>0</v>
      </c>
      <c r="BI46" s="214">
        <f>IF(AND(($E46+$C$1)&gt;BI$4,BI$4&gt;=$C$1),'General Inputs'!K$11*$H46,IF(AND(($D46+$C$1)&gt;BI$4,BI$4&gt;=$C$1),'General Inputs'!K$11*$G46,0))</f>
        <v>0</v>
      </c>
      <c r="BJ46" s="214">
        <f>IF(AND(($E46+$C$1)&gt;BJ$4,BJ$4&gt;=$C$1),'General Inputs'!L$11*$H46,IF(AND(($D46+$C$1)&gt;BJ$4,BJ$4&gt;=$C$1),'General Inputs'!L$11*$G46,0))</f>
        <v>0</v>
      </c>
      <c r="BK46" s="214">
        <f>IF(AND(($E46+$C$1)&gt;BK$4,BK$4&gt;=$C$1),'General Inputs'!M$11*$H46,IF(AND(($D46+$C$1)&gt;BK$4,BK$4&gt;=$C$1),'General Inputs'!M$11*$G46,0))</f>
        <v>0</v>
      </c>
      <c r="BL46" s="214">
        <f>IF(AND(($E46+$C$1)&gt;BL$4,BL$4&gt;=$C$1),'General Inputs'!N$11*$H46,IF(AND(($D46+$C$1)&gt;BL$4,BL$4&gt;=$C$1),'General Inputs'!N$11*$G46,0))</f>
        <v>0</v>
      </c>
      <c r="BM46" s="214">
        <f>IF(AND(($E46+$C$1)&gt;BM$4,BM$4&gt;=$C$1),'General Inputs'!O$11*$H46,IF(AND(($D46+$C$1)&gt;BM$4,BM$4&gt;=$C$1),'General Inputs'!O$11*$G46,0))</f>
        <v>0</v>
      </c>
      <c r="BN46" s="214">
        <f>IF(AND(($E46+$C$1)&gt;BN$4,BN$4&gt;=$C$1),'General Inputs'!P$11*$H46,IF(AND(($D46+$C$1)&gt;BN$4,BN$4&gt;=$C$1),'General Inputs'!P$11*$G46,0))</f>
        <v>0</v>
      </c>
      <c r="BO46" s="214">
        <f>IF(AND(($E46+$C$1)&gt;BO$4,BO$4&gt;=$C$1),'General Inputs'!Q$11*$H46,IF(AND(($D46+$C$1)&gt;BO$4,BO$4&gt;=$C$1),'General Inputs'!Q$11*$G46,0))</f>
        <v>0</v>
      </c>
      <c r="BP46" s="214">
        <f>IF(AND(($E46+$C$1)&gt;BP$4,BP$4&gt;=$C$1),'General Inputs'!R$11*$H46,IF(AND(($D46+$C$1)&gt;BP$4,BP$4&gt;=$C$1),'General Inputs'!R$11*$G46,0))</f>
        <v>0</v>
      </c>
      <c r="BQ46" s="214">
        <f>IF(AND(($E46+$C$1)&gt;BQ$4,BQ$4&gt;=$C$1),'General Inputs'!S$11*$H46,IF(AND(($D46+$C$1)&gt;BQ$4,BQ$4&gt;=$C$1),'General Inputs'!S$11*$G46,0))</f>
        <v>0</v>
      </c>
      <c r="BR46" s="214">
        <f>IF(AND(($E46+$C$1)&gt;BR$4,BR$4&gt;=$C$1),'General Inputs'!T$11*$H46,IF(AND(($D46+$C$1)&gt;BR$4,BR$4&gt;=$C$1),'General Inputs'!T$11*$G46,0))</f>
        <v>0</v>
      </c>
      <c r="BS46" s="214">
        <f>IF(AND(($E46+$C$1)&gt;BS$4,BS$4&gt;=$C$1),'General Inputs'!U$11*$H46,IF(AND(($D46+$C$1)&gt;BS$4,BS$4&gt;=$C$1),'General Inputs'!U$11*$G46,0))</f>
        <v>0</v>
      </c>
      <c r="BT46" s="214">
        <f>IF(AND(($E46+$C$1)&gt;BT$4,BT$4&gt;=$C$1),'General Inputs'!V$11*$H46,IF(AND(($D46+$C$1)&gt;BT$4,BT$4&gt;=$C$1),'General Inputs'!V$11*$G46,0))</f>
        <v>0</v>
      </c>
      <c r="BU46" s="214">
        <f>IF(AND(($E46+$C$1)&gt;BU$4,BU$4&gt;=$C$1),'General Inputs'!W$11*$H46,IF(AND(($D46+$C$1)&gt;BU$4,BU$4&gt;=$C$1),'General Inputs'!W$11*$G46,0))</f>
        <v>0</v>
      </c>
      <c r="BW46" s="214">
        <f>IF(AND(($E46+$C$1)&gt;BW$4,BW$4&gt;=$C$1),$H46,IF(AND(($D46+$C$1)&gt;BW$4,BW$4&gt;=$C$1),$G46,0))*IF($A46="Residential",'General Inputs'!D$14,'General Inputs'!D$19)</f>
        <v>0</v>
      </c>
      <c r="BX46" s="214">
        <f>IF(AND(($E46+$C$1)&gt;BX$4,BX$4&gt;=$C$1),$H46,IF(AND(($D46+$C$1)&gt;BX$4,BX$4&gt;=$C$1),$G46,0))*IF($A46="Residential",'General Inputs'!E$14,'General Inputs'!E$19)</f>
        <v>0</v>
      </c>
      <c r="BY46" s="214">
        <f>IF(AND(($E46+$C$1)&gt;BY$4,BY$4&gt;=$C$1),$H46,IF(AND(($D46+$C$1)&gt;BY$4,BY$4&gt;=$C$1),$G46,0))*IF($A46="Residential",'General Inputs'!F$14,'General Inputs'!F$19)</f>
        <v>0</v>
      </c>
      <c r="BZ46" s="214">
        <f>IF(AND(($E46+$C$1)&gt;BZ$4,BZ$4&gt;=$C$1),$H46,IF(AND(($D46+$C$1)&gt;BZ$4,BZ$4&gt;=$C$1),$G46,0))*IF($A46="Residential",'General Inputs'!G$14,'General Inputs'!G$19)</f>
        <v>0</v>
      </c>
      <c r="CA46" s="214">
        <f>IF(AND(($E46+$C$1)&gt;CA$4,CA$4&gt;=$C$1),$H46,IF(AND(($D46+$C$1)&gt;CA$4,CA$4&gt;=$C$1),$G46,0))*IF($A46="Residential",'General Inputs'!H$14,'General Inputs'!H$19)</f>
        <v>0</v>
      </c>
      <c r="CB46" s="214">
        <f>IF(AND(($E46+$C$1)&gt;CB$4,CB$4&gt;=$C$1),$H46,IF(AND(($D46+$C$1)&gt;CB$4,CB$4&gt;=$C$1),$G46,0))*IF($A46="Residential",'General Inputs'!I$14,'General Inputs'!I$19)</f>
        <v>0</v>
      </c>
      <c r="CC46" s="214">
        <f>IF(AND(($E46+$C$1)&gt;CC$4,CC$4&gt;=$C$1),$H46,IF(AND(($D46+$C$1)&gt;CC$4,CC$4&gt;=$C$1),$G46,0))*IF($A46="Residential",'General Inputs'!J$14,'General Inputs'!J$19)</f>
        <v>0</v>
      </c>
      <c r="CD46" s="214">
        <f>IF(AND(($E46+$C$1)&gt;CD$4,CD$4&gt;=$C$1),$H46,IF(AND(($D46+$C$1)&gt;CD$4,CD$4&gt;=$C$1),$G46,0))*IF($A46="Residential",'General Inputs'!K$14,'General Inputs'!K$19)</f>
        <v>0</v>
      </c>
      <c r="CE46" s="214">
        <f>IF(AND(($E46+$C$1)&gt;CE$4,CE$4&gt;=$C$1),$H46,IF(AND(($D46+$C$1)&gt;CE$4,CE$4&gt;=$C$1),$G46,0))*IF($A46="Residential",'General Inputs'!L$14,'General Inputs'!L$19)</f>
        <v>0</v>
      </c>
      <c r="CF46" s="214">
        <f>IF(AND(($E46+$C$1)&gt;CF$4,CF$4&gt;=$C$1),$H46,IF(AND(($D46+$C$1)&gt;CF$4,CF$4&gt;=$C$1),$G46,0))*IF($A46="Residential",'General Inputs'!M$14,'General Inputs'!M$19)</f>
        <v>0</v>
      </c>
      <c r="CG46" s="214">
        <f>IF(AND(($E46+$C$1)&gt;CG$4,CG$4&gt;=$C$1),$H46,IF(AND(($D46+$C$1)&gt;CG$4,CG$4&gt;=$C$1),$G46,0))*IF($A46="Residential",'General Inputs'!N$14,'General Inputs'!N$19)</f>
        <v>0</v>
      </c>
      <c r="CH46" s="214">
        <f>IF(AND(($E46+$C$1)&gt;CH$4,CH$4&gt;=$C$1),$H46,IF(AND(($D46+$C$1)&gt;CH$4,CH$4&gt;=$C$1),$G46,0))*IF($A46="Residential",'General Inputs'!O$14,'General Inputs'!O$19)</f>
        <v>0</v>
      </c>
      <c r="CI46" s="214">
        <f>IF(AND(($E46+$C$1)&gt;CI$4,CI$4&gt;=$C$1),$H46,IF(AND(($D46+$C$1)&gt;CI$4,CI$4&gt;=$C$1),$G46,0))*IF($A46="Residential",'General Inputs'!P$14,'General Inputs'!P$19)</f>
        <v>0</v>
      </c>
      <c r="CJ46" s="214">
        <f>IF(AND(($E46+$C$1)&gt;CJ$4,CJ$4&gt;=$C$1),$H46,IF(AND(($D46+$C$1)&gt;CJ$4,CJ$4&gt;=$C$1),$G46,0))*IF($A46="Residential",'General Inputs'!Q$14,'General Inputs'!Q$19)</f>
        <v>0</v>
      </c>
      <c r="CK46" s="214">
        <f>IF(AND(($E46+$C$1)&gt;CK$4,CK$4&gt;=$C$1),$H46,IF(AND(($D46+$C$1)&gt;CK$4,CK$4&gt;=$C$1),$G46,0))*IF($A46="Residential",'General Inputs'!R$14,'General Inputs'!R$19)</f>
        <v>0</v>
      </c>
      <c r="CL46" s="214">
        <f>IF(AND(($E46+$C$1)&gt;CL$4,CL$4&gt;=$C$1),$H46,IF(AND(($D46+$C$1)&gt;CL$4,CL$4&gt;=$C$1),$G46,0))*IF($A46="Residential",'General Inputs'!S$14,'General Inputs'!S$19)</f>
        <v>0</v>
      </c>
      <c r="CM46" s="214">
        <f>IF(AND(($E46+$C$1)&gt;CM$4,CM$4&gt;=$C$1),$H46,IF(AND(($D46+$C$1)&gt;CM$4,CM$4&gt;=$C$1),$G46,0))*IF($A46="Residential",'General Inputs'!T$14,'General Inputs'!T$19)</f>
        <v>0</v>
      </c>
      <c r="CN46" s="214">
        <f>IF(AND(($E46+$C$1)&gt;CN$4,CN$4&gt;=$C$1),$H46,IF(AND(($D46+$C$1)&gt;CN$4,CN$4&gt;=$C$1),$G46,0))*IF($A46="Residential",'General Inputs'!U$14,'General Inputs'!U$19)</f>
        <v>0</v>
      </c>
      <c r="CO46" s="214">
        <f>IF(AND(($E46+$C$1)&gt;CO$4,CO$4&gt;=$C$1),$H46,IF(AND(($D46+$C$1)&gt;CO$4,CO$4&gt;=$C$1),$G46,0))*IF($A46="Residential",'General Inputs'!V$14,'General Inputs'!V$19)</f>
        <v>0</v>
      </c>
      <c r="CP46" s="214">
        <f>IF(AND(($E46+$C$1)&gt;CP$4,CP$4&gt;=$C$1),$H46,IF(AND(($D46+$C$1)&gt;CP$4,CP$4&gt;=$C$1),$G46,0))*IF($A46="Residential",'General Inputs'!W$14,'General Inputs'!W$19)</f>
        <v>0</v>
      </c>
      <c r="CR46" s="214">
        <f>IF(AND(($E46+$C$1)&gt;CR$4,CR$4&gt;=$C$1),$H46,IF(AND(($D46+$C$1)&gt;CR$4,CR$4&gt;=$C$1),$G46,0))*IF($A46="Residential",'General Inputs'!D$15,'General Inputs'!D$19)</f>
        <v>0</v>
      </c>
      <c r="CS46" s="214">
        <f>IF(AND(($E46+$C$1)&gt;CS$4,CS$4&gt;=$C$1),$H46,IF(AND(($D46+$C$1)&gt;CS$4,CS$4&gt;=$C$1),$G46,0))*IF($A46="Residential",'General Inputs'!E$15,'General Inputs'!E$19)</f>
        <v>0</v>
      </c>
      <c r="CT46" s="214">
        <f>IF(AND(($E46+$C$1)&gt;CT$4,CT$4&gt;=$C$1),$H46,IF(AND(($D46+$C$1)&gt;CT$4,CT$4&gt;=$C$1),$G46,0))*IF($A46="Residential",'General Inputs'!F$15,'General Inputs'!F$19)</f>
        <v>0</v>
      </c>
      <c r="CU46" s="214">
        <f>IF(AND(($E46+$C$1)&gt;CU$4,CU$4&gt;=$C$1),$H46,IF(AND(($D46+$C$1)&gt;CU$4,CU$4&gt;=$C$1),$G46,0))*IF($A46="Residential",'General Inputs'!G$15,'General Inputs'!G$19)</f>
        <v>0</v>
      </c>
      <c r="CV46" s="214">
        <f>IF(AND(($E46+$C$1)&gt;CV$4,CV$4&gt;=$C$1),$H46,IF(AND(($D46+$C$1)&gt;CV$4,CV$4&gt;=$C$1),$G46,0))*IF($A46="Residential",'General Inputs'!H$15,'General Inputs'!H$19)</f>
        <v>0</v>
      </c>
      <c r="CW46" s="214">
        <f>IF(AND(($E46+$C$1)&gt;CW$4,CW$4&gt;=$C$1),$H46,IF(AND(($D46+$C$1)&gt;CW$4,CW$4&gt;=$C$1),$G46,0))*IF($A46="Residential",'General Inputs'!I$15,'General Inputs'!I$19)</f>
        <v>0</v>
      </c>
      <c r="CX46" s="214">
        <f>IF(AND(($E46+$C$1)&gt;CX$4,CX$4&gt;=$C$1),$H46,IF(AND(($D46+$C$1)&gt;CX$4,CX$4&gt;=$C$1),$G46,0))*IF($A46="Residential",'General Inputs'!J$15,'General Inputs'!J$19)</f>
        <v>0</v>
      </c>
      <c r="CY46" s="214">
        <f>IF(AND(($E46+$C$1)&gt;CY$4,CY$4&gt;=$C$1),$H46,IF(AND(($D46+$C$1)&gt;CY$4,CY$4&gt;=$C$1),$G46,0))*IF($A46="Residential",'General Inputs'!K$15,'General Inputs'!K$19)</f>
        <v>0</v>
      </c>
      <c r="CZ46" s="214">
        <f>IF(AND(($E46+$C$1)&gt;CZ$4,CZ$4&gt;=$C$1),$H46,IF(AND(($D46+$C$1)&gt;CZ$4,CZ$4&gt;=$C$1),$G46,0))*IF($A46="Residential",'General Inputs'!L$15,'General Inputs'!L$19)</f>
        <v>0</v>
      </c>
      <c r="DA46" s="214">
        <f>IF(AND(($E46+$C$1)&gt;DA$4,DA$4&gt;=$C$1),$H46,IF(AND(($D46+$C$1)&gt;DA$4,DA$4&gt;=$C$1),$G46,0))*IF($A46="Residential",'General Inputs'!M$15,'General Inputs'!M$19)</f>
        <v>0</v>
      </c>
      <c r="DB46" s="214">
        <f>IF(AND(($E46+$C$1)&gt;DB$4,DB$4&gt;=$C$1),$H46,IF(AND(($D46+$C$1)&gt;DB$4,DB$4&gt;=$C$1),$G46,0))*IF($A46="Residential",'General Inputs'!N$15,'General Inputs'!N$19)</f>
        <v>0</v>
      </c>
      <c r="DC46" s="214">
        <f>IF(AND(($E46+$C$1)&gt;DC$4,DC$4&gt;=$C$1),$H46,IF(AND(($D46+$C$1)&gt;DC$4,DC$4&gt;=$C$1),$G46,0))*IF($A46="Residential",'General Inputs'!O$15,'General Inputs'!O$19)</f>
        <v>0</v>
      </c>
      <c r="DD46" s="214">
        <f>IF(AND(($E46+$C$1)&gt;DD$4,DD$4&gt;=$C$1),$H46,IF(AND(($D46+$C$1)&gt;DD$4,DD$4&gt;=$C$1),$G46,0))*IF($A46="Residential",'General Inputs'!P$15,'General Inputs'!P$19)</f>
        <v>0</v>
      </c>
      <c r="DE46" s="214">
        <f>IF(AND(($E46+$C$1)&gt;DE$4,DE$4&gt;=$C$1),$H46,IF(AND(($D46+$C$1)&gt;DE$4,DE$4&gt;=$C$1),$G46,0))*IF($A46="Residential",'General Inputs'!Q$15,'General Inputs'!Q$19)</f>
        <v>0</v>
      </c>
      <c r="DF46" s="214">
        <f>IF(AND(($E46+$C$1)&gt;DF$4,DF$4&gt;=$C$1),$H46,IF(AND(($D46+$C$1)&gt;DF$4,DF$4&gt;=$C$1),$G46,0))*IF($A46="Residential",'General Inputs'!R$15,'General Inputs'!R$19)</f>
        <v>0</v>
      </c>
      <c r="DG46" s="214">
        <f>IF(AND(($E46+$C$1)&gt;DG$4,DG$4&gt;=$C$1),$H46,IF(AND(($D46+$C$1)&gt;DG$4,DG$4&gt;=$C$1),$G46,0))*IF($A46="Residential",'General Inputs'!S$15,'General Inputs'!S$19)</f>
        <v>0</v>
      </c>
      <c r="DH46" s="214">
        <f>IF(AND(($E46+$C$1)&gt;DH$4,DH$4&gt;=$C$1),$H46,IF(AND(($D46+$C$1)&gt;DH$4,DH$4&gt;=$C$1),$G46,0))*IF($A46="Residential",'General Inputs'!T$15,'General Inputs'!T$19)</f>
        <v>0</v>
      </c>
      <c r="DI46" s="214">
        <f>IF(AND(($E46+$C$1)&gt;DI$4,DI$4&gt;=$C$1),$H46,IF(AND(($D46+$C$1)&gt;DI$4,DI$4&gt;=$C$1),$G46,0))*IF($A46="Residential",'General Inputs'!U$15,'General Inputs'!U$19)</f>
        <v>0</v>
      </c>
      <c r="DJ46" s="214">
        <f>IF(AND(($E46+$C$1)&gt;DJ$4,DJ$4&gt;=$C$1),$H46,IF(AND(($D46+$C$1)&gt;DJ$4,DJ$4&gt;=$C$1),$G46,0))*IF($A46="Residential",'General Inputs'!V$15,'General Inputs'!V$19)</f>
        <v>0</v>
      </c>
      <c r="DK46" s="214">
        <f>IF(AND(($E46+$C$1)&gt;DK$4,DK$4&gt;=$C$1),$H46,IF(AND(($D46+$C$1)&gt;DK$4,DK$4&gt;=$C$1),$G46,0))*IF($A46="Residential",'General Inputs'!W$15,'General Inputs'!W$19)</f>
        <v>0</v>
      </c>
      <c r="DM46" s="214">
        <f t="shared" ref="DM46:DW65" si="441">IF($C$1=DM$4,$L46*$C46,IF($E46+$C$1=DM$4,-$M46*$C46,0))</f>
        <v>0</v>
      </c>
      <c r="DN46" s="214">
        <f t="shared" si="441"/>
        <v>0</v>
      </c>
      <c r="DO46" s="214">
        <f t="shared" si="441"/>
        <v>0</v>
      </c>
      <c r="DP46" s="214">
        <f t="shared" si="441"/>
        <v>0</v>
      </c>
      <c r="DQ46" s="214">
        <f t="shared" si="441"/>
        <v>0</v>
      </c>
      <c r="DR46" s="214">
        <f t="shared" si="441"/>
        <v>0</v>
      </c>
      <c r="DS46" s="214">
        <f t="shared" si="441"/>
        <v>0</v>
      </c>
      <c r="DT46" s="214">
        <f t="shared" si="441"/>
        <v>0</v>
      </c>
      <c r="DU46" s="214">
        <f t="shared" si="441"/>
        <v>0</v>
      </c>
      <c r="DV46" s="214">
        <f t="shared" si="441"/>
        <v>0</v>
      </c>
      <c r="DW46" s="214">
        <f t="shared" si="441"/>
        <v>0</v>
      </c>
      <c r="DZ46" s="650"/>
      <c r="FI46" s="195"/>
      <c r="FJ46" s="195"/>
      <c r="FK46" s="195"/>
      <c r="FL46" s="195"/>
      <c r="FM46" s="195"/>
      <c r="FN46" s="195"/>
      <c r="FO46" s="195"/>
    </row>
    <row r="47" spans="1:171">
      <c r="A47" s="342" t="s">
        <v>112</v>
      </c>
      <c r="B47" s="427" t="str">
        <f>'Portfolio Inputs'!A46</f>
        <v>Delamp T12 to T8 (2 Lamp Fixtures)</v>
      </c>
      <c r="C47" s="217">
        <f>IF($C$1=2014,'Portfolio Inputs'!$C46,IF($C$1=2015,'Portfolio Inputs'!$D46,'Portfolio Inputs'!$E46))</f>
        <v>0</v>
      </c>
      <c r="D47" s="504">
        <f>VLOOKUP(B47,Sources!$B$4:$J$104,2,FALSE)</f>
        <v>11</v>
      </c>
      <c r="E47" s="504">
        <f>VLOOKUP(B47,Sources!$B$4:$J$104,3,FALSE)</f>
        <v>0</v>
      </c>
      <c r="G47" s="504">
        <f>IF($C$1=2014,'Portfolio Inputs'!$G46,IF($C$1=2015,'Portfolio Inputs'!$H46,'Portfolio Inputs'!$I46))*EnergyLineLoss</f>
        <v>0</v>
      </c>
      <c r="H47" s="504"/>
      <c r="I47" s="595">
        <f>IF($C$1=2014,'Portfolio Inputs'!$K46,IF($C$1=2015,'Portfolio Inputs'!$L46,'Portfolio Inputs'!$M46))*PeakLineLoss</f>
        <v>0</v>
      </c>
      <c r="J47" s="510"/>
      <c r="L47" s="606">
        <f>IF($C$1=2014,'Portfolio Inputs'!$O46,IF($C$1=2015,'Portfolio Inputs'!$P46,'Portfolio Inputs'!$Q46))</f>
        <v>55</v>
      </c>
      <c r="M47" s="518">
        <f>VLOOKUP($B47,Sources!$B$4:$K$104,10,FALSE)</f>
        <v>0</v>
      </c>
      <c r="N47" s="419">
        <f>IF($C$1=2014,'Portfolio Inputs'!$W46,IF($C$1=2015,'Portfolio Inputs'!$X46,'Portfolio Inputs'!$Y46))</f>
        <v>0</v>
      </c>
      <c r="O47" s="419">
        <f>IF($C$1=2014,'Portfolio Inputs'!$AA46,IF($C$1=2015,'Portfolio Inputs'!$AB46,'Portfolio Inputs'!$AC46))</f>
        <v>0</v>
      </c>
      <c r="Q47" s="438" t="str">
        <f t="shared" ref="Q47:Q82" si="442">IF(OR(AE47&gt;0,AC47&gt;0),Y47/(AC47+AE47),"n/a")</f>
        <v>n/a</v>
      </c>
      <c r="R47" s="439" t="str">
        <f t="shared" ref="R47:R82" si="443">IF(OR(AC47&gt;0,AD47&gt;0),Y47/((AD47+AC47)),"n/a")</f>
        <v>n/a</v>
      </c>
      <c r="S47" s="439" t="str">
        <f t="shared" ref="S47:S82" si="444">IF(OR(AC47&gt;0,AE47&gt;0),(Y47+Z47)/(AC47+AE47),"n/a")</f>
        <v>n/a</v>
      </c>
      <c r="T47" s="439" t="str">
        <f t="shared" ref="T47:T82" si="445">IF(AE47&gt;0,(AD47+AA47)/AE47,"n/a")</f>
        <v>n/a</v>
      </c>
      <c r="U47" s="439" t="str">
        <f t="shared" ref="U47:U82" si="446">IF(AE47&gt;0,(AD47+AB47)/AE47,"n/a")</f>
        <v>n/a</v>
      </c>
      <c r="V47" s="439" t="str">
        <f t="shared" ref="V47:V82" si="447">IF((AA47+AC47+AD47)&gt;0,Y47/(AA47+AC47+AD47),"n/a")</f>
        <v>n/a</v>
      </c>
      <c r="W47" s="439" t="str">
        <f t="shared" ref="W47:W82" si="448">IF((AB47+AC47+AD47)&gt;0,Y47/(AB47+AC47+AD47),"n/a")</f>
        <v>n/a</v>
      </c>
      <c r="Y47" s="215">
        <f t="shared" ref="Y47:Y82" si="449">AG47+NPV(DiscountRate,AH47:AZ47)</f>
        <v>0</v>
      </c>
      <c r="Z47" s="215">
        <f t="shared" ref="Z47:Z82" si="450">BB47+NPV(DiscountRate,BC47:BU47)</f>
        <v>0</v>
      </c>
      <c r="AA47" s="215">
        <f t="shared" ref="AA47:AA82" si="451">BW47+NPV(DiscountRate,BX47:CP47)</f>
        <v>0</v>
      </c>
      <c r="AB47" s="215">
        <f t="shared" ref="AB47:AB82" si="452">CR47+NPV(DiscountRate,CS47:DK47)</f>
        <v>0</v>
      </c>
      <c r="AC47" s="216">
        <f t="shared" ref="AC47:AC82" si="453">O47/((1+DiscountRate)^(IF($C$1=2015,1,IF($C$1=2016,2,0))))</f>
        <v>0</v>
      </c>
      <c r="AD47" s="216">
        <f t="shared" ref="AD47:AD82" si="454">N47/((1+DiscountRate)^(IF($C$1=2015,1,IF($C$1=2016,2,0))))</f>
        <v>0</v>
      </c>
      <c r="AE47" s="215">
        <f t="shared" ref="AE47:AE82" si="455">DM47+NPV(DiscountRate,DN47:DW47)</f>
        <v>0</v>
      </c>
      <c r="AG47" s="214">
        <f>IF(AND(($E47+$C$1)&gt;AG$4,AG$4&gt;=$C$1),'General Inputs'!D$9*$H47,IF(AND(($D47+$C$1)&gt;AG$4,AG$4&gt;=$C$1),'General Inputs'!D$9*$G47,0))+IF(AND(($E47+$C$1)&gt;AG$4,AG$4&gt;=$C$1),'General Inputs'!D$10*$J47,IF(AND(($D47+$C$1)&gt;AG$4,AG$4&gt;=$C$1),'General Inputs'!D$10*$I47,0))</f>
        <v>0</v>
      </c>
      <c r="AH47" s="214">
        <f>IF(AND(($E47+$C$1)&gt;AH$4,AH$4&gt;=$C$1),'General Inputs'!E$9*$H47,IF(AND(($D47+$C$1)&gt;AH$4,AH$4&gt;=$C$1),'General Inputs'!E$9*$G47,0))+IF(AND(($E47+$C$1)&gt;AH$4,AH$4&gt;=$C$1),'General Inputs'!E$10*$J47,IF(AND(($D47+$C$1)&gt;AH$4,AH$4&gt;=$C$1),'General Inputs'!E$10*$I47,0))</f>
        <v>0</v>
      </c>
      <c r="AI47" s="214">
        <f>IF(AND(($E47+$C$1)&gt;AI$4,AI$4&gt;=$C$1),'General Inputs'!F$9*$H47,IF(AND(($D47+$C$1)&gt;AI$4,AI$4&gt;=$C$1),'General Inputs'!F$9*$G47,0))+IF(AND(($E47+$C$1)&gt;AI$4,AI$4&gt;=$C$1),'General Inputs'!F$10*$J47,IF(AND(($D47+$C$1)&gt;AI$4,AI$4&gt;=$C$1),'General Inputs'!F$10*$I47,0))</f>
        <v>0</v>
      </c>
      <c r="AJ47" s="214">
        <f>IF(AND(($E47+$C$1)&gt;AJ$4,AJ$4&gt;=$C$1),'General Inputs'!G$9*$H47,IF(AND(($D47+$C$1)&gt;AJ$4,AJ$4&gt;=$C$1),'General Inputs'!G$9*$G47,0))+IF(AND(($E47+$C$1)&gt;AJ$4,AJ$4&gt;=$C$1),'General Inputs'!G$10*$J47,IF(AND(($D47+$C$1)&gt;AJ$4,AJ$4&gt;=$C$1),'General Inputs'!G$10*$I47,0))</f>
        <v>0</v>
      </c>
      <c r="AK47" s="214">
        <f>IF(AND(($E47+$C$1)&gt;AK$4,AK$4&gt;=$C$1),'General Inputs'!H$9*$H47,IF(AND(($D47+$C$1)&gt;AK$4,AK$4&gt;=$C$1),'General Inputs'!H$9*$G47,0))+IF(AND(($E47+$C$1)&gt;AK$4,AK$4&gt;=$C$1),'General Inputs'!H$10*$J47,IF(AND(($D47+$C$1)&gt;AK$4,AK$4&gt;=$C$1),'General Inputs'!H$10*$I47,0))</f>
        <v>0</v>
      </c>
      <c r="AL47" s="214">
        <f>IF(AND(($E47+$C$1)&gt;AL$4,AL$4&gt;=$C$1),'General Inputs'!I$9*$H47,IF(AND(($D47+$C$1)&gt;AL$4,AL$4&gt;=$C$1),'General Inputs'!I$9*$G47,0))+IF(AND(($E47+$C$1)&gt;AL$4,AL$4&gt;=$C$1),'General Inputs'!I$10*$J47,IF(AND(($D47+$C$1)&gt;AL$4,AL$4&gt;=$C$1),'General Inputs'!I$10*$I47,0))</f>
        <v>0</v>
      </c>
      <c r="AM47" s="214">
        <f>IF(AND(($E47+$C$1)&gt;AM$4,AM$4&gt;=$C$1),'General Inputs'!J$9*$H47,IF(AND(($D47+$C$1)&gt;AM$4,AM$4&gt;=$C$1),'General Inputs'!J$9*$G47,0))+IF(AND(($E47+$C$1)&gt;AM$4,AM$4&gt;=$C$1),'General Inputs'!J$10*$J47,IF(AND(($D47+$C$1)&gt;AM$4,AM$4&gt;=$C$1),'General Inputs'!J$10*$I47,0))</f>
        <v>0</v>
      </c>
      <c r="AN47" s="214">
        <f>IF(AND(($E47+$C$1)&gt;AN$4,AN$4&gt;=$C$1),'General Inputs'!K$9*$H47,IF(AND(($D47+$C$1)&gt;AN$4,AN$4&gt;=$C$1),'General Inputs'!K$9*$G47,0))+IF(AND(($E47+$C$1)&gt;AN$4,AN$4&gt;=$C$1),'General Inputs'!K$10*$J47,IF(AND(($D47+$C$1)&gt;AN$4,AN$4&gt;=$C$1),'General Inputs'!K$10*$I47,0))</f>
        <v>0</v>
      </c>
      <c r="AO47" s="214">
        <f>IF(AND(($E47+$C$1)&gt;AO$4,AO$4&gt;=$C$1),'General Inputs'!L$9*$H47,IF(AND(($D47+$C$1)&gt;AO$4,AO$4&gt;=$C$1),'General Inputs'!L$9*$G47,0))+IF(AND(($E47+$C$1)&gt;AO$4,AO$4&gt;=$C$1),'General Inputs'!L$10*$J47,IF(AND(($D47+$C$1)&gt;AO$4,AO$4&gt;=$C$1),'General Inputs'!L$10*$I47,0))</f>
        <v>0</v>
      </c>
      <c r="AP47" s="214">
        <f>IF(AND(($E47+$C$1)&gt;AP$4,AP$4&gt;=$C$1),'General Inputs'!M$9*$H47,IF(AND(($D47+$C$1)&gt;AP$4,AP$4&gt;=$C$1),'General Inputs'!M$9*$G47,0))+IF(AND(($E47+$C$1)&gt;AP$4,AP$4&gt;=$C$1),'General Inputs'!M$10*$J47,IF(AND(($D47+$C$1)&gt;AP$4,AP$4&gt;=$C$1),'General Inputs'!M$10*$I47,0))</f>
        <v>0</v>
      </c>
      <c r="AQ47" s="214">
        <f>IF(AND(($E47+$C$1)&gt;AQ$4,AQ$4&gt;=$C$1),'General Inputs'!N$9*$H47,IF(AND(($D47+$C$1)&gt;AQ$4,AQ$4&gt;=$C$1),'General Inputs'!N$9*$G47,0))+IF(AND(($E47+$C$1)&gt;AQ$4,AQ$4&gt;=$C$1),'General Inputs'!N$10*$J47,IF(AND(($D47+$C$1)&gt;AQ$4,AQ$4&gt;=$C$1),'General Inputs'!N$10*$I47,0))</f>
        <v>0</v>
      </c>
      <c r="AR47" s="214">
        <f>IF(AND(($E47+$C$1)&gt;AR$4,AR$4&gt;=$C$1),'General Inputs'!O$9*$H47,IF(AND(($D47+$C$1)&gt;AR$4,AR$4&gt;=$C$1),'General Inputs'!O$9*$G47,0))+IF(AND(($E47+$C$1)&gt;AR$4,AR$4&gt;=$C$1),'General Inputs'!O$10*$J47,IF(AND(($D47+$C$1)&gt;AR$4,AR$4&gt;=$C$1),'General Inputs'!O$10*$I47,0))</f>
        <v>0</v>
      </c>
      <c r="AS47" s="214">
        <f>IF(AND(($E47+$C$1)&gt;AS$4,AS$4&gt;=$C$1),'General Inputs'!P$9*$H47,IF(AND(($D47+$C$1)&gt;AS$4,AS$4&gt;=$C$1),'General Inputs'!P$9*$G47,0))+IF(AND(($E47+$C$1)&gt;AS$4,AS$4&gt;=$C$1),'General Inputs'!P$10*$J47,IF(AND(($D47+$C$1)&gt;AS$4,AS$4&gt;=$C$1),'General Inputs'!P$10*$I47,0))</f>
        <v>0</v>
      </c>
      <c r="AT47" s="214">
        <f>IF(AND(($E47+$C$1)&gt;AT$4,AT$4&gt;=$C$1),'General Inputs'!Q$9*$H47,IF(AND(($D47+$C$1)&gt;AT$4,AT$4&gt;=$C$1),'General Inputs'!Q$9*$G47,0))+IF(AND(($E47+$C$1)&gt;AT$4,AT$4&gt;=$C$1),'General Inputs'!Q$10*$J47,IF(AND(($D47+$C$1)&gt;AT$4,AT$4&gt;=$C$1),'General Inputs'!Q$10*$I47,0))</f>
        <v>0</v>
      </c>
      <c r="AU47" s="214">
        <f>IF(AND(($E47+$C$1)&gt;AU$4,AU$4&gt;=$C$1),'General Inputs'!R$9*$H47,IF(AND(($D47+$C$1)&gt;AU$4,AU$4&gt;=$C$1),'General Inputs'!R$9*$G47,0))+IF(AND(($E47+$C$1)&gt;AU$4,AU$4&gt;=$C$1),'General Inputs'!R$10*$J47,IF(AND(($D47+$C$1)&gt;AU$4,AU$4&gt;=$C$1),'General Inputs'!R$10*$I47,0))</f>
        <v>0</v>
      </c>
      <c r="AV47" s="214">
        <f>IF(AND(($E47+$C$1)&gt;AV$4,AV$4&gt;=$C$1),'General Inputs'!S$9*$H47,IF(AND(($D47+$C$1)&gt;AV$4,AV$4&gt;=$C$1),'General Inputs'!S$9*$G47,0))+IF(AND(($E47+$C$1)&gt;AV$4,AV$4&gt;=$C$1),'General Inputs'!S$10*$J47,IF(AND(($D47+$C$1)&gt;AV$4,AV$4&gt;=$C$1),'General Inputs'!S$10*$I47,0))</f>
        <v>0</v>
      </c>
      <c r="AW47" s="214">
        <f>IF(AND(($E47+$C$1)&gt;AW$4,AW$4&gt;=$C$1),'General Inputs'!T$9*$H47,IF(AND(($D47+$C$1)&gt;AW$4,AW$4&gt;=$C$1),'General Inputs'!T$9*$G47,0))+IF(AND(($E47+$C$1)&gt;AW$4,AW$4&gt;=$C$1),'General Inputs'!T$10*$J47,IF(AND(($D47+$C$1)&gt;AW$4,AW$4&gt;=$C$1),'General Inputs'!T$10*$I47,0))</f>
        <v>0</v>
      </c>
      <c r="AX47" s="214">
        <f>IF(AND(($E47+$C$1)&gt;AX$4,AX$4&gt;=$C$1),'General Inputs'!U$9*$H47,IF(AND(($D47+$C$1)&gt;AX$4,AX$4&gt;=$C$1),'General Inputs'!U$9*$G47,0))+IF(AND(($E47+$C$1)&gt;AX$4,AX$4&gt;=$C$1),'General Inputs'!U$10*$J47,IF(AND(($D47+$C$1)&gt;AX$4,AX$4&gt;=$C$1),'General Inputs'!U$10*$I47,0))</f>
        <v>0</v>
      </c>
      <c r="AY47" s="214">
        <f>IF(AND(($E47+$C$1)&gt;AY$4,AY$4&gt;=$C$1),'General Inputs'!V$9*$H47,IF(AND(($D47+$C$1)&gt;AY$4,AY$4&gt;=$C$1),'General Inputs'!V$9*$G47,0))+IF(AND(($E47+$C$1)&gt;AY$4,AY$4&gt;=$C$1),'General Inputs'!V$10*$J47,IF(AND(($D47+$C$1)&gt;AY$4,AY$4&gt;=$C$1),'General Inputs'!V$10*$I47,0))</f>
        <v>0</v>
      </c>
      <c r="AZ47" s="214">
        <f>IF(AND(($E47+$C$1)&gt;AZ$4,AZ$4&gt;=$C$1),'General Inputs'!W$9*$H47,IF(AND(($D47+$C$1)&gt;AZ$4,AZ$4&gt;=$C$1),'General Inputs'!W$9*$G47,0))+IF(AND(($E47+$C$1)&gt;AZ$4,AZ$4&gt;=$C$1),'General Inputs'!W$10*$J47,IF(AND(($D47+$C$1)&gt;AZ$4,AZ$4&gt;=$C$1),'General Inputs'!W$10*$I47,0))</f>
        <v>0</v>
      </c>
      <c r="BB47" s="214">
        <f>IF(AND(($E47+$C$1)&gt;BB$4,BB$4&gt;=$C$1),'General Inputs'!D$11*$H47,IF(AND(($D47+$C$1)&gt;BB$4,BB$4&gt;=$C$1),'General Inputs'!D$11*$G47,0))</f>
        <v>0</v>
      </c>
      <c r="BC47" s="214">
        <f>IF(AND(($E47+$C$1)&gt;BC$4,BC$4&gt;=$C$1),'General Inputs'!E$11*$H47,IF(AND(($D47+$C$1)&gt;BC$4,BC$4&gt;=$C$1),'General Inputs'!E$11*$G47,0))</f>
        <v>0</v>
      </c>
      <c r="BD47" s="214">
        <f>IF(AND(($E47+$C$1)&gt;BD$4,BD$4&gt;=$C$1),'General Inputs'!F$11*$H47,IF(AND(($D47+$C$1)&gt;BD$4,BD$4&gt;=$C$1),'General Inputs'!F$11*$G47,0))</f>
        <v>0</v>
      </c>
      <c r="BE47" s="214">
        <f>IF(AND(($E47+$C$1)&gt;BE$4,BE$4&gt;=$C$1),'General Inputs'!G$11*$H47,IF(AND(($D47+$C$1)&gt;BE$4,BE$4&gt;=$C$1),'General Inputs'!G$11*$G47,0))</f>
        <v>0</v>
      </c>
      <c r="BF47" s="214">
        <f>IF(AND(($E47+$C$1)&gt;BF$4,BF$4&gt;=$C$1),'General Inputs'!H$11*$H47,IF(AND(($D47+$C$1)&gt;BF$4,BF$4&gt;=$C$1),'General Inputs'!H$11*$G47,0))</f>
        <v>0</v>
      </c>
      <c r="BG47" s="214">
        <f>IF(AND(($E47+$C$1)&gt;BG$4,BG$4&gt;=$C$1),'General Inputs'!I$11*$H47,IF(AND(($D47+$C$1)&gt;BG$4,BG$4&gt;=$C$1),'General Inputs'!I$11*$G47,0))</f>
        <v>0</v>
      </c>
      <c r="BH47" s="214">
        <f>IF(AND(($E47+$C$1)&gt;BH$4,BH$4&gt;=$C$1),'General Inputs'!J$11*$H47,IF(AND(($D47+$C$1)&gt;BH$4,BH$4&gt;=$C$1),'General Inputs'!J$11*$G47,0))</f>
        <v>0</v>
      </c>
      <c r="BI47" s="214">
        <f>IF(AND(($E47+$C$1)&gt;BI$4,BI$4&gt;=$C$1),'General Inputs'!K$11*$H47,IF(AND(($D47+$C$1)&gt;BI$4,BI$4&gt;=$C$1),'General Inputs'!K$11*$G47,0))</f>
        <v>0</v>
      </c>
      <c r="BJ47" s="214">
        <f>IF(AND(($E47+$C$1)&gt;BJ$4,BJ$4&gt;=$C$1),'General Inputs'!L$11*$H47,IF(AND(($D47+$C$1)&gt;BJ$4,BJ$4&gt;=$C$1),'General Inputs'!L$11*$G47,0))</f>
        <v>0</v>
      </c>
      <c r="BK47" s="214">
        <f>IF(AND(($E47+$C$1)&gt;BK$4,BK$4&gt;=$C$1),'General Inputs'!M$11*$H47,IF(AND(($D47+$C$1)&gt;BK$4,BK$4&gt;=$C$1),'General Inputs'!M$11*$G47,0))</f>
        <v>0</v>
      </c>
      <c r="BL47" s="214">
        <f>IF(AND(($E47+$C$1)&gt;BL$4,BL$4&gt;=$C$1),'General Inputs'!N$11*$H47,IF(AND(($D47+$C$1)&gt;BL$4,BL$4&gt;=$C$1),'General Inputs'!N$11*$G47,0))</f>
        <v>0</v>
      </c>
      <c r="BM47" s="214">
        <f>IF(AND(($E47+$C$1)&gt;BM$4,BM$4&gt;=$C$1),'General Inputs'!O$11*$H47,IF(AND(($D47+$C$1)&gt;BM$4,BM$4&gt;=$C$1),'General Inputs'!O$11*$G47,0))</f>
        <v>0</v>
      </c>
      <c r="BN47" s="214">
        <f>IF(AND(($E47+$C$1)&gt;BN$4,BN$4&gt;=$C$1),'General Inputs'!P$11*$H47,IF(AND(($D47+$C$1)&gt;BN$4,BN$4&gt;=$C$1),'General Inputs'!P$11*$G47,0))</f>
        <v>0</v>
      </c>
      <c r="BO47" s="214">
        <f>IF(AND(($E47+$C$1)&gt;BO$4,BO$4&gt;=$C$1),'General Inputs'!Q$11*$H47,IF(AND(($D47+$C$1)&gt;BO$4,BO$4&gt;=$C$1),'General Inputs'!Q$11*$G47,0))</f>
        <v>0</v>
      </c>
      <c r="BP47" s="214">
        <f>IF(AND(($E47+$C$1)&gt;BP$4,BP$4&gt;=$C$1),'General Inputs'!R$11*$H47,IF(AND(($D47+$C$1)&gt;BP$4,BP$4&gt;=$C$1),'General Inputs'!R$11*$G47,0))</f>
        <v>0</v>
      </c>
      <c r="BQ47" s="214">
        <f>IF(AND(($E47+$C$1)&gt;BQ$4,BQ$4&gt;=$C$1),'General Inputs'!S$11*$H47,IF(AND(($D47+$C$1)&gt;BQ$4,BQ$4&gt;=$C$1),'General Inputs'!S$11*$G47,0))</f>
        <v>0</v>
      </c>
      <c r="BR47" s="214">
        <f>IF(AND(($E47+$C$1)&gt;BR$4,BR$4&gt;=$C$1),'General Inputs'!T$11*$H47,IF(AND(($D47+$C$1)&gt;BR$4,BR$4&gt;=$C$1),'General Inputs'!T$11*$G47,0))</f>
        <v>0</v>
      </c>
      <c r="BS47" s="214">
        <f>IF(AND(($E47+$C$1)&gt;BS$4,BS$4&gt;=$C$1),'General Inputs'!U$11*$H47,IF(AND(($D47+$C$1)&gt;BS$4,BS$4&gt;=$C$1),'General Inputs'!U$11*$G47,0))</f>
        <v>0</v>
      </c>
      <c r="BT47" s="214">
        <f>IF(AND(($E47+$C$1)&gt;BT$4,BT$4&gt;=$C$1),'General Inputs'!V$11*$H47,IF(AND(($D47+$C$1)&gt;BT$4,BT$4&gt;=$C$1),'General Inputs'!V$11*$G47,0))</f>
        <v>0</v>
      </c>
      <c r="BU47" s="214">
        <f>IF(AND(($E47+$C$1)&gt;BU$4,BU$4&gt;=$C$1),'General Inputs'!W$11*$H47,IF(AND(($D47+$C$1)&gt;BU$4,BU$4&gt;=$C$1),'General Inputs'!W$11*$G47,0))</f>
        <v>0</v>
      </c>
      <c r="BW47" s="214">
        <f>IF(AND(($E47+$C$1)&gt;BW$4,BW$4&gt;=$C$1),$H47,IF(AND(($D47+$C$1)&gt;BW$4,BW$4&gt;=$C$1),$G47,0))*IF($A47="Residential",'General Inputs'!D$14,'General Inputs'!D$19)</f>
        <v>0</v>
      </c>
      <c r="BX47" s="214">
        <f>IF(AND(($E47+$C$1)&gt;BX$4,BX$4&gt;=$C$1),$H47,IF(AND(($D47+$C$1)&gt;BX$4,BX$4&gt;=$C$1),$G47,0))*IF($A47="Residential",'General Inputs'!E$14,'General Inputs'!E$19)</f>
        <v>0</v>
      </c>
      <c r="BY47" s="214">
        <f>IF(AND(($E47+$C$1)&gt;BY$4,BY$4&gt;=$C$1),$H47,IF(AND(($D47+$C$1)&gt;BY$4,BY$4&gt;=$C$1),$G47,0))*IF($A47="Residential",'General Inputs'!F$14,'General Inputs'!F$19)</f>
        <v>0</v>
      </c>
      <c r="BZ47" s="214">
        <f>IF(AND(($E47+$C$1)&gt;BZ$4,BZ$4&gt;=$C$1),$H47,IF(AND(($D47+$C$1)&gt;BZ$4,BZ$4&gt;=$C$1),$G47,0))*IF($A47="Residential",'General Inputs'!G$14,'General Inputs'!G$19)</f>
        <v>0</v>
      </c>
      <c r="CA47" s="214">
        <f>IF(AND(($E47+$C$1)&gt;CA$4,CA$4&gt;=$C$1),$H47,IF(AND(($D47+$C$1)&gt;CA$4,CA$4&gt;=$C$1),$G47,0))*IF($A47="Residential",'General Inputs'!H$14,'General Inputs'!H$19)</f>
        <v>0</v>
      </c>
      <c r="CB47" s="214">
        <f>IF(AND(($E47+$C$1)&gt;CB$4,CB$4&gt;=$C$1),$H47,IF(AND(($D47+$C$1)&gt;CB$4,CB$4&gt;=$C$1),$G47,0))*IF($A47="Residential",'General Inputs'!I$14,'General Inputs'!I$19)</f>
        <v>0</v>
      </c>
      <c r="CC47" s="214">
        <f>IF(AND(($E47+$C$1)&gt;CC$4,CC$4&gt;=$C$1),$H47,IF(AND(($D47+$C$1)&gt;CC$4,CC$4&gt;=$C$1),$G47,0))*IF($A47="Residential",'General Inputs'!J$14,'General Inputs'!J$19)</f>
        <v>0</v>
      </c>
      <c r="CD47" s="214">
        <f>IF(AND(($E47+$C$1)&gt;CD$4,CD$4&gt;=$C$1),$H47,IF(AND(($D47+$C$1)&gt;CD$4,CD$4&gt;=$C$1),$G47,0))*IF($A47="Residential",'General Inputs'!K$14,'General Inputs'!K$19)</f>
        <v>0</v>
      </c>
      <c r="CE47" s="214">
        <f>IF(AND(($E47+$C$1)&gt;CE$4,CE$4&gt;=$C$1),$H47,IF(AND(($D47+$C$1)&gt;CE$4,CE$4&gt;=$C$1),$G47,0))*IF($A47="Residential",'General Inputs'!L$14,'General Inputs'!L$19)</f>
        <v>0</v>
      </c>
      <c r="CF47" s="214">
        <f>IF(AND(($E47+$C$1)&gt;CF$4,CF$4&gt;=$C$1),$H47,IF(AND(($D47+$C$1)&gt;CF$4,CF$4&gt;=$C$1),$G47,0))*IF($A47="Residential",'General Inputs'!M$14,'General Inputs'!M$19)</f>
        <v>0</v>
      </c>
      <c r="CG47" s="214">
        <f>IF(AND(($E47+$C$1)&gt;CG$4,CG$4&gt;=$C$1),$H47,IF(AND(($D47+$C$1)&gt;CG$4,CG$4&gt;=$C$1),$G47,0))*IF($A47="Residential",'General Inputs'!N$14,'General Inputs'!N$19)</f>
        <v>0</v>
      </c>
      <c r="CH47" s="214">
        <f>IF(AND(($E47+$C$1)&gt;CH$4,CH$4&gt;=$C$1),$H47,IF(AND(($D47+$C$1)&gt;CH$4,CH$4&gt;=$C$1),$G47,0))*IF($A47="Residential",'General Inputs'!O$14,'General Inputs'!O$19)</f>
        <v>0</v>
      </c>
      <c r="CI47" s="214">
        <f>IF(AND(($E47+$C$1)&gt;CI$4,CI$4&gt;=$C$1),$H47,IF(AND(($D47+$C$1)&gt;CI$4,CI$4&gt;=$C$1),$G47,0))*IF($A47="Residential",'General Inputs'!P$14,'General Inputs'!P$19)</f>
        <v>0</v>
      </c>
      <c r="CJ47" s="214">
        <f>IF(AND(($E47+$C$1)&gt;CJ$4,CJ$4&gt;=$C$1),$H47,IF(AND(($D47+$C$1)&gt;CJ$4,CJ$4&gt;=$C$1),$G47,0))*IF($A47="Residential",'General Inputs'!Q$14,'General Inputs'!Q$19)</f>
        <v>0</v>
      </c>
      <c r="CK47" s="214">
        <f>IF(AND(($E47+$C$1)&gt;CK$4,CK$4&gt;=$C$1),$H47,IF(AND(($D47+$C$1)&gt;CK$4,CK$4&gt;=$C$1),$G47,0))*IF($A47="Residential",'General Inputs'!R$14,'General Inputs'!R$19)</f>
        <v>0</v>
      </c>
      <c r="CL47" s="214">
        <f>IF(AND(($E47+$C$1)&gt;CL$4,CL$4&gt;=$C$1),$H47,IF(AND(($D47+$C$1)&gt;CL$4,CL$4&gt;=$C$1),$G47,0))*IF($A47="Residential",'General Inputs'!S$14,'General Inputs'!S$19)</f>
        <v>0</v>
      </c>
      <c r="CM47" s="214">
        <f>IF(AND(($E47+$C$1)&gt;CM$4,CM$4&gt;=$C$1),$H47,IF(AND(($D47+$C$1)&gt;CM$4,CM$4&gt;=$C$1),$G47,0))*IF($A47="Residential",'General Inputs'!T$14,'General Inputs'!T$19)</f>
        <v>0</v>
      </c>
      <c r="CN47" s="214">
        <f>IF(AND(($E47+$C$1)&gt;CN$4,CN$4&gt;=$C$1),$H47,IF(AND(($D47+$C$1)&gt;CN$4,CN$4&gt;=$C$1),$G47,0))*IF($A47="Residential",'General Inputs'!U$14,'General Inputs'!U$19)</f>
        <v>0</v>
      </c>
      <c r="CO47" s="214">
        <f>IF(AND(($E47+$C$1)&gt;CO$4,CO$4&gt;=$C$1),$H47,IF(AND(($D47+$C$1)&gt;CO$4,CO$4&gt;=$C$1),$G47,0))*IF($A47="Residential",'General Inputs'!V$14,'General Inputs'!V$19)</f>
        <v>0</v>
      </c>
      <c r="CP47" s="214">
        <f>IF(AND(($E47+$C$1)&gt;CP$4,CP$4&gt;=$C$1),$H47,IF(AND(($D47+$C$1)&gt;CP$4,CP$4&gt;=$C$1),$G47,0))*IF($A47="Residential",'General Inputs'!W$14,'General Inputs'!W$19)</f>
        <v>0</v>
      </c>
      <c r="CR47" s="214">
        <f>IF(AND(($E47+$C$1)&gt;CR$4,CR$4&gt;=$C$1),$H47,IF(AND(($D47+$C$1)&gt;CR$4,CR$4&gt;=$C$1),$G47,0))*IF($A47="Residential",'General Inputs'!D$15,'General Inputs'!D$19)</f>
        <v>0</v>
      </c>
      <c r="CS47" s="214">
        <f>IF(AND(($E47+$C$1)&gt;CS$4,CS$4&gt;=$C$1),$H47,IF(AND(($D47+$C$1)&gt;CS$4,CS$4&gt;=$C$1),$G47,0))*IF($A47="Residential",'General Inputs'!E$15,'General Inputs'!E$19)</f>
        <v>0</v>
      </c>
      <c r="CT47" s="214">
        <f>IF(AND(($E47+$C$1)&gt;CT$4,CT$4&gt;=$C$1),$H47,IF(AND(($D47+$C$1)&gt;CT$4,CT$4&gt;=$C$1),$G47,0))*IF($A47="Residential",'General Inputs'!F$15,'General Inputs'!F$19)</f>
        <v>0</v>
      </c>
      <c r="CU47" s="214">
        <f>IF(AND(($E47+$C$1)&gt;CU$4,CU$4&gt;=$C$1),$H47,IF(AND(($D47+$C$1)&gt;CU$4,CU$4&gt;=$C$1),$G47,0))*IF($A47="Residential",'General Inputs'!G$15,'General Inputs'!G$19)</f>
        <v>0</v>
      </c>
      <c r="CV47" s="214">
        <f>IF(AND(($E47+$C$1)&gt;CV$4,CV$4&gt;=$C$1),$H47,IF(AND(($D47+$C$1)&gt;CV$4,CV$4&gt;=$C$1),$G47,0))*IF($A47="Residential",'General Inputs'!H$15,'General Inputs'!H$19)</f>
        <v>0</v>
      </c>
      <c r="CW47" s="214">
        <f>IF(AND(($E47+$C$1)&gt;CW$4,CW$4&gt;=$C$1),$H47,IF(AND(($D47+$C$1)&gt;CW$4,CW$4&gt;=$C$1),$G47,0))*IF($A47="Residential",'General Inputs'!I$15,'General Inputs'!I$19)</f>
        <v>0</v>
      </c>
      <c r="CX47" s="214">
        <f>IF(AND(($E47+$C$1)&gt;CX$4,CX$4&gt;=$C$1),$H47,IF(AND(($D47+$C$1)&gt;CX$4,CX$4&gt;=$C$1),$G47,0))*IF($A47="Residential",'General Inputs'!J$15,'General Inputs'!J$19)</f>
        <v>0</v>
      </c>
      <c r="CY47" s="214">
        <f>IF(AND(($E47+$C$1)&gt;CY$4,CY$4&gt;=$C$1),$H47,IF(AND(($D47+$C$1)&gt;CY$4,CY$4&gt;=$C$1),$G47,0))*IF($A47="Residential",'General Inputs'!K$15,'General Inputs'!K$19)</f>
        <v>0</v>
      </c>
      <c r="CZ47" s="214">
        <f>IF(AND(($E47+$C$1)&gt;CZ$4,CZ$4&gt;=$C$1),$H47,IF(AND(($D47+$C$1)&gt;CZ$4,CZ$4&gt;=$C$1),$G47,0))*IF($A47="Residential",'General Inputs'!L$15,'General Inputs'!L$19)</f>
        <v>0</v>
      </c>
      <c r="DA47" s="214">
        <f>IF(AND(($E47+$C$1)&gt;DA$4,DA$4&gt;=$C$1),$H47,IF(AND(($D47+$C$1)&gt;DA$4,DA$4&gt;=$C$1),$G47,0))*IF($A47="Residential",'General Inputs'!M$15,'General Inputs'!M$19)</f>
        <v>0</v>
      </c>
      <c r="DB47" s="214">
        <f>IF(AND(($E47+$C$1)&gt;DB$4,DB$4&gt;=$C$1),$H47,IF(AND(($D47+$C$1)&gt;DB$4,DB$4&gt;=$C$1),$G47,0))*IF($A47="Residential",'General Inputs'!N$15,'General Inputs'!N$19)</f>
        <v>0</v>
      </c>
      <c r="DC47" s="214">
        <f>IF(AND(($E47+$C$1)&gt;DC$4,DC$4&gt;=$C$1),$H47,IF(AND(($D47+$C$1)&gt;DC$4,DC$4&gt;=$C$1),$G47,0))*IF($A47="Residential",'General Inputs'!O$15,'General Inputs'!O$19)</f>
        <v>0</v>
      </c>
      <c r="DD47" s="214">
        <f>IF(AND(($E47+$C$1)&gt;DD$4,DD$4&gt;=$C$1),$H47,IF(AND(($D47+$C$1)&gt;DD$4,DD$4&gt;=$C$1),$G47,0))*IF($A47="Residential",'General Inputs'!P$15,'General Inputs'!P$19)</f>
        <v>0</v>
      </c>
      <c r="DE47" s="214">
        <f>IF(AND(($E47+$C$1)&gt;DE$4,DE$4&gt;=$C$1),$H47,IF(AND(($D47+$C$1)&gt;DE$4,DE$4&gt;=$C$1),$G47,0))*IF($A47="Residential",'General Inputs'!Q$15,'General Inputs'!Q$19)</f>
        <v>0</v>
      </c>
      <c r="DF47" s="214">
        <f>IF(AND(($E47+$C$1)&gt;DF$4,DF$4&gt;=$C$1),$H47,IF(AND(($D47+$C$1)&gt;DF$4,DF$4&gt;=$C$1),$G47,0))*IF($A47="Residential",'General Inputs'!R$15,'General Inputs'!R$19)</f>
        <v>0</v>
      </c>
      <c r="DG47" s="214">
        <f>IF(AND(($E47+$C$1)&gt;DG$4,DG$4&gt;=$C$1),$H47,IF(AND(($D47+$C$1)&gt;DG$4,DG$4&gt;=$C$1),$G47,0))*IF($A47="Residential",'General Inputs'!S$15,'General Inputs'!S$19)</f>
        <v>0</v>
      </c>
      <c r="DH47" s="214">
        <f>IF(AND(($E47+$C$1)&gt;DH$4,DH$4&gt;=$C$1),$H47,IF(AND(($D47+$C$1)&gt;DH$4,DH$4&gt;=$C$1),$G47,0))*IF($A47="Residential",'General Inputs'!T$15,'General Inputs'!T$19)</f>
        <v>0</v>
      </c>
      <c r="DI47" s="214">
        <f>IF(AND(($E47+$C$1)&gt;DI$4,DI$4&gt;=$C$1),$H47,IF(AND(($D47+$C$1)&gt;DI$4,DI$4&gt;=$C$1),$G47,0))*IF($A47="Residential",'General Inputs'!U$15,'General Inputs'!U$19)</f>
        <v>0</v>
      </c>
      <c r="DJ47" s="214">
        <f>IF(AND(($E47+$C$1)&gt;DJ$4,DJ$4&gt;=$C$1),$H47,IF(AND(($D47+$C$1)&gt;DJ$4,DJ$4&gt;=$C$1),$G47,0))*IF($A47="Residential",'General Inputs'!V$15,'General Inputs'!V$19)</f>
        <v>0</v>
      </c>
      <c r="DK47" s="214">
        <f>IF(AND(($E47+$C$1)&gt;DK$4,DK$4&gt;=$C$1),$H47,IF(AND(($D47+$C$1)&gt;DK$4,DK$4&gt;=$C$1),$G47,0))*IF($A47="Residential",'General Inputs'!W$15,'General Inputs'!W$19)</f>
        <v>0</v>
      </c>
      <c r="DM47" s="214">
        <f t="shared" si="441"/>
        <v>0</v>
      </c>
      <c r="DN47" s="214">
        <f t="shared" si="441"/>
        <v>0</v>
      </c>
      <c r="DO47" s="214">
        <f t="shared" si="441"/>
        <v>0</v>
      </c>
      <c r="DP47" s="214">
        <f t="shared" si="441"/>
        <v>0</v>
      </c>
      <c r="DQ47" s="214">
        <f t="shared" si="441"/>
        <v>0</v>
      </c>
      <c r="DR47" s="214">
        <f t="shared" si="441"/>
        <v>0</v>
      </c>
      <c r="DS47" s="214">
        <f t="shared" si="441"/>
        <v>0</v>
      </c>
      <c r="DT47" s="214">
        <f t="shared" si="441"/>
        <v>0</v>
      </c>
      <c r="DU47" s="214">
        <f t="shared" si="441"/>
        <v>0</v>
      </c>
      <c r="DV47" s="214">
        <f t="shared" si="441"/>
        <v>0</v>
      </c>
      <c r="DW47" s="214">
        <f t="shared" si="441"/>
        <v>0</v>
      </c>
      <c r="DZ47" s="650"/>
      <c r="FI47" s="195"/>
      <c r="FJ47" s="195"/>
      <c r="FK47" s="195"/>
      <c r="FL47" s="195"/>
      <c r="FM47" s="195"/>
      <c r="FN47" s="195"/>
      <c r="FO47" s="195"/>
    </row>
    <row r="48" spans="1:171">
      <c r="A48" s="342" t="s">
        <v>112</v>
      </c>
      <c r="B48" s="427" t="str">
        <f>'Portfolio Inputs'!A47</f>
        <v>Delamp T12 to T8 (3-4 Lamp Fixtures)</v>
      </c>
      <c r="C48" s="217">
        <f>IF($C$1=2014,'Portfolio Inputs'!$C47,IF($C$1=2015,'Portfolio Inputs'!$D47,'Portfolio Inputs'!$E47))</f>
        <v>0</v>
      </c>
      <c r="D48" s="504">
        <f>VLOOKUP(B48,Sources!$B$4:$J$104,2,FALSE)</f>
        <v>11</v>
      </c>
      <c r="E48" s="504">
        <f>VLOOKUP(B48,Sources!$B$4:$J$104,3,FALSE)</f>
        <v>0</v>
      </c>
      <c r="G48" s="504">
        <f>IF($C$1=2014,'Portfolio Inputs'!$G47,IF($C$1=2015,'Portfolio Inputs'!$H47,'Portfolio Inputs'!$I47))*EnergyLineLoss</f>
        <v>0</v>
      </c>
      <c r="H48" s="504"/>
      <c r="I48" s="595">
        <f>IF($C$1=2014,'Portfolio Inputs'!$K47,IF($C$1=2015,'Portfolio Inputs'!$L47,'Portfolio Inputs'!$M47))*PeakLineLoss</f>
        <v>0</v>
      </c>
      <c r="J48" s="510"/>
      <c r="L48" s="606">
        <f>IF($C$1=2014,'Portfolio Inputs'!$O47,IF($C$1=2015,'Portfolio Inputs'!$P47,'Portfolio Inputs'!$Q47))</f>
        <v>122</v>
      </c>
      <c r="M48" s="518">
        <f>VLOOKUP($B48,Sources!$B$4:$K$104,10,FALSE)</f>
        <v>0</v>
      </c>
      <c r="N48" s="419">
        <f>IF($C$1=2014,'Portfolio Inputs'!$W47,IF($C$1=2015,'Portfolio Inputs'!$X47,'Portfolio Inputs'!$Y47))</f>
        <v>0</v>
      </c>
      <c r="O48" s="419">
        <f>IF($C$1=2014,'Portfolio Inputs'!$AA47,IF($C$1=2015,'Portfolio Inputs'!$AB47,'Portfolio Inputs'!$AC47))</f>
        <v>0</v>
      </c>
      <c r="Q48" s="438" t="str">
        <f t="shared" si="442"/>
        <v>n/a</v>
      </c>
      <c r="R48" s="439" t="str">
        <f t="shared" si="443"/>
        <v>n/a</v>
      </c>
      <c r="S48" s="439" t="str">
        <f t="shared" si="444"/>
        <v>n/a</v>
      </c>
      <c r="T48" s="439" t="str">
        <f t="shared" si="445"/>
        <v>n/a</v>
      </c>
      <c r="U48" s="439" t="str">
        <f t="shared" si="446"/>
        <v>n/a</v>
      </c>
      <c r="V48" s="439" t="str">
        <f t="shared" si="447"/>
        <v>n/a</v>
      </c>
      <c r="W48" s="439" t="str">
        <f t="shared" si="448"/>
        <v>n/a</v>
      </c>
      <c r="Y48" s="215">
        <f t="shared" si="449"/>
        <v>0</v>
      </c>
      <c r="Z48" s="215">
        <f t="shared" si="450"/>
        <v>0</v>
      </c>
      <c r="AA48" s="215">
        <f t="shared" si="451"/>
        <v>0</v>
      </c>
      <c r="AB48" s="215">
        <f t="shared" si="452"/>
        <v>0</v>
      </c>
      <c r="AC48" s="216">
        <f t="shared" si="453"/>
        <v>0</v>
      </c>
      <c r="AD48" s="216">
        <f t="shared" si="454"/>
        <v>0</v>
      </c>
      <c r="AE48" s="215">
        <f t="shared" si="455"/>
        <v>0</v>
      </c>
      <c r="AG48" s="214">
        <f>IF(AND(($E48+$C$1)&gt;AG$4,AG$4&gt;=$C$1),'General Inputs'!D$9*$H48,IF(AND(($D48+$C$1)&gt;AG$4,AG$4&gt;=$C$1),'General Inputs'!D$9*$G48,0))+IF(AND(($E48+$C$1)&gt;AG$4,AG$4&gt;=$C$1),'General Inputs'!D$10*$J48,IF(AND(($D48+$C$1)&gt;AG$4,AG$4&gt;=$C$1),'General Inputs'!D$10*$I48,0))</f>
        <v>0</v>
      </c>
      <c r="AH48" s="214">
        <f>IF(AND(($E48+$C$1)&gt;AH$4,AH$4&gt;=$C$1),'General Inputs'!E$9*$H48,IF(AND(($D48+$C$1)&gt;AH$4,AH$4&gt;=$C$1),'General Inputs'!E$9*$G48,0))+IF(AND(($E48+$C$1)&gt;AH$4,AH$4&gt;=$C$1),'General Inputs'!E$10*$J48,IF(AND(($D48+$C$1)&gt;AH$4,AH$4&gt;=$C$1),'General Inputs'!E$10*$I48,0))</f>
        <v>0</v>
      </c>
      <c r="AI48" s="214">
        <f>IF(AND(($E48+$C$1)&gt;AI$4,AI$4&gt;=$C$1),'General Inputs'!F$9*$H48,IF(AND(($D48+$C$1)&gt;AI$4,AI$4&gt;=$C$1),'General Inputs'!F$9*$G48,0))+IF(AND(($E48+$C$1)&gt;AI$4,AI$4&gt;=$C$1),'General Inputs'!F$10*$J48,IF(AND(($D48+$C$1)&gt;AI$4,AI$4&gt;=$C$1),'General Inputs'!F$10*$I48,0))</f>
        <v>0</v>
      </c>
      <c r="AJ48" s="214">
        <f>IF(AND(($E48+$C$1)&gt;AJ$4,AJ$4&gt;=$C$1),'General Inputs'!G$9*$H48,IF(AND(($D48+$C$1)&gt;AJ$4,AJ$4&gt;=$C$1),'General Inputs'!G$9*$G48,0))+IF(AND(($E48+$C$1)&gt;AJ$4,AJ$4&gt;=$C$1),'General Inputs'!G$10*$J48,IF(AND(($D48+$C$1)&gt;AJ$4,AJ$4&gt;=$C$1),'General Inputs'!G$10*$I48,0))</f>
        <v>0</v>
      </c>
      <c r="AK48" s="214">
        <f>IF(AND(($E48+$C$1)&gt;AK$4,AK$4&gt;=$C$1),'General Inputs'!H$9*$H48,IF(AND(($D48+$C$1)&gt;AK$4,AK$4&gt;=$C$1),'General Inputs'!H$9*$G48,0))+IF(AND(($E48+$C$1)&gt;AK$4,AK$4&gt;=$C$1),'General Inputs'!H$10*$J48,IF(AND(($D48+$C$1)&gt;AK$4,AK$4&gt;=$C$1),'General Inputs'!H$10*$I48,0))</f>
        <v>0</v>
      </c>
      <c r="AL48" s="214">
        <f>IF(AND(($E48+$C$1)&gt;AL$4,AL$4&gt;=$C$1),'General Inputs'!I$9*$H48,IF(AND(($D48+$C$1)&gt;AL$4,AL$4&gt;=$C$1),'General Inputs'!I$9*$G48,0))+IF(AND(($E48+$C$1)&gt;AL$4,AL$4&gt;=$C$1),'General Inputs'!I$10*$J48,IF(AND(($D48+$C$1)&gt;AL$4,AL$4&gt;=$C$1),'General Inputs'!I$10*$I48,0))</f>
        <v>0</v>
      </c>
      <c r="AM48" s="214">
        <f>IF(AND(($E48+$C$1)&gt;AM$4,AM$4&gt;=$C$1),'General Inputs'!J$9*$H48,IF(AND(($D48+$C$1)&gt;AM$4,AM$4&gt;=$C$1),'General Inputs'!J$9*$G48,0))+IF(AND(($E48+$C$1)&gt;AM$4,AM$4&gt;=$C$1),'General Inputs'!J$10*$J48,IF(AND(($D48+$C$1)&gt;AM$4,AM$4&gt;=$C$1),'General Inputs'!J$10*$I48,0))</f>
        <v>0</v>
      </c>
      <c r="AN48" s="214">
        <f>IF(AND(($E48+$C$1)&gt;AN$4,AN$4&gt;=$C$1),'General Inputs'!K$9*$H48,IF(AND(($D48+$C$1)&gt;AN$4,AN$4&gt;=$C$1),'General Inputs'!K$9*$G48,0))+IF(AND(($E48+$C$1)&gt;AN$4,AN$4&gt;=$C$1),'General Inputs'!K$10*$J48,IF(AND(($D48+$C$1)&gt;AN$4,AN$4&gt;=$C$1),'General Inputs'!K$10*$I48,0))</f>
        <v>0</v>
      </c>
      <c r="AO48" s="214">
        <f>IF(AND(($E48+$C$1)&gt;AO$4,AO$4&gt;=$C$1),'General Inputs'!L$9*$H48,IF(AND(($D48+$C$1)&gt;AO$4,AO$4&gt;=$C$1),'General Inputs'!L$9*$G48,0))+IF(AND(($E48+$C$1)&gt;AO$4,AO$4&gt;=$C$1),'General Inputs'!L$10*$J48,IF(AND(($D48+$C$1)&gt;AO$4,AO$4&gt;=$C$1),'General Inputs'!L$10*$I48,0))</f>
        <v>0</v>
      </c>
      <c r="AP48" s="214">
        <f>IF(AND(($E48+$C$1)&gt;AP$4,AP$4&gt;=$C$1),'General Inputs'!M$9*$H48,IF(AND(($D48+$C$1)&gt;AP$4,AP$4&gt;=$C$1),'General Inputs'!M$9*$G48,0))+IF(AND(($E48+$C$1)&gt;AP$4,AP$4&gt;=$C$1),'General Inputs'!M$10*$J48,IF(AND(($D48+$C$1)&gt;AP$4,AP$4&gt;=$C$1),'General Inputs'!M$10*$I48,0))</f>
        <v>0</v>
      </c>
      <c r="AQ48" s="214">
        <f>IF(AND(($E48+$C$1)&gt;AQ$4,AQ$4&gt;=$C$1),'General Inputs'!N$9*$H48,IF(AND(($D48+$C$1)&gt;AQ$4,AQ$4&gt;=$C$1),'General Inputs'!N$9*$G48,0))+IF(AND(($E48+$C$1)&gt;AQ$4,AQ$4&gt;=$C$1),'General Inputs'!N$10*$J48,IF(AND(($D48+$C$1)&gt;AQ$4,AQ$4&gt;=$C$1),'General Inputs'!N$10*$I48,0))</f>
        <v>0</v>
      </c>
      <c r="AR48" s="214">
        <f>IF(AND(($E48+$C$1)&gt;AR$4,AR$4&gt;=$C$1),'General Inputs'!O$9*$H48,IF(AND(($D48+$C$1)&gt;AR$4,AR$4&gt;=$C$1),'General Inputs'!O$9*$G48,0))+IF(AND(($E48+$C$1)&gt;AR$4,AR$4&gt;=$C$1),'General Inputs'!O$10*$J48,IF(AND(($D48+$C$1)&gt;AR$4,AR$4&gt;=$C$1),'General Inputs'!O$10*$I48,0))</f>
        <v>0</v>
      </c>
      <c r="AS48" s="214">
        <f>IF(AND(($E48+$C$1)&gt;AS$4,AS$4&gt;=$C$1),'General Inputs'!P$9*$H48,IF(AND(($D48+$C$1)&gt;AS$4,AS$4&gt;=$C$1),'General Inputs'!P$9*$G48,0))+IF(AND(($E48+$C$1)&gt;AS$4,AS$4&gt;=$C$1),'General Inputs'!P$10*$J48,IF(AND(($D48+$C$1)&gt;AS$4,AS$4&gt;=$C$1),'General Inputs'!P$10*$I48,0))</f>
        <v>0</v>
      </c>
      <c r="AT48" s="214">
        <f>IF(AND(($E48+$C$1)&gt;AT$4,AT$4&gt;=$C$1),'General Inputs'!Q$9*$H48,IF(AND(($D48+$C$1)&gt;AT$4,AT$4&gt;=$C$1),'General Inputs'!Q$9*$G48,0))+IF(AND(($E48+$C$1)&gt;AT$4,AT$4&gt;=$C$1),'General Inputs'!Q$10*$J48,IF(AND(($D48+$C$1)&gt;AT$4,AT$4&gt;=$C$1),'General Inputs'!Q$10*$I48,0))</f>
        <v>0</v>
      </c>
      <c r="AU48" s="214">
        <f>IF(AND(($E48+$C$1)&gt;AU$4,AU$4&gt;=$C$1),'General Inputs'!R$9*$H48,IF(AND(($D48+$C$1)&gt;AU$4,AU$4&gt;=$C$1),'General Inputs'!R$9*$G48,0))+IF(AND(($E48+$C$1)&gt;AU$4,AU$4&gt;=$C$1),'General Inputs'!R$10*$J48,IF(AND(($D48+$C$1)&gt;AU$4,AU$4&gt;=$C$1),'General Inputs'!R$10*$I48,0))</f>
        <v>0</v>
      </c>
      <c r="AV48" s="214">
        <f>IF(AND(($E48+$C$1)&gt;AV$4,AV$4&gt;=$C$1),'General Inputs'!S$9*$H48,IF(AND(($D48+$C$1)&gt;AV$4,AV$4&gt;=$C$1),'General Inputs'!S$9*$G48,0))+IF(AND(($E48+$C$1)&gt;AV$4,AV$4&gt;=$C$1),'General Inputs'!S$10*$J48,IF(AND(($D48+$C$1)&gt;AV$4,AV$4&gt;=$C$1),'General Inputs'!S$10*$I48,0))</f>
        <v>0</v>
      </c>
      <c r="AW48" s="214">
        <f>IF(AND(($E48+$C$1)&gt;AW$4,AW$4&gt;=$C$1),'General Inputs'!T$9*$H48,IF(AND(($D48+$C$1)&gt;AW$4,AW$4&gt;=$C$1),'General Inputs'!T$9*$G48,0))+IF(AND(($E48+$C$1)&gt;AW$4,AW$4&gt;=$C$1),'General Inputs'!T$10*$J48,IF(AND(($D48+$C$1)&gt;AW$4,AW$4&gt;=$C$1),'General Inputs'!T$10*$I48,0))</f>
        <v>0</v>
      </c>
      <c r="AX48" s="214">
        <f>IF(AND(($E48+$C$1)&gt;AX$4,AX$4&gt;=$C$1),'General Inputs'!U$9*$H48,IF(AND(($D48+$C$1)&gt;AX$4,AX$4&gt;=$C$1),'General Inputs'!U$9*$G48,0))+IF(AND(($E48+$C$1)&gt;AX$4,AX$4&gt;=$C$1),'General Inputs'!U$10*$J48,IF(AND(($D48+$C$1)&gt;AX$4,AX$4&gt;=$C$1),'General Inputs'!U$10*$I48,0))</f>
        <v>0</v>
      </c>
      <c r="AY48" s="214">
        <f>IF(AND(($E48+$C$1)&gt;AY$4,AY$4&gt;=$C$1),'General Inputs'!V$9*$H48,IF(AND(($D48+$C$1)&gt;AY$4,AY$4&gt;=$C$1),'General Inputs'!V$9*$G48,0))+IF(AND(($E48+$C$1)&gt;AY$4,AY$4&gt;=$C$1),'General Inputs'!V$10*$J48,IF(AND(($D48+$C$1)&gt;AY$4,AY$4&gt;=$C$1),'General Inputs'!V$10*$I48,0))</f>
        <v>0</v>
      </c>
      <c r="AZ48" s="214">
        <f>IF(AND(($E48+$C$1)&gt;AZ$4,AZ$4&gt;=$C$1),'General Inputs'!W$9*$H48,IF(AND(($D48+$C$1)&gt;AZ$4,AZ$4&gt;=$C$1),'General Inputs'!W$9*$G48,0))+IF(AND(($E48+$C$1)&gt;AZ$4,AZ$4&gt;=$C$1),'General Inputs'!W$10*$J48,IF(AND(($D48+$C$1)&gt;AZ$4,AZ$4&gt;=$C$1),'General Inputs'!W$10*$I48,0))</f>
        <v>0</v>
      </c>
      <c r="BB48" s="214">
        <f>IF(AND(($E48+$C$1)&gt;BB$4,BB$4&gt;=$C$1),'General Inputs'!D$11*$H48,IF(AND(($D48+$C$1)&gt;BB$4,BB$4&gt;=$C$1),'General Inputs'!D$11*$G48,0))</f>
        <v>0</v>
      </c>
      <c r="BC48" s="214">
        <f>IF(AND(($E48+$C$1)&gt;BC$4,BC$4&gt;=$C$1),'General Inputs'!E$11*$H48,IF(AND(($D48+$C$1)&gt;BC$4,BC$4&gt;=$C$1),'General Inputs'!E$11*$G48,0))</f>
        <v>0</v>
      </c>
      <c r="BD48" s="214">
        <f>IF(AND(($E48+$C$1)&gt;BD$4,BD$4&gt;=$C$1),'General Inputs'!F$11*$H48,IF(AND(($D48+$C$1)&gt;BD$4,BD$4&gt;=$C$1),'General Inputs'!F$11*$G48,0))</f>
        <v>0</v>
      </c>
      <c r="BE48" s="214">
        <f>IF(AND(($E48+$C$1)&gt;BE$4,BE$4&gt;=$C$1),'General Inputs'!G$11*$H48,IF(AND(($D48+$C$1)&gt;BE$4,BE$4&gt;=$C$1),'General Inputs'!G$11*$G48,0))</f>
        <v>0</v>
      </c>
      <c r="BF48" s="214">
        <f>IF(AND(($E48+$C$1)&gt;BF$4,BF$4&gt;=$C$1),'General Inputs'!H$11*$H48,IF(AND(($D48+$C$1)&gt;BF$4,BF$4&gt;=$C$1),'General Inputs'!H$11*$G48,0))</f>
        <v>0</v>
      </c>
      <c r="BG48" s="214">
        <f>IF(AND(($E48+$C$1)&gt;BG$4,BG$4&gt;=$C$1),'General Inputs'!I$11*$H48,IF(AND(($D48+$C$1)&gt;BG$4,BG$4&gt;=$C$1),'General Inputs'!I$11*$G48,0))</f>
        <v>0</v>
      </c>
      <c r="BH48" s="214">
        <f>IF(AND(($E48+$C$1)&gt;BH$4,BH$4&gt;=$C$1),'General Inputs'!J$11*$H48,IF(AND(($D48+$C$1)&gt;BH$4,BH$4&gt;=$C$1),'General Inputs'!J$11*$G48,0))</f>
        <v>0</v>
      </c>
      <c r="BI48" s="214">
        <f>IF(AND(($E48+$C$1)&gt;BI$4,BI$4&gt;=$C$1),'General Inputs'!K$11*$H48,IF(AND(($D48+$C$1)&gt;BI$4,BI$4&gt;=$C$1),'General Inputs'!K$11*$G48,0))</f>
        <v>0</v>
      </c>
      <c r="BJ48" s="214">
        <f>IF(AND(($E48+$C$1)&gt;BJ$4,BJ$4&gt;=$C$1),'General Inputs'!L$11*$H48,IF(AND(($D48+$C$1)&gt;BJ$4,BJ$4&gt;=$C$1),'General Inputs'!L$11*$G48,0))</f>
        <v>0</v>
      </c>
      <c r="BK48" s="214">
        <f>IF(AND(($E48+$C$1)&gt;BK$4,BK$4&gt;=$C$1),'General Inputs'!M$11*$H48,IF(AND(($D48+$C$1)&gt;BK$4,BK$4&gt;=$C$1),'General Inputs'!M$11*$G48,0))</f>
        <v>0</v>
      </c>
      <c r="BL48" s="214">
        <f>IF(AND(($E48+$C$1)&gt;BL$4,BL$4&gt;=$C$1),'General Inputs'!N$11*$H48,IF(AND(($D48+$C$1)&gt;BL$4,BL$4&gt;=$C$1),'General Inputs'!N$11*$G48,0))</f>
        <v>0</v>
      </c>
      <c r="BM48" s="214">
        <f>IF(AND(($E48+$C$1)&gt;BM$4,BM$4&gt;=$C$1),'General Inputs'!O$11*$H48,IF(AND(($D48+$C$1)&gt;BM$4,BM$4&gt;=$C$1),'General Inputs'!O$11*$G48,0))</f>
        <v>0</v>
      </c>
      <c r="BN48" s="214">
        <f>IF(AND(($E48+$C$1)&gt;BN$4,BN$4&gt;=$C$1),'General Inputs'!P$11*$H48,IF(AND(($D48+$C$1)&gt;BN$4,BN$4&gt;=$C$1),'General Inputs'!P$11*$G48,0))</f>
        <v>0</v>
      </c>
      <c r="BO48" s="214">
        <f>IF(AND(($E48+$C$1)&gt;BO$4,BO$4&gt;=$C$1),'General Inputs'!Q$11*$H48,IF(AND(($D48+$C$1)&gt;BO$4,BO$4&gt;=$C$1),'General Inputs'!Q$11*$G48,0))</f>
        <v>0</v>
      </c>
      <c r="BP48" s="214">
        <f>IF(AND(($E48+$C$1)&gt;BP$4,BP$4&gt;=$C$1),'General Inputs'!R$11*$H48,IF(AND(($D48+$C$1)&gt;BP$4,BP$4&gt;=$C$1),'General Inputs'!R$11*$G48,0))</f>
        <v>0</v>
      </c>
      <c r="BQ48" s="214">
        <f>IF(AND(($E48+$C$1)&gt;BQ$4,BQ$4&gt;=$C$1),'General Inputs'!S$11*$H48,IF(AND(($D48+$C$1)&gt;BQ$4,BQ$4&gt;=$C$1),'General Inputs'!S$11*$G48,0))</f>
        <v>0</v>
      </c>
      <c r="BR48" s="214">
        <f>IF(AND(($E48+$C$1)&gt;BR$4,BR$4&gt;=$C$1),'General Inputs'!T$11*$H48,IF(AND(($D48+$C$1)&gt;BR$4,BR$4&gt;=$C$1),'General Inputs'!T$11*$G48,0))</f>
        <v>0</v>
      </c>
      <c r="BS48" s="214">
        <f>IF(AND(($E48+$C$1)&gt;BS$4,BS$4&gt;=$C$1),'General Inputs'!U$11*$H48,IF(AND(($D48+$C$1)&gt;BS$4,BS$4&gt;=$C$1),'General Inputs'!U$11*$G48,0))</f>
        <v>0</v>
      </c>
      <c r="BT48" s="214">
        <f>IF(AND(($E48+$C$1)&gt;BT$4,BT$4&gt;=$C$1),'General Inputs'!V$11*$H48,IF(AND(($D48+$C$1)&gt;BT$4,BT$4&gt;=$C$1),'General Inputs'!V$11*$G48,0))</f>
        <v>0</v>
      </c>
      <c r="BU48" s="214">
        <f>IF(AND(($E48+$C$1)&gt;BU$4,BU$4&gt;=$C$1),'General Inputs'!W$11*$H48,IF(AND(($D48+$C$1)&gt;BU$4,BU$4&gt;=$C$1),'General Inputs'!W$11*$G48,0))</f>
        <v>0</v>
      </c>
      <c r="BW48" s="214">
        <f>IF(AND(($E48+$C$1)&gt;BW$4,BW$4&gt;=$C$1),$H48,IF(AND(($D48+$C$1)&gt;BW$4,BW$4&gt;=$C$1),$G48,0))*IF($A48="Residential",'General Inputs'!D$14,'General Inputs'!D$19)</f>
        <v>0</v>
      </c>
      <c r="BX48" s="214">
        <f>IF(AND(($E48+$C$1)&gt;BX$4,BX$4&gt;=$C$1),$H48,IF(AND(($D48+$C$1)&gt;BX$4,BX$4&gt;=$C$1),$G48,0))*IF($A48="Residential",'General Inputs'!E$14,'General Inputs'!E$19)</f>
        <v>0</v>
      </c>
      <c r="BY48" s="214">
        <f>IF(AND(($E48+$C$1)&gt;BY$4,BY$4&gt;=$C$1),$H48,IF(AND(($D48+$C$1)&gt;BY$4,BY$4&gt;=$C$1),$G48,0))*IF($A48="Residential",'General Inputs'!F$14,'General Inputs'!F$19)</f>
        <v>0</v>
      </c>
      <c r="BZ48" s="214">
        <f>IF(AND(($E48+$C$1)&gt;BZ$4,BZ$4&gt;=$C$1),$H48,IF(AND(($D48+$C$1)&gt;BZ$4,BZ$4&gt;=$C$1),$G48,0))*IF($A48="Residential",'General Inputs'!G$14,'General Inputs'!G$19)</f>
        <v>0</v>
      </c>
      <c r="CA48" s="214">
        <f>IF(AND(($E48+$C$1)&gt;CA$4,CA$4&gt;=$C$1),$H48,IF(AND(($D48+$C$1)&gt;CA$4,CA$4&gt;=$C$1),$G48,0))*IF($A48="Residential",'General Inputs'!H$14,'General Inputs'!H$19)</f>
        <v>0</v>
      </c>
      <c r="CB48" s="214">
        <f>IF(AND(($E48+$C$1)&gt;CB$4,CB$4&gt;=$C$1),$H48,IF(AND(($D48+$C$1)&gt;CB$4,CB$4&gt;=$C$1),$G48,0))*IF($A48="Residential",'General Inputs'!I$14,'General Inputs'!I$19)</f>
        <v>0</v>
      </c>
      <c r="CC48" s="214">
        <f>IF(AND(($E48+$C$1)&gt;CC$4,CC$4&gt;=$C$1),$H48,IF(AND(($D48+$C$1)&gt;CC$4,CC$4&gt;=$C$1),$G48,0))*IF($A48="Residential",'General Inputs'!J$14,'General Inputs'!J$19)</f>
        <v>0</v>
      </c>
      <c r="CD48" s="214">
        <f>IF(AND(($E48+$C$1)&gt;CD$4,CD$4&gt;=$C$1),$H48,IF(AND(($D48+$C$1)&gt;CD$4,CD$4&gt;=$C$1),$G48,0))*IF($A48="Residential",'General Inputs'!K$14,'General Inputs'!K$19)</f>
        <v>0</v>
      </c>
      <c r="CE48" s="214">
        <f>IF(AND(($E48+$C$1)&gt;CE$4,CE$4&gt;=$C$1),$H48,IF(AND(($D48+$C$1)&gt;CE$4,CE$4&gt;=$C$1),$G48,0))*IF($A48="Residential",'General Inputs'!L$14,'General Inputs'!L$19)</f>
        <v>0</v>
      </c>
      <c r="CF48" s="214">
        <f>IF(AND(($E48+$C$1)&gt;CF$4,CF$4&gt;=$C$1),$H48,IF(AND(($D48+$C$1)&gt;CF$4,CF$4&gt;=$C$1),$G48,0))*IF($A48="Residential",'General Inputs'!M$14,'General Inputs'!M$19)</f>
        <v>0</v>
      </c>
      <c r="CG48" s="214">
        <f>IF(AND(($E48+$C$1)&gt;CG$4,CG$4&gt;=$C$1),$H48,IF(AND(($D48+$C$1)&gt;CG$4,CG$4&gt;=$C$1),$G48,0))*IF($A48="Residential",'General Inputs'!N$14,'General Inputs'!N$19)</f>
        <v>0</v>
      </c>
      <c r="CH48" s="214">
        <f>IF(AND(($E48+$C$1)&gt;CH$4,CH$4&gt;=$C$1),$H48,IF(AND(($D48+$C$1)&gt;CH$4,CH$4&gt;=$C$1),$G48,0))*IF($A48="Residential",'General Inputs'!O$14,'General Inputs'!O$19)</f>
        <v>0</v>
      </c>
      <c r="CI48" s="214">
        <f>IF(AND(($E48+$C$1)&gt;CI$4,CI$4&gt;=$C$1),$H48,IF(AND(($D48+$C$1)&gt;CI$4,CI$4&gt;=$C$1),$G48,0))*IF($A48="Residential",'General Inputs'!P$14,'General Inputs'!P$19)</f>
        <v>0</v>
      </c>
      <c r="CJ48" s="214">
        <f>IF(AND(($E48+$C$1)&gt;CJ$4,CJ$4&gt;=$C$1),$H48,IF(AND(($D48+$C$1)&gt;CJ$4,CJ$4&gt;=$C$1),$G48,0))*IF($A48="Residential",'General Inputs'!Q$14,'General Inputs'!Q$19)</f>
        <v>0</v>
      </c>
      <c r="CK48" s="214">
        <f>IF(AND(($E48+$C$1)&gt;CK$4,CK$4&gt;=$C$1),$H48,IF(AND(($D48+$C$1)&gt;CK$4,CK$4&gt;=$C$1),$G48,0))*IF($A48="Residential",'General Inputs'!R$14,'General Inputs'!R$19)</f>
        <v>0</v>
      </c>
      <c r="CL48" s="214">
        <f>IF(AND(($E48+$C$1)&gt;CL$4,CL$4&gt;=$C$1),$H48,IF(AND(($D48+$C$1)&gt;CL$4,CL$4&gt;=$C$1),$G48,0))*IF($A48="Residential",'General Inputs'!S$14,'General Inputs'!S$19)</f>
        <v>0</v>
      </c>
      <c r="CM48" s="214">
        <f>IF(AND(($E48+$C$1)&gt;CM$4,CM$4&gt;=$C$1),$H48,IF(AND(($D48+$C$1)&gt;CM$4,CM$4&gt;=$C$1),$G48,0))*IF($A48="Residential",'General Inputs'!T$14,'General Inputs'!T$19)</f>
        <v>0</v>
      </c>
      <c r="CN48" s="214">
        <f>IF(AND(($E48+$C$1)&gt;CN$4,CN$4&gt;=$C$1),$H48,IF(AND(($D48+$C$1)&gt;CN$4,CN$4&gt;=$C$1),$G48,0))*IF($A48="Residential",'General Inputs'!U$14,'General Inputs'!U$19)</f>
        <v>0</v>
      </c>
      <c r="CO48" s="214">
        <f>IF(AND(($E48+$C$1)&gt;CO$4,CO$4&gt;=$C$1),$H48,IF(AND(($D48+$C$1)&gt;CO$4,CO$4&gt;=$C$1),$G48,0))*IF($A48="Residential",'General Inputs'!V$14,'General Inputs'!V$19)</f>
        <v>0</v>
      </c>
      <c r="CP48" s="214">
        <f>IF(AND(($E48+$C$1)&gt;CP$4,CP$4&gt;=$C$1),$H48,IF(AND(($D48+$C$1)&gt;CP$4,CP$4&gt;=$C$1),$G48,0))*IF($A48="Residential",'General Inputs'!W$14,'General Inputs'!W$19)</f>
        <v>0</v>
      </c>
      <c r="CR48" s="214">
        <f>IF(AND(($E48+$C$1)&gt;CR$4,CR$4&gt;=$C$1),$H48,IF(AND(($D48+$C$1)&gt;CR$4,CR$4&gt;=$C$1),$G48,0))*IF($A48="Residential",'General Inputs'!D$15,'General Inputs'!D$19)</f>
        <v>0</v>
      </c>
      <c r="CS48" s="214">
        <f>IF(AND(($E48+$C$1)&gt;CS$4,CS$4&gt;=$C$1),$H48,IF(AND(($D48+$C$1)&gt;CS$4,CS$4&gt;=$C$1),$G48,0))*IF($A48="Residential",'General Inputs'!E$15,'General Inputs'!E$19)</f>
        <v>0</v>
      </c>
      <c r="CT48" s="214">
        <f>IF(AND(($E48+$C$1)&gt;CT$4,CT$4&gt;=$C$1),$H48,IF(AND(($D48+$C$1)&gt;CT$4,CT$4&gt;=$C$1),$G48,0))*IF($A48="Residential",'General Inputs'!F$15,'General Inputs'!F$19)</f>
        <v>0</v>
      </c>
      <c r="CU48" s="214">
        <f>IF(AND(($E48+$C$1)&gt;CU$4,CU$4&gt;=$C$1),$H48,IF(AND(($D48+$C$1)&gt;CU$4,CU$4&gt;=$C$1),$G48,0))*IF($A48="Residential",'General Inputs'!G$15,'General Inputs'!G$19)</f>
        <v>0</v>
      </c>
      <c r="CV48" s="214">
        <f>IF(AND(($E48+$C$1)&gt;CV$4,CV$4&gt;=$C$1),$H48,IF(AND(($D48+$C$1)&gt;CV$4,CV$4&gt;=$C$1),$G48,0))*IF($A48="Residential",'General Inputs'!H$15,'General Inputs'!H$19)</f>
        <v>0</v>
      </c>
      <c r="CW48" s="214">
        <f>IF(AND(($E48+$C$1)&gt;CW$4,CW$4&gt;=$C$1),$H48,IF(AND(($D48+$C$1)&gt;CW$4,CW$4&gt;=$C$1),$G48,0))*IF($A48="Residential",'General Inputs'!I$15,'General Inputs'!I$19)</f>
        <v>0</v>
      </c>
      <c r="CX48" s="214">
        <f>IF(AND(($E48+$C$1)&gt;CX$4,CX$4&gt;=$C$1),$H48,IF(AND(($D48+$C$1)&gt;CX$4,CX$4&gt;=$C$1),$G48,0))*IF($A48="Residential",'General Inputs'!J$15,'General Inputs'!J$19)</f>
        <v>0</v>
      </c>
      <c r="CY48" s="214">
        <f>IF(AND(($E48+$C$1)&gt;CY$4,CY$4&gt;=$C$1),$H48,IF(AND(($D48+$C$1)&gt;CY$4,CY$4&gt;=$C$1),$G48,0))*IF($A48="Residential",'General Inputs'!K$15,'General Inputs'!K$19)</f>
        <v>0</v>
      </c>
      <c r="CZ48" s="214">
        <f>IF(AND(($E48+$C$1)&gt;CZ$4,CZ$4&gt;=$C$1),$H48,IF(AND(($D48+$C$1)&gt;CZ$4,CZ$4&gt;=$C$1),$G48,0))*IF($A48="Residential",'General Inputs'!L$15,'General Inputs'!L$19)</f>
        <v>0</v>
      </c>
      <c r="DA48" s="214">
        <f>IF(AND(($E48+$C$1)&gt;DA$4,DA$4&gt;=$C$1),$H48,IF(AND(($D48+$C$1)&gt;DA$4,DA$4&gt;=$C$1),$G48,0))*IF($A48="Residential",'General Inputs'!M$15,'General Inputs'!M$19)</f>
        <v>0</v>
      </c>
      <c r="DB48" s="214">
        <f>IF(AND(($E48+$C$1)&gt;DB$4,DB$4&gt;=$C$1),$H48,IF(AND(($D48+$C$1)&gt;DB$4,DB$4&gt;=$C$1),$G48,0))*IF($A48="Residential",'General Inputs'!N$15,'General Inputs'!N$19)</f>
        <v>0</v>
      </c>
      <c r="DC48" s="214">
        <f>IF(AND(($E48+$C$1)&gt;DC$4,DC$4&gt;=$C$1),$H48,IF(AND(($D48+$C$1)&gt;DC$4,DC$4&gt;=$C$1),$G48,0))*IF($A48="Residential",'General Inputs'!O$15,'General Inputs'!O$19)</f>
        <v>0</v>
      </c>
      <c r="DD48" s="214">
        <f>IF(AND(($E48+$C$1)&gt;DD$4,DD$4&gt;=$C$1),$H48,IF(AND(($D48+$C$1)&gt;DD$4,DD$4&gt;=$C$1),$G48,0))*IF($A48="Residential",'General Inputs'!P$15,'General Inputs'!P$19)</f>
        <v>0</v>
      </c>
      <c r="DE48" s="214">
        <f>IF(AND(($E48+$C$1)&gt;DE$4,DE$4&gt;=$C$1),$H48,IF(AND(($D48+$C$1)&gt;DE$4,DE$4&gt;=$C$1),$G48,0))*IF($A48="Residential",'General Inputs'!Q$15,'General Inputs'!Q$19)</f>
        <v>0</v>
      </c>
      <c r="DF48" s="214">
        <f>IF(AND(($E48+$C$1)&gt;DF$4,DF$4&gt;=$C$1),$H48,IF(AND(($D48+$C$1)&gt;DF$4,DF$4&gt;=$C$1),$G48,0))*IF($A48="Residential",'General Inputs'!R$15,'General Inputs'!R$19)</f>
        <v>0</v>
      </c>
      <c r="DG48" s="214">
        <f>IF(AND(($E48+$C$1)&gt;DG$4,DG$4&gt;=$C$1),$H48,IF(AND(($D48+$C$1)&gt;DG$4,DG$4&gt;=$C$1),$G48,0))*IF($A48="Residential",'General Inputs'!S$15,'General Inputs'!S$19)</f>
        <v>0</v>
      </c>
      <c r="DH48" s="214">
        <f>IF(AND(($E48+$C$1)&gt;DH$4,DH$4&gt;=$C$1),$H48,IF(AND(($D48+$C$1)&gt;DH$4,DH$4&gt;=$C$1),$G48,0))*IF($A48="Residential",'General Inputs'!T$15,'General Inputs'!T$19)</f>
        <v>0</v>
      </c>
      <c r="DI48" s="214">
        <f>IF(AND(($E48+$C$1)&gt;DI$4,DI$4&gt;=$C$1),$H48,IF(AND(($D48+$C$1)&gt;DI$4,DI$4&gt;=$C$1),$G48,0))*IF($A48="Residential",'General Inputs'!U$15,'General Inputs'!U$19)</f>
        <v>0</v>
      </c>
      <c r="DJ48" s="214">
        <f>IF(AND(($E48+$C$1)&gt;DJ$4,DJ$4&gt;=$C$1),$H48,IF(AND(($D48+$C$1)&gt;DJ$4,DJ$4&gt;=$C$1),$G48,0))*IF($A48="Residential",'General Inputs'!V$15,'General Inputs'!V$19)</f>
        <v>0</v>
      </c>
      <c r="DK48" s="214">
        <f>IF(AND(($E48+$C$1)&gt;DK$4,DK$4&gt;=$C$1),$H48,IF(AND(($D48+$C$1)&gt;DK$4,DK$4&gt;=$C$1),$G48,0))*IF($A48="Residential",'General Inputs'!W$15,'General Inputs'!W$19)</f>
        <v>0</v>
      </c>
      <c r="DM48" s="214">
        <f t="shared" si="441"/>
        <v>0</v>
      </c>
      <c r="DN48" s="214">
        <f t="shared" si="441"/>
        <v>0</v>
      </c>
      <c r="DO48" s="214">
        <f t="shared" si="441"/>
        <v>0</v>
      </c>
      <c r="DP48" s="214">
        <f t="shared" si="441"/>
        <v>0</v>
      </c>
      <c r="DQ48" s="214">
        <f t="shared" si="441"/>
        <v>0</v>
      </c>
      <c r="DR48" s="214">
        <f t="shared" si="441"/>
        <v>0</v>
      </c>
      <c r="DS48" s="214">
        <f t="shared" si="441"/>
        <v>0</v>
      </c>
      <c r="DT48" s="214">
        <f t="shared" si="441"/>
        <v>0</v>
      </c>
      <c r="DU48" s="214">
        <f t="shared" si="441"/>
        <v>0</v>
      </c>
      <c r="DV48" s="214">
        <f t="shared" si="441"/>
        <v>0</v>
      </c>
      <c r="DW48" s="214">
        <f t="shared" si="441"/>
        <v>0</v>
      </c>
      <c r="DZ48" s="650"/>
      <c r="FI48" s="195"/>
      <c r="FJ48" s="195"/>
      <c r="FK48" s="195"/>
      <c r="FL48" s="195"/>
      <c r="FM48" s="195"/>
      <c r="FN48" s="195"/>
      <c r="FO48" s="195"/>
    </row>
    <row r="49" spans="1:171">
      <c r="A49" s="342" t="s">
        <v>112</v>
      </c>
      <c r="B49" s="427" t="str">
        <f>'Portfolio Inputs'!A48</f>
        <v>T8 (≤4 ft, 1-2 Lamp)</v>
      </c>
      <c r="C49" s="217">
        <f>IF($C$1=2014,'Portfolio Inputs'!$C48,IF($C$1=2015,'Portfolio Inputs'!$D48,'Portfolio Inputs'!$E48))</f>
        <v>25</v>
      </c>
      <c r="D49" s="504">
        <f>VLOOKUP(B49,Sources!$B$4:$J$104,2,FALSE)</f>
        <v>18</v>
      </c>
      <c r="E49" s="504">
        <f>VLOOKUP(B49,Sources!$B$4:$J$104,3,FALSE)</f>
        <v>0</v>
      </c>
      <c r="G49" s="504">
        <f>IF($C$1=2014,'Portfolio Inputs'!$G48,IF($C$1=2015,'Portfolio Inputs'!$H48,'Portfolio Inputs'!$I48))*EnergyLineLoss</f>
        <v>5954.7797812499994</v>
      </c>
      <c r="H49" s="504"/>
      <c r="I49" s="595">
        <f>IF($C$1=2014,'Portfolio Inputs'!$K48,IF($C$1=2015,'Portfolio Inputs'!$L48,'Portfolio Inputs'!$M48))*PeakLineLoss</f>
        <v>0.92078415000000002</v>
      </c>
      <c r="J49" s="510"/>
      <c r="L49" s="606">
        <f>IF($C$1=2014,'Portfolio Inputs'!$O48,IF($C$1=2015,'Portfolio Inputs'!$P48,'Portfolio Inputs'!$Q48))</f>
        <v>43</v>
      </c>
      <c r="M49" s="518">
        <f>VLOOKUP($B49,Sources!$B$4:$K$104,10,FALSE)</f>
        <v>0</v>
      </c>
      <c r="N49" s="419">
        <f>IF($C$1=2014,'Portfolio Inputs'!$W48,IF($C$1=2015,'Portfolio Inputs'!$X48,'Portfolio Inputs'!$Y48))</f>
        <v>125</v>
      </c>
      <c r="O49" s="419">
        <f>IF($C$1=2014,'Portfolio Inputs'!$AA48,IF($C$1=2015,'Portfolio Inputs'!$AB48,'Portfolio Inputs'!$AC48))</f>
        <v>0</v>
      </c>
      <c r="Q49" s="438">
        <f t="shared" si="442"/>
        <v>2.4756096662525122</v>
      </c>
      <c r="R49" s="439">
        <f t="shared" si="443"/>
        <v>21.290243129771607</v>
      </c>
      <c r="S49" s="439">
        <f t="shared" si="444"/>
        <v>3.0838653377020737</v>
      </c>
      <c r="T49" s="439">
        <f t="shared" si="445"/>
        <v>6.2552128644801375</v>
      </c>
      <c r="U49" s="439">
        <f t="shared" si="446"/>
        <v>6.2552128644801375</v>
      </c>
      <c r="V49" s="439">
        <f t="shared" si="447"/>
        <v>0.39576745346431258</v>
      </c>
      <c r="W49" s="439">
        <f t="shared" si="448"/>
        <v>0.39576745346431258</v>
      </c>
      <c r="Y49" s="215">
        <f t="shared" si="449"/>
        <v>2661.2803912214508</v>
      </c>
      <c r="Z49" s="215">
        <f t="shared" si="450"/>
        <v>653.87484680827868</v>
      </c>
      <c r="AA49" s="215">
        <f t="shared" si="451"/>
        <v>6599.3538293161482</v>
      </c>
      <c r="AB49" s="215">
        <f t="shared" si="452"/>
        <v>6599.3538293161482</v>
      </c>
      <c r="AC49" s="216">
        <f t="shared" si="453"/>
        <v>0</v>
      </c>
      <c r="AD49" s="216">
        <f t="shared" si="454"/>
        <v>125</v>
      </c>
      <c r="AE49" s="215">
        <f t="shared" si="455"/>
        <v>1075</v>
      </c>
      <c r="AG49" s="214">
        <f>IF(AND(($E49+$C$1)&gt;AG$4,AG$4&gt;=$C$1),'General Inputs'!D$9*$H49,IF(AND(($D49+$C$1)&gt;AG$4,AG$4&gt;=$C$1),'General Inputs'!D$9*$G49,0))+IF(AND(($E49+$C$1)&gt;AG$4,AG$4&gt;=$C$1),'General Inputs'!D$10*$J49,IF(AND(($D49+$C$1)&gt;AG$4,AG$4&gt;=$C$1),'General Inputs'!D$10*$I49,0))</f>
        <v>250.86115655470292</v>
      </c>
      <c r="AH49" s="214">
        <f>IF(AND(($E49+$C$1)&gt;AH$4,AH$4&gt;=$C$1),'General Inputs'!E$9*$H49,IF(AND(($D49+$C$1)&gt;AH$4,AH$4&gt;=$C$1),'General Inputs'!E$9*$G49,0))+IF(AND(($E49+$C$1)&gt;AH$4,AH$4&gt;=$C$1),'General Inputs'!E$10*$J49,IF(AND(($D49+$C$1)&gt;AH$4,AH$4&gt;=$C$1),'General Inputs'!E$10*$I49,0))</f>
        <v>254.62407390302343</v>
      </c>
      <c r="AI49" s="214">
        <f>IF(AND(($E49+$C$1)&gt;AI$4,AI$4&gt;=$C$1),'General Inputs'!F$9*$H49,IF(AND(($D49+$C$1)&gt;AI$4,AI$4&gt;=$C$1),'General Inputs'!F$9*$G49,0))+IF(AND(($E49+$C$1)&gt;AI$4,AI$4&gt;=$C$1),'General Inputs'!F$10*$J49,IF(AND(($D49+$C$1)&gt;AI$4,AI$4&gt;=$C$1),'General Inputs'!F$10*$I49,0))</f>
        <v>258.44343501156874</v>
      </c>
      <c r="AJ49" s="214">
        <f>IF(AND(($E49+$C$1)&gt;AJ$4,AJ$4&gt;=$C$1),'General Inputs'!G$9*$H49,IF(AND(($D49+$C$1)&gt;AJ$4,AJ$4&gt;=$C$1),'General Inputs'!G$9*$G49,0))+IF(AND(($E49+$C$1)&gt;AJ$4,AJ$4&gt;=$C$1),'General Inputs'!G$10*$J49,IF(AND(($D49+$C$1)&gt;AJ$4,AJ$4&gt;=$C$1),'General Inputs'!G$10*$I49,0))</f>
        <v>262.32008653674228</v>
      </c>
      <c r="AK49" s="214">
        <f>IF(AND(($E49+$C$1)&gt;AK$4,AK$4&gt;=$C$1),'General Inputs'!H$9*$H49,IF(AND(($D49+$C$1)&gt;AK$4,AK$4&gt;=$C$1),'General Inputs'!H$9*$G49,0))+IF(AND(($E49+$C$1)&gt;AK$4,AK$4&gt;=$C$1),'General Inputs'!H$10*$J49,IF(AND(($D49+$C$1)&gt;AK$4,AK$4&gt;=$C$1),'General Inputs'!H$10*$I49,0))</f>
        <v>266.25488783479335</v>
      </c>
      <c r="AL49" s="214">
        <f>IF(AND(($E49+$C$1)&gt;AL$4,AL$4&gt;=$C$1),'General Inputs'!I$9*$H49,IF(AND(($D49+$C$1)&gt;AL$4,AL$4&gt;=$C$1),'General Inputs'!I$9*$G49,0))+IF(AND(($E49+$C$1)&gt;AL$4,AL$4&gt;=$C$1),'General Inputs'!I$10*$J49,IF(AND(($D49+$C$1)&gt;AL$4,AL$4&gt;=$C$1),'General Inputs'!I$10*$I49,0))</f>
        <v>270.24871115231525</v>
      </c>
      <c r="AM49" s="214">
        <f>IF(AND(($E49+$C$1)&gt;AM$4,AM$4&gt;=$C$1),'General Inputs'!J$9*$H49,IF(AND(($D49+$C$1)&gt;AM$4,AM$4&gt;=$C$1),'General Inputs'!J$9*$G49,0))+IF(AND(($E49+$C$1)&gt;AM$4,AM$4&gt;=$C$1),'General Inputs'!J$10*$J49,IF(AND(($D49+$C$1)&gt;AM$4,AM$4&gt;=$C$1),'General Inputs'!J$10*$I49,0))</f>
        <v>274.30244181959995</v>
      </c>
      <c r="AN49" s="214">
        <f>IF(AND(($E49+$C$1)&gt;AN$4,AN$4&gt;=$C$1),'General Inputs'!K$9*$H49,IF(AND(($D49+$C$1)&gt;AN$4,AN$4&gt;=$C$1),'General Inputs'!K$9*$G49,0))+IF(AND(($E49+$C$1)&gt;AN$4,AN$4&gt;=$C$1),'General Inputs'!K$10*$J49,IF(AND(($D49+$C$1)&gt;AN$4,AN$4&gt;=$C$1),'General Inputs'!K$10*$I49,0))</f>
        <v>278.41697844689389</v>
      </c>
      <c r="AO49" s="214">
        <f>IF(AND(($E49+$C$1)&gt;AO$4,AO$4&gt;=$C$1),'General Inputs'!L$9*$H49,IF(AND(($D49+$C$1)&gt;AO$4,AO$4&gt;=$C$1),'General Inputs'!L$9*$G49,0))+IF(AND(($E49+$C$1)&gt;AO$4,AO$4&gt;=$C$1),'General Inputs'!L$10*$J49,IF(AND(($D49+$C$1)&gt;AO$4,AO$4&gt;=$C$1),'General Inputs'!L$10*$I49,0))</f>
        <v>282.59323312359726</v>
      </c>
      <c r="AP49" s="214">
        <f>IF(AND(($E49+$C$1)&gt;AP$4,AP$4&gt;=$C$1),'General Inputs'!M$9*$H49,IF(AND(($D49+$C$1)&gt;AP$4,AP$4&gt;=$C$1),'General Inputs'!M$9*$G49,0))+IF(AND(($E49+$C$1)&gt;AP$4,AP$4&gt;=$C$1),'General Inputs'!M$10*$J49,IF(AND(($D49+$C$1)&gt;AP$4,AP$4&gt;=$C$1),'General Inputs'!M$10*$I49,0))</f>
        <v>286.83213162045115</v>
      </c>
      <c r="AQ49" s="214">
        <f>IF(AND(($E49+$C$1)&gt;AQ$4,AQ$4&gt;=$C$1),'General Inputs'!N$9*$H49,IF(AND(($D49+$C$1)&gt;AQ$4,AQ$4&gt;=$C$1),'General Inputs'!N$9*$G49,0))+IF(AND(($E49+$C$1)&gt;AQ$4,AQ$4&gt;=$C$1),'General Inputs'!N$10*$J49,IF(AND(($D49+$C$1)&gt;AQ$4,AQ$4&gt;=$C$1),'General Inputs'!N$10*$I49,0))</f>
        <v>291.13461359475792</v>
      </c>
      <c r="AR49" s="214">
        <f>IF(AND(($E49+$C$1)&gt;AR$4,AR$4&gt;=$C$1),'General Inputs'!O$9*$H49,IF(AND(($D49+$C$1)&gt;AR$4,AR$4&gt;=$C$1),'General Inputs'!O$9*$G49,0))+IF(AND(($E49+$C$1)&gt;AR$4,AR$4&gt;=$C$1),'General Inputs'!O$10*$J49,IF(AND(($D49+$C$1)&gt;AR$4,AR$4&gt;=$C$1),'General Inputs'!O$10*$I49,0))</f>
        <v>295.50163279867928</v>
      </c>
      <c r="AS49" s="214">
        <f>IF(AND(($E49+$C$1)&gt;AS$4,AS$4&gt;=$C$1),'General Inputs'!P$9*$H49,IF(AND(($D49+$C$1)&gt;AS$4,AS$4&gt;=$C$1),'General Inputs'!P$9*$G49,0))+IF(AND(($E49+$C$1)&gt;AS$4,AS$4&gt;=$C$1),'General Inputs'!P$10*$J49,IF(AND(($D49+$C$1)&gt;AS$4,AS$4&gt;=$C$1),'General Inputs'!P$10*$I49,0))</f>
        <v>299.93415729065941</v>
      </c>
      <c r="AT49" s="214">
        <f>IF(AND(($E49+$C$1)&gt;AT$4,AT$4&gt;=$C$1),'General Inputs'!Q$9*$H49,IF(AND(($D49+$C$1)&gt;AT$4,AT$4&gt;=$C$1),'General Inputs'!Q$9*$G49,0))+IF(AND(($E49+$C$1)&gt;AT$4,AT$4&gt;=$C$1),'General Inputs'!Q$10*$J49,IF(AND(($D49+$C$1)&gt;AT$4,AT$4&gt;=$C$1),'General Inputs'!Q$10*$I49,0))</f>
        <v>304.43316965001929</v>
      </c>
      <c r="AU49" s="214">
        <f>IF(AND(($E49+$C$1)&gt;AU$4,AU$4&gt;=$C$1),'General Inputs'!R$9*$H49,IF(AND(($D49+$C$1)&gt;AU$4,AU$4&gt;=$C$1),'General Inputs'!R$9*$G49,0))+IF(AND(($E49+$C$1)&gt;AU$4,AU$4&gt;=$C$1),'General Inputs'!R$10*$J49,IF(AND(($D49+$C$1)&gt;AU$4,AU$4&gt;=$C$1),'General Inputs'!R$10*$I49,0))</f>
        <v>308.99966719476953</v>
      </c>
      <c r="AV49" s="214">
        <f>IF(AND(($E49+$C$1)&gt;AV$4,AV$4&gt;=$C$1),'General Inputs'!S$9*$H49,IF(AND(($D49+$C$1)&gt;AV$4,AV$4&gt;=$C$1),'General Inputs'!S$9*$G49,0))+IF(AND(($E49+$C$1)&gt;AV$4,AV$4&gt;=$C$1),'General Inputs'!S$10*$J49,IF(AND(($D49+$C$1)&gt;AV$4,AV$4&gt;=$C$1),'General Inputs'!S$10*$I49,0))</f>
        <v>313.63466220269106</v>
      </c>
      <c r="AW49" s="214">
        <f>IF(AND(($E49+$C$1)&gt;AW$4,AW$4&gt;=$C$1),'General Inputs'!T$9*$H49,IF(AND(($D49+$C$1)&gt;AW$4,AW$4&gt;=$C$1),'General Inputs'!T$9*$G49,0))+IF(AND(($E49+$C$1)&gt;AW$4,AW$4&gt;=$C$1),'General Inputs'!T$10*$J49,IF(AND(($D49+$C$1)&gt;AW$4,AW$4&gt;=$C$1),'General Inputs'!T$10*$I49,0))</f>
        <v>318.33918213573145</v>
      </c>
      <c r="AX49" s="214">
        <f>IF(AND(($E49+$C$1)&gt;AX$4,AX$4&gt;=$C$1),'General Inputs'!U$9*$H49,IF(AND(($D49+$C$1)&gt;AX$4,AX$4&gt;=$C$1),'General Inputs'!U$9*$G49,0))+IF(AND(($E49+$C$1)&gt;AX$4,AX$4&gt;=$C$1),'General Inputs'!U$10*$J49,IF(AND(($D49+$C$1)&gt;AX$4,AX$4&gt;=$C$1),'General Inputs'!U$10*$I49,0))</f>
        <v>323.11426986776735</v>
      </c>
      <c r="AY49" s="214">
        <f>IF(AND(($E49+$C$1)&gt;AY$4,AY$4&gt;=$C$1),'General Inputs'!V$9*$H49,IF(AND(($D49+$C$1)&gt;AY$4,AY$4&gt;=$C$1),'General Inputs'!V$9*$G49,0))+IF(AND(($E49+$C$1)&gt;AY$4,AY$4&gt;=$C$1),'General Inputs'!V$10*$J49,IF(AND(($D49+$C$1)&gt;AY$4,AY$4&gt;=$C$1),'General Inputs'!V$10*$I49,0))</f>
        <v>0</v>
      </c>
      <c r="AZ49" s="214">
        <f>IF(AND(($E49+$C$1)&gt;AZ$4,AZ$4&gt;=$C$1),'General Inputs'!W$9*$H49,IF(AND(($D49+$C$1)&gt;AZ$4,AZ$4&gt;=$C$1),'General Inputs'!W$9*$G49,0))+IF(AND(($E49+$C$1)&gt;AZ$4,AZ$4&gt;=$C$1),'General Inputs'!W$10*$J49,IF(AND(($D49+$C$1)&gt;AZ$4,AZ$4&gt;=$C$1),'General Inputs'!W$10*$I49,0))</f>
        <v>0</v>
      </c>
      <c r="BB49" s="214">
        <f>IF(AND(($E49+$C$1)&gt;BB$4,BB$4&gt;=$C$1),'General Inputs'!D$11*$H49,IF(AND(($D49+$C$1)&gt;BB$4,BB$4&gt;=$C$1),'General Inputs'!D$11*$G49,0))</f>
        <v>67.884489506249992</v>
      </c>
      <c r="BC49" s="214">
        <f>IF(AND(($E49+$C$1)&gt;BC$4,BC$4&gt;=$C$1),'General Inputs'!E$11*$H49,IF(AND(($D49+$C$1)&gt;BC$4,BC$4&gt;=$C$1),'General Inputs'!E$11*$G49,0))</f>
        <v>67.884489506249992</v>
      </c>
      <c r="BD49" s="214">
        <f>IF(AND(($E49+$C$1)&gt;BD$4,BD$4&gt;=$C$1),'General Inputs'!F$11*$H49,IF(AND(($D49+$C$1)&gt;BD$4,BD$4&gt;=$C$1),'General Inputs'!F$11*$G49,0))</f>
        <v>67.884489506249992</v>
      </c>
      <c r="BE49" s="214">
        <f>IF(AND(($E49+$C$1)&gt;BE$4,BE$4&gt;=$C$1),'General Inputs'!G$11*$H49,IF(AND(($D49+$C$1)&gt;BE$4,BE$4&gt;=$C$1),'General Inputs'!G$11*$G49,0))</f>
        <v>67.884489506249992</v>
      </c>
      <c r="BF49" s="214">
        <f>IF(AND(($E49+$C$1)&gt;BF$4,BF$4&gt;=$C$1),'General Inputs'!H$11*$H49,IF(AND(($D49+$C$1)&gt;BF$4,BF$4&gt;=$C$1),'General Inputs'!H$11*$G49,0))</f>
        <v>67.884489506249992</v>
      </c>
      <c r="BG49" s="214">
        <f>IF(AND(($E49+$C$1)&gt;BG$4,BG$4&gt;=$C$1),'General Inputs'!I$11*$H49,IF(AND(($D49+$C$1)&gt;BG$4,BG$4&gt;=$C$1),'General Inputs'!I$11*$G49,0))</f>
        <v>67.884489506249992</v>
      </c>
      <c r="BH49" s="214">
        <f>IF(AND(($E49+$C$1)&gt;BH$4,BH$4&gt;=$C$1),'General Inputs'!J$11*$H49,IF(AND(($D49+$C$1)&gt;BH$4,BH$4&gt;=$C$1),'General Inputs'!J$11*$G49,0))</f>
        <v>67.884489506249992</v>
      </c>
      <c r="BI49" s="214">
        <f>IF(AND(($E49+$C$1)&gt;BI$4,BI$4&gt;=$C$1),'General Inputs'!K$11*$H49,IF(AND(($D49+$C$1)&gt;BI$4,BI$4&gt;=$C$1),'General Inputs'!K$11*$G49,0))</f>
        <v>67.884489506249992</v>
      </c>
      <c r="BJ49" s="214">
        <f>IF(AND(($E49+$C$1)&gt;BJ$4,BJ$4&gt;=$C$1),'General Inputs'!L$11*$H49,IF(AND(($D49+$C$1)&gt;BJ$4,BJ$4&gt;=$C$1),'General Inputs'!L$11*$G49,0))</f>
        <v>67.884489506249992</v>
      </c>
      <c r="BK49" s="214">
        <f>IF(AND(($E49+$C$1)&gt;BK$4,BK$4&gt;=$C$1),'General Inputs'!M$11*$H49,IF(AND(($D49+$C$1)&gt;BK$4,BK$4&gt;=$C$1),'General Inputs'!M$11*$G49,0))</f>
        <v>67.884489506249992</v>
      </c>
      <c r="BL49" s="214">
        <f>IF(AND(($E49+$C$1)&gt;BL$4,BL$4&gt;=$C$1),'General Inputs'!N$11*$H49,IF(AND(($D49+$C$1)&gt;BL$4,BL$4&gt;=$C$1),'General Inputs'!N$11*$G49,0))</f>
        <v>67.884489506249992</v>
      </c>
      <c r="BM49" s="214">
        <f>IF(AND(($E49+$C$1)&gt;BM$4,BM$4&gt;=$C$1),'General Inputs'!O$11*$H49,IF(AND(($D49+$C$1)&gt;BM$4,BM$4&gt;=$C$1),'General Inputs'!O$11*$G49,0))</f>
        <v>67.884489506249992</v>
      </c>
      <c r="BN49" s="214">
        <f>IF(AND(($E49+$C$1)&gt;BN$4,BN$4&gt;=$C$1),'General Inputs'!P$11*$H49,IF(AND(($D49+$C$1)&gt;BN$4,BN$4&gt;=$C$1),'General Inputs'!P$11*$G49,0))</f>
        <v>67.884489506249992</v>
      </c>
      <c r="BO49" s="214">
        <f>IF(AND(($E49+$C$1)&gt;BO$4,BO$4&gt;=$C$1),'General Inputs'!Q$11*$H49,IF(AND(($D49+$C$1)&gt;BO$4,BO$4&gt;=$C$1),'General Inputs'!Q$11*$G49,0))</f>
        <v>67.884489506249992</v>
      </c>
      <c r="BP49" s="214">
        <f>IF(AND(($E49+$C$1)&gt;BP$4,BP$4&gt;=$C$1),'General Inputs'!R$11*$H49,IF(AND(($D49+$C$1)&gt;BP$4,BP$4&gt;=$C$1),'General Inputs'!R$11*$G49,0))</f>
        <v>67.884489506249992</v>
      </c>
      <c r="BQ49" s="214">
        <f>IF(AND(($E49+$C$1)&gt;BQ$4,BQ$4&gt;=$C$1),'General Inputs'!S$11*$H49,IF(AND(($D49+$C$1)&gt;BQ$4,BQ$4&gt;=$C$1),'General Inputs'!S$11*$G49,0))</f>
        <v>67.884489506249992</v>
      </c>
      <c r="BR49" s="214">
        <f>IF(AND(($E49+$C$1)&gt;BR$4,BR$4&gt;=$C$1),'General Inputs'!T$11*$H49,IF(AND(($D49+$C$1)&gt;BR$4,BR$4&gt;=$C$1),'General Inputs'!T$11*$G49,0))</f>
        <v>67.884489506249992</v>
      </c>
      <c r="BS49" s="214">
        <f>IF(AND(($E49+$C$1)&gt;BS$4,BS$4&gt;=$C$1),'General Inputs'!U$11*$H49,IF(AND(($D49+$C$1)&gt;BS$4,BS$4&gt;=$C$1),'General Inputs'!U$11*$G49,0))</f>
        <v>67.884489506249992</v>
      </c>
      <c r="BT49" s="214">
        <f>IF(AND(($E49+$C$1)&gt;BT$4,BT$4&gt;=$C$1),'General Inputs'!V$11*$H49,IF(AND(($D49+$C$1)&gt;BT$4,BT$4&gt;=$C$1),'General Inputs'!V$11*$G49,0))</f>
        <v>0</v>
      </c>
      <c r="BU49" s="214">
        <f>IF(AND(($E49+$C$1)&gt;BU$4,BU$4&gt;=$C$1),'General Inputs'!W$11*$H49,IF(AND(($D49+$C$1)&gt;BU$4,BU$4&gt;=$C$1),'General Inputs'!W$11*$G49,0))</f>
        <v>0</v>
      </c>
      <c r="BW49" s="214">
        <f>IF(AND(($E49+$C$1)&gt;BW$4,BW$4&gt;=$C$1),$H49,IF(AND(($D49+$C$1)&gt;BW$4,BW$4&gt;=$C$1),$G49,0))*IF($A49="Residential",'General Inputs'!D$14,'General Inputs'!D$19)</f>
        <v>622.07707973834351</v>
      </c>
      <c r="BX49" s="214">
        <f>IF(AND(($E49+$C$1)&gt;BX$4,BX$4&gt;=$C$1),$H49,IF(AND(($D49+$C$1)&gt;BX$4,BX$4&gt;=$C$1),$G49,0))*IF($A49="Residential",'General Inputs'!E$14,'General Inputs'!E$19)</f>
        <v>631.4082359344186</v>
      </c>
      <c r="BY49" s="214">
        <f>IF(AND(($E49+$C$1)&gt;BY$4,BY$4&gt;=$C$1),$H49,IF(AND(($D49+$C$1)&gt;BY$4,BY$4&gt;=$C$1),$G49,0))*IF($A49="Residential",'General Inputs'!F$14,'General Inputs'!F$19)</f>
        <v>640.87935947343487</v>
      </c>
      <c r="BZ49" s="214">
        <f>IF(AND(($E49+$C$1)&gt;BZ$4,BZ$4&gt;=$C$1),$H49,IF(AND(($D49+$C$1)&gt;BZ$4,BZ$4&gt;=$C$1),$G49,0))*IF($A49="Residential",'General Inputs'!G$14,'General Inputs'!G$19)</f>
        <v>650.49254986553638</v>
      </c>
      <c r="CA49" s="214">
        <f>IF(AND(($E49+$C$1)&gt;CA$4,CA$4&gt;=$C$1),$H49,IF(AND(($D49+$C$1)&gt;CA$4,CA$4&gt;=$C$1),$G49,0))*IF($A49="Residential",'General Inputs'!H$14,'General Inputs'!H$19)</f>
        <v>660.24993811351919</v>
      </c>
      <c r="CB49" s="214">
        <f>IF(AND(($E49+$C$1)&gt;CB$4,CB$4&gt;=$C$1),$H49,IF(AND(($D49+$C$1)&gt;CB$4,CB$4&gt;=$C$1),$G49,0))*IF($A49="Residential",'General Inputs'!I$14,'General Inputs'!I$19)</f>
        <v>670.15368718522188</v>
      </c>
      <c r="CC49" s="214">
        <f>IF(AND(($E49+$C$1)&gt;CC$4,CC$4&gt;=$C$1),$H49,IF(AND(($D49+$C$1)&gt;CC$4,CC$4&gt;=$C$1),$G49,0))*IF($A49="Residential",'General Inputs'!J$14,'General Inputs'!J$19)</f>
        <v>680.20599249300028</v>
      </c>
      <c r="CD49" s="214">
        <f>IF(AND(($E49+$C$1)&gt;CD$4,CD$4&gt;=$C$1),$H49,IF(AND(($D49+$C$1)&gt;CD$4,CD$4&gt;=$C$1),$G49,0))*IF($A49="Residential",'General Inputs'!K$14,'General Inputs'!K$19)</f>
        <v>690.40908238039515</v>
      </c>
      <c r="CE49" s="214">
        <f>IF(AND(($E49+$C$1)&gt;CE$4,CE$4&gt;=$C$1),$H49,IF(AND(($D49+$C$1)&gt;CE$4,CE$4&gt;=$C$1),$G49,0))*IF($A49="Residential",'General Inputs'!L$14,'General Inputs'!L$19)</f>
        <v>700.76521861610104</v>
      </c>
      <c r="CF49" s="214">
        <f>IF(AND(($E49+$C$1)&gt;CF$4,CF$4&gt;=$C$1),$H49,IF(AND(($D49+$C$1)&gt;CF$4,CF$4&gt;=$C$1),$G49,0))*IF($A49="Residential",'General Inputs'!M$14,'General Inputs'!M$19)</f>
        <v>711.27669689534241</v>
      </c>
      <c r="CG49" s="214">
        <f>IF(AND(($E49+$C$1)&gt;CG$4,CG$4&gt;=$C$1),$H49,IF(AND(($D49+$C$1)&gt;CG$4,CG$4&gt;=$C$1),$G49,0))*IF($A49="Residential",'General Inputs'!N$14,'General Inputs'!N$19)</f>
        <v>721.94584734877253</v>
      </c>
      <c r="CH49" s="214">
        <f>IF(AND(($E49+$C$1)&gt;CH$4,CH$4&gt;=$C$1),$H49,IF(AND(($D49+$C$1)&gt;CH$4,CH$4&gt;=$C$1),$G49,0))*IF($A49="Residential",'General Inputs'!O$14,'General Inputs'!O$19)</f>
        <v>732.77503505900404</v>
      </c>
      <c r="CI49" s="214">
        <f>IF(AND(($E49+$C$1)&gt;CI$4,CI$4&gt;=$C$1),$H49,IF(AND(($D49+$C$1)&gt;CI$4,CI$4&gt;=$C$1),$G49,0))*IF($A49="Residential",'General Inputs'!P$14,'General Inputs'!P$19)</f>
        <v>743.76666058488911</v>
      </c>
      <c r="CJ49" s="214">
        <f>IF(AND(($E49+$C$1)&gt;CJ$4,CJ$4&gt;=$C$1),$H49,IF(AND(($D49+$C$1)&gt;CJ$4,CJ$4&gt;=$C$1),$G49,0))*IF($A49="Residential",'General Inputs'!Q$14,'General Inputs'!Q$19)</f>
        <v>754.92316049366229</v>
      </c>
      <c r="CK49" s="214">
        <f>IF(AND(($E49+$C$1)&gt;CK$4,CK$4&gt;=$C$1),$H49,IF(AND(($D49+$C$1)&gt;CK$4,CK$4&gt;=$C$1),$G49,0))*IF($A49="Residential",'General Inputs'!R$14,'General Inputs'!R$19)</f>
        <v>766.24700790106715</v>
      </c>
      <c r="CL49" s="214">
        <f>IF(AND(($E49+$C$1)&gt;CL$4,CL$4&gt;=$C$1),$H49,IF(AND(($D49+$C$1)&gt;CL$4,CL$4&gt;=$C$1),$G49,0))*IF($A49="Residential",'General Inputs'!S$14,'General Inputs'!S$19)</f>
        <v>777.74071301958315</v>
      </c>
      <c r="CM49" s="214">
        <f>IF(AND(($E49+$C$1)&gt;CM$4,CM$4&gt;=$C$1),$H49,IF(AND(($D49+$C$1)&gt;CM$4,CM$4&gt;=$C$1),$G49,0))*IF($A49="Residential",'General Inputs'!T$14,'General Inputs'!T$19)</f>
        <v>789.40682371487685</v>
      </c>
      <c r="CN49" s="214">
        <f>IF(AND(($E49+$C$1)&gt;CN$4,CN$4&gt;=$C$1),$H49,IF(AND(($D49+$C$1)&gt;CN$4,CN$4&gt;=$C$1),$G49,0))*IF($A49="Residential",'General Inputs'!U$14,'General Inputs'!U$19)</f>
        <v>801.24792607059987</v>
      </c>
      <c r="CO49" s="214">
        <f>IF(AND(($E49+$C$1)&gt;CO$4,CO$4&gt;=$C$1),$H49,IF(AND(($D49+$C$1)&gt;CO$4,CO$4&gt;=$C$1),$G49,0))*IF($A49="Residential",'General Inputs'!V$14,'General Inputs'!V$19)</f>
        <v>0</v>
      </c>
      <c r="CP49" s="214">
        <f>IF(AND(($E49+$C$1)&gt;CP$4,CP$4&gt;=$C$1),$H49,IF(AND(($D49+$C$1)&gt;CP$4,CP$4&gt;=$C$1),$G49,0))*IF($A49="Residential",'General Inputs'!W$14,'General Inputs'!W$19)</f>
        <v>0</v>
      </c>
      <c r="CR49" s="214">
        <f>IF(AND(($E49+$C$1)&gt;CR$4,CR$4&gt;=$C$1),$H49,IF(AND(($D49+$C$1)&gt;CR$4,CR$4&gt;=$C$1),$G49,0))*IF($A49="Residential",'General Inputs'!D$15,'General Inputs'!D$19)</f>
        <v>622.07707973834351</v>
      </c>
      <c r="CS49" s="214">
        <f>IF(AND(($E49+$C$1)&gt;CS$4,CS$4&gt;=$C$1),$H49,IF(AND(($D49+$C$1)&gt;CS$4,CS$4&gt;=$C$1),$G49,0))*IF($A49="Residential",'General Inputs'!E$15,'General Inputs'!E$19)</f>
        <v>631.4082359344186</v>
      </c>
      <c r="CT49" s="214">
        <f>IF(AND(($E49+$C$1)&gt;CT$4,CT$4&gt;=$C$1),$H49,IF(AND(($D49+$C$1)&gt;CT$4,CT$4&gt;=$C$1),$G49,0))*IF($A49="Residential",'General Inputs'!F$15,'General Inputs'!F$19)</f>
        <v>640.87935947343487</v>
      </c>
      <c r="CU49" s="214">
        <f>IF(AND(($E49+$C$1)&gt;CU$4,CU$4&gt;=$C$1),$H49,IF(AND(($D49+$C$1)&gt;CU$4,CU$4&gt;=$C$1),$G49,0))*IF($A49="Residential",'General Inputs'!G$15,'General Inputs'!G$19)</f>
        <v>650.49254986553638</v>
      </c>
      <c r="CV49" s="214">
        <f>IF(AND(($E49+$C$1)&gt;CV$4,CV$4&gt;=$C$1),$H49,IF(AND(($D49+$C$1)&gt;CV$4,CV$4&gt;=$C$1),$G49,0))*IF($A49="Residential",'General Inputs'!H$15,'General Inputs'!H$19)</f>
        <v>660.24993811351919</v>
      </c>
      <c r="CW49" s="214">
        <f>IF(AND(($E49+$C$1)&gt;CW$4,CW$4&gt;=$C$1),$H49,IF(AND(($D49+$C$1)&gt;CW$4,CW$4&gt;=$C$1),$G49,0))*IF($A49="Residential",'General Inputs'!I$15,'General Inputs'!I$19)</f>
        <v>670.15368718522188</v>
      </c>
      <c r="CX49" s="214">
        <f>IF(AND(($E49+$C$1)&gt;CX$4,CX$4&gt;=$C$1),$H49,IF(AND(($D49+$C$1)&gt;CX$4,CX$4&gt;=$C$1),$G49,0))*IF($A49="Residential",'General Inputs'!J$15,'General Inputs'!J$19)</f>
        <v>680.20599249300028</v>
      </c>
      <c r="CY49" s="214">
        <f>IF(AND(($E49+$C$1)&gt;CY$4,CY$4&gt;=$C$1),$H49,IF(AND(($D49+$C$1)&gt;CY$4,CY$4&gt;=$C$1),$G49,0))*IF($A49="Residential",'General Inputs'!K$15,'General Inputs'!K$19)</f>
        <v>690.40908238039515</v>
      </c>
      <c r="CZ49" s="214">
        <f>IF(AND(($E49+$C$1)&gt;CZ$4,CZ$4&gt;=$C$1),$H49,IF(AND(($D49+$C$1)&gt;CZ$4,CZ$4&gt;=$C$1),$G49,0))*IF($A49="Residential",'General Inputs'!L$15,'General Inputs'!L$19)</f>
        <v>700.76521861610104</v>
      </c>
      <c r="DA49" s="214">
        <f>IF(AND(($E49+$C$1)&gt;DA$4,DA$4&gt;=$C$1),$H49,IF(AND(($D49+$C$1)&gt;DA$4,DA$4&gt;=$C$1),$G49,0))*IF($A49="Residential",'General Inputs'!M$15,'General Inputs'!M$19)</f>
        <v>711.27669689534241</v>
      </c>
      <c r="DB49" s="214">
        <f>IF(AND(($E49+$C$1)&gt;DB$4,DB$4&gt;=$C$1),$H49,IF(AND(($D49+$C$1)&gt;DB$4,DB$4&gt;=$C$1),$G49,0))*IF($A49="Residential",'General Inputs'!N$15,'General Inputs'!N$19)</f>
        <v>721.94584734877253</v>
      </c>
      <c r="DC49" s="214">
        <f>IF(AND(($E49+$C$1)&gt;DC$4,DC$4&gt;=$C$1),$H49,IF(AND(($D49+$C$1)&gt;DC$4,DC$4&gt;=$C$1),$G49,0))*IF($A49="Residential",'General Inputs'!O$15,'General Inputs'!O$19)</f>
        <v>732.77503505900404</v>
      </c>
      <c r="DD49" s="214">
        <f>IF(AND(($E49+$C$1)&gt;DD$4,DD$4&gt;=$C$1),$H49,IF(AND(($D49+$C$1)&gt;DD$4,DD$4&gt;=$C$1),$G49,0))*IF($A49="Residential",'General Inputs'!P$15,'General Inputs'!P$19)</f>
        <v>743.76666058488911</v>
      </c>
      <c r="DE49" s="214">
        <f>IF(AND(($E49+$C$1)&gt;DE$4,DE$4&gt;=$C$1),$H49,IF(AND(($D49+$C$1)&gt;DE$4,DE$4&gt;=$C$1),$G49,0))*IF($A49="Residential",'General Inputs'!Q$15,'General Inputs'!Q$19)</f>
        <v>754.92316049366229</v>
      </c>
      <c r="DF49" s="214">
        <f>IF(AND(($E49+$C$1)&gt;DF$4,DF$4&gt;=$C$1),$H49,IF(AND(($D49+$C$1)&gt;DF$4,DF$4&gt;=$C$1),$G49,0))*IF($A49="Residential",'General Inputs'!R$15,'General Inputs'!R$19)</f>
        <v>766.24700790106715</v>
      </c>
      <c r="DG49" s="214">
        <f>IF(AND(($E49+$C$1)&gt;DG$4,DG$4&gt;=$C$1),$H49,IF(AND(($D49+$C$1)&gt;DG$4,DG$4&gt;=$C$1),$G49,0))*IF($A49="Residential",'General Inputs'!S$15,'General Inputs'!S$19)</f>
        <v>777.74071301958315</v>
      </c>
      <c r="DH49" s="214">
        <f>IF(AND(($E49+$C$1)&gt;DH$4,DH$4&gt;=$C$1),$H49,IF(AND(($D49+$C$1)&gt;DH$4,DH$4&gt;=$C$1),$G49,0))*IF($A49="Residential",'General Inputs'!T$15,'General Inputs'!T$19)</f>
        <v>789.40682371487685</v>
      </c>
      <c r="DI49" s="214">
        <f>IF(AND(($E49+$C$1)&gt;DI$4,DI$4&gt;=$C$1),$H49,IF(AND(($D49+$C$1)&gt;DI$4,DI$4&gt;=$C$1),$G49,0))*IF($A49="Residential",'General Inputs'!U$15,'General Inputs'!U$19)</f>
        <v>801.24792607059987</v>
      </c>
      <c r="DJ49" s="214">
        <f>IF(AND(($E49+$C$1)&gt;DJ$4,DJ$4&gt;=$C$1),$H49,IF(AND(($D49+$C$1)&gt;DJ$4,DJ$4&gt;=$C$1),$G49,0))*IF($A49="Residential",'General Inputs'!V$15,'General Inputs'!V$19)</f>
        <v>0</v>
      </c>
      <c r="DK49" s="214">
        <f>IF(AND(($E49+$C$1)&gt;DK$4,DK$4&gt;=$C$1),$H49,IF(AND(($D49+$C$1)&gt;DK$4,DK$4&gt;=$C$1),$G49,0))*IF($A49="Residential",'General Inputs'!W$15,'General Inputs'!W$19)</f>
        <v>0</v>
      </c>
      <c r="DM49" s="214">
        <f t="shared" si="441"/>
        <v>1075</v>
      </c>
      <c r="DN49" s="214">
        <f t="shared" si="441"/>
        <v>0</v>
      </c>
      <c r="DO49" s="214">
        <f t="shared" si="441"/>
        <v>0</v>
      </c>
      <c r="DP49" s="214">
        <f t="shared" si="441"/>
        <v>0</v>
      </c>
      <c r="DQ49" s="214">
        <f t="shared" si="441"/>
        <v>0</v>
      </c>
      <c r="DR49" s="214">
        <f t="shared" si="441"/>
        <v>0</v>
      </c>
      <c r="DS49" s="214">
        <f t="shared" si="441"/>
        <v>0</v>
      </c>
      <c r="DT49" s="214">
        <f t="shared" si="441"/>
        <v>0</v>
      </c>
      <c r="DU49" s="214">
        <f t="shared" si="441"/>
        <v>0</v>
      </c>
      <c r="DV49" s="214">
        <f t="shared" si="441"/>
        <v>0</v>
      </c>
      <c r="DW49" s="214">
        <f t="shared" si="441"/>
        <v>0</v>
      </c>
      <c r="DZ49" s="650"/>
      <c r="FI49" s="195"/>
      <c r="FJ49" s="195"/>
      <c r="FK49" s="195"/>
      <c r="FL49" s="195"/>
      <c r="FM49" s="195"/>
      <c r="FN49" s="195"/>
      <c r="FO49" s="195"/>
    </row>
    <row r="50" spans="1:171">
      <c r="A50" s="342" t="s">
        <v>112</v>
      </c>
      <c r="B50" s="427" t="str">
        <f>'Portfolio Inputs'!A49</f>
        <v>T8 (≤4 ft, 3-4 Lamp)</v>
      </c>
      <c r="C50" s="217">
        <f>IF($C$1=2014,'Portfolio Inputs'!$C49,IF($C$1=2015,'Portfolio Inputs'!$D49,'Portfolio Inputs'!$E49))</f>
        <v>0</v>
      </c>
      <c r="D50" s="504">
        <f>VLOOKUP(B50,Sources!$B$4:$J$104,2,FALSE)</f>
        <v>18</v>
      </c>
      <c r="E50" s="504">
        <f>VLOOKUP(B50,Sources!$B$4:$J$104,3,FALSE)</f>
        <v>0</v>
      </c>
      <c r="G50" s="504">
        <f>IF($C$1=2014,'Portfolio Inputs'!$G49,IF($C$1=2015,'Portfolio Inputs'!$H49,'Portfolio Inputs'!$I49))*EnergyLineLoss</f>
        <v>0</v>
      </c>
      <c r="H50" s="504"/>
      <c r="I50" s="595">
        <f>IF($C$1=2014,'Portfolio Inputs'!$K49,IF($C$1=2015,'Portfolio Inputs'!$L49,'Portfolio Inputs'!$M49))*PeakLineLoss</f>
        <v>0</v>
      </c>
      <c r="J50" s="510"/>
      <c r="L50" s="606">
        <f>IF($C$1=2014,'Portfolio Inputs'!$O49,IF($C$1=2015,'Portfolio Inputs'!$P49,'Portfolio Inputs'!$Q49))</f>
        <v>55</v>
      </c>
      <c r="M50" s="518">
        <f>VLOOKUP($B50,Sources!$B$4:$K$104,10,FALSE)</f>
        <v>0</v>
      </c>
      <c r="N50" s="419">
        <f>IF($C$1=2014,'Portfolio Inputs'!$W49,IF($C$1=2015,'Portfolio Inputs'!$X49,'Portfolio Inputs'!$Y49))</f>
        <v>0</v>
      </c>
      <c r="O50" s="419">
        <f>IF($C$1=2014,'Portfolio Inputs'!$AA49,IF($C$1=2015,'Portfolio Inputs'!$AB49,'Portfolio Inputs'!$AC49))</f>
        <v>0</v>
      </c>
      <c r="Q50" s="438" t="str">
        <f t="shared" si="442"/>
        <v>n/a</v>
      </c>
      <c r="R50" s="439" t="str">
        <f t="shared" si="443"/>
        <v>n/a</v>
      </c>
      <c r="S50" s="439" t="str">
        <f t="shared" si="444"/>
        <v>n/a</v>
      </c>
      <c r="T50" s="439" t="str">
        <f t="shared" si="445"/>
        <v>n/a</v>
      </c>
      <c r="U50" s="439" t="str">
        <f t="shared" si="446"/>
        <v>n/a</v>
      </c>
      <c r="V50" s="439" t="str">
        <f t="shared" si="447"/>
        <v>n/a</v>
      </c>
      <c r="W50" s="439" t="str">
        <f t="shared" si="448"/>
        <v>n/a</v>
      </c>
      <c r="Y50" s="215">
        <f t="shared" si="449"/>
        <v>0</v>
      </c>
      <c r="Z50" s="215">
        <f t="shared" si="450"/>
        <v>0</v>
      </c>
      <c r="AA50" s="215">
        <f t="shared" si="451"/>
        <v>0</v>
      </c>
      <c r="AB50" s="215">
        <f t="shared" si="452"/>
        <v>0</v>
      </c>
      <c r="AC50" s="216">
        <f t="shared" si="453"/>
        <v>0</v>
      </c>
      <c r="AD50" s="216">
        <f t="shared" si="454"/>
        <v>0</v>
      </c>
      <c r="AE50" s="215">
        <f t="shared" si="455"/>
        <v>0</v>
      </c>
      <c r="AG50" s="214">
        <f>IF(AND(($E50+$C$1)&gt;AG$4,AG$4&gt;=$C$1),'General Inputs'!D$9*$H50,IF(AND(($D50+$C$1)&gt;AG$4,AG$4&gt;=$C$1),'General Inputs'!D$9*$G50,0))+IF(AND(($E50+$C$1)&gt;AG$4,AG$4&gt;=$C$1),'General Inputs'!D$10*$J50,IF(AND(($D50+$C$1)&gt;AG$4,AG$4&gt;=$C$1),'General Inputs'!D$10*$I50,0))</f>
        <v>0</v>
      </c>
      <c r="AH50" s="214">
        <f>IF(AND(($E50+$C$1)&gt;AH$4,AH$4&gt;=$C$1),'General Inputs'!E$9*$H50,IF(AND(($D50+$C$1)&gt;AH$4,AH$4&gt;=$C$1),'General Inputs'!E$9*$G50,0))+IF(AND(($E50+$C$1)&gt;AH$4,AH$4&gt;=$C$1),'General Inputs'!E$10*$J50,IF(AND(($D50+$C$1)&gt;AH$4,AH$4&gt;=$C$1),'General Inputs'!E$10*$I50,0))</f>
        <v>0</v>
      </c>
      <c r="AI50" s="214">
        <f>IF(AND(($E50+$C$1)&gt;AI$4,AI$4&gt;=$C$1),'General Inputs'!F$9*$H50,IF(AND(($D50+$C$1)&gt;AI$4,AI$4&gt;=$C$1),'General Inputs'!F$9*$G50,0))+IF(AND(($E50+$C$1)&gt;AI$4,AI$4&gt;=$C$1),'General Inputs'!F$10*$J50,IF(AND(($D50+$C$1)&gt;AI$4,AI$4&gt;=$C$1),'General Inputs'!F$10*$I50,0))</f>
        <v>0</v>
      </c>
      <c r="AJ50" s="214">
        <f>IF(AND(($E50+$C$1)&gt;AJ$4,AJ$4&gt;=$C$1),'General Inputs'!G$9*$H50,IF(AND(($D50+$C$1)&gt;AJ$4,AJ$4&gt;=$C$1),'General Inputs'!G$9*$G50,0))+IF(AND(($E50+$C$1)&gt;AJ$4,AJ$4&gt;=$C$1),'General Inputs'!G$10*$J50,IF(AND(($D50+$C$1)&gt;AJ$4,AJ$4&gt;=$C$1),'General Inputs'!G$10*$I50,0))</f>
        <v>0</v>
      </c>
      <c r="AK50" s="214">
        <f>IF(AND(($E50+$C$1)&gt;AK$4,AK$4&gt;=$C$1),'General Inputs'!H$9*$H50,IF(AND(($D50+$C$1)&gt;AK$4,AK$4&gt;=$C$1),'General Inputs'!H$9*$G50,0))+IF(AND(($E50+$C$1)&gt;AK$4,AK$4&gt;=$C$1),'General Inputs'!H$10*$J50,IF(AND(($D50+$C$1)&gt;AK$4,AK$4&gt;=$C$1),'General Inputs'!H$10*$I50,0))</f>
        <v>0</v>
      </c>
      <c r="AL50" s="214">
        <f>IF(AND(($E50+$C$1)&gt;AL$4,AL$4&gt;=$C$1),'General Inputs'!I$9*$H50,IF(AND(($D50+$C$1)&gt;AL$4,AL$4&gt;=$C$1),'General Inputs'!I$9*$G50,0))+IF(AND(($E50+$C$1)&gt;AL$4,AL$4&gt;=$C$1),'General Inputs'!I$10*$J50,IF(AND(($D50+$C$1)&gt;AL$4,AL$4&gt;=$C$1),'General Inputs'!I$10*$I50,0))</f>
        <v>0</v>
      </c>
      <c r="AM50" s="214">
        <f>IF(AND(($E50+$C$1)&gt;AM$4,AM$4&gt;=$C$1),'General Inputs'!J$9*$H50,IF(AND(($D50+$C$1)&gt;AM$4,AM$4&gt;=$C$1),'General Inputs'!J$9*$G50,0))+IF(AND(($E50+$C$1)&gt;AM$4,AM$4&gt;=$C$1),'General Inputs'!J$10*$J50,IF(AND(($D50+$C$1)&gt;AM$4,AM$4&gt;=$C$1),'General Inputs'!J$10*$I50,0))</f>
        <v>0</v>
      </c>
      <c r="AN50" s="214">
        <f>IF(AND(($E50+$C$1)&gt;AN$4,AN$4&gt;=$C$1),'General Inputs'!K$9*$H50,IF(AND(($D50+$C$1)&gt;AN$4,AN$4&gt;=$C$1),'General Inputs'!K$9*$G50,0))+IF(AND(($E50+$C$1)&gt;AN$4,AN$4&gt;=$C$1),'General Inputs'!K$10*$J50,IF(AND(($D50+$C$1)&gt;AN$4,AN$4&gt;=$C$1),'General Inputs'!K$10*$I50,0))</f>
        <v>0</v>
      </c>
      <c r="AO50" s="214">
        <f>IF(AND(($E50+$C$1)&gt;AO$4,AO$4&gt;=$C$1),'General Inputs'!L$9*$H50,IF(AND(($D50+$C$1)&gt;AO$4,AO$4&gt;=$C$1),'General Inputs'!L$9*$G50,0))+IF(AND(($E50+$C$1)&gt;AO$4,AO$4&gt;=$C$1),'General Inputs'!L$10*$J50,IF(AND(($D50+$C$1)&gt;AO$4,AO$4&gt;=$C$1),'General Inputs'!L$10*$I50,0))</f>
        <v>0</v>
      </c>
      <c r="AP50" s="214">
        <f>IF(AND(($E50+$C$1)&gt;AP$4,AP$4&gt;=$C$1),'General Inputs'!M$9*$H50,IF(AND(($D50+$C$1)&gt;AP$4,AP$4&gt;=$C$1),'General Inputs'!M$9*$G50,0))+IF(AND(($E50+$C$1)&gt;AP$4,AP$4&gt;=$C$1),'General Inputs'!M$10*$J50,IF(AND(($D50+$C$1)&gt;AP$4,AP$4&gt;=$C$1),'General Inputs'!M$10*$I50,0))</f>
        <v>0</v>
      </c>
      <c r="AQ50" s="214">
        <f>IF(AND(($E50+$C$1)&gt;AQ$4,AQ$4&gt;=$C$1),'General Inputs'!N$9*$H50,IF(AND(($D50+$C$1)&gt;AQ$4,AQ$4&gt;=$C$1),'General Inputs'!N$9*$G50,0))+IF(AND(($E50+$C$1)&gt;AQ$4,AQ$4&gt;=$C$1),'General Inputs'!N$10*$J50,IF(AND(($D50+$C$1)&gt;AQ$4,AQ$4&gt;=$C$1),'General Inputs'!N$10*$I50,0))</f>
        <v>0</v>
      </c>
      <c r="AR50" s="214">
        <f>IF(AND(($E50+$C$1)&gt;AR$4,AR$4&gt;=$C$1),'General Inputs'!O$9*$H50,IF(AND(($D50+$C$1)&gt;AR$4,AR$4&gt;=$C$1),'General Inputs'!O$9*$G50,0))+IF(AND(($E50+$C$1)&gt;AR$4,AR$4&gt;=$C$1),'General Inputs'!O$10*$J50,IF(AND(($D50+$C$1)&gt;AR$4,AR$4&gt;=$C$1),'General Inputs'!O$10*$I50,0))</f>
        <v>0</v>
      </c>
      <c r="AS50" s="214">
        <f>IF(AND(($E50+$C$1)&gt;AS$4,AS$4&gt;=$C$1),'General Inputs'!P$9*$H50,IF(AND(($D50+$C$1)&gt;AS$4,AS$4&gt;=$C$1),'General Inputs'!P$9*$G50,0))+IF(AND(($E50+$C$1)&gt;AS$4,AS$4&gt;=$C$1),'General Inputs'!P$10*$J50,IF(AND(($D50+$C$1)&gt;AS$4,AS$4&gt;=$C$1),'General Inputs'!P$10*$I50,0))</f>
        <v>0</v>
      </c>
      <c r="AT50" s="214">
        <f>IF(AND(($E50+$C$1)&gt;AT$4,AT$4&gt;=$C$1),'General Inputs'!Q$9*$H50,IF(AND(($D50+$C$1)&gt;AT$4,AT$4&gt;=$C$1),'General Inputs'!Q$9*$G50,0))+IF(AND(($E50+$C$1)&gt;AT$4,AT$4&gt;=$C$1),'General Inputs'!Q$10*$J50,IF(AND(($D50+$C$1)&gt;AT$4,AT$4&gt;=$C$1),'General Inputs'!Q$10*$I50,0))</f>
        <v>0</v>
      </c>
      <c r="AU50" s="214">
        <f>IF(AND(($E50+$C$1)&gt;AU$4,AU$4&gt;=$C$1),'General Inputs'!R$9*$H50,IF(AND(($D50+$C$1)&gt;AU$4,AU$4&gt;=$C$1),'General Inputs'!R$9*$G50,0))+IF(AND(($E50+$C$1)&gt;AU$4,AU$4&gt;=$C$1),'General Inputs'!R$10*$J50,IF(AND(($D50+$C$1)&gt;AU$4,AU$4&gt;=$C$1),'General Inputs'!R$10*$I50,0))</f>
        <v>0</v>
      </c>
      <c r="AV50" s="214">
        <f>IF(AND(($E50+$C$1)&gt;AV$4,AV$4&gt;=$C$1),'General Inputs'!S$9*$H50,IF(AND(($D50+$C$1)&gt;AV$4,AV$4&gt;=$C$1),'General Inputs'!S$9*$G50,0))+IF(AND(($E50+$C$1)&gt;AV$4,AV$4&gt;=$C$1),'General Inputs'!S$10*$J50,IF(AND(($D50+$C$1)&gt;AV$4,AV$4&gt;=$C$1),'General Inputs'!S$10*$I50,0))</f>
        <v>0</v>
      </c>
      <c r="AW50" s="214">
        <f>IF(AND(($E50+$C$1)&gt;AW$4,AW$4&gt;=$C$1),'General Inputs'!T$9*$H50,IF(AND(($D50+$C$1)&gt;AW$4,AW$4&gt;=$C$1),'General Inputs'!T$9*$G50,0))+IF(AND(($E50+$C$1)&gt;AW$4,AW$4&gt;=$C$1),'General Inputs'!T$10*$J50,IF(AND(($D50+$C$1)&gt;AW$4,AW$4&gt;=$C$1),'General Inputs'!T$10*$I50,0))</f>
        <v>0</v>
      </c>
      <c r="AX50" s="214">
        <f>IF(AND(($E50+$C$1)&gt;AX$4,AX$4&gt;=$C$1),'General Inputs'!U$9*$H50,IF(AND(($D50+$C$1)&gt;AX$4,AX$4&gt;=$C$1),'General Inputs'!U$9*$G50,0))+IF(AND(($E50+$C$1)&gt;AX$4,AX$4&gt;=$C$1),'General Inputs'!U$10*$J50,IF(AND(($D50+$C$1)&gt;AX$4,AX$4&gt;=$C$1),'General Inputs'!U$10*$I50,0))</f>
        <v>0</v>
      </c>
      <c r="AY50" s="214">
        <f>IF(AND(($E50+$C$1)&gt;AY$4,AY$4&gt;=$C$1),'General Inputs'!V$9*$H50,IF(AND(($D50+$C$1)&gt;AY$4,AY$4&gt;=$C$1),'General Inputs'!V$9*$G50,0))+IF(AND(($E50+$C$1)&gt;AY$4,AY$4&gt;=$C$1),'General Inputs'!V$10*$J50,IF(AND(($D50+$C$1)&gt;AY$4,AY$4&gt;=$C$1),'General Inputs'!V$10*$I50,0))</f>
        <v>0</v>
      </c>
      <c r="AZ50" s="214">
        <f>IF(AND(($E50+$C$1)&gt;AZ$4,AZ$4&gt;=$C$1),'General Inputs'!W$9*$H50,IF(AND(($D50+$C$1)&gt;AZ$4,AZ$4&gt;=$C$1),'General Inputs'!W$9*$G50,0))+IF(AND(($E50+$C$1)&gt;AZ$4,AZ$4&gt;=$C$1),'General Inputs'!W$10*$J50,IF(AND(($D50+$C$1)&gt;AZ$4,AZ$4&gt;=$C$1),'General Inputs'!W$10*$I50,0))</f>
        <v>0</v>
      </c>
      <c r="BB50" s="214">
        <f>IF(AND(($E50+$C$1)&gt;BB$4,BB$4&gt;=$C$1),'General Inputs'!D$11*$H50,IF(AND(($D50+$C$1)&gt;BB$4,BB$4&gt;=$C$1),'General Inputs'!D$11*$G50,0))</f>
        <v>0</v>
      </c>
      <c r="BC50" s="214">
        <f>IF(AND(($E50+$C$1)&gt;BC$4,BC$4&gt;=$C$1),'General Inputs'!E$11*$H50,IF(AND(($D50+$C$1)&gt;BC$4,BC$4&gt;=$C$1),'General Inputs'!E$11*$G50,0))</f>
        <v>0</v>
      </c>
      <c r="BD50" s="214">
        <f>IF(AND(($E50+$C$1)&gt;BD$4,BD$4&gt;=$C$1),'General Inputs'!F$11*$H50,IF(AND(($D50+$C$1)&gt;BD$4,BD$4&gt;=$C$1),'General Inputs'!F$11*$G50,0))</f>
        <v>0</v>
      </c>
      <c r="BE50" s="214">
        <f>IF(AND(($E50+$C$1)&gt;BE$4,BE$4&gt;=$C$1),'General Inputs'!G$11*$H50,IF(AND(($D50+$C$1)&gt;BE$4,BE$4&gt;=$C$1),'General Inputs'!G$11*$G50,0))</f>
        <v>0</v>
      </c>
      <c r="BF50" s="214">
        <f>IF(AND(($E50+$C$1)&gt;BF$4,BF$4&gt;=$C$1),'General Inputs'!H$11*$H50,IF(AND(($D50+$C$1)&gt;BF$4,BF$4&gt;=$C$1),'General Inputs'!H$11*$G50,0))</f>
        <v>0</v>
      </c>
      <c r="BG50" s="214">
        <f>IF(AND(($E50+$C$1)&gt;BG$4,BG$4&gt;=$C$1),'General Inputs'!I$11*$H50,IF(AND(($D50+$C$1)&gt;BG$4,BG$4&gt;=$C$1),'General Inputs'!I$11*$G50,0))</f>
        <v>0</v>
      </c>
      <c r="BH50" s="214">
        <f>IF(AND(($E50+$C$1)&gt;BH$4,BH$4&gt;=$C$1),'General Inputs'!J$11*$H50,IF(AND(($D50+$C$1)&gt;BH$4,BH$4&gt;=$C$1),'General Inputs'!J$11*$G50,0))</f>
        <v>0</v>
      </c>
      <c r="BI50" s="214">
        <f>IF(AND(($E50+$C$1)&gt;BI$4,BI$4&gt;=$C$1),'General Inputs'!K$11*$H50,IF(AND(($D50+$C$1)&gt;BI$4,BI$4&gt;=$C$1),'General Inputs'!K$11*$G50,0))</f>
        <v>0</v>
      </c>
      <c r="BJ50" s="214">
        <f>IF(AND(($E50+$C$1)&gt;BJ$4,BJ$4&gt;=$C$1),'General Inputs'!L$11*$H50,IF(AND(($D50+$C$1)&gt;BJ$4,BJ$4&gt;=$C$1),'General Inputs'!L$11*$G50,0))</f>
        <v>0</v>
      </c>
      <c r="BK50" s="214">
        <f>IF(AND(($E50+$C$1)&gt;BK$4,BK$4&gt;=$C$1),'General Inputs'!M$11*$H50,IF(AND(($D50+$C$1)&gt;BK$4,BK$4&gt;=$C$1),'General Inputs'!M$11*$G50,0))</f>
        <v>0</v>
      </c>
      <c r="BL50" s="214">
        <f>IF(AND(($E50+$C$1)&gt;BL$4,BL$4&gt;=$C$1),'General Inputs'!N$11*$H50,IF(AND(($D50+$C$1)&gt;BL$4,BL$4&gt;=$C$1),'General Inputs'!N$11*$G50,0))</f>
        <v>0</v>
      </c>
      <c r="BM50" s="214">
        <f>IF(AND(($E50+$C$1)&gt;BM$4,BM$4&gt;=$C$1),'General Inputs'!O$11*$H50,IF(AND(($D50+$C$1)&gt;BM$4,BM$4&gt;=$C$1),'General Inputs'!O$11*$G50,0))</f>
        <v>0</v>
      </c>
      <c r="BN50" s="214">
        <f>IF(AND(($E50+$C$1)&gt;BN$4,BN$4&gt;=$C$1),'General Inputs'!P$11*$H50,IF(AND(($D50+$C$1)&gt;BN$4,BN$4&gt;=$C$1),'General Inputs'!P$11*$G50,0))</f>
        <v>0</v>
      </c>
      <c r="BO50" s="214">
        <f>IF(AND(($E50+$C$1)&gt;BO$4,BO$4&gt;=$C$1),'General Inputs'!Q$11*$H50,IF(AND(($D50+$C$1)&gt;BO$4,BO$4&gt;=$C$1),'General Inputs'!Q$11*$G50,0))</f>
        <v>0</v>
      </c>
      <c r="BP50" s="214">
        <f>IF(AND(($E50+$C$1)&gt;BP$4,BP$4&gt;=$C$1),'General Inputs'!R$11*$H50,IF(AND(($D50+$C$1)&gt;BP$4,BP$4&gt;=$C$1),'General Inputs'!R$11*$G50,0))</f>
        <v>0</v>
      </c>
      <c r="BQ50" s="214">
        <f>IF(AND(($E50+$C$1)&gt;BQ$4,BQ$4&gt;=$C$1),'General Inputs'!S$11*$H50,IF(AND(($D50+$C$1)&gt;BQ$4,BQ$4&gt;=$C$1),'General Inputs'!S$11*$G50,0))</f>
        <v>0</v>
      </c>
      <c r="BR50" s="214">
        <f>IF(AND(($E50+$C$1)&gt;BR$4,BR$4&gt;=$C$1),'General Inputs'!T$11*$H50,IF(AND(($D50+$C$1)&gt;BR$4,BR$4&gt;=$C$1),'General Inputs'!T$11*$G50,0))</f>
        <v>0</v>
      </c>
      <c r="BS50" s="214">
        <f>IF(AND(($E50+$C$1)&gt;BS$4,BS$4&gt;=$C$1),'General Inputs'!U$11*$H50,IF(AND(($D50+$C$1)&gt;BS$4,BS$4&gt;=$C$1),'General Inputs'!U$11*$G50,0))</f>
        <v>0</v>
      </c>
      <c r="BT50" s="214">
        <f>IF(AND(($E50+$C$1)&gt;BT$4,BT$4&gt;=$C$1),'General Inputs'!V$11*$H50,IF(AND(($D50+$C$1)&gt;BT$4,BT$4&gt;=$C$1),'General Inputs'!V$11*$G50,0))</f>
        <v>0</v>
      </c>
      <c r="BU50" s="214">
        <f>IF(AND(($E50+$C$1)&gt;BU$4,BU$4&gt;=$C$1),'General Inputs'!W$11*$H50,IF(AND(($D50+$C$1)&gt;BU$4,BU$4&gt;=$C$1),'General Inputs'!W$11*$G50,0))</f>
        <v>0</v>
      </c>
      <c r="BW50" s="214">
        <f>IF(AND(($E50+$C$1)&gt;BW$4,BW$4&gt;=$C$1),$H50,IF(AND(($D50+$C$1)&gt;BW$4,BW$4&gt;=$C$1),$G50,0))*IF($A50="Residential",'General Inputs'!D$14,'General Inputs'!D$19)</f>
        <v>0</v>
      </c>
      <c r="BX50" s="214">
        <f>IF(AND(($E50+$C$1)&gt;BX$4,BX$4&gt;=$C$1),$H50,IF(AND(($D50+$C$1)&gt;BX$4,BX$4&gt;=$C$1),$G50,0))*IF($A50="Residential",'General Inputs'!E$14,'General Inputs'!E$19)</f>
        <v>0</v>
      </c>
      <c r="BY50" s="214">
        <f>IF(AND(($E50+$C$1)&gt;BY$4,BY$4&gt;=$C$1),$H50,IF(AND(($D50+$C$1)&gt;BY$4,BY$4&gt;=$C$1),$G50,0))*IF($A50="Residential",'General Inputs'!F$14,'General Inputs'!F$19)</f>
        <v>0</v>
      </c>
      <c r="BZ50" s="214">
        <f>IF(AND(($E50+$C$1)&gt;BZ$4,BZ$4&gt;=$C$1),$H50,IF(AND(($D50+$C$1)&gt;BZ$4,BZ$4&gt;=$C$1),$G50,0))*IF($A50="Residential",'General Inputs'!G$14,'General Inputs'!G$19)</f>
        <v>0</v>
      </c>
      <c r="CA50" s="214">
        <f>IF(AND(($E50+$C$1)&gt;CA$4,CA$4&gt;=$C$1),$H50,IF(AND(($D50+$C$1)&gt;CA$4,CA$4&gt;=$C$1),$G50,0))*IF($A50="Residential",'General Inputs'!H$14,'General Inputs'!H$19)</f>
        <v>0</v>
      </c>
      <c r="CB50" s="214">
        <f>IF(AND(($E50+$C$1)&gt;CB$4,CB$4&gt;=$C$1),$H50,IF(AND(($D50+$C$1)&gt;CB$4,CB$4&gt;=$C$1),$G50,0))*IF($A50="Residential",'General Inputs'!I$14,'General Inputs'!I$19)</f>
        <v>0</v>
      </c>
      <c r="CC50" s="214">
        <f>IF(AND(($E50+$C$1)&gt;CC$4,CC$4&gt;=$C$1),$H50,IF(AND(($D50+$C$1)&gt;CC$4,CC$4&gt;=$C$1),$G50,0))*IF($A50="Residential",'General Inputs'!J$14,'General Inputs'!J$19)</f>
        <v>0</v>
      </c>
      <c r="CD50" s="214">
        <f>IF(AND(($E50+$C$1)&gt;CD$4,CD$4&gt;=$C$1),$H50,IF(AND(($D50+$C$1)&gt;CD$4,CD$4&gt;=$C$1),$G50,0))*IF($A50="Residential",'General Inputs'!K$14,'General Inputs'!K$19)</f>
        <v>0</v>
      </c>
      <c r="CE50" s="214">
        <f>IF(AND(($E50+$C$1)&gt;CE$4,CE$4&gt;=$C$1),$H50,IF(AND(($D50+$C$1)&gt;CE$4,CE$4&gt;=$C$1),$G50,0))*IF($A50="Residential",'General Inputs'!L$14,'General Inputs'!L$19)</f>
        <v>0</v>
      </c>
      <c r="CF50" s="214">
        <f>IF(AND(($E50+$C$1)&gt;CF$4,CF$4&gt;=$C$1),$H50,IF(AND(($D50+$C$1)&gt;CF$4,CF$4&gt;=$C$1),$G50,0))*IF($A50="Residential",'General Inputs'!M$14,'General Inputs'!M$19)</f>
        <v>0</v>
      </c>
      <c r="CG50" s="214">
        <f>IF(AND(($E50+$C$1)&gt;CG$4,CG$4&gt;=$C$1),$H50,IF(AND(($D50+$C$1)&gt;CG$4,CG$4&gt;=$C$1),$G50,0))*IF($A50="Residential",'General Inputs'!N$14,'General Inputs'!N$19)</f>
        <v>0</v>
      </c>
      <c r="CH50" s="214">
        <f>IF(AND(($E50+$C$1)&gt;CH$4,CH$4&gt;=$C$1),$H50,IF(AND(($D50+$C$1)&gt;CH$4,CH$4&gt;=$C$1),$G50,0))*IF($A50="Residential",'General Inputs'!O$14,'General Inputs'!O$19)</f>
        <v>0</v>
      </c>
      <c r="CI50" s="214">
        <f>IF(AND(($E50+$C$1)&gt;CI$4,CI$4&gt;=$C$1),$H50,IF(AND(($D50+$C$1)&gt;CI$4,CI$4&gt;=$C$1),$G50,0))*IF($A50="Residential",'General Inputs'!P$14,'General Inputs'!P$19)</f>
        <v>0</v>
      </c>
      <c r="CJ50" s="214">
        <f>IF(AND(($E50+$C$1)&gt;CJ$4,CJ$4&gt;=$C$1),$H50,IF(AND(($D50+$C$1)&gt;CJ$4,CJ$4&gt;=$C$1),$G50,0))*IF($A50="Residential",'General Inputs'!Q$14,'General Inputs'!Q$19)</f>
        <v>0</v>
      </c>
      <c r="CK50" s="214">
        <f>IF(AND(($E50+$C$1)&gt;CK$4,CK$4&gt;=$C$1),$H50,IF(AND(($D50+$C$1)&gt;CK$4,CK$4&gt;=$C$1),$G50,0))*IF($A50="Residential",'General Inputs'!R$14,'General Inputs'!R$19)</f>
        <v>0</v>
      </c>
      <c r="CL50" s="214">
        <f>IF(AND(($E50+$C$1)&gt;CL$4,CL$4&gt;=$C$1),$H50,IF(AND(($D50+$C$1)&gt;CL$4,CL$4&gt;=$C$1),$G50,0))*IF($A50="Residential",'General Inputs'!S$14,'General Inputs'!S$19)</f>
        <v>0</v>
      </c>
      <c r="CM50" s="214">
        <f>IF(AND(($E50+$C$1)&gt;CM$4,CM$4&gt;=$C$1),$H50,IF(AND(($D50+$C$1)&gt;CM$4,CM$4&gt;=$C$1),$G50,0))*IF($A50="Residential",'General Inputs'!T$14,'General Inputs'!T$19)</f>
        <v>0</v>
      </c>
      <c r="CN50" s="214">
        <f>IF(AND(($E50+$C$1)&gt;CN$4,CN$4&gt;=$C$1),$H50,IF(AND(($D50+$C$1)&gt;CN$4,CN$4&gt;=$C$1),$G50,0))*IF($A50="Residential",'General Inputs'!U$14,'General Inputs'!U$19)</f>
        <v>0</v>
      </c>
      <c r="CO50" s="214">
        <f>IF(AND(($E50+$C$1)&gt;CO$4,CO$4&gt;=$C$1),$H50,IF(AND(($D50+$C$1)&gt;CO$4,CO$4&gt;=$C$1),$G50,0))*IF($A50="Residential",'General Inputs'!V$14,'General Inputs'!V$19)</f>
        <v>0</v>
      </c>
      <c r="CP50" s="214">
        <f>IF(AND(($E50+$C$1)&gt;CP$4,CP$4&gt;=$C$1),$H50,IF(AND(($D50+$C$1)&gt;CP$4,CP$4&gt;=$C$1),$G50,0))*IF($A50="Residential",'General Inputs'!W$14,'General Inputs'!W$19)</f>
        <v>0</v>
      </c>
      <c r="CR50" s="214">
        <f>IF(AND(($E50+$C$1)&gt;CR$4,CR$4&gt;=$C$1),$H50,IF(AND(($D50+$C$1)&gt;CR$4,CR$4&gt;=$C$1),$G50,0))*IF($A50="Residential",'General Inputs'!D$15,'General Inputs'!D$19)</f>
        <v>0</v>
      </c>
      <c r="CS50" s="214">
        <f>IF(AND(($E50+$C$1)&gt;CS$4,CS$4&gt;=$C$1),$H50,IF(AND(($D50+$C$1)&gt;CS$4,CS$4&gt;=$C$1),$G50,0))*IF($A50="Residential",'General Inputs'!E$15,'General Inputs'!E$19)</f>
        <v>0</v>
      </c>
      <c r="CT50" s="214">
        <f>IF(AND(($E50+$C$1)&gt;CT$4,CT$4&gt;=$C$1),$H50,IF(AND(($D50+$C$1)&gt;CT$4,CT$4&gt;=$C$1),$G50,0))*IF($A50="Residential",'General Inputs'!F$15,'General Inputs'!F$19)</f>
        <v>0</v>
      </c>
      <c r="CU50" s="214">
        <f>IF(AND(($E50+$C$1)&gt;CU$4,CU$4&gt;=$C$1),$H50,IF(AND(($D50+$C$1)&gt;CU$4,CU$4&gt;=$C$1),$G50,0))*IF($A50="Residential",'General Inputs'!G$15,'General Inputs'!G$19)</f>
        <v>0</v>
      </c>
      <c r="CV50" s="214">
        <f>IF(AND(($E50+$C$1)&gt;CV$4,CV$4&gt;=$C$1),$H50,IF(AND(($D50+$C$1)&gt;CV$4,CV$4&gt;=$C$1),$G50,0))*IF($A50="Residential",'General Inputs'!H$15,'General Inputs'!H$19)</f>
        <v>0</v>
      </c>
      <c r="CW50" s="214">
        <f>IF(AND(($E50+$C$1)&gt;CW$4,CW$4&gt;=$C$1),$H50,IF(AND(($D50+$C$1)&gt;CW$4,CW$4&gt;=$C$1),$G50,0))*IF($A50="Residential",'General Inputs'!I$15,'General Inputs'!I$19)</f>
        <v>0</v>
      </c>
      <c r="CX50" s="214">
        <f>IF(AND(($E50+$C$1)&gt;CX$4,CX$4&gt;=$C$1),$H50,IF(AND(($D50+$C$1)&gt;CX$4,CX$4&gt;=$C$1),$G50,0))*IF($A50="Residential",'General Inputs'!J$15,'General Inputs'!J$19)</f>
        <v>0</v>
      </c>
      <c r="CY50" s="214">
        <f>IF(AND(($E50+$C$1)&gt;CY$4,CY$4&gt;=$C$1),$H50,IF(AND(($D50+$C$1)&gt;CY$4,CY$4&gt;=$C$1),$G50,0))*IF($A50="Residential",'General Inputs'!K$15,'General Inputs'!K$19)</f>
        <v>0</v>
      </c>
      <c r="CZ50" s="214">
        <f>IF(AND(($E50+$C$1)&gt;CZ$4,CZ$4&gt;=$C$1),$H50,IF(AND(($D50+$C$1)&gt;CZ$4,CZ$4&gt;=$C$1),$G50,0))*IF($A50="Residential",'General Inputs'!L$15,'General Inputs'!L$19)</f>
        <v>0</v>
      </c>
      <c r="DA50" s="214">
        <f>IF(AND(($E50+$C$1)&gt;DA$4,DA$4&gt;=$C$1),$H50,IF(AND(($D50+$C$1)&gt;DA$4,DA$4&gt;=$C$1),$G50,0))*IF($A50="Residential",'General Inputs'!M$15,'General Inputs'!M$19)</f>
        <v>0</v>
      </c>
      <c r="DB50" s="214">
        <f>IF(AND(($E50+$C$1)&gt;DB$4,DB$4&gt;=$C$1),$H50,IF(AND(($D50+$C$1)&gt;DB$4,DB$4&gt;=$C$1),$G50,0))*IF($A50="Residential",'General Inputs'!N$15,'General Inputs'!N$19)</f>
        <v>0</v>
      </c>
      <c r="DC50" s="214">
        <f>IF(AND(($E50+$C$1)&gt;DC$4,DC$4&gt;=$C$1),$H50,IF(AND(($D50+$C$1)&gt;DC$4,DC$4&gt;=$C$1),$G50,0))*IF($A50="Residential",'General Inputs'!O$15,'General Inputs'!O$19)</f>
        <v>0</v>
      </c>
      <c r="DD50" s="214">
        <f>IF(AND(($E50+$C$1)&gt;DD$4,DD$4&gt;=$C$1),$H50,IF(AND(($D50+$C$1)&gt;DD$4,DD$4&gt;=$C$1),$G50,0))*IF($A50="Residential",'General Inputs'!P$15,'General Inputs'!P$19)</f>
        <v>0</v>
      </c>
      <c r="DE50" s="214">
        <f>IF(AND(($E50+$C$1)&gt;DE$4,DE$4&gt;=$C$1),$H50,IF(AND(($D50+$C$1)&gt;DE$4,DE$4&gt;=$C$1),$G50,0))*IF($A50="Residential",'General Inputs'!Q$15,'General Inputs'!Q$19)</f>
        <v>0</v>
      </c>
      <c r="DF50" s="214">
        <f>IF(AND(($E50+$C$1)&gt;DF$4,DF$4&gt;=$C$1),$H50,IF(AND(($D50+$C$1)&gt;DF$4,DF$4&gt;=$C$1),$G50,0))*IF($A50="Residential",'General Inputs'!R$15,'General Inputs'!R$19)</f>
        <v>0</v>
      </c>
      <c r="DG50" s="214">
        <f>IF(AND(($E50+$C$1)&gt;DG$4,DG$4&gt;=$C$1),$H50,IF(AND(($D50+$C$1)&gt;DG$4,DG$4&gt;=$C$1),$G50,0))*IF($A50="Residential",'General Inputs'!S$15,'General Inputs'!S$19)</f>
        <v>0</v>
      </c>
      <c r="DH50" s="214">
        <f>IF(AND(($E50+$C$1)&gt;DH$4,DH$4&gt;=$C$1),$H50,IF(AND(($D50+$C$1)&gt;DH$4,DH$4&gt;=$C$1),$G50,0))*IF($A50="Residential",'General Inputs'!T$15,'General Inputs'!T$19)</f>
        <v>0</v>
      </c>
      <c r="DI50" s="214">
        <f>IF(AND(($E50+$C$1)&gt;DI$4,DI$4&gt;=$C$1),$H50,IF(AND(($D50+$C$1)&gt;DI$4,DI$4&gt;=$C$1),$G50,0))*IF($A50="Residential",'General Inputs'!U$15,'General Inputs'!U$19)</f>
        <v>0</v>
      </c>
      <c r="DJ50" s="214">
        <f>IF(AND(($E50+$C$1)&gt;DJ$4,DJ$4&gt;=$C$1),$H50,IF(AND(($D50+$C$1)&gt;DJ$4,DJ$4&gt;=$C$1),$G50,0))*IF($A50="Residential",'General Inputs'!V$15,'General Inputs'!V$19)</f>
        <v>0</v>
      </c>
      <c r="DK50" s="214">
        <f>IF(AND(($E50+$C$1)&gt;DK$4,DK$4&gt;=$C$1),$H50,IF(AND(($D50+$C$1)&gt;DK$4,DK$4&gt;=$C$1),$G50,0))*IF($A50="Residential",'General Inputs'!W$15,'General Inputs'!W$19)</f>
        <v>0</v>
      </c>
      <c r="DM50" s="214">
        <f t="shared" si="441"/>
        <v>0</v>
      </c>
      <c r="DN50" s="214">
        <f t="shared" si="441"/>
        <v>0</v>
      </c>
      <c r="DO50" s="214">
        <f t="shared" si="441"/>
        <v>0</v>
      </c>
      <c r="DP50" s="214">
        <f t="shared" si="441"/>
        <v>0</v>
      </c>
      <c r="DQ50" s="214">
        <f t="shared" si="441"/>
        <v>0</v>
      </c>
      <c r="DR50" s="214">
        <f t="shared" si="441"/>
        <v>0</v>
      </c>
      <c r="DS50" s="214">
        <f t="shared" si="441"/>
        <v>0</v>
      </c>
      <c r="DT50" s="214">
        <f t="shared" si="441"/>
        <v>0</v>
      </c>
      <c r="DU50" s="214">
        <f t="shared" si="441"/>
        <v>0</v>
      </c>
      <c r="DV50" s="214">
        <f t="shared" si="441"/>
        <v>0</v>
      </c>
      <c r="DW50" s="214">
        <f t="shared" si="441"/>
        <v>0</v>
      </c>
      <c r="DZ50" s="650"/>
      <c r="FI50" s="195"/>
      <c r="FJ50" s="195"/>
      <c r="FK50" s="195"/>
      <c r="FL50" s="195"/>
      <c r="FM50" s="195"/>
      <c r="FN50" s="195"/>
      <c r="FO50" s="195"/>
    </row>
    <row r="51" spans="1:171">
      <c r="A51" s="342" t="s">
        <v>112</v>
      </c>
      <c r="B51" s="427" t="str">
        <f>'Portfolio Inputs'!A50</f>
        <v>T8 (5-8 ft, 1-2 Lamp)</v>
      </c>
      <c r="C51" s="217">
        <f>IF($C$1=2014,'Portfolio Inputs'!$C50,IF($C$1=2015,'Portfolio Inputs'!$D50,'Portfolio Inputs'!$E50))</f>
        <v>12</v>
      </c>
      <c r="D51" s="504">
        <f>VLOOKUP(B51,Sources!$B$4:$J$104,2,FALSE)</f>
        <v>18</v>
      </c>
      <c r="E51" s="504">
        <f>VLOOKUP(B51,Sources!$B$4:$J$104,3,FALSE)</f>
        <v>0</v>
      </c>
      <c r="G51" s="504">
        <f>IF($C$1=2014,'Portfolio Inputs'!$G50,IF($C$1=2015,'Portfolio Inputs'!$H50,'Portfolio Inputs'!$I50))*EnergyLineLoss</f>
        <v>4182.8696999999993</v>
      </c>
      <c r="H51" s="504"/>
      <c r="I51" s="595">
        <f>IF($C$1=2014,'Portfolio Inputs'!$K50,IF($C$1=2015,'Portfolio Inputs'!$L50,'Portfolio Inputs'!$M50))*PeakLineLoss</f>
        <v>0.64679472000000005</v>
      </c>
      <c r="J51" s="510"/>
      <c r="L51" s="606">
        <f>IF($C$1=2014,'Portfolio Inputs'!$O50,IF($C$1=2015,'Portfolio Inputs'!$P50,'Portfolio Inputs'!$Q50))</f>
        <v>93</v>
      </c>
      <c r="M51" s="518">
        <f>VLOOKUP($B51,Sources!$B$4:$K$104,10,FALSE)</f>
        <v>0</v>
      </c>
      <c r="N51" s="419">
        <f>IF($C$1=2014,'Portfolio Inputs'!$W50,IF($C$1=2015,'Portfolio Inputs'!$X50,'Portfolio Inputs'!$Y50))</f>
        <v>96</v>
      </c>
      <c r="O51" s="419">
        <f>IF($C$1=2014,'Portfolio Inputs'!$AA50,IF($C$1=2015,'Portfolio Inputs'!$AB50,'Portfolio Inputs'!$AC50))</f>
        <v>0</v>
      </c>
      <c r="Q51" s="438">
        <f t="shared" si="442"/>
        <v>1.6750781376688908</v>
      </c>
      <c r="R51" s="439">
        <f t="shared" si="443"/>
        <v>19.472783350400857</v>
      </c>
      <c r="S51" s="439">
        <f t="shared" si="444"/>
        <v>2.0866437375482167</v>
      </c>
      <c r="T51" s="439">
        <f t="shared" si="445"/>
        <v>4.2398240730025574</v>
      </c>
      <c r="U51" s="439">
        <f t="shared" si="446"/>
        <v>4.2398240730025574</v>
      </c>
      <c r="V51" s="439">
        <f t="shared" si="447"/>
        <v>0.39508199133428534</v>
      </c>
      <c r="W51" s="439">
        <f t="shared" si="448"/>
        <v>0.39508199133428534</v>
      </c>
      <c r="Y51" s="215">
        <f t="shared" si="449"/>
        <v>1869.3872016384821</v>
      </c>
      <c r="Z51" s="215">
        <f t="shared" si="450"/>
        <v>459.3072094653275</v>
      </c>
      <c r="AA51" s="215">
        <f t="shared" si="451"/>
        <v>4635.6436654708541</v>
      </c>
      <c r="AB51" s="215">
        <f t="shared" si="452"/>
        <v>4635.6436654708541</v>
      </c>
      <c r="AC51" s="216">
        <f t="shared" si="453"/>
        <v>0</v>
      </c>
      <c r="AD51" s="216">
        <f t="shared" si="454"/>
        <v>96</v>
      </c>
      <c r="AE51" s="215">
        <f t="shared" si="455"/>
        <v>1116</v>
      </c>
      <c r="AG51" s="214">
        <f>IF(AND(($E51+$C$1)&gt;AG$4,AG$4&gt;=$C$1),'General Inputs'!D$9*$H51,IF(AND(($D51+$C$1)&gt;AG$4,AG$4&gt;=$C$1),'General Inputs'!D$9*$G51,0))+IF(AND(($E51+$C$1)&gt;AG$4,AG$4&gt;=$C$1),'General Inputs'!D$10*$J51,IF(AND(($D51+$C$1)&gt;AG$4,AG$4&gt;=$C$1),'General Inputs'!D$10*$I51,0))</f>
        <v>176.21466606769374</v>
      </c>
      <c r="AH51" s="214">
        <f>IF(AND(($E51+$C$1)&gt;AH$4,AH$4&gt;=$C$1),'General Inputs'!E$9*$H51,IF(AND(($D51+$C$1)&gt;AH$4,AH$4&gt;=$C$1),'General Inputs'!E$9*$G51,0))+IF(AND(($E51+$C$1)&gt;AH$4,AH$4&gt;=$C$1),'General Inputs'!E$10*$J51,IF(AND(($D51+$C$1)&gt;AH$4,AH$4&gt;=$C$1),'General Inputs'!E$10*$I51,0))</f>
        <v>178.85788605870914</v>
      </c>
      <c r="AI51" s="214">
        <f>IF(AND(($E51+$C$1)&gt;AI$4,AI$4&gt;=$C$1),'General Inputs'!F$9*$H51,IF(AND(($D51+$C$1)&gt;AI$4,AI$4&gt;=$C$1),'General Inputs'!F$9*$G51,0))+IF(AND(($E51+$C$1)&gt;AI$4,AI$4&gt;=$C$1),'General Inputs'!F$10*$J51,IF(AND(($D51+$C$1)&gt;AI$4,AI$4&gt;=$C$1),'General Inputs'!F$10*$I51,0))</f>
        <v>181.54075434958975</v>
      </c>
      <c r="AJ51" s="214">
        <f>IF(AND(($E51+$C$1)&gt;AJ$4,AJ$4&gt;=$C$1),'General Inputs'!G$9*$H51,IF(AND(($D51+$C$1)&gt;AJ$4,AJ$4&gt;=$C$1),'General Inputs'!G$9*$G51,0))+IF(AND(($E51+$C$1)&gt;AJ$4,AJ$4&gt;=$C$1),'General Inputs'!G$10*$J51,IF(AND(($D51+$C$1)&gt;AJ$4,AJ$4&gt;=$C$1),'General Inputs'!G$10*$I51,0))</f>
        <v>184.26386566483359</v>
      </c>
      <c r="AK51" s="214">
        <f>IF(AND(($E51+$C$1)&gt;AK$4,AK$4&gt;=$C$1),'General Inputs'!H$9*$H51,IF(AND(($D51+$C$1)&gt;AK$4,AK$4&gt;=$C$1),'General Inputs'!H$9*$G51,0))+IF(AND(($E51+$C$1)&gt;AK$4,AK$4&gt;=$C$1),'General Inputs'!H$10*$J51,IF(AND(($D51+$C$1)&gt;AK$4,AK$4&gt;=$C$1),'General Inputs'!H$10*$I51,0))</f>
        <v>187.02782364980604</v>
      </c>
      <c r="AL51" s="214">
        <f>IF(AND(($E51+$C$1)&gt;AL$4,AL$4&gt;=$C$1),'General Inputs'!I$9*$H51,IF(AND(($D51+$C$1)&gt;AL$4,AL$4&gt;=$C$1),'General Inputs'!I$9*$G51,0))+IF(AND(($E51+$C$1)&gt;AL$4,AL$4&gt;=$C$1),'General Inputs'!I$10*$J51,IF(AND(($D51+$C$1)&gt;AL$4,AL$4&gt;=$C$1),'General Inputs'!I$10*$I51,0))</f>
        <v>189.83324100455312</v>
      </c>
      <c r="AM51" s="214">
        <f>IF(AND(($E51+$C$1)&gt;AM$4,AM$4&gt;=$C$1),'General Inputs'!J$9*$H51,IF(AND(($D51+$C$1)&gt;AM$4,AM$4&gt;=$C$1),'General Inputs'!J$9*$G51,0))+IF(AND(($E51+$C$1)&gt;AM$4,AM$4&gt;=$C$1),'General Inputs'!J$10*$J51,IF(AND(($D51+$C$1)&gt;AM$4,AM$4&gt;=$C$1),'General Inputs'!J$10*$I51,0))</f>
        <v>192.68073961962139</v>
      </c>
      <c r="AN51" s="214">
        <f>IF(AND(($E51+$C$1)&gt;AN$4,AN$4&gt;=$C$1),'General Inputs'!K$9*$H51,IF(AND(($D51+$C$1)&gt;AN$4,AN$4&gt;=$C$1),'General Inputs'!K$9*$G51,0))+IF(AND(($E51+$C$1)&gt;AN$4,AN$4&gt;=$C$1),'General Inputs'!K$10*$J51,IF(AND(($D51+$C$1)&gt;AN$4,AN$4&gt;=$C$1),'General Inputs'!K$10*$I51,0))</f>
        <v>195.57095071391569</v>
      </c>
      <c r="AO51" s="214">
        <f>IF(AND(($E51+$C$1)&gt;AO$4,AO$4&gt;=$C$1),'General Inputs'!L$9*$H51,IF(AND(($D51+$C$1)&gt;AO$4,AO$4&gt;=$C$1),'General Inputs'!L$9*$G51,0))+IF(AND(($E51+$C$1)&gt;AO$4,AO$4&gt;=$C$1),'General Inputs'!L$10*$J51,IF(AND(($D51+$C$1)&gt;AO$4,AO$4&gt;=$C$1),'General Inputs'!L$10*$I51,0))</f>
        <v>198.50451497462439</v>
      </c>
      <c r="AP51" s="214">
        <f>IF(AND(($E51+$C$1)&gt;AP$4,AP$4&gt;=$C$1),'General Inputs'!M$9*$H51,IF(AND(($D51+$C$1)&gt;AP$4,AP$4&gt;=$C$1),'General Inputs'!M$9*$G51,0))+IF(AND(($E51+$C$1)&gt;AP$4,AP$4&gt;=$C$1),'General Inputs'!M$10*$J51,IF(AND(($D51+$C$1)&gt;AP$4,AP$4&gt;=$C$1),'General Inputs'!M$10*$I51,0))</f>
        <v>201.48208269924373</v>
      </c>
      <c r="AQ51" s="214">
        <f>IF(AND(($E51+$C$1)&gt;AQ$4,AQ$4&gt;=$C$1),'General Inputs'!N$9*$H51,IF(AND(($D51+$C$1)&gt;AQ$4,AQ$4&gt;=$C$1),'General Inputs'!N$9*$G51,0))+IF(AND(($E51+$C$1)&gt;AQ$4,AQ$4&gt;=$C$1),'General Inputs'!N$10*$J51,IF(AND(($D51+$C$1)&gt;AQ$4,AQ$4&gt;=$C$1),'General Inputs'!N$10*$I51,0))</f>
        <v>204.50431393973238</v>
      </c>
      <c r="AR51" s="214">
        <f>IF(AND(($E51+$C$1)&gt;AR$4,AR$4&gt;=$C$1),'General Inputs'!O$9*$H51,IF(AND(($D51+$C$1)&gt;AR$4,AR$4&gt;=$C$1),'General Inputs'!O$9*$G51,0))+IF(AND(($E51+$C$1)&gt;AR$4,AR$4&gt;=$C$1),'General Inputs'!O$10*$J51,IF(AND(($D51+$C$1)&gt;AR$4,AR$4&gt;=$C$1),'General Inputs'!O$10*$I51,0))</f>
        <v>207.57187864882835</v>
      </c>
      <c r="AS51" s="214">
        <f>IF(AND(($E51+$C$1)&gt;AS$4,AS$4&gt;=$C$1),'General Inputs'!P$9*$H51,IF(AND(($D51+$C$1)&gt;AS$4,AS$4&gt;=$C$1),'General Inputs'!P$9*$G51,0))+IF(AND(($E51+$C$1)&gt;AS$4,AS$4&gt;=$C$1),'General Inputs'!P$10*$J51,IF(AND(($D51+$C$1)&gt;AS$4,AS$4&gt;=$C$1),'General Inputs'!P$10*$I51,0))</f>
        <v>210.68545682856075</v>
      </c>
      <c r="AT51" s="214">
        <f>IF(AND(($E51+$C$1)&gt;AT$4,AT$4&gt;=$C$1),'General Inputs'!Q$9*$H51,IF(AND(($D51+$C$1)&gt;AT$4,AT$4&gt;=$C$1),'General Inputs'!Q$9*$G51,0))+IF(AND(($E51+$C$1)&gt;AT$4,AT$4&gt;=$C$1),'General Inputs'!Q$10*$J51,IF(AND(($D51+$C$1)&gt;AT$4,AT$4&gt;=$C$1),'General Inputs'!Q$10*$I51,0))</f>
        <v>213.84573868098917</v>
      </c>
      <c r="AU51" s="214">
        <f>IF(AND(($E51+$C$1)&gt;AU$4,AU$4&gt;=$C$1),'General Inputs'!R$9*$H51,IF(AND(($D51+$C$1)&gt;AU$4,AU$4&gt;=$C$1),'General Inputs'!R$9*$G51,0))+IF(AND(($E51+$C$1)&gt;AU$4,AU$4&gt;=$C$1),'General Inputs'!R$10*$J51,IF(AND(($D51+$C$1)&gt;AU$4,AU$4&gt;=$C$1),'General Inputs'!R$10*$I51,0))</f>
        <v>217.05342476120396</v>
      </c>
      <c r="AV51" s="214">
        <f>IF(AND(($E51+$C$1)&gt;AV$4,AV$4&gt;=$C$1),'General Inputs'!S$9*$H51,IF(AND(($D51+$C$1)&gt;AV$4,AV$4&gt;=$C$1),'General Inputs'!S$9*$G51,0))+IF(AND(($E51+$C$1)&gt;AV$4,AV$4&gt;=$C$1),'General Inputs'!S$10*$J51,IF(AND(($D51+$C$1)&gt;AV$4,AV$4&gt;=$C$1),'General Inputs'!S$10*$I51,0))</f>
        <v>220.30922613262203</v>
      </c>
      <c r="AW51" s="214">
        <f>IF(AND(($E51+$C$1)&gt;AW$4,AW$4&gt;=$C$1),'General Inputs'!T$9*$H51,IF(AND(($D51+$C$1)&gt;AW$4,AW$4&gt;=$C$1),'General Inputs'!T$9*$G51,0))+IF(AND(($E51+$C$1)&gt;AW$4,AW$4&gt;=$C$1),'General Inputs'!T$10*$J51,IF(AND(($D51+$C$1)&gt;AW$4,AW$4&gt;=$C$1),'General Inputs'!T$10*$I51,0))</f>
        <v>223.61386452461133</v>
      </c>
      <c r="AX51" s="214">
        <f>IF(AND(($E51+$C$1)&gt;AX$4,AX$4&gt;=$C$1),'General Inputs'!U$9*$H51,IF(AND(($D51+$C$1)&gt;AX$4,AX$4&gt;=$C$1),'General Inputs'!U$9*$G51,0))+IF(AND(($E51+$C$1)&gt;AX$4,AX$4&gt;=$C$1),'General Inputs'!U$10*$J51,IF(AND(($D51+$C$1)&gt;AX$4,AX$4&gt;=$C$1),'General Inputs'!U$10*$I51,0))</f>
        <v>226.9680724924805</v>
      </c>
      <c r="AY51" s="214">
        <f>IF(AND(($E51+$C$1)&gt;AY$4,AY$4&gt;=$C$1),'General Inputs'!V$9*$H51,IF(AND(($D51+$C$1)&gt;AY$4,AY$4&gt;=$C$1),'General Inputs'!V$9*$G51,0))+IF(AND(($E51+$C$1)&gt;AY$4,AY$4&gt;=$C$1),'General Inputs'!V$10*$J51,IF(AND(($D51+$C$1)&gt;AY$4,AY$4&gt;=$C$1),'General Inputs'!V$10*$I51,0))</f>
        <v>0</v>
      </c>
      <c r="AZ51" s="214">
        <f>IF(AND(($E51+$C$1)&gt;AZ$4,AZ$4&gt;=$C$1),'General Inputs'!W$9*$H51,IF(AND(($D51+$C$1)&gt;AZ$4,AZ$4&gt;=$C$1),'General Inputs'!W$9*$G51,0))+IF(AND(($E51+$C$1)&gt;AZ$4,AZ$4&gt;=$C$1),'General Inputs'!W$10*$J51,IF(AND(($D51+$C$1)&gt;AZ$4,AZ$4&gt;=$C$1),'General Inputs'!W$10*$I51,0))</f>
        <v>0</v>
      </c>
      <c r="BB51" s="214">
        <f>IF(AND(($E51+$C$1)&gt;BB$4,BB$4&gt;=$C$1),'General Inputs'!D$11*$H51,IF(AND(($D51+$C$1)&gt;BB$4,BB$4&gt;=$C$1),'General Inputs'!D$11*$G51,0))</f>
        <v>47.684714579999991</v>
      </c>
      <c r="BC51" s="214">
        <f>IF(AND(($E51+$C$1)&gt;BC$4,BC$4&gt;=$C$1),'General Inputs'!E$11*$H51,IF(AND(($D51+$C$1)&gt;BC$4,BC$4&gt;=$C$1),'General Inputs'!E$11*$G51,0))</f>
        <v>47.684714579999991</v>
      </c>
      <c r="BD51" s="214">
        <f>IF(AND(($E51+$C$1)&gt;BD$4,BD$4&gt;=$C$1),'General Inputs'!F$11*$H51,IF(AND(($D51+$C$1)&gt;BD$4,BD$4&gt;=$C$1),'General Inputs'!F$11*$G51,0))</f>
        <v>47.684714579999991</v>
      </c>
      <c r="BE51" s="214">
        <f>IF(AND(($E51+$C$1)&gt;BE$4,BE$4&gt;=$C$1),'General Inputs'!G$11*$H51,IF(AND(($D51+$C$1)&gt;BE$4,BE$4&gt;=$C$1),'General Inputs'!G$11*$G51,0))</f>
        <v>47.684714579999991</v>
      </c>
      <c r="BF51" s="214">
        <f>IF(AND(($E51+$C$1)&gt;BF$4,BF$4&gt;=$C$1),'General Inputs'!H$11*$H51,IF(AND(($D51+$C$1)&gt;BF$4,BF$4&gt;=$C$1),'General Inputs'!H$11*$G51,0))</f>
        <v>47.684714579999991</v>
      </c>
      <c r="BG51" s="214">
        <f>IF(AND(($E51+$C$1)&gt;BG$4,BG$4&gt;=$C$1),'General Inputs'!I$11*$H51,IF(AND(($D51+$C$1)&gt;BG$4,BG$4&gt;=$C$1),'General Inputs'!I$11*$G51,0))</f>
        <v>47.684714579999991</v>
      </c>
      <c r="BH51" s="214">
        <f>IF(AND(($E51+$C$1)&gt;BH$4,BH$4&gt;=$C$1),'General Inputs'!J$11*$H51,IF(AND(($D51+$C$1)&gt;BH$4,BH$4&gt;=$C$1),'General Inputs'!J$11*$G51,0))</f>
        <v>47.684714579999991</v>
      </c>
      <c r="BI51" s="214">
        <f>IF(AND(($E51+$C$1)&gt;BI$4,BI$4&gt;=$C$1),'General Inputs'!K$11*$H51,IF(AND(($D51+$C$1)&gt;BI$4,BI$4&gt;=$C$1),'General Inputs'!K$11*$G51,0))</f>
        <v>47.684714579999991</v>
      </c>
      <c r="BJ51" s="214">
        <f>IF(AND(($E51+$C$1)&gt;BJ$4,BJ$4&gt;=$C$1),'General Inputs'!L$11*$H51,IF(AND(($D51+$C$1)&gt;BJ$4,BJ$4&gt;=$C$1),'General Inputs'!L$11*$G51,0))</f>
        <v>47.684714579999991</v>
      </c>
      <c r="BK51" s="214">
        <f>IF(AND(($E51+$C$1)&gt;BK$4,BK$4&gt;=$C$1),'General Inputs'!M$11*$H51,IF(AND(($D51+$C$1)&gt;BK$4,BK$4&gt;=$C$1),'General Inputs'!M$11*$G51,0))</f>
        <v>47.684714579999991</v>
      </c>
      <c r="BL51" s="214">
        <f>IF(AND(($E51+$C$1)&gt;BL$4,BL$4&gt;=$C$1),'General Inputs'!N$11*$H51,IF(AND(($D51+$C$1)&gt;BL$4,BL$4&gt;=$C$1),'General Inputs'!N$11*$G51,0))</f>
        <v>47.684714579999991</v>
      </c>
      <c r="BM51" s="214">
        <f>IF(AND(($E51+$C$1)&gt;BM$4,BM$4&gt;=$C$1),'General Inputs'!O$11*$H51,IF(AND(($D51+$C$1)&gt;BM$4,BM$4&gt;=$C$1),'General Inputs'!O$11*$G51,0))</f>
        <v>47.684714579999991</v>
      </c>
      <c r="BN51" s="214">
        <f>IF(AND(($E51+$C$1)&gt;BN$4,BN$4&gt;=$C$1),'General Inputs'!P$11*$H51,IF(AND(($D51+$C$1)&gt;BN$4,BN$4&gt;=$C$1),'General Inputs'!P$11*$G51,0))</f>
        <v>47.684714579999991</v>
      </c>
      <c r="BO51" s="214">
        <f>IF(AND(($E51+$C$1)&gt;BO$4,BO$4&gt;=$C$1),'General Inputs'!Q$11*$H51,IF(AND(($D51+$C$1)&gt;BO$4,BO$4&gt;=$C$1),'General Inputs'!Q$11*$G51,0))</f>
        <v>47.684714579999991</v>
      </c>
      <c r="BP51" s="214">
        <f>IF(AND(($E51+$C$1)&gt;BP$4,BP$4&gt;=$C$1),'General Inputs'!R$11*$H51,IF(AND(($D51+$C$1)&gt;BP$4,BP$4&gt;=$C$1),'General Inputs'!R$11*$G51,0))</f>
        <v>47.684714579999991</v>
      </c>
      <c r="BQ51" s="214">
        <f>IF(AND(($E51+$C$1)&gt;BQ$4,BQ$4&gt;=$C$1),'General Inputs'!S$11*$H51,IF(AND(($D51+$C$1)&gt;BQ$4,BQ$4&gt;=$C$1),'General Inputs'!S$11*$G51,0))</f>
        <v>47.684714579999991</v>
      </c>
      <c r="BR51" s="214">
        <f>IF(AND(($E51+$C$1)&gt;BR$4,BR$4&gt;=$C$1),'General Inputs'!T$11*$H51,IF(AND(($D51+$C$1)&gt;BR$4,BR$4&gt;=$C$1),'General Inputs'!T$11*$G51,0))</f>
        <v>47.684714579999991</v>
      </c>
      <c r="BS51" s="214">
        <f>IF(AND(($E51+$C$1)&gt;BS$4,BS$4&gt;=$C$1),'General Inputs'!U$11*$H51,IF(AND(($D51+$C$1)&gt;BS$4,BS$4&gt;=$C$1),'General Inputs'!U$11*$G51,0))</f>
        <v>47.684714579999991</v>
      </c>
      <c r="BT51" s="214">
        <f>IF(AND(($E51+$C$1)&gt;BT$4,BT$4&gt;=$C$1),'General Inputs'!V$11*$H51,IF(AND(($D51+$C$1)&gt;BT$4,BT$4&gt;=$C$1),'General Inputs'!V$11*$G51,0))</f>
        <v>0</v>
      </c>
      <c r="BU51" s="214">
        <f>IF(AND(($E51+$C$1)&gt;BU$4,BU$4&gt;=$C$1),'General Inputs'!W$11*$H51,IF(AND(($D51+$C$1)&gt;BU$4,BU$4&gt;=$C$1),'General Inputs'!W$11*$G51,0))</f>
        <v>0</v>
      </c>
      <c r="BW51" s="214">
        <f>IF(AND(($E51+$C$1)&gt;BW$4,BW$4&gt;=$C$1),$H51,IF(AND(($D51+$C$1)&gt;BW$4,BW$4&gt;=$C$1),$G51,0))*IF($A51="Residential",'General Inputs'!D$14,'General Inputs'!D$19)</f>
        <v>436.97121698693394</v>
      </c>
      <c r="BX51" s="214">
        <f>IF(AND(($E51+$C$1)&gt;BX$4,BX$4&gt;=$C$1),$H51,IF(AND(($D51+$C$1)&gt;BX$4,BX$4&gt;=$C$1),$G51,0))*IF($A51="Residential",'General Inputs'!E$14,'General Inputs'!E$19)</f>
        <v>443.52578524173788</v>
      </c>
      <c r="BY51" s="214">
        <f>IF(AND(($E51+$C$1)&gt;BY$4,BY$4&gt;=$C$1),$H51,IF(AND(($D51+$C$1)&gt;BY$4,BY$4&gt;=$C$1),$G51,0))*IF($A51="Residential",'General Inputs'!F$14,'General Inputs'!F$19)</f>
        <v>450.17867202036399</v>
      </c>
      <c r="BZ51" s="214">
        <f>IF(AND(($E51+$C$1)&gt;BZ$4,BZ$4&gt;=$C$1),$H51,IF(AND(($D51+$C$1)&gt;BZ$4,BZ$4&gt;=$C$1),$G51,0))*IF($A51="Residential",'General Inputs'!G$14,'General Inputs'!G$19)</f>
        <v>456.93135210066941</v>
      </c>
      <c r="CA51" s="214">
        <f>IF(AND(($E51+$C$1)&gt;CA$4,CA$4&gt;=$C$1),$H51,IF(AND(($D51+$C$1)&gt;CA$4,CA$4&gt;=$C$1),$G51,0))*IF($A51="Residential",'General Inputs'!H$14,'General Inputs'!H$19)</f>
        <v>463.78532238217934</v>
      </c>
      <c r="CB51" s="214">
        <f>IF(AND(($E51+$C$1)&gt;CB$4,CB$4&gt;=$C$1),$H51,IF(AND(($D51+$C$1)&gt;CB$4,CB$4&gt;=$C$1),$G51,0))*IF($A51="Residential",'General Inputs'!I$14,'General Inputs'!I$19)</f>
        <v>470.74210221791196</v>
      </c>
      <c r="CC51" s="214">
        <f>IF(AND(($E51+$C$1)&gt;CC$4,CC$4&gt;=$C$1),$H51,IF(AND(($D51+$C$1)&gt;CC$4,CC$4&gt;=$C$1),$G51,0))*IF($A51="Residential",'General Inputs'!J$14,'General Inputs'!J$19)</f>
        <v>477.80323375118064</v>
      </c>
      <c r="CD51" s="214">
        <f>IF(AND(($E51+$C$1)&gt;CD$4,CD$4&gt;=$C$1),$H51,IF(AND(($D51+$C$1)&gt;CD$4,CD$4&gt;=$C$1),$G51,0))*IF($A51="Residential",'General Inputs'!K$14,'General Inputs'!K$19)</f>
        <v>484.97028225744828</v>
      </c>
      <c r="CE51" s="214">
        <f>IF(AND(($E51+$C$1)&gt;CE$4,CE$4&gt;=$C$1),$H51,IF(AND(($D51+$C$1)&gt;CE$4,CE$4&gt;=$C$1),$G51,0))*IF($A51="Residential",'General Inputs'!L$14,'General Inputs'!L$19)</f>
        <v>492.24483649130997</v>
      </c>
      <c r="CF51" s="214">
        <f>IF(AND(($E51+$C$1)&gt;CF$4,CF$4&gt;=$C$1),$H51,IF(AND(($D51+$C$1)&gt;CF$4,CF$4&gt;=$C$1),$G51,0))*IF($A51="Residential",'General Inputs'!M$14,'General Inputs'!M$19)</f>
        <v>499.62850903867957</v>
      </c>
      <c r="CG51" s="214">
        <f>IF(AND(($E51+$C$1)&gt;CG$4,CG$4&gt;=$C$1),$H51,IF(AND(($D51+$C$1)&gt;CG$4,CG$4&gt;=$C$1),$G51,0))*IF($A51="Residential",'General Inputs'!N$14,'General Inputs'!N$19)</f>
        <v>507.12293667425973</v>
      </c>
      <c r="CH51" s="214">
        <f>IF(AND(($E51+$C$1)&gt;CH$4,CH$4&gt;=$C$1),$H51,IF(AND(($D51+$C$1)&gt;CH$4,CH$4&gt;=$C$1),$G51,0))*IF($A51="Residential",'General Inputs'!O$14,'General Inputs'!O$19)</f>
        <v>514.72978072437354</v>
      </c>
      <c r="CI51" s="214">
        <f>IF(AND(($E51+$C$1)&gt;CI$4,CI$4&gt;=$C$1),$H51,IF(AND(($D51+$C$1)&gt;CI$4,CI$4&gt;=$C$1),$G51,0))*IF($A51="Residential",'General Inputs'!P$14,'General Inputs'!P$19)</f>
        <v>522.45072743523906</v>
      </c>
      <c r="CJ51" s="214">
        <f>IF(AND(($E51+$C$1)&gt;CJ$4,CJ$4&gt;=$C$1),$H51,IF(AND(($D51+$C$1)&gt;CJ$4,CJ$4&gt;=$C$1),$G51,0))*IF($A51="Residential",'General Inputs'!Q$14,'General Inputs'!Q$19)</f>
        <v>530.28748834676765</v>
      </c>
      <c r="CK51" s="214">
        <f>IF(AND(($E51+$C$1)&gt;CK$4,CK$4&gt;=$C$1),$H51,IF(AND(($D51+$C$1)&gt;CK$4,CK$4&gt;=$C$1),$G51,0))*IF($A51="Residential",'General Inputs'!R$14,'General Inputs'!R$19)</f>
        <v>538.24180067196903</v>
      </c>
      <c r="CL51" s="214">
        <f>IF(AND(($E51+$C$1)&gt;CL$4,CL$4&gt;=$C$1),$H51,IF(AND(($D51+$C$1)&gt;CL$4,CL$4&gt;=$C$1),$G51,0))*IF($A51="Residential",'General Inputs'!S$14,'General Inputs'!S$19)</f>
        <v>546.31542768204861</v>
      </c>
      <c r="CM51" s="214">
        <f>IF(AND(($E51+$C$1)&gt;CM$4,CM$4&gt;=$C$1),$H51,IF(AND(($D51+$C$1)&gt;CM$4,CM$4&gt;=$C$1),$G51,0))*IF($A51="Residential",'General Inputs'!T$14,'General Inputs'!T$19)</f>
        <v>554.51015909727926</v>
      </c>
      <c r="CN51" s="214">
        <f>IF(AND(($E51+$C$1)&gt;CN$4,CN$4&gt;=$C$1),$H51,IF(AND(($D51+$C$1)&gt;CN$4,CN$4&gt;=$C$1),$G51,0))*IF($A51="Residential",'General Inputs'!U$14,'General Inputs'!U$19)</f>
        <v>562.8278114837384</v>
      </c>
      <c r="CO51" s="214">
        <f>IF(AND(($E51+$C$1)&gt;CO$4,CO$4&gt;=$C$1),$H51,IF(AND(($D51+$C$1)&gt;CO$4,CO$4&gt;=$C$1),$G51,0))*IF($A51="Residential",'General Inputs'!V$14,'General Inputs'!V$19)</f>
        <v>0</v>
      </c>
      <c r="CP51" s="214">
        <f>IF(AND(($E51+$C$1)&gt;CP$4,CP$4&gt;=$C$1),$H51,IF(AND(($D51+$C$1)&gt;CP$4,CP$4&gt;=$C$1),$G51,0))*IF($A51="Residential",'General Inputs'!W$14,'General Inputs'!W$19)</f>
        <v>0</v>
      </c>
      <c r="CR51" s="214">
        <f>IF(AND(($E51+$C$1)&gt;CR$4,CR$4&gt;=$C$1),$H51,IF(AND(($D51+$C$1)&gt;CR$4,CR$4&gt;=$C$1),$G51,0))*IF($A51="Residential",'General Inputs'!D$15,'General Inputs'!D$19)</f>
        <v>436.97121698693394</v>
      </c>
      <c r="CS51" s="214">
        <f>IF(AND(($E51+$C$1)&gt;CS$4,CS$4&gt;=$C$1),$H51,IF(AND(($D51+$C$1)&gt;CS$4,CS$4&gt;=$C$1),$G51,0))*IF($A51="Residential",'General Inputs'!E$15,'General Inputs'!E$19)</f>
        <v>443.52578524173788</v>
      </c>
      <c r="CT51" s="214">
        <f>IF(AND(($E51+$C$1)&gt;CT$4,CT$4&gt;=$C$1),$H51,IF(AND(($D51+$C$1)&gt;CT$4,CT$4&gt;=$C$1),$G51,0))*IF($A51="Residential",'General Inputs'!F$15,'General Inputs'!F$19)</f>
        <v>450.17867202036399</v>
      </c>
      <c r="CU51" s="214">
        <f>IF(AND(($E51+$C$1)&gt;CU$4,CU$4&gt;=$C$1),$H51,IF(AND(($D51+$C$1)&gt;CU$4,CU$4&gt;=$C$1),$G51,0))*IF($A51="Residential",'General Inputs'!G$15,'General Inputs'!G$19)</f>
        <v>456.93135210066941</v>
      </c>
      <c r="CV51" s="214">
        <f>IF(AND(($E51+$C$1)&gt;CV$4,CV$4&gt;=$C$1),$H51,IF(AND(($D51+$C$1)&gt;CV$4,CV$4&gt;=$C$1),$G51,0))*IF($A51="Residential",'General Inputs'!H$15,'General Inputs'!H$19)</f>
        <v>463.78532238217934</v>
      </c>
      <c r="CW51" s="214">
        <f>IF(AND(($E51+$C$1)&gt;CW$4,CW$4&gt;=$C$1),$H51,IF(AND(($D51+$C$1)&gt;CW$4,CW$4&gt;=$C$1),$G51,0))*IF($A51="Residential",'General Inputs'!I$15,'General Inputs'!I$19)</f>
        <v>470.74210221791196</v>
      </c>
      <c r="CX51" s="214">
        <f>IF(AND(($E51+$C$1)&gt;CX$4,CX$4&gt;=$C$1),$H51,IF(AND(($D51+$C$1)&gt;CX$4,CX$4&gt;=$C$1),$G51,0))*IF($A51="Residential",'General Inputs'!J$15,'General Inputs'!J$19)</f>
        <v>477.80323375118064</v>
      </c>
      <c r="CY51" s="214">
        <f>IF(AND(($E51+$C$1)&gt;CY$4,CY$4&gt;=$C$1),$H51,IF(AND(($D51+$C$1)&gt;CY$4,CY$4&gt;=$C$1),$G51,0))*IF($A51="Residential",'General Inputs'!K$15,'General Inputs'!K$19)</f>
        <v>484.97028225744828</v>
      </c>
      <c r="CZ51" s="214">
        <f>IF(AND(($E51+$C$1)&gt;CZ$4,CZ$4&gt;=$C$1),$H51,IF(AND(($D51+$C$1)&gt;CZ$4,CZ$4&gt;=$C$1),$G51,0))*IF($A51="Residential",'General Inputs'!L$15,'General Inputs'!L$19)</f>
        <v>492.24483649130997</v>
      </c>
      <c r="DA51" s="214">
        <f>IF(AND(($E51+$C$1)&gt;DA$4,DA$4&gt;=$C$1),$H51,IF(AND(($D51+$C$1)&gt;DA$4,DA$4&gt;=$C$1),$G51,0))*IF($A51="Residential",'General Inputs'!M$15,'General Inputs'!M$19)</f>
        <v>499.62850903867957</v>
      </c>
      <c r="DB51" s="214">
        <f>IF(AND(($E51+$C$1)&gt;DB$4,DB$4&gt;=$C$1),$H51,IF(AND(($D51+$C$1)&gt;DB$4,DB$4&gt;=$C$1),$G51,0))*IF($A51="Residential",'General Inputs'!N$15,'General Inputs'!N$19)</f>
        <v>507.12293667425973</v>
      </c>
      <c r="DC51" s="214">
        <f>IF(AND(($E51+$C$1)&gt;DC$4,DC$4&gt;=$C$1),$H51,IF(AND(($D51+$C$1)&gt;DC$4,DC$4&gt;=$C$1),$G51,0))*IF($A51="Residential",'General Inputs'!O$15,'General Inputs'!O$19)</f>
        <v>514.72978072437354</v>
      </c>
      <c r="DD51" s="214">
        <f>IF(AND(($E51+$C$1)&gt;DD$4,DD$4&gt;=$C$1),$H51,IF(AND(($D51+$C$1)&gt;DD$4,DD$4&gt;=$C$1),$G51,0))*IF($A51="Residential",'General Inputs'!P$15,'General Inputs'!P$19)</f>
        <v>522.45072743523906</v>
      </c>
      <c r="DE51" s="214">
        <f>IF(AND(($E51+$C$1)&gt;DE$4,DE$4&gt;=$C$1),$H51,IF(AND(($D51+$C$1)&gt;DE$4,DE$4&gt;=$C$1),$G51,0))*IF($A51="Residential",'General Inputs'!Q$15,'General Inputs'!Q$19)</f>
        <v>530.28748834676765</v>
      </c>
      <c r="DF51" s="214">
        <f>IF(AND(($E51+$C$1)&gt;DF$4,DF$4&gt;=$C$1),$H51,IF(AND(($D51+$C$1)&gt;DF$4,DF$4&gt;=$C$1),$G51,0))*IF($A51="Residential",'General Inputs'!R$15,'General Inputs'!R$19)</f>
        <v>538.24180067196903</v>
      </c>
      <c r="DG51" s="214">
        <f>IF(AND(($E51+$C$1)&gt;DG$4,DG$4&gt;=$C$1),$H51,IF(AND(($D51+$C$1)&gt;DG$4,DG$4&gt;=$C$1),$G51,0))*IF($A51="Residential",'General Inputs'!S$15,'General Inputs'!S$19)</f>
        <v>546.31542768204861</v>
      </c>
      <c r="DH51" s="214">
        <f>IF(AND(($E51+$C$1)&gt;DH$4,DH$4&gt;=$C$1),$H51,IF(AND(($D51+$C$1)&gt;DH$4,DH$4&gt;=$C$1),$G51,0))*IF($A51="Residential",'General Inputs'!T$15,'General Inputs'!T$19)</f>
        <v>554.51015909727926</v>
      </c>
      <c r="DI51" s="214">
        <f>IF(AND(($E51+$C$1)&gt;DI$4,DI$4&gt;=$C$1),$H51,IF(AND(($D51+$C$1)&gt;DI$4,DI$4&gt;=$C$1),$G51,0))*IF($A51="Residential",'General Inputs'!U$15,'General Inputs'!U$19)</f>
        <v>562.8278114837384</v>
      </c>
      <c r="DJ51" s="214">
        <f>IF(AND(($E51+$C$1)&gt;DJ$4,DJ$4&gt;=$C$1),$H51,IF(AND(($D51+$C$1)&gt;DJ$4,DJ$4&gt;=$C$1),$G51,0))*IF($A51="Residential",'General Inputs'!V$15,'General Inputs'!V$19)</f>
        <v>0</v>
      </c>
      <c r="DK51" s="214">
        <f>IF(AND(($E51+$C$1)&gt;DK$4,DK$4&gt;=$C$1),$H51,IF(AND(($D51+$C$1)&gt;DK$4,DK$4&gt;=$C$1),$G51,0))*IF($A51="Residential",'General Inputs'!W$15,'General Inputs'!W$19)</f>
        <v>0</v>
      </c>
      <c r="DM51" s="214">
        <f t="shared" si="441"/>
        <v>1116</v>
      </c>
      <c r="DN51" s="214">
        <f t="shared" si="441"/>
        <v>0</v>
      </c>
      <c r="DO51" s="214">
        <f t="shared" si="441"/>
        <v>0</v>
      </c>
      <c r="DP51" s="214">
        <f t="shared" si="441"/>
        <v>0</v>
      </c>
      <c r="DQ51" s="214">
        <f t="shared" si="441"/>
        <v>0</v>
      </c>
      <c r="DR51" s="214">
        <f t="shared" si="441"/>
        <v>0</v>
      </c>
      <c r="DS51" s="214">
        <f t="shared" si="441"/>
        <v>0</v>
      </c>
      <c r="DT51" s="214">
        <f t="shared" si="441"/>
        <v>0</v>
      </c>
      <c r="DU51" s="214">
        <f t="shared" si="441"/>
        <v>0</v>
      </c>
      <c r="DV51" s="214">
        <f t="shared" si="441"/>
        <v>0</v>
      </c>
      <c r="DW51" s="214">
        <f t="shared" si="441"/>
        <v>0</v>
      </c>
      <c r="DZ51" s="650"/>
      <c r="FI51" s="195"/>
      <c r="FJ51" s="195"/>
      <c r="FK51" s="195"/>
      <c r="FL51" s="195"/>
      <c r="FM51" s="195"/>
      <c r="FN51" s="195"/>
      <c r="FO51" s="195"/>
    </row>
    <row r="52" spans="1:171">
      <c r="A52" s="342" t="s">
        <v>112</v>
      </c>
      <c r="B52" s="427" t="str">
        <f>'Portfolio Inputs'!A51</f>
        <v>High Performance T8 (1-2 Lamp)</v>
      </c>
      <c r="C52" s="217">
        <f>IF($C$1=2014,'Portfolio Inputs'!$C51,IF($C$1=2015,'Portfolio Inputs'!$D51,'Portfolio Inputs'!$E51))</f>
        <v>0</v>
      </c>
      <c r="D52" s="504">
        <f>VLOOKUP(B52,Sources!$B$4:$J$104,2,FALSE)</f>
        <v>15</v>
      </c>
      <c r="E52" s="504">
        <f>VLOOKUP(B52,Sources!$B$4:$J$104,3,FALSE)</f>
        <v>0</v>
      </c>
      <c r="G52" s="504">
        <f>IF($C$1=2014,'Portfolio Inputs'!$G51,IF($C$1=2015,'Portfolio Inputs'!$H51,'Portfolio Inputs'!$I51))*EnergyLineLoss</f>
        <v>0</v>
      </c>
      <c r="H52" s="504"/>
      <c r="I52" s="595">
        <f>IF($C$1=2014,'Portfolio Inputs'!$K51,IF($C$1=2015,'Portfolio Inputs'!$L51,'Portfolio Inputs'!$M51))*PeakLineLoss</f>
        <v>0</v>
      </c>
      <c r="J52" s="510"/>
      <c r="L52" s="606">
        <f>IF($C$1=2014,'Portfolio Inputs'!$O51,IF($C$1=2015,'Portfolio Inputs'!$P51,'Portfolio Inputs'!$Q51))</f>
        <v>15</v>
      </c>
      <c r="M52" s="518">
        <f>VLOOKUP($B52,Sources!$B$4:$K$104,10,FALSE)</f>
        <v>0</v>
      </c>
      <c r="N52" s="419">
        <f>IF($C$1=2014,'Portfolio Inputs'!$W51,IF($C$1=2015,'Portfolio Inputs'!$X51,'Portfolio Inputs'!$Y51))</f>
        <v>0</v>
      </c>
      <c r="O52" s="419">
        <f>IF($C$1=2014,'Portfolio Inputs'!$AA51,IF($C$1=2015,'Portfolio Inputs'!$AB51,'Portfolio Inputs'!$AC51))</f>
        <v>0</v>
      </c>
      <c r="Q52" s="438" t="str">
        <f t="shared" si="442"/>
        <v>n/a</v>
      </c>
      <c r="R52" s="439" t="str">
        <f t="shared" si="443"/>
        <v>n/a</v>
      </c>
      <c r="S52" s="439" t="str">
        <f t="shared" si="444"/>
        <v>n/a</v>
      </c>
      <c r="T52" s="439" t="str">
        <f t="shared" si="445"/>
        <v>n/a</v>
      </c>
      <c r="U52" s="439" t="str">
        <f t="shared" si="446"/>
        <v>n/a</v>
      </c>
      <c r="V52" s="439" t="str">
        <f t="shared" si="447"/>
        <v>n/a</v>
      </c>
      <c r="W52" s="439" t="str">
        <f t="shared" si="448"/>
        <v>n/a</v>
      </c>
      <c r="Y52" s="215">
        <f t="shared" si="449"/>
        <v>0</v>
      </c>
      <c r="Z52" s="215">
        <f t="shared" si="450"/>
        <v>0</v>
      </c>
      <c r="AA52" s="215">
        <f t="shared" si="451"/>
        <v>0</v>
      </c>
      <c r="AB52" s="215">
        <f t="shared" si="452"/>
        <v>0</v>
      </c>
      <c r="AC52" s="216">
        <f t="shared" si="453"/>
        <v>0</v>
      </c>
      <c r="AD52" s="216">
        <f t="shared" si="454"/>
        <v>0</v>
      </c>
      <c r="AE52" s="215">
        <f t="shared" si="455"/>
        <v>0</v>
      </c>
      <c r="AG52" s="214">
        <f>IF(AND(($E52+$C$1)&gt;AG$4,AG$4&gt;=$C$1),'General Inputs'!D$9*$H52,IF(AND(($D52+$C$1)&gt;AG$4,AG$4&gt;=$C$1),'General Inputs'!D$9*$G52,0))+IF(AND(($E52+$C$1)&gt;AG$4,AG$4&gt;=$C$1),'General Inputs'!D$10*$J52,IF(AND(($D52+$C$1)&gt;AG$4,AG$4&gt;=$C$1),'General Inputs'!D$10*$I52,0))</f>
        <v>0</v>
      </c>
      <c r="AH52" s="214">
        <f>IF(AND(($E52+$C$1)&gt;AH$4,AH$4&gt;=$C$1),'General Inputs'!E$9*$H52,IF(AND(($D52+$C$1)&gt;AH$4,AH$4&gt;=$C$1),'General Inputs'!E$9*$G52,0))+IF(AND(($E52+$C$1)&gt;AH$4,AH$4&gt;=$C$1),'General Inputs'!E$10*$J52,IF(AND(($D52+$C$1)&gt;AH$4,AH$4&gt;=$C$1),'General Inputs'!E$10*$I52,0))</f>
        <v>0</v>
      </c>
      <c r="AI52" s="214">
        <f>IF(AND(($E52+$C$1)&gt;AI$4,AI$4&gt;=$C$1),'General Inputs'!F$9*$H52,IF(AND(($D52+$C$1)&gt;AI$4,AI$4&gt;=$C$1),'General Inputs'!F$9*$G52,0))+IF(AND(($E52+$C$1)&gt;AI$4,AI$4&gt;=$C$1),'General Inputs'!F$10*$J52,IF(AND(($D52+$C$1)&gt;AI$4,AI$4&gt;=$C$1),'General Inputs'!F$10*$I52,0))</f>
        <v>0</v>
      </c>
      <c r="AJ52" s="214">
        <f>IF(AND(($E52+$C$1)&gt;AJ$4,AJ$4&gt;=$C$1),'General Inputs'!G$9*$H52,IF(AND(($D52+$C$1)&gt;AJ$4,AJ$4&gt;=$C$1),'General Inputs'!G$9*$G52,0))+IF(AND(($E52+$C$1)&gt;AJ$4,AJ$4&gt;=$C$1),'General Inputs'!G$10*$J52,IF(AND(($D52+$C$1)&gt;AJ$4,AJ$4&gt;=$C$1),'General Inputs'!G$10*$I52,0))</f>
        <v>0</v>
      </c>
      <c r="AK52" s="214">
        <f>IF(AND(($E52+$C$1)&gt;AK$4,AK$4&gt;=$C$1),'General Inputs'!H$9*$H52,IF(AND(($D52+$C$1)&gt;AK$4,AK$4&gt;=$C$1),'General Inputs'!H$9*$G52,0))+IF(AND(($E52+$C$1)&gt;AK$4,AK$4&gt;=$C$1),'General Inputs'!H$10*$J52,IF(AND(($D52+$C$1)&gt;AK$4,AK$4&gt;=$C$1),'General Inputs'!H$10*$I52,0))</f>
        <v>0</v>
      </c>
      <c r="AL52" s="214">
        <f>IF(AND(($E52+$C$1)&gt;AL$4,AL$4&gt;=$C$1),'General Inputs'!I$9*$H52,IF(AND(($D52+$C$1)&gt;AL$4,AL$4&gt;=$C$1),'General Inputs'!I$9*$G52,0))+IF(AND(($E52+$C$1)&gt;AL$4,AL$4&gt;=$C$1),'General Inputs'!I$10*$J52,IF(AND(($D52+$C$1)&gt;AL$4,AL$4&gt;=$C$1),'General Inputs'!I$10*$I52,0))</f>
        <v>0</v>
      </c>
      <c r="AM52" s="214">
        <f>IF(AND(($E52+$C$1)&gt;AM$4,AM$4&gt;=$C$1),'General Inputs'!J$9*$H52,IF(AND(($D52+$C$1)&gt;AM$4,AM$4&gt;=$C$1),'General Inputs'!J$9*$G52,0))+IF(AND(($E52+$C$1)&gt;AM$4,AM$4&gt;=$C$1),'General Inputs'!J$10*$J52,IF(AND(($D52+$C$1)&gt;AM$4,AM$4&gt;=$C$1),'General Inputs'!J$10*$I52,0))</f>
        <v>0</v>
      </c>
      <c r="AN52" s="214">
        <f>IF(AND(($E52+$C$1)&gt;AN$4,AN$4&gt;=$C$1),'General Inputs'!K$9*$H52,IF(AND(($D52+$C$1)&gt;AN$4,AN$4&gt;=$C$1),'General Inputs'!K$9*$G52,0))+IF(AND(($E52+$C$1)&gt;AN$4,AN$4&gt;=$C$1),'General Inputs'!K$10*$J52,IF(AND(($D52+$C$1)&gt;AN$4,AN$4&gt;=$C$1),'General Inputs'!K$10*$I52,0))</f>
        <v>0</v>
      </c>
      <c r="AO52" s="214">
        <f>IF(AND(($E52+$C$1)&gt;AO$4,AO$4&gt;=$C$1),'General Inputs'!L$9*$H52,IF(AND(($D52+$C$1)&gt;AO$4,AO$4&gt;=$C$1),'General Inputs'!L$9*$G52,0))+IF(AND(($E52+$C$1)&gt;AO$4,AO$4&gt;=$C$1),'General Inputs'!L$10*$J52,IF(AND(($D52+$C$1)&gt;AO$4,AO$4&gt;=$C$1),'General Inputs'!L$10*$I52,0))</f>
        <v>0</v>
      </c>
      <c r="AP52" s="214">
        <f>IF(AND(($E52+$C$1)&gt;AP$4,AP$4&gt;=$C$1),'General Inputs'!M$9*$H52,IF(AND(($D52+$C$1)&gt;AP$4,AP$4&gt;=$C$1),'General Inputs'!M$9*$G52,0))+IF(AND(($E52+$C$1)&gt;AP$4,AP$4&gt;=$C$1),'General Inputs'!M$10*$J52,IF(AND(($D52+$C$1)&gt;AP$4,AP$4&gt;=$C$1),'General Inputs'!M$10*$I52,0))</f>
        <v>0</v>
      </c>
      <c r="AQ52" s="214">
        <f>IF(AND(($E52+$C$1)&gt;AQ$4,AQ$4&gt;=$C$1),'General Inputs'!N$9*$H52,IF(AND(($D52+$C$1)&gt;AQ$4,AQ$4&gt;=$C$1),'General Inputs'!N$9*$G52,0))+IF(AND(($E52+$C$1)&gt;AQ$4,AQ$4&gt;=$C$1),'General Inputs'!N$10*$J52,IF(AND(($D52+$C$1)&gt;AQ$4,AQ$4&gt;=$C$1),'General Inputs'!N$10*$I52,0))</f>
        <v>0</v>
      </c>
      <c r="AR52" s="214">
        <f>IF(AND(($E52+$C$1)&gt;AR$4,AR$4&gt;=$C$1),'General Inputs'!O$9*$H52,IF(AND(($D52+$C$1)&gt;AR$4,AR$4&gt;=$C$1),'General Inputs'!O$9*$G52,0))+IF(AND(($E52+$C$1)&gt;AR$4,AR$4&gt;=$C$1),'General Inputs'!O$10*$J52,IF(AND(($D52+$C$1)&gt;AR$4,AR$4&gt;=$C$1),'General Inputs'!O$10*$I52,0))</f>
        <v>0</v>
      </c>
      <c r="AS52" s="214">
        <f>IF(AND(($E52+$C$1)&gt;AS$4,AS$4&gt;=$C$1),'General Inputs'!P$9*$H52,IF(AND(($D52+$C$1)&gt;AS$4,AS$4&gt;=$C$1),'General Inputs'!P$9*$G52,0))+IF(AND(($E52+$C$1)&gt;AS$4,AS$4&gt;=$C$1),'General Inputs'!P$10*$J52,IF(AND(($D52+$C$1)&gt;AS$4,AS$4&gt;=$C$1),'General Inputs'!P$10*$I52,0))</f>
        <v>0</v>
      </c>
      <c r="AT52" s="214">
        <f>IF(AND(($E52+$C$1)&gt;AT$4,AT$4&gt;=$C$1),'General Inputs'!Q$9*$H52,IF(AND(($D52+$C$1)&gt;AT$4,AT$4&gt;=$C$1),'General Inputs'!Q$9*$G52,0))+IF(AND(($E52+$C$1)&gt;AT$4,AT$4&gt;=$C$1),'General Inputs'!Q$10*$J52,IF(AND(($D52+$C$1)&gt;AT$4,AT$4&gt;=$C$1),'General Inputs'!Q$10*$I52,0))</f>
        <v>0</v>
      </c>
      <c r="AU52" s="214">
        <f>IF(AND(($E52+$C$1)&gt;AU$4,AU$4&gt;=$C$1),'General Inputs'!R$9*$H52,IF(AND(($D52+$C$1)&gt;AU$4,AU$4&gt;=$C$1),'General Inputs'!R$9*$G52,0))+IF(AND(($E52+$C$1)&gt;AU$4,AU$4&gt;=$C$1),'General Inputs'!R$10*$J52,IF(AND(($D52+$C$1)&gt;AU$4,AU$4&gt;=$C$1),'General Inputs'!R$10*$I52,0))</f>
        <v>0</v>
      </c>
      <c r="AV52" s="214">
        <f>IF(AND(($E52+$C$1)&gt;AV$4,AV$4&gt;=$C$1),'General Inputs'!S$9*$H52,IF(AND(($D52+$C$1)&gt;AV$4,AV$4&gt;=$C$1),'General Inputs'!S$9*$G52,0))+IF(AND(($E52+$C$1)&gt;AV$4,AV$4&gt;=$C$1),'General Inputs'!S$10*$J52,IF(AND(($D52+$C$1)&gt;AV$4,AV$4&gt;=$C$1),'General Inputs'!S$10*$I52,0))</f>
        <v>0</v>
      </c>
      <c r="AW52" s="214">
        <f>IF(AND(($E52+$C$1)&gt;AW$4,AW$4&gt;=$C$1),'General Inputs'!T$9*$H52,IF(AND(($D52+$C$1)&gt;AW$4,AW$4&gt;=$C$1),'General Inputs'!T$9*$G52,0))+IF(AND(($E52+$C$1)&gt;AW$4,AW$4&gt;=$C$1),'General Inputs'!T$10*$J52,IF(AND(($D52+$C$1)&gt;AW$4,AW$4&gt;=$C$1),'General Inputs'!T$10*$I52,0))</f>
        <v>0</v>
      </c>
      <c r="AX52" s="214">
        <f>IF(AND(($E52+$C$1)&gt;AX$4,AX$4&gt;=$C$1),'General Inputs'!U$9*$H52,IF(AND(($D52+$C$1)&gt;AX$4,AX$4&gt;=$C$1),'General Inputs'!U$9*$G52,0))+IF(AND(($E52+$C$1)&gt;AX$4,AX$4&gt;=$C$1),'General Inputs'!U$10*$J52,IF(AND(($D52+$C$1)&gt;AX$4,AX$4&gt;=$C$1),'General Inputs'!U$10*$I52,0))</f>
        <v>0</v>
      </c>
      <c r="AY52" s="214">
        <f>IF(AND(($E52+$C$1)&gt;AY$4,AY$4&gt;=$C$1),'General Inputs'!V$9*$H52,IF(AND(($D52+$C$1)&gt;AY$4,AY$4&gt;=$C$1),'General Inputs'!V$9*$G52,0))+IF(AND(($E52+$C$1)&gt;AY$4,AY$4&gt;=$C$1),'General Inputs'!V$10*$J52,IF(AND(($D52+$C$1)&gt;AY$4,AY$4&gt;=$C$1),'General Inputs'!V$10*$I52,0))</f>
        <v>0</v>
      </c>
      <c r="AZ52" s="214">
        <f>IF(AND(($E52+$C$1)&gt;AZ$4,AZ$4&gt;=$C$1),'General Inputs'!W$9*$H52,IF(AND(($D52+$C$1)&gt;AZ$4,AZ$4&gt;=$C$1),'General Inputs'!W$9*$G52,0))+IF(AND(($E52+$C$1)&gt;AZ$4,AZ$4&gt;=$C$1),'General Inputs'!W$10*$J52,IF(AND(($D52+$C$1)&gt;AZ$4,AZ$4&gt;=$C$1),'General Inputs'!W$10*$I52,0))</f>
        <v>0</v>
      </c>
      <c r="BB52" s="214">
        <f>IF(AND(($E52+$C$1)&gt;BB$4,BB$4&gt;=$C$1),'General Inputs'!D$11*$H52,IF(AND(($D52+$C$1)&gt;BB$4,BB$4&gt;=$C$1),'General Inputs'!D$11*$G52,0))</f>
        <v>0</v>
      </c>
      <c r="BC52" s="214">
        <f>IF(AND(($E52+$C$1)&gt;BC$4,BC$4&gt;=$C$1),'General Inputs'!E$11*$H52,IF(AND(($D52+$C$1)&gt;BC$4,BC$4&gt;=$C$1),'General Inputs'!E$11*$G52,0))</f>
        <v>0</v>
      </c>
      <c r="BD52" s="214">
        <f>IF(AND(($E52+$C$1)&gt;BD$4,BD$4&gt;=$C$1),'General Inputs'!F$11*$H52,IF(AND(($D52+$C$1)&gt;BD$4,BD$4&gt;=$C$1),'General Inputs'!F$11*$G52,0))</f>
        <v>0</v>
      </c>
      <c r="BE52" s="214">
        <f>IF(AND(($E52+$C$1)&gt;BE$4,BE$4&gt;=$C$1),'General Inputs'!G$11*$H52,IF(AND(($D52+$C$1)&gt;BE$4,BE$4&gt;=$C$1),'General Inputs'!G$11*$G52,0))</f>
        <v>0</v>
      </c>
      <c r="BF52" s="214">
        <f>IF(AND(($E52+$C$1)&gt;BF$4,BF$4&gt;=$C$1),'General Inputs'!H$11*$H52,IF(AND(($D52+$C$1)&gt;BF$4,BF$4&gt;=$C$1),'General Inputs'!H$11*$G52,0))</f>
        <v>0</v>
      </c>
      <c r="BG52" s="214">
        <f>IF(AND(($E52+$C$1)&gt;BG$4,BG$4&gt;=$C$1),'General Inputs'!I$11*$H52,IF(AND(($D52+$C$1)&gt;BG$4,BG$4&gt;=$C$1),'General Inputs'!I$11*$G52,0))</f>
        <v>0</v>
      </c>
      <c r="BH52" s="214">
        <f>IF(AND(($E52+$C$1)&gt;BH$4,BH$4&gt;=$C$1),'General Inputs'!J$11*$H52,IF(AND(($D52+$C$1)&gt;BH$4,BH$4&gt;=$C$1),'General Inputs'!J$11*$G52,0))</f>
        <v>0</v>
      </c>
      <c r="BI52" s="214">
        <f>IF(AND(($E52+$C$1)&gt;BI$4,BI$4&gt;=$C$1),'General Inputs'!K$11*$H52,IF(AND(($D52+$C$1)&gt;BI$4,BI$4&gt;=$C$1),'General Inputs'!K$11*$G52,0))</f>
        <v>0</v>
      </c>
      <c r="BJ52" s="214">
        <f>IF(AND(($E52+$C$1)&gt;BJ$4,BJ$4&gt;=$C$1),'General Inputs'!L$11*$H52,IF(AND(($D52+$C$1)&gt;BJ$4,BJ$4&gt;=$C$1),'General Inputs'!L$11*$G52,0))</f>
        <v>0</v>
      </c>
      <c r="BK52" s="214">
        <f>IF(AND(($E52+$C$1)&gt;BK$4,BK$4&gt;=$C$1),'General Inputs'!M$11*$H52,IF(AND(($D52+$C$1)&gt;BK$4,BK$4&gt;=$C$1),'General Inputs'!M$11*$G52,0))</f>
        <v>0</v>
      </c>
      <c r="BL52" s="214">
        <f>IF(AND(($E52+$C$1)&gt;BL$4,BL$4&gt;=$C$1),'General Inputs'!N$11*$H52,IF(AND(($D52+$C$1)&gt;BL$4,BL$4&gt;=$C$1),'General Inputs'!N$11*$G52,0))</f>
        <v>0</v>
      </c>
      <c r="BM52" s="214">
        <f>IF(AND(($E52+$C$1)&gt;BM$4,BM$4&gt;=$C$1),'General Inputs'!O$11*$H52,IF(AND(($D52+$C$1)&gt;BM$4,BM$4&gt;=$C$1),'General Inputs'!O$11*$G52,0))</f>
        <v>0</v>
      </c>
      <c r="BN52" s="214">
        <f>IF(AND(($E52+$C$1)&gt;BN$4,BN$4&gt;=$C$1),'General Inputs'!P$11*$H52,IF(AND(($D52+$C$1)&gt;BN$4,BN$4&gt;=$C$1),'General Inputs'!P$11*$G52,0))</f>
        <v>0</v>
      </c>
      <c r="BO52" s="214">
        <f>IF(AND(($E52+$C$1)&gt;BO$4,BO$4&gt;=$C$1),'General Inputs'!Q$11*$H52,IF(AND(($D52+$C$1)&gt;BO$4,BO$4&gt;=$C$1),'General Inputs'!Q$11*$G52,0))</f>
        <v>0</v>
      </c>
      <c r="BP52" s="214">
        <f>IF(AND(($E52+$C$1)&gt;BP$4,BP$4&gt;=$C$1),'General Inputs'!R$11*$H52,IF(AND(($D52+$C$1)&gt;BP$4,BP$4&gt;=$C$1),'General Inputs'!R$11*$G52,0))</f>
        <v>0</v>
      </c>
      <c r="BQ52" s="214">
        <f>IF(AND(($E52+$C$1)&gt;BQ$4,BQ$4&gt;=$C$1),'General Inputs'!S$11*$H52,IF(AND(($D52+$C$1)&gt;BQ$4,BQ$4&gt;=$C$1),'General Inputs'!S$11*$G52,0))</f>
        <v>0</v>
      </c>
      <c r="BR52" s="214">
        <f>IF(AND(($E52+$C$1)&gt;BR$4,BR$4&gt;=$C$1),'General Inputs'!T$11*$H52,IF(AND(($D52+$C$1)&gt;BR$4,BR$4&gt;=$C$1),'General Inputs'!T$11*$G52,0))</f>
        <v>0</v>
      </c>
      <c r="BS52" s="214">
        <f>IF(AND(($E52+$C$1)&gt;BS$4,BS$4&gt;=$C$1),'General Inputs'!U$11*$H52,IF(AND(($D52+$C$1)&gt;BS$4,BS$4&gt;=$C$1),'General Inputs'!U$11*$G52,0))</f>
        <v>0</v>
      </c>
      <c r="BT52" s="214">
        <f>IF(AND(($E52+$C$1)&gt;BT$4,BT$4&gt;=$C$1),'General Inputs'!V$11*$H52,IF(AND(($D52+$C$1)&gt;BT$4,BT$4&gt;=$C$1),'General Inputs'!V$11*$G52,0))</f>
        <v>0</v>
      </c>
      <c r="BU52" s="214">
        <f>IF(AND(($E52+$C$1)&gt;BU$4,BU$4&gt;=$C$1),'General Inputs'!W$11*$H52,IF(AND(($D52+$C$1)&gt;BU$4,BU$4&gt;=$C$1),'General Inputs'!W$11*$G52,0))</f>
        <v>0</v>
      </c>
      <c r="BW52" s="214">
        <f>IF(AND(($E52+$C$1)&gt;BW$4,BW$4&gt;=$C$1),$H52,IF(AND(($D52+$C$1)&gt;BW$4,BW$4&gt;=$C$1),$G52,0))*IF($A52="Residential",'General Inputs'!D$14,'General Inputs'!D$19)</f>
        <v>0</v>
      </c>
      <c r="BX52" s="214">
        <f>IF(AND(($E52+$C$1)&gt;BX$4,BX$4&gt;=$C$1),$H52,IF(AND(($D52+$C$1)&gt;BX$4,BX$4&gt;=$C$1),$G52,0))*IF($A52="Residential",'General Inputs'!E$14,'General Inputs'!E$19)</f>
        <v>0</v>
      </c>
      <c r="BY52" s="214">
        <f>IF(AND(($E52+$C$1)&gt;BY$4,BY$4&gt;=$C$1),$H52,IF(AND(($D52+$C$1)&gt;BY$4,BY$4&gt;=$C$1),$G52,0))*IF($A52="Residential",'General Inputs'!F$14,'General Inputs'!F$19)</f>
        <v>0</v>
      </c>
      <c r="BZ52" s="214">
        <f>IF(AND(($E52+$C$1)&gt;BZ$4,BZ$4&gt;=$C$1),$H52,IF(AND(($D52+$C$1)&gt;BZ$4,BZ$4&gt;=$C$1),$G52,0))*IF($A52="Residential",'General Inputs'!G$14,'General Inputs'!G$19)</f>
        <v>0</v>
      </c>
      <c r="CA52" s="214">
        <f>IF(AND(($E52+$C$1)&gt;CA$4,CA$4&gt;=$C$1),$H52,IF(AND(($D52+$C$1)&gt;CA$4,CA$4&gt;=$C$1),$G52,0))*IF($A52="Residential",'General Inputs'!H$14,'General Inputs'!H$19)</f>
        <v>0</v>
      </c>
      <c r="CB52" s="214">
        <f>IF(AND(($E52+$C$1)&gt;CB$4,CB$4&gt;=$C$1),$H52,IF(AND(($D52+$C$1)&gt;CB$4,CB$4&gt;=$C$1),$G52,0))*IF($A52="Residential",'General Inputs'!I$14,'General Inputs'!I$19)</f>
        <v>0</v>
      </c>
      <c r="CC52" s="214">
        <f>IF(AND(($E52+$C$1)&gt;CC$4,CC$4&gt;=$C$1),$H52,IF(AND(($D52+$C$1)&gt;CC$4,CC$4&gt;=$C$1),$G52,0))*IF($A52="Residential",'General Inputs'!J$14,'General Inputs'!J$19)</f>
        <v>0</v>
      </c>
      <c r="CD52" s="214">
        <f>IF(AND(($E52+$C$1)&gt;CD$4,CD$4&gt;=$C$1),$H52,IF(AND(($D52+$C$1)&gt;CD$4,CD$4&gt;=$C$1),$G52,0))*IF($A52="Residential",'General Inputs'!K$14,'General Inputs'!K$19)</f>
        <v>0</v>
      </c>
      <c r="CE52" s="214">
        <f>IF(AND(($E52+$C$1)&gt;CE$4,CE$4&gt;=$C$1),$H52,IF(AND(($D52+$C$1)&gt;CE$4,CE$4&gt;=$C$1),$G52,0))*IF($A52="Residential",'General Inputs'!L$14,'General Inputs'!L$19)</f>
        <v>0</v>
      </c>
      <c r="CF52" s="214">
        <f>IF(AND(($E52+$C$1)&gt;CF$4,CF$4&gt;=$C$1),$H52,IF(AND(($D52+$C$1)&gt;CF$4,CF$4&gt;=$C$1),$G52,0))*IF($A52="Residential",'General Inputs'!M$14,'General Inputs'!M$19)</f>
        <v>0</v>
      </c>
      <c r="CG52" s="214">
        <f>IF(AND(($E52+$C$1)&gt;CG$4,CG$4&gt;=$C$1),$H52,IF(AND(($D52+$C$1)&gt;CG$4,CG$4&gt;=$C$1),$G52,0))*IF($A52="Residential",'General Inputs'!N$14,'General Inputs'!N$19)</f>
        <v>0</v>
      </c>
      <c r="CH52" s="214">
        <f>IF(AND(($E52+$C$1)&gt;CH$4,CH$4&gt;=$C$1),$H52,IF(AND(($D52+$C$1)&gt;CH$4,CH$4&gt;=$C$1),$G52,0))*IF($A52="Residential",'General Inputs'!O$14,'General Inputs'!O$19)</f>
        <v>0</v>
      </c>
      <c r="CI52" s="214">
        <f>IF(AND(($E52+$C$1)&gt;CI$4,CI$4&gt;=$C$1),$H52,IF(AND(($D52+$C$1)&gt;CI$4,CI$4&gt;=$C$1),$G52,0))*IF($A52="Residential",'General Inputs'!P$14,'General Inputs'!P$19)</f>
        <v>0</v>
      </c>
      <c r="CJ52" s="214">
        <f>IF(AND(($E52+$C$1)&gt;CJ$4,CJ$4&gt;=$C$1),$H52,IF(AND(($D52+$C$1)&gt;CJ$4,CJ$4&gt;=$C$1),$G52,0))*IF($A52="Residential",'General Inputs'!Q$14,'General Inputs'!Q$19)</f>
        <v>0</v>
      </c>
      <c r="CK52" s="214">
        <f>IF(AND(($E52+$C$1)&gt;CK$4,CK$4&gt;=$C$1),$H52,IF(AND(($D52+$C$1)&gt;CK$4,CK$4&gt;=$C$1),$G52,0))*IF($A52="Residential",'General Inputs'!R$14,'General Inputs'!R$19)</f>
        <v>0</v>
      </c>
      <c r="CL52" s="214">
        <f>IF(AND(($E52+$C$1)&gt;CL$4,CL$4&gt;=$C$1),$H52,IF(AND(($D52+$C$1)&gt;CL$4,CL$4&gt;=$C$1),$G52,0))*IF($A52="Residential",'General Inputs'!S$14,'General Inputs'!S$19)</f>
        <v>0</v>
      </c>
      <c r="CM52" s="214">
        <f>IF(AND(($E52+$C$1)&gt;CM$4,CM$4&gt;=$C$1),$H52,IF(AND(($D52+$C$1)&gt;CM$4,CM$4&gt;=$C$1),$G52,0))*IF($A52="Residential",'General Inputs'!T$14,'General Inputs'!T$19)</f>
        <v>0</v>
      </c>
      <c r="CN52" s="214">
        <f>IF(AND(($E52+$C$1)&gt;CN$4,CN$4&gt;=$C$1),$H52,IF(AND(($D52+$C$1)&gt;CN$4,CN$4&gt;=$C$1),$G52,0))*IF($A52="Residential",'General Inputs'!U$14,'General Inputs'!U$19)</f>
        <v>0</v>
      </c>
      <c r="CO52" s="214">
        <f>IF(AND(($E52+$C$1)&gt;CO$4,CO$4&gt;=$C$1),$H52,IF(AND(($D52+$C$1)&gt;CO$4,CO$4&gt;=$C$1),$G52,0))*IF($A52="Residential",'General Inputs'!V$14,'General Inputs'!V$19)</f>
        <v>0</v>
      </c>
      <c r="CP52" s="214">
        <f>IF(AND(($E52+$C$1)&gt;CP$4,CP$4&gt;=$C$1),$H52,IF(AND(($D52+$C$1)&gt;CP$4,CP$4&gt;=$C$1),$G52,0))*IF($A52="Residential",'General Inputs'!W$14,'General Inputs'!W$19)</f>
        <v>0</v>
      </c>
      <c r="CR52" s="214">
        <f>IF(AND(($E52+$C$1)&gt;CR$4,CR$4&gt;=$C$1),$H52,IF(AND(($D52+$C$1)&gt;CR$4,CR$4&gt;=$C$1),$G52,0))*IF($A52="Residential",'General Inputs'!D$15,'General Inputs'!D$19)</f>
        <v>0</v>
      </c>
      <c r="CS52" s="214">
        <f>IF(AND(($E52+$C$1)&gt;CS$4,CS$4&gt;=$C$1),$H52,IF(AND(($D52+$C$1)&gt;CS$4,CS$4&gt;=$C$1),$G52,0))*IF($A52="Residential",'General Inputs'!E$15,'General Inputs'!E$19)</f>
        <v>0</v>
      </c>
      <c r="CT52" s="214">
        <f>IF(AND(($E52+$C$1)&gt;CT$4,CT$4&gt;=$C$1),$H52,IF(AND(($D52+$C$1)&gt;CT$4,CT$4&gt;=$C$1),$G52,0))*IF($A52="Residential",'General Inputs'!F$15,'General Inputs'!F$19)</f>
        <v>0</v>
      </c>
      <c r="CU52" s="214">
        <f>IF(AND(($E52+$C$1)&gt;CU$4,CU$4&gt;=$C$1),$H52,IF(AND(($D52+$C$1)&gt;CU$4,CU$4&gt;=$C$1),$G52,0))*IF($A52="Residential",'General Inputs'!G$15,'General Inputs'!G$19)</f>
        <v>0</v>
      </c>
      <c r="CV52" s="214">
        <f>IF(AND(($E52+$C$1)&gt;CV$4,CV$4&gt;=$C$1),$H52,IF(AND(($D52+$C$1)&gt;CV$4,CV$4&gt;=$C$1),$G52,0))*IF($A52="Residential",'General Inputs'!H$15,'General Inputs'!H$19)</f>
        <v>0</v>
      </c>
      <c r="CW52" s="214">
        <f>IF(AND(($E52+$C$1)&gt;CW$4,CW$4&gt;=$C$1),$H52,IF(AND(($D52+$C$1)&gt;CW$4,CW$4&gt;=$C$1),$G52,0))*IF($A52="Residential",'General Inputs'!I$15,'General Inputs'!I$19)</f>
        <v>0</v>
      </c>
      <c r="CX52" s="214">
        <f>IF(AND(($E52+$C$1)&gt;CX$4,CX$4&gt;=$C$1),$H52,IF(AND(($D52+$C$1)&gt;CX$4,CX$4&gt;=$C$1),$G52,0))*IF($A52="Residential",'General Inputs'!J$15,'General Inputs'!J$19)</f>
        <v>0</v>
      </c>
      <c r="CY52" s="214">
        <f>IF(AND(($E52+$C$1)&gt;CY$4,CY$4&gt;=$C$1),$H52,IF(AND(($D52+$C$1)&gt;CY$4,CY$4&gt;=$C$1),$G52,0))*IF($A52="Residential",'General Inputs'!K$15,'General Inputs'!K$19)</f>
        <v>0</v>
      </c>
      <c r="CZ52" s="214">
        <f>IF(AND(($E52+$C$1)&gt;CZ$4,CZ$4&gt;=$C$1),$H52,IF(AND(($D52+$C$1)&gt;CZ$4,CZ$4&gt;=$C$1),$G52,0))*IF($A52="Residential",'General Inputs'!L$15,'General Inputs'!L$19)</f>
        <v>0</v>
      </c>
      <c r="DA52" s="214">
        <f>IF(AND(($E52+$C$1)&gt;DA$4,DA$4&gt;=$C$1),$H52,IF(AND(($D52+$C$1)&gt;DA$4,DA$4&gt;=$C$1),$G52,0))*IF($A52="Residential",'General Inputs'!M$15,'General Inputs'!M$19)</f>
        <v>0</v>
      </c>
      <c r="DB52" s="214">
        <f>IF(AND(($E52+$C$1)&gt;DB$4,DB$4&gt;=$C$1),$H52,IF(AND(($D52+$C$1)&gt;DB$4,DB$4&gt;=$C$1),$G52,0))*IF($A52="Residential",'General Inputs'!N$15,'General Inputs'!N$19)</f>
        <v>0</v>
      </c>
      <c r="DC52" s="214">
        <f>IF(AND(($E52+$C$1)&gt;DC$4,DC$4&gt;=$C$1),$H52,IF(AND(($D52+$C$1)&gt;DC$4,DC$4&gt;=$C$1),$G52,0))*IF($A52="Residential",'General Inputs'!O$15,'General Inputs'!O$19)</f>
        <v>0</v>
      </c>
      <c r="DD52" s="214">
        <f>IF(AND(($E52+$C$1)&gt;DD$4,DD$4&gt;=$C$1),$H52,IF(AND(($D52+$C$1)&gt;DD$4,DD$4&gt;=$C$1),$G52,0))*IF($A52="Residential",'General Inputs'!P$15,'General Inputs'!P$19)</f>
        <v>0</v>
      </c>
      <c r="DE52" s="214">
        <f>IF(AND(($E52+$C$1)&gt;DE$4,DE$4&gt;=$C$1),$H52,IF(AND(($D52+$C$1)&gt;DE$4,DE$4&gt;=$C$1),$G52,0))*IF($A52="Residential",'General Inputs'!Q$15,'General Inputs'!Q$19)</f>
        <v>0</v>
      </c>
      <c r="DF52" s="214">
        <f>IF(AND(($E52+$C$1)&gt;DF$4,DF$4&gt;=$C$1),$H52,IF(AND(($D52+$C$1)&gt;DF$4,DF$4&gt;=$C$1),$G52,0))*IF($A52="Residential",'General Inputs'!R$15,'General Inputs'!R$19)</f>
        <v>0</v>
      </c>
      <c r="DG52" s="214">
        <f>IF(AND(($E52+$C$1)&gt;DG$4,DG$4&gt;=$C$1),$H52,IF(AND(($D52+$C$1)&gt;DG$4,DG$4&gt;=$C$1),$G52,0))*IF($A52="Residential",'General Inputs'!S$15,'General Inputs'!S$19)</f>
        <v>0</v>
      </c>
      <c r="DH52" s="214">
        <f>IF(AND(($E52+$C$1)&gt;DH$4,DH$4&gt;=$C$1),$H52,IF(AND(($D52+$C$1)&gt;DH$4,DH$4&gt;=$C$1),$G52,0))*IF($A52="Residential",'General Inputs'!T$15,'General Inputs'!T$19)</f>
        <v>0</v>
      </c>
      <c r="DI52" s="214">
        <f>IF(AND(($E52+$C$1)&gt;DI$4,DI$4&gt;=$C$1),$H52,IF(AND(($D52+$C$1)&gt;DI$4,DI$4&gt;=$C$1),$G52,0))*IF($A52="Residential",'General Inputs'!U$15,'General Inputs'!U$19)</f>
        <v>0</v>
      </c>
      <c r="DJ52" s="214">
        <f>IF(AND(($E52+$C$1)&gt;DJ$4,DJ$4&gt;=$C$1),$H52,IF(AND(($D52+$C$1)&gt;DJ$4,DJ$4&gt;=$C$1),$G52,0))*IF($A52="Residential",'General Inputs'!V$15,'General Inputs'!V$19)</f>
        <v>0</v>
      </c>
      <c r="DK52" s="214">
        <f>IF(AND(($E52+$C$1)&gt;DK$4,DK$4&gt;=$C$1),$H52,IF(AND(($D52+$C$1)&gt;DK$4,DK$4&gt;=$C$1),$G52,0))*IF($A52="Residential",'General Inputs'!W$15,'General Inputs'!W$19)</f>
        <v>0</v>
      </c>
      <c r="DM52" s="214">
        <f t="shared" si="441"/>
        <v>0</v>
      </c>
      <c r="DN52" s="214">
        <f t="shared" si="441"/>
        <v>0</v>
      </c>
      <c r="DO52" s="214">
        <f t="shared" si="441"/>
        <v>0</v>
      </c>
      <c r="DP52" s="214">
        <f t="shared" si="441"/>
        <v>0</v>
      </c>
      <c r="DQ52" s="214">
        <f t="shared" si="441"/>
        <v>0</v>
      </c>
      <c r="DR52" s="214">
        <f t="shared" si="441"/>
        <v>0</v>
      </c>
      <c r="DS52" s="214">
        <f t="shared" si="441"/>
        <v>0</v>
      </c>
      <c r="DT52" s="214">
        <f t="shared" si="441"/>
        <v>0</v>
      </c>
      <c r="DU52" s="214">
        <f t="shared" si="441"/>
        <v>0</v>
      </c>
      <c r="DV52" s="214">
        <f t="shared" si="441"/>
        <v>0</v>
      </c>
      <c r="DW52" s="214">
        <f t="shared" si="441"/>
        <v>0</v>
      </c>
      <c r="DZ52" s="650"/>
      <c r="FI52" s="195"/>
      <c r="FJ52" s="195"/>
      <c r="FK52" s="195"/>
      <c r="FL52" s="195"/>
      <c r="FM52" s="195"/>
      <c r="FN52" s="195"/>
      <c r="FO52" s="195"/>
    </row>
    <row r="53" spans="1:171">
      <c r="A53" s="342" t="s">
        <v>112</v>
      </c>
      <c r="B53" s="427" t="str">
        <f>'Portfolio Inputs'!A52</f>
        <v>High Performance T8 (3-4 Lamp)</v>
      </c>
      <c r="C53" s="217">
        <f>IF($C$1=2014,'Portfolio Inputs'!$C52,IF($C$1=2015,'Portfolio Inputs'!$D52,'Portfolio Inputs'!$E52))</f>
        <v>0</v>
      </c>
      <c r="D53" s="504">
        <f>VLOOKUP(B53,Sources!$B$4:$J$104,2,FALSE)</f>
        <v>15</v>
      </c>
      <c r="E53" s="504">
        <f>VLOOKUP(B53,Sources!$B$4:$J$104,3,FALSE)</f>
        <v>0</v>
      </c>
      <c r="G53" s="504">
        <f>IF($C$1=2014,'Portfolio Inputs'!$G52,IF($C$1=2015,'Portfolio Inputs'!$H52,'Portfolio Inputs'!$I52))*EnergyLineLoss</f>
        <v>0</v>
      </c>
      <c r="H53" s="504"/>
      <c r="I53" s="595">
        <f>IF($C$1=2014,'Portfolio Inputs'!$K52,IF($C$1=2015,'Portfolio Inputs'!$L52,'Portfolio Inputs'!$M52))*PeakLineLoss</f>
        <v>0</v>
      </c>
      <c r="J53" s="510"/>
      <c r="L53" s="606">
        <f>IF($C$1=2014,'Portfolio Inputs'!$O52,IF($C$1=2015,'Portfolio Inputs'!$P52,'Portfolio Inputs'!$Q52))</f>
        <v>18</v>
      </c>
      <c r="M53" s="518">
        <f>VLOOKUP($B53,Sources!$B$4:$K$104,10,FALSE)</f>
        <v>0</v>
      </c>
      <c r="N53" s="419">
        <f>IF($C$1=2014,'Portfolio Inputs'!$W52,IF($C$1=2015,'Portfolio Inputs'!$X52,'Portfolio Inputs'!$Y52))</f>
        <v>0</v>
      </c>
      <c r="O53" s="419">
        <f>IF($C$1=2014,'Portfolio Inputs'!$AA52,IF($C$1=2015,'Portfolio Inputs'!$AB52,'Portfolio Inputs'!$AC52))</f>
        <v>0</v>
      </c>
      <c r="Q53" s="438" t="str">
        <f t="shared" si="442"/>
        <v>n/a</v>
      </c>
      <c r="R53" s="439" t="str">
        <f t="shared" si="443"/>
        <v>n/a</v>
      </c>
      <c r="S53" s="439" t="str">
        <f t="shared" si="444"/>
        <v>n/a</v>
      </c>
      <c r="T53" s="439" t="str">
        <f t="shared" si="445"/>
        <v>n/a</v>
      </c>
      <c r="U53" s="439" t="str">
        <f t="shared" si="446"/>
        <v>n/a</v>
      </c>
      <c r="V53" s="439" t="str">
        <f t="shared" si="447"/>
        <v>n/a</v>
      </c>
      <c r="W53" s="439" t="str">
        <f t="shared" si="448"/>
        <v>n/a</v>
      </c>
      <c r="Y53" s="215">
        <f t="shared" si="449"/>
        <v>0</v>
      </c>
      <c r="Z53" s="215">
        <f t="shared" si="450"/>
        <v>0</v>
      </c>
      <c r="AA53" s="215">
        <f t="shared" si="451"/>
        <v>0</v>
      </c>
      <c r="AB53" s="215">
        <f t="shared" si="452"/>
        <v>0</v>
      </c>
      <c r="AC53" s="216">
        <f t="shared" si="453"/>
        <v>0</v>
      </c>
      <c r="AD53" s="216">
        <f t="shared" si="454"/>
        <v>0</v>
      </c>
      <c r="AE53" s="215">
        <f t="shared" si="455"/>
        <v>0</v>
      </c>
      <c r="AG53" s="214">
        <f>IF(AND(($E53+$C$1)&gt;AG$4,AG$4&gt;=$C$1),'General Inputs'!D$9*$H53,IF(AND(($D53+$C$1)&gt;AG$4,AG$4&gt;=$C$1),'General Inputs'!D$9*$G53,0))+IF(AND(($E53+$C$1)&gt;AG$4,AG$4&gt;=$C$1),'General Inputs'!D$10*$J53,IF(AND(($D53+$C$1)&gt;AG$4,AG$4&gt;=$C$1),'General Inputs'!D$10*$I53,0))</f>
        <v>0</v>
      </c>
      <c r="AH53" s="214">
        <f>IF(AND(($E53+$C$1)&gt;AH$4,AH$4&gt;=$C$1),'General Inputs'!E$9*$H53,IF(AND(($D53+$C$1)&gt;AH$4,AH$4&gt;=$C$1),'General Inputs'!E$9*$G53,0))+IF(AND(($E53+$C$1)&gt;AH$4,AH$4&gt;=$C$1),'General Inputs'!E$10*$J53,IF(AND(($D53+$C$1)&gt;AH$4,AH$4&gt;=$C$1),'General Inputs'!E$10*$I53,0))</f>
        <v>0</v>
      </c>
      <c r="AI53" s="214">
        <f>IF(AND(($E53+$C$1)&gt;AI$4,AI$4&gt;=$C$1),'General Inputs'!F$9*$H53,IF(AND(($D53+$C$1)&gt;AI$4,AI$4&gt;=$C$1),'General Inputs'!F$9*$G53,0))+IF(AND(($E53+$C$1)&gt;AI$4,AI$4&gt;=$C$1),'General Inputs'!F$10*$J53,IF(AND(($D53+$C$1)&gt;AI$4,AI$4&gt;=$C$1),'General Inputs'!F$10*$I53,0))</f>
        <v>0</v>
      </c>
      <c r="AJ53" s="214">
        <f>IF(AND(($E53+$C$1)&gt;AJ$4,AJ$4&gt;=$C$1),'General Inputs'!G$9*$H53,IF(AND(($D53+$C$1)&gt;AJ$4,AJ$4&gt;=$C$1),'General Inputs'!G$9*$G53,0))+IF(AND(($E53+$C$1)&gt;AJ$4,AJ$4&gt;=$C$1),'General Inputs'!G$10*$J53,IF(AND(($D53+$C$1)&gt;AJ$4,AJ$4&gt;=$C$1),'General Inputs'!G$10*$I53,0))</f>
        <v>0</v>
      </c>
      <c r="AK53" s="214">
        <f>IF(AND(($E53+$C$1)&gt;AK$4,AK$4&gt;=$C$1),'General Inputs'!H$9*$H53,IF(AND(($D53+$C$1)&gt;AK$4,AK$4&gt;=$C$1),'General Inputs'!H$9*$G53,0))+IF(AND(($E53+$C$1)&gt;AK$4,AK$4&gt;=$C$1),'General Inputs'!H$10*$J53,IF(AND(($D53+$C$1)&gt;AK$4,AK$4&gt;=$C$1),'General Inputs'!H$10*$I53,0))</f>
        <v>0</v>
      </c>
      <c r="AL53" s="214">
        <f>IF(AND(($E53+$C$1)&gt;AL$4,AL$4&gt;=$C$1),'General Inputs'!I$9*$H53,IF(AND(($D53+$C$1)&gt;AL$4,AL$4&gt;=$C$1),'General Inputs'!I$9*$G53,0))+IF(AND(($E53+$C$1)&gt;AL$4,AL$4&gt;=$C$1),'General Inputs'!I$10*$J53,IF(AND(($D53+$C$1)&gt;AL$4,AL$4&gt;=$C$1),'General Inputs'!I$10*$I53,0))</f>
        <v>0</v>
      </c>
      <c r="AM53" s="214">
        <f>IF(AND(($E53+$C$1)&gt;AM$4,AM$4&gt;=$C$1),'General Inputs'!J$9*$H53,IF(AND(($D53+$C$1)&gt;AM$4,AM$4&gt;=$C$1),'General Inputs'!J$9*$G53,0))+IF(AND(($E53+$C$1)&gt;AM$4,AM$4&gt;=$C$1),'General Inputs'!J$10*$J53,IF(AND(($D53+$C$1)&gt;AM$4,AM$4&gt;=$C$1),'General Inputs'!J$10*$I53,0))</f>
        <v>0</v>
      </c>
      <c r="AN53" s="214">
        <f>IF(AND(($E53+$C$1)&gt;AN$4,AN$4&gt;=$C$1),'General Inputs'!K$9*$H53,IF(AND(($D53+$C$1)&gt;AN$4,AN$4&gt;=$C$1),'General Inputs'!K$9*$G53,0))+IF(AND(($E53+$C$1)&gt;AN$4,AN$4&gt;=$C$1),'General Inputs'!K$10*$J53,IF(AND(($D53+$C$1)&gt;AN$4,AN$4&gt;=$C$1),'General Inputs'!K$10*$I53,0))</f>
        <v>0</v>
      </c>
      <c r="AO53" s="214">
        <f>IF(AND(($E53+$C$1)&gt;AO$4,AO$4&gt;=$C$1),'General Inputs'!L$9*$H53,IF(AND(($D53+$C$1)&gt;AO$4,AO$4&gt;=$C$1),'General Inputs'!L$9*$G53,0))+IF(AND(($E53+$C$1)&gt;AO$4,AO$4&gt;=$C$1),'General Inputs'!L$10*$J53,IF(AND(($D53+$C$1)&gt;AO$4,AO$4&gt;=$C$1),'General Inputs'!L$10*$I53,0))</f>
        <v>0</v>
      </c>
      <c r="AP53" s="214">
        <f>IF(AND(($E53+$C$1)&gt;AP$4,AP$4&gt;=$C$1),'General Inputs'!M$9*$H53,IF(AND(($D53+$C$1)&gt;AP$4,AP$4&gt;=$C$1),'General Inputs'!M$9*$G53,0))+IF(AND(($E53+$C$1)&gt;AP$4,AP$4&gt;=$C$1),'General Inputs'!M$10*$J53,IF(AND(($D53+$C$1)&gt;AP$4,AP$4&gt;=$C$1),'General Inputs'!M$10*$I53,0))</f>
        <v>0</v>
      </c>
      <c r="AQ53" s="214">
        <f>IF(AND(($E53+$C$1)&gt;AQ$4,AQ$4&gt;=$C$1),'General Inputs'!N$9*$H53,IF(AND(($D53+$C$1)&gt;AQ$4,AQ$4&gt;=$C$1),'General Inputs'!N$9*$G53,0))+IF(AND(($E53+$C$1)&gt;AQ$4,AQ$4&gt;=$C$1),'General Inputs'!N$10*$J53,IF(AND(($D53+$C$1)&gt;AQ$4,AQ$4&gt;=$C$1),'General Inputs'!N$10*$I53,0))</f>
        <v>0</v>
      </c>
      <c r="AR53" s="214">
        <f>IF(AND(($E53+$C$1)&gt;AR$4,AR$4&gt;=$C$1),'General Inputs'!O$9*$H53,IF(AND(($D53+$C$1)&gt;AR$4,AR$4&gt;=$C$1),'General Inputs'!O$9*$G53,0))+IF(AND(($E53+$C$1)&gt;AR$4,AR$4&gt;=$C$1),'General Inputs'!O$10*$J53,IF(AND(($D53+$C$1)&gt;AR$4,AR$4&gt;=$C$1),'General Inputs'!O$10*$I53,0))</f>
        <v>0</v>
      </c>
      <c r="AS53" s="214">
        <f>IF(AND(($E53+$C$1)&gt;AS$4,AS$4&gt;=$C$1),'General Inputs'!P$9*$H53,IF(AND(($D53+$C$1)&gt;AS$4,AS$4&gt;=$C$1),'General Inputs'!P$9*$G53,0))+IF(AND(($E53+$C$1)&gt;AS$4,AS$4&gt;=$C$1),'General Inputs'!P$10*$J53,IF(AND(($D53+$C$1)&gt;AS$4,AS$4&gt;=$C$1),'General Inputs'!P$10*$I53,0))</f>
        <v>0</v>
      </c>
      <c r="AT53" s="214">
        <f>IF(AND(($E53+$C$1)&gt;AT$4,AT$4&gt;=$C$1),'General Inputs'!Q$9*$H53,IF(AND(($D53+$C$1)&gt;AT$4,AT$4&gt;=$C$1),'General Inputs'!Q$9*$G53,0))+IF(AND(($E53+$C$1)&gt;AT$4,AT$4&gt;=$C$1),'General Inputs'!Q$10*$J53,IF(AND(($D53+$C$1)&gt;AT$4,AT$4&gt;=$C$1),'General Inputs'!Q$10*$I53,0))</f>
        <v>0</v>
      </c>
      <c r="AU53" s="214">
        <f>IF(AND(($E53+$C$1)&gt;AU$4,AU$4&gt;=$C$1),'General Inputs'!R$9*$H53,IF(AND(($D53+$C$1)&gt;AU$4,AU$4&gt;=$C$1),'General Inputs'!R$9*$G53,0))+IF(AND(($E53+$C$1)&gt;AU$4,AU$4&gt;=$C$1),'General Inputs'!R$10*$J53,IF(AND(($D53+$C$1)&gt;AU$4,AU$4&gt;=$C$1),'General Inputs'!R$10*$I53,0))</f>
        <v>0</v>
      </c>
      <c r="AV53" s="214">
        <f>IF(AND(($E53+$C$1)&gt;AV$4,AV$4&gt;=$C$1),'General Inputs'!S$9*$H53,IF(AND(($D53+$C$1)&gt;AV$4,AV$4&gt;=$C$1),'General Inputs'!S$9*$G53,0))+IF(AND(($E53+$C$1)&gt;AV$4,AV$4&gt;=$C$1),'General Inputs'!S$10*$J53,IF(AND(($D53+$C$1)&gt;AV$4,AV$4&gt;=$C$1),'General Inputs'!S$10*$I53,0))</f>
        <v>0</v>
      </c>
      <c r="AW53" s="214">
        <f>IF(AND(($E53+$C$1)&gt;AW$4,AW$4&gt;=$C$1),'General Inputs'!T$9*$H53,IF(AND(($D53+$C$1)&gt;AW$4,AW$4&gt;=$C$1),'General Inputs'!T$9*$G53,0))+IF(AND(($E53+$C$1)&gt;AW$4,AW$4&gt;=$C$1),'General Inputs'!T$10*$J53,IF(AND(($D53+$C$1)&gt;AW$4,AW$4&gt;=$C$1),'General Inputs'!T$10*$I53,0))</f>
        <v>0</v>
      </c>
      <c r="AX53" s="214">
        <f>IF(AND(($E53+$C$1)&gt;AX$4,AX$4&gt;=$C$1),'General Inputs'!U$9*$H53,IF(AND(($D53+$C$1)&gt;AX$4,AX$4&gt;=$C$1),'General Inputs'!U$9*$G53,0))+IF(AND(($E53+$C$1)&gt;AX$4,AX$4&gt;=$C$1),'General Inputs'!U$10*$J53,IF(AND(($D53+$C$1)&gt;AX$4,AX$4&gt;=$C$1),'General Inputs'!U$10*$I53,0))</f>
        <v>0</v>
      </c>
      <c r="AY53" s="214">
        <f>IF(AND(($E53+$C$1)&gt;AY$4,AY$4&gt;=$C$1),'General Inputs'!V$9*$H53,IF(AND(($D53+$C$1)&gt;AY$4,AY$4&gt;=$C$1),'General Inputs'!V$9*$G53,0))+IF(AND(($E53+$C$1)&gt;AY$4,AY$4&gt;=$C$1),'General Inputs'!V$10*$J53,IF(AND(($D53+$C$1)&gt;AY$4,AY$4&gt;=$C$1),'General Inputs'!V$10*$I53,0))</f>
        <v>0</v>
      </c>
      <c r="AZ53" s="214">
        <f>IF(AND(($E53+$C$1)&gt;AZ$4,AZ$4&gt;=$C$1),'General Inputs'!W$9*$H53,IF(AND(($D53+$C$1)&gt;AZ$4,AZ$4&gt;=$C$1),'General Inputs'!W$9*$G53,0))+IF(AND(($E53+$C$1)&gt;AZ$4,AZ$4&gt;=$C$1),'General Inputs'!W$10*$J53,IF(AND(($D53+$C$1)&gt;AZ$4,AZ$4&gt;=$C$1),'General Inputs'!W$10*$I53,0))</f>
        <v>0</v>
      </c>
      <c r="BB53" s="214">
        <f>IF(AND(($E53+$C$1)&gt;BB$4,BB$4&gt;=$C$1),'General Inputs'!D$11*$H53,IF(AND(($D53+$C$1)&gt;BB$4,BB$4&gt;=$C$1),'General Inputs'!D$11*$G53,0))</f>
        <v>0</v>
      </c>
      <c r="BC53" s="214">
        <f>IF(AND(($E53+$C$1)&gt;BC$4,BC$4&gt;=$C$1),'General Inputs'!E$11*$H53,IF(AND(($D53+$C$1)&gt;BC$4,BC$4&gt;=$C$1),'General Inputs'!E$11*$G53,0))</f>
        <v>0</v>
      </c>
      <c r="BD53" s="214">
        <f>IF(AND(($E53+$C$1)&gt;BD$4,BD$4&gt;=$C$1),'General Inputs'!F$11*$H53,IF(AND(($D53+$C$1)&gt;BD$4,BD$4&gt;=$C$1),'General Inputs'!F$11*$G53,0))</f>
        <v>0</v>
      </c>
      <c r="BE53" s="214">
        <f>IF(AND(($E53+$C$1)&gt;BE$4,BE$4&gt;=$C$1),'General Inputs'!G$11*$H53,IF(AND(($D53+$C$1)&gt;BE$4,BE$4&gt;=$C$1),'General Inputs'!G$11*$G53,0))</f>
        <v>0</v>
      </c>
      <c r="BF53" s="214">
        <f>IF(AND(($E53+$C$1)&gt;BF$4,BF$4&gt;=$C$1),'General Inputs'!H$11*$H53,IF(AND(($D53+$C$1)&gt;BF$4,BF$4&gt;=$C$1),'General Inputs'!H$11*$G53,0))</f>
        <v>0</v>
      </c>
      <c r="BG53" s="214">
        <f>IF(AND(($E53+$C$1)&gt;BG$4,BG$4&gt;=$C$1),'General Inputs'!I$11*$H53,IF(AND(($D53+$C$1)&gt;BG$4,BG$4&gt;=$C$1),'General Inputs'!I$11*$G53,0))</f>
        <v>0</v>
      </c>
      <c r="BH53" s="214">
        <f>IF(AND(($E53+$C$1)&gt;BH$4,BH$4&gt;=$C$1),'General Inputs'!J$11*$H53,IF(AND(($D53+$C$1)&gt;BH$4,BH$4&gt;=$C$1),'General Inputs'!J$11*$G53,0))</f>
        <v>0</v>
      </c>
      <c r="BI53" s="214">
        <f>IF(AND(($E53+$C$1)&gt;BI$4,BI$4&gt;=$C$1),'General Inputs'!K$11*$H53,IF(AND(($D53+$C$1)&gt;BI$4,BI$4&gt;=$C$1),'General Inputs'!K$11*$G53,0))</f>
        <v>0</v>
      </c>
      <c r="BJ53" s="214">
        <f>IF(AND(($E53+$C$1)&gt;BJ$4,BJ$4&gt;=$C$1),'General Inputs'!L$11*$H53,IF(AND(($D53+$C$1)&gt;BJ$4,BJ$4&gt;=$C$1),'General Inputs'!L$11*$G53,0))</f>
        <v>0</v>
      </c>
      <c r="BK53" s="214">
        <f>IF(AND(($E53+$C$1)&gt;BK$4,BK$4&gt;=$C$1),'General Inputs'!M$11*$H53,IF(AND(($D53+$C$1)&gt;BK$4,BK$4&gt;=$C$1),'General Inputs'!M$11*$G53,0))</f>
        <v>0</v>
      </c>
      <c r="BL53" s="214">
        <f>IF(AND(($E53+$C$1)&gt;BL$4,BL$4&gt;=$C$1),'General Inputs'!N$11*$H53,IF(AND(($D53+$C$1)&gt;BL$4,BL$4&gt;=$C$1),'General Inputs'!N$11*$G53,0))</f>
        <v>0</v>
      </c>
      <c r="BM53" s="214">
        <f>IF(AND(($E53+$C$1)&gt;BM$4,BM$4&gt;=$C$1),'General Inputs'!O$11*$H53,IF(AND(($D53+$C$1)&gt;BM$4,BM$4&gt;=$C$1),'General Inputs'!O$11*$G53,0))</f>
        <v>0</v>
      </c>
      <c r="BN53" s="214">
        <f>IF(AND(($E53+$C$1)&gt;BN$4,BN$4&gt;=$C$1),'General Inputs'!P$11*$H53,IF(AND(($D53+$C$1)&gt;BN$4,BN$4&gt;=$C$1),'General Inputs'!P$11*$G53,0))</f>
        <v>0</v>
      </c>
      <c r="BO53" s="214">
        <f>IF(AND(($E53+$C$1)&gt;BO$4,BO$4&gt;=$C$1),'General Inputs'!Q$11*$H53,IF(AND(($D53+$C$1)&gt;BO$4,BO$4&gt;=$C$1),'General Inputs'!Q$11*$G53,0))</f>
        <v>0</v>
      </c>
      <c r="BP53" s="214">
        <f>IF(AND(($E53+$C$1)&gt;BP$4,BP$4&gt;=$C$1),'General Inputs'!R$11*$H53,IF(AND(($D53+$C$1)&gt;BP$4,BP$4&gt;=$C$1),'General Inputs'!R$11*$G53,0))</f>
        <v>0</v>
      </c>
      <c r="BQ53" s="214">
        <f>IF(AND(($E53+$C$1)&gt;BQ$4,BQ$4&gt;=$C$1),'General Inputs'!S$11*$H53,IF(AND(($D53+$C$1)&gt;BQ$4,BQ$4&gt;=$C$1),'General Inputs'!S$11*$G53,0))</f>
        <v>0</v>
      </c>
      <c r="BR53" s="214">
        <f>IF(AND(($E53+$C$1)&gt;BR$4,BR$4&gt;=$C$1),'General Inputs'!T$11*$H53,IF(AND(($D53+$C$1)&gt;BR$4,BR$4&gt;=$C$1),'General Inputs'!T$11*$G53,0))</f>
        <v>0</v>
      </c>
      <c r="BS53" s="214">
        <f>IF(AND(($E53+$C$1)&gt;BS$4,BS$4&gt;=$C$1),'General Inputs'!U$11*$H53,IF(AND(($D53+$C$1)&gt;BS$4,BS$4&gt;=$C$1),'General Inputs'!U$11*$G53,0))</f>
        <v>0</v>
      </c>
      <c r="BT53" s="214">
        <f>IF(AND(($E53+$C$1)&gt;BT$4,BT$4&gt;=$C$1),'General Inputs'!V$11*$H53,IF(AND(($D53+$C$1)&gt;BT$4,BT$4&gt;=$C$1),'General Inputs'!V$11*$G53,0))</f>
        <v>0</v>
      </c>
      <c r="BU53" s="214">
        <f>IF(AND(($E53+$C$1)&gt;BU$4,BU$4&gt;=$C$1),'General Inputs'!W$11*$H53,IF(AND(($D53+$C$1)&gt;BU$4,BU$4&gt;=$C$1),'General Inputs'!W$11*$G53,0))</f>
        <v>0</v>
      </c>
      <c r="BW53" s="214">
        <f>IF(AND(($E53+$C$1)&gt;BW$4,BW$4&gt;=$C$1),$H53,IF(AND(($D53+$C$1)&gt;BW$4,BW$4&gt;=$C$1),$G53,0))*IF($A53="Residential",'General Inputs'!D$14,'General Inputs'!D$19)</f>
        <v>0</v>
      </c>
      <c r="BX53" s="214">
        <f>IF(AND(($E53+$C$1)&gt;BX$4,BX$4&gt;=$C$1),$H53,IF(AND(($D53+$C$1)&gt;BX$4,BX$4&gt;=$C$1),$G53,0))*IF($A53="Residential",'General Inputs'!E$14,'General Inputs'!E$19)</f>
        <v>0</v>
      </c>
      <c r="BY53" s="214">
        <f>IF(AND(($E53+$C$1)&gt;BY$4,BY$4&gt;=$C$1),$H53,IF(AND(($D53+$C$1)&gt;BY$4,BY$4&gt;=$C$1),$G53,0))*IF($A53="Residential",'General Inputs'!F$14,'General Inputs'!F$19)</f>
        <v>0</v>
      </c>
      <c r="BZ53" s="214">
        <f>IF(AND(($E53+$C$1)&gt;BZ$4,BZ$4&gt;=$C$1),$H53,IF(AND(($D53+$C$1)&gt;BZ$4,BZ$4&gt;=$C$1),$G53,0))*IF($A53="Residential",'General Inputs'!G$14,'General Inputs'!G$19)</f>
        <v>0</v>
      </c>
      <c r="CA53" s="214">
        <f>IF(AND(($E53+$C$1)&gt;CA$4,CA$4&gt;=$C$1),$H53,IF(AND(($D53+$C$1)&gt;CA$4,CA$4&gt;=$C$1),$G53,0))*IF($A53="Residential",'General Inputs'!H$14,'General Inputs'!H$19)</f>
        <v>0</v>
      </c>
      <c r="CB53" s="214">
        <f>IF(AND(($E53+$C$1)&gt;CB$4,CB$4&gt;=$C$1),$H53,IF(AND(($D53+$C$1)&gt;CB$4,CB$4&gt;=$C$1),$G53,0))*IF($A53="Residential",'General Inputs'!I$14,'General Inputs'!I$19)</f>
        <v>0</v>
      </c>
      <c r="CC53" s="214">
        <f>IF(AND(($E53+$C$1)&gt;CC$4,CC$4&gt;=$C$1),$H53,IF(AND(($D53+$C$1)&gt;CC$4,CC$4&gt;=$C$1),$G53,0))*IF($A53="Residential",'General Inputs'!J$14,'General Inputs'!J$19)</f>
        <v>0</v>
      </c>
      <c r="CD53" s="214">
        <f>IF(AND(($E53+$C$1)&gt;CD$4,CD$4&gt;=$C$1),$H53,IF(AND(($D53+$C$1)&gt;CD$4,CD$4&gt;=$C$1),$G53,0))*IF($A53="Residential",'General Inputs'!K$14,'General Inputs'!K$19)</f>
        <v>0</v>
      </c>
      <c r="CE53" s="214">
        <f>IF(AND(($E53+$C$1)&gt;CE$4,CE$4&gt;=$C$1),$H53,IF(AND(($D53+$C$1)&gt;CE$4,CE$4&gt;=$C$1),$G53,0))*IF($A53="Residential",'General Inputs'!L$14,'General Inputs'!L$19)</f>
        <v>0</v>
      </c>
      <c r="CF53" s="214">
        <f>IF(AND(($E53+$C$1)&gt;CF$4,CF$4&gt;=$C$1),$H53,IF(AND(($D53+$C$1)&gt;CF$4,CF$4&gt;=$C$1),$G53,0))*IF($A53="Residential",'General Inputs'!M$14,'General Inputs'!M$19)</f>
        <v>0</v>
      </c>
      <c r="CG53" s="214">
        <f>IF(AND(($E53+$C$1)&gt;CG$4,CG$4&gt;=$C$1),$H53,IF(AND(($D53+$C$1)&gt;CG$4,CG$4&gt;=$C$1),$G53,0))*IF($A53="Residential",'General Inputs'!N$14,'General Inputs'!N$19)</f>
        <v>0</v>
      </c>
      <c r="CH53" s="214">
        <f>IF(AND(($E53+$C$1)&gt;CH$4,CH$4&gt;=$C$1),$H53,IF(AND(($D53+$C$1)&gt;CH$4,CH$4&gt;=$C$1),$G53,0))*IF($A53="Residential",'General Inputs'!O$14,'General Inputs'!O$19)</f>
        <v>0</v>
      </c>
      <c r="CI53" s="214">
        <f>IF(AND(($E53+$C$1)&gt;CI$4,CI$4&gt;=$C$1),$H53,IF(AND(($D53+$C$1)&gt;CI$4,CI$4&gt;=$C$1),$G53,0))*IF($A53="Residential",'General Inputs'!P$14,'General Inputs'!P$19)</f>
        <v>0</v>
      </c>
      <c r="CJ53" s="214">
        <f>IF(AND(($E53+$C$1)&gt;CJ$4,CJ$4&gt;=$C$1),$H53,IF(AND(($D53+$C$1)&gt;CJ$4,CJ$4&gt;=$C$1),$G53,0))*IF($A53="Residential",'General Inputs'!Q$14,'General Inputs'!Q$19)</f>
        <v>0</v>
      </c>
      <c r="CK53" s="214">
        <f>IF(AND(($E53+$C$1)&gt;CK$4,CK$4&gt;=$C$1),$H53,IF(AND(($D53+$C$1)&gt;CK$4,CK$4&gt;=$C$1),$G53,0))*IF($A53="Residential",'General Inputs'!R$14,'General Inputs'!R$19)</f>
        <v>0</v>
      </c>
      <c r="CL53" s="214">
        <f>IF(AND(($E53+$C$1)&gt;CL$4,CL$4&gt;=$C$1),$H53,IF(AND(($D53+$C$1)&gt;CL$4,CL$4&gt;=$C$1),$G53,0))*IF($A53="Residential",'General Inputs'!S$14,'General Inputs'!S$19)</f>
        <v>0</v>
      </c>
      <c r="CM53" s="214">
        <f>IF(AND(($E53+$C$1)&gt;CM$4,CM$4&gt;=$C$1),$H53,IF(AND(($D53+$C$1)&gt;CM$4,CM$4&gt;=$C$1),$G53,0))*IF($A53="Residential",'General Inputs'!T$14,'General Inputs'!T$19)</f>
        <v>0</v>
      </c>
      <c r="CN53" s="214">
        <f>IF(AND(($E53+$C$1)&gt;CN$4,CN$4&gt;=$C$1),$H53,IF(AND(($D53+$C$1)&gt;CN$4,CN$4&gt;=$C$1),$G53,0))*IF($A53="Residential",'General Inputs'!U$14,'General Inputs'!U$19)</f>
        <v>0</v>
      </c>
      <c r="CO53" s="214">
        <f>IF(AND(($E53+$C$1)&gt;CO$4,CO$4&gt;=$C$1),$H53,IF(AND(($D53+$C$1)&gt;CO$4,CO$4&gt;=$C$1),$G53,0))*IF($A53="Residential",'General Inputs'!V$14,'General Inputs'!V$19)</f>
        <v>0</v>
      </c>
      <c r="CP53" s="214">
        <f>IF(AND(($E53+$C$1)&gt;CP$4,CP$4&gt;=$C$1),$H53,IF(AND(($D53+$C$1)&gt;CP$4,CP$4&gt;=$C$1),$G53,0))*IF($A53="Residential",'General Inputs'!W$14,'General Inputs'!W$19)</f>
        <v>0</v>
      </c>
      <c r="CR53" s="214">
        <f>IF(AND(($E53+$C$1)&gt;CR$4,CR$4&gt;=$C$1),$H53,IF(AND(($D53+$C$1)&gt;CR$4,CR$4&gt;=$C$1),$G53,0))*IF($A53="Residential",'General Inputs'!D$15,'General Inputs'!D$19)</f>
        <v>0</v>
      </c>
      <c r="CS53" s="214">
        <f>IF(AND(($E53+$C$1)&gt;CS$4,CS$4&gt;=$C$1),$H53,IF(AND(($D53+$C$1)&gt;CS$4,CS$4&gt;=$C$1),$G53,0))*IF($A53="Residential",'General Inputs'!E$15,'General Inputs'!E$19)</f>
        <v>0</v>
      </c>
      <c r="CT53" s="214">
        <f>IF(AND(($E53+$C$1)&gt;CT$4,CT$4&gt;=$C$1),$H53,IF(AND(($D53+$C$1)&gt;CT$4,CT$4&gt;=$C$1),$G53,0))*IF($A53="Residential",'General Inputs'!F$15,'General Inputs'!F$19)</f>
        <v>0</v>
      </c>
      <c r="CU53" s="214">
        <f>IF(AND(($E53+$C$1)&gt;CU$4,CU$4&gt;=$C$1),$H53,IF(AND(($D53+$C$1)&gt;CU$4,CU$4&gt;=$C$1),$G53,0))*IF($A53="Residential",'General Inputs'!G$15,'General Inputs'!G$19)</f>
        <v>0</v>
      </c>
      <c r="CV53" s="214">
        <f>IF(AND(($E53+$C$1)&gt;CV$4,CV$4&gt;=$C$1),$H53,IF(AND(($D53+$C$1)&gt;CV$4,CV$4&gt;=$C$1),$G53,0))*IF($A53="Residential",'General Inputs'!H$15,'General Inputs'!H$19)</f>
        <v>0</v>
      </c>
      <c r="CW53" s="214">
        <f>IF(AND(($E53+$C$1)&gt;CW$4,CW$4&gt;=$C$1),$H53,IF(AND(($D53+$C$1)&gt;CW$4,CW$4&gt;=$C$1),$G53,0))*IF($A53="Residential",'General Inputs'!I$15,'General Inputs'!I$19)</f>
        <v>0</v>
      </c>
      <c r="CX53" s="214">
        <f>IF(AND(($E53+$C$1)&gt;CX$4,CX$4&gt;=$C$1),$H53,IF(AND(($D53+$C$1)&gt;CX$4,CX$4&gt;=$C$1),$G53,0))*IF($A53="Residential",'General Inputs'!J$15,'General Inputs'!J$19)</f>
        <v>0</v>
      </c>
      <c r="CY53" s="214">
        <f>IF(AND(($E53+$C$1)&gt;CY$4,CY$4&gt;=$C$1),$H53,IF(AND(($D53+$C$1)&gt;CY$4,CY$4&gt;=$C$1),$G53,0))*IF($A53="Residential",'General Inputs'!K$15,'General Inputs'!K$19)</f>
        <v>0</v>
      </c>
      <c r="CZ53" s="214">
        <f>IF(AND(($E53+$C$1)&gt;CZ$4,CZ$4&gt;=$C$1),$H53,IF(AND(($D53+$C$1)&gt;CZ$4,CZ$4&gt;=$C$1),$G53,0))*IF($A53="Residential",'General Inputs'!L$15,'General Inputs'!L$19)</f>
        <v>0</v>
      </c>
      <c r="DA53" s="214">
        <f>IF(AND(($E53+$C$1)&gt;DA$4,DA$4&gt;=$C$1),$H53,IF(AND(($D53+$C$1)&gt;DA$4,DA$4&gt;=$C$1),$G53,0))*IF($A53="Residential",'General Inputs'!M$15,'General Inputs'!M$19)</f>
        <v>0</v>
      </c>
      <c r="DB53" s="214">
        <f>IF(AND(($E53+$C$1)&gt;DB$4,DB$4&gt;=$C$1),$H53,IF(AND(($D53+$C$1)&gt;DB$4,DB$4&gt;=$C$1),$G53,0))*IF($A53="Residential",'General Inputs'!N$15,'General Inputs'!N$19)</f>
        <v>0</v>
      </c>
      <c r="DC53" s="214">
        <f>IF(AND(($E53+$C$1)&gt;DC$4,DC$4&gt;=$C$1),$H53,IF(AND(($D53+$C$1)&gt;DC$4,DC$4&gt;=$C$1),$G53,0))*IF($A53="Residential",'General Inputs'!O$15,'General Inputs'!O$19)</f>
        <v>0</v>
      </c>
      <c r="DD53" s="214">
        <f>IF(AND(($E53+$C$1)&gt;DD$4,DD$4&gt;=$C$1),$H53,IF(AND(($D53+$C$1)&gt;DD$4,DD$4&gt;=$C$1),$G53,0))*IF($A53="Residential",'General Inputs'!P$15,'General Inputs'!P$19)</f>
        <v>0</v>
      </c>
      <c r="DE53" s="214">
        <f>IF(AND(($E53+$C$1)&gt;DE$4,DE$4&gt;=$C$1),$H53,IF(AND(($D53+$C$1)&gt;DE$4,DE$4&gt;=$C$1),$G53,0))*IF($A53="Residential",'General Inputs'!Q$15,'General Inputs'!Q$19)</f>
        <v>0</v>
      </c>
      <c r="DF53" s="214">
        <f>IF(AND(($E53+$C$1)&gt;DF$4,DF$4&gt;=$C$1),$H53,IF(AND(($D53+$C$1)&gt;DF$4,DF$4&gt;=$C$1),$G53,0))*IF($A53="Residential",'General Inputs'!R$15,'General Inputs'!R$19)</f>
        <v>0</v>
      </c>
      <c r="DG53" s="214">
        <f>IF(AND(($E53+$C$1)&gt;DG$4,DG$4&gt;=$C$1),$H53,IF(AND(($D53+$C$1)&gt;DG$4,DG$4&gt;=$C$1),$G53,0))*IF($A53="Residential",'General Inputs'!S$15,'General Inputs'!S$19)</f>
        <v>0</v>
      </c>
      <c r="DH53" s="214">
        <f>IF(AND(($E53+$C$1)&gt;DH$4,DH$4&gt;=$C$1),$H53,IF(AND(($D53+$C$1)&gt;DH$4,DH$4&gt;=$C$1),$G53,0))*IF($A53="Residential",'General Inputs'!T$15,'General Inputs'!T$19)</f>
        <v>0</v>
      </c>
      <c r="DI53" s="214">
        <f>IF(AND(($E53+$C$1)&gt;DI$4,DI$4&gt;=$C$1),$H53,IF(AND(($D53+$C$1)&gt;DI$4,DI$4&gt;=$C$1),$G53,0))*IF($A53="Residential",'General Inputs'!U$15,'General Inputs'!U$19)</f>
        <v>0</v>
      </c>
      <c r="DJ53" s="214">
        <f>IF(AND(($E53+$C$1)&gt;DJ$4,DJ$4&gt;=$C$1),$H53,IF(AND(($D53+$C$1)&gt;DJ$4,DJ$4&gt;=$C$1),$G53,0))*IF($A53="Residential",'General Inputs'!V$15,'General Inputs'!V$19)</f>
        <v>0</v>
      </c>
      <c r="DK53" s="214">
        <f>IF(AND(($E53+$C$1)&gt;DK$4,DK$4&gt;=$C$1),$H53,IF(AND(($D53+$C$1)&gt;DK$4,DK$4&gt;=$C$1),$G53,0))*IF($A53="Residential",'General Inputs'!W$15,'General Inputs'!W$19)</f>
        <v>0</v>
      </c>
      <c r="DM53" s="214">
        <f t="shared" si="441"/>
        <v>0</v>
      </c>
      <c r="DN53" s="214">
        <f t="shared" si="441"/>
        <v>0</v>
      </c>
      <c r="DO53" s="214">
        <f t="shared" si="441"/>
        <v>0</v>
      </c>
      <c r="DP53" s="214">
        <f t="shared" si="441"/>
        <v>0</v>
      </c>
      <c r="DQ53" s="214">
        <f t="shared" si="441"/>
        <v>0</v>
      </c>
      <c r="DR53" s="214">
        <f t="shared" si="441"/>
        <v>0</v>
      </c>
      <c r="DS53" s="214">
        <f t="shared" si="441"/>
        <v>0</v>
      </c>
      <c r="DT53" s="214">
        <f t="shared" si="441"/>
        <v>0</v>
      </c>
      <c r="DU53" s="214">
        <f t="shared" si="441"/>
        <v>0</v>
      </c>
      <c r="DV53" s="214">
        <f t="shared" si="441"/>
        <v>0</v>
      </c>
      <c r="DW53" s="214">
        <f t="shared" si="441"/>
        <v>0</v>
      </c>
      <c r="DZ53" s="650"/>
      <c r="FI53" s="195"/>
      <c r="FJ53" s="195"/>
      <c r="FK53" s="195"/>
      <c r="FL53" s="195"/>
      <c r="FM53" s="195"/>
      <c r="FN53" s="195"/>
      <c r="FO53" s="195"/>
    </row>
    <row r="54" spans="1:171">
      <c r="A54" s="342" t="s">
        <v>112</v>
      </c>
      <c r="B54" s="427" t="str">
        <f>'Portfolio Inputs'!A53</f>
        <v xml:space="preserve">Low-Wattage T8 </v>
      </c>
      <c r="C54" s="217">
        <f>IF($C$1=2014,'Portfolio Inputs'!$C53,IF($C$1=2015,'Portfolio Inputs'!$D53,'Portfolio Inputs'!$E53))</f>
        <v>741</v>
      </c>
      <c r="D54" s="504">
        <f>VLOOKUP(B54,Sources!$B$4:$J$104,2,FALSE)</f>
        <v>6</v>
      </c>
      <c r="E54" s="504">
        <f>VLOOKUP(B54,Sources!$B$4:$J$104,3,FALSE)</f>
        <v>0</v>
      </c>
      <c r="G54" s="504">
        <f>IF($C$1=2014,'Portfolio Inputs'!$G53,IF($C$1=2015,'Portfolio Inputs'!$H53,'Portfolio Inputs'!$I53))*EnergyLineLoss</f>
        <v>30134.090463750003</v>
      </c>
      <c r="H54" s="504"/>
      <c r="I54" s="595">
        <f>IF($C$1=2014,'Portfolio Inputs'!$K53,IF($C$1=2015,'Portfolio Inputs'!$L53,'Portfolio Inputs'!$M53))*PeakLineLoss</f>
        <v>4.6596169620000003</v>
      </c>
      <c r="J54" s="510"/>
      <c r="L54" s="606">
        <f>IF($C$1=2014,'Portfolio Inputs'!$O53,IF($C$1=2015,'Portfolio Inputs'!$P53,'Portfolio Inputs'!$Q53))</f>
        <v>2</v>
      </c>
      <c r="M54" s="518">
        <f>VLOOKUP($B54,Sources!$B$4:$K$104,10,FALSE)</f>
        <v>0</v>
      </c>
      <c r="N54" s="419">
        <f>IF($C$1=2014,'Portfolio Inputs'!$W53,IF($C$1=2015,'Portfolio Inputs'!$X53,'Portfolio Inputs'!$Y53))</f>
        <v>370.5</v>
      </c>
      <c r="O54" s="419">
        <f>IF($C$1=2014,'Portfolio Inputs'!$AA53,IF($C$1=2015,'Portfolio Inputs'!$AB53,'Portfolio Inputs'!$AC53))</f>
        <v>0</v>
      </c>
      <c r="Q54" s="438">
        <f t="shared" si="442"/>
        <v>4.3471583583229068</v>
      </c>
      <c r="R54" s="439">
        <f t="shared" si="443"/>
        <v>17.388633433291627</v>
      </c>
      <c r="S54" s="439">
        <f t="shared" si="444"/>
        <v>5.4843384755892721</v>
      </c>
      <c r="T54" s="439">
        <f t="shared" si="445"/>
        <v>11.029937451639512</v>
      </c>
      <c r="U54" s="439">
        <f t="shared" si="446"/>
        <v>11.029937451639512</v>
      </c>
      <c r="V54" s="439">
        <f t="shared" si="447"/>
        <v>0.39412357299240497</v>
      </c>
      <c r="W54" s="439">
        <f t="shared" si="448"/>
        <v>0.39412357299240497</v>
      </c>
      <c r="Y54" s="215">
        <f t="shared" si="449"/>
        <v>6442.4886870345472</v>
      </c>
      <c r="Z54" s="215">
        <f t="shared" si="450"/>
        <v>1685.3009337887538</v>
      </c>
      <c r="AA54" s="215">
        <f t="shared" si="451"/>
        <v>15975.867303329756</v>
      </c>
      <c r="AB54" s="215">
        <f t="shared" si="452"/>
        <v>15975.867303329756</v>
      </c>
      <c r="AC54" s="216">
        <f t="shared" si="453"/>
        <v>0</v>
      </c>
      <c r="AD54" s="216">
        <f t="shared" si="454"/>
        <v>370.5</v>
      </c>
      <c r="AE54" s="215">
        <f t="shared" si="455"/>
        <v>1482</v>
      </c>
      <c r="AG54" s="214">
        <f>IF(AND(($E54+$C$1)&gt;AG$4,AG$4&gt;=$C$1),'General Inputs'!D$9*$H54,IF(AND(($D54+$C$1)&gt;AG$4,AG$4&gt;=$C$1),'General Inputs'!D$9*$G54,0))+IF(AND(($E54+$C$1)&gt;AG$4,AG$4&gt;=$C$1),'General Inputs'!D$10*$J54,IF(AND(($D54+$C$1)&gt;AG$4,AG$4&gt;=$C$1),'General Inputs'!D$10*$I54,0))</f>
        <v>1269.4798234626774</v>
      </c>
      <c r="AH54" s="214">
        <f>IF(AND(($E54+$C$1)&gt;AH$4,AH$4&gt;=$C$1),'General Inputs'!E$9*$H54,IF(AND(($D54+$C$1)&gt;AH$4,AH$4&gt;=$C$1),'General Inputs'!E$9*$G54,0))+IF(AND(($E54+$C$1)&gt;AH$4,AH$4&gt;=$C$1),'General Inputs'!E$10*$J54,IF(AND(($D54+$C$1)&gt;AH$4,AH$4&gt;=$C$1),'General Inputs'!E$10*$I54,0))</f>
        <v>1288.5220208146175</v>
      </c>
      <c r="AI54" s="214">
        <f>IF(AND(($E54+$C$1)&gt;AI$4,AI$4&gt;=$C$1),'General Inputs'!F$9*$H54,IF(AND(($D54+$C$1)&gt;AI$4,AI$4&gt;=$C$1),'General Inputs'!F$9*$G54,0))+IF(AND(($E54+$C$1)&gt;AI$4,AI$4&gt;=$C$1),'General Inputs'!F$10*$J54,IF(AND(($D54+$C$1)&gt;AI$4,AI$4&gt;=$C$1),'General Inputs'!F$10*$I54,0))</f>
        <v>1307.8498511268365</v>
      </c>
      <c r="AJ54" s="214">
        <f>IF(AND(($E54+$C$1)&gt;AJ$4,AJ$4&gt;=$C$1),'General Inputs'!G$9*$H54,IF(AND(($D54+$C$1)&gt;AJ$4,AJ$4&gt;=$C$1),'General Inputs'!G$9*$G54,0))+IF(AND(($E54+$C$1)&gt;AJ$4,AJ$4&gt;=$C$1),'General Inputs'!G$10*$J54,IF(AND(($D54+$C$1)&gt;AJ$4,AJ$4&gt;=$C$1),'General Inputs'!G$10*$I54,0))</f>
        <v>1327.4675988937388</v>
      </c>
      <c r="AK54" s="214">
        <f>IF(AND(($E54+$C$1)&gt;AK$4,AK$4&gt;=$C$1),'General Inputs'!H$9*$H54,IF(AND(($D54+$C$1)&gt;AK$4,AK$4&gt;=$C$1),'General Inputs'!H$9*$G54,0))+IF(AND(($E54+$C$1)&gt;AK$4,AK$4&gt;=$C$1),'General Inputs'!H$10*$J54,IF(AND(($D54+$C$1)&gt;AK$4,AK$4&gt;=$C$1),'General Inputs'!H$10*$I54,0))</f>
        <v>1347.3796128771448</v>
      </c>
      <c r="AL54" s="214">
        <f>IF(AND(($E54+$C$1)&gt;AL$4,AL$4&gt;=$C$1),'General Inputs'!I$9*$H54,IF(AND(($D54+$C$1)&gt;AL$4,AL$4&gt;=$C$1),'General Inputs'!I$9*$G54,0))+IF(AND(($E54+$C$1)&gt;AL$4,AL$4&gt;=$C$1),'General Inputs'!I$10*$J54,IF(AND(($D54+$C$1)&gt;AL$4,AL$4&gt;=$C$1),'General Inputs'!I$10*$I54,0))</f>
        <v>1367.5903070703016</v>
      </c>
      <c r="AM54" s="214">
        <f>IF(AND(($E54+$C$1)&gt;AM$4,AM$4&gt;=$C$1),'General Inputs'!J$9*$H54,IF(AND(($D54+$C$1)&gt;AM$4,AM$4&gt;=$C$1),'General Inputs'!J$9*$G54,0))+IF(AND(($E54+$C$1)&gt;AM$4,AM$4&gt;=$C$1),'General Inputs'!J$10*$J54,IF(AND(($D54+$C$1)&gt;AM$4,AM$4&gt;=$C$1),'General Inputs'!J$10*$I54,0))</f>
        <v>0</v>
      </c>
      <c r="AN54" s="214">
        <f>IF(AND(($E54+$C$1)&gt;AN$4,AN$4&gt;=$C$1),'General Inputs'!K$9*$H54,IF(AND(($D54+$C$1)&gt;AN$4,AN$4&gt;=$C$1),'General Inputs'!K$9*$G54,0))+IF(AND(($E54+$C$1)&gt;AN$4,AN$4&gt;=$C$1),'General Inputs'!K$10*$J54,IF(AND(($D54+$C$1)&gt;AN$4,AN$4&gt;=$C$1),'General Inputs'!K$10*$I54,0))</f>
        <v>0</v>
      </c>
      <c r="AO54" s="214">
        <f>IF(AND(($E54+$C$1)&gt;AO$4,AO$4&gt;=$C$1),'General Inputs'!L$9*$H54,IF(AND(($D54+$C$1)&gt;AO$4,AO$4&gt;=$C$1),'General Inputs'!L$9*$G54,0))+IF(AND(($E54+$C$1)&gt;AO$4,AO$4&gt;=$C$1),'General Inputs'!L$10*$J54,IF(AND(($D54+$C$1)&gt;AO$4,AO$4&gt;=$C$1),'General Inputs'!L$10*$I54,0))</f>
        <v>0</v>
      </c>
      <c r="AP54" s="214">
        <f>IF(AND(($E54+$C$1)&gt;AP$4,AP$4&gt;=$C$1),'General Inputs'!M$9*$H54,IF(AND(($D54+$C$1)&gt;AP$4,AP$4&gt;=$C$1),'General Inputs'!M$9*$G54,0))+IF(AND(($E54+$C$1)&gt;AP$4,AP$4&gt;=$C$1),'General Inputs'!M$10*$J54,IF(AND(($D54+$C$1)&gt;AP$4,AP$4&gt;=$C$1),'General Inputs'!M$10*$I54,0))</f>
        <v>0</v>
      </c>
      <c r="AQ54" s="214">
        <f>IF(AND(($E54+$C$1)&gt;AQ$4,AQ$4&gt;=$C$1),'General Inputs'!N$9*$H54,IF(AND(($D54+$C$1)&gt;AQ$4,AQ$4&gt;=$C$1),'General Inputs'!N$9*$G54,0))+IF(AND(($E54+$C$1)&gt;AQ$4,AQ$4&gt;=$C$1),'General Inputs'!N$10*$J54,IF(AND(($D54+$C$1)&gt;AQ$4,AQ$4&gt;=$C$1),'General Inputs'!N$10*$I54,0))</f>
        <v>0</v>
      </c>
      <c r="AR54" s="214">
        <f>IF(AND(($E54+$C$1)&gt;AR$4,AR$4&gt;=$C$1),'General Inputs'!O$9*$H54,IF(AND(($D54+$C$1)&gt;AR$4,AR$4&gt;=$C$1),'General Inputs'!O$9*$G54,0))+IF(AND(($E54+$C$1)&gt;AR$4,AR$4&gt;=$C$1),'General Inputs'!O$10*$J54,IF(AND(($D54+$C$1)&gt;AR$4,AR$4&gt;=$C$1),'General Inputs'!O$10*$I54,0))</f>
        <v>0</v>
      </c>
      <c r="AS54" s="214">
        <f>IF(AND(($E54+$C$1)&gt;AS$4,AS$4&gt;=$C$1),'General Inputs'!P$9*$H54,IF(AND(($D54+$C$1)&gt;AS$4,AS$4&gt;=$C$1),'General Inputs'!P$9*$G54,0))+IF(AND(($E54+$C$1)&gt;AS$4,AS$4&gt;=$C$1),'General Inputs'!P$10*$J54,IF(AND(($D54+$C$1)&gt;AS$4,AS$4&gt;=$C$1),'General Inputs'!P$10*$I54,0))</f>
        <v>0</v>
      </c>
      <c r="AT54" s="214">
        <f>IF(AND(($E54+$C$1)&gt;AT$4,AT$4&gt;=$C$1),'General Inputs'!Q$9*$H54,IF(AND(($D54+$C$1)&gt;AT$4,AT$4&gt;=$C$1),'General Inputs'!Q$9*$G54,0))+IF(AND(($E54+$C$1)&gt;AT$4,AT$4&gt;=$C$1),'General Inputs'!Q$10*$J54,IF(AND(($D54+$C$1)&gt;AT$4,AT$4&gt;=$C$1),'General Inputs'!Q$10*$I54,0))</f>
        <v>0</v>
      </c>
      <c r="AU54" s="214">
        <f>IF(AND(($E54+$C$1)&gt;AU$4,AU$4&gt;=$C$1),'General Inputs'!R$9*$H54,IF(AND(($D54+$C$1)&gt;AU$4,AU$4&gt;=$C$1),'General Inputs'!R$9*$G54,0))+IF(AND(($E54+$C$1)&gt;AU$4,AU$4&gt;=$C$1),'General Inputs'!R$10*$J54,IF(AND(($D54+$C$1)&gt;AU$4,AU$4&gt;=$C$1),'General Inputs'!R$10*$I54,0))</f>
        <v>0</v>
      </c>
      <c r="AV54" s="214">
        <f>IF(AND(($E54+$C$1)&gt;AV$4,AV$4&gt;=$C$1),'General Inputs'!S$9*$H54,IF(AND(($D54+$C$1)&gt;AV$4,AV$4&gt;=$C$1),'General Inputs'!S$9*$G54,0))+IF(AND(($E54+$C$1)&gt;AV$4,AV$4&gt;=$C$1),'General Inputs'!S$10*$J54,IF(AND(($D54+$C$1)&gt;AV$4,AV$4&gt;=$C$1),'General Inputs'!S$10*$I54,0))</f>
        <v>0</v>
      </c>
      <c r="AW54" s="214">
        <f>IF(AND(($E54+$C$1)&gt;AW$4,AW$4&gt;=$C$1),'General Inputs'!T$9*$H54,IF(AND(($D54+$C$1)&gt;AW$4,AW$4&gt;=$C$1),'General Inputs'!T$9*$G54,0))+IF(AND(($E54+$C$1)&gt;AW$4,AW$4&gt;=$C$1),'General Inputs'!T$10*$J54,IF(AND(($D54+$C$1)&gt;AW$4,AW$4&gt;=$C$1),'General Inputs'!T$10*$I54,0))</f>
        <v>0</v>
      </c>
      <c r="AX54" s="214">
        <f>IF(AND(($E54+$C$1)&gt;AX$4,AX$4&gt;=$C$1),'General Inputs'!U$9*$H54,IF(AND(($D54+$C$1)&gt;AX$4,AX$4&gt;=$C$1),'General Inputs'!U$9*$G54,0))+IF(AND(($E54+$C$1)&gt;AX$4,AX$4&gt;=$C$1),'General Inputs'!U$10*$J54,IF(AND(($D54+$C$1)&gt;AX$4,AX$4&gt;=$C$1),'General Inputs'!U$10*$I54,0))</f>
        <v>0</v>
      </c>
      <c r="AY54" s="214">
        <f>IF(AND(($E54+$C$1)&gt;AY$4,AY$4&gt;=$C$1),'General Inputs'!V$9*$H54,IF(AND(($D54+$C$1)&gt;AY$4,AY$4&gt;=$C$1),'General Inputs'!V$9*$G54,0))+IF(AND(($E54+$C$1)&gt;AY$4,AY$4&gt;=$C$1),'General Inputs'!V$10*$J54,IF(AND(($D54+$C$1)&gt;AY$4,AY$4&gt;=$C$1),'General Inputs'!V$10*$I54,0))</f>
        <v>0</v>
      </c>
      <c r="AZ54" s="214">
        <f>IF(AND(($E54+$C$1)&gt;AZ$4,AZ$4&gt;=$C$1),'General Inputs'!W$9*$H54,IF(AND(($D54+$C$1)&gt;AZ$4,AZ$4&gt;=$C$1),'General Inputs'!W$9*$G54,0))+IF(AND(($E54+$C$1)&gt;AZ$4,AZ$4&gt;=$C$1),'General Inputs'!W$10*$J54,IF(AND(($D54+$C$1)&gt;AZ$4,AZ$4&gt;=$C$1),'General Inputs'!W$10*$I54,0))</f>
        <v>0</v>
      </c>
      <c r="BB54" s="214">
        <f>IF(AND(($E54+$C$1)&gt;BB$4,BB$4&gt;=$C$1),'General Inputs'!D$11*$H54,IF(AND(($D54+$C$1)&gt;BB$4,BB$4&gt;=$C$1),'General Inputs'!D$11*$G54,0))</f>
        <v>343.52863128675006</v>
      </c>
      <c r="BC54" s="214">
        <f>IF(AND(($E54+$C$1)&gt;BC$4,BC$4&gt;=$C$1),'General Inputs'!E$11*$H54,IF(AND(($D54+$C$1)&gt;BC$4,BC$4&gt;=$C$1),'General Inputs'!E$11*$G54,0))</f>
        <v>343.52863128675006</v>
      </c>
      <c r="BD54" s="214">
        <f>IF(AND(($E54+$C$1)&gt;BD$4,BD$4&gt;=$C$1),'General Inputs'!F$11*$H54,IF(AND(($D54+$C$1)&gt;BD$4,BD$4&gt;=$C$1),'General Inputs'!F$11*$G54,0))</f>
        <v>343.52863128675006</v>
      </c>
      <c r="BE54" s="214">
        <f>IF(AND(($E54+$C$1)&gt;BE$4,BE$4&gt;=$C$1),'General Inputs'!G$11*$H54,IF(AND(($D54+$C$1)&gt;BE$4,BE$4&gt;=$C$1),'General Inputs'!G$11*$G54,0))</f>
        <v>343.52863128675006</v>
      </c>
      <c r="BF54" s="214">
        <f>IF(AND(($E54+$C$1)&gt;BF$4,BF$4&gt;=$C$1),'General Inputs'!H$11*$H54,IF(AND(($D54+$C$1)&gt;BF$4,BF$4&gt;=$C$1),'General Inputs'!H$11*$G54,0))</f>
        <v>343.52863128675006</v>
      </c>
      <c r="BG54" s="214">
        <f>IF(AND(($E54+$C$1)&gt;BG$4,BG$4&gt;=$C$1),'General Inputs'!I$11*$H54,IF(AND(($D54+$C$1)&gt;BG$4,BG$4&gt;=$C$1),'General Inputs'!I$11*$G54,0))</f>
        <v>343.52863128675006</v>
      </c>
      <c r="BH54" s="214">
        <f>IF(AND(($E54+$C$1)&gt;BH$4,BH$4&gt;=$C$1),'General Inputs'!J$11*$H54,IF(AND(($D54+$C$1)&gt;BH$4,BH$4&gt;=$C$1),'General Inputs'!J$11*$G54,0))</f>
        <v>0</v>
      </c>
      <c r="BI54" s="214">
        <f>IF(AND(($E54+$C$1)&gt;BI$4,BI$4&gt;=$C$1),'General Inputs'!K$11*$H54,IF(AND(($D54+$C$1)&gt;BI$4,BI$4&gt;=$C$1),'General Inputs'!K$11*$G54,0))</f>
        <v>0</v>
      </c>
      <c r="BJ54" s="214">
        <f>IF(AND(($E54+$C$1)&gt;BJ$4,BJ$4&gt;=$C$1),'General Inputs'!L$11*$H54,IF(AND(($D54+$C$1)&gt;BJ$4,BJ$4&gt;=$C$1),'General Inputs'!L$11*$G54,0))</f>
        <v>0</v>
      </c>
      <c r="BK54" s="214">
        <f>IF(AND(($E54+$C$1)&gt;BK$4,BK$4&gt;=$C$1),'General Inputs'!M$11*$H54,IF(AND(($D54+$C$1)&gt;BK$4,BK$4&gt;=$C$1),'General Inputs'!M$11*$G54,0))</f>
        <v>0</v>
      </c>
      <c r="BL54" s="214">
        <f>IF(AND(($E54+$C$1)&gt;BL$4,BL$4&gt;=$C$1),'General Inputs'!N$11*$H54,IF(AND(($D54+$C$1)&gt;BL$4,BL$4&gt;=$C$1),'General Inputs'!N$11*$G54,0))</f>
        <v>0</v>
      </c>
      <c r="BM54" s="214">
        <f>IF(AND(($E54+$C$1)&gt;BM$4,BM$4&gt;=$C$1),'General Inputs'!O$11*$H54,IF(AND(($D54+$C$1)&gt;BM$4,BM$4&gt;=$C$1),'General Inputs'!O$11*$G54,0))</f>
        <v>0</v>
      </c>
      <c r="BN54" s="214">
        <f>IF(AND(($E54+$C$1)&gt;BN$4,BN$4&gt;=$C$1),'General Inputs'!P$11*$H54,IF(AND(($D54+$C$1)&gt;BN$4,BN$4&gt;=$C$1),'General Inputs'!P$11*$G54,0))</f>
        <v>0</v>
      </c>
      <c r="BO54" s="214">
        <f>IF(AND(($E54+$C$1)&gt;BO$4,BO$4&gt;=$C$1),'General Inputs'!Q$11*$H54,IF(AND(($D54+$C$1)&gt;BO$4,BO$4&gt;=$C$1),'General Inputs'!Q$11*$G54,0))</f>
        <v>0</v>
      </c>
      <c r="BP54" s="214">
        <f>IF(AND(($E54+$C$1)&gt;BP$4,BP$4&gt;=$C$1),'General Inputs'!R$11*$H54,IF(AND(($D54+$C$1)&gt;BP$4,BP$4&gt;=$C$1),'General Inputs'!R$11*$G54,0))</f>
        <v>0</v>
      </c>
      <c r="BQ54" s="214">
        <f>IF(AND(($E54+$C$1)&gt;BQ$4,BQ$4&gt;=$C$1),'General Inputs'!S$11*$H54,IF(AND(($D54+$C$1)&gt;BQ$4,BQ$4&gt;=$C$1),'General Inputs'!S$11*$G54,0))</f>
        <v>0</v>
      </c>
      <c r="BR54" s="214">
        <f>IF(AND(($E54+$C$1)&gt;BR$4,BR$4&gt;=$C$1),'General Inputs'!T$11*$H54,IF(AND(($D54+$C$1)&gt;BR$4,BR$4&gt;=$C$1),'General Inputs'!T$11*$G54,0))</f>
        <v>0</v>
      </c>
      <c r="BS54" s="214">
        <f>IF(AND(($E54+$C$1)&gt;BS$4,BS$4&gt;=$C$1),'General Inputs'!U$11*$H54,IF(AND(($D54+$C$1)&gt;BS$4,BS$4&gt;=$C$1),'General Inputs'!U$11*$G54,0))</f>
        <v>0</v>
      </c>
      <c r="BT54" s="214">
        <f>IF(AND(($E54+$C$1)&gt;BT$4,BT$4&gt;=$C$1),'General Inputs'!V$11*$H54,IF(AND(($D54+$C$1)&gt;BT$4,BT$4&gt;=$C$1),'General Inputs'!V$11*$G54,0))</f>
        <v>0</v>
      </c>
      <c r="BU54" s="214">
        <f>IF(AND(($E54+$C$1)&gt;BU$4,BU$4&gt;=$C$1),'General Inputs'!W$11*$H54,IF(AND(($D54+$C$1)&gt;BU$4,BU$4&gt;=$C$1),'General Inputs'!W$11*$G54,0))</f>
        <v>0</v>
      </c>
      <c r="BW54" s="214">
        <f>IF(AND(($E54+$C$1)&gt;BW$4,BW$4&gt;=$C$1),$H54,IF(AND(($D54+$C$1)&gt;BW$4,BW$4&gt;=$C$1),$G54,0))*IF($A54="Residential",'General Inputs'!D$14,'General Inputs'!D$19)</f>
        <v>3148.0134757100373</v>
      </c>
      <c r="BX54" s="214">
        <f>IF(AND(($E54+$C$1)&gt;BX$4,BX$4&gt;=$C$1),$H54,IF(AND(($D54+$C$1)&gt;BX$4,BX$4&gt;=$C$1),$G54,0))*IF($A54="Residential",'General Inputs'!E$14,'General Inputs'!E$19)</f>
        <v>3195.2336778456875</v>
      </c>
      <c r="BY54" s="214">
        <f>IF(AND(($E54+$C$1)&gt;BY$4,BY$4&gt;=$C$1),$H54,IF(AND(($D54+$C$1)&gt;BY$4,BY$4&gt;=$C$1),$G54,0))*IF($A54="Residential",'General Inputs'!F$14,'General Inputs'!F$19)</f>
        <v>3243.1621830133731</v>
      </c>
      <c r="BZ54" s="214">
        <f>IF(AND(($E54+$C$1)&gt;BZ$4,BZ$4&gt;=$C$1),$H54,IF(AND(($D54+$C$1)&gt;BZ$4,BZ$4&gt;=$C$1),$G54,0))*IF($A54="Residential",'General Inputs'!G$14,'General Inputs'!G$19)</f>
        <v>3291.8096157585733</v>
      </c>
      <c r="CA54" s="214">
        <f>IF(AND(($E54+$C$1)&gt;CA$4,CA$4&gt;=$C$1),$H54,IF(AND(($D54+$C$1)&gt;CA$4,CA$4&gt;=$C$1),$G54,0))*IF($A54="Residential",'General Inputs'!H$14,'General Inputs'!H$19)</f>
        <v>3341.186759994951</v>
      </c>
      <c r="CB54" s="214">
        <f>IF(AND(($E54+$C$1)&gt;CB$4,CB$4&gt;=$C$1),$H54,IF(AND(($D54+$C$1)&gt;CB$4,CB$4&gt;=$C$1),$G54,0))*IF($A54="Residential",'General Inputs'!I$14,'General Inputs'!I$19)</f>
        <v>3391.3045613948748</v>
      </c>
      <c r="CC54" s="214">
        <f>IF(AND(($E54+$C$1)&gt;CC$4,CC$4&gt;=$C$1),$H54,IF(AND(($D54+$C$1)&gt;CC$4,CC$4&gt;=$C$1),$G54,0))*IF($A54="Residential",'General Inputs'!J$14,'General Inputs'!J$19)</f>
        <v>0</v>
      </c>
      <c r="CD54" s="214">
        <f>IF(AND(($E54+$C$1)&gt;CD$4,CD$4&gt;=$C$1),$H54,IF(AND(($D54+$C$1)&gt;CD$4,CD$4&gt;=$C$1),$G54,0))*IF($A54="Residential",'General Inputs'!K$14,'General Inputs'!K$19)</f>
        <v>0</v>
      </c>
      <c r="CE54" s="214">
        <f>IF(AND(($E54+$C$1)&gt;CE$4,CE$4&gt;=$C$1),$H54,IF(AND(($D54+$C$1)&gt;CE$4,CE$4&gt;=$C$1),$G54,0))*IF($A54="Residential",'General Inputs'!L$14,'General Inputs'!L$19)</f>
        <v>0</v>
      </c>
      <c r="CF54" s="214">
        <f>IF(AND(($E54+$C$1)&gt;CF$4,CF$4&gt;=$C$1),$H54,IF(AND(($D54+$C$1)&gt;CF$4,CF$4&gt;=$C$1),$G54,0))*IF($A54="Residential",'General Inputs'!M$14,'General Inputs'!M$19)</f>
        <v>0</v>
      </c>
      <c r="CG54" s="214">
        <f>IF(AND(($E54+$C$1)&gt;CG$4,CG$4&gt;=$C$1),$H54,IF(AND(($D54+$C$1)&gt;CG$4,CG$4&gt;=$C$1),$G54,0))*IF($A54="Residential",'General Inputs'!N$14,'General Inputs'!N$19)</f>
        <v>0</v>
      </c>
      <c r="CH54" s="214">
        <f>IF(AND(($E54+$C$1)&gt;CH$4,CH$4&gt;=$C$1),$H54,IF(AND(($D54+$C$1)&gt;CH$4,CH$4&gt;=$C$1),$G54,0))*IF($A54="Residential",'General Inputs'!O$14,'General Inputs'!O$19)</f>
        <v>0</v>
      </c>
      <c r="CI54" s="214">
        <f>IF(AND(($E54+$C$1)&gt;CI$4,CI$4&gt;=$C$1),$H54,IF(AND(($D54+$C$1)&gt;CI$4,CI$4&gt;=$C$1),$G54,0))*IF($A54="Residential",'General Inputs'!P$14,'General Inputs'!P$19)</f>
        <v>0</v>
      </c>
      <c r="CJ54" s="214">
        <f>IF(AND(($E54+$C$1)&gt;CJ$4,CJ$4&gt;=$C$1),$H54,IF(AND(($D54+$C$1)&gt;CJ$4,CJ$4&gt;=$C$1),$G54,0))*IF($A54="Residential",'General Inputs'!Q$14,'General Inputs'!Q$19)</f>
        <v>0</v>
      </c>
      <c r="CK54" s="214">
        <f>IF(AND(($E54+$C$1)&gt;CK$4,CK$4&gt;=$C$1),$H54,IF(AND(($D54+$C$1)&gt;CK$4,CK$4&gt;=$C$1),$G54,0))*IF($A54="Residential",'General Inputs'!R$14,'General Inputs'!R$19)</f>
        <v>0</v>
      </c>
      <c r="CL54" s="214">
        <f>IF(AND(($E54+$C$1)&gt;CL$4,CL$4&gt;=$C$1),$H54,IF(AND(($D54+$C$1)&gt;CL$4,CL$4&gt;=$C$1),$G54,0))*IF($A54="Residential",'General Inputs'!S$14,'General Inputs'!S$19)</f>
        <v>0</v>
      </c>
      <c r="CM54" s="214">
        <f>IF(AND(($E54+$C$1)&gt;CM$4,CM$4&gt;=$C$1),$H54,IF(AND(($D54+$C$1)&gt;CM$4,CM$4&gt;=$C$1),$G54,0))*IF($A54="Residential",'General Inputs'!T$14,'General Inputs'!T$19)</f>
        <v>0</v>
      </c>
      <c r="CN54" s="214">
        <f>IF(AND(($E54+$C$1)&gt;CN$4,CN$4&gt;=$C$1),$H54,IF(AND(($D54+$C$1)&gt;CN$4,CN$4&gt;=$C$1),$G54,0))*IF($A54="Residential",'General Inputs'!U$14,'General Inputs'!U$19)</f>
        <v>0</v>
      </c>
      <c r="CO54" s="214">
        <f>IF(AND(($E54+$C$1)&gt;CO$4,CO$4&gt;=$C$1),$H54,IF(AND(($D54+$C$1)&gt;CO$4,CO$4&gt;=$C$1),$G54,0))*IF($A54="Residential",'General Inputs'!V$14,'General Inputs'!V$19)</f>
        <v>0</v>
      </c>
      <c r="CP54" s="214">
        <f>IF(AND(($E54+$C$1)&gt;CP$4,CP$4&gt;=$C$1),$H54,IF(AND(($D54+$C$1)&gt;CP$4,CP$4&gt;=$C$1),$G54,0))*IF($A54="Residential",'General Inputs'!W$14,'General Inputs'!W$19)</f>
        <v>0</v>
      </c>
      <c r="CR54" s="214">
        <f>IF(AND(($E54+$C$1)&gt;CR$4,CR$4&gt;=$C$1),$H54,IF(AND(($D54+$C$1)&gt;CR$4,CR$4&gt;=$C$1),$G54,0))*IF($A54="Residential",'General Inputs'!D$15,'General Inputs'!D$19)</f>
        <v>3148.0134757100373</v>
      </c>
      <c r="CS54" s="214">
        <f>IF(AND(($E54+$C$1)&gt;CS$4,CS$4&gt;=$C$1),$H54,IF(AND(($D54+$C$1)&gt;CS$4,CS$4&gt;=$C$1),$G54,0))*IF($A54="Residential",'General Inputs'!E$15,'General Inputs'!E$19)</f>
        <v>3195.2336778456875</v>
      </c>
      <c r="CT54" s="214">
        <f>IF(AND(($E54+$C$1)&gt;CT$4,CT$4&gt;=$C$1),$H54,IF(AND(($D54+$C$1)&gt;CT$4,CT$4&gt;=$C$1),$G54,0))*IF($A54="Residential",'General Inputs'!F$15,'General Inputs'!F$19)</f>
        <v>3243.1621830133731</v>
      </c>
      <c r="CU54" s="214">
        <f>IF(AND(($E54+$C$1)&gt;CU$4,CU$4&gt;=$C$1),$H54,IF(AND(($D54+$C$1)&gt;CU$4,CU$4&gt;=$C$1),$G54,0))*IF($A54="Residential",'General Inputs'!G$15,'General Inputs'!G$19)</f>
        <v>3291.8096157585733</v>
      </c>
      <c r="CV54" s="214">
        <f>IF(AND(($E54+$C$1)&gt;CV$4,CV$4&gt;=$C$1),$H54,IF(AND(($D54+$C$1)&gt;CV$4,CV$4&gt;=$C$1),$G54,0))*IF($A54="Residential",'General Inputs'!H$15,'General Inputs'!H$19)</f>
        <v>3341.186759994951</v>
      </c>
      <c r="CW54" s="214">
        <f>IF(AND(($E54+$C$1)&gt;CW$4,CW$4&gt;=$C$1),$H54,IF(AND(($D54+$C$1)&gt;CW$4,CW$4&gt;=$C$1),$G54,0))*IF($A54="Residential",'General Inputs'!I$15,'General Inputs'!I$19)</f>
        <v>3391.3045613948748</v>
      </c>
      <c r="CX54" s="214">
        <f>IF(AND(($E54+$C$1)&gt;CX$4,CX$4&gt;=$C$1),$H54,IF(AND(($D54+$C$1)&gt;CX$4,CX$4&gt;=$C$1),$G54,0))*IF($A54="Residential",'General Inputs'!J$15,'General Inputs'!J$19)</f>
        <v>0</v>
      </c>
      <c r="CY54" s="214">
        <f>IF(AND(($E54+$C$1)&gt;CY$4,CY$4&gt;=$C$1),$H54,IF(AND(($D54+$C$1)&gt;CY$4,CY$4&gt;=$C$1),$G54,0))*IF($A54="Residential",'General Inputs'!K$15,'General Inputs'!K$19)</f>
        <v>0</v>
      </c>
      <c r="CZ54" s="214">
        <f>IF(AND(($E54+$C$1)&gt;CZ$4,CZ$4&gt;=$C$1),$H54,IF(AND(($D54+$C$1)&gt;CZ$4,CZ$4&gt;=$C$1),$G54,0))*IF($A54="Residential",'General Inputs'!L$15,'General Inputs'!L$19)</f>
        <v>0</v>
      </c>
      <c r="DA54" s="214">
        <f>IF(AND(($E54+$C$1)&gt;DA$4,DA$4&gt;=$C$1),$H54,IF(AND(($D54+$C$1)&gt;DA$4,DA$4&gt;=$C$1),$G54,0))*IF($A54="Residential",'General Inputs'!M$15,'General Inputs'!M$19)</f>
        <v>0</v>
      </c>
      <c r="DB54" s="214">
        <f>IF(AND(($E54+$C$1)&gt;DB$4,DB$4&gt;=$C$1),$H54,IF(AND(($D54+$C$1)&gt;DB$4,DB$4&gt;=$C$1),$G54,0))*IF($A54="Residential",'General Inputs'!N$15,'General Inputs'!N$19)</f>
        <v>0</v>
      </c>
      <c r="DC54" s="214">
        <f>IF(AND(($E54+$C$1)&gt;DC$4,DC$4&gt;=$C$1),$H54,IF(AND(($D54+$C$1)&gt;DC$4,DC$4&gt;=$C$1),$G54,0))*IF($A54="Residential",'General Inputs'!O$15,'General Inputs'!O$19)</f>
        <v>0</v>
      </c>
      <c r="DD54" s="214">
        <f>IF(AND(($E54+$C$1)&gt;DD$4,DD$4&gt;=$C$1),$H54,IF(AND(($D54+$C$1)&gt;DD$4,DD$4&gt;=$C$1),$G54,0))*IF($A54="Residential",'General Inputs'!P$15,'General Inputs'!P$19)</f>
        <v>0</v>
      </c>
      <c r="DE54" s="214">
        <f>IF(AND(($E54+$C$1)&gt;DE$4,DE$4&gt;=$C$1),$H54,IF(AND(($D54+$C$1)&gt;DE$4,DE$4&gt;=$C$1),$G54,0))*IF($A54="Residential",'General Inputs'!Q$15,'General Inputs'!Q$19)</f>
        <v>0</v>
      </c>
      <c r="DF54" s="214">
        <f>IF(AND(($E54+$C$1)&gt;DF$4,DF$4&gt;=$C$1),$H54,IF(AND(($D54+$C$1)&gt;DF$4,DF$4&gt;=$C$1),$G54,0))*IF($A54="Residential",'General Inputs'!R$15,'General Inputs'!R$19)</f>
        <v>0</v>
      </c>
      <c r="DG54" s="214">
        <f>IF(AND(($E54+$C$1)&gt;DG$4,DG$4&gt;=$C$1),$H54,IF(AND(($D54+$C$1)&gt;DG$4,DG$4&gt;=$C$1),$G54,0))*IF($A54="Residential",'General Inputs'!S$15,'General Inputs'!S$19)</f>
        <v>0</v>
      </c>
      <c r="DH54" s="214">
        <f>IF(AND(($E54+$C$1)&gt;DH$4,DH$4&gt;=$C$1),$H54,IF(AND(($D54+$C$1)&gt;DH$4,DH$4&gt;=$C$1),$G54,0))*IF($A54="Residential",'General Inputs'!T$15,'General Inputs'!T$19)</f>
        <v>0</v>
      </c>
      <c r="DI54" s="214">
        <f>IF(AND(($E54+$C$1)&gt;DI$4,DI$4&gt;=$C$1),$H54,IF(AND(($D54+$C$1)&gt;DI$4,DI$4&gt;=$C$1),$G54,0))*IF($A54="Residential",'General Inputs'!U$15,'General Inputs'!U$19)</f>
        <v>0</v>
      </c>
      <c r="DJ54" s="214">
        <f>IF(AND(($E54+$C$1)&gt;DJ$4,DJ$4&gt;=$C$1),$H54,IF(AND(($D54+$C$1)&gt;DJ$4,DJ$4&gt;=$C$1),$G54,0))*IF($A54="Residential",'General Inputs'!V$15,'General Inputs'!V$19)</f>
        <v>0</v>
      </c>
      <c r="DK54" s="214">
        <f>IF(AND(($E54+$C$1)&gt;DK$4,DK$4&gt;=$C$1),$H54,IF(AND(($D54+$C$1)&gt;DK$4,DK$4&gt;=$C$1),$G54,0))*IF($A54="Residential",'General Inputs'!W$15,'General Inputs'!W$19)</f>
        <v>0</v>
      </c>
      <c r="DM54" s="214">
        <f t="shared" si="441"/>
        <v>1482</v>
      </c>
      <c r="DN54" s="214">
        <f t="shared" si="441"/>
        <v>0</v>
      </c>
      <c r="DO54" s="214">
        <f t="shared" si="441"/>
        <v>0</v>
      </c>
      <c r="DP54" s="214">
        <f t="shared" si="441"/>
        <v>0</v>
      </c>
      <c r="DQ54" s="214">
        <f t="shared" si="441"/>
        <v>0</v>
      </c>
      <c r="DR54" s="214">
        <f t="shared" si="441"/>
        <v>0</v>
      </c>
      <c r="DS54" s="214">
        <f t="shared" si="441"/>
        <v>0</v>
      </c>
      <c r="DT54" s="214">
        <f t="shared" si="441"/>
        <v>0</v>
      </c>
      <c r="DU54" s="214">
        <f t="shared" si="441"/>
        <v>0</v>
      </c>
      <c r="DV54" s="214">
        <f t="shared" si="441"/>
        <v>0</v>
      </c>
      <c r="DW54" s="214">
        <f t="shared" si="441"/>
        <v>0</v>
      </c>
      <c r="DZ54" s="650"/>
      <c r="FI54" s="195"/>
      <c r="FJ54" s="195"/>
      <c r="FK54" s="195"/>
      <c r="FL54" s="195"/>
      <c r="FM54" s="195"/>
      <c r="FN54" s="195"/>
      <c r="FO54" s="195"/>
    </row>
    <row r="55" spans="1:171">
      <c r="A55" s="342" t="s">
        <v>112</v>
      </c>
      <c r="B55" s="427" t="str">
        <f>'Portfolio Inputs'!A54</f>
        <v>Fluorescent Fixture Specular Reflector 4-ft</v>
      </c>
      <c r="C55" s="217">
        <f>IF($C$1=2014,'Portfolio Inputs'!$C54,IF($C$1=2015,'Portfolio Inputs'!$D54,'Portfolio Inputs'!$E54))</f>
        <v>0</v>
      </c>
      <c r="D55" s="504">
        <f>VLOOKUP(B55,Sources!$B$4:$J$104,2,FALSE)</f>
        <v>15</v>
      </c>
      <c r="E55" s="504">
        <f>VLOOKUP(B55,Sources!$B$4:$J$104,3,FALSE)</f>
        <v>0</v>
      </c>
      <c r="G55" s="504">
        <f>IF($C$1=2014,'Portfolio Inputs'!$G54,IF($C$1=2015,'Portfolio Inputs'!$H54,'Portfolio Inputs'!$I54))*EnergyLineLoss</f>
        <v>0</v>
      </c>
      <c r="H55" s="504"/>
      <c r="I55" s="595">
        <f>IF($C$1=2014,'Portfolio Inputs'!$K54,IF($C$1=2015,'Portfolio Inputs'!$L54,'Portfolio Inputs'!$M54))*PeakLineLoss</f>
        <v>0</v>
      </c>
      <c r="J55" s="510"/>
      <c r="L55" s="606">
        <f>IF($C$1=2014,'Portfolio Inputs'!$O54,IF($C$1=2015,'Portfolio Inputs'!$P54,'Portfolio Inputs'!$Q54))</f>
        <v>30</v>
      </c>
      <c r="M55" s="518">
        <f>VLOOKUP($B55,Sources!$B$4:$K$104,10,FALSE)</f>
        <v>0</v>
      </c>
      <c r="N55" s="419">
        <f>IF($C$1=2014,'Portfolio Inputs'!$W54,IF($C$1=2015,'Portfolio Inputs'!$X54,'Portfolio Inputs'!$Y54))</f>
        <v>0</v>
      </c>
      <c r="O55" s="419">
        <f>IF($C$1=2014,'Portfolio Inputs'!$AA54,IF($C$1=2015,'Portfolio Inputs'!$AB54,'Portfolio Inputs'!$AC54))</f>
        <v>0</v>
      </c>
      <c r="Q55" s="438" t="str">
        <f t="shared" si="442"/>
        <v>n/a</v>
      </c>
      <c r="R55" s="439" t="str">
        <f t="shared" si="443"/>
        <v>n/a</v>
      </c>
      <c r="S55" s="439" t="str">
        <f t="shared" si="444"/>
        <v>n/a</v>
      </c>
      <c r="T55" s="439" t="str">
        <f t="shared" si="445"/>
        <v>n/a</v>
      </c>
      <c r="U55" s="439" t="str">
        <f t="shared" si="446"/>
        <v>n/a</v>
      </c>
      <c r="V55" s="439" t="str">
        <f t="shared" si="447"/>
        <v>n/a</v>
      </c>
      <c r="W55" s="439" t="str">
        <f t="shared" si="448"/>
        <v>n/a</v>
      </c>
      <c r="Y55" s="215">
        <f t="shared" si="449"/>
        <v>0</v>
      </c>
      <c r="Z55" s="215">
        <f t="shared" si="450"/>
        <v>0</v>
      </c>
      <c r="AA55" s="215">
        <f t="shared" si="451"/>
        <v>0</v>
      </c>
      <c r="AB55" s="215">
        <f t="shared" si="452"/>
        <v>0</v>
      </c>
      <c r="AC55" s="216">
        <f t="shared" si="453"/>
        <v>0</v>
      </c>
      <c r="AD55" s="216">
        <f t="shared" si="454"/>
        <v>0</v>
      </c>
      <c r="AE55" s="215">
        <f t="shared" si="455"/>
        <v>0</v>
      </c>
      <c r="AG55" s="214">
        <f>IF(AND(($E55+$C$1)&gt;AG$4,AG$4&gt;=$C$1),'General Inputs'!D$9*$H55,IF(AND(($D55+$C$1)&gt;AG$4,AG$4&gt;=$C$1),'General Inputs'!D$9*$G55,0))+IF(AND(($E55+$C$1)&gt;AG$4,AG$4&gt;=$C$1),'General Inputs'!D$10*$J55,IF(AND(($D55+$C$1)&gt;AG$4,AG$4&gt;=$C$1),'General Inputs'!D$10*$I55,0))</f>
        <v>0</v>
      </c>
      <c r="AH55" s="214">
        <f>IF(AND(($E55+$C$1)&gt;AH$4,AH$4&gt;=$C$1),'General Inputs'!E$9*$H55,IF(AND(($D55+$C$1)&gt;AH$4,AH$4&gt;=$C$1),'General Inputs'!E$9*$G55,0))+IF(AND(($E55+$C$1)&gt;AH$4,AH$4&gt;=$C$1),'General Inputs'!E$10*$J55,IF(AND(($D55+$C$1)&gt;AH$4,AH$4&gt;=$C$1),'General Inputs'!E$10*$I55,0))</f>
        <v>0</v>
      </c>
      <c r="AI55" s="214">
        <f>IF(AND(($E55+$C$1)&gt;AI$4,AI$4&gt;=$C$1),'General Inputs'!F$9*$H55,IF(AND(($D55+$C$1)&gt;AI$4,AI$4&gt;=$C$1),'General Inputs'!F$9*$G55,0))+IF(AND(($E55+$C$1)&gt;AI$4,AI$4&gt;=$C$1),'General Inputs'!F$10*$J55,IF(AND(($D55+$C$1)&gt;AI$4,AI$4&gt;=$C$1),'General Inputs'!F$10*$I55,0))</f>
        <v>0</v>
      </c>
      <c r="AJ55" s="214">
        <f>IF(AND(($E55+$C$1)&gt;AJ$4,AJ$4&gt;=$C$1),'General Inputs'!G$9*$H55,IF(AND(($D55+$C$1)&gt;AJ$4,AJ$4&gt;=$C$1),'General Inputs'!G$9*$G55,0))+IF(AND(($E55+$C$1)&gt;AJ$4,AJ$4&gt;=$C$1),'General Inputs'!G$10*$J55,IF(AND(($D55+$C$1)&gt;AJ$4,AJ$4&gt;=$C$1),'General Inputs'!G$10*$I55,0))</f>
        <v>0</v>
      </c>
      <c r="AK55" s="214">
        <f>IF(AND(($E55+$C$1)&gt;AK$4,AK$4&gt;=$C$1),'General Inputs'!H$9*$H55,IF(AND(($D55+$C$1)&gt;AK$4,AK$4&gt;=$C$1),'General Inputs'!H$9*$G55,0))+IF(AND(($E55+$C$1)&gt;AK$4,AK$4&gt;=$C$1),'General Inputs'!H$10*$J55,IF(AND(($D55+$C$1)&gt;AK$4,AK$4&gt;=$C$1),'General Inputs'!H$10*$I55,0))</f>
        <v>0</v>
      </c>
      <c r="AL55" s="214">
        <f>IF(AND(($E55+$C$1)&gt;AL$4,AL$4&gt;=$C$1),'General Inputs'!I$9*$H55,IF(AND(($D55+$C$1)&gt;AL$4,AL$4&gt;=$C$1),'General Inputs'!I$9*$G55,0))+IF(AND(($E55+$C$1)&gt;AL$4,AL$4&gt;=$C$1),'General Inputs'!I$10*$J55,IF(AND(($D55+$C$1)&gt;AL$4,AL$4&gt;=$C$1),'General Inputs'!I$10*$I55,0))</f>
        <v>0</v>
      </c>
      <c r="AM55" s="214">
        <f>IF(AND(($E55+$C$1)&gt;AM$4,AM$4&gt;=$C$1),'General Inputs'!J$9*$H55,IF(AND(($D55+$C$1)&gt;AM$4,AM$4&gt;=$C$1),'General Inputs'!J$9*$G55,0))+IF(AND(($E55+$C$1)&gt;AM$4,AM$4&gt;=$C$1),'General Inputs'!J$10*$J55,IF(AND(($D55+$C$1)&gt;AM$4,AM$4&gt;=$C$1),'General Inputs'!J$10*$I55,0))</f>
        <v>0</v>
      </c>
      <c r="AN55" s="214">
        <f>IF(AND(($E55+$C$1)&gt;AN$4,AN$4&gt;=$C$1),'General Inputs'!K$9*$H55,IF(AND(($D55+$C$1)&gt;AN$4,AN$4&gt;=$C$1),'General Inputs'!K$9*$G55,0))+IF(AND(($E55+$C$1)&gt;AN$4,AN$4&gt;=$C$1),'General Inputs'!K$10*$J55,IF(AND(($D55+$C$1)&gt;AN$4,AN$4&gt;=$C$1),'General Inputs'!K$10*$I55,0))</f>
        <v>0</v>
      </c>
      <c r="AO55" s="214">
        <f>IF(AND(($E55+$C$1)&gt;AO$4,AO$4&gt;=$C$1),'General Inputs'!L$9*$H55,IF(AND(($D55+$C$1)&gt;AO$4,AO$4&gt;=$C$1),'General Inputs'!L$9*$G55,0))+IF(AND(($E55+$C$1)&gt;AO$4,AO$4&gt;=$C$1),'General Inputs'!L$10*$J55,IF(AND(($D55+$C$1)&gt;AO$4,AO$4&gt;=$C$1),'General Inputs'!L$10*$I55,0))</f>
        <v>0</v>
      </c>
      <c r="AP55" s="214">
        <f>IF(AND(($E55+$C$1)&gt;AP$4,AP$4&gt;=$C$1),'General Inputs'!M$9*$H55,IF(AND(($D55+$C$1)&gt;AP$4,AP$4&gt;=$C$1),'General Inputs'!M$9*$G55,0))+IF(AND(($E55+$C$1)&gt;AP$4,AP$4&gt;=$C$1),'General Inputs'!M$10*$J55,IF(AND(($D55+$C$1)&gt;AP$4,AP$4&gt;=$C$1),'General Inputs'!M$10*$I55,0))</f>
        <v>0</v>
      </c>
      <c r="AQ55" s="214">
        <f>IF(AND(($E55+$C$1)&gt;AQ$4,AQ$4&gt;=$C$1),'General Inputs'!N$9*$H55,IF(AND(($D55+$C$1)&gt;AQ$4,AQ$4&gt;=$C$1),'General Inputs'!N$9*$G55,0))+IF(AND(($E55+$C$1)&gt;AQ$4,AQ$4&gt;=$C$1),'General Inputs'!N$10*$J55,IF(AND(($D55+$C$1)&gt;AQ$4,AQ$4&gt;=$C$1),'General Inputs'!N$10*$I55,0))</f>
        <v>0</v>
      </c>
      <c r="AR55" s="214">
        <f>IF(AND(($E55+$C$1)&gt;AR$4,AR$4&gt;=$C$1),'General Inputs'!O$9*$H55,IF(AND(($D55+$C$1)&gt;AR$4,AR$4&gt;=$C$1),'General Inputs'!O$9*$G55,0))+IF(AND(($E55+$C$1)&gt;AR$4,AR$4&gt;=$C$1),'General Inputs'!O$10*$J55,IF(AND(($D55+$C$1)&gt;AR$4,AR$4&gt;=$C$1),'General Inputs'!O$10*$I55,0))</f>
        <v>0</v>
      </c>
      <c r="AS55" s="214">
        <f>IF(AND(($E55+$C$1)&gt;AS$4,AS$4&gt;=$C$1),'General Inputs'!P$9*$H55,IF(AND(($D55+$C$1)&gt;AS$4,AS$4&gt;=$C$1),'General Inputs'!P$9*$G55,0))+IF(AND(($E55+$C$1)&gt;AS$4,AS$4&gt;=$C$1),'General Inputs'!P$10*$J55,IF(AND(($D55+$C$1)&gt;AS$4,AS$4&gt;=$C$1),'General Inputs'!P$10*$I55,0))</f>
        <v>0</v>
      </c>
      <c r="AT55" s="214">
        <f>IF(AND(($E55+$C$1)&gt;AT$4,AT$4&gt;=$C$1),'General Inputs'!Q$9*$H55,IF(AND(($D55+$C$1)&gt;AT$4,AT$4&gt;=$C$1),'General Inputs'!Q$9*$G55,0))+IF(AND(($E55+$C$1)&gt;AT$4,AT$4&gt;=$C$1),'General Inputs'!Q$10*$J55,IF(AND(($D55+$C$1)&gt;AT$4,AT$4&gt;=$C$1),'General Inputs'!Q$10*$I55,0))</f>
        <v>0</v>
      </c>
      <c r="AU55" s="214">
        <f>IF(AND(($E55+$C$1)&gt;AU$4,AU$4&gt;=$C$1),'General Inputs'!R$9*$H55,IF(AND(($D55+$C$1)&gt;AU$4,AU$4&gt;=$C$1),'General Inputs'!R$9*$G55,0))+IF(AND(($E55+$C$1)&gt;AU$4,AU$4&gt;=$C$1),'General Inputs'!R$10*$J55,IF(AND(($D55+$C$1)&gt;AU$4,AU$4&gt;=$C$1),'General Inputs'!R$10*$I55,0))</f>
        <v>0</v>
      </c>
      <c r="AV55" s="214">
        <f>IF(AND(($E55+$C$1)&gt;AV$4,AV$4&gt;=$C$1),'General Inputs'!S$9*$H55,IF(AND(($D55+$C$1)&gt;AV$4,AV$4&gt;=$C$1),'General Inputs'!S$9*$G55,0))+IF(AND(($E55+$C$1)&gt;AV$4,AV$4&gt;=$C$1),'General Inputs'!S$10*$J55,IF(AND(($D55+$C$1)&gt;AV$4,AV$4&gt;=$C$1),'General Inputs'!S$10*$I55,0))</f>
        <v>0</v>
      </c>
      <c r="AW55" s="214">
        <f>IF(AND(($E55+$C$1)&gt;AW$4,AW$4&gt;=$C$1),'General Inputs'!T$9*$H55,IF(AND(($D55+$C$1)&gt;AW$4,AW$4&gt;=$C$1),'General Inputs'!T$9*$G55,0))+IF(AND(($E55+$C$1)&gt;AW$4,AW$4&gt;=$C$1),'General Inputs'!T$10*$J55,IF(AND(($D55+$C$1)&gt;AW$4,AW$4&gt;=$C$1),'General Inputs'!T$10*$I55,0))</f>
        <v>0</v>
      </c>
      <c r="AX55" s="214">
        <f>IF(AND(($E55+$C$1)&gt;AX$4,AX$4&gt;=$C$1),'General Inputs'!U$9*$H55,IF(AND(($D55+$C$1)&gt;AX$4,AX$4&gt;=$C$1),'General Inputs'!U$9*$G55,0))+IF(AND(($E55+$C$1)&gt;AX$4,AX$4&gt;=$C$1),'General Inputs'!U$10*$J55,IF(AND(($D55+$C$1)&gt;AX$4,AX$4&gt;=$C$1),'General Inputs'!U$10*$I55,0))</f>
        <v>0</v>
      </c>
      <c r="AY55" s="214">
        <f>IF(AND(($E55+$C$1)&gt;AY$4,AY$4&gt;=$C$1),'General Inputs'!V$9*$H55,IF(AND(($D55+$C$1)&gt;AY$4,AY$4&gt;=$C$1),'General Inputs'!V$9*$G55,0))+IF(AND(($E55+$C$1)&gt;AY$4,AY$4&gt;=$C$1),'General Inputs'!V$10*$J55,IF(AND(($D55+$C$1)&gt;AY$4,AY$4&gt;=$C$1),'General Inputs'!V$10*$I55,0))</f>
        <v>0</v>
      </c>
      <c r="AZ55" s="214">
        <f>IF(AND(($E55+$C$1)&gt;AZ$4,AZ$4&gt;=$C$1),'General Inputs'!W$9*$H55,IF(AND(($D55+$C$1)&gt;AZ$4,AZ$4&gt;=$C$1),'General Inputs'!W$9*$G55,0))+IF(AND(($E55+$C$1)&gt;AZ$4,AZ$4&gt;=$C$1),'General Inputs'!W$10*$J55,IF(AND(($D55+$C$1)&gt;AZ$4,AZ$4&gt;=$C$1),'General Inputs'!W$10*$I55,0))</f>
        <v>0</v>
      </c>
      <c r="BB55" s="214">
        <f>IF(AND(($E55+$C$1)&gt;BB$4,BB$4&gt;=$C$1),'General Inputs'!D$11*$H55,IF(AND(($D55+$C$1)&gt;BB$4,BB$4&gt;=$C$1),'General Inputs'!D$11*$G55,0))</f>
        <v>0</v>
      </c>
      <c r="BC55" s="214">
        <f>IF(AND(($E55+$C$1)&gt;BC$4,BC$4&gt;=$C$1),'General Inputs'!E$11*$H55,IF(AND(($D55+$C$1)&gt;BC$4,BC$4&gt;=$C$1),'General Inputs'!E$11*$G55,0))</f>
        <v>0</v>
      </c>
      <c r="BD55" s="214">
        <f>IF(AND(($E55+$C$1)&gt;BD$4,BD$4&gt;=$C$1),'General Inputs'!F$11*$H55,IF(AND(($D55+$C$1)&gt;BD$4,BD$4&gt;=$C$1),'General Inputs'!F$11*$G55,0))</f>
        <v>0</v>
      </c>
      <c r="BE55" s="214">
        <f>IF(AND(($E55+$C$1)&gt;BE$4,BE$4&gt;=$C$1),'General Inputs'!G$11*$H55,IF(AND(($D55+$C$1)&gt;BE$4,BE$4&gt;=$C$1),'General Inputs'!G$11*$G55,0))</f>
        <v>0</v>
      </c>
      <c r="BF55" s="214">
        <f>IF(AND(($E55+$C$1)&gt;BF$4,BF$4&gt;=$C$1),'General Inputs'!H$11*$H55,IF(AND(($D55+$C$1)&gt;BF$4,BF$4&gt;=$C$1),'General Inputs'!H$11*$G55,0))</f>
        <v>0</v>
      </c>
      <c r="BG55" s="214">
        <f>IF(AND(($E55+$C$1)&gt;BG$4,BG$4&gt;=$C$1),'General Inputs'!I$11*$H55,IF(AND(($D55+$C$1)&gt;BG$4,BG$4&gt;=$C$1),'General Inputs'!I$11*$G55,0))</f>
        <v>0</v>
      </c>
      <c r="BH55" s="214">
        <f>IF(AND(($E55+$C$1)&gt;BH$4,BH$4&gt;=$C$1),'General Inputs'!J$11*$H55,IF(AND(($D55+$C$1)&gt;BH$4,BH$4&gt;=$C$1),'General Inputs'!J$11*$G55,0))</f>
        <v>0</v>
      </c>
      <c r="BI55" s="214">
        <f>IF(AND(($E55+$C$1)&gt;BI$4,BI$4&gt;=$C$1),'General Inputs'!K$11*$H55,IF(AND(($D55+$C$1)&gt;BI$4,BI$4&gt;=$C$1),'General Inputs'!K$11*$G55,0))</f>
        <v>0</v>
      </c>
      <c r="BJ55" s="214">
        <f>IF(AND(($E55+$C$1)&gt;BJ$4,BJ$4&gt;=$C$1),'General Inputs'!L$11*$H55,IF(AND(($D55+$C$1)&gt;BJ$4,BJ$4&gt;=$C$1),'General Inputs'!L$11*$G55,0))</f>
        <v>0</v>
      </c>
      <c r="BK55" s="214">
        <f>IF(AND(($E55+$C$1)&gt;BK$4,BK$4&gt;=$C$1),'General Inputs'!M$11*$H55,IF(AND(($D55+$C$1)&gt;BK$4,BK$4&gt;=$C$1),'General Inputs'!M$11*$G55,0))</f>
        <v>0</v>
      </c>
      <c r="BL55" s="214">
        <f>IF(AND(($E55+$C$1)&gt;BL$4,BL$4&gt;=$C$1),'General Inputs'!N$11*$H55,IF(AND(($D55+$C$1)&gt;BL$4,BL$4&gt;=$C$1),'General Inputs'!N$11*$G55,0))</f>
        <v>0</v>
      </c>
      <c r="BM55" s="214">
        <f>IF(AND(($E55+$C$1)&gt;BM$4,BM$4&gt;=$C$1),'General Inputs'!O$11*$H55,IF(AND(($D55+$C$1)&gt;BM$4,BM$4&gt;=$C$1),'General Inputs'!O$11*$G55,0))</f>
        <v>0</v>
      </c>
      <c r="BN55" s="214">
        <f>IF(AND(($E55+$C$1)&gt;BN$4,BN$4&gt;=$C$1),'General Inputs'!P$11*$H55,IF(AND(($D55+$C$1)&gt;BN$4,BN$4&gt;=$C$1),'General Inputs'!P$11*$G55,0))</f>
        <v>0</v>
      </c>
      <c r="BO55" s="214">
        <f>IF(AND(($E55+$C$1)&gt;BO$4,BO$4&gt;=$C$1),'General Inputs'!Q$11*$H55,IF(AND(($D55+$C$1)&gt;BO$4,BO$4&gt;=$C$1),'General Inputs'!Q$11*$G55,0))</f>
        <v>0</v>
      </c>
      <c r="BP55" s="214">
        <f>IF(AND(($E55+$C$1)&gt;BP$4,BP$4&gt;=$C$1),'General Inputs'!R$11*$H55,IF(AND(($D55+$C$1)&gt;BP$4,BP$4&gt;=$C$1),'General Inputs'!R$11*$G55,0))</f>
        <v>0</v>
      </c>
      <c r="BQ55" s="214">
        <f>IF(AND(($E55+$C$1)&gt;BQ$4,BQ$4&gt;=$C$1),'General Inputs'!S$11*$H55,IF(AND(($D55+$C$1)&gt;BQ$4,BQ$4&gt;=$C$1),'General Inputs'!S$11*$G55,0))</f>
        <v>0</v>
      </c>
      <c r="BR55" s="214">
        <f>IF(AND(($E55+$C$1)&gt;BR$4,BR$4&gt;=$C$1),'General Inputs'!T$11*$H55,IF(AND(($D55+$C$1)&gt;BR$4,BR$4&gt;=$C$1),'General Inputs'!T$11*$G55,0))</f>
        <v>0</v>
      </c>
      <c r="BS55" s="214">
        <f>IF(AND(($E55+$C$1)&gt;BS$4,BS$4&gt;=$C$1),'General Inputs'!U$11*$H55,IF(AND(($D55+$C$1)&gt;BS$4,BS$4&gt;=$C$1),'General Inputs'!U$11*$G55,0))</f>
        <v>0</v>
      </c>
      <c r="BT55" s="214">
        <f>IF(AND(($E55+$C$1)&gt;BT$4,BT$4&gt;=$C$1),'General Inputs'!V$11*$H55,IF(AND(($D55+$C$1)&gt;BT$4,BT$4&gt;=$C$1),'General Inputs'!V$11*$G55,0))</f>
        <v>0</v>
      </c>
      <c r="BU55" s="214">
        <f>IF(AND(($E55+$C$1)&gt;BU$4,BU$4&gt;=$C$1),'General Inputs'!W$11*$H55,IF(AND(($D55+$C$1)&gt;BU$4,BU$4&gt;=$C$1),'General Inputs'!W$11*$G55,0))</f>
        <v>0</v>
      </c>
      <c r="BW55" s="214">
        <f>IF(AND(($E55+$C$1)&gt;BW$4,BW$4&gt;=$C$1),$H55,IF(AND(($D55+$C$1)&gt;BW$4,BW$4&gt;=$C$1),$G55,0))*IF($A55="Residential",'General Inputs'!D$14,'General Inputs'!D$19)</f>
        <v>0</v>
      </c>
      <c r="BX55" s="214">
        <f>IF(AND(($E55+$C$1)&gt;BX$4,BX$4&gt;=$C$1),$H55,IF(AND(($D55+$C$1)&gt;BX$4,BX$4&gt;=$C$1),$G55,0))*IF($A55="Residential",'General Inputs'!E$14,'General Inputs'!E$19)</f>
        <v>0</v>
      </c>
      <c r="BY55" s="214">
        <f>IF(AND(($E55+$C$1)&gt;BY$4,BY$4&gt;=$C$1),$H55,IF(AND(($D55+$C$1)&gt;BY$4,BY$4&gt;=$C$1),$G55,0))*IF($A55="Residential",'General Inputs'!F$14,'General Inputs'!F$19)</f>
        <v>0</v>
      </c>
      <c r="BZ55" s="214">
        <f>IF(AND(($E55+$C$1)&gt;BZ$4,BZ$4&gt;=$C$1),$H55,IF(AND(($D55+$C$1)&gt;BZ$4,BZ$4&gt;=$C$1),$G55,0))*IF($A55="Residential",'General Inputs'!G$14,'General Inputs'!G$19)</f>
        <v>0</v>
      </c>
      <c r="CA55" s="214">
        <f>IF(AND(($E55+$C$1)&gt;CA$4,CA$4&gt;=$C$1),$H55,IF(AND(($D55+$C$1)&gt;CA$4,CA$4&gt;=$C$1),$G55,0))*IF($A55="Residential",'General Inputs'!H$14,'General Inputs'!H$19)</f>
        <v>0</v>
      </c>
      <c r="CB55" s="214">
        <f>IF(AND(($E55+$C$1)&gt;CB$4,CB$4&gt;=$C$1),$H55,IF(AND(($D55+$C$1)&gt;CB$4,CB$4&gt;=$C$1),$G55,0))*IF($A55="Residential",'General Inputs'!I$14,'General Inputs'!I$19)</f>
        <v>0</v>
      </c>
      <c r="CC55" s="214">
        <f>IF(AND(($E55+$C$1)&gt;CC$4,CC$4&gt;=$C$1),$H55,IF(AND(($D55+$C$1)&gt;CC$4,CC$4&gt;=$C$1),$G55,0))*IF($A55="Residential",'General Inputs'!J$14,'General Inputs'!J$19)</f>
        <v>0</v>
      </c>
      <c r="CD55" s="214">
        <f>IF(AND(($E55+$C$1)&gt;CD$4,CD$4&gt;=$C$1),$H55,IF(AND(($D55+$C$1)&gt;CD$4,CD$4&gt;=$C$1),$G55,0))*IF($A55="Residential",'General Inputs'!K$14,'General Inputs'!K$19)</f>
        <v>0</v>
      </c>
      <c r="CE55" s="214">
        <f>IF(AND(($E55+$C$1)&gt;CE$4,CE$4&gt;=$C$1),$H55,IF(AND(($D55+$C$1)&gt;CE$4,CE$4&gt;=$C$1),$G55,0))*IF($A55="Residential",'General Inputs'!L$14,'General Inputs'!L$19)</f>
        <v>0</v>
      </c>
      <c r="CF55" s="214">
        <f>IF(AND(($E55+$C$1)&gt;CF$4,CF$4&gt;=$C$1),$H55,IF(AND(($D55+$C$1)&gt;CF$4,CF$4&gt;=$C$1),$G55,0))*IF($A55="Residential",'General Inputs'!M$14,'General Inputs'!M$19)</f>
        <v>0</v>
      </c>
      <c r="CG55" s="214">
        <f>IF(AND(($E55+$C$1)&gt;CG$4,CG$4&gt;=$C$1),$H55,IF(AND(($D55+$C$1)&gt;CG$4,CG$4&gt;=$C$1),$G55,0))*IF($A55="Residential",'General Inputs'!N$14,'General Inputs'!N$19)</f>
        <v>0</v>
      </c>
      <c r="CH55" s="214">
        <f>IF(AND(($E55+$C$1)&gt;CH$4,CH$4&gt;=$C$1),$H55,IF(AND(($D55+$C$1)&gt;CH$4,CH$4&gt;=$C$1),$G55,0))*IF($A55="Residential",'General Inputs'!O$14,'General Inputs'!O$19)</f>
        <v>0</v>
      </c>
      <c r="CI55" s="214">
        <f>IF(AND(($E55+$C$1)&gt;CI$4,CI$4&gt;=$C$1),$H55,IF(AND(($D55+$C$1)&gt;CI$4,CI$4&gt;=$C$1),$G55,0))*IF($A55="Residential",'General Inputs'!P$14,'General Inputs'!P$19)</f>
        <v>0</v>
      </c>
      <c r="CJ55" s="214">
        <f>IF(AND(($E55+$C$1)&gt;CJ$4,CJ$4&gt;=$C$1),$H55,IF(AND(($D55+$C$1)&gt;CJ$4,CJ$4&gt;=$C$1),$G55,0))*IF($A55="Residential",'General Inputs'!Q$14,'General Inputs'!Q$19)</f>
        <v>0</v>
      </c>
      <c r="CK55" s="214">
        <f>IF(AND(($E55+$C$1)&gt;CK$4,CK$4&gt;=$C$1),$H55,IF(AND(($D55+$C$1)&gt;CK$4,CK$4&gt;=$C$1),$G55,0))*IF($A55="Residential",'General Inputs'!R$14,'General Inputs'!R$19)</f>
        <v>0</v>
      </c>
      <c r="CL55" s="214">
        <f>IF(AND(($E55+$C$1)&gt;CL$4,CL$4&gt;=$C$1),$H55,IF(AND(($D55+$C$1)&gt;CL$4,CL$4&gt;=$C$1),$G55,0))*IF($A55="Residential",'General Inputs'!S$14,'General Inputs'!S$19)</f>
        <v>0</v>
      </c>
      <c r="CM55" s="214">
        <f>IF(AND(($E55+$C$1)&gt;CM$4,CM$4&gt;=$C$1),$H55,IF(AND(($D55+$C$1)&gt;CM$4,CM$4&gt;=$C$1),$G55,0))*IF($A55="Residential",'General Inputs'!T$14,'General Inputs'!T$19)</f>
        <v>0</v>
      </c>
      <c r="CN55" s="214">
        <f>IF(AND(($E55+$C$1)&gt;CN$4,CN$4&gt;=$C$1),$H55,IF(AND(($D55+$C$1)&gt;CN$4,CN$4&gt;=$C$1),$G55,0))*IF($A55="Residential",'General Inputs'!U$14,'General Inputs'!U$19)</f>
        <v>0</v>
      </c>
      <c r="CO55" s="214">
        <f>IF(AND(($E55+$C$1)&gt;CO$4,CO$4&gt;=$C$1),$H55,IF(AND(($D55+$C$1)&gt;CO$4,CO$4&gt;=$C$1),$G55,0))*IF($A55="Residential",'General Inputs'!V$14,'General Inputs'!V$19)</f>
        <v>0</v>
      </c>
      <c r="CP55" s="214">
        <f>IF(AND(($E55+$C$1)&gt;CP$4,CP$4&gt;=$C$1),$H55,IF(AND(($D55+$C$1)&gt;CP$4,CP$4&gt;=$C$1),$G55,0))*IF($A55="Residential",'General Inputs'!W$14,'General Inputs'!W$19)</f>
        <v>0</v>
      </c>
      <c r="CR55" s="214">
        <f>IF(AND(($E55+$C$1)&gt;CR$4,CR$4&gt;=$C$1),$H55,IF(AND(($D55+$C$1)&gt;CR$4,CR$4&gt;=$C$1),$G55,0))*IF($A55="Residential",'General Inputs'!D$15,'General Inputs'!D$19)</f>
        <v>0</v>
      </c>
      <c r="CS55" s="214">
        <f>IF(AND(($E55+$C$1)&gt;CS$4,CS$4&gt;=$C$1),$H55,IF(AND(($D55+$C$1)&gt;CS$4,CS$4&gt;=$C$1),$G55,0))*IF($A55="Residential",'General Inputs'!E$15,'General Inputs'!E$19)</f>
        <v>0</v>
      </c>
      <c r="CT55" s="214">
        <f>IF(AND(($E55+$C$1)&gt;CT$4,CT$4&gt;=$C$1),$H55,IF(AND(($D55+$C$1)&gt;CT$4,CT$4&gt;=$C$1),$G55,0))*IF($A55="Residential",'General Inputs'!F$15,'General Inputs'!F$19)</f>
        <v>0</v>
      </c>
      <c r="CU55" s="214">
        <f>IF(AND(($E55+$C$1)&gt;CU$4,CU$4&gt;=$C$1),$H55,IF(AND(($D55+$C$1)&gt;CU$4,CU$4&gt;=$C$1),$G55,0))*IF($A55="Residential",'General Inputs'!G$15,'General Inputs'!G$19)</f>
        <v>0</v>
      </c>
      <c r="CV55" s="214">
        <f>IF(AND(($E55+$C$1)&gt;CV$4,CV$4&gt;=$C$1),$H55,IF(AND(($D55+$C$1)&gt;CV$4,CV$4&gt;=$C$1),$G55,0))*IF($A55="Residential",'General Inputs'!H$15,'General Inputs'!H$19)</f>
        <v>0</v>
      </c>
      <c r="CW55" s="214">
        <f>IF(AND(($E55+$C$1)&gt;CW$4,CW$4&gt;=$C$1),$H55,IF(AND(($D55+$C$1)&gt;CW$4,CW$4&gt;=$C$1),$G55,0))*IF($A55="Residential",'General Inputs'!I$15,'General Inputs'!I$19)</f>
        <v>0</v>
      </c>
      <c r="CX55" s="214">
        <f>IF(AND(($E55+$C$1)&gt;CX$4,CX$4&gt;=$C$1),$H55,IF(AND(($D55+$C$1)&gt;CX$4,CX$4&gt;=$C$1),$G55,0))*IF($A55="Residential",'General Inputs'!J$15,'General Inputs'!J$19)</f>
        <v>0</v>
      </c>
      <c r="CY55" s="214">
        <f>IF(AND(($E55+$C$1)&gt;CY$4,CY$4&gt;=$C$1),$H55,IF(AND(($D55+$C$1)&gt;CY$4,CY$4&gt;=$C$1),$G55,0))*IF($A55="Residential",'General Inputs'!K$15,'General Inputs'!K$19)</f>
        <v>0</v>
      </c>
      <c r="CZ55" s="214">
        <f>IF(AND(($E55+$C$1)&gt;CZ$4,CZ$4&gt;=$C$1),$H55,IF(AND(($D55+$C$1)&gt;CZ$4,CZ$4&gt;=$C$1),$G55,0))*IF($A55="Residential",'General Inputs'!L$15,'General Inputs'!L$19)</f>
        <v>0</v>
      </c>
      <c r="DA55" s="214">
        <f>IF(AND(($E55+$C$1)&gt;DA$4,DA$4&gt;=$C$1),$H55,IF(AND(($D55+$C$1)&gt;DA$4,DA$4&gt;=$C$1),$G55,0))*IF($A55="Residential",'General Inputs'!M$15,'General Inputs'!M$19)</f>
        <v>0</v>
      </c>
      <c r="DB55" s="214">
        <f>IF(AND(($E55+$C$1)&gt;DB$4,DB$4&gt;=$C$1),$H55,IF(AND(($D55+$C$1)&gt;DB$4,DB$4&gt;=$C$1),$G55,0))*IF($A55="Residential",'General Inputs'!N$15,'General Inputs'!N$19)</f>
        <v>0</v>
      </c>
      <c r="DC55" s="214">
        <f>IF(AND(($E55+$C$1)&gt;DC$4,DC$4&gt;=$C$1),$H55,IF(AND(($D55+$C$1)&gt;DC$4,DC$4&gt;=$C$1),$G55,0))*IF($A55="Residential",'General Inputs'!O$15,'General Inputs'!O$19)</f>
        <v>0</v>
      </c>
      <c r="DD55" s="214">
        <f>IF(AND(($E55+$C$1)&gt;DD$4,DD$4&gt;=$C$1),$H55,IF(AND(($D55+$C$1)&gt;DD$4,DD$4&gt;=$C$1),$G55,0))*IF($A55="Residential",'General Inputs'!P$15,'General Inputs'!P$19)</f>
        <v>0</v>
      </c>
      <c r="DE55" s="214">
        <f>IF(AND(($E55+$C$1)&gt;DE$4,DE$4&gt;=$C$1),$H55,IF(AND(($D55+$C$1)&gt;DE$4,DE$4&gt;=$C$1),$G55,0))*IF($A55="Residential",'General Inputs'!Q$15,'General Inputs'!Q$19)</f>
        <v>0</v>
      </c>
      <c r="DF55" s="214">
        <f>IF(AND(($E55+$C$1)&gt;DF$4,DF$4&gt;=$C$1),$H55,IF(AND(($D55+$C$1)&gt;DF$4,DF$4&gt;=$C$1),$G55,0))*IF($A55="Residential",'General Inputs'!R$15,'General Inputs'!R$19)</f>
        <v>0</v>
      </c>
      <c r="DG55" s="214">
        <f>IF(AND(($E55+$C$1)&gt;DG$4,DG$4&gt;=$C$1),$H55,IF(AND(($D55+$C$1)&gt;DG$4,DG$4&gt;=$C$1),$G55,0))*IF($A55="Residential",'General Inputs'!S$15,'General Inputs'!S$19)</f>
        <v>0</v>
      </c>
      <c r="DH55" s="214">
        <f>IF(AND(($E55+$C$1)&gt;DH$4,DH$4&gt;=$C$1),$H55,IF(AND(($D55+$C$1)&gt;DH$4,DH$4&gt;=$C$1),$G55,0))*IF($A55="Residential",'General Inputs'!T$15,'General Inputs'!T$19)</f>
        <v>0</v>
      </c>
      <c r="DI55" s="214">
        <f>IF(AND(($E55+$C$1)&gt;DI$4,DI$4&gt;=$C$1),$H55,IF(AND(($D55+$C$1)&gt;DI$4,DI$4&gt;=$C$1),$G55,0))*IF($A55="Residential",'General Inputs'!U$15,'General Inputs'!U$19)</f>
        <v>0</v>
      </c>
      <c r="DJ55" s="214">
        <f>IF(AND(($E55+$C$1)&gt;DJ$4,DJ$4&gt;=$C$1),$H55,IF(AND(($D55+$C$1)&gt;DJ$4,DJ$4&gt;=$C$1),$G55,0))*IF($A55="Residential",'General Inputs'!V$15,'General Inputs'!V$19)</f>
        <v>0</v>
      </c>
      <c r="DK55" s="214">
        <f>IF(AND(($E55+$C$1)&gt;DK$4,DK$4&gt;=$C$1),$H55,IF(AND(($D55+$C$1)&gt;DK$4,DK$4&gt;=$C$1),$G55,0))*IF($A55="Residential",'General Inputs'!W$15,'General Inputs'!W$19)</f>
        <v>0</v>
      </c>
      <c r="DM55" s="214">
        <f t="shared" si="441"/>
        <v>0</v>
      </c>
      <c r="DN55" s="214">
        <f t="shared" si="441"/>
        <v>0</v>
      </c>
      <c r="DO55" s="214">
        <f t="shared" si="441"/>
        <v>0</v>
      </c>
      <c r="DP55" s="214">
        <f t="shared" si="441"/>
        <v>0</v>
      </c>
      <c r="DQ55" s="214">
        <f t="shared" si="441"/>
        <v>0</v>
      </c>
      <c r="DR55" s="214">
        <f t="shared" si="441"/>
        <v>0</v>
      </c>
      <c r="DS55" s="214">
        <f t="shared" si="441"/>
        <v>0</v>
      </c>
      <c r="DT55" s="214">
        <f t="shared" si="441"/>
        <v>0</v>
      </c>
      <c r="DU55" s="214">
        <f t="shared" si="441"/>
        <v>0</v>
      </c>
      <c r="DV55" s="214">
        <f t="shared" si="441"/>
        <v>0</v>
      </c>
      <c r="DW55" s="214">
        <f t="shared" si="441"/>
        <v>0</v>
      </c>
      <c r="DZ55" s="650"/>
      <c r="FI55" s="195"/>
      <c r="FJ55" s="195"/>
      <c r="FK55" s="195"/>
      <c r="FL55" s="195"/>
      <c r="FM55" s="195"/>
      <c r="FN55" s="195"/>
      <c r="FO55" s="195"/>
    </row>
    <row r="56" spans="1:171">
      <c r="A56" s="342" t="s">
        <v>112</v>
      </c>
      <c r="B56" s="427" t="str">
        <f>'Portfolio Inputs'!A55</f>
        <v>Fluorescent Fixture Specular Reflector two 4-ft</v>
      </c>
      <c r="C56" s="217">
        <f>IF($C$1=2014,'Portfolio Inputs'!$C55,IF($C$1=2015,'Portfolio Inputs'!$D55,'Portfolio Inputs'!$E55))</f>
        <v>0</v>
      </c>
      <c r="D56" s="504">
        <f>VLOOKUP(B56,Sources!$B$4:$J$104,2,FALSE)</f>
        <v>15</v>
      </c>
      <c r="E56" s="504">
        <f>VLOOKUP(B56,Sources!$B$4:$J$104,3,FALSE)</f>
        <v>0</v>
      </c>
      <c r="G56" s="504">
        <f>IF($C$1=2014,'Portfolio Inputs'!$G55,IF($C$1=2015,'Portfolio Inputs'!$H55,'Portfolio Inputs'!$I55))*EnergyLineLoss</f>
        <v>0</v>
      </c>
      <c r="H56" s="504"/>
      <c r="I56" s="595">
        <f>IF($C$1=2014,'Portfolio Inputs'!$K55,IF($C$1=2015,'Portfolio Inputs'!$L55,'Portfolio Inputs'!$M55))*PeakLineLoss</f>
        <v>0</v>
      </c>
      <c r="J56" s="510"/>
      <c r="L56" s="606">
        <f>IF($C$1=2014,'Portfolio Inputs'!$O55,IF($C$1=2015,'Portfolio Inputs'!$P55,'Portfolio Inputs'!$Q55))</f>
        <v>30</v>
      </c>
      <c r="M56" s="518">
        <f>VLOOKUP($B56,Sources!$B$4:$K$104,10,FALSE)</f>
        <v>0</v>
      </c>
      <c r="N56" s="419">
        <f>IF($C$1=2014,'Portfolio Inputs'!$W55,IF($C$1=2015,'Portfolio Inputs'!$X55,'Portfolio Inputs'!$Y55))</f>
        <v>0</v>
      </c>
      <c r="O56" s="419">
        <f>IF($C$1=2014,'Portfolio Inputs'!$AA55,IF($C$1=2015,'Portfolio Inputs'!$AB55,'Portfolio Inputs'!$AC55))</f>
        <v>0</v>
      </c>
      <c r="Q56" s="438" t="str">
        <f t="shared" si="442"/>
        <v>n/a</v>
      </c>
      <c r="R56" s="439" t="str">
        <f t="shared" si="443"/>
        <v>n/a</v>
      </c>
      <c r="S56" s="439" t="str">
        <f t="shared" si="444"/>
        <v>n/a</v>
      </c>
      <c r="T56" s="439" t="str">
        <f t="shared" si="445"/>
        <v>n/a</v>
      </c>
      <c r="U56" s="439" t="str">
        <f t="shared" si="446"/>
        <v>n/a</v>
      </c>
      <c r="V56" s="439" t="str">
        <f t="shared" si="447"/>
        <v>n/a</v>
      </c>
      <c r="W56" s="439" t="str">
        <f t="shared" si="448"/>
        <v>n/a</v>
      </c>
      <c r="Y56" s="215">
        <f t="shared" si="449"/>
        <v>0</v>
      </c>
      <c r="Z56" s="215">
        <f t="shared" si="450"/>
        <v>0</v>
      </c>
      <c r="AA56" s="215">
        <f t="shared" si="451"/>
        <v>0</v>
      </c>
      <c r="AB56" s="215">
        <f t="shared" si="452"/>
        <v>0</v>
      </c>
      <c r="AC56" s="216">
        <f t="shared" si="453"/>
        <v>0</v>
      </c>
      <c r="AD56" s="216">
        <f t="shared" si="454"/>
        <v>0</v>
      </c>
      <c r="AE56" s="215">
        <f t="shared" si="455"/>
        <v>0</v>
      </c>
      <c r="AG56" s="214">
        <f>IF(AND(($E56+$C$1)&gt;AG$4,AG$4&gt;=$C$1),'General Inputs'!D$9*$H56,IF(AND(($D56+$C$1)&gt;AG$4,AG$4&gt;=$C$1),'General Inputs'!D$9*$G56,0))+IF(AND(($E56+$C$1)&gt;AG$4,AG$4&gt;=$C$1),'General Inputs'!D$10*$J56,IF(AND(($D56+$C$1)&gt;AG$4,AG$4&gt;=$C$1),'General Inputs'!D$10*$I56,0))</f>
        <v>0</v>
      </c>
      <c r="AH56" s="214">
        <f>IF(AND(($E56+$C$1)&gt;AH$4,AH$4&gt;=$C$1),'General Inputs'!E$9*$H56,IF(AND(($D56+$C$1)&gt;AH$4,AH$4&gt;=$C$1),'General Inputs'!E$9*$G56,0))+IF(AND(($E56+$C$1)&gt;AH$4,AH$4&gt;=$C$1),'General Inputs'!E$10*$J56,IF(AND(($D56+$C$1)&gt;AH$4,AH$4&gt;=$C$1),'General Inputs'!E$10*$I56,0))</f>
        <v>0</v>
      </c>
      <c r="AI56" s="214">
        <f>IF(AND(($E56+$C$1)&gt;AI$4,AI$4&gt;=$C$1),'General Inputs'!F$9*$H56,IF(AND(($D56+$C$1)&gt;AI$4,AI$4&gt;=$C$1),'General Inputs'!F$9*$G56,0))+IF(AND(($E56+$C$1)&gt;AI$4,AI$4&gt;=$C$1),'General Inputs'!F$10*$J56,IF(AND(($D56+$C$1)&gt;AI$4,AI$4&gt;=$C$1),'General Inputs'!F$10*$I56,0))</f>
        <v>0</v>
      </c>
      <c r="AJ56" s="214">
        <f>IF(AND(($E56+$C$1)&gt;AJ$4,AJ$4&gt;=$C$1),'General Inputs'!G$9*$H56,IF(AND(($D56+$C$1)&gt;AJ$4,AJ$4&gt;=$C$1),'General Inputs'!G$9*$G56,0))+IF(AND(($E56+$C$1)&gt;AJ$4,AJ$4&gt;=$C$1),'General Inputs'!G$10*$J56,IF(AND(($D56+$C$1)&gt;AJ$4,AJ$4&gt;=$C$1),'General Inputs'!G$10*$I56,0))</f>
        <v>0</v>
      </c>
      <c r="AK56" s="214">
        <f>IF(AND(($E56+$C$1)&gt;AK$4,AK$4&gt;=$C$1),'General Inputs'!H$9*$H56,IF(AND(($D56+$C$1)&gt;AK$4,AK$4&gt;=$C$1),'General Inputs'!H$9*$G56,0))+IF(AND(($E56+$C$1)&gt;AK$4,AK$4&gt;=$C$1),'General Inputs'!H$10*$J56,IF(AND(($D56+$C$1)&gt;AK$4,AK$4&gt;=$C$1),'General Inputs'!H$10*$I56,0))</f>
        <v>0</v>
      </c>
      <c r="AL56" s="214">
        <f>IF(AND(($E56+$C$1)&gt;AL$4,AL$4&gt;=$C$1),'General Inputs'!I$9*$H56,IF(AND(($D56+$C$1)&gt;AL$4,AL$4&gt;=$C$1),'General Inputs'!I$9*$G56,0))+IF(AND(($E56+$C$1)&gt;AL$4,AL$4&gt;=$C$1),'General Inputs'!I$10*$J56,IF(AND(($D56+$C$1)&gt;AL$4,AL$4&gt;=$C$1),'General Inputs'!I$10*$I56,0))</f>
        <v>0</v>
      </c>
      <c r="AM56" s="214">
        <f>IF(AND(($E56+$C$1)&gt;AM$4,AM$4&gt;=$C$1),'General Inputs'!J$9*$H56,IF(AND(($D56+$C$1)&gt;AM$4,AM$4&gt;=$C$1),'General Inputs'!J$9*$G56,0))+IF(AND(($E56+$C$1)&gt;AM$4,AM$4&gt;=$C$1),'General Inputs'!J$10*$J56,IF(AND(($D56+$C$1)&gt;AM$4,AM$4&gt;=$C$1),'General Inputs'!J$10*$I56,0))</f>
        <v>0</v>
      </c>
      <c r="AN56" s="214">
        <f>IF(AND(($E56+$C$1)&gt;AN$4,AN$4&gt;=$C$1),'General Inputs'!K$9*$H56,IF(AND(($D56+$C$1)&gt;AN$4,AN$4&gt;=$C$1),'General Inputs'!K$9*$G56,0))+IF(AND(($E56+$C$1)&gt;AN$4,AN$4&gt;=$C$1),'General Inputs'!K$10*$J56,IF(AND(($D56+$C$1)&gt;AN$4,AN$4&gt;=$C$1),'General Inputs'!K$10*$I56,0))</f>
        <v>0</v>
      </c>
      <c r="AO56" s="214">
        <f>IF(AND(($E56+$C$1)&gt;AO$4,AO$4&gt;=$C$1),'General Inputs'!L$9*$H56,IF(AND(($D56+$C$1)&gt;AO$4,AO$4&gt;=$C$1),'General Inputs'!L$9*$G56,0))+IF(AND(($E56+$C$1)&gt;AO$4,AO$4&gt;=$C$1),'General Inputs'!L$10*$J56,IF(AND(($D56+$C$1)&gt;AO$4,AO$4&gt;=$C$1),'General Inputs'!L$10*$I56,0))</f>
        <v>0</v>
      </c>
      <c r="AP56" s="214">
        <f>IF(AND(($E56+$C$1)&gt;AP$4,AP$4&gt;=$C$1),'General Inputs'!M$9*$H56,IF(AND(($D56+$C$1)&gt;AP$4,AP$4&gt;=$C$1),'General Inputs'!M$9*$G56,0))+IF(AND(($E56+$C$1)&gt;AP$4,AP$4&gt;=$C$1),'General Inputs'!M$10*$J56,IF(AND(($D56+$C$1)&gt;AP$4,AP$4&gt;=$C$1),'General Inputs'!M$10*$I56,0))</f>
        <v>0</v>
      </c>
      <c r="AQ56" s="214">
        <f>IF(AND(($E56+$C$1)&gt;AQ$4,AQ$4&gt;=$C$1),'General Inputs'!N$9*$H56,IF(AND(($D56+$C$1)&gt;AQ$4,AQ$4&gt;=$C$1),'General Inputs'!N$9*$G56,0))+IF(AND(($E56+$C$1)&gt;AQ$4,AQ$4&gt;=$C$1),'General Inputs'!N$10*$J56,IF(AND(($D56+$C$1)&gt;AQ$4,AQ$4&gt;=$C$1),'General Inputs'!N$10*$I56,0))</f>
        <v>0</v>
      </c>
      <c r="AR56" s="214">
        <f>IF(AND(($E56+$C$1)&gt;AR$4,AR$4&gt;=$C$1),'General Inputs'!O$9*$H56,IF(AND(($D56+$C$1)&gt;AR$4,AR$4&gt;=$C$1),'General Inputs'!O$9*$G56,0))+IF(AND(($E56+$C$1)&gt;AR$4,AR$4&gt;=$C$1),'General Inputs'!O$10*$J56,IF(AND(($D56+$C$1)&gt;AR$4,AR$4&gt;=$C$1),'General Inputs'!O$10*$I56,0))</f>
        <v>0</v>
      </c>
      <c r="AS56" s="214">
        <f>IF(AND(($E56+$C$1)&gt;AS$4,AS$4&gt;=$C$1),'General Inputs'!P$9*$H56,IF(AND(($D56+$C$1)&gt;AS$4,AS$4&gt;=$C$1),'General Inputs'!P$9*$G56,0))+IF(AND(($E56+$C$1)&gt;AS$4,AS$4&gt;=$C$1),'General Inputs'!P$10*$J56,IF(AND(($D56+$C$1)&gt;AS$4,AS$4&gt;=$C$1),'General Inputs'!P$10*$I56,0))</f>
        <v>0</v>
      </c>
      <c r="AT56" s="214">
        <f>IF(AND(($E56+$C$1)&gt;AT$4,AT$4&gt;=$C$1),'General Inputs'!Q$9*$H56,IF(AND(($D56+$C$1)&gt;AT$4,AT$4&gt;=$C$1),'General Inputs'!Q$9*$G56,0))+IF(AND(($E56+$C$1)&gt;AT$4,AT$4&gt;=$C$1),'General Inputs'!Q$10*$J56,IF(AND(($D56+$C$1)&gt;AT$4,AT$4&gt;=$C$1),'General Inputs'!Q$10*$I56,0))</f>
        <v>0</v>
      </c>
      <c r="AU56" s="214">
        <f>IF(AND(($E56+$C$1)&gt;AU$4,AU$4&gt;=$C$1),'General Inputs'!R$9*$H56,IF(AND(($D56+$C$1)&gt;AU$4,AU$4&gt;=$C$1),'General Inputs'!R$9*$G56,0))+IF(AND(($E56+$C$1)&gt;AU$4,AU$4&gt;=$C$1),'General Inputs'!R$10*$J56,IF(AND(($D56+$C$1)&gt;AU$4,AU$4&gt;=$C$1),'General Inputs'!R$10*$I56,0))</f>
        <v>0</v>
      </c>
      <c r="AV56" s="214">
        <f>IF(AND(($E56+$C$1)&gt;AV$4,AV$4&gt;=$C$1),'General Inputs'!S$9*$H56,IF(AND(($D56+$C$1)&gt;AV$4,AV$4&gt;=$C$1),'General Inputs'!S$9*$G56,0))+IF(AND(($E56+$C$1)&gt;AV$4,AV$4&gt;=$C$1),'General Inputs'!S$10*$J56,IF(AND(($D56+$C$1)&gt;AV$4,AV$4&gt;=$C$1),'General Inputs'!S$10*$I56,0))</f>
        <v>0</v>
      </c>
      <c r="AW56" s="214">
        <f>IF(AND(($E56+$C$1)&gt;AW$4,AW$4&gt;=$C$1),'General Inputs'!T$9*$H56,IF(AND(($D56+$C$1)&gt;AW$4,AW$4&gt;=$C$1),'General Inputs'!T$9*$G56,0))+IF(AND(($E56+$C$1)&gt;AW$4,AW$4&gt;=$C$1),'General Inputs'!T$10*$J56,IF(AND(($D56+$C$1)&gt;AW$4,AW$4&gt;=$C$1),'General Inputs'!T$10*$I56,0))</f>
        <v>0</v>
      </c>
      <c r="AX56" s="214">
        <f>IF(AND(($E56+$C$1)&gt;AX$4,AX$4&gt;=$C$1),'General Inputs'!U$9*$H56,IF(AND(($D56+$C$1)&gt;AX$4,AX$4&gt;=$C$1),'General Inputs'!U$9*$G56,0))+IF(AND(($E56+$C$1)&gt;AX$4,AX$4&gt;=$C$1),'General Inputs'!U$10*$J56,IF(AND(($D56+$C$1)&gt;AX$4,AX$4&gt;=$C$1),'General Inputs'!U$10*$I56,0))</f>
        <v>0</v>
      </c>
      <c r="AY56" s="214">
        <f>IF(AND(($E56+$C$1)&gt;AY$4,AY$4&gt;=$C$1),'General Inputs'!V$9*$H56,IF(AND(($D56+$C$1)&gt;AY$4,AY$4&gt;=$C$1),'General Inputs'!V$9*$G56,0))+IF(AND(($E56+$C$1)&gt;AY$4,AY$4&gt;=$C$1),'General Inputs'!V$10*$J56,IF(AND(($D56+$C$1)&gt;AY$4,AY$4&gt;=$C$1),'General Inputs'!V$10*$I56,0))</f>
        <v>0</v>
      </c>
      <c r="AZ56" s="214">
        <f>IF(AND(($E56+$C$1)&gt;AZ$4,AZ$4&gt;=$C$1),'General Inputs'!W$9*$H56,IF(AND(($D56+$C$1)&gt;AZ$4,AZ$4&gt;=$C$1),'General Inputs'!W$9*$G56,0))+IF(AND(($E56+$C$1)&gt;AZ$4,AZ$4&gt;=$C$1),'General Inputs'!W$10*$J56,IF(AND(($D56+$C$1)&gt;AZ$4,AZ$4&gt;=$C$1),'General Inputs'!W$10*$I56,0))</f>
        <v>0</v>
      </c>
      <c r="BB56" s="214">
        <f>IF(AND(($E56+$C$1)&gt;BB$4,BB$4&gt;=$C$1),'General Inputs'!D$11*$H56,IF(AND(($D56+$C$1)&gt;BB$4,BB$4&gt;=$C$1),'General Inputs'!D$11*$G56,0))</f>
        <v>0</v>
      </c>
      <c r="BC56" s="214">
        <f>IF(AND(($E56+$C$1)&gt;BC$4,BC$4&gt;=$C$1),'General Inputs'!E$11*$H56,IF(AND(($D56+$C$1)&gt;BC$4,BC$4&gt;=$C$1),'General Inputs'!E$11*$G56,0))</f>
        <v>0</v>
      </c>
      <c r="BD56" s="214">
        <f>IF(AND(($E56+$C$1)&gt;BD$4,BD$4&gt;=$C$1),'General Inputs'!F$11*$H56,IF(AND(($D56+$C$1)&gt;BD$4,BD$4&gt;=$C$1),'General Inputs'!F$11*$G56,0))</f>
        <v>0</v>
      </c>
      <c r="BE56" s="214">
        <f>IF(AND(($E56+$C$1)&gt;BE$4,BE$4&gt;=$C$1),'General Inputs'!G$11*$H56,IF(AND(($D56+$C$1)&gt;BE$4,BE$4&gt;=$C$1),'General Inputs'!G$11*$G56,0))</f>
        <v>0</v>
      </c>
      <c r="BF56" s="214">
        <f>IF(AND(($E56+$C$1)&gt;BF$4,BF$4&gt;=$C$1),'General Inputs'!H$11*$H56,IF(AND(($D56+$C$1)&gt;BF$4,BF$4&gt;=$C$1),'General Inputs'!H$11*$G56,0))</f>
        <v>0</v>
      </c>
      <c r="BG56" s="214">
        <f>IF(AND(($E56+$C$1)&gt;BG$4,BG$4&gt;=$C$1),'General Inputs'!I$11*$H56,IF(AND(($D56+$C$1)&gt;BG$4,BG$4&gt;=$C$1),'General Inputs'!I$11*$G56,0))</f>
        <v>0</v>
      </c>
      <c r="BH56" s="214">
        <f>IF(AND(($E56+$C$1)&gt;BH$4,BH$4&gt;=$C$1),'General Inputs'!J$11*$H56,IF(AND(($D56+$C$1)&gt;BH$4,BH$4&gt;=$C$1),'General Inputs'!J$11*$G56,0))</f>
        <v>0</v>
      </c>
      <c r="BI56" s="214">
        <f>IF(AND(($E56+$C$1)&gt;BI$4,BI$4&gt;=$C$1),'General Inputs'!K$11*$H56,IF(AND(($D56+$C$1)&gt;BI$4,BI$4&gt;=$C$1),'General Inputs'!K$11*$G56,0))</f>
        <v>0</v>
      </c>
      <c r="BJ56" s="214">
        <f>IF(AND(($E56+$C$1)&gt;BJ$4,BJ$4&gt;=$C$1),'General Inputs'!L$11*$H56,IF(AND(($D56+$C$1)&gt;BJ$4,BJ$4&gt;=$C$1),'General Inputs'!L$11*$G56,0))</f>
        <v>0</v>
      </c>
      <c r="BK56" s="214">
        <f>IF(AND(($E56+$C$1)&gt;BK$4,BK$4&gt;=$C$1),'General Inputs'!M$11*$H56,IF(AND(($D56+$C$1)&gt;BK$4,BK$4&gt;=$C$1),'General Inputs'!M$11*$G56,0))</f>
        <v>0</v>
      </c>
      <c r="BL56" s="214">
        <f>IF(AND(($E56+$C$1)&gt;BL$4,BL$4&gt;=$C$1),'General Inputs'!N$11*$H56,IF(AND(($D56+$C$1)&gt;BL$4,BL$4&gt;=$C$1),'General Inputs'!N$11*$G56,0))</f>
        <v>0</v>
      </c>
      <c r="BM56" s="214">
        <f>IF(AND(($E56+$C$1)&gt;BM$4,BM$4&gt;=$C$1),'General Inputs'!O$11*$H56,IF(AND(($D56+$C$1)&gt;BM$4,BM$4&gt;=$C$1),'General Inputs'!O$11*$G56,0))</f>
        <v>0</v>
      </c>
      <c r="BN56" s="214">
        <f>IF(AND(($E56+$C$1)&gt;BN$4,BN$4&gt;=$C$1),'General Inputs'!P$11*$H56,IF(AND(($D56+$C$1)&gt;BN$4,BN$4&gt;=$C$1),'General Inputs'!P$11*$G56,0))</f>
        <v>0</v>
      </c>
      <c r="BO56" s="214">
        <f>IF(AND(($E56+$C$1)&gt;BO$4,BO$4&gt;=$C$1),'General Inputs'!Q$11*$H56,IF(AND(($D56+$C$1)&gt;BO$4,BO$4&gt;=$C$1),'General Inputs'!Q$11*$G56,0))</f>
        <v>0</v>
      </c>
      <c r="BP56" s="214">
        <f>IF(AND(($E56+$C$1)&gt;BP$4,BP$4&gt;=$C$1),'General Inputs'!R$11*$H56,IF(AND(($D56+$C$1)&gt;BP$4,BP$4&gt;=$C$1),'General Inputs'!R$11*$G56,0))</f>
        <v>0</v>
      </c>
      <c r="BQ56" s="214">
        <f>IF(AND(($E56+$C$1)&gt;BQ$4,BQ$4&gt;=$C$1),'General Inputs'!S$11*$H56,IF(AND(($D56+$C$1)&gt;BQ$4,BQ$4&gt;=$C$1),'General Inputs'!S$11*$G56,0))</f>
        <v>0</v>
      </c>
      <c r="BR56" s="214">
        <f>IF(AND(($E56+$C$1)&gt;BR$4,BR$4&gt;=$C$1),'General Inputs'!T$11*$H56,IF(AND(($D56+$C$1)&gt;BR$4,BR$4&gt;=$C$1),'General Inputs'!T$11*$G56,0))</f>
        <v>0</v>
      </c>
      <c r="BS56" s="214">
        <f>IF(AND(($E56+$C$1)&gt;BS$4,BS$4&gt;=$C$1),'General Inputs'!U$11*$H56,IF(AND(($D56+$C$1)&gt;BS$4,BS$4&gt;=$C$1),'General Inputs'!U$11*$G56,0))</f>
        <v>0</v>
      </c>
      <c r="BT56" s="214">
        <f>IF(AND(($E56+$C$1)&gt;BT$4,BT$4&gt;=$C$1),'General Inputs'!V$11*$H56,IF(AND(($D56+$C$1)&gt;BT$4,BT$4&gt;=$C$1),'General Inputs'!V$11*$G56,0))</f>
        <v>0</v>
      </c>
      <c r="BU56" s="214">
        <f>IF(AND(($E56+$C$1)&gt;BU$4,BU$4&gt;=$C$1),'General Inputs'!W$11*$H56,IF(AND(($D56+$C$1)&gt;BU$4,BU$4&gt;=$C$1),'General Inputs'!W$11*$G56,0))</f>
        <v>0</v>
      </c>
      <c r="BW56" s="214">
        <f>IF(AND(($E56+$C$1)&gt;BW$4,BW$4&gt;=$C$1),$H56,IF(AND(($D56+$C$1)&gt;BW$4,BW$4&gt;=$C$1),$G56,0))*IF($A56="Residential",'General Inputs'!D$14,'General Inputs'!D$19)</f>
        <v>0</v>
      </c>
      <c r="BX56" s="214">
        <f>IF(AND(($E56+$C$1)&gt;BX$4,BX$4&gt;=$C$1),$H56,IF(AND(($D56+$C$1)&gt;BX$4,BX$4&gt;=$C$1),$G56,0))*IF($A56="Residential",'General Inputs'!E$14,'General Inputs'!E$19)</f>
        <v>0</v>
      </c>
      <c r="BY56" s="214">
        <f>IF(AND(($E56+$C$1)&gt;BY$4,BY$4&gt;=$C$1),$H56,IF(AND(($D56+$C$1)&gt;BY$4,BY$4&gt;=$C$1),$G56,0))*IF($A56="Residential",'General Inputs'!F$14,'General Inputs'!F$19)</f>
        <v>0</v>
      </c>
      <c r="BZ56" s="214">
        <f>IF(AND(($E56+$C$1)&gt;BZ$4,BZ$4&gt;=$C$1),$H56,IF(AND(($D56+$C$1)&gt;BZ$4,BZ$4&gt;=$C$1),$G56,0))*IF($A56="Residential",'General Inputs'!G$14,'General Inputs'!G$19)</f>
        <v>0</v>
      </c>
      <c r="CA56" s="214">
        <f>IF(AND(($E56+$C$1)&gt;CA$4,CA$4&gt;=$C$1),$H56,IF(AND(($D56+$C$1)&gt;CA$4,CA$4&gt;=$C$1),$G56,0))*IF($A56="Residential",'General Inputs'!H$14,'General Inputs'!H$19)</f>
        <v>0</v>
      </c>
      <c r="CB56" s="214">
        <f>IF(AND(($E56+$C$1)&gt;CB$4,CB$4&gt;=$C$1),$H56,IF(AND(($D56+$C$1)&gt;CB$4,CB$4&gt;=$C$1),$G56,0))*IF($A56="Residential",'General Inputs'!I$14,'General Inputs'!I$19)</f>
        <v>0</v>
      </c>
      <c r="CC56" s="214">
        <f>IF(AND(($E56+$C$1)&gt;CC$4,CC$4&gt;=$C$1),$H56,IF(AND(($D56+$C$1)&gt;CC$4,CC$4&gt;=$C$1),$G56,0))*IF($A56="Residential",'General Inputs'!J$14,'General Inputs'!J$19)</f>
        <v>0</v>
      </c>
      <c r="CD56" s="214">
        <f>IF(AND(($E56+$C$1)&gt;CD$4,CD$4&gt;=$C$1),$H56,IF(AND(($D56+$C$1)&gt;CD$4,CD$4&gt;=$C$1),$G56,0))*IF($A56="Residential",'General Inputs'!K$14,'General Inputs'!K$19)</f>
        <v>0</v>
      </c>
      <c r="CE56" s="214">
        <f>IF(AND(($E56+$C$1)&gt;CE$4,CE$4&gt;=$C$1),$H56,IF(AND(($D56+$C$1)&gt;CE$4,CE$4&gt;=$C$1),$G56,0))*IF($A56="Residential",'General Inputs'!L$14,'General Inputs'!L$19)</f>
        <v>0</v>
      </c>
      <c r="CF56" s="214">
        <f>IF(AND(($E56+$C$1)&gt;CF$4,CF$4&gt;=$C$1),$H56,IF(AND(($D56+$C$1)&gt;CF$4,CF$4&gt;=$C$1),$G56,0))*IF($A56="Residential",'General Inputs'!M$14,'General Inputs'!M$19)</f>
        <v>0</v>
      </c>
      <c r="CG56" s="214">
        <f>IF(AND(($E56+$C$1)&gt;CG$4,CG$4&gt;=$C$1),$H56,IF(AND(($D56+$C$1)&gt;CG$4,CG$4&gt;=$C$1),$G56,0))*IF($A56="Residential",'General Inputs'!N$14,'General Inputs'!N$19)</f>
        <v>0</v>
      </c>
      <c r="CH56" s="214">
        <f>IF(AND(($E56+$C$1)&gt;CH$4,CH$4&gt;=$C$1),$H56,IF(AND(($D56+$C$1)&gt;CH$4,CH$4&gt;=$C$1),$G56,0))*IF($A56="Residential",'General Inputs'!O$14,'General Inputs'!O$19)</f>
        <v>0</v>
      </c>
      <c r="CI56" s="214">
        <f>IF(AND(($E56+$C$1)&gt;CI$4,CI$4&gt;=$C$1),$H56,IF(AND(($D56+$C$1)&gt;CI$4,CI$4&gt;=$C$1),$G56,0))*IF($A56="Residential",'General Inputs'!P$14,'General Inputs'!P$19)</f>
        <v>0</v>
      </c>
      <c r="CJ56" s="214">
        <f>IF(AND(($E56+$C$1)&gt;CJ$4,CJ$4&gt;=$C$1),$H56,IF(AND(($D56+$C$1)&gt;CJ$4,CJ$4&gt;=$C$1),$G56,0))*IF($A56="Residential",'General Inputs'!Q$14,'General Inputs'!Q$19)</f>
        <v>0</v>
      </c>
      <c r="CK56" s="214">
        <f>IF(AND(($E56+$C$1)&gt;CK$4,CK$4&gt;=$C$1),$H56,IF(AND(($D56+$C$1)&gt;CK$4,CK$4&gt;=$C$1),$G56,0))*IF($A56="Residential",'General Inputs'!R$14,'General Inputs'!R$19)</f>
        <v>0</v>
      </c>
      <c r="CL56" s="214">
        <f>IF(AND(($E56+$C$1)&gt;CL$4,CL$4&gt;=$C$1),$H56,IF(AND(($D56+$C$1)&gt;CL$4,CL$4&gt;=$C$1),$G56,0))*IF($A56="Residential",'General Inputs'!S$14,'General Inputs'!S$19)</f>
        <v>0</v>
      </c>
      <c r="CM56" s="214">
        <f>IF(AND(($E56+$C$1)&gt;CM$4,CM$4&gt;=$C$1),$H56,IF(AND(($D56+$C$1)&gt;CM$4,CM$4&gt;=$C$1),$G56,0))*IF($A56="Residential",'General Inputs'!T$14,'General Inputs'!T$19)</f>
        <v>0</v>
      </c>
      <c r="CN56" s="214">
        <f>IF(AND(($E56+$C$1)&gt;CN$4,CN$4&gt;=$C$1),$H56,IF(AND(($D56+$C$1)&gt;CN$4,CN$4&gt;=$C$1),$G56,0))*IF($A56="Residential",'General Inputs'!U$14,'General Inputs'!U$19)</f>
        <v>0</v>
      </c>
      <c r="CO56" s="214">
        <f>IF(AND(($E56+$C$1)&gt;CO$4,CO$4&gt;=$C$1),$H56,IF(AND(($D56+$C$1)&gt;CO$4,CO$4&gt;=$C$1),$G56,0))*IF($A56="Residential",'General Inputs'!V$14,'General Inputs'!V$19)</f>
        <v>0</v>
      </c>
      <c r="CP56" s="214">
        <f>IF(AND(($E56+$C$1)&gt;CP$4,CP$4&gt;=$C$1),$H56,IF(AND(($D56+$C$1)&gt;CP$4,CP$4&gt;=$C$1),$G56,0))*IF($A56="Residential",'General Inputs'!W$14,'General Inputs'!W$19)</f>
        <v>0</v>
      </c>
      <c r="CR56" s="214">
        <f>IF(AND(($E56+$C$1)&gt;CR$4,CR$4&gt;=$C$1),$H56,IF(AND(($D56+$C$1)&gt;CR$4,CR$4&gt;=$C$1),$G56,0))*IF($A56="Residential",'General Inputs'!D$15,'General Inputs'!D$19)</f>
        <v>0</v>
      </c>
      <c r="CS56" s="214">
        <f>IF(AND(($E56+$C$1)&gt;CS$4,CS$4&gt;=$C$1),$H56,IF(AND(($D56+$C$1)&gt;CS$4,CS$4&gt;=$C$1),$G56,0))*IF($A56="Residential",'General Inputs'!E$15,'General Inputs'!E$19)</f>
        <v>0</v>
      </c>
      <c r="CT56" s="214">
        <f>IF(AND(($E56+$C$1)&gt;CT$4,CT$4&gt;=$C$1),$H56,IF(AND(($D56+$C$1)&gt;CT$4,CT$4&gt;=$C$1),$G56,0))*IF($A56="Residential",'General Inputs'!F$15,'General Inputs'!F$19)</f>
        <v>0</v>
      </c>
      <c r="CU56" s="214">
        <f>IF(AND(($E56+$C$1)&gt;CU$4,CU$4&gt;=$C$1),$H56,IF(AND(($D56+$C$1)&gt;CU$4,CU$4&gt;=$C$1),$G56,0))*IF($A56="Residential",'General Inputs'!G$15,'General Inputs'!G$19)</f>
        <v>0</v>
      </c>
      <c r="CV56" s="214">
        <f>IF(AND(($E56+$C$1)&gt;CV$4,CV$4&gt;=$C$1),$H56,IF(AND(($D56+$C$1)&gt;CV$4,CV$4&gt;=$C$1),$G56,0))*IF($A56="Residential",'General Inputs'!H$15,'General Inputs'!H$19)</f>
        <v>0</v>
      </c>
      <c r="CW56" s="214">
        <f>IF(AND(($E56+$C$1)&gt;CW$4,CW$4&gt;=$C$1),$H56,IF(AND(($D56+$C$1)&gt;CW$4,CW$4&gt;=$C$1),$G56,0))*IF($A56="Residential",'General Inputs'!I$15,'General Inputs'!I$19)</f>
        <v>0</v>
      </c>
      <c r="CX56" s="214">
        <f>IF(AND(($E56+$C$1)&gt;CX$4,CX$4&gt;=$C$1),$H56,IF(AND(($D56+$C$1)&gt;CX$4,CX$4&gt;=$C$1),$G56,0))*IF($A56="Residential",'General Inputs'!J$15,'General Inputs'!J$19)</f>
        <v>0</v>
      </c>
      <c r="CY56" s="214">
        <f>IF(AND(($E56+$C$1)&gt;CY$4,CY$4&gt;=$C$1),$H56,IF(AND(($D56+$C$1)&gt;CY$4,CY$4&gt;=$C$1),$G56,0))*IF($A56="Residential",'General Inputs'!K$15,'General Inputs'!K$19)</f>
        <v>0</v>
      </c>
      <c r="CZ56" s="214">
        <f>IF(AND(($E56+$C$1)&gt;CZ$4,CZ$4&gt;=$C$1),$H56,IF(AND(($D56+$C$1)&gt;CZ$4,CZ$4&gt;=$C$1),$G56,0))*IF($A56="Residential",'General Inputs'!L$15,'General Inputs'!L$19)</f>
        <v>0</v>
      </c>
      <c r="DA56" s="214">
        <f>IF(AND(($E56+$C$1)&gt;DA$4,DA$4&gt;=$C$1),$H56,IF(AND(($D56+$C$1)&gt;DA$4,DA$4&gt;=$C$1),$G56,0))*IF($A56="Residential",'General Inputs'!M$15,'General Inputs'!M$19)</f>
        <v>0</v>
      </c>
      <c r="DB56" s="214">
        <f>IF(AND(($E56+$C$1)&gt;DB$4,DB$4&gt;=$C$1),$H56,IF(AND(($D56+$C$1)&gt;DB$4,DB$4&gt;=$C$1),$G56,0))*IF($A56="Residential",'General Inputs'!N$15,'General Inputs'!N$19)</f>
        <v>0</v>
      </c>
      <c r="DC56" s="214">
        <f>IF(AND(($E56+$C$1)&gt;DC$4,DC$4&gt;=$C$1),$H56,IF(AND(($D56+$C$1)&gt;DC$4,DC$4&gt;=$C$1),$G56,0))*IF($A56="Residential",'General Inputs'!O$15,'General Inputs'!O$19)</f>
        <v>0</v>
      </c>
      <c r="DD56" s="214">
        <f>IF(AND(($E56+$C$1)&gt;DD$4,DD$4&gt;=$C$1),$H56,IF(AND(($D56+$C$1)&gt;DD$4,DD$4&gt;=$C$1),$G56,0))*IF($A56="Residential",'General Inputs'!P$15,'General Inputs'!P$19)</f>
        <v>0</v>
      </c>
      <c r="DE56" s="214">
        <f>IF(AND(($E56+$C$1)&gt;DE$4,DE$4&gt;=$C$1),$H56,IF(AND(($D56+$C$1)&gt;DE$4,DE$4&gt;=$C$1),$G56,0))*IF($A56="Residential",'General Inputs'!Q$15,'General Inputs'!Q$19)</f>
        <v>0</v>
      </c>
      <c r="DF56" s="214">
        <f>IF(AND(($E56+$C$1)&gt;DF$4,DF$4&gt;=$C$1),$H56,IF(AND(($D56+$C$1)&gt;DF$4,DF$4&gt;=$C$1),$G56,0))*IF($A56="Residential",'General Inputs'!R$15,'General Inputs'!R$19)</f>
        <v>0</v>
      </c>
      <c r="DG56" s="214">
        <f>IF(AND(($E56+$C$1)&gt;DG$4,DG$4&gt;=$C$1),$H56,IF(AND(($D56+$C$1)&gt;DG$4,DG$4&gt;=$C$1),$G56,0))*IF($A56="Residential",'General Inputs'!S$15,'General Inputs'!S$19)</f>
        <v>0</v>
      </c>
      <c r="DH56" s="214">
        <f>IF(AND(($E56+$C$1)&gt;DH$4,DH$4&gt;=$C$1),$H56,IF(AND(($D56+$C$1)&gt;DH$4,DH$4&gt;=$C$1),$G56,0))*IF($A56="Residential",'General Inputs'!T$15,'General Inputs'!T$19)</f>
        <v>0</v>
      </c>
      <c r="DI56" s="214">
        <f>IF(AND(($E56+$C$1)&gt;DI$4,DI$4&gt;=$C$1),$H56,IF(AND(($D56+$C$1)&gt;DI$4,DI$4&gt;=$C$1),$G56,0))*IF($A56="Residential",'General Inputs'!U$15,'General Inputs'!U$19)</f>
        <v>0</v>
      </c>
      <c r="DJ56" s="214">
        <f>IF(AND(($E56+$C$1)&gt;DJ$4,DJ$4&gt;=$C$1),$H56,IF(AND(($D56+$C$1)&gt;DJ$4,DJ$4&gt;=$C$1),$G56,0))*IF($A56="Residential",'General Inputs'!V$15,'General Inputs'!V$19)</f>
        <v>0</v>
      </c>
      <c r="DK56" s="214">
        <f>IF(AND(($E56+$C$1)&gt;DK$4,DK$4&gt;=$C$1),$H56,IF(AND(($D56+$C$1)&gt;DK$4,DK$4&gt;=$C$1),$G56,0))*IF($A56="Residential",'General Inputs'!W$15,'General Inputs'!W$19)</f>
        <v>0</v>
      </c>
      <c r="DM56" s="214">
        <f t="shared" si="441"/>
        <v>0</v>
      </c>
      <c r="DN56" s="214">
        <f t="shared" si="441"/>
        <v>0</v>
      </c>
      <c r="DO56" s="214">
        <f t="shared" si="441"/>
        <v>0</v>
      </c>
      <c r="DP56" s="214">
        <f t="shared" si="441"/>
        <v>0</v>
      </c>
      <c r="DQ56" s="214">
        <f t="shared" si="441"/>
        <v>0</v>
      </c>
      <c r="DR56" s="214">
        <f t="shared" si="441"/>
        <v>0</v>
      </c>
      <c r="DS56" s="214">
        <f t="shared" si="441"/>
        <v>0</v>
      </c>
      <c r="DT56" s="214">
        <f t="shared" si="441"/>
        <v>0</v>
      </c>
      <c r="DU56" s="214">
        <f t="shared" si="441"/>
        <v>0</v>
      </c>
      <c r="DV56" s="214">
        <f t="shared" si="441"/>
        <v>0</v>
      </c>
      <c r="DW56" s="214">
        <f t="shared" si="441"/>
        <v>0</v>
      </c>
      <c r="DZ56" s="650"/>
      <c r="FI56" s="195"/>
      <c r="FJ56" s="195"/>
      <c r="FK56" s="195"/>
      <c r="FL56" s="195"/>
      <c r="FM56" s="195"/>
      <c r="FN56" s="195"/>
      <c r="FO56" s="195"/>
    </row>
    <row r="57" spans="1:171">
      <c r="A57" s="342" t="s">
        <v>112</v>
      </c>
      <c r="B57" s="427" t="str">
        <f>'Portfolio Inputs'!A56</f>
        <v>Fluorescent Fixture Specular Reflector 8-ft</v>
      </c>
      <c r="C57" s="217">
        <f>IF($C$1=2014,'Portfolio Inputs'!$C56,IF($C$1=2015,'Portfolio Inputs'!$D56,'Portfolio Inputs'!$E56))</f>
        <v>0</v>
      </c>
      <c r="D57" s="504">
        <f>VLOOKUP(B57,Sources!$B$4:$J$104,2,FALSE)</f>
        <v>15</v>
      </c>
      <c r="E57" s="504">
        <f>VLOOKUP(B57,Sources!$B$4:$J$104,3,FALSE)</f>
        <v>0</v>
      </c>
      <c r="G57" s="504">
        <f>IF($C$1=2014,'Portfolio Inputs'!$G56,IF($C$1=2015,'Portfolio Inputs'!$H56,'Portfolio Inputs'!$I56))*EnergyLineLoss</f>
        <v>0</v>
      </c>
      <c r="H57" s="504"/>
      <c r="I57" s="595">
        <f>IF($C$1=2014,'Portfolio Inputs'!$K56,IF($C$1=2015,'Portfolio Inputs'!$L56,'Portfolio Inputs'!$M56))*PeakLineLoss</f>
        <v>0</v>
      </c>
      <c r="J57" s="510"/>
      <c r="L57" s="606">
        <f>IF($C$1=2014,'Portfolio Inputs'!$O56,IF($C$1=2015,'Portfolio Inputs'!$P56,'Portfolio Inputs'!$Q56))</f>
        <v>50</v>
      </c>
      <c r="M57" s="518">
        <f>VLOOKUP($B57,Sources!$B$4:$K$104,10,FALSE)</f>
        <v>0</v>
      </c>
      <c r="N57" s="419">
        <f>IF($C$1=2014,'Portfolio Inputs'!$W56,IF($C$1=2015,'Portfolio Inputs'!$X56,'Portfolio Inputs'!$Y56))</f>
        <v>0</v>
      </c>
      <c r="O57" s="419">
        <f>IF($C$1=2014,'Portfolio Inputs'!$AA56,IF($C$1=2015,'Portfolio Inputs'!$AB56,'Portfolio Inputs'!$AC56))</f>
        <v>0</v>
      </c>
      <c r="Q57" s="438" t="str">
        <f t="shared" si="442"/>
        <v>n/a</v>
      </c>
      <c r="R57" s="439" t="str">
        <f t="shared" si="443"/>
        <v>n/a</v>
      </c>
      <c r="S57" s="439" t="str">
        <f t="shared" si="444"/>
        <v>n/a</v>
      </c>
      <c r="T57" s="439" t="str">
        <f t="shared" si="445"/>
        <v>n/a</v>
      </c>
      <c r="U57" s="439" t="str">
        <f t="shared" si="446"/>
        <v>n/a</v>
      </c>
      <c r="V57" s="439" t="str">
        <f t="shared" si="447"/>
        <v>n/a</v>
      </c>
      <c r="W57" s="439" t="str">
        <f t="shared" si="448"/>
        <v>n/a</v>
      </c>
      <c r="Y57" s="215">
        <f t="shared" si="449"/>
        <v>0</v>
      </c>
      <c r="Z57" s="215">
        <f t="shared" si="450"/>
        <v>0</v>
      </c>
      <c r="AA57" s="215">
        <f t="shared" si="451"/>
        <v>0</v>
      </c>
      <c r="AB57" s="215">
        <f t="shared" si="452"/>
        <v>0</v>
      </c>
      <c r="AC57" s="216">
        <f t="shared" si="453"/>
        <v>0</v>
      </c>
      <c r="AD57" s="216">
        <f t="shared" si="454"/>
        <v>0</v>
      </c>
      <c r="AE57" s="215">
        <f t="shared" si="455"/>
        <v>0</v>
      </c>
      <c r="AG57" s="214">
        <f>IF(AND(($E57+$C$1)&gt;AG$4,AG$4&gt;=$C$1),'General Inputs'!D$9*$H57,IF(AND(($D57+$C$1)&gt;AG$4,AG$4&gt;=$C$1),'General Inputs'!D$9*$G57,0))+IF(AND(($E57+$C$1)&gt;AG$4,AG$4&gt;=$C$1),'General Inputs'!D$10*$J57,IF(AND(($D57+$C$1)&gt;AG$4,AG$4&gt;=$C$1),'General Inputs'!D$10*$I57,0))</f>
        <v>0</v>
      </c>
      <c r="AH57" s="214">
        <f>IF(AND(($E57+$C$1)&gt;AH$4,AH$4&gt;=$C$1),'General Inputs'!E$9*$H57,IF(AND(($D57+$C$1)&gt;AH$4,AH$4&gt;=$C$1),'General Inputs'!E$9*$G57,0))+IF(AND(($E57+$C$1)&gt;AH$4,AH$4&gt;=$C$1),'General Inputs'!E$10*$J57,IF(AND(($D57+$C$1)&gt;AH$4,AH$4&gt;=$C$1),'General Inputs'!E$10*$I57,0))</f>
        <v>0</v>
      </c>
      <c r="AI57" s="214">
        <f>IF(AND(($E57+$C$1)&gt;AI$4,AI$4&gt;=$C$1),'General Inputs'!F$9*$H57,IF(AND(($D57+$C$1)&gt;AI$4,AI$4&gt;=$C$1),'General Inputs'!F$9*$G57,0))+IF(AND(($E57+$C$1)&gt;AI$4,AI$4&gt;=$C$1),'General Inputs'!F$10*$J57,IF(AND(($D57+$C$1)&gt;AI$4,AI$4&gt;=$C$1),'General Inputs'!F$10*$I57,0))</f>
        <v>0</v>
      </c>
      <c r="AJ57" s="214">
        <f>IF(AND(($E57+$C$1)&gt;AJ$4,AJ$4&gt;=$C$1),'General Inputs'!G$9*$H57,IF(AND(($D57+$C$1)&gt;AJ$4,AJ$4&gt;=$C$1),'General Inputs'!G$9*$G57,0))+IF(AND(($E57+$C$1)&gt;AJ$4,AJ$4&gt;=$C$1),'General Inputs'!G$10*$J57,IF(AND(($D57+$C$1)&gt;AJ$4,AJ$4&gt;=$C$1),'General Inputs'!G$10*$I57,0))</f>
        <v>0</v>
      </c>
      <c r="AK57" s="214">
        <f>IF(AND(($E57+$C$1)&gt;AK$4,AK$4&gt;=$C$1),'General Inputs'!H$9*$H57,IF(AND(($D57+$C$1)&gt;AK$4,AK$4&gt;=$C$1),'General Inputs'!H$9*$G57,0))+IF(AND(($E57+$C$1)&gt;AK$4,AK$4&gt;=$C$1),'General Inputs'!H$10*$J57,IF(AND(($D57+$C$1)&gt;AK$4,AK$4&gt;=$C$1),'General Inputs'!H$10*$I57,0))</f>
        <v>0</v>
      </c>
      <c r="AL57" s="214">
        <f>IF(AND(($E57+$C$1)&gt;AL$4,AL$4&gt;=$C$1),'General Inputs'!I$9*$H57,IF(AND(($D57+$C$1)&gt;AL$4,AL$4&gt;=$C$1),'General Inputs'!I$9*$G57,0))+IF(AND(($E57+$C$1)&gt;AL$4,AL$4&gt;=$C$1),'General Inputs'!I$10*$J57,IF(AND(($D57+$C$1)&gt;AL$4,AL$4&gt;=$C$1),'General Inputs'!I$10*$I57,0))</f>
        <v>0</v>
      </c>
      <c r="AM57" s="214">
        <f>IF(AND(($E57+$C$1)&gt;AM$4,AM$4&gt;=$C$1),'General Inputs'!J$9*$H57,IF(AND(($D57+$C$1)&gt;AM$4,AM$4&gt;=$C$1),'General Inputs'!J$9*$G57,0))+IF(AND(($E57+$C$1)&gt;AM$4,AM$4&gt;=$C$1),'General Inputs'!J$10*$J57,IF(AND(($D57+$C$1)&gt;AM$4,AM$4&gt;=$C$1),'General Inputs'!J$10*$I57,0))</f>
        <v>0</v>
      </c>
      <c r="AN57" s="214">
        <f>IF(AND(($E57+$C$1)&gt;AN$4,AN$4&gt;=$C$1),'General Inputs'!K$9*$H57,IF(AND(($D57+$C$1)&gt;AN$4,AN$4&gt;=$C$1),'General Inputs'!K$9*$G57,0))+IF(AND(($E57+$C$1)&gt;AN$4,AN$4&gt;=$C$1),'General Inputs'!K$10*$J57,IF(AND(($D57+$C$1)&gt;AN$4,AN$4&gt;=$C$1),'General Inputs'!K$10*$I57,0))</f>
        <v>0</v>
      </c>
      <c r="AO57" s="214">
        <f>IF(AND(($E57+$C$1)&gt;AO$4,AO$4&gt;=$C$1),'General Inputs'!L$9*$H57,IF(AND(($D57+$C$1)&gt;AO$4,AO$4&gt;=$C$1),'General Inputs'!L$9*$G57,0))+IF(AND(($E57+$C$1)&gt;AO$4,AO$4&gt;=$C$1),'General Inputs'!L$10*$J57,IF(AND(($D57+$C$1)&gt;AO$4,AO$4&gt;=$C$1),'General Inputs'!L$10*$I57,0))</f>
        <v>0</v>
      </c>
      <c r="AP57" s="214">
        <f>IF(AND(($E57+$C$1)&gt;AP$4,AP$4&gt;=$C$1),'General Inputs'!M$9*$H57,IF(AND(($D57+$C$1)&gt;AP$4,AP$4&gt;=$C$1),'General Inputs'!M$9*$G57,0))+IF(AND(($E57+$C$1)&gt;AP$4,AP$4&gt;=$C$1),'General Inputs'!M$10*$J57,IF(AND(($D57+$C$1)&gt;AP$4,AP$4&gt;=$C$1),'General Inputs'!M$10*$I57,0))</f>
        <v>0</v>
      </c>
      <c r="AQ57" s="214">
        <f>IF(AND(($E57+$C$1)&gt;AQ$4,AQ$4&gt;=$C$1),'General Inputs'!N$9*$H57,IF(AND(($D57+$C$1)&gt;AQ$4,AQ$4&gt;=$C$1),'General Inputs'!N$9*$G57,0))+IF(AND(($E57+$C$1)&gt;AQ$4,AQ$4&gt;=$C$1),'General Inputs'!N$10*$J57,IF(AND(($D57+$C$1)&gt;AQ$4,AQ$4&gt;=$C$1),'General Inputs'!N$10*$I57,0))</f>
        <v>0</v>
      </c>
      <c r="AR57" s="214">
        <f>IF(AND(($E57+$C$1)&gt;AR$4,AR$4&gt;=$C$1),'General Inputs'!O$9*$H57,IF(AND(($D57+$C$1)&gt;AR$4,AR$4&gt;=$C$1),'General Inputs'!O$9*$G57,0))+IF(AND(($E57+$C$1)&gt;AR$4,AR$4&gt;=$C$1),'General Inputs'!O$10*$J57,IF(AND(($D57+$C$1)&gt;AR$4,AR$4&gt;=$C$1),'General Inputs'!O$10*$I57,0))</f>
        <v>0</v>
      </c>
      <c r="AS57" s="214">
        <f>IF(AND(($E57+$C$1)&gt;AS$4,AS$4&gt;=$C$1),'General Inputs'!P$9*$H57,IF(AND(($D57+$C$1)&gt;AS$4,AS$4&gt;=$C$1),'General Inputs'!P$9*$G57,0))+IF(AND(($E57+$C$1)&gt;AS$4,AS$4&gt;=$C$1),'General Inputs'!P$10*$J57,IF(AND(($D57+$C$1)&gt;AS$4,AS$4&gt;=$C$1),'General Inputs'!P$10*$I57,0))</f>
        <v>0</v>
      </c>
      <c r="AT57" s="214">
        <f>IF(AND(($E57+$C$1)&gt;AT$4,AT$4&gt;=$C$1),'General Inputs'!Q$9*$H57,IF(AND(($D57+$C$1)&gt;AT$4,AT$4&gt;=$C$1),'General Inputs'!Q$9*$G57,0))+IF(AND(($E57+$C$1)&gt;AT$4,AT$4&gt;=$C$1),'General Inputs'!Q$10*$J57,IF(AND(($D57+$C$1)&gt;AT$4,AT$4&gt;=$C$1),'General Inputs'!Q$10*$I57,0))</f>
        <v>0</v>
      </c>
      <c r="AU57" s="214">
        <f>IF(AND(($E57+$C$1)&gt;AU$4,AU$4&gt;=$C$1),'General Inputs'!R$9*$H57,IF(AND(($D57+$C$1)&gt;AU$4,AU$4&gt;=$C$1),'General Inputs'!R$9*$G57,0))+IF(AND(($E57+$C$1)&gt;AU$4,AU$4&gt;=$C$1),'General Inputs'!R$10*$J57,IF(AND(($D57+$C$1)&gt;AU$4,AU$4&gt;=$C$1),'General Inputs'!R$10*$I57,0))</f>
        <v>0</v>
      </c>
      <c r="AV57" s="214">
        <f>IF(AND(($E57+$C$1)&gt;AV$4,AV$4&gt;=$C$1),'General Inputs'!S$9*$H57,IF(AND(($D57+$C$1)&gt;AV$4,AV$4&gt;=$C$1),'General Inputs'!S$9*$G57,0))+IF(AND(($E57+$C$1)&gt;AV$4,AV$4&gt;=$C$1),'General Inputs'!S$10*$J57,IF(AND(($D57+$C$1)&gt;AV$4,AV$4&gt;=$C$1),'General Inputs'!S$10*$I57,0))</f>
        <v>0</v>
      </c>
      <c r="AW57" s="214">
        <f>IF(AND(($E57+$C$1)&gt;AW$4,AW$4&gt;=$C$1),'General Inputs'!T$9*$H57,IF(AND(($D57+$C$1)&gt;AW$4,AW$4&gt;=$C$1),'General Inputs'!T$9*$G57,0))+IF(AND(($E57+$C$1)&gt;AW$4,AW$4&gt;=$C$1),'General Inputs'!T$10*$J57,IF(AND(($D57+$C$1)&gt;AW$4,AW$4&gt;=$C$1),'General Inputs'!T$10*$I57,0))</f>
        <v>0</v>
      </c>
      <c r="AX57" s="214">
        <f>IF(AND(($E57+$C$1)&gt;AX$4,AX$4&gt;=$C$1),'General Inputs'!U$9*$H57,IF(AND(($D57+$C$1)&gt;AX$4,AX$4&gt;=$C$1),'General Inputs'!U$9*$G57,0))+IF(AND(($E57+$C$1)&gt;AX$4,AX$4&gt;=$C$1),'General Inputs'!U$10*$J57,IF(AND(($D57+$C$1)&gt;AX$4,AX$4&gt;=$C$1),'General Inputs'!U$10*$I57,0))</f>
        <v>0</v>
      </c>
      <c r="AY57" s="214">
        <f>IF(AND(($E57+$C$1)&gt;AY$4,AY$4&gt;=$C$1),'General Inputs'!V$9*$H57,IF(AND(($D57+$C$1)&gt;AY$4,AY$4&gt;=$C$1),'General Inputs'!V$9*$G57,0))+IF(AND(($E57+$C$1)&gt;AY$4,AY$4&gt;=$C$1),'General Inputs'!V$10*$J57,IF(AND(($D57+$C$1)&gt;AY$4,AY$4&gt;=$C$1),'General Inputs'!V$10*$I57,0))</f>
        <v>0</v>
      </c>
      <c r="AZ57" s="214">
        <f>IF(AND(($E57+$C$1)&gt;AZ$4,AZ$4&gt;=$C$1),'General Inputs'!W$9*$H57,IF(AND(($D57+$C$1)&gt;AZ$4,AZ$4&gt;=$C$1),'General Inputs'!W$9*$G57,0))+IF(AND(($E57+$C$1)&gt;AZ$4,AZ$4&gt;=$C$1),'General Inputs'!W$10*$J57,IF(AND(($D57+$C$1)&gt;AZ$4,AZ$4&gt;=$C$1),'General Inputs'!W$10*$I57,0))</f>
        <v>0</v>
      </c>
      <c r="BB57" s="214">
        <f>IF(AND(($E57+$C$1)&gt;BB$4,BB$4&gt;=$C$1),'General Inputs'!D$11*$H57,IF(AND(($D57+$C$1)&gt;BB$4,BB$4&gt;=$C$1),'General Inputs'!D$11*$G57,0))</f>
        <v>0</v>
      </c>
      <c r="BC57" s="214">
        <f>IF(AND(($E57+$C$1)&gt;BC$4,BC$4&gt;=$C$1),'General Inputs'!E$11*$H57,IF(AND(($D57+$C$1)&gt;BC$4,BC$4&gt;=$C$1),'General Inputs'!E$11*$G57,0))</f>
        <v>0</v>
      </c>
      <c r="BD57" s="214">
        <f>IF(AND(($E57+$C$1)&gt;BD$4,BD$4&gt;=$C$1),'General Inputs'!F$11*$H57,IF(AND(($D57+$C$1)&gt;BD$4,BD$4&gt;=$C$1),'General Inputs'!F$11*$G57,0))</f>
        <v>0</v>
      </c>
      <c r="BE57" s="214">
        <f>IF(AND(($E57+$C$1)&gt;BE$4,BE$4&gt;=$C$1),'General Inputs'!G$11*$H57,IF(AND(($D57+$C$1)&gt;BE$4,BE$4&gt;=$C$1),'General Inputs'!G$11*$G57,0))</f>
        <v>0</v>
      </c>
      <c r="BF57" s="214">
        <f>IF(AND(($E57+$C$1)&gt;BF$4,BF$4&gt;=$C$1),'General Inputs'!H$11*$H57,IF(AND(($D57+$C$1)&gt;BF$4,BF$4&gt;=$C$1),'General Inputs'!H$11*$G57,0))</f>
        <v>0</v>
      </c>
      <c r="BG57" s="214">
        <f>IF(AND(($E57+$C$1)&gt;BG$4,BG$4&gt;=$C$1),'General Inputs'!I$11*$H57,IF(AND(($D57+$C$1)&gt;BG$4,BG$4&gt;=$C$1),'General Inputs'!I$11*$G57,0))</f>
        <v>0</v>
      </c>
      <c r="BH57" s="214">
        <f>IF(AND(($E57+$C$1)&gt;BH$4,BH$4&gt;=$C$1),'General Inputs'!J$11*$H57,IF(AND(($D57+$C$1)&gt;BH$4,BH$4&gt;=$C$1),'General Inputs'!J$11*$G57,0))</f>
        <v>0</v>
      </c>
      <c r="BI57" s="214">
        <f>IF(AND(($E57+$C$1)&gt;BI$4,BI$4&gt;=$C$1),'General Inputs'!K$11*$H57,IF(AND(($D57+$C$1)&gt;BI$4,BI$4&gt;=$C$1),'General Inputs'!K$11*$G57,0))</f>
        <v>0</v>
      </c>
      <c r="BJ57" s="214">
        <f>IF(AND(($E57+$C$1)&gt;BJ$4,BJ$4&gt;=$C$1),'General Inputs'!L$11*$H57,IF(AND(($D57+$C$1)&gt;BJ$4,BJ$4&gt;=$C$1),'General Inputs'!L$11*$G57,0))</f>
        <v>0</v>
      </c>
      <c r="BK57" s="214">
        <f>IF(AND(($E57+$C$1)&gt;BK$4,BK$4&gt;=$C$1),'General Inputs'!M$11*$H57,IF(AND(($D57+$C$1)&gt;BK$4,BK$4&gt;=$C$1),'General Inputs'!M$11*$G57,0))</f>
        <v>0</v>
      </c>
      <c r="BL57" s="214">
        <f>IF(AND(($E57+$C$1)&gt;BL$4,BL$4&gt;=$C$1),'General Inputs'!N$11*$H57,IF(AND(($D57+$C$1)&gt;BL$4,BL$4&gt;=$C$1),'General Inputs'!N$11*$G57,0))</f>
        <v>0</v>
      </c>
      <c r="BM57" s="214">
        <f>IF(AND(($E57+$C$1)&gt;BM$4,BM$4&gt;=$C$1),'General Inputs'!O$11*$H57,IF(AND(($D57+$C$1)&gt;BM$4,BM$4&gt;=$C$1),'General Inputs'!O$11*$G57,0))</f>
        <v>0</v>
      </c>
      <c r="BN57" s="214">
        <f>IF(AND(($E57+$C$1)&gt;BN$4,BN$4&gt;=$C$1),'General Inputs'!P$11*$H57,IF(AND(($D57+$C$1)&gt;BN$4,BN$4&gt;=$C$1),'General Inputs'!P$11*$G57,0))</f>
        <v>0</v>
      </c>
      <c r="BO57" s="214">
        <f>IF(AND(($E57+$C$1)&gt;BO$4,BO$4&gt;=$C$1),'General Inputs'!Q$11*$H57,IF(AND(($D57+$C$1)&gt;BO$4,BO$4&gt;=$C$1),'General Inputs'!Q$11*$G57,0))</f>
        <v>0</v>
      </c>
      <c r="BP57" s="214">
        <f>IF(AND(($E57+$C$1)&gt;BP$4,BP$4&gt;=$C$1),'General Inputs'!R$11*$H57,IF(AND(($D57+$C$1)&gt;BP$4,BP$4&gt;=$C$1),'General Inputs'!R$11*$G57,0))</f>
        <v>0</v>
      </c>
      <c r="BQ57" s="214">
        <f>IF(AND(($E57+$C$1)&gt;BQ$4,BQ$4&gt;=$C$1),'General Inputs'!S$11*$H57,IF(AND(($D57+$C$1)&gt;BQ$4,BQ$4&gt;=$C$1),'General Inputs'!S$11*$G57,0))</f>
        <v>0</v>
      </c>
      <c r="BR57" s="214">
        <f>IF(AND(($E57+$C$1)&gt;BR$4,BR$4&gt;=$C$1),'General Inputs'!T$11*$H57,IF(AND(($D57+$C$1)&gt;BR$4,BR$4&gt;=$C$1),'General Inputs'!T$11*$G57,0))</f>
        <v>0</v>
      </c>
      <c r="BS57" s="214">
        <f>IF(AND(($E57+$C$1)&gt;BS$4,BS$4&gt;=$C$1),'General Inputs'!U$11*$H57,IF(AND(($D57+$C$1)&gt;BS$4,BS$4&gt;=$C$1),'General Inputs'!U$11*$G57,0))</f>
        <v>0</v>
      </c>
      <c r="BT57" s="214">
        <f>IF(AND(($E57+$C$1)&gt;BT$4,BT$4&gt;=$C$1),'General Inputs'!V$11*$H57,IF(AND(($D57+$C$1)&gt;BT$4,BT$4&gt;=$C$1),'General Inputs'!V$11*$G57,0))</f>
        <v>0</v>
      </c>
      <c r="BU57" s="214">
        <f>IF(AND(($E57+$C$1)&gt;BU$4,BU$4&gt;=$C$1),'General Inputs'!W$11*$H57,IF(AND(($D57+$C$1)&gt;BU$4,BU$4&gt;=$C$1),'General Inputs'!W$11*$G57,0))</f>
        <v>0</v>
      </c>
      <c r="BW57" s="214">
        <f>IF(AND(($E57+$C$1)&gt;BW$4,BW$4&gt;=$C$1),$H57,IF(AND(($D57+$C$1)&gt;BW$4,BW$4&gt;=$C$1),$G57,0))*IF($A57="Residential",'General Inputs'!D$14,'General Inputs'!D$19)</f>
        <v>0</v>
      </c>
      <c r="BX57" s="214">
        <f>IF(AND(($E57+$C$1)&gt;BX$4,BX$4&gt;=$C$1),$H57,IF(AND(($D57+$C$1)&gt;BX$4,BX$4&gt;=$C$1),$G57,0))*IF($A57="Residential",'General Inputs'!E$14,'General Inputs'!E$19)</f>
        <v>0</v>
      </c>
      <c r="BY57" s="214">
        <f>IF(AND(($E57+$C$1)&gt;BY$4,BY$4&gt;=$C$1),$H57,IF(AND(($D57+$C$1)&gt;BY$4,BY$4&gt;=$C$1),$G57,0))*IF($A57="Residential",'General Inputs'!F$14,'General Inputs'!F$19)</f>
        <v>0</v>
      </c>
      <c r="BZ57" s="214">
        <f>IF(AND(($E57+$C$1)&gt;BZ$4,BZ$4&gt;=$C$1),$H57,IF(AND(($D57+$C$1)&gt;BZ$4,BZ$4&gt;=$C$1),$G57,0))*IF($A57="Residential",'General Inputs'!G$14,'General Inputs'!G$19)</f>
        <v>0</v>
      </c>
      <c r="CA57" s="214">
        <f>IF(AND(($E57+$C$1)&gt;CA$4,CA$4&gt;=$C$1),$H57,IF(AND(($D57+$C$1)&gt;CA$4,CA$4&gt;=$C$1),$G57,0))*IF($A57="Residential",'General Inputs'!H$14,'General Inputs'!H$19)</f>
        <v>0</v>
      </c>
      <c r="CB57" s="214">
        <f>IF(AND(($E57+$C$1)&gt;CB$4,CB$4&gt;=$C$1),$H57,IF(AND(($D57+$C$1)&gt;CB$4,CB$4&gt;=$C$1),$G57,0))*IF($A57="Residential",'General Inputs'!I$14,'General Inputs'!I$19)</f>
        <v>0</v>
      </c>
      <c r="CC57" s="214">
        <f>IF(AND(($E57+$C$1)&gt;CC$4,CC$4&gt;=$C$1),$H57,IF(AND(($D57+$C$1)&gt;CC$4,CC$4&gt;=$C$1),$G57,0))*IF($A57="Residential",'General Inputs'!J$14,'General Inputs'!J$19)</f>
        <v>0</v>
      </c>
      <c r="CD57" s="214">
        <f>IF(AND(($E57+$C$1)&gt;CD$4,CD$4&gt;=$C$1),$H57,IF(AND(($D57+$C$1)&gt;CD$4,CD$4&gt;=$C$1),$G57,0))*IF($A57="Residential",'General Inputs'!K$14,'General Inputs'!K$19)</f>
        <v>0</v>
      </c>
      <c r="CE57" s="214">
        <f>IF(AND(($E57+$C$1)&gt;CE$4,CE$4&gt;=$C$1),$H57,IF(AND(($D57+$C$1)&gt;CE$4,CE$4&gt;=$C$1),$G57,0))*IF($A57="Residential",'General Inputs'!L$14,'General Inputs'!L$19)</f>
        <v>0</v>
      </c>
      <c r="CF57" s="214">
        <f>IF(AND(($E57+$C$1)&gt;CF$4,CF$4&gt;=$C$1),$H57,IF(AND(($D57+$C$1)&gt;CF$4,CF$4&gt;=$C$1),$G57,0))*IF($A57="Residential",'General Inputs'!M$14,'General Inputs'!M$19)</f>
        <v>0</v>
      </c>
      <c r="CG57" s="214">
        <f>IF(AND(($E57+$C$1)&gt;CG$4,CG$4&gt;=$C$1),$H57,IF(AND(($D57+$C$1)&gt;CG$4,CG$4&gt;=$C$1),$G57,0))*IF($A57="Residential",'General Inputs'!N$14,'General Inputs'!N$19)</f>
        <v>0</v>
      </c>
      <c r="CH57" s="214">
        <f>IF(AND(($E57+$C$1)&gt;CH$4,CH$4&gt;=$C$1),$H57,IF(AND(($D57+$C$1)&gt;CH$4,CH$4&gt;=$C$1),$G57,0))*IF($A57="Residential",'General Inputs'!O$14,'General Inputs'!O$19)</f>
        <v>0</v>
      </c>
      <c r="CI57" s="214">
        <f>IF(AND(($E57+$C$1)&gt;CI$4,CI$4&gt;=$C$1),$H57,IF(AND(($D57+$C$1)&gt;CI$4,CI$4&gt;=$C$1),$G57,0))*IF($A57="Residential",'General Inputs'!P$14,'General Inputs'!P$19)</f>
        <v>0</v>
      </c>
      <c r="CJ57" s="214">
        <f>IF(AND(($E57+$C$1)&gt;CJ$4,CJ$4&gt;=$C$1),$H57,IF(AND(($D57+$C$1)&gt;CJ$4,CJ$4&gt;=$C$1),$G57,0))*IF($A57="Residential",'General Inputs'!Q$14,'General Inputs'!Q$19)</f>
        <v>0</v>
      </c>
      <c r="CK57" s="214">
        <f>IF(AND(($E57+$C$1)&gt;CK$4,CK$4&gt;=$C$1),$H57,IF(AND(($D57+$C$1)&gt;CK$4,CK$4&gt;=$C$1),$G57,0))*IF($A57="Residential",'General Inputs'!R$14,'General Inputs'!R$19)</f>
        <v>0</v>
      </c>
      <c r="CL57" s="214">
        <f>IF(AND(($E57+$C$1)&gt;CL$4,CL$4&gt;=$C$1),$H57,IF(AND(($D57+$C$1)&gt;CL$4,CL$4&gt;=$C$1),$G57,0))*IF($A57="Residential",'General Inputs'!S$14,'General Inputs'!S$19)</f>
        <v>0</v>
      </c>
      <c r="CM57" s="214">
        <f>IF(AND(($E57+$C$1)&gt;CM$4,CM$4&gt;=$C$1),$H57,IF(AND(($D57+$C$1)&gt;CM$4,CM$4&gt;=$C$1),$G57,0))*IF($A57="Residential",'General Inputs'!T$14,'General Inputs'!T$19)</f>
        <v>0</v>
      </c>
      <c r="CN57" s="214">
        <f>IF(AND(($E57+$C$1)&gt;CN$4,CN$4&gt;=$C$1),$H57,IF(AND(($D57+$C$1)&gt;CN$4,CN$4&gt;=$C$1),$G57,0))*IF($A57="Residential",'General Inputs'!U$14,'General Inputs'!U$19)</f>
        <v>0</v>
      </c>
      <c r="CO57" s="214">
        <f>IF(AND(($E57+$C$1)&gt;CO$4,CO$4&gt;=$C$1),$H57,IF(AND(($D57+$C$1)&gt;CO$4,CO$4&gt;=$C$1),$G57,0))*IF($A57="Residential",'General Inputs'!V$14,'General Inputs'!V$19)</f>
        <v>0</v>
      </c>
      <c r="CP57" s="214">
        <f>IF(AND(($E57+$C$1)&gt;CP$4,CP$4&gt;=$C$1),$H57,IF(AND(($D57+$C$1)&gt;CP$4,CP$4&gt;=$C$1),$G57,0))*IF($A57="Residential",'General Inputs'!W$14,'General Inputs'!W$19)</f>
        <v>0</v>
      </c>
      <c r="CR57" s="214">
        <f>IF(AND(($E57+$C$1)&gt;CR$4,CR$4&gt;=$C$1),$H57,IF(AND(($D57+$C$1)&gt;CR$4,CR$4&gt;=$C$1),$G57,0))*IF($A57="Residential",'General Inputs'!D$15,'General Inputs'!D$19)</f>
        <v>0</v>
      </c>
      <c r="CS57" s="214">
        <f>IF(AND(($E57+$C$1)&gt;CS$4,CS$4&gt;=$C$1),$H57,IF(AND(($D57+$C$1)&gt;CS$4,CS$4&gt;=$C$1),$G57,0))*IF($A57="Residential",'General Inputs'!E$15,'General Inputs'!E$19)</f>
        <v>0</v>
      </c>
      <c r="CT57" s="214">
        <f>IF(AND(($E57+$C$1)&gt;CT$4,CT$4&gt;=$C$1),$H57,IF(AND(($D57+$C$1)&gt;CT$4,CT$4&gt;=$C$1),$G57,0))*IF($A57="Residential",'General Inputs'!F$15,'General Inputs'!F$19)</f>
        <v>0</v>
      </c>
      <c r="CU57" s="214">
        <f>IF(AND(($E57+$C$1)&gt;CU$4,CU$4&gt;=$C$1),$H57,IF(AND(($D57+$C$1)&gt;CU$4,CU$4&gt;=$C$1),$G57,0))*IF($A57="Residential",'General Inputs'!G$15,'General Inputs'!G$19)</f>
        <v>0</v>
      </c>
      <c r="CV57" s="214">
        <f>IF(AND(($E57+$C$1)&gt;CV$4,CV$4&gt;=$C$1),$H57,IF(AND(($D57+$C$1)&gt;CV$4,CV$4&gt;=$C$1),$G57,0))*IF($A57="Residential",'General Inputs'!H$15,'General Inputs'!H$19)</f>
        <v>0</v>
      </c>
      <c r="CW57" s="214">
        <f>IF(AND(($E57+$C$1)&gt;CW$4,CW$4&gt;=$C$1),$H57,IF(AND(($D57+$C$1)&gt;CW$4,CW$4&gt;=$C$1),$G57,0))*IF($A57="Residential",'General Inputs'!I$15,'General Inputs'!I$19)</f>
        <v>0</v>
      </c>
      <c r="CX57" s="214">
        <f>IF(AND(($E57+$C$1)&gt;CX$4,CX$4&gt;=$C$1),$H57,IF(AND(($D57+$C$1)&gt;CX$4,CX$4&gt;=$C$1),$G57,0))*IF($A57="Residential",'General Inputs'!J$15,'General Inputs'!J$19)</f>
        <v>0</v>
      </c>
      <c r="CY57" s="214">
        <f>IF(AND(($E57+$C$1)&gt;CY$4,CY$4&gt;=$C$1),$H57,IF(AND(($D57+$C$1)&gt;CY$4,CY$4&gt;=$C$1),$G57,0))*IF($A57="Residential",'General Inputs'!K$15,'General Inputs'!K$19)</f>
        <v>0</v>
      </c>
      <c r="CZ57" s="214">
        <f>IF(AND(($E57+$C$1)&gt;CZ$4,CZ$4&gt;=$C$1),$H57,IF(AND(($D57+$C$1)&gt;CZ$4,CZ$4&gt;=$C$1),$G57,0))*IF($A57="Residential",'General Inputs'!L$15,'General Inputs'!L$19)</f>
        <v>0</v>
      </c>
      <c r="DA57" s="214">
        <f>IF(AND(($E57+$C$1)&gt;DA$4,DA$4&gt;=$C$1),$H57,IF(AND(($D57+$C$1)&gt;DA$4,DA$4&gt;=$C$1),$G57,0))*IF($A57="Residential",'General Inputs'!M$15,'General Inputs'!M$19)</f>
        <v>0</v>
      </c>
      <c r="DB57" s="214">
        <f>IF(AND(($E57+$C$1)&gt;DB$4,DB$4&gt;=$C$1),$H57,IF(AND(($D57+$C$1)&gt;DB$4,DB$4&gt;=$C$1),$G57,0))*IF($A57="Residential",'General Inputs'!N$15,'General Inputs'!N$19)</f>
        <v>0</v>
      </c>
      <c r="DC57" s="214">
        <f>IF(AND(($E57+$C$1)&gt;DC$4,DC$4&gt;=$C$1),$H57,IF(AND(($D57+$C$1)&gt;DC$4,DC$4&gt;=$C$1),$G57,0))*IF($A57="Residential",'General Inputs'!O$15,'General Inputs'!O$19)</f>
        <v>0</v>
      </c>
      <c r="DD57" s="214">
        <f>IF(AND(($E57+$C$1)&gt;DD$4,DD$4&gt;=$C$1),$H57,IF(AND(($D57+$C$1)&gt;DD$4,DD$4&gt;=$C$1),$G57,0))*IF($A57="Residential",'General Inputs'!P$15,'General Inputs'!P$19)</f>
        <v>0</v>
      </c>
      <c r="DE57" s="214">
        <f>IF(AND(($E57+$C$1)&gt;DE$4,DE$4&gt;=$C$1),$H57,IF(AND(($D57+$C$1)&gt;DE$4,DE$4&gt;=$C$1),$G57,0))*IF($A57="Residential",'General Inputs'!Q$15,'General Inputs'!Q$19)</f>
        <v>0</v>
      </c>
      <c r="DF57" s="214">
        <f>IF(AND(($E57+$C$1)&gt;DF$4,DF$4&gt;=$C$1),$H57,IF(AND(($D57+$C$1)&gt;DF$4,DF$4&gt;=$C$1),$G57,0))*IF($A57="Residential",'General Inputs'!R$15,'General Inputs'!R$19)</f>
        <v>0</v>
      </c>
      <c r="DG57" s="214">
        <f>IF(AND(($E57+$C$1)&gt;DG$4,DG$4&gt;=$C$1),$H57,IF(AND(($D57+$C$1)&gt;DG$4,DG$4&gt;=$C$1),$G57,0))*IF($A57="Residential",'General Inputs'!S$15,'General Inputs'!S$19)</f>
        <v>0</v>
      </c>
      <c r="DH57" s="214">
        <f>IF(AND(($E57+$C$1)&gt;DH$4,DH$4&gt;=$C$1),$H57,IF(AND(($D57+$C$1)&gt;DH$4,DH$4&gt;=$C$1),$G57,0))*IF($A57="Residential",'General Inputs'!T$15,'General Inputs'!T$19)</f>
        <v>0</v>
      </c>
      <c r="DI57" s="214">
        <f>IF(AND(($E57+$C$1)&gt;DI$4,DI$4&gt;=$C$1),$H57,IF(AND(($D57+$C$1)&gt;DI$4,DI$4&gt;=$C$1),$G57,0))*IF($A57="Residential",'General Inputs'!U$15,'General Inputs'!U$19)</f>
        <v>0</v>
      </c>
      <c r="DJ57" s="214">
        <f>IF(AND(($E57+$C$1)&gt;DJ$4,DJ$4&gt;=$C$1),$H57,IF(AND(($D57+$C$1)&gt;DJ$4,DJ$4&gt;=$C$1),$G57,0))*IF($A57="Residential",'General Inputs'!V$15,'General Inputs'!V$19)</f>
        <v>0</v>
      </c>
      <c r="DK57" s="214">
        <f>IF(AND(($E57+$C$1)&gt;DK$4,DK$4&gt;=$C$1),$H57,IF(AND(($D57+$C$1)&gt;DK$4,DK$4&gt;=$C$1),$G57,0))*IF($A57="Residential",'General Inputs'!W$15,'General Inputs'!W$19)</f>
        <v>0</v>
      </c>
      <c r="DM57" s="214">
        <f t="shared" si="441"/>
        <v>0</v>
      </c>
      <c r="DN57" s="214">
        <f t="shared" si="441"/>
        <v>0</v>
      </c>
      <c r="DO57" s="214">
        <f t="shared" si="441"/>
        <v>0</v>
      </c>
      <c r="DP57" s="214">
        <f t="shared" si="441"/>
        <v>0</v>
      </c>
      <c r="DQ57" s="214">
        <f t="shared" si="441"/>
        <v>0</v>
      </c>
      <c r="DR57" s="214">
        <f t="shared" si="441"/>
        <v>0</v>
      </c>
      <c r="DS57" s="214">
        <f t="shared" si="441"/>
        <v>0</v>
      </c>
      <c r="DT57" s="214">
        <f t="shared" si="441"/>
        <v>0</v>
      </c>
      <c r="DU57" s="214">
        <f t="shared" si="441"/>
        <v>0</v>
      </c>
      <c r="DV57" s="214">
        <f t="shared" si="441"/>
        <v>0</v>
      </c>
      <c r="DW57" s="214">
        <f t="shared" si="441"/>
        <v>0</v>
      </c>
      <c r="DZ57" s="650"/>
      <c r="FI57" s="195"/>
      <c r="FJ57" s="195"/>
      <c r="FK57" s="195"/>
      <c r="FL57" s="195"/>
      <c r="FM57" s="195"/>
      <c r="FN57" s="195"/>
      <c r="FO57" s="195"/>
    </row>
    <row r="58" spans="1:171">
      <c r="A58" s="342" t="s">
        <v>112</v>
      </c>
      <c r="B58" s="427" t="str">
        <f>'Portfolio Inputs'!A57</f>
        <v>Fluorescent Fixture Specular Reflector two 8-ft</v>
      </c>
      <c r="C58" s="217">
        <f>IF($C$1=2014,'Portfolio Inputs'!$C57,IF($C$1=2015,'Portfolio Inputs'!$D57,'Portfolio Inputs'!$E57))</f>
        <v>0</v>
      </c>
      <c r="D58" s="504">
        <f>VLOOKUP(B58,Sources!$B$4:$J$104,2,FALSE)</f>
        <v>15</v>
      </c>
      <c r="E58" s="504">
        <f>VLOOKUP(B58,Sources!$B$4:$J$104,3,FALSE)</f>
        <v>0</v>
      </c>
      <c r="G58" s="504">
        <f>IF($C$1=2014,'Portfolio Inputs'!$G57,IF($C$1=2015,'Portfolio Inputs'!$H57,'Portfolio Inputs'!$I57))*EnergyLineLoss</f>
        <v>0</v>
      </c>
      <c r="H58" s="504"/>
      <c r="I58" s="595">
        <f>IF($C$1=2014,'Portfolio Inputs'!$K57,IF($C$1=2015,'Portfolio Inputs'!$L57,'Portfolio Inputs'!$M57))*PeakLineLoss</f>
        <v>0</v>
      </c>
      <c r="J58" s="510"/>
      <c r="L58" s="606">
        <f>IF($C$1=2014,'Portfolio Inputs'!$O57,IF($C$1=2015,'Portfolio Inputs'!$P57,'Portfolio Inputs'!$Q57))</f>
        <v>50</v>
      </c>
      <c r="M58" s="518">
        <f>VLOOKUP($B58,Sources!$B$4:$K$104,10,FALSE)</f>
        <v>0</v>
      </c>
      <c r="N58" s="419">
        <f>IF($C$1=2014,'Portfolio Inputs'!$W57,IF($C$1=2015,'Portfolio Inputs'!$X57,'Portfolio Inputs'!$Y57))</f>
        <v>0</v>
      </c>
      <c r="O58" s="419">
        <f>IF($C$1=2014,'Portfolio Inputs'!$AA57,IF($C$1=2015,'Portfolio Inputs'!$AB57,'Portfolio Inputs'!$AC57))</f>
        <v>0</v>
      </c>
      <c r="Q58" s="438" t="str">
        <f t="shared" si="442"/>
        <v>n/a</v>
      </c>
      <c r="R58" s="439" t="str">
        <f t="shared" si="443"/>
        <v>n/a</v>
      </c>
      <c r="S58" s="439" t="str">
        <f t="shared" si="444"/>
        <v>n/a</v>
      </c>
      <c r="T58" s="439" t="str">
        <f t="shared" si="445"/>
        <v>n/a</v>
      </c>
      <c r="U58" s="439" t="str">
        <f t="shared" si="446"/>
        <v>n/a</v>
      </c>
      <c r="V58" s="439" t="str">
        <f t="shared" si="447"/>
        <v>n/a</v>
      </c>
      <c r="W58" s="439" t="str">
        <f t="shared" si="448"/>
        <v>n/a</v>
      </c>
      <c r="Y58" s="215">
        <f t="shared" si="449"/>
        <v>0</v>
      </c>
      <c r="Z58" s="215">
        <f t="shared" si="450"/>
        <v>0</v>
      </c>
      <c r="AA58" s="215">
        <f t="shared" si="451"/>
        <v>0</v>
      </c>
      <c r="AB58" s="215">
        <f t="shared" si="452"/>
        <v>0</v>
      </c>
      <c r="AC58" s="216">
        <f t="shared" si="453"/>
        <v>0</v>
      </c>
      <c r="AD58" s="216">
        <f t="shared" si="454"/>
        <v>0</v>
      </c>
      <c r="AE58" s="215">
        <f t="shared" si="455"/>
        <v>0</v>
      </c>
      <c r="AG58" s="214">
        <f>IF(AND(($E58+$C$1)&gt;AG$4,AG$4&gt;=$C$1),'General Inputs'!D$9*$H58,IF(AND(($D58+$C$1)&gt;AG$4,AG$4&gt;=$C$1),'General Inputs'!D$9*$G58,0))+IF(AND(($E58+$C$1)&gt;AG$4,AG$4&gt;=$C$1),'General Inputs'!D$10*$J58,IF(AND(($D58+$C$1)&gt;AG$4,AG$4&gt;=$C$1),'General Inputs'!D$10*$I58,0))</f>
        <v>0</v>
      </c>
      <c r="AH58" s="214">
        <f>IF(AND(($E58+$C$1)&gt;AH$4,AH$4&gt;=$C$1),'General Inputs'!E$9*$H58,IF(AND(($D58+$C$1)&gt;AH$4,AH$4&gt;=$C$1),'General Inputs'!E$9*$G58,0))+IF(AND(($E58+$C$1)&gt;AH$4,AH$4&gt;=$C$1),'General Inputs'!E$10*$J58,IF(AND(($D58+$C$1)&gt;AH$4,AH$4&gt;=$C$1),'General Inputs'!E$10*$I58,0))</f>
        <v>0</v>
      </c>
      <c r="AI58" s="214">
        <f>IF(AND(($E58+$C$1)&gt;AI$4,AI$4&gt;=$C$1),'General Inputs'!F$9*$H58,IF(AND(($D58+$C$1)&gt;AI$4,AI$4&gt;=$C$1),'General Inputs'!F$9*$G58,0))+IF(AND(($E58+$C$1)&gt;AI$4,AI$4&gt;=$C$1),'General Inputs'!F$10*$J58,IF(AND(($D58+$C$1)&gt;AI$4,AI$4&gt;=$C$1),'General Inputs'!F$10*$I58,0))</f>
        <v>0</v>
      </c>
      <c r="AJ58" s="214">
        <f>IF(AND(($E58+$C$1)&gt;AJ$4,AJ$4&gt;=$C$1),'General Inputs'!G$9*$H58,IF(AND(($D58+$C$1)&gt;AJ$4,AJ$4&gt;=$C$1),'General Inputs'!G$9*$G58,0))+IF(AND(($E58+$C$1)&gt;AJ$4,AJ$4&gt;=$C$1),'General Inputs'!G$10*$J58,IF(AND(($D58+$C$1)&gt;AJ$4,AJ$4&gt;=$C$1),'General Inputs'!G$10*$I58,0))</f>
        <v>0</v>
      </c>
      <c r="AK58" s="214">
        <f>IF(AND(($E58+$C$1)&gt;AK$4,AK$4&gt;=$C$1),'General Inputs'!H$9*$H58,IF(AND(($D58+$C$1)&gt;AK$4,AK$4&gt;=$C$1),'General Inputs'!H$9*$G58,0))+IF(AND(($E58+$C$1)&gt;AK$4,AK$4&gt;=$C$1),'General Inputs'!H$10*$J58,IF(AND(($D58+$C$1)&gt;AK$4,AK$4&gt;=$C$1),'General Inputs'!H$10*$I58,0))</f>
        <v>0</v>
      </c>
      <c r="AL58" s="214">
        <f>IF(AND(($E58+$C$1)&gt;AL$4,AL$4&gt;=$C$1),'General Inputs'!I$9*$H58,IF(AND(($D58+$C$1)&gt;AL$4,AL$4&gt;=$C$1),'General Inputs'!I$9*$G58,0))+IF(AND(($E58+$C$1)&gt;AL$4,AL$4&gt;=$C$1),'General Inputs'!I$10*$J58,IF(AND(($D58+$C$1)&gt;AL$4,AL$4&gt;=$C$1),'General Inputs'!I$10*$I58,0))</f>
        <v>0</v>
      </c>
      <c r="AM58" s="214">
        <f>IF(AND(($E58+$C$1)&gt;AM$4,AM$4&gt;=$C$1),'General Inputs'!J$9*$H58,IF(AND(($D58+$C$1)&gt;AM$4,AM$4&gt;=$C$1),'General Inputs'!J$9*$G58,0))+IF(AND(($E58+$C$1)&gt;AM$4,AM$4&gt;=$C$1),'General Inputs'!J$10*$J58,IF(AND(($D58+$C$1)&gt;AM$4,AM$4&gt;=$C$1),'General Inputs'!J$10*$I58,0))</f>
        <v>0</v>
      </c>
      <c r="AN58" s="214">
        <f>IF(AND(($E58+$C$1)&gt;AN$4,AN$4&gt;=$C$1),'General Inputs'!K$9*$H58,IF(AND(($D58+$C$1)&gt;AN$4,AN$4&gt;=$C$1),'General Inputs'!K$9*$G58,0))+IF(AND(($E58+$C$1)&gt;AN$4,AN$4&gt;=$C$1),'General Inputs'!K$10*$J58,IF(AND(($D58+$C$1)&gt;AN$4,AN$4&gt;=$C$1),'General Inputs'!K$10*$I58,0))</f>
        <v>0</v>
      </c>
      <c r="AO58" s="214">
        <f>IF(AND(($E58+$C$1)&gt;AO$4,AO$4&gt;=$C$1),'General Inputs'!L$9*$H58,IF(AND(($D58+$C$1)&gt;AO$4,AO$4&gt;=$C$1),'General Inputs'!L$9*$G58,0))+IF(AND(($E58+$C$1)&gt;AO$4,AO$4&gt;=$C$1),'General Inputs'!L$10*$J58,IF(AND(($D58+$C$1)&gt;AO$4,AO$4&gt;=$C$1),'General Inputs'!L$10*$I58,0))</f>
        <v>0</v>
      </c>
      <c r="AP58" s="214">
        <f>IF(AND(($E58+$C$1)&gt;AP$4,AP$4&gt;=$C$1),'General Inputs'!M$9*$H58,IF(AND(($D58+$C$1)&gt;AP$4,AP$4&gt;=$C$1),'General Inputs'!M$9*$G58,0))+IF(AND(($E58+$C$1)&gt;AP$4,AP$4&gt;=$C$1),'General Inputs'!M$10*$J58,IF(AND(($D58+$C$1)&gt;AP$4,AP$4&gt;=$C$1),'General Inputs'!M$10*$I58,0))</f>
        <v>0</v>
      </c>
      <c r="AQ58" s="214">
        <f>IF(AND(($E58+$C$1)&gt;AQ$4,AQ$4&gt;=$C$1),'General Inputs'!N$9*$H58,IF(AND(($D58+$C$1)&gt;AQ$4,AQ$4&gt;=$C$1),'General Inputs'!N$9*$G58,0))+IF(AND(($E58+$C$1)&gt;AQ$4,AQ$4&gt;=$C$1),'General Inputs'!N$10*$J58,IF(AND(($D58+$C$1)&gt;AQ$4,AQ$4&gt;=$C$1),'General Inputs'!N$10*$I58,0))</f>
        <v>0</v>
      </c>
      <c r="AR58" s="214">
        <f>IF(AND(($E58+$C$1)&gt;AR$4,AR$4&gt;=$C$1),'General Inputs'!O$9*$H58,IF(AND(($D58+$C$1)&gt;AR$4,AR$4&gt;=$C$1),'General Inputs'!O$9*$G58,0))+IF(AND(($E58+$C$1)&gt;AR$4,AR$4&gt;=$C$1),'General Inputs'!O$10*$J58,IF(AND(($D58+$C$1)&gt;AR$4,AR$4&gt;=$C$1),'General Inputs'!O$10*$I58,0))</f>
        <v>0</v>
      </c>
      <c r="AS58" s="214">
        <f>IF(AND(($E58+$C$1)&gt;AS$4,AS$4&gt;=$C$1),'General Inputs'!P$9*$H58,IF(AND(($D58+$C$1)&gt;AS$4,AS$4&gt;=$C$1),'General Inputs'!P$9*$G58,0))+IF(AND(($E58+$C$1)&gt;AS$4,AS$4&gt;=$C$1),'General Inputs'!P$10*$J58,IF(AND(($D58+$C$1)&gt;AS$4,AS$4&gt;=$C$1),'General Inputs'!P$10*$I58,0))</f>
        <v>0</v>
      </c>
      <c r="AT58" s="214">
        <f>IF(AND(($E58+$C$1)&gt;AT$4,AT$4&gt;=$C$1),'General Inputs'!Q$9*$H58,IF(AND(($D58+$C$1)&gt;AT$4,AT$4&gt;=$C$1),'General Inputs'!Q$9*$G58,0))+IF(AND(($E58+$C$1)&gt;AT$4,AT$4&gt;=$C$1),'General Inputs'!Q$10*$J58,IF(AND(($D58+$C$1)&gt;AT$4,AT$4&gt;=$C$1),'General Inputs'!Q$10*$I58,0))</f>
        <v>0</v>
      </c>
      <c r="AU58" s="214">
        <f>IF(AND(($E58+$C$1)&gt;AU$4,AU$4&gt;=$C$1),'General Inputs'!R$9*$H58,IF(AND(($D58+$C$1)&gt;AU$4,AU$4&gt;=$C$1),'General Inputs'!R$9*$G58,0))+IF(AND(($E58+$C$1)&gt;AU$4,AU$4&gt;=$C$1),'General Inputs'!R$10*$J58,IF(AND(($D58+$C$1)&gt;AU$4,AU$4&gt;=$C$1),'General Inputs'!R$10*$I58,0))</f>
        <v>0</v>
      </c>
      <c r="AV58" s="214">
        <f>IF(AND(($E58+$C$1)&gt;AV$4,AV$4&gt;=$C$1),'General Inputs'!S$9*$H58,IF(AND(($D58+$C$1)&gt;AV$4,AV$4&gt;=$C$1),'General Inputs'!S$9*$G58,0))+IF(AND(($E58+$C$1)&gt;AV$4,AV$4&gt;=$C$1),'General Inputs'!S$10*$J58,IF(AND(($D58+$C$1)&gt;AV$4,AV$4&gt;=$C$1),'General Inputs'!S$10*$I58,0))</f>
        <v>0</v>
      </c>
      <c r="AW58" s="214">
        <f>IF(AND(($E58+$C$1)&gt;AW$4,AW$4&gt;=$C$1),'General Inputs'!T$9*$H58,IF(AND(($D58+$C$1)&gt;AW$4,AW$4&gt;=$C$1),'General Inputs'!T$9*$G58,0))+IF(AND(($E58+$C$1)&gt;AW$4,AW$4&gt;=$C$1),'General Inputs'!T$10*$J58,IF(AND(($D58+$C$1)&gt;AW$4,AW$4&gt;=$C$1),'General Inputs'!T$10*$I58,0))</f>
        <v>0</v>
      </c>
      <c r="AX58" s="214">
        <f>IF(AND(($E58+$C$1)&gt;AX$4,AX$4&gt;=$C$1),'General Inputs'!U$9*$H58,IF(AND(($D58+$C$1)&gt;AX$4,AX$4&gt;=$C$1),'General Inputs'!U$9*$G58,0))+IF(AND(($E58+$C$1)&gt;AX$4,AX$4&gt;=$C$1),'General Inputs'!U$10*$J58,IF(AND(($D58+$C$1)&gt;AX$4,AX$4&gt;=$C$1),'General Inputs'!U$10*$I58,0))</f>
        <v>0</v>
      </c>
      <c r="AY58" s="214">
        <f>IF(AND(($E58+$C$1)&gt;AY$4,AY$4&gt;=$C$1),'General Inputs'!V$9*$H58,IF(AND(($D58+$C$1)&gt;AY$4,AY$4&gt;=$C$1),'General Inputs'!V$9*$G58,0))+IF(AND(($E58+$C$1)&gt;AY$4,AY$4&gt;=$C$1),'General Inputs'!V$10*$J58,IF(AND(($D58+$C$1)&gt;AY$4,AY$4&gt;=$C$1),'General Inputs'!V$10*$I58,0))</f>
        <v>0</v>
      </c>
      <c r="AZ58" s="214">
        <f>IF(AND(($E58+$C$1)&gt;AZ$4,AZ$4&gt;=$C$1),'General Inputs'!W$9*$H58,IF(AND(($D58+$C$1)&gt;AZ$4,AZ$4&gt;=$C$1),'General Inputs'!W$9*$G58,0))+IF(AND(($E58+$C$1)&gt;AZ$4,AZ$4&gt;=$C$1),'General Inputs'!W$10*$J58,IF(AND(($D58+$C$1)&gt;AZ$4,AZ$4&gt;=$C$1),'General Inputs'!W$10*$I58,0))</f>
        <v>0</v>
      </c>
      <c r="BB58" s="214">
        <f>IF(AND(($E58+$C$1)&gt;BB$4,BB$4&gt;=$C$1),'General Inputs'!D$11*$H58,IF(AND(($D58+$C$1)&gt;BB$4,BB$4&gt;=$C$1),'General Inputs'!D$11*$G58,0))</f>
        <v>0</v>
      </c>
      <c r="BC58" s="214">
        <f>IF(AND(($E58+$C$1)&gt;BC$4,BC$4&gt;=$C$1),'General Inputs'!E$11*$H58,IF(AND(($D58+$C$1)&gt;BC$4,BC$4&gt;=$C$1),'General Inputs'!E$11*$G58,0))</f>
        <v>0</v>
      </c>
      <c r="BD58" s="214">
        <f>IF(AND(($E58+$C$1)&gt;BD$4,BD$4&gt;=$C$1),'General Inputs'!F$11*$H58,IF(AND(($D58+$C$1)&gt;BD$4,BD$4&gt;=$C$1),'General Inputs'!F$11*$G58,0))</f>
        <v>0</v>
      </c>
      <c r="BE58" s="214">
        <f>IF(AND(($E58+$C$1)&gt;BE$4,BE$4&gt;=$C$1),'General Inputs'!G$11*$H58,IF(AND(($D58+$C$1)&gt;BE$4,BE$4&gt;=$C$1),'General Inputs'!G$11*$G58,0))</f>
        <v>0</v>
      </c>
      <c r="BF58" s="214">
        <f>IF(AND(($E58+$C$1)&gt;BF$4,BF$4&gt;=$C$1),'General Inputs'!H$11*$H58,IF(AND(($D58+$C$1)&gt;BF$4,BF$4&gt;=$C$1),'General Inputs'!H$11*$G58,0))</f>
        <v>0</v>
      </c>
      <c r="BG58" s="214">
        <f>IF(AND(($E58+$C$1)&gt;BG$4,BG$4&gt;=$C$1),'General Inputs'!I$11*$H58,IF(AND(($D58+$C$1)&gt;BG$4,BG$4&gt;=$C$1),'General Inputs'!I$11*$G58,0))</f>
        <v>0</v>
      </c>
      <c r="BH58" s="214">
        <f>IF(AND(($E58+$C$1)&gt;BH$4,BH$4&gt;=$C$1),'General Inputs'!J$11*$H58,IF(AND(($D58+$C$1)&gt;BH$4,BH$4&gt;=$C$1),'General Inputs'!J$11*$G58,0))</f>
        <v>0</v>
      </c>
      <c r="BI58" s="214">
        <f>IF(AND(($E58+$C$1)&gt;BI$4,BI$4&gt;=$C$1),'General Inputs'!K$11*$H58,IF(AND(($D58+$C$1)&gt;BI$4,BI$4&gt;=$C$1),'General Inputs'!K$11*$G58,0))</f>
        <v>0</v>
      </c>
      <c r="BJ58" s="214">
        <f>IF(AND(($E58+$C$1)&gt;BJ$4,BJ$4&gt;=$C$1),'General Inputs'!L$11*$H58,IF(AND(($D58+$C$1)&gt;BJ$4,BJ$4&gt;=$C$1),'General Inputs'!L$11*$G58,0))</f>
        <v>0</v>
      </c>
      <c r="BK58" s="214">
        <f>IF(AND(($E58+$C$1)&gt;BK$4,BK$4&gt;=$C$1),'General Inputs'!M$11*$H58,IF(AND(($D58+$C$1)&gt;BK$4,BK$4&gt;=$C$1),'General Inputs'!M$11*$G58,0))</f>
        <v>0</v>
      </c>
      <c r="BL58" s="214">
        <f>IF(AND(($E58+$C$1)&gt;BL$4,BL$4&gt;=$C$1),'General Inputs'!N$11*$H58,IF(AND(($D58+$C$1)&gt;BL$4,BL$4&gt;=$C$1),'General Inputs'!N$11*$G58,0))</f>
        <v>0</v>
      </c>
      <c r="BM58" s="214">
        <f>IF(AND(($E58+$C$1)&gt;BM$4,BM$4&gt;=$C$1),'General Inputs'!O$11*$H58,IF(AND(($D58+$C$1)&gt;BM$4,BM$4&gt;=$C$1),'General Inputs'!O$11*$G58,0))</f>
        <v>0</v>
      </c>
      <c r="BN58" s="214">
        <f>IF(AND(($E58+$C$1)&gt;BN$4,BN$4&gt;=$C$1),'General Inputs'!P$11*$H58,IF(AND(($D58+$C$1)&gt;BN$4,BN$4&gt;=$C$1),'General Inputs'!P$11*$G58,0))</f>
        <v>0</v>
      </c>
      <c r="BO58" s="214">
        <f>IF(AND(($E58+$C$1)&gt;BO$4,BO$4&gt;=$C$1),'General Inputs'!Q$11*$H58,IF(AND(($D58+$C$1)&gt;BO$4,BO$4&gt;=$C$1),'General Inputs'!Q$11*$G58,0))</f>
        <v>0</v>
      </c>
      <c r="BP58" s="214">
        <f>IF(AND(($E58+$C$1)&gt;BP$4,BP$4&gt;=$C$1),'General Inputs'!R$11*$H58,IF(AND(($D58+$C$1)&gt;BP$4,BP$4&gt;=$C$1),'General Inputs'!R$11*$G58,0))</f>
        <v>0</v>
      </c>
      <c r="BQ58" s="214">
        <f>IF(AND(($E58+$C$1)&gt;BQ$4,BQ$4&gt;=$C$1),'General Inputs'!S$11*$H58,IF(AND(($D58+$C$1)&gt;BQ$4,BQ$4&gt;=$C$1),'General Inputs'!S$11*$G58,0))</f>
        <v>0</v>
      </c>
      <c r="BR58" s="214">
        <f>IF(AND(($E58+$C$1)&gt;BR$4,BR$4&gt;=$C$1),'General Inputs'!T$11*$H58,IF(AND(($D58+$C$1)&gt;BR$4,BR$4&gt;=$C$1),'General Inputs'!T$11*$G58,0))</f>
        <v>0</v>
      </c>
      <c r="BS58" s="214">
        <f>IF(AND(($E58+$C$1)&gt;BS$4,BS$4&gt;=$C$1),'General Inputs'!U$11*$H58,IF(AND(($D58+$C$1)&gt;BS$4,BS$4&gt;=$C$1),'General Inputs'!U$11*$G58,0))</f>
        <v>0</v>
      </c>
      <c r="BT58" s="214">
        <f>IF(AND(($E58+$C$1)&gt;BT$4,BT$4&gt;=$C$1),'General Inputs'!V$11*$H58,IF(AND(($D58+$C$1)&gt;BT$4,BT$4&gt;=$C$1),'General Inputs'!V$11*$G58,0))</f>
        <v>0</v>
      </c>
      <c r="BU58" s="214">
        <f>IF(AND(($E58+$C$1)&gt;BU$4,BU$4&gt;=$C$1),'General Inputs'!W$11*$H58,IF(AND(($D58+$C$1)&gt;BU$4,BU$4&gt;=$C$1),'General Inputs'!W$11*$G58,0))</f>
        <v>0</v>
      </c>
      <c r="BW58" s="214">
        <f>IF(AND(($E58+$C$1)&gt;BW$4,BW$4&gt;=$C$1),$H58,IF(AND(($D58+$C$1)&gt;BW$4,BW$4&gt;=$C$1),$G58,0))*IF($A58="Residential",'General Inputs'!D$14,'General Inputs'!D$19)</f>
        <v>0</v>
      </c>
      <c r="BX58" s="214">
        <f>IF(AND(($E58+$C$1)&gt;BX$4,BX$4&gt;=$C$1),$H58,IF(AND(($D58+$C$1)&gt;BX$4,BX$4&gt;=$C$1),$G58,0))*IF($A58="Residential",'General Inputs'!E$14,'General Inputs'!E$19)</f>
        <v>0</v>
      </c>
      <c r="BY58" s="214">
        <f>IF(AND(($E58+$C$1)&gt;BY$4,BY$4&gt;=$C$1),$H58,IF(AND(($D58+$C$1)&gt;BY$4,BY$4&gt;=$C$1),$G58,0))*IF($A58="Residential",'General Inputs'!F$14,'General Inputs'!F$19)</f>
        <v>0</v>
      </c>
      <c r="BZ58" s="214">
        <f>IF(AND(($E58+$C$1)&gt;BZ$4,BZ$4&gt;=$C$1),$H58,IF(AND(($D58+$C$1)&gt;BZ$4,BZ$4&gt;=$C$1),$G58,0))*IF($A58="Residential",'General Inputs'!G$14,'General Inputs'!G$19)</f>
        <v>0</v>
      </c>
      <c r="CA58" s="214">
        <f>IF(AND(($E58+$C$1)&gt;CA$4,CA$4&gt;=$C$1),$H58,IF(AND(($D58+$C$1)&gt;CA$4,CA$4&gt;=$C$1),$G58,0))*IF($A58="Residential",'General Inputs'!H$14,'General Inputs'!H$19)</f>
        <v>0</v>
      </c>
      <c r="CB58" s="214">
        <f>IF(AND(($E58+$C$1)&gt;CB$4,CB$4&gt;=$C$1),$H58,IF(AND(($D58+$C$1)&gt;CB$4,CB$4&gt;=$C$1),$G58,0))*IF($A58="Residential",'General Inputs'!I$14,'General Inputs'!I$19)</f>
        <v>0</v>
      </c>
      <c r="CC58" s="214">
        <f>IF(AND(($E58+$C$1)&gt;CC$4,CC$4&gt;=$C$1),$H58,IF(AND(($D58+$C$1)&gt;CC$4,CC$4&gt;=$C$1),$G58,0))*IF($A58="Residential",'General Inputs'!J$14,'General Inputs'!J$19)</f>
        <v>0</v>
      </c>
      <c r="CD58" s="214">
        <f>IF(AND(($E58+$C$1)&gt;CD$4,CD$4&gt;=$C$1),$H58,IF(AND(($D58+$C$1)&gt;CD$4,CD$4&gt;=$C$1),$G58,0))*IF($A58="Residential",'General Inputs'!K$14,'General Inputs'!K$19)</f>
        <v>0</v>
      </c>
      <c r="CE58" s="214">
        <f>IF(AND(($E58+$C$1)&gt;CE$4,CE$4&gt;=$C$1),$H58,IF(AND(($D58+$C$1)&gt;CE$4,CE$4&gt;=$C$1),$G58,0))*IF($A58="Residential",'General Inputs'!L$14,'General Inputs'!L$19)</f>
        <v>0</v>
      </c>
      <c r="CF58" s="214">
        <f>IF(AND(($E58+$C$1)&gt;CF$4,CF$4&gt;=$C$1),$H58,IF(AND(($D58+$C$1)&gt;CF$4,CF$4&gt;=$C$1),$G58,0))*IF($A58="Residential",'General Inputs'!M$14,'General Inputs'!M$19)</f>
        <v>0</v>
      </c>
      <c r="CG58" s="214">
        <f>IF(AND(($E58+$C$1)&gt;CG$4,CG$4&gt;=$C$1),$H58,IF(AND(($D58+$C$1)&gt;CG$4,CG$4&gt;=$C$1),$G58,0))*IF($A58="Residential",'General Inputs'!N$14,'General Inputs'!N$19)</f>
        <v>0</v>
      </c>
      <c r="CH58" s="214">
        <f>IF(AND(($E58+$C$1)&gt;CH$4,CH$4&gt;=$C$1),$H58,IF(AND(($D58+$C$1)&gt;CH$4,CH$4&gt;=$C$1),$G58,0))*IF($A58="Residential",'General Inputs'!O$14,'General Inputs'!O$19)</f>
        <v>0</v>
      </c>
      <c r="CI58" s="214">
        <f>IF(AND(($E58+$C$1)&gt;CI$4,CI$4&gt;=$C$1),$H58,IF(AND(($D58+$C$1)&gt;CI$4,CI$4&gt;=$C$1),$G58,0))*IF($A58="Residential",'General Inputs'!P$14,'General Inputs'!P$19)</f>
        <v>0</v>
      </c>
      <c r="CJ58" s="214">
        <f>IF(AND(($E58+$C$1)&gt;CJ$4,CJ$4&gt;=$C$1),$H58,IF(AND(($D58+$C$1)&gt;CJ$4,CJ$4&gt;=$C$1),$G58,0))*IF($A58="Residential",'General Inputs'!Q$14,'General Inputs'!Q$19)</f>
        <v>0</v>
      </c>
      <c r="CK58" s="214">
        <f>IF(AND(($E58+$C$1)&gt;CK$4,CK$4&gt;=$C$1),$H58,IF(AND(($D58+$C$1)&gt;CK$4,CK$4&gt;=$C$1),$G58,0))*IF($A58="Residential",'General Inputs'!R$14,'General Inputs'!R$19)</f>
        <v>0</v>
      </c>
      <c r="CL58" s="214">
        <f>IF(AND(($E58+$C$1)&gt;CL$4,CL$4&gt;=$C$1),$H58,IF(AND(($D58+$C$1)&gt;CL$4,CL$4&gt;=$C$1),$G58,0))*IF($A58="Residential",'General Inputs'!S$14,'General Inputs'!S$19)</f>
        <v>0</v>
      </c>
      <c r="CM58" s="214">
        <f>IF(AND(($E58+$C$1)&gt;CM$4,CM$4&gt;=$C$1),$H58,IF(AND(($D58+$C$1)&gt;CM$4,CM$4&gt;=$C$1),$G58,0))*IF($A58="Residential",'General Inputs'!T$14,'General Inputs'!T$19)</f>
        <v>0</v>
      </c>
      <c r="CN58" s="214">
        <f>IF(AND(($E58+$C$1)&gt;CN$4,CN$4&gt;=$C$1),$H58,IF(AND(($D58+$C$1)&gt;CN$4,CN$4&gt;=$C$1),$G58,0))*IF($A58="Residential",'General Inputs'!U$14,'General Inputs'!U$19)</f>
        <v>0</v>
      </c>
      <c r="CO58" s="214">
        <f>IF(AND(($E58+$C$1)&gt;CO$4,CO$4&gt;=$C$1),$H58,IF(AND(($D58+$C$1)&gt;CO$4,CO$4&gt;=$C$1),$G58,0))*IF($A58="Residential",'General Inputs'!V$14,'General Inputs'!V$19)</f>
        <v>0</v>
      </c>
      <c r="CP58" s="214">
        <f>IF(AND(($E58+$C$1)&gt;CP$4,CP$4&gt;=$C$1),$H58,IF(AND(($D58+$C$1)&gt;CP$4,CP$4&gt;=$C$1),$G58,0))*IF($A58="Residential",'General Inputs'!W$14,'General Inputs'!W$19)</f>
        <v>0</v>
      </c>
      <c r="CR58" s="214">
        <f>IF(AND(($E58+$C$1)&gt;CR$4,CR$4&gt;=$C$1),$H58,IF(AND(($D58+$C$1)&gt;CR$4,CR$4&gt;=$C$1),$G58,0))*IF($A58="Residential",'General Inputs'!D$15,'General Inputs'!D$19)</f>
        <v>0</v>
      </c>
      <c r="CS58" s="214">
        <f>IF(AND(($E58+$C$1)&gt;CS$4,CS$4&gt;=$C$1),$H58,IF(AND(($D58+$C$1)&gt;CS$4,CS$4&gt;=$C$1),$G58,0))*IF($A58="Residential",'General Inputs'!E$15,'General Inputs'!E$19)</f>
        <v>0</v>
      </c>
      <c r="CT58" s="214">
        <f>IF(AND(($E58+$C$1)&gt;CT$4,CT$4&gt;=$C$1),$H58,IF(AND(($D58+$C$1)&gt;CT$4,CT$4&gt;=$C$1),$G58,0))*IF($A58="Residential",'General Inputs'!F$15,'General Inputs'!F$19)</f>
        <v>0</v>
      </c>
      <c r="CU58" s="214">
        <f>IF(AND(($E58+$C$1)&gt;CU$4,CU$4&gt;=$C$1),$H58,IF(AND(($D58+$C$1)&gt;CU$4,CU$4&gt;=$C$1),$G58,0))*IF($A58="Residential",'General Inputs'!G$15,'General Inputs'!G$19)</f>
        <v>0</v>
      </c>
      <c r="CV58" s="214">
        <f>IF(AND(($E58+$C$1)&gt;CV$4,CV$4&gt;=$C$1),$H58,IF(AND(($D58+$C$1)&gt;CV$4,CV$4&gt;=$C$1),$G58,0))*IF($A58="Residential",'General Inputs'!H$15,'General Inputs'!H$19)</f>
        <v>0</v>
      </c>
      <c r="CW58" s="214">
        <f>IF(AND(($E58+$C$1)&gt;CW$4,CW$4&gt;=$C$1),$H58,IF(AND(($D58+$C$1)&gt;CW$4,CW$4&gt;=$C$1),$G58,0))*IF($A58="Residential",'General Inputs'!I$15,'General Inputs'!I$19)</f>
        <v>0</v>
      </c>
      <c r="CX58" s="214">
        <f>IF(AND(($E58+$C$1)&gt;CX$4,CX$4&gt;=$C$1),$H58,IF(AND(($D58+$C$1)&gt;CX$4,CX$4&gt;=$C$1),$G58,0))*IF($A58="Residential",'General Inputs'!J$15,'General Inputs'!J$19)</f>
        <v>0</v>
      </c>
      <c r="CY58" s="214">
        <f>IF(AND(($E58+$C$1)&gt;CY$4,CY$4&gt;=$C$1),$H58,IF(AND(($D58+$C$1)&gt;CY$4,CY$4&gt;=$C$1),$G58,0))*IF($A58="Residential",'General Inputs'!K$15,'General Inputs'!K$19)</f>
        <v>0</v>
      </c>
      <c r="CZ58" s="214">
        <f>IF(AND(($E58+$C$1)&gt;CZ$4,CZ$4&gt;=$C$1),$H58,IF(AND(($D58+$C$1)&gt;CZ$4,CZ$4&gt;=$C$1),$G58,0))*IF($A58="Residential",'General Inputs'!L$15,'General Inputs'!L$19)</f>
        <v>0</v>
      </c>
      <c r="DA58" s="214">
        <f>IF(AND(($E58+$C$1)&gt;DA$4,DA$4&gt;=$C$1),$H58,IF(AND(($D58+$C$1)&gt;DA$4,DA$4&gt;=$C$1),$G58,0))*IF($A58="Residential",'General Inputs'!M$15,'General Inputs'!M$19)</f>
        <v>0</v>
      </c>
      <c r="DB58" s="214">
        <f>IF(AND(($E58+$C$1)&gt;DB$4,DB$4&gt;=$C$1),$H58,IF(AND(($D58+$C$1)&gt;DB$4,DB$4&gt;=$C$1),$G58,0))*IF($A58="Residential",'General Inputs'!N$15,'General Inputs'!N$19)</f>
        <v>0</v>
      </c>
      <c r="DC58" s="214">
        <f>IF(AND(($E58+$C$1)&gt;DC$4,DC$4&gt;=$C$1),$H58,IF(AND(($D58+$C$1)&gt;DC$4,DC$4&gt;=$C$1),$G58,0))*IF($A58="Residential",'General Inputs'!O$15,'General Inputs'!O$19)</f>
        <v>0</v>
      </c>
      <c r="DD58" s="214">
        <f>IF(AND(($E58+$C$1)&gt;DD$4,DD$4&gt;=$C$1),$H58,IF(AND(($D58+$C$1)&gt;DD$4,DD$4&gt;=$C$1),$G58,0))*IF($A58="Residential",'General Inputs'!P$15,'General Inputs'!P$19)</f>
        <v>0</v>
      </c>
      <c r="DE58" s="214">
        <f>IF(AND(($E58+$C$1)&gt;DE$4,DE$4&gt;=$C$1),$H58,IF(AND(($D58+$C$1)&gt;DE$4,DE$4&gt;=$C$1),$G58,0))*IF($A58="Residential",'General Inputs'!Q$15,'General Inputs'!Q$19)</f>
        <v>0</v>
      </c>
      <c r="DF58" s="214">
        <f>IF(AND(($E58+$C$1)&gt;DF$4,DF$4&gt;=$C$1),$H58,IF(AND(($D58+$C$1)&gt;DF$4,DF$4&gt;=$C$1),$G58,0))*IF($A58="Residential",'General Inputs'!R$15,'General Inputs'!R$19)</f>
        <v>0</v>
      </c>
      <c r="DG58" s="214">
        <f>IF(AND(($E58+$C$1)&gt;DG$4,DG$4&gt;=$C$1),$H58,IF(AND(($D58+$C$1)&gt;DG$4,DG$4&gt;=$C$1),$G58,0))*IF($A58="Residential",'General Inputs'!S$15,'General Inputs'!S$19)</f>
        <v>0</v>
      </c>
      <c r="DH58" s="214">
        <f>IF(AND(($E58+$C$1)&gt;DH$4,DH$4&gt;=$C$1),$H58,IF(AND(($D58+$C$1)&gt;DH$4,DH$4&gt;=$C$1),$G58,0))*IF($A58="Residential",'General Inputs'!T$15,'General Inputs'!T$19)</f>
        <v>0</v>
      </c>
      <c r="DI58" s="214">
        <f>IF(AND(($E58+$C$1)&gt;DI$4,DI$4&gt;=$C$1),$H58,IF(AND(($D58+$C$1)&gt;DI$4,DI$4&gt;=$C$1),$G58,0))*IF($A58="Residential",'General Inputs'!U$15,'General Inputs'!U$19)</f>
        <v>0</v>
      </c>
      <c r="DJ58" s="214">
        <f>IF(AND(($E58+$C$1)&gt;DJ$4,DJ$4&gt;=$C$1),$H58,IF(AND(($D58+$C$1)&gt;DJ$4,DJ$4&gt;=$C$1),$G58,0))*IF($A58="Residential",'General Inputs'!V$15,'General Inputs'!V$19)</f>
        <v>0</v>
      </c>
      <c r="DK58" s="214">
        <f>IF(AND(($E58+$C$1)&gt;DK$4,DK$4&gt;=$C$1),$H58,IF(AND(($D58+$C$1)&gt;DK$4,DK$4&gt;=$C$1),$G58,0))*IF($A58="Residential",'General Inputs'!W$15,'General Inputs'!W$19)</f>
        <v>0</v>
      </c>
      <c r="DM58" s="214">
        <f t="shared" si="441"/>
        <v>0</v>
      </c>
      <c r="DN58" s="214">
        <f t="shared" si="441"/>
        <v>0</v>
      </c>
      <c r="DO58" s="214">
        <f t="shared" si="441"/>
        <v>0</v>
      </c>
      <c r="DP58" s="214">
        <f t="shared" si="441"/>
        <v>0</v>
      </c>
      <c r="DQ58" s="214">
        <f t="shared" si="441"/>
        <v>0</v>
      </c>
      <c r="DR58" s="214">
        <f t="shared" si="441"/>
        <v>0</v>
      </c>
      <c r="DS58" s="214">
        <f t="shared" si="441"/>
        <v>0</v>
      </c>
      <c r="DT58" s="214">
        <f t="shared" si="441"/>
        <v>0</v>
      </c>
      <c r="DU58" s="214">
        <f t="shared" si="441"/>
        <v>0</v>
      </c>
      <c r="DV58" s="214">
        <f t="shared" si="441"/>
        <v>0</v>
      </c>
      <c r="DW58" s="214">
        <f t="shared" si="441"/>
        <v>0</v>
      </c>
      <c r="DZ58" s="650"/>
      <c r="FI58" s="195"/>
      <c r="FJ58" s="195"/>
      <c r="FK58" s="195"/>
      <c r="FL58" s="195"/>
      <c r="FM58" s="195"/>
      <c r="FN58" s="195"/>
      <c r="FO58" s="195"/>
    </row>
    <row r="59" spans="1:171">
      <c r="A59" s="342" t="s">
        <v>112</v>
      </c>
      <c r="B59" s="427" t="str">
        <f>'Portfolio Inputs'!A58</f>
        <v>High Bay Fluorescent Fixture (replace 400W HID)</v>
      </c>
      <c r="C59" s="217">
        <f>IF($C$1=2014,'Portfolio Inputs'!$C58,IF($C$1=2015,'Portfolio Inputs'!$D58,'Portfolio Inputs'!$E58))</f>
        <v>18</v>
      </c>
      <c r="D59" s="504">
        <f>VLOOKUP(B59,Sources!$B$4:$J$104,2,FALSE)</f>
        <v>18</v>
      </c>
      <c r="E59" s="504">
        <f>VLOOKUP(B59,Sources!$B$4:$J$104,3,FALSE)</f>
        <v>0</v>
      </c>
      <c r="G59" s="504">
        <f>IF($C$1=2014,'Portfolio Inputs'!$G58,IF($C$1=2015,'Portfolio Inputs'!$H58,'Portfolio Inputs'!$I58))*EnergyLineLoss</f>
        <v>25306.361685000003</v>
      </c>
      <c r="H59" s="504"/>
      <c r="I59" s="595">
        <f>IF($C$1=2014,'Portfolio Inputs'!$K58,IF($C$1=2015,'Portfolio Inputs'!$L58,'Portfolio Inputs'!$M58))*PeakLineLoss</f>
        <v>3.913108056</v>
      </c>
      <c r="J59" s="510"/>
      <c r="L59" s="606">
        <f>IF($C$1=2014,'Portfolio Inputs'!$O58,IF($C$1=2015,'Portfolio Inputs'!$P58,'Portfolio Inputs'!$Q58))</f>
        <v>102</v>
      </c>
      <c r="M59" s="518">
        <f>VLOOKUP($B59,Sources!$B$4:$K$104,10,FALSE)</f>
        <v>0</v>
      </c>
      <c r="N59" s="419">
        <f>IF($C$1=2014,'Portfolio Inputs'!$W58,IF($C$1=2015,'Portfolio Inputs'!$X58,'Portfolio Inputs'!$Y58))</f>
        <v>1350</v>
      </c>
      <c r="O59" s="419">
        <f>IF($C$1=2014,'Portfolio Inputs'!$AA58,IF($C$1=2015,'Portfolio Inputs'!$AB58,'Portfolio Inputs'!$AC58))</f>
        <v>0</v>
      </c>
      <c r="Q59" s="438">
        <f t="shared" si="442"/>
        <v>6.1600177396039326</v>
      </c>
      <c r="R59" s="439">
        <f t="shared" si="443"/>
        <v>8.3776241258613489</v>
      </c>
      <c r="S59" s="439">
        <f t="shared" si="444"/>
        <v>7.6735300583758459</v>
      </c>
      <c r="T59" s="439">
        <f t="shared" si="445"/>
        <v>16.010699442319545</v>
      </c>
      <c r="U59" s="439">
        <f t="shared" si="446"/>
        <v>16.010699442319545</v>
      </c>
      <c r="V59" s="439">
        <f t="shared" si="447"/>
        <v>0.38474382470273283</v>
      </c>
      <c r="W59" s="439">
        <f t="shared" si="448"/>
        <v>0.38474382470273283</v>
      </c>
      <c r="Y59" s="215">
        <f t="shared" si="449"/>
        <v>11309.792569912821</v>
      </c>
      <c r="Z59" s="215">
        <f t="shared" si="450"/>
        <v>2778.8086172652324</v>
      </c>
      <c r="AA59" s="215">
        <f t="shared" si="451"/>
        <v>28045.644176098682</v>
      </c>
      <c r="AB59" s="215">
        <f t="shared" si="452"/>
        <v>28045.644176098682</v>
      </c>
      <c r="AC59" s="216">
        <f t="shared" si="453"/>
        <v>0</v>
      </c>
      <c r="AD59" s="216">
        <f t="shared" si="454"/>
        <v>1350</v>
      </c>
      <c r="AE59" s="215">
        <f t="shared" si="455"/>
        <v>1836</v>
      </c>
      <c r="AG59" s="214">
        <f>IF(AND(($E59+$C$1)&gt;AG$4,AG$4&gt;=$C$1),'General Inputs'!D$9*$H59,IF(AND(($D59+$C$1)&gt;AG$4,AG$4&gt;=$C$1),'General Inputs'!D$9*$G59,0))+IF(AND(($E59+$C$1)&gt;AG$4,AG$4&gt;=$C$1),'General Inputs'!D$10*$J59,IF(AND(($D59+$C$1)&gt;AG$4,AG$4&gt;=$C$1),'General Inputs'!D$10*$I59,0))</f>
        <v>1066.0987297095476</v>
      </c>
      <c r="AH59" s="214">
        <f>IF(AND(($E59+$C$1)&gt;AH$4,AH$4&gt;=$C$1),'General Inputs'!E$9*$H59,IF(AND(($D59+$C$1)&gt;AH$4,AH$4&gt;=$C$1),'General Inputs'!E$9*$G59,0))+IF(AND(($E59+$C$1)&gt;AH$4,AH$4&gt;=$C$1),'General Inputs'!E$10*$J59,IF(AND(($D59+$C$1)&gt;AH$4,AH$4&gt;=$C$1),'General Inputs'!E$10*$I59,0))</f>
        <v>1082.0902106551905</v>
      </c>
      <c r="AI59" s="214">
        <f>IF(AND(($E59+$C$1)&gt;AI$4,AI$4&gt;=$C$1),'General Inputs'!F$9*$H59,IF(AND(($D59+$C$1)&gt;AI$4,AI$4&gt;=$C$1),'General Inputs'!F$9*$G59,0))+IF(AND(($E59+$C$1)&gt;AI$4,AI$4&gt;=$C$1),'General Inputs'!F$10*$J59,IF(AND(($D59+$C$1)&gt;AI$4,AI$4&gt;=$C$1),'General Inputs'!F$10*$I59,0))</f>
        <v>1098.3215638150184</v>
      </c>
      <c r="AJ59" s="214">
        <f>IF(AND(($E59+$C$1)&gt;AJ$4,AJ$4&gt;=$C$1),'General Inputs'!G$9*$H59,IF(AND(($D59+$C$1)&gt;AJ$4,AJ$4&gt;=$C$1),'General Inputs'!G$9*$G59,0))+IF(AND(($E59+$C$1)&gt;AJ$4,AJ$4&gt;=$C$1),'General Inputs'!G$10*$J59,IF(AND(($D59+$C$1)&gt;AJ$4,AJ$4&gt;=$C$1),'General Inputs'!G$10*$I59,0))</f>
        <v>1114.7963872722435</v>
      </c>
      <c r="AK59" s="214">
        <f>IF(AND(($E59+$C$1)&gt;AK$4,AK$4&gt;=$C$1),'General Inputs'!H$9*$H59,IF(AND(($D59+$C$1)&gt;AK$4,AK$4&gt;=$C$1),'General Inputs'!H$9*$G59,0))+IF(AND(($E59+$C$1)&gt;AK$4,AK$4&gt;=$C$1),'General Inputs'!H$10*$J59,IF(AND(($D59+$C$1)&gt;AK$4,AK$4&gt;=$C$1),'General Inputs'!H$10*$I59,0))</f>
        <v>1131.518333081327</v>
      </c>
      <c r="AL59" s="214">
        <f>IF(AND(($E59+$C$1)&gt;AL$4,AL$4&gt;=$C$1),'General Inputs'!I$9*$H59,IF(AND(($D59+$C$1)&gt;AL$4,AL$4&gt;=$C$1),'General Inputs'!I$9*$G59,0))+IF(AND(($E59+$C$1)&gt;AL$4,AL$4&gt;=$C$1),'General Inputs'!I$10*$J59,IF(AND(($D59+$C$1)&gt;AL$4,AL$4&gt;=$C$1),'General Inputs'!I$10*$I59,0))</f>
        <v>1148.4911080775466</v>
      </c>
      <c r="AM59" s="214">
        <f>IF(AND(($E59+$C$1)&gt;AM$4,AM$4&gt;=$C$1),'General Inputs'!J$9*$H59,IF(AND(($D59+$C$1)&gt;AM$4,AM$4&gt;=$C$1),'General Inputs'!J$9*$G59,0))+IF(AND(($E59+$C$1)&gt;AM$4,AM$4&gt;=$C$1),'General Inputs'!J$10*$J59,IF(AND(($D59+$C$1)&gt;AM$4,AM$4&gt;=$C$1),'General Inputs'!J$10*$I59,0))</f>
        <v>1165.7184746987098</v>
      </c>
      <c r="AN59" s="214">
        <f>IF(AND(($E59+$C$1)&gt;AN$4,AN$4&gt;=$C$1),'General Inputs'!K$9*$H59,IF(AND(($D59+$C$1)&gt;AN$4,AN$4&gt;=$C$1),'General Inputs'!K$9*$G59,0))+IF(AND(($E59+$C$1)&gt;AN$4,AN$4&gt;=$C$1),'General Inputs'!K$10*$J59,IF(AND(($D59+$C$1)&gt;AN$4,AN$4&gt;=$C$1),'General Inputs'!K$10*$I59,0))</f>
        <v>1183.2042518191904</v>
      </c>
      <c r="AO59" s="214">
        <f>IF(AND(($E59+$C$1)&gt;AO$4,AO$4&gt;=$C$1),'General Inputs'!L$9*$H59,IF(AND(($D59+$C$1)&gt;AO$4,AO$4&gt;=$C$1),'General Inputs'!L$9*$G59,0))+IF(AND(($E59+$C$1)&gt;AO$4,AO$4&gt;=$C$1),'General Inputs'!L$10*$J59,IF(AND(($D59+$C$1)&gt;AO$4,AO$4&gt;=$C$1),'General Inputs'!L$10*$I59,0))</f>
        <v>1200.952315596478</v>
      </c>
      <c r="AP59" s="214">
        <f>IF(AND(($E59+$C$1)&gt;AP$4,AP$4&gt;=$C$1),'General Inputs'!M$9*$H59,IF(AND(($D59+$C$1)&gt;AP$4,AP$4&gt;=$C$1),'General Inputs'!M$9*$G59,0))+IF(AND(($E59+$C$1)&gt;AP$4,AP$4&gt;=$C$1),'General Inputs'!M$10*$J59,IF(AND(($D59+$C$1)&gt;AP$4,AP$4&gt;=$C$1),'General Inputs'!M$10*$I59,0))</f>
        <v>1218.9666003304251</v>
      </c>
      <c r="AQ59" s="214">
        <f>IF(AND(($E59+$C$1)&gt;AQ$4,AQ$4&gt;=$C$1),'General Inputs'!N$9*$H59,IF(AND(($D59+$C$1)&gt;AQ$4,AQ$4&gt;=$C$1),'General Inputs'!N$9*$G59,0))+IF(AND(($E59+$C$1)&gt;AQ$4,AQ$4&gt;=$C$1),'General Inputs'!N$10*$J59,IF(AND(($D59+$C$1)&gt;AQ$4,AQ$4&gt;=$C$1),'General Inputs'!N$10*$I59,0))</f>
        <v>1237.2510993353815</v>
      </c>
      <c r="AR59" s="214">
        <f>IF(AND(($E59+$C$1)&gt;AR$4,AR$4&gt;=$C$1),'General Inputs'!O$9*$H59,IF(AND(($D59+$C$1)&gt;AR$4,AR$4&gt;=$C$1),'General Inputs'!O$9*$G59,0))+IF(AND(($E59+$C$1)&gt;AR$4,AR$4&gt;=$C$1),'General Inputs'!O$10*$J59,IF(AND(($D59+$C$1)&gt;AR$4,AR$4&gt;=$C$1),'General Inputs'!O$10*$I59,0))</f>
        <v>1255.8098658254116</v>
      </c>
      <c r="AS59" s="214">
        <f>IF(AND(($E59+$C$1)&gt;AS$4,AS$4&gt;=$C$1),'General Inputs'!P$9*$H59,IF(AND(($D59+$C$1)&gt;AS$4,AS$4&gt;=$C$1),'General Inputs'!P$9*$G59,0))+IF(AND(($E59+$C$1)&gt;AS$4,AS$4&gt;=$C$1),'General Inputs'!P$10*$J59,IF(AND(($D59+$C$1)&gt;AS$4,AS$4&gt;=$C$1),'General Inputs'!P$10*$I59,0))</f>
        <v>1274.6470138127929</v>
      </c>
      <c r="AT59" s="214">
        <f>IF(AND(($E59+$C$1)&gt;AT$4,AT$4&gt;=$C$1),'General Inputs'!Q$9*$H59,IF(AND(($D59+$C$1)&gt;AT$4,AT$4&gt;=$C$1),'General Inputs'!Q$9*$G59,0))+IF(AND(($E59+$C$1)&gt;AT$4,AT$4&gt;=$C$1),'General Inputs'!Q$10*$J59,IF(AND(($D59+$C$1)&gt;AT$4,AT$4&gt;=$C$1),'General Inputs'!Q$10*$I59,0))</f>
        <v>1293.7667190199847</v>
      </c>
      <c r="AU59" s="214">
        <f>IF(AND(($E59+$C$1)&gt;AU$4,AU$4&gt;=$C$1),'General Inputs'!R$9*$H59,IF(AND(($D59+$C$1)&gt;AU$4,AU$4&gt;=$C$1),'General Inputs'!R$9*$G59,0))+IF(AND(($E59+$C$1)&gt;AU$4,AU$4&gt;=$C$1),'General Inputs'!R$10*$J59,IF(AND(($D59+$C$1)&gt;AU$4,AU$4&gt;=$C$1),'General Inputs'!R$10*$I59,0))</f>
        <v>1313.1732198052844</v>
      </c>
      <c r="AV59" s="214">
        <f>IF(AND(($E59+$C$1)&gt;AV$4,AV$4&gt;=$C$1),'General Inputs'!S$9*$H59,IF(AND(($D59+$C$1)&gt;AV$4,AV$4&gt;=$C$1),'General Inputs'!S$9*$G59,0))+IF(AND(($E59+$C$1)&gt;AV$4,AV$4&gt;=$C$1),'General Inputs'!S$10*$J59,IF(AND(($D59+$C$1)&gt;AV$4,AV$4&gt;=$C$1),'General Inputs'!S$10*$I59,0))</f>
        <v>1332.8708181023635</v>
      </c>
      <c r="AW59" s="214">
        <f>IF(AND(($E59+$C$1)&gt;AW$4,AW$4&gt;=$C$1),'General Inputs'!T$9*$H59,IF(AND(($D59+$C$1)&gt;AW$4,AW$4&gt;=$C$1),'General Inputs'!T$9*$G59,0))+IF(AND(($E59+$C$1)&gt;AW$4,AW$4&gt;=$C$1),'General Inputs'!T$10*$J59,IF(AND(($D59+$C$1)&gt;AW$4,AW$4&gt;=$C$1),'General Inputs'!T$10*$I59,0))</f>
        <v>1352.8638803738991</v>
      </c>
      <c r="AX59" s="214">
        <f>IF(AND(($E59+$C$1)&gt;AX$4,AX$4&gt;=$C$1),'General Inputs'!U$9*$H59,IF(AND(($D59+$C$1)&gt;AX$4,AX$4&gt;=$C$1),'General Inputs'!U$9*$G59,0))+IF(AND(($E59+$C$1)&gt;AX$4,AX$4&gt;=$C$1),'General Inputs'!U$10*$J59,IF(AND(($D59+$C$1)&gt;AX$4,AX$4&gt;=$C$1),'General Inputs'!U$10*$I59,0))</f>
        <v>1373.1568385795074</v>
      </c>
      <c r="AY59" s="214">
        <f>IF(AND(($E59+$C$1)&gt;AY$4,AY$4&gt;=$C$1),'General Inputs'!V$9*$H59,IF(AND(($D59+$C$1)&gt;AY$4,AY$4&gt;=$C$1),'General Inputs'!V$9*$G59,0))+IF(AND(($E59+$C$1)&gt;AY$4,AY$4&gt;=$C$1),'General Inputs'!V$10*$J59,IF(AND(($D59+$C$1)&gt;AY$4,AY$4&gt;=$C$1),'General Inputs'!V$10*$I59,0))</f>
        <v>0</v>
      </c>
      <c r="AZ59" s="214">
        <f>IF(AND(($E59+$C$1)&gt;AZ$4,AZ$4&gt;=$C$1),'General Inputs'!W$9*$H59,IF(AND(($D59+$C$1)&gt;AZ$4,AZ$4&gt;=$C$1),'General Inputs'!W$9*$G59,0))+IF(AND(($E59+$C$1)&gt;AZ$4,AZ$4&gt;=$C$1),'General Inputs'!W$10*$J59,IF(AND(($D59+$C$1)&gt;AZ$4,AZ$4&gt;=$C$1),'General Inputs'!W$10*$I59,0))</f>
        <v>0</v>
      </c>
      <c r="BB59" s="214">
        <f>IF(AND(($E59+$C$1)&gt;BB$4,BB$4&gt;=$C$1),'General Inputs'!D$11*$H59,IF(AND(($D59+$C$1)&gt;BB$4,BB$4&gt;=$C$1),'General Inputs'!D$11*$G59,0))</f>
        <v>288.49252320900007</v>
      </c>
      <c r="BC59" s="214">
        <f>IF(AND(($E59+$C$1)&gt;BC$4,BC$4&gt;=$C$1),'General Inputs'!E$11*$H59,IF(AND(($D59+$C$1)&gt;BC$4,BC$4&gt;=$C$1),'General Inputs'!E$11*$G59,0))</f>
        <v>288.49252320900007</v>
      </c>
      <c r="BD59" s="214">
        <f>IF(AND(($E59+$C$1)&gt;BD$4,BD$4&gt;=$C$1),'General Inputs'!F$11*$H59,IF(AND(($D59+$C$1)&gt;BD$4,BD$4&gt;=$C$1),'General Inputs'!F$11*$G59,0))</f>
        <v>288.49252320900007</v>
      </c>
      <c r="BE59" s="214">
        <f>IF(AND(($E59+$C$1)&gt;BE$4,BE$4&gt;=$C$1),'General Inputs'!G$11*$H59,IF(AND(($D59+$C$1)&gt;BE$4,BE$4&gt;=$C$1),'General Inputs'!G$11*$G59,0))</f>
        <v>288.49252320900007</v>
      </c>
      <c r="BF59" s="214">
        <f>IF(AND(($E59+$C$1)&gt;BF$4,BF$4&gt;=$C$1),'General Inputs'!H$11*$H59,IF(AND(($D59+$C$1)&gt;BF$4,BF$4&gt;=$C$1),'General Inputs'!H$11*$G59,0))</f>
        <v>288.49252320900007</v>
      </c>
      <c r="BG59" s="214">
        <f>IF(AND(($E59+$C$1)&gt;BG$4,BG$4&gt;=$C$1),'General Inputs'!I$11*$H59,IF(AND(($D59+$C$1)&gt;BG$4,BG$4&gt;=$C$1),'General Inputs'!I$11*$G59,0))</f>
        <v>288.49252320900007</v>
      </c>
      <c r="BH59" s="214">
        <f>IF(AND(($E59+$C$1)&gt;BH$4,BH$4&gt;=$C$1),'General Inputs'!J$11*$H59,IF(AND(($D59+$C$1)&gt;BH$4,BH$4&gt;=$C$1),'General Inputs'!J$11*$G59,0))</f>
        <v>288.49252320900007</v>
      </c>
      <c r="BI59" s="214">
        <f>IF(AND(($E59+$C$1)&gt;BI$4,BI$4&gt;=$C$1),'General Inputs'!K$11*$H59,IF(AND(($D59+$C$1)&gt;BI$4,BI$4&gt;=$C$1),'General Inputs'!K$11*$G59,0))</f>
        <v>288.49252320900007</v>
      </c>
      <c r="BJ59" s="214">
        <f>IF(AND(($E59+$C$1)&gt;BJ$4,BJ$4&gt;=$C$1),'General Inputs'!L$11*$H59,IF(AND(($D59+$C$1)&gt;BJ$4,BJ$4&gt;=$C$1),'General Inputs'!L$11*$G59,0))</f>
        <v>288.49252320900007</v>
      </c>
      <c r="BK59" s="214">
        <f>IF(AND(($E59+$C$1)&gt;BK$4,BK$4&gt;=$C$1),'General Inputs'!M$11*$H59,IF(AND(($D59+$C$1)&gt;BK$4,BK$4&gt;=$C$1),'General Inputs'!M$11*$G59,0))</f>
        <v>288.49252320900007</v>
      </c>
      <c r="BL59" s="214">
        <f>IF(AND(($E59+$C$1)&gt;BL$4,BL$4&gt;=$C$1),'General Inputs'!N$11*$H59,IF(AND(($D59+$C$1)&gt;BL$4,BL$4&gt;=$C$1),'General Inputs'!N$11*$G59,0))</f>
        <v>288.49252320900007</v>
      </c>
      <c r="BM59" s="214">
        <f>IF(AND(($E59+$C$1)&gt;BM$4,BM$4&gt;=$C$1),'General Inputs'!O$11*$H59,IF(AND(($D59+$C$1)&gt;BM$4,BM$4&gt;=$C$1),'General Inputs'!O$11*$G59,0))</f>
        <v>288.49252320900007</v>
      </c>
      <c r="BN59" s="214">
        <f>IF(AND(($E59+$C$1)&gt;BN$4,BN$4&gt;=$C$1),'General Inputs'!P$11*$H59,IF(AND(($D59+$C$1)&gt;BN$4,BN$4&gt;=$C$1),'General Inputs'!P$11*$G59,0))</f>
        <v>288.49252320900007</v>
      </c>
      <c r="BO59" s="214">
        <f>IF(AND(($E59+$C$1)&gt;BO$4,BO$4&gt;=$C$1),'General Inputs'!Q$11*$H59,IF(AND(($D59+$C$1)&gt;BO$4,BO$4&gt;=$C$1),'General Inputs'!Q$11*$G59,0))</f>
        <v>288.49252320900007</v>
      </c>
      <c r="BP59" s="214">
        <f>IF(AND(($E59+$C$1)&gt;BP$4,BP$4&gt;=$C$1),'General Inputs'!R$11*$H59,IF(AND(($D59+$C$1)&gt;BP$4,BP$4&gt;=$C$1),'General Inputs'!R$11*$G59,0))</f>
        <v>288.49252320900007</v>
      </c>
      <c r="BQ59" s="214">
        <f>IF(AND(($E59+$C$1)&gt;BQ$4,BQ$4&gt;=$C$1),'General Inputs'!S$11*$H59,IF(AND(($D59+$C$1)&gt;BQ$4,BQ$4&gt;=$C$1),'General Inputs'!S$11*$G59,0))</f>
        <v>288.49252320900007</v>
      </c>
      <c r="BR59" s="214">
        <f>IF(AND(($E59+$C$1)&gt;BR$4,BR$4&gt;=$C$1),'General Inputs'!T$11*$H59,IF(AND(($D59+$C$1)&gt;BR$4,BR$4&gt;=$C$1),'General Inputs'!T$11*$G59,0))</f>
        <v>288.49252320900007</v>
      </c>
      <c r="BS59" s="214">
        <f>IF(AND(($E59+$C$1)&gt;BS$4,BS$4&gt;=$C$1),'General Inputs'!U$11*$H59,IF(AND(($D59+$C$1)&gt;BS$4,BS$4&gt;=$C$1),'General Inputs'!U$11*$G59,0))</f>
        <v>288.49252320900007</v>
      </c>
      <c r="BT59" s="214">
        <f>IF(AND(($E59+$C$1)&gt;BT$4,BT$4&gt;=$C$1),'General Inputs'!V$11*$H59,IF(AND(($D59+$C$1)&gt;BT$4,BT$4&gt;=$C$1),'General Inputs'!V$11*$G59,0))</f>
        <v>0</v>
      </c>
      <c r="BU59" s="214">
        <f>IF(AND(($E59+$C$1)&gt;BU$4,BU$4&gt;=$C$1),'General Inputs'!W$11*$H59,IF(AND(($D59+$C$1)&gt;BU$4,BU$4&gt;=$C$1),'General Inputs'!W$11*$G59,0))</f>
        <v>0</v>
      </c>
      <c r="BW59" s="214">
        <f>IF(AND(($E59+$C$1)&gt;BW$4,BW$4&gt;=$C$1),$H59,IF(AND(($D59+$C$1)&gt;BW$4,BW$4&gt;=$C$1),$G59,0))*IF($A59="Residential",'General Inputs'!D$14,'General Inputs'!D$19)</f>
        <v>2643.675862770951</v>
      </c>
      <c r="BX59" s="214">
        <f>IF(AND(($E59+$C$1)&gt;BX$4,BX$4&gt;=$C$1),$H59,IF(AND(($D59+$C$1)&gt;BX$4,BX$4&gt;=$C$1),$G59,0))*IF($A59="Residential",'General Inputs'!E$14,'General Inputs'!E$19)</f>
        <v>2683.3310007125151</v>
      </c>
      <c r="BY59" s="214">
        <f>IF(AND(($E59+$C$1)&gt;BY$4,BY$4&gt;=$C$1),$H59,IF(AND(($D59+$C$1)&gt;BY$4,BY$4&gt;=$C$1),$G59,0))*IF($A59="Residential",'General Inputs'!F$14,'General Inputs'!F$19)</f>
        <v>2723.580965723203</v>
      </c>
      <c r="BZ59" s="214">
        <f>IF(AND(($E59+$C$1)&gt;BZ$4,BZ$4&gt;=$C$1),$H59,IF(AND(($D59+$C$1)&gt;BZ$4,BZ$4&gt;=$C$1),$G59,0))*IF($A59="Residential",'General Inputs'!G$14,'General Inputs'!G$19)</f>
        <v>2764.4346802090508</v>
      </c>
      <c r="CA59" s="214">
        <f>IF(AND(($E59+$C$1)&gt;CA$4,CA$4&gt;=$C$1),$H59,IF(AND(($D59+$C$1)&gt;CA$4,CA$4&gt;=$C$1),$G59,0))*IF($A59="Residential",'General Inputs'!H$14,'General Inputs'!H$19)</f>
        <v>2805.901200412186</v>
      </c>
      <c r="CB59" s="214">
        <f>IF(AND(($E59+$C$1)&gt;CB$4,CB$4&gt;=$C$1),$H59,IF(AND(($D59+$C$1)&gt;CB$4,CB$4&gt;=$C$1),$G59,0))*IF($A59="Residential",'General Inputs'!I$14,'General Inputs'!I$19)</f>
        <v>2847.9897184183683</v>
      </c>
      <c r="CC59" s="214">
        <f>IF(AND(($E59+$C$1)&gt;CC$4,CC$4&gt;=$C$1),$H59,IF(AND(($D59+$C$1)&gt;CC$4,CC$4&gt;=$C$1),$G59,0))*IF($A59="Residential",'General Inputs'!J$14,'General Inputs'!J$19)</f>
        <v>2890.7095641946435</v>
      </c>
      <c r="CD59" s="214">
        <f>IF(AND(($E59+$C$1)&gt;CD$4,CD$4&gt;=$C$1),$H59,IF(AND(($D59+$C$1)&gt;CD$4,CD$4&gt;=$C$1),$G59,0))*IF($A59="Residential",'General Inputs'!K$14,'General Inputs'!K$19)</f>
        <v>2934.0702076575631</v>
      </c>
      <c r="CE59" s="214">
        <f>IF(AND(($E59+$C$1)&gt;CE$4,CE$4&gt;=$C$1),$H59,IF(AND(($D59+$C$1)&gt;CE$4,CE$4&gt;=$C$1),$G59,0))*IF($A59="Residential",'General Inputs'!L$14,'General Inputs'!L$19)</f>
        <v>2978.081260772426</v>
      </c>
      <c r="CF59" s="214">
        <f>IF(AND(($E59+$C$1)&gt;CF$4,CF$4&gt;=$C$1),$H59,IF(AND(($D59+$C$1)&gt;CF$4,CF$4&gt;=$C$1),$G59,0))*IF($A59="Residential",'General Inputs'!M$14,'General Inputs'!M$19)</f>
        <v>3022.7524796840121</v>
      </c>
      <c r="CG59" s="214">
        <f>IF(AND(($E59+$C$1)&gt;CG$4,CG$4&gt;=$C$1),$H59,IF(AND(($D59+$C$1)&gt;CG$4,CG$4&gt;=$C$1),$G59,0))*IF($A59="Residential",'General Inputs'!N$14,'General Inputs'!N$19)</f>
        <v>3068.0937668792722</v>
      </c>
      <c r="CH59" s="214">
        <f>IF(AND(($E59+$C$1)&gt;CH$4,CH$4&gt;=$C$1),$H59,IF(AND(($D59+$C$1)&gt;CH$4,CH$4&gt;=$C$1),$G59,0))*IF($A59="Residential",'General Inputs'!O$14,'General Inputs'!O$19)</f>
        <v>3114.1151733824609</v>
      </c>
      <c r="CI59" s="214">
        <f>IF(AND(($E59+$C$1)&gt;CI$4,CI$4&gt;=$C$1),$H59,IF(AND(($D59+$C$1)&gt;CI$4,CI$4&gt;=$C$1),$G59,0))*IF($A59="Residential",'General Inputs'!P$14,'General Inputs'!P$19)</f>
        <v>3160.8269009831974</v>
      </c>
      <c r="CJ59" s="214">
        <f>IF(AND(($E59+$C$1)&gt;CJ$4,CJ$4&gt;=$C$1),$H59,IF(AND(($D59+$C$1)&gt;CJ$4,CJ$4&gt;=$C$1),$G59,0))*IF($A59="Residential",'General Inputs'!Q$14,'General Inputs'!Q$19)</f>
        <v>3208.2393044979453</v>
      </c>
      <c r="CK59" s="214">
        <f>IF(AND(($E59+$C$1)&gt;CK$4,CK$4&gt;=$C$1),$H59,IF(AND(($D59+$C$1)&gt;CK$4,CK$4&gt;=$C$1),$G59,0))*IF($A59="Residential",'General Inputs'!R$14,'General Inputs'!R$19)</f>
        <v>3256.3628940654139</v>
      </c>
      <c r="CL59" s="214">
        <f>IF(AND(($E59+$C$1)&gt;CL$4,CL$4&gt;=$C$1),$H59,IF(AND(($D59+$C$1)&gt;CL$4,CL$4&gt;=$C$1),$G59,0))*IF($A59="Residential",'General Inputs'!S$14,'General Inputs'!S$19)</f>
        <v>3305.2083374763952</v>
      </c>
      <c r="CM59" s="214">
        <f>IF(AND(($E59+$C$1)&gt;CM$4,CM$4&gt;=$C$1),$H59,IF(AND(($D59+$C$1)&gt;CM$4,CM$4&gt;=$C$1),$G59,0))*IF($A59="Residential",'General Inputs'!T$14,'General Inputs'!T$19)</f>
        <v>3354.7864625385409</v>
      </c>
      <c r="CN59" s="214">
        <f>IF(AND(($E59+$C$1)&gt;CN$4,CN$4&gt;=$C$1),$H59,IF(AND(($D59+$C$1)&gt;CN$4,CN$4&gt;=$C$1),$G59,0))*IF($A59="Residential",'General Inputs'!U$14,'General Inputs'!U$19)</f>
        <v>3405.1082594766181</v>
      </c>
      <c r="CO59" s="214">
        <f>IF(AND(($E59+$C$1)&gt;CO$4,CO$4&gt;=$C$1),$H59,IF(AND(($D59+$C$1)&gt;CO$4,CO$4&gt;=$C$1),$G59,0))*IF($A59="Residential",'General Inputs'!V$14,'General Inputs'!V$19)</f>
        <v>0</v>
      </c>
      <c r="CP59" s="214">
        <f>IF(AND(($E59+$C$1)&gt;CP$4,CP$4&gt;=$C$1),$H59,IF(AND(($D59+$C$1)&gt;CP$4,CP$4&gt;=$C$1),$G59,0))*IF($A59="Residential",'General Inputs'!W$14,'General Inputs'!W$19)</f>
        <v>0</v>
      </c>
      <c r="CR59" s="214">
        <f>IF(AND(($E59+$C$1)&gt;CR$4,CR$4&gt;=$C$1),$H59,IF(AND(($D59+$C$1)&gt;CR$4,CR$4&gt;=$C$1),$G59,0))*IF($A59="Residential",'General Inputs'!D$15,'General Inputs'!D$19)</f>
        <v>2643.675862770951</v>
      </c>
      <c r="CS59" s="214">
        <f>IF(AND(($E59+$C$1)&gt;CS$4,CS$4&gt;=$C$1),$H59,IF(AND(($D59+$C$1)&gt;CS$4,CS$4&gt;=$C$1),$G59,0))*IF($A59="Residential",'General Inputs'!E$15,'General Inputs'!E$19)</f>
        <v>2683.3310007125151</v>
      </c>
      <c r="CT59" s="214">
        <f>IF(AND(($E59+$C$1)&gt;CT$4,CT$4&gt;=$C$1),$H59,IF(AND(($D59+$C$1)&gt;CT$4,CT$4&gt;=$C$1),$G59,0))*IF($A59="Residential",'General Inputs'!F$15,'General Inputs'!F$19)</f>
        <v>2723.580965723203</v>
      </c>
      <c r="CU59" s="214">
        <f>IF(AND(($E59+$C$1)&gt;CU$4,CU$4&gt;=$C$1),$H59,IF(AND(($D59+$C$1)&gt;CU$4,CU$4&gt;=$C$1),$G59,0))*IF($A59="Residential",'General Inputs'!G$15,'General Inputs'!G$19)</f>
        <v>2764.4346802090508</v>
      </c>
      <c r="CV59" s="214">
        <f>IF(AND(($E59+$C$1)&gt;CV$4,CV$4&gt;=$C$1),$H59,IF(AND(($D59+$C$1)&gt;CV$4,CV$4&gt;=$C$1),$G59,0))*IF($A59="Residential",'General Inputs'!H$15,'General Inputs'!H$19)</f>
        <v>2805.901200412186</v>
      </c>
      <c r="CW59" s="214">
        <f>IF(AND(($E59+$C$1)&gt;CW$4,CW$4&gt;=$C$1),$H59,IF(AND(($D59+$C$1)&gt;CW$4,CW$4&gt;=$C$1),$G59,0))*IF($A59="Residential",'General Inputs'!I$15,'General Inputs'!I$19)</f>
        <v>2847.9897184183683</v>
      </c>
      <c r="CX59" s="214">
        <f>IF(AND(($E59+$C$1)&gt;CX$4,CX$4&gt;=$C$1),$H59,IF(AND(($D59+$C$1)&gt;CX$4,CX$4&gt;=$C$1),$G59,0))*IF($A59="Residential",'General Inputs'!J$15,'General Inputs'!J$19)</f>
        <v>2890.7095641946435</v>
      </c>
      <c r="CY59" s="214">
        <f>IF(AND(($E59+$C$1)&gt;CY$4,CY$4&gt;=$C$1),$H59,IF(AND(($D59+$C$1)&gt;CY$4,CY$4&gt;=$C$1),$G59,0))*IF($A59="Residential",'General Inputs'!K$15,'General Inputs'!K$19)</f>
        <v>2934.0702076575631</v>
      </c>
      <c r="CZ59" s="214">
        <f>IF(AND(($E59+$C$1)&gt;CZ$4,CZ$4&gt;=$C$1),$H59,IF(AND(($D59+$C$1)&gt;CZ$4,CZ$4&gt;=$C$1),$G59,0))*IF($A59="Residential",'General Inputs'!L$15,'General Inputs'!L$19)</f>
        <v>2978.081260772426</v>
      </c>
      <c r="DA59" s="214">
        <f>IF(AND(($E59+$C$1)&gt;DA$4,DA$4&gt;=$C$1),$H59,IF(AND(($D59+$C$1)&gt;DA$4,DA$4&gt;=$C$1),$G59,0))*IF($A59="Residential",'General Inputs'!M$15,'General Inputs'!M$19)</f>
        <v>3022.7524796840121</v>
      </c>
      <c r="DB59" s="214">
        <f>IF(AND(($E59+$C$1)&gt;DB$4,DB$4&gt;=$C$1),$H59,IF(AND(($D59+$C$1)&gt;DB$4,DB$4&gt;=$C$1),$G59,0))*IF($A59="Residential",'General Inputs'!N$15,'General Inputs'!N$19)</f>
        <v>3068.0937668792722</v>
      </c>
      <c r="DC59" s="214">
        <f>IF(AND(($E59+$C$1)&gt;DC$4,DC$4&gt;=$C$1),$H59,IF(AND(($D59+$C$1)&gt;DC$4,DC$4&gt;=$C$1),$G59,0))*IF($A59="Residential",'General Inputs'!O$15,'General Inputs'!O$19)</f>
        <v>3114.1151733824609</v>
      </c>
      <c r="DD59" s="214">
        <f>IF(AND(($E59+$C$1)&gt;DD$4,DD$4&gt;=$C$1),$H59,IF(AND(($D59+$C$1)&gt;DD$4,DD$4&gt;=$C$1),$G59,0))*IF($A59="Residential",'General Inputs'!P$15,'General Inputs'!P$19)</f>
        <v>3160.8269009831974</v>
      </c>
      <c r="DE59" s="214">
        <f>IF(AND(($E59+$C$1)&gt;DE$4,DE$4&gt;=$C$1),$H59,IF(AND(($D59+$C$1)&gt;DE$4,DE$4&gt;=$C$1),$G59,0))*IF($A59="Residential",'General Inputs'!Q$15,'General Inputs'!Q$19)</f>
        <v>3208.2393044979453</v>
      </c>
      <c r="DF59" s="214">
        <f>IF(AND(($E59+$C$1)&gt;DF$4,DF$4&gt;=$C$1),$H59,IF(AND(($D59+$C$1)&gt;DF$4,DF$4&gt;=$C$1),$G59,0))*IF($A59="Residential",'General Inputs'!R$15,'General Inputs'!R$19)</f>
        <v>3256.3628940654139</v>
      </c>
      <c r="DG59" s="214">
        <f>IF(AND(($E59+$C$1)&gt;DG$4,DG$4&gt;=$C$1),$H59,IF(AND(($D59+$C$1)&gt;DG$4,DG$4&gt;=$C$1),$G59,0))*IF($A59="Residential",'General Inputs'!S$15,'General Inputs'!S$19)</f>
        <v>3305.2083374763952</v>
      </c>
      <c r="DH59" s="214">
        <f>IF(AND(($E59+$C$1)&gt;DH$4,DH$4&gt;=$C$1),$H59,IF(AND(($D59+$C$1)&gt;DH$4,DH$4&gt;=$C$1),$G59,0))*IF($A59="Residential",'General Inputs'!T$15,'General Inputs'!T$19)</f>
        <v>3354.7864625385409</v>
      </c>
      <c r="DI59" s="214">
        <f>IF(AND(($E59+$C$1)&gt;DI$4,DI$4&gt;=$C$1),$H59,IF(AND(($D59+$C$1)&gt;DI$4,DI$4&gt;=$C$1),$G59,0))*IF($A59="Residential",'General Inputs'!U$15,'General Inputs'!U$19)</f>
        <v>3405.1082594766181</v>
      </c>
      <c r="DJ59" s="214">
        <f>IF(AND(($E59+$C$1)&gt;DJ$4,DJ$4&gt;=$C$1),$H59,IF(AND(($D59+$C$1)&gt;DJ$4,DJ$4&gt;=$C$1),$G59,0))*IF($A59="Residential",'General Inputs'!V$15,'General Inputs'!V$19)</f>
        <v>0</v>
      </c>
      <c r="DK59" s="214">
        <f>IF(AND(($E59+$C$1)&gt;DK$4,DK$4&gt;=$C$1),$H59,IF(AND(($D59+$C$1)&gt;DK$4,DK$4&gt;=$C$1),$G59,0))*IF($A59="Residential",'General Inputs'!W$15,'General Inputs'!W$19)</f>
        <v>0</v>
      </c>
      <c r="DM59" s="214">
        <f t="shared" si="441"/>
        <v>1836</v>
      </c>
      <c r="DN59" s="214">
        <f t="shared" si="441"/>
        <v>0</v>
      </c>
      <c r="DO59" s="214">
        <f t="shared" si="441"/>
        <v>0</v>
      </c>
      <c r="DP59" s="214">
        <f t="shared" si="441"/>
        <v>0</v>
      </c>
      <c r="DQ59" s="214">
        <f t="shared" si="441"/>
        <v>0</v>
      </c>
      <c r="DR59" s="214">
        <f t="shared" si="441"/>
        <v>0</v>
      </c>
      <c r="DS59" s="214">
        <f t="shared" si="441"/>
        <v>0</v>
      </c>
      <c r="DT59" s="214">
        <f t="shared" si="441"/>
        <v>0</v>
      </c>
      <c r="DU59" s="214">
        <f t="shared" si="441"/>
        <v>0</v>
      </c>
      <c r="DV59" s="214">
        <f t="shared" si="441"/>
        <v>0</v>
      </c>
      <c r="DW59" s="214">
        <f t="shared" si="441"/>
        <v>0</v>
      </c>
      <c r="DZ59" s="650"/>
      <c r="FI59" s="195"/>
      <c r="FJ59" s="195"/>
      <c r="FK59" s="195"/>
      <c r="FL59" s="195"/>
      <c r="FM59" s="195"/>
      <c r="FN59" s="195"/>
      <c r="FO59" s="195"/>
    </row>
    <row r="60" spans="1:171">
      <c r="A60" s="342" t="s">
        <v>112</v>
      </c>
      <c r="B60" s="427" t="str">
        <f>'Portfolio Inputs'!A59</f>
        <v>High Bay Fluorescent Fixture (replace 1000 W HID)</v>
      </c>
      <c r="C60" s="217">
        <f>IF($C$1=2014,'Portfolio Inputs'!$C59,IF($C$1=2015,'Portfolio Inputs'!$D59,'Portfolio Inputs'!$E59))</f>
        <v>70</v>
      </c>
      <c r="D60" s="504">
        <f>VLOOKUP(B60,Sources!$B$4:$J$104,2,FALSE)</f>
        <v>18</v>
      </c>
      <c r="E60" s="504">
        <f>VLOOKUP(B60,Sources!$B$4:$J$104,3,FALSE)</f>
        <v>0</v>
      </c>
      <c r="G60" s="504">
        <f>IF($C$1=2014,'Portfolio Inputs'!$G59,IF($C$1=2015,'Portfolio Inputs'!$H59,'Portfolio Inputs'!$I59))*EnergyLineLoss</f>
        <v>26648.243999999999</v>
      </c>
      <c r="H60" s="504"/>
      <c r="I60" s="595">
        <f>IF($C$1=2014,'Portfolio Inputs'!$K59,IF($C$1=2015,'Portfolio Inputs'!$L59,'Portfolio Inputs'!$M59))*PeakLineLoss</f>
        <v>7.4022899999999998</v>
      </c>
      <c r="J60" s="510"/>
      <c r="L60" s="606">
        <f>IF($C$1=2014,'Portfolio Inputs'!$O59,IF($C$1=2015,'Portfolio Inputs'!$P59,'Portfolio Inputs'!$Q59))</f>
        <v>169</v>
      </c>
      <c r="M60" s="518">
        <f>VLOOKUP($B60,Sources!$B$4:$K$104,10,FALSE)</f>
        <v>0</v>
      </c>
      <c r="N60" s="419">
        <f>IF($C$1=2014,'Portfolio Inputs'!$W59,IF($C$1=2015,'Portfolio Inputs'!$X59,'Portfolio Inputs'!$Y59))</f>
        <v>8750</v>
      </c>
      <c r="O60" s="419">
        <f>IF($C$1=2014,'Portfolio Inputs'!$AA59,IF($C$1=2015,'Portfolio Inputs'!$AB59,'Portfolio Inputs'!$AC59))</f>
        <v>0</v>
      </c>
      <c r="Q60" s="438">
        <f t="shared" si="442"/>
        <v>1.0507867126863217</v>
      </c>
      <c r="R60" s="439">
        <f t="shared" si="443"/>
        <v>1.4206636355519071</v>
      </c>
      <c r="S60" s="439">
        <f t="shared" si="444"/>
        <v>1.298137204259791</v>
      </c>
      <c r="T60" s="439">
        <f t="shared" si="445"/>
        <v>3.2360759337958274</v>
      </c>
      <c r="U60" s="439">
        <f t="shared" si="446"/>
        <v>3.2360759337958274</v>
      </c>
      <c r="V60" s="439">
        <f t="shared" si="447"/>
        <v>0.32471015334111092</v>
      </c>
      <c r="W60" s="439">
        <f t="shared" si="448"/>
        <v>0.32471015334111092</v>
      </c>
      <c r="Y60" s="215">
        <f t="shared" si="449"/>
        <v>12430.806811079186</v>
      </c>
      <c r="Z60" s="215">
        <f t="shared" si="450"/>
        <v>2926.1563153141392</v>
      </c>
      <c r="AA60" s="215">
        <f t="shared" si="451"/>
        <v>29532.778296804641</v>
      </c>
      <c r="AB60" s="215">
        <f t="shared" si="452"/>
        <v>29532.778296804641</v>
      </c>
      <c r="AC60" s="216">
        <f t="shared" si="453"/>
        <v>0</v>
      </c>
      <c r="AD60" s="216">
        <f t="shared" si="454"/>
        <v>8750</v>
      </c>
      <c r="AE60" s="215">
        <f t="shared" si="455"/>
        <v>11830</v>
      </c>
      <c r="AG60" s="214">
        <f>IF(AND(($E60+$C$1)&gt;AG$4,AG$4&gt;=$C$1),'General Inputs'!D$9*$H60,IF(AND(($D60+$C$1)&gt;AG$4,AG$4&gt;=$C$1),'General Inputs'!D$9*$G60,0))+IF(AND(($E60+$C$1)&gt;AG$4,AG$4&gt;=$C$1),'General Inputs'!D$10*$J60,IF(AND(($D60+$C$1)&gt;AG$4,AG$4&gt;=$C$1),'General Inputs'!D$10*$I60,0))</f>
        <v>1171.7692670873155</v>
      </c>
      <c r="AH60" s="214">
        <f>IF(AND(($E60+$C$1)&gt;AH$4,AH$4&gt;=$C$1),'General Inputs'!E$9*$H60,IF(AND(($D60+$C$1)&gt;AH$4,AH$4&gt;=$C$1),'General Inputs'!E$9*$G60,0))+IF(AND(($E60+$C$1)&gt;AH$4,AH$4&gt;=$C$1),'General Inputs'!E$10*$J60,IF(AND(($D60+$C$1)&gt;AH$4,AH$4&gt;=$C$1),'General Inputs'!E$10*$I60,0))</f>
        <v>1189.3458060936252</v>
      </c>
      <c r="AI60" s="214">
        <f>IF(AND(($E60+$C$1)&gt;AI$4,AI$4&gt;=$C$1),'General Inputs'!F$9*$H60,IF(AND(($D60+$C$1)&gt;AI$4,AI$4&gt;=$C$1),'General Inputs'!F$9*$G60,0))+IF(AND(($E60+$C$1)&gt;AI$4,AI$4&gt;=$C$1),'General Inputs'!F$10*$J60,IF(AND(($D60+$C$1)&gt;AI$4,AI$4&gt;=$C$1),'General Inputs'!F$10*$I60,0))</f>
        <v>1207.1859931850295</v>
      </c>
      <c r="AJ60" s="214">
        <f>IF(AND(($E60+$C$1)&gt;AJ$4,AJ$4&gt;=$C$1),'General Inputs'!G$9*$H60,IF(AND(($D60+$C$1)&gt;AJ$4,AJ$4&gt;=$C$1),'General Inputs'!G$9*$G60,0))+IF(AND(($E60+$C$1)&gt;AJ$4,AJ$4&gt;=$C$1),'General Inputs'!G$10*$J60,IF(AND(($D60+$C$1)&gt;AJ$4,AJ$4&gt;=$C$1),'General Inputs'!G$10*$I60,0))</f>
        <v>1225.2937830828048</v>
      </c>
      <c r="AK60" s="214">
        <f>IF(AND(($E60+$C$1)&gt;AK$4,AK$4&gt;=$C$1),'General Inputs'!H$9*$H60,IF(AND(($D60+$C$1)&gt;AK$4,AK$4&gt;=$C$1),'General Inputs'!H$9*$G60,0))+IF(AND(($E60+$C$1)&gt;AK$4,AK$4&gt;=$C$1),'General Inputs'!H$10*$J60,IF(AND(($D60+$C$1)&gt;AK$4,AK$4&gt;=$C$1),'General Inputs'!H$10*$I60,0))</f>
        <v>1243.6731898290468</v>
      </c>
      <c r="AL60" s="214">
        <f>IF(AND(($E60+$C$1)&gt;AL$4,AL$4&gt;=$C$1),'General Inputs'!I$9*$H60,IF(AND(($D60+$C$1)&gt;AL$4,AL$4&gt;=$C$1),'General Inputs'!I$9*$G60,0))+IF(AND(($E60+$C$1)&gt;AL$4,AL$4&gt;=$C$1),'General Inputs'!I$10*$J60,IF(AND(($D60+$C$1)&gt;AL$4,AL$4&gt;=$C$1),'General Inputs'!I$10*$I60,0))</f>
        <v>1262.3282876764822</v>
      </c>
      <c r="AM60" s="214">
        <f>IF(AND(($E60+$C$1)&gt;AM$4,AM$4&gt;=$C$1),'General Inputs'!J$9*$H60,IF(AND(($D60+$C$1)&gt;AM$4,AM$4&gt;=$C$1),'General Inputs'!J$9*$G60,0))+IF(AND(($E60+$C$1)&gt;AM$4,AM$4&gt;=$C$1),'General Inputs'!J$10*$J60,IF(AND(($D60+$C$1)&gt;AM$4,AM$4&gt;=$C$1),'General Inputs'!J$10*$I60,0))</f>
        <v>1281.2632119916293</v>
      </c>
      <c r="AN60" s="214">
        <f>IF(AND(($E60+$C$1)&gt;AN$4,AN$4&gt;=$C$1),'General Inputs'!K$9*$H60,IF(AND(($D60+$C$1)&gt;AN$4,AN$4&gt;=$C$1),'General Inputs'!K$9*$G60,0))+IF(AND(($E60+$C$1)&gt;AN$4,AN$4&gt;=$C$1),'General Inputs'!K$10*$J60,IF(AND(($D60+$C$1)&gt;AN$4,AN$4&gt;=$C$1),'General Inputs'!K$10*$I60,0))</f>
        <v>1300.4821601715034</v>
      </c>
      <c r="AO60" s="214">
        <f>IF(AND(($E60+$C$1)&gt;AO$4,AO$4&gt;=$C$1),'General Inputs'!L$9*$H60,IF(AND(($D60+$C$1)&gt;AO$4,AO$4&gt;=$C$1),'General Inputs'!L$9*$G60,0))+IF(AND(($E60+$C$1)&gt;AO$4,AO$4&gt;=$C$1),'General Inputs'!L$10*$J60,IF(AND(($D60+$C$1)&gt;AO$4,AO$4&gt;=$C$1),'General Inputs'!L$10*$I60,0))</f>
        <v>1319.9893925740757</v>
      </c>
      <c r="AP60" s="214">
        <f>IF(AND(($E60+$C$1)&gt;AP$4,AP$4&gt;=$C$1),'General Inputs'!M$9*$H60,IF(AND(($D60+$C$1)&gt;AP$4,AP$4&gt;=$C$1),'General Inputs'!M$9*$G60,0))+IF(AND(($E60+$C$1)&gt;AP$4,AP$4&gt;=$C$1),'General Inputs'!M$10*$J60,IF(AND(($D60+$C$1)&gt;AP$4,AP$4&gt;=$C$1),'General Inputs'!M$10*$I60,0))</f>
        <v>1339.789233462687</v>
      </c>
      <c r="AQ60" s="214">
        <f>IF(AND(($E60+$C$1)&gt;AQ$4,AQ$4&gt;=$C$1),'General Inputs'!N$9*$H60,IF(AND(($D60+$C$1)&gt;AQ$4,AQ$4&gt;=$C$1),'General Inputs'!N$9*$G60,0))+IF(AND(($E60+$C$1)&gt;AQ$4,AQ$4&gt;=$C$1),'General Inputs'!N$10*$J60,IF(AND(($D60+$C$1)&gt;AQ$4,AQ$4&gt;=$C$1),'General Inputs'!N$10*$I60,0))</f>
        <v>1359.8860719646273</v>
      </c>
      <c r="AR60" s="214">
        <f>IF(AND(($E60+$C$1)&gt;AR$4,AR$4&gt;=$C$1),'General Inputs'!O$9*$H60,IF(AND(($D60+$C$1)&gt;AR$4,AR$4&gt;=$C$1),'General Inputs'!O$9*$G60,0))+IF(AND(($E60+$C$1)&gt;AR$4,AR$4&gt;=$C$1),'General Inputs'!O$10*$J60,IF(AND(($D60+$C$1)&gt;AR$4,AR$4&gt;=$C$1),'General Inputs'!O$10*$I60,0))</f>
        <v>1380.2843630440964</v>
      </c>
      <c r="AS60" s="214">
        <f>IF(AND(($E60+$C$1)&gt;AS$4,AS$4&gt;=$C$1),'General Inputs'!P$9*$H60,IF(AND(($D60+$C$1)&gt;AS$4,AS$4&gt;=$C$1),'General Inputs'!P$9*$G60,0))+IF(AND(($E60+$C$1)&gt;AS$4,AS$4&gt;=$C$1),'General Inputs'!P$10*$J60,IF(AND(($D60+$C$1)&gt;AS$4,AS$4&gt;=$C$1),'General Inputs'!P$10*$I60,0))</f>
        <v>1400.9886284897575</v>
      </c>
      <c r="AT60" s="214">
        <f>IF(AND(($E60+$C$1)&gt;AT$4,AT$4&gt;=$C$1),'General Inputs'!Q$9*$H60,IF(AND(($D60+$C$1)&gt;AT$4,AT$4&gt;=$C$1),'General Inputs'!Q$9*$G60,0))+IF(AND(($E60+$C$1)&gt;AT$4,AT$4&gt;=$C$1),'General Inputs'!Q$10*$J60,IF(AND(($D60+$C$1)&gt;AT$4,AT$4&gt;=$C$1),'General Inputs'!Q$10*$I60,0))</f>
        <v>1422.0034579171038</v>
      </c>
      <c r="AU60" s="214">
        <f>IF(AND(($E60+$C$1)&gt;AU$4,AU$4&gt;=$C$1),'General Inputs'!R$9*$H60,IF(AND(($D60+$C$1)&gt;AU$4,AU$4&gt;=$C$1),'General Inputs'!R$9*$G60,0))+IF(AND(($E60+$C$1)&gt;AU$4,AU$4&gt;=$C$1),'General Inputs'!R$10*$J60,IF(AND(($D60+$C$1)&gt;AU$4,AU$4&gt;=$C$1),'General Inputs'!R$10*$I60,0))</f>
        <v>1443.3335097858603</v>
      </c>
      <c r="AV60" s="214">
        <f>IF(AND(($E60+$C$1)&gt;AV$4,AV$4&gt;=$C$1),'General Inputs'!S$9*$H60,IF(AND(($D60+$C$1)&gt;AV$4,AV$4&gt;=$C$1),'General Inputs'!S$9*$G60,0))+IF(AND(($E60+$C$1)&gt;AV$4,AV$4&gt;=$C$1),'General Inputs'!S$10*$J60,IF(AND(($D60+$C$1)&gt;AV$4,AV$4&gt;=$C$1),'General Inputs'!S$10*$I60,0))</f>
        <v>1464.9835124326482</v>
      </c>
      <c r="AW60" s="214">
        <f>IF(AND(($E60+$C$1)&gt;AW$4,AW$4&gt;=$C$1),'General Inputs'!T$9*$H60,IF(AND(($D60+$C$1)&gt;AW$4,AW$4&gt;=$C$1),'General Inputs'!T$9*$G60,0))+IF(AND(($E60+$C$1)&gt;AW$4,AW$4&gt;=$C$1),'General Inputs'!T$10*$J60,IF(AND(($D60+$C$1)&gt;AW$4,AW$4&gt;=$C$1),'General Inputs'!T$10*$I60,0))</f>
        <v>1486.9582651191379</v>
      </c>
      <c r="AX60" s="214">
        <f>IF(AND(($E60+$C$1)&gt;AX$4,AX$4&gt;=$C$1),'General Inputs'!U$9*$H60,IF(AND(($D60+$C$1)&gt;AX$4,AX$4&gt;=$C$1),'General Inputs'!U$9*$G60,0))+IF(AND(($E60+$C$1)&gt;AX$4,AX$4&gt;=$C$1),'General Inputs'!U$10*$J60,IF(AND(($D60+$C$1)&gt;AX$4,AX$4&gt;=$C$1),'General Inputs'!U$10*$I60,0))</f>
        <v>1509.2626390959249</v>
      </c>
      <c r="AY60" s="214">
        <f>IF(AND(($E60+$C$1)&gt;AY$4,AY$4&gt;=$C$1),'General Inputs'!V$9*$H60,IF(AND(($D60+$C$1)&gt;AY$4,AY$4&gt;=$C$1),'General Inputs'!V$9*$G60,0))+IF(AND(($E60+$C$1)&gt;AY$4,AY$4&gt;=$C$1),'General Inputs'!V$10*$J60,IF(AND(($D60+$C$1)&gt;AY$4,AY$4&gt;=$C$1),'General Inputs'!V$10*$I60,0))</f>
        <v>0</v>
      </c>
      <c r="AZ60" s="214">
        <f>IF(AND(($E60+$C$1)&gt;AZ$4,AZ$4&gt;=$C$1),'General Inputs'!W$9*$H60,IF(AND(($D60+$C$1)&gt;AZ$4,AZ$4&gt;=$C$1),'General Inputs'!W$9*$G60,0))+IF(AND(($E60+$C$1)&gt;AZ$4,AZ$4&gt;=$C$1),'General Inputs'!W$10*$J60,IF(AND(($D60+$C$1)&gt;AZ$4,AZ$4&gt;=$C$1),'General Inputs'!W$10*$I60,0))</f>
        <v>0</v>
      </c>
      <c r="BB60" s="214">
        <f>IF(AND(($E60+$C$1)&gt;BB$4,BB$4&gt;=$C$1),'General Inputs'!D$11*$H60,IF(AND(($D60+$C$1)&gt;BB$4,BB$4&gt;=$C$1),'General Inputs'!D$11*$G60,0))</f>
        <v>303.78998159999998</v>
      </c>
      <c r="BC60" s="214">
        <f>IF(AND(($E60+$C$1)&gt;BC$4,BC$4&gt;=$C$1),'General Inputs'!E$11*$H60,IF(AND(($D60+$C$1)&gt;BC$4,BC$4&gt;=$C$1),'General Inputs'!E$11*$G60,0))</f>
        <v>303.78998159999998</v>
      </c>
      <c r="BD60" s="214">
        <f>IF(AND(($E60+$C$1)&gt;BD$4,BD$4&gt;=$C$1),'General Inputs'!F$11*$H60,IF(AND(($D60+$C$1)&gt;BD$4,BD$4&gt;=$C$1),'General Inputs'!F$11*$G60,0))</f>
        <v>303.78998159999998</v>
      </c>
      <c r="BE60" s="214">
        <f>IF(AND(($E60+$C$1)&gt;BE$4,BE$4&gt;=$C$1),'General Inputs'!G$11*$H60,IF(AND(($D60+$C$1)&gt;BE$4,BE$4&gt;=$C$1),'General Inputs'!G$11*$G60,0))</f>
        <v>303.78998159999998</v>
      </c>
      <c r="BF60" s="214">
        <f>IF(AND(($E60+$C$1)&gt;BF$4,BF$4&gt;=$C$1),'General Inputs'!H$11*$H60,IF(AND(($D60+$C$1)&gt;BF$4,BF$4&gt;=$C$1),'General Inputs'!H$11*$G60,0))</f>
        <v>303.78998159999998</v>
      </c>
      <c r="BG60" s="214">
        <f>IF(AND(($E60+$C$1)&gt;BG$4,BG$4&gt;=$C$1),'General Inputs'!I$11*$H60,IF(AND(($D60+$C$1)&gt;BG$4,BG$4&gt;=$C$1),'General Inputs'!I$11*$G60,0))</f>
        <v>303.78998159999998</v>
      </c>
      <c r="BH60" s="214">
        <f>IF(AND(($E60+$C$1)&gt;BH$4,BH$4&gt;=$C$1),'General Inputs'!J$11*$H60,IF(AND(($D60+$C$1)&gt;BH$4,BH$4&gt;=$C$1),'General Inputs'!J$11*$G60,0))</f>
        <v>303.78998159999998</v>
      </c>
      <c r="BI60" s="214">
        <f>IF(AND(($E60+$C$1)&gt;BI$4,BI$4&gt;=$C$1),'General Inputs'!K$11*$H60,IF(AND(($D60+$C$1)&gt;BI$4,BI$4&gt;=$C$1),'General Inputs'!K$11*$G60,0))</f>
        <v>303.78998159999998</v>
      </c>
      <c r="BJ60" s="214">
        <f>IF(AND(($E60+$C$1)&gt;BJ$4,BJ$4&gt;=$C$1),'General Inputs'!L$11*$H60,IF(AND(($D60+$C$1)&gt;BJ$4,BJ$4&gt;=$C$1),'General Inputs'!L$11*$G60,0))</f>
        <v>303.78998159999998</v>
      </c>
      <c r="BK60" s="214">
        <f>IF(AND(($E60+$C$1)&gt;BK$4,BK$4&gt;=$C$1),'General Inputs'!M$11*$H60,IF(AND(($D60+$C$1)&gt;BK$4,BK$4&gt;=$C$1),'General Inputs'!M$11*$G60,0))</f>
        <v>303.78998159999998</v>
      </c>
      <c r="BL60" s="214">
        <f>IF(AND(($E60+$C$1)&gt;BL$4,BL$4&gt;=$C$1),'General Inputs'!N$11*$H60,IF(AND(($D60+$C$1)&gt;BL$4,BL$4&gt;=$C$1),'General Inputs'!N$11*$G60,0))</f>
        <v>303.78998159999998</v>
      </c>
      <c r="BM60" s="214">
        <f>IF(AND(($E60+$C$1)&gt;BM$4,BM$4&gt;=$C$1),'General Inputs'!O$11*$H60,IF(AND(($D60+$C$1)&gt;BM$4,BM$4&gt;=$C$1),'General Inputs'!O$11*$G60,0))</f>
        <v>303.78998159999998</v>
      </c>
      <c r="BN60" s="214">
        <f>IF(AND(($E60+$C$1)&gt;BN$4,BN$4&gt;=$C$1),'General Inputs'!P$11*$H60,IF(AND(($D60+$C$1)&gt;BN$4,BN$4&gt;=$C$1),'General Inputs'!P$11*$G60,0))</f>
        <v>303.78998159999998</v>
      </c>
      <c r="BO60" s="214">
        <f>IF(AND(($E60+$C$1)&gt;BO$4,BO$4&gt;=$C$1),'General Inputs'!Q$11*$H60,IF(AND(($D60+$C$1)&gt;BO$4,BO$4&gt;=$C$1),'General Inputs'!Q$11*$G60,0))</f>
        <v>303.78998159999998</v>
      </c>
      <c r="BP60" s="214">
        <f>IF(AND(($E60+$C$1)&gt;BP$4,BP$4&gt;=$C$1),'General Inputs'!R$11*$H60,IF(AND(($D60+$C$1)&gt;BP$4,BP$4&gt;=$C$1),'General Inputs'!R$11*$G60,0))</f>
        <v>303.78998159999998</v>
      </c>
      <c r="BQ60" s="214">
        <f>IF(AND(($E60+$C$1)&gt;BQ$4,BQ$4&gt;=$C$1),'General Inputs'!S$11*$H60,IF(AND(($D60+$C$1)&gt;BQ$4,BQ$4&gt;=$C$1),'General Inputs'!S$11*$G60,0))</f>
        <v>303.78998159999998</v>
      </c>
      <c r="BR60" s="214">
        <f>IF(AND(($E60+$C$1)&gt;BR$4,BR$4&gt;=$C$1),'General Inputs'!T$11*$H60,IF(AND(($D60+$C$1)&gt;BR$4,BR$4&gt;=$C$1),'General Inputs'!T$11*$G60,0))</f>
        <v>303.78998159999998</v>
      </c>
      <c r="BS60" s="214">
        <f>IF(AND(($E60+$C$1)&gt;BS$4,BS$4&gt;=$C$1),'General Inputs'!U$11*$H60,IF(AND(($D60+$C$1)&gt;BS$4,BS$4&gt;=$C$1),'General Inputs'!U$11*$G60,0))</f>
        <v>303.78998159999998</v>
      </c>
      <c r="BT60" s="214">
        <f>IF(AND(($E60+$C$1)&gt;BT$4,BT$4&gt;=$C$1),'General Inputs'!V$11*$H60,IF(AND(($D60+$C$1)&gt;BT$4,BT$4&gt;=$C$1),'General Inputs'!V$11*$G60,0))</f>
        <v>0</v>
      </c>
      <c r="BU60" s="214">
        <f>IF(AND(($E60+$C$1)&gt;BU$4,BU$4&gt;=$C$1),'General Inputs'!W$11*$H60,IF(AND(($D60+$C$1)&gt;BU$4,BU$4&gt;=$C$1),'General Inputs'!W$11*$G60,0))</f>
        <v>0</v>
      </c>
      <c r="BW60" s="214">
        <f>IF(AND(($E60+$C$1)&gt;BW$4,BW$4&gt;=$C$1),$H60,IF(AND(($D60+$C$1)&gt;BW$4,BW$4&gt;=$C$1),$G60,0))*IF($A60="Residential",'General Inputs'!D$14,'General Inputs'!D$19)</f>
        <v>2783.8580798356597</v>
      </c>
      <c r="BX60" s="214">
        <f>IF(AND(($E60+$C$1)&gt;BX$4,BX$4&gt;=$C$1),$H60,IF(AND(($D60+$C$1)&gt;BX$4,BX$4&gt;=$C$1),$G60,0))*IF($A60="Residential",'General Inputs'!E$14,'General Inputs'!E$19)</f>
        <v>2825.6159510331941</v>
      </c>
      <c r="BY60" s="214">
        <f>IF(AND(($E60+$C$1)&gt;BY$4,BY$4&gt;=$C$1),$H60,IF(AND(($D60+$C$1)&gt;BY$4,BY$4&gt;=$C$1),$G60,0))*IF($A60="Residential",'General Inputs'!F$14,'General Inputs'!F$19)</f>
        <v>2868.0001902986924</v>
      </c>
      <c r="BZ60" s="214">
        <f>IF(AND(($E60+$C$1)&gt;BZ$4,BZ$4&gt;=$C$1),$H60,IF(AND(($D60+$C$1)&gt;BZ$4,BZ$4&gt;=$C$1),$G60,0))*IF($A60="Residential",'General Inputs'!G$14,'General Inputs'!G$19)</f>
        <v>2911.0201931531724</v>
      </c>
      <c r="CA60" s="214">
        <f>IF(AND(($E60+$C$1)&gt;CA$4,CA$4&gt;=$C$1),$H60,IF(AND(($D60+$C$1)&gt;CA$4,CA$4&gt;=$C$1),$G60,0))*IF($A60="Residential",'General Inputs'!H$14,'General Inputs'!H$19)</f>
        <v>2954.6854960504693</v>
      </c>
      <c r="CB60" s="214">
        <f>IF(AND(($E60+$C$1)&gt;CB$4,CB$4&gt;=$C$1),$H60,IF(AND(($D60+$C$1)&gt;CB$4,CB$4&gt;=$C$1),$G60,0))*IF($A60="Residential",'General Inputs'!I$14,'General Inputs'!I$19)</f>
        <v>2999.005778491226</v>
      </c>
      <c r="CC60" s="214">
        <f>IF(AND(($E60+$C$1)&gt;CC$4,CC$4&gt;=$C$1),$H60,IF(AND(($D60+$C$1)&gt;CC$4,CC$4&gt;=$C$1),$G60,0))*IF($A60="Residential",'General Inputs'!J$14,'General Inputs'!J$19)</f>
        <v>3043.9908651685942</v>
      </c>
      <c r="CD60" s="214">
        <f>IF(AND(($E60+$C$1)&gt;CD$4,CD$4&gt;=$C$1),$H60,IF(AND(($D60+$C$1)&gt;CD$4,CD$4&gt;=$C$1),$G60,0))*IF($A60="Residential",'General Inputs'!K$14,'General Inputs'!K$19)</f>
        <v>3089.6507281461227</v>
      </c>
      <c r="CE60" s="214">
        <f>IF(AND(($E60+$C$1)&gt;CE$4,CE$4&gt;=$C$1),$H60,IF(AND(($D60+$C$1)&gt;CE$4,CE$4&gt;=$C$1),$G60,0))*IF($A60="Residential",'General Inputs'!L$14,'General Inputs'!L$19)</f>
        <v>3135.9954890683143</v>
      </c>
      <c r="CF60" s="214">
        <f>IF(AND(($E60+$C$1)&gt;CF$4,CF$4&gt;=$C$1),$H60,IF(AND(($D60+$C$1)&gt;CF$4,CF$4&gt;=$C$1),$G60,0))*IF($A60="Residential",'General Inputs'!M$14,'General Inputs'!M$19)</f>
        <v>3183.0354214043386</v>
      </c>
      <c r="CG60" s="214">
        <f>IF(AND(($E60+$C$1)&gt;CG$4,CG$4&gt;=$C$1),$H60,IF(AND(($D60+$C$1)&gt;CG$4,CG$4&gt;=$C$1),$G60,0))*IF($A60="Residential",'General Inputs'!N$14,'General Inputs'!N$19)</f>
        <v>3230.7809527254035</v>
      </c>
      <c r="CH60" s="214">
        <f>IF(AND(($E60+$C$1)&gt;CH$4,CH$4&gt;=$C$1),$H60,IF(AND(($D60+$C$1)&gt;CH$4,CH$4&gt;=$C$1),$G60,0))*IF($A60="Residential",'General Inputs'!O$14,'General Inputs'!O$19)</f>
        <v>3279.242667016284</v>
      </c>
      <c r="CI60" s="214">
        <f>IF(AND(($E60+$C$1)&gt;CI$4,CI$4&gt;=$C$1),$H60,IF(AND(($D60+$C$1)&gt;CI$4,CI$4&gt;=$C$1),$G60,0))*IF($A60="Residential",'General Inputs'!P$14,'General Inputs'!P$19)</f>
        <v>3328.4313070215285</v>
      </c>
      <c r="CJ60" s="214">
        <f>IF(AND(($E60+$C$1)&gt;CJ$4,CJ$4&gt;=$C$1),$H60,IF(AND(($D60+$C$1)&gt;CJ$4,CJ$4&gt;=$C$1),$G60,0))*IF($A60="Residential",'General Inputs'!Q$14,'General Inputs'!Q$19)</f>
        <v>3378.3577766268509</v>
      </c>
      <c r="CK60" s="214">
        <f>IF(AND(($E60+$C$1)&gt;CK$4,CK$4&gt;=$C$1),$H60,IF(AND(($D60+$C$1)&gt;CK$4,CK$4&gt;=$C$1),$G60,0))*IF($A60="Residential",'General Inputs'!R$14,'General Inputs'!R$19)</f>
        <v>3429.0331432762532</v>
      </c>
      <c r="CL60" s="214">
        <f>IF(AND(($E60+$C$1)&gt;CL$4,CL$4&gt;=$C$1),$H60,IF(AND(($D60+$C$1)&gt;CL$4,CL$4&gt;=$C$1),$G60,0))*IF($A60="Residential",'General Inputs'!S$14,'General Inputs'!S$19)</f>
        <v>3480.4686404253966</v>
      </c>
      <c r="CM60" s="214">
        <f>IF(AND(($E60+$C$1)&gt;CM$4,CM$4&gt;=$C$1),$H60,IF(AND(($D60+$C$1)&gt;CM$4,CM$4&gt;=$C$1),$G60,0))*IF($A60="Residential",'General Inputs'!T$14,'General Inputs'!T$19)</f>
        <v>3532.6756700317774</v>
      </c>
      <c r="CN60" s="214">
        <f>IF(AND(($E60+$C$1)&gt;CN$4,CN$4&gt;=$C$1),$H60,IF(AND(($D60+$C$1)&gt;CN$4,CN$4&gt;=$C$1),$G60,0))*IF($A60="Residential",'General Inputs'!U$14,'General Inputs'!U$19)</f>
        <v>3585.6658050822534</v>
      </c>
      <c r="CO60" s="214">
        <f>IF(AND(($E60+$C$1)&gt;CO$4,CO$4&gt;=$C$1),$H60,IF(AND(($D60+$C$1)&gt;CO$4,CO$4&gt;=$C$1),$G60,0))*IF($A60="Residential",'General Inputs'!V$14,'General Inputs'!V$19)</f>
        <v>0</v>
      </c>
      <c r="CP60" s="214">
        <f>IF(AND(($E60+$C$1)&gt;CP$4,CP$4&gt;=$C$1),$H60,IF(AND(($D60+$C$1)&gt;CP$4,CP$4&gt;=$C$1),$G60,0))*IF($A60="Residential",'General Inputs'!W$14,'General Inputs'!W$19)</f>
        <v>0</v>
      </c>
      <c r="CR60" s="214">
        <f>IF(AND(($E60+$C$1)&gt;CR$4,CR$4&gt;=$C$1),$H60,IF(AND(($D60+$C$1)&gt;CR$4,CR$4&gt;=$C$1),$G60,0))*IF($A60="Residential",'General Inputs'!D$15,'General Inputs'!D$19)</f>
        <v>2783.8580798356597</v>
      </c>
      <c r="CS60" s="214">
        <f>IF(AND(($E60+$C$1)&gt;CS$4,CS$4&gt;=$C$1),$H60,IF(AND(($D60+$C$1)&gt;CS$4,CS$4&gt;=$C$1),$G60,0))*IF($A60="Residential",'General Inputs'!E$15,'General Inputs'!E$19)</f>
        <v>2825.6159510331941</v>
      </c>
      <c r="CT60" s="214">
        <f>IF(AND(($E60+$C$1)&gt;CT$4,CT$4&gt;=$C$1),$H60,IF(AND(($D60+$C$1)&gt;CT$4,CT$4&gt;=$C$1),$G60,0))*IF($A60="Residential",'General Inputs'!F$15,'General Inputs'!F$19)</f>
        <v>2868.0001902986924</v>
      </c>
      <c r="CU60" s="214">
        <f>IF(AND(($E60+$C$1)&gt;CU$4,CU$4&gt;=$C$1),$H60,IF(AND(($D60+$C$1)&gt;CU$4,CU$4&gt;=$C$1),$G60,0))*IF($A60="Residential",'General Inputs'!G$15,'General Inputs'!G$19)</f>
        <v>2911.0201931531724</v>
      </c>
      <c r="CV60" s="214">
        <f>IF(AND(($E60+$C$1)&gt;CV$4,CV$4&gt;=$C$1),$H60,IF(AND(($D60+$C$1)&gt;CV$4,CV$4&gt;=$C$1),$G60,0))*IF($A60="Residential",'General Inputs'!H$15,'General Inputs'!H$19)</f>
        <v>2954.6854960504693</v>
      </c>
      <c r="CW60" s="214">
        <f>IF(AND(($E60+$C$1)&gt;CW$4,CW$4&gt;=$C$1),$H60,IF(AND(($D60+$C$1)&gt;CW$4,CW$4&gt;=$C$1),$G60,0))*IF($A60="Residential",'General Inputs'!I$15,'General Inputs'!I$19)</f>
        <v>2999.005778491226</v>
      </c>
      <c r="CX60" s="214">
        <f>IF(AND(($E60+$C$1)&gt;CX$4,CX$4&gt;=$C$1),$H60,IF(AND(($D60+$C$1)&gt;CX$4,CX$4&gt;=$C$1),$G60,0))*IF($A60="Residential",'General Inputs'!J$15,'General Inputs'!J$19)</f>
        <v>3043.9908651685942</v>
      </c>
      <c r="CY60" s="214">
        <f>IF(AND(($E60+$C$1)&gt;CY$4,CY$4&gt;=$C$1),$H60,IF(AND(($D60+$C$1)&gt;CY$4,CY$4&gt;=$C$1),$G60,0))*IF($A60="Residential",'General Inputs'!K$15,'General Inputs'!K$19)</f>
        <v>3089.6507281461227</v>
      </c>
      <c r="CZ60" s="214">
        <f>IF(AND(($E60+$C$1)&gt;CZ$4,CZ$4&gt;=$C$1),$H60,IF(AND(($D60+$C$1)&gt;CZ$4,CZ$4&gt;=$C$1),$G60,0))*IF($A60="Residential",'General Inputs'!L$15,'General Inputs'!L$19)</f>
        <v>3135.9954890683143</v>
      </c>
      <c r="DA60" s="214">
        <f>IF(AND(($E60+$C$1)&gt;DA$4,DA$4&gt;=$C$1),$H60,IF(AND(($D60+$C$1)&gt;DA$4,DA$4&gt;=$C$1),$G60,0))*IF($A60="Residential",'General Inputs'!M$15,'General Inputs'!M$19)</f>
        <v>3183.0354214043386</v>
      </c>
      <c r="DB60" s="214">
        <f>IF(AND(($E60+$C$1)&gt;DB$4,DB$4&gt;=$C$1),$H60,IF(AND(($D60+$C$1)&gt;DB$4,DB$4&gt;=$C$1),$G60,0))*IF($A60="Residential",'General Inputs'!N$15,'General Inputs'!N$19)</f>
        <v>3230.7809527254035</v>
      </c>
      <c r="DC60" s="214">
        <f>IF(AND(($E60+$C$1)&gt;DC$4,DC$4&gt;=$C$1),$H60,IF(AND(($D60+$C$1)&gt;DC$4,DC$4&gt;=$C$1),$G60,0))*IF($A60="Residential",'General Inputs'!O$15,'General Inputs'!O$19)</f>
        <v>3279.242667016284</v>
      </c>
      <c r="DD60" s="214">
        <f>IF(AND(($E60+$C$1)&gt;DD$4,DD$4&gt;=$C$1),$H60,IF(AND(($D60+$C$1)&gt;DD$4,DD$4&gt;=$C$1),$G60,0))*IF($A60="Residential",'General Inputs'!P$15,'General Inputs'!P$19)</f>
        <v>3328.4313070215285</v>
      </c>
      <c r="DE60" s="214">
        <f>IF(AND(($E60+$C$1)&gt;DE$4,DE$4&gt;=$C$1),$H60,IF(AND(($D60+$C$1)&gt;DE$4,DE$4&gt;=$C$1),$G60,0))*IF($A60="Residential",'General Inputs'!Q$15,'General Inputs'!Q$19)</f>
        <v>3378.3577766268509</v>
      </c>
      <c r="DF60" s="214">
        <f>IF(AND(($E60+$C$1)&gt;DF$4,DF$4&gt;=$C$1),$H60,IF(AND(($D60+$C$1)&gt;DF$4,DF$4&gt;=$C$1),$G60,0))*IF($A60="Residential",'General Inputs'!R$15,'General Inputs'!R$19)</f>
        <v>3429.0331432762532</v>
      </c>
      <c r="DG60" s="214">
        <f>IF(AND(($E60+$C$1)&gt;DG$4,DG$4&gt;=$C$1),$H60,IF(AND(($D60+$C$1)&gt;DG$4,DG$4&gt;=$C$1),$G60,0))*IF($A60="Residential",'General Inputs'!S$15,'General Inputs'!S$19)</f>
        <v>3480.4686404253966</v>
      </c>
      <c r="DH60" s="214">
        <f>IF(AND(($E60+$C$1)&gt;DH$4,DH$4&gt;=$C$1),$H60,IF(AND(($D60+$C$1)&gt;DH$4,DH$4&gt;=$C$1),$G60,0))*IF($A60="Residential",'General Inputs'!T$15,'General Inputs'!T$19)</f>
        <v>3532.6756700317774</v>
      </c>
      <c r="DI60" s="214">
        <f>IF(AND(($E60+$C$1)&gt;DI$4,DI$4&gt;=$C$1),$H60,IF(AND(($D60+$C$1)&gt;DI$4,DI$4&gt;=$C$1),$G60,0))*IF($A60="Residential",'General Inputs'!U$15,'General Inputs'!U$19)</f>
        <v>3585.6658050822534</v>
      </c>
      <c r="DJ60" s="214">
        <f>IF(AND(($E60+$C$1)&gt;DJ$4,DJ$4&gt;=$C$1),$H60,IF(AND(($D60+$C$1)&gt;DJ$4,DJ$4&gt;=$C$1),$G60,0))*IF($A60="Residential",'General Inputs'!V$15,'General Inputs'!V$19)</f>
        <v>0</v>
      </c>
      <c r="DK60" s="214">
        <f>IF(AND(($E60+$C$1)&gt;DK$4,DK$4&gt;=$C$1),$H60,IF(AND(($D60+$C$1)&gt;DK$4,DK$4&gt;=$C$1),$G60,0))*IF($A60="Residential",'General Inputs'!W$15,'General Inputs'!W$19)</f>
        <v>0</v>
      </c>
      <c r="DM60" s="214">
        <f t="shared" si="441"/>
        <v>11830</v>
      </c>
      <c r="DN60" s="214">
        <f t="shared" si="441"/>
        <v>0</v>
      </c>
      <c r="DO60" s="214">
        <f t="shared" si="441"/>
        <v>0</v>
      </c>
      <c r="DP60" s="214">
        <f t="shared" si="441"/>
        <v>0</v>
      </c>
      <c r="DQ60" s="214">
        <f t="shared" si="441"/>
        <v>0</v>
      </c>
      <c r="DR60" s="214">
        <f t="shared" si="441"/>
        <v>0</v>
      </c>
      <c r="DS60" s="214">
        <f t="shared" si="441"/>
        <v>0</v>
      </c>
      <c r="DT60" s="214">
        <f t="shared" si="441"/>
        <v>0</v>
      </c>
      <c r="DU60" s="214">
        <f t="shared" si="441"/>
        <v>0</v>
      </c>
      <c r="DV60" s="214">
        <f t="shared" si="441"/>
        <v>0</v>
      </c>
      <c r="DW60" s="214">
        <f t="shared" si="441"/>
        <v>0</v>
      </c>
      <c r="DZ60" s="650"/>
      <c r="FI60" s="195"/>
      <c r="FJ60" s="195"/>
      <c r="FK60" s="195"/>
      <c r="FL60" s="195"/>
      <c r="FM60" s="195"/>
      <c r="FN60" s="195"/>
      <c r="FO60" s="195"/>
    </row>
    <row r="61" spans="1:171">
      <c r="A61" s="342" t="s">
        <v>112</v>
      </c>
      <c r="B61" s="427" t="str">
        <f>'Portfolio Inputs'!A60</f>
        <v>Pin-Based CFL ≤18W</v>
      </c>
      <c r="C61" s="217">
        <f>IF($C$1=2014,'Portfolio Inputs'!$C60,IF($C$1=2015,'Portfolio Inputs'!$D60,'Portfolio Inputs'!$E60))</f>
        <v>0</v>
      </c>
      <c r="D61" s="504">
        <f>VLOOKUP(B61,Sources!$B$4:$J$104,2,FALSE)</f>
        <v>10</v>
      </c>
      <c r="E61" s="504">
        <f>VLOOKUP(B61,Sources!$B$4:$J$104,3,FALSE)</f>
        <v>0</v>
      </c>
      <c r="G61" s="504">
        <f>IF($C$1=2014,'Portfolio Inputs'!$G60,IF($C$1=2015,'Portfolio Inputs'!$H60,'Portfolio Inputs'!$I60))*EnergyLineLoss</f>
        <v>0</v>
      </c>
      <c r="H61" s="504"/>
      <c r="I61" s="595">
        <f>IF($C$1=2014,'Portfolio Inputs'!$K60,IF($C$1=2015,'Portfolio Inputs'!$L60,'Portfolio Inputs'!$M60))*PeakLineLoss</f>
        <v>0</v>
      </c>
      <c r="J61" s="510"/>
      <c r="L61" s="606">
        <f>IF($C$1=2014,'Portfolio Inputs'!$O60,IF($C$1=2015,'Portfolio Inputs'!$P60,'Portfolio Inputs'!$Q60))</f>
        <v>20</v>
      </c>
      <c r="M61" s="518">
        <f>VLOOKUP($B61,Sources!$B$4:$K$104,10,FALSE)</f>
        <v>0</v>
      </c>
      <c r="N61" s="419">
        <f>IF($C$1=2014,'Portfolio Inputs'!$W60,IF($C$1=2015,'Portfolio Inputs'!$X60,'Portfolio Inputs'!$Y60))</f>
        <v>0</v>
      </c>
      <c r="O61" s="419">
        <f>IF($C$1=2014,'Portfolio Inputs'!$AA60,IF($C$1=2015,'Portfolio Inputs'!$AB60,'Portfolio Inputs'!$AC60))</f>
        <v>0</v>
      </c>
      <c r="Q61" s="438" t="str">
        <f t="shared" si="442"/>
        <v>n/a</v>
      </c>
      <c r="R61" s="439" t="str">
        <f t="shared" si="443"/>
        <v>n/a</v>
      </c>
      <c r="S61" s="439" t="str">
        <f t="shared" si="444"/>
        <v>n/a</v>
      </c>
      <c r="T61" s="439" t="str">
        <f t="shared" si="445"/>
        <v>n/a</v>
      </c>
      <c r="U61" s="439" t="str">
        <f t="shared" si="446"/>
        <v>n/a</v>
      </c>
      <c r="V61" s="439" t="str">
        <f t="shared" si="447"/>
        <v>n/a</v>
      </c>
      <c r="W61" s="439" t="str">
        <f t="shared" si="448"/>
        <v>n/a</v>
      </c>
      <c r="Y61" s="215">
        <f t="shared" si="449"/>
        <v>0</v>
      </c>
      <c r="Z61" s="215">
        <f t="shared" si="450"/>
        <v>0</v>
      </c>
      <c r="AA61" s="215">
        <f t="shared" si="451"/>
        <v>0</v>
      </c>
      <c r="AB61" s="215">
        <f t="shared" si="452"/>
        <v>0</v>
      </c>
      <c r="AC61" s="216">
        <f t="shared" si="453"/>
        <v>0</v>
      </c>
      <c r="AD61" s="216">
        <f t="shared" si="454"/>
        <v>0</v>
      </c>
      <c r="AE61" s="215">
        <f t="shared" si="455"/>
        <v>0</v>
      </c>
      <c r="AG61" s="214">
        <f>IF(AND(($E61+$C$1)&gt;AG$4,AG$4&gt;=$C$1),'General Inputs'!D$9*$H61,IF(AND(($D61+$C$1)&gt;AG$4,AG$4&gt;=$C$1),'General Inputs'!D$9*$G61,0))+IF(AND(($E61+$C$1)&gt;AG$4,AG$4&gt;=$C$1),'General Inputs'!D$10*$J61,IF(AND(($D61+$C$1)&gt;AG$4,AG$4&gt;=$C$1),'General Inputs'!D$10*$I61,0))</f>
        <v>0</v>
      </c>
      <c r="AH61" s="214">
        <f>IF(AND(($E61+$C$1)&gt;AH$4,AH$4&gt;=$C$1),'General Inputs'!E$9*$H61,IF(AND(($D61+$C$1)&gt;AH$4,AH$4&gt;=$C$1),'General Inputs'!E$9*$G61,0))+IF(AND(($E61+$C$1)&gt;AH$4,AH$4&gt;=$C$1),'General Inputs'!E$10*$J61,IF(AND(($D61+$C$1)&gt;AH$4,AH$4&gt;=$C$1),'General Inputs'!E$10*$I61,0))</f>
        <v>0</v>
      </c>
      <c r="AI61" s="214">
        <f>IF(AND(($E61+$C$1)&gt;AI$4,AI$4&gt;=$C$1),'General Inputs'!F$9*$H61,IF(AND(($D61+$C$1)&gt;AI$4,AI$4&gt;=$C$1),'General Inputs'!F$9*$G61,0))+IF(AND(($E61+$C$1)&gt;AI$4,AI$4&gt;=$C$1),'General Inputs'!F$10*$J61,IF(AND(($D61+$C$1)&gt;AI$4,AI$4&gt;=$C$1),'General Inputs'!F$10*$I61,0))</f>
        <v>0</v>
      </c>
      <c r="AJ61" s="214">
        <f>IF(AND(($E61+$C$1)&gt;AJ$4,AJ$4&gt;=$C$1),'General Inputs'!G$9*$H61,IF(AND(($D61+$C$1)&gt;AJ$4,AJ$4&gt;=$C$1),'General Inputs'!G$9*$G61,0))+IF(AND(($E61+$C$1)&gt;AJ$4,AJ$4&gt;=$C$1),'General Inputs'!G$10*$J61,IF(AND(($D61+$C$1)&gt;AJ$4,AJ$4&gt;=$C$1),'General Inputs'!G$10*$I61,0))</f>
        <v>0</v>
      </c>
      <c r="AK61" s="214">
        <f>IF(AND(($E61+$C$1)&gt;AK$4,AK$4&gt;=$C$1),'General Inputs'!H$9*$H61,IF(AND(($D61+$C$1)&gt;AK$4,AK$4&gt;=$C$1),'General Inputs'!H$9*$G61,0))+IF(AND(($E61+$C$1)&gt;AK$4,AK$4&gt;=$C$1),'General Inputs'!H$10*$J61,IF(AND(($D61+$C$1)&gt;AK$4,AK$4&gt;=$C$1),'General Inputs'!H$10*$I61,0))</f>
        <v>0</v>
      </c>
      <c r="AL61" s="214">
        <f>IF(AND(($E61+$C$1)&gt;AL$4,AL$4&gt;=$C$1),'General Inputs'!I$9*$H61,IF(AND(($D61+$C$1)&gt;AL$4,AL$4&gt;=$C$1),'General Inputs'!I$9*$G61,0))+IF(AND(($E61+$C$1)&gt;AL$4,AL$4&gt;=$C$1),'General Inputs'!I$10*$J61,IF(AND(($D61+$C$1)&gt;AL$4,AL$4&gt;=$C$1),'General Inputs'!I$10*$I61,0))</f>
        <v>0</v>
      </c>
      <c r="AM61" s="214">
        <f>IF(AND(($E61+$C$1)&gt;AM$4,AM$4&gt;=$C$1),'General Inputs'!J$9*$H61,IF(AND(($D61+$C$1)&gt;AM$4,AM$4&gt;=$C$1),'General Inputs'!J$9*$G61,0))+IF(AND(($E61+$C$1)&gt;AM$4,AM$4&gt;=$C$1),'General Inputs'!J$10*$J61,IF(AND(($D61+$C$1)&gt;AM$4,AM$4&gt;=$C$1),'General Inputs'!J$10*$I61,0))</f>
        <v>0</v>
      </c>
      <c r="AN61" s="214">
        <f>IF(AND(($E61+$C$1)&gt;AN$4,AN$4&gt;=$C$1),'General Inputs'!K$9*$H61,IF(AND(($D61+$C$1)&gt;AN$4,AN$4&gt;=$C$1),'General Inputs'!K$9*$G61,0))+IF(AND(($E61+$C$1)&gt;AN$4,AN$4&gt;=$C$1),'General Inputs'!K$10*$J61,IF(AND(($D61+$C$1)&gt;AN$4,AN$4&gt;=$C$1),'General Inputs'!K$10*$I61,0))</f>
        <v>0</v>
      </c>
      <c r="AO61" s="214">
        <f>IF(AND(($E61+$C$1)&gt;AO$4,AO$4&gt;=$C$1),'General Inputs'!L$9*$H61,IF(AND(($D61+$C$1)&gt;AO$4,AO$4&gt;=$C$1),'General Inputs'!L$9*$G61,0))+IF(AND(($E61+$C$1)&gt;AO$4,AO$4&gt;=$C$1),'General Inputs'!L$10*$J61,IF(AND(($D61+$C$1)&gt;AO$4,AO$4&gt;=$C$1),'General Inputs'!L$10*$I61,0))</f>
        <v>0</v>
      </c>
      <c r="AP61" s="214">
        <f>IF(AND(($E61+$C$1)&gt;AP$4,AP$4&gt;=$C$1),'General Inputs'!M$9*$H61,IF(AND(($D61+$C$1)&gt;AP$4,AP$4&gt;=$C$1),'General Inputs'!M$9*$G61,0))+IF(AND(($E61+$C$1)&gt;AP$4,AP$4&gt;=$C$1),'General Inputs'!M$10*$J61,IF(AND(($D61+$C$1)&gt;AP$4,AP$4&gt;=$C$1),'General Inputs'!M$10*$I61,0))</f>
        <v>0</v>
      </c>
      <c r="AQ61" s="214">
        <f>IF(AND(($E61+$C$1)&gt;AQ$4,AQ$4&gt;=$C$1),'General Inputs'!N$9*$H61,IF(AND(($D61+$C$1)&gt;AQ$4,AQ$4&gt;=$C$1),'General Inputs'!N$9*$G61,0))+IF(AND(($E61+$C$1)&gt;AQ$4,AQ$4&gt;=$C$1),'General Inputs'!N$10*$J61,IF(AND(($D61+$C$1)&gt;AQ$4,AQ$4&gt;=$C$1),'General Inputs'!N$10*$I61,0))</f>
        <v>0</v>
      </c>
      <c r="AR61" s="214">
        <f>IF(AND(($E61+$C$1)&gt;AR$4,AR$4&gt;=$C$1),'General Inputs'!O$9*$H61,IF(AND(($D61+$C$1)&gt;AR$4,AR$4&gt;=$C$1),'General Inputs'!O$9*$G61,0))+IF(AND(($E61+$C$1)&gt;AR$4,AR$4&gt;=$C$1),'General Inputs'!O$10*$J61,IF(AND(($D61+$C$1)&gt;AR$4,AR$4&gt;=$C$1),'General Inputs'!O$10*$I61,0))</f>
        <v>0</v>
      </c>
      <c r="AS61" s="214">
        <f>IF(AND(($E61+$C$1)&gt;AS$4,AS$4&gt;=$C$1),'General Inputs'!P$9*$H61,IF(AND(($D61+$C$1)&gt;AS$4,AS$4&gt;=$C$1),'General Inputs'!P$9*$G61,0))+IF(AND(($E61+$C$1)&gt;AS$4,AS$4&gt;=$C$1),'General Inputs'!P$10*$J61,IF(AND(($D61+$C$1)&gt;AS$4,AS$4&gt;=$C$1),'General Inputs'!P$10*$I61,0))</f>
        <v>0</v>
      </c>
      <c r="AT61" s="214">
        <f>IF(AND(($E61+$C$1)&gt;AT$4,AT$4&gt;=$C$1),'General Inputs'!Q$9*$H61,IF(AND(($D61+$C$1)&gt;AT$4,AT$4&gt;=$C$1),'General Inputs'!Q$9*$G61,0))+IF(AND(($E61+$C$1)&gt;AT$4,AT$4&gt;=$C$1),'General Inputs'!Q$10*$J61,IF(AND(($D61+$C$1)&gt;AT$4,AT$4&gt;=$C$1),'General Inputs'!Q$10*$I61,0))</f>
        <v>0</v>
      </c>
      <c r="AU61" s="214">
        <f>IF(AND(($E61+$C$1)&gt;AU$4,AU$4&gt;=$C$1),'General Inputs'!R$9*$H61,IF(AND(($D61+$C$1)&gt;AU$4,AU$4&gt;=$C$1),'General Inputs'!R$9*$G61,0))+IF(AND(($E61+$C$1)&gt;AU$4,AU$4&gt;=$C$1),'General Inputs'!R$10*$J61,IF(AND(($D61+$C$1)&gt;AU$4,AU$4&gt;=$C$1),'General Inputs'!R$10*$I61,0))</f>
        <v>0</v>
      </c>
      <c r="AV61" s="214">
        <f>IF(AND(($E61+$C$1)&gt;AV$4,AV$4&gt;=$C$1),'General Inputs'!S$9*$H61,IF(AND(($D61+$C$1)&gt;AV$4,AV$4&gt;=$C$1),'General Inputs'!S$9*$G61,0))+IF(AND(($E61+$C$1)&gt;AV$4,AV$4&gt;=$C$1),'General Inputs'!S$10*$J61,IF(AND(($D61+$C$1)&gt;AV$4,AV$4&gt;=$C$1),'General Inputs'!S$10*$I61,0))</f>
        <v>0</v>
      </c>
      <c r="AW61" s="214">
        <f>IF(AND(($E61+$C$1)&gt;AW$4,AW$4&gt;=$C$1),'General Inputs'!T$9*$H61,IF(AND(($D61+$C$1)&gt;AW$4,AW$4&gt;=$C$1),'General Inputs'!T$9*$G61,0))+IF(AND(($E61+$C$1)&gt;AW$4,AW$4&gt;=$C$1),'General Inputs'!T$10*$J61,IF(AND(($D61+$C$1)&gt;AW$4,AW$4&gt;=$C$1),'General Inputs'!T$10*$I61,0))</f>
        <v>0</v>
      </c>
      <c r="AX61" s="214">
        <f>IF(AND(($E61+$C$1)&gt;AX$4,AX$4&gt;=$C$1),'General Inputs'!U$9*$H61,IF(AND(($D61+$C$1)&gt;AX$4,AX$4&gt;=$C$1),'General Inputs'!U$9*$G61,0))+IF(AND(($E61+$C$1)&gt;AX$4,AX$4&gt;=$C$1),'General Inputs'!U$10*$J61,IF(AND(($D61+$C$1)&gt;AX$4,AX$4&gt;=$C$1),'General Inputs'!U$10*$I61,0))</f>
        <v>0</v>
      </c>
      <c r="AY61" s="214">
        <f>IF(AND(($E61+$C$1)&gt;AY$4,AY$4&gt;=$C$1),'General Inputs'!V$9*$H61,IF(AND(($D61+$C$1)&gt;AY$4,AY$4&gt;=$C$1),'General Inputs'!V$9*$G61,0))+IF(AND(($E61+$C$1)&gt;AY$4,AY$4&gt;=$C$1),'General Inputs'!V$10*$J61,IF(AND(($D61+$C$1)&gt;AY$4,AY$4&gt;=$C$1),'General Inputs'!V$10*$I61,0))</f>
        <v>0</v>
      </c>
      <c r="AZ61" s="214">
        <f>IF(AND(($E61+$C$1)&gt;AZ$4,AZ$4&gt;=$C$1),'General Inputs'!W$9*$H61,IF(AND(($D61+$C$1)&gt;AZ$4,AZ$4&gt;=$C$1),'General Inputs'!W$9*$G61,0))+IF(AND(($E61+$C$1)&gt;AZ$4,AZ$4&gt;=$C$1),'General Inputs'!W$10*$J61,IF(AND(($D61+$C$1)&gt;AZ$4,AZ$4&gt;=$C$1),'General Inputs'!W$10*$I61,0))</f>
        <v>0</v>
      </c>
      <c r="BB61" s="214">
        <f>IF(AND(($E61+$C$1)&gt;BB$4,BB$4&gt;=$C$1),'General Inputs'!D$11*$H61,IF(AND(($D61+$C$1)&gt;BB$4,BB$4&gt;=$C$1),'General Inputs'!D$11*$G61,0))</f>
        <v>0</v>
      </c>
      <c r="BC61" s="214">
        <f>IF(AND(($E61+$C$1)&gt;BC$4,BC$4&gt;=$C$1),'General Inputs'!E$11*$H61,IF(AND(($D61+$C$1)&gt;BC$4,BC$4&gt;=$C$1),'General Inputs'!E$11*$G61,0))</f>
        <v>0</v>
      </c>
      <c r="BD61" s="214">
        <f>IF(AND(($E61+$C$1)&gt;BD$4,BD$4&gt;=$C$1),'General Inputs'!F$11*$H61,IF(AND(($D61+$C$1)&gt;BD$4,BD$4&gt;=$C$1),'General Inputs'!F$11*$G61,0))</f>
        <v>0</v>
      </c>
      <c r="BE61" s="214">
        <f>IF(AND(($E61+$C$1)&gt;BE$4,BE$4&gt;=$C$1),'General Inputs'!G$11*$H61,IF(AND(($D61+$C$1)&gt;BE$4,BE$4&gt;=$C$1),'General Inputs'!G$11*$G61,0))</f>
        <v>0</v>
      </c>
      <c r="BF61" s="214">
        <f>IF(AND(($E61+$C$1)&gt;BF$4,BF$4&gt;=$C$1),'General Inputs'!H$11*$H61,IF(AND(($D61+$C$1)&gt;BF$4,BF$4&gt;=$C$1),'General Inputs'!H$11*$G61,0))</f>
        <v>0</v>
      </c>
      <c r="BG61" s="214">
        <f>IF(AND(($E61+$C$1)&gt;BG$4,BG$4&gt;=$C$1),'General Inputs'!I$11*$H61,IF(AND(($D61+$C$1)&gt;BG$4,BG$4&gt;=$C$1),'General Inputs'!I$11*$G61,0))</f>
        <v>0</v>
      </c>
      <c r="BH61" s="214">
        <f>IF(AND(($E61+$C$1)&gt;BH$4,BH$4&gt;=$C$1),'General Inputs'!J$11*$H61,IF(AND(($D61+$C$1)&gt;BH$4,BH$4&gt;=$C$1),'General Inputs'!J$11*$G61,0))</f>
        <v>0</v>
      </c>
      <c r="BI61" s="214">
        <f>IF(AND(($E61+$C$1)&gt;BI$4,BI$4&gt;=$C$1),'General Inputs'!K$11*$H61,IF(AND(($D61+$C$1)&gt;BI$4,BI$4&gt;=$C$1),'General Inputs'!K$11*$G61,0))</f>
        <v>0</v>
      </c>
      <c r="BJ61" s="214">
        <f>IF(AND(($E61+$C$1)&gt;BJ$4,BJ$4&gt;=$C$1),'General Inputs'!L$11*$H61,IF(AND(($D61+$C$1)&gt;BJ$4,BJ$4&gt;=$C$1),'General Inputs'!L$11*$G61,0))</f>
        <v>0</v>
      </c>
      <c r="BK61" s="214">
        <f>IF(AND(($E61+$C$1)&gt;BK$4,BK$4&gt;=$C$1),'General Inputs'!M$11*$H61,IF(AND(($D61+$C$1)&gt;BK$4,BK$4&gt;=$C$1),'General Inputs'!M$11*$G61,0))</f>
        <v>0</v>
      </c>
      <c r="BL61" s="214">
        <f>IF(AND(($E61+$C$1)&gt;BL$4,BL$4&gt;=$C$1),'General Inputs'!N$11*$H61,IF(AND(($D61+$C$1)&gt;BL$4,BL$4&gt;=$C$1),'General Inputs'!N$11*$G61,0))</f>
        <v>0</v>
      </c>
      <c r="BM61" s="214">
        <f>IF(AND(($E61+$C$1)&gt;BM$4,BM$4&gt;=$C$1),'General Inputs'!O$11*$H61,IF(AND(($D61+$C$1)&gt;BM$4,BM$4&gt;=$C$1),'General Inputs'!O$11*$G61,0))</f>
        <v>0</v>
      </c>
      <c r="BN61" s="214">
        <f>IF(AND(($E61+$C$1)&gt;BN$4,BN$4&gt;=$C$1),'General Inputs'!P$11*$H61,IF(AND(($D61+$C$1)&gt;BN$4,BN$4&gt;=$C$1),'General Inputs'!P$11*$G61,0))</f>
        <v>0</v>
      </c>
      <c r="BO61" s="214">
        <f>IF(AND(($E61+$C$1)&gt;BO$4,BO$4&gt;=$C$1),'General Inputs'!Q$11*$H61,IF(AND(($D61+$C$1)&gt;BO$4,BO$4&gt;=$C$1),'General Inputs'!Q$11*$G61,0))</f>
        <v>0</v>
      </c>
      <c r="BP61" s="214">
        <f>IF(AND(($E61+$C$1)&gt;BP$4,BP$4&gt;=$C$1),'General Inputs'!R$11*$H61,IF(AND(($D61+$C$1)&gt;BP$4,BP$4&gt;=$C$1),'General Inputs'!R$11*$G61,0))</f>
        <v>0</v>
      </c>
      <c r="BQ61" s="214">
        <f>IF(AND(($E61+$C$1)&gt;BQ$4,BQ$4&gt;=$C$1),'General Inputs'!S$11*$H61,IF(AND(($D61+$C$1)&gt;BQ$4,BQ$4&gt;=$C$1),'General Inputs'!S$11*$G61,0))</f>
        <v>0</v>
      </c>
      <c r="BR61" s="214">
        <f>IF(AND(($E61+$C$1)&gt;BR$4,BR$4&gt;=$C$1),'General Inputs'!T$11*$H61,IF(AND(($D61+$C$1)&gt;BR$4,BR$4&gt;=$C$1),'General Inputs'!T$11*$G61,0))</f>
        <v>0</v>
      </c>
      <c r="BS61" s="214">
        <f>IF(AND(($E61+$C$1)&gt;BS$4,BS$4&gt;=$C$1),'General Inputs'!U$11*$H61,IF(AND(($D61+$C$1)&gt;BS$4,BS$4&gt;=$C$1),'General Inputs'!U$11*$G61,0))</f>
        <v>0</v>
      </c>
      <c r="BT61" s="214">
        <f>IF(AND(($E61+$C$1)&gt;BT$4,BT$4&gt;=$C$1),'General Inputs'!V$11*$H61,IF(AND(($D61+$C$1)&gt;BT$4,BT$4&gt;=$C$1),'General Inputs'!V$11*$G61,0))</f>
        <v>0</v>
      </c>
      <c r="BU61" s="214">
        <f>IF(AND(($E61+$C$1)&gt;BU$4,BU$4&gt;=$C$1),'General Inputs'!W$11*$H61,IF(AND(($D61+$C$1)&gt;BU$4,BU$4&gt;=$C$1),'General Inputs'!W$11*$G61,0))</f>
        <v>0</v>
      </c>
      <c r="BW61" s="214">
        <f>IF(AND(($E61+$C$1)&gt;BW$4,BW$4&gt;=$C$1),$H61,IF(AND(($D61+$C$1)&gt;BW$4,BW$4&gt;=$C$1),$G61,0))*IF($A61="Residential",'General Inputs'!D$14,'General Inputs'!D$19)</f>
        <v>0</v>
      </c>
      <c r="BX61" s="214">
        <f>IF(AND(($E61+$C$1)&gt;BX$4,BX$4&gt;=$C$1),$H61,IF(AND(($D61+$C$1)&gt;BX$4,BX$4&gt;=$C$1),$G61,0))*IF($A61="Residential",'General Inputs'!E$14,'General Inputs'!E$19)</f>
        <v>0</v>
      </c>
      <c r="BY61" s="214">
        <f>IF(AND(($E61+$C$1)&gt;BY$4,BY$4&gt;=$C$1),$H61,IF(AND(($D61+$C$1)&gt;BY$4,BY$4&gt;=$C$1),$G61,0))*IF($A61="Residential",'General Inputs'!F$14,'General Inputs'!F$19)</f>
        <v>0</v>
      </c>
      <c r="BZ61" s="214">
        <f>IF(AND(($E61+$C$1)&gt;BZ$4,BZ$4&gt;=$C$1),$H61,IF(AND(($D61+$C$1)&gt;BZ$4,BZ$4&gt;=$C$1),$G61,0))*IF($A61="Residential",'General Inputs'!G$14,'General Inputs'!G$19)</f>
        <v>0</v>
      </c>
      <c r="CA61" s="214">
        <f>IF(AND(($E61+$C$1)&gt;CA$4,CA$4&gt;=$C$1),$H61,IF(AND(($D61+$C$1)&gt;CA$4,CA$4&gt;=$C$1),$G61,0))*IF($A61="Residential",'General Inputs'!H$14,'General Inputs'!H$19)</f>
        <v>0</v>
      </c>
      <c r="CB61" s="214">
        <f>IF(AND(($E61+$C$1)&gt;CB$4,CB$4&gt;=$C$1),$H61,IF(AND(($D61+$C$1)&gt;CB$4,CB$4&gt;=$C$1),$G61,0))*IF($A61="Residential",'General Inputs'!I$14,'General Inputs'!I$19)</f>
        <v>0</v>
      </c>
      <c r="CC61" s="214">
        <f>IF(AND(($E61+$C$1)&gt;CC$4,CC$4&gt;=$C$1),$H61,IF(AND(($D61+$C$1)&gt;CC$4,CC$4&gt;=$C$1),$G61,0))*IF($A61="Residential",'General Inputs'!J$14,'General Inputs'!J$19)</f>
        <v>0</v>
      </c>
      <c r="CD61" s="214">
        <f>IF(AND(($E61+$C$1)&gt;CD$4,CD$4&gt;=$C$1),$H61,IF(AND(($D61+$C$1)&gt;CD$4,CD$4&gt;=$C$1),$G61,0))*IF($A61="Residential",'General Inputs'!K$14,'General Inputs'!K$19)</f>
        <v>0</v>
      </c>
      <c r="CE61" s="214">
        <f>IF(AND(($E61+$C$1)&gt;CE$4,CE$4&gt;=$C$1),$H61,IF(AND(($D61+$C$1)&gt;CE$4,CE$4&gt;=$C$1),$G61,0))*IF($A61="Residential",'General Inputs'!L$14,'General Inputs'!L$19)</f>
        <v>0</v>
      </c>
      <c r="CF61" s="214">
        <f>IF(AND(($E61+$C$1)&gt;CF$4,CF$4&gt;=$C$1),$H61,IF(AND(($D61+$C$1)&gt;CF$4,CF$4&gt;=$C$1),$G61,0))*IF($A61="Residential",'General Inputs'!M$14,'General Inputs'!M$19)</f>
        <v>0</v>
      </c>
      <c r="CG61" s="214">
        <f>IF(AND(($E61+$C$1)&gt;CG$4,CG$4&gt;=$C$1),$H61,IF(AND(($D61+$C$1)&gt;CG$4,CG$4&gt;=$C$1),$G61,0))*IF($A61="Residential",'General Inputs'!N$14,'General Inputs'!N$19)</f>
        <v>0</v>
      </c>
      <c r="CH61" s="214">
        <f>IF(AND(($E61+$C$1)&gt;CH$4,CH$4&gt;=$C$1),$H61,IF(AND(($D61+$C$1)&gt;CH$4,CH$4&gt;=$C$1),$G61,0))*IF($A61="Residential",'General Inputs'!O$14,'General Inputs'!O$19)</f>
        <v>0</v>
      </c>
      <c r="CI61" s="214">
        <f>IF(AND(($E61+$C$1)&gt;CI$4,CI$4&gt;=$C$1),$H61,IF(AND(($D61+$C$1)&gt;CI$4,CI$4&gt;=$C$1),$G61,0))*IF($A61="Residential",'General Inputs'!P$14,'General Inputs'!P$19)</f>
        <v>0</v>
      </c>
      <c r="CJ61" s="214">
        <f>IF(AND(($E61+$C$1)&gt;CJ$4,CJ$4&gt;=$C$1),$H61,IF(AND(($D61+$C$1)&gt;CJ$4,CJ$4&gt;=$C$1),$G61,0))*IF($A61="Residential",'General Inputs'!Q$14,'General Inputs'!Q$19)</f>
        <v>0</v>
      </c>
      <c r="CK61" s="214">
        <f>IF(AND(($E61+$C$1)&gt;CK$4,CK$4&gt;=$C$1),$H61,IF(AND(($D61+$C$1)&gt;CK$4,CK$4&gt;=$C$1),$G61,0))*IF($A61="Residential",'General Inputs'!R$14,'General Inputs'!R$19)</f>
        <v>0</v>
      </c>
      <c r="CL61" s="214">
        <f>IF(AND(($E61+$C$1)&gt;CL$4,CL$4&gt;=$C$1),$H61,IF(AND(($D61+$C$1)&gt;CL$4,CL$4&gt;=$C$1),$G61,0))*IF($A61="Residential",'General Inputs'!S$14,'General Inputs'!S$19)</f>
        <v>0</v>
      </c>
      <c r="CM61" s="214">
        <f>IF(AND(($E61+$C$1)&gt;CM$4,CM$4&gt;=$C$1),$H61,IF(AND(($D61+$C$1)&gt;CM$4,CM$4&gt;=$C$1),$G61,0))*IF($A61="Residential",'General Inputs'!T$14,'General Inputs'!T$19)</f>
        <v>0</v>
      </c>
      <c r="CN61" s="214">
        <f>IF(AND(($E61+$C$1)&gt;CN$4,CN$4&gt;=$C$1),$H61,IF(AND(($D61+$C$1)&gt;CN$4,CN$4&gt;=$C$1),$G61,0))*IF($A61="Residential",'General Inputs'!U$14,'General Inputs'!U$19)</f>
        <v>0</v>
      </c>
      <c r="CO61" s="214">
        <f>IF(AND(($E61+$C$1)&gt;CO$4,CO$4&gt;=$C$1),$H61,IF(AND(($D61+$C$1)&gt;CO$4,CO$4&gt;=$C$1),$G61,0))*IF($A61="Residential",'General Inputs'!V$14,'General Inputs'!V$19)</f>
        <v>0</v>
      </c>
      <c r="CP61" s="214">
        <f>IF(AND(($E61+$C$1)&gt;CP$4,CP$4&gt;=$C$1),$H61,IF(AND(($D61+$C$1)&gt;CP$4,CP$4&gt;=$C$1),$G61,0))*IF($A61="Residential",'General Inputs'!W$14,'General Inputs'!W$19)</f>
        <v>0</v>
      </c>
      <c r="CR61" s="214">
        <f>IF(AND(($E61+$C$1)&gt;CR$4,CR$4&gt;=$C$1),$H61,IF(AND(($D61+$C$1)&gt;CR$4,CR$4&gt;=$C$1),$G61,0))*IF($A61="Residential",'General Inputs'!D$15,'General Inputs'!D$19)</f>
        <v>0</v>
      </c>
      <c r="CS61" s="214">
        <f>IF(AND(($E61+$C$1)&gt;CS$4,CS$4&gt;=$C$1),$H61,IF(AND(($D61+$C$1)&gt;CS$4,CS$4&gt;=$C$1),$G61,0))*IF($A61="Residential",'General Inputs'!E$15,'General Inputs'!E$19)</f>
        <v>0</v>
      </c>
      <c r="CT61" s="214">
        <f>IF(AND(($E61+$C$1)&gt;CT$4,CT$4&gt;=$C$1),$H61,IF(AND(($D61+$C$1)&gt;CT$4,CT$4&gt;=$C$1),$G61,0))*IF($A61="Residential",'General Inputs'!F$15,'General Inputs'!F$19)</f>
        <v>0</v>
      </c>
      <c r="CU61" s="214">
        <f>IF(AND(($E61+$C$1)&gt;CU$4,CU$4&gt;=$C$1),$H61,IF(AND(($D61+$C$1)&gt;CU$4,CU$4&gt;=$C$1),$G61,0))*IF($A61="Residential",'General Inputs'!G$15,'General Inputs'!G$19)</f>
        <v>0</v>
      </c>
      <c r="CV61" s="214">
        <f>IF(AND(($E61+$C$1)&gt;CV$4,CV$4&gt;=$C$1),$H61,IF(AND(($D61+$C$1)&gt;CV$4,CV$4&gt;=$C$1),$G61,0))*IF($A61="Residential",'General Inputs'!H$15,'General Inputs'!H$19)</f>
        <v>0</v>
      </c>
      <c r="CW61" s="214">
        <f>IF(AND(($E61+$C$1)&gt;CW$4,CW$4&gt;=$C$1),$H61,IF(AND(($D61+$C$1)&gt;CW$4,CW$4&gt;=$C$1),$G61,0))*IF($A61="Residential",'General Inputs'!I$15,'General Inputs'!I$19)</f>
        <v>0</v>
      </c>
      <c r="CX61" s="214">
        <f>IF(AND(($E61+$C$1)&gt;CX$4,CX$4&gt;=$C$1),$H61,IF(AND(($D61+$C$1)&gt;CX$4,CX$4&gt;=$C$1),$G61,0))*IF($A61="Residential",'General Inputs'!J$15,'General Inputs'!J$19)</f>
        <v>0</v>
      </c>
      <c r="CY61" s="214">
        <f>IF(AND(($E61+$C$1)&gt;CY$4,CY$4&gt;=$C$1),$H61,IF(AND(($D61+$C$1)&gt;CY$4,CY$4&gt;=$C$1),$G61,0))*IF($A61="Residential",'General Inputs'!K$15,'General Inputs'!K$19)</f>
        <v>0</v>
      </c>
      <c r="CZ61" s="214">
        <f>IF(AND(($E61+$C$1)&gt;CZ$4,CZ$4&gt;=$C$1),$H61,IF(AND(($D61+$C$1)&gt;CZ$4,CZ$4&gt;=$C$1),$G61,0))*IF($A61="Residential",'General Inputs'!L$15,'General Inputs'!L$19)</f>
        <v>0</v>
      </c>
      <c r="DA61" s="214">
        <f>IF(AND(($E61+$C$1)&gt;DA$4,DA$4&gt;=$C$1),$H61,IF(AND(($D61+$C$1)&gt;DA$4,DA$4&gt;=$C$1),$G61,0))*IF($A61="Residential",'General Inputs'!M$15,'General Inputs'!M$19)</f>
        <v>0</v>
      </c>
      <c r="DB61" s="214">
        <f>IF(AND(($E61+$C$1)&gt;DB$4,DB$4&gt;=$C$1),$H61,IF(AND(($D61+$C$1)&gt;DB$4,DB$4&gt;=$C$1),$G61,0))*IF($A61="Residential",'General Inputs'!N$15,'General Inputs'!N$19)</f>
        <v>0</v>
      </c>
      <c r="DC61" s="214">
        <f>IF(AND(($E61+$C$1)&gt;DC$4,DC$4&gt;=$C$1),$H61,IF(AND(($D61+$C$1)&gt;DC$4,DC$4&gt;=$C$1),$G61,0))*IF($A61="Residential",'General Inputs'!O$15,'General Inputs'!O$19)</f>
        <v>0</v>
      </c>
      <c r="DD61" s="214">
        <f>IF(AND(($E61+$C$1)&gt;DD$4,DD$4&gt;=$C$1),$H61,IF(AND(($D61+$C$1)&gt;DD$4,DD$4&gt;=$C$1),$G61,0))*IF($A61="Residential",'General Inputs'!P$15,'General Inputs'!P$19)</f>
        <v>0</v>
      </c>
      <c r="DE61" s="214">
        <f>IF(AND(($E61+$C$1)&gt;DE$4,DE$4&gt;=$C$1),$H61,IF(AND(($D61+$C$1)&gt;DE$4,DE$4&gt;=$C$1),$G61,0))*IF($A61="Residential",'General Inputs'!Q$15,'General Inputs'!Q$19)</f>
        <v>0</v>
      </c>
      <c r="DF61" s="214">
        <f>IF(AND(($E61+$C$1)&gt;DF$4,DF$4&gt;=$C$1),$H61,IF(AND(($D61+$C$1)&gt;DF$4,DF$4&gt;=$C$1),$G61,0))*IF($A61="Residential",'General Inputs'!R$15,'General Inputs'!R$19)</f>
        <v>0</v>
      </c>
      <c r="DG61" s="214">
        <f>IF(AND(($E61+$C$1)&gt;DG$4,DG$4&gt;=$C$1),$H61,IF(AND(($D61+$C$1)&gt;DG$4,DG$4&gt;=$C$1),$G61,0))*IF($A61="Residential",'General Inputs'!S$15,'General Inputs'!S$19)</f>
        <v>0</v>
      </c>
      <c r="DH61" s="214">
        <f>IF(AND(($E61+$C$1)&gt;DH$4,DH$4&gt;=$C$1),$H61,IF(AND(($D61+$C$1)&gt;DH$4,DH$4&gt;=$C$1),$G61,0))*IF($A61="Residential",'General Inputs'!T$15,'General Inputs'!T$19)</f>
        <v>0</v>
      </c>
      <c r="DI61" s="214">
        <f>IF(AND(($E61+$C$1)&gt;DI$4,DI$4&gt;=$C$1),$H61,IF(AND(($D61+$C$1)&gt;DI$4,DI$4&gt;=$C$1),$G61,0))*IF($A61="Residential",'General Inputs'!U$15,'General Inputs'!U$19)</f>
        <v>0</v>
      </c>
      <c r="DJ61" s="214">
        <f>IF(AND(($E61+$C$1)&gt;DJ$4,DJ$4&gt;=$C$1),$H61,IF(AND(($D61+$C$1)&gt;DJ$4,DJ$4&gt;=$C$1),$G61,0))*IF($A61="Residential",'General Inputs'!V$15,'General Inputs'!V$19)</f>
        <v>0</v>
      </c>
      <c r="DK61" s="214">
        <f>IF(AND(($E61+$C$1)&gt;DK$4,DK$4&gt;=$C$1),$H61,IF(AND(($D61+$C$1)&gt;DK$4,DK$4&gt;=$C$1),$G61,0))*IF($A61="Residential",'General Inputs'!W$15,'General Inputs'!W$19)</f>
        <v>0</v>
      </c>
      <c r="DM61" s="214">
        <f t="shared" si="441"/>
        <v>0</v>
      </c>
      <c r="DN61" s="214">
        <f t="shared" si="441"/>
        <v>0</v>
      </c>
      <c r="DO61" s="214">
        <f t="shared" si="441"/>
        <v>0</v>
      </c>
      <c r="DP61" s="214">
        <f t="shared" si="441"/>
        <v>0</v>
      </c>
      <c r="DQ61" s="214">
        <f t="shared" si="441"/>
        <v>0</v>
      </c>
      <c r="DR61" s="214">
        <f t="shared" si="441"/>
        <v>0</v>
      </c>
      <c r="DS61" s="214">
        <f t="shared" si="441"/>
        <v>0</v>
      </c>
      <c r="DT61" s="214">
        <f t="shared" si="441"/>
        <v>0</v>
      </c>
      <c r="DU61" s="214">
        <f t="shared" si="441"/>
        <v>0</v>
      </c>
      <c r="DV61" s="214">
        <f t="shared" si="441"/>
        <v>0</v>
      </c>
      <c r="DW61" s="214">
        <f t="shared" si="441"/>
        <v>0</v>
      </c>
      <c r="DZ61" s="650"/>
      <c r="FI61" s="195"/>
      <c r="FJ61" s="195"/>
      <c r="FK61" s="195"/>
      <c r="FL61" s="195"/>
      <c r="FM61" s="195"/>
      <c r="FN61" s="195"/>
      <c r="FO61" s="195"/>
    </row>
    <row r="62" spans="1:171">
      <c r="A62" s="342" t="s">
        <v>112</v>
      </c>
      <c r="B62" s="427" t="str">
        <f>'Portfolio Inputs'!A61</f>
        <v>Pin-Based CFL 19W or 32W</v>
      </c>
      <c r="C62" s="217">
        <f>IF($C$1=2014,'Portfolio Inputs'!$C61,IF($C$1=2015,'Portfolio Inputs'!$D61,'Portfolio Inputs'!$E61))</f>
        <v>0</v>
      </c>
      <c r="D62" s="504">
        <f>VLOOKUP(B62,Sources!$B$4:$J$104,2,FALSE)</f>
        <v>10</v>
      </c>
      <c r="E62" s="504">
        <f>VLOOKUP(B62,Sources!$B$4:$J$104,3,FALSE)</f>
        <v>0</v>
      </c>
      <c r="G62" s="504">
        <f>IF($C$1=2014,'Portfolio Inputs'!$G61,IF($C$1=2015,'Portfolio Inputs'!$H61,'Portfolio Inputs'!$I61))*EnergyLineLoss</f>
        <v>0</v>
      </c>
      <c r="H62" s="504"/>
      <c r="I62" s="595">
        <f>IF($C$1=2014,'Portfolio Inputs'!$K61,IF($C$1=2015,'Portfolio Inputs'!$L61,'Portfolio Inputs'!$M61))*PeakLineLoss</f>
        <v>0</v>
      </c>
      <c r="J62" s="510"/>
      <c r="L62" s="606">
        <f>IF($C$1=2014,'Portfolio Inputs'!$O61,IF($C$1=2015,'Portfolio Inputs'!$P61,'Portfolio Inputs'!$Q61))</f>
        <v>40</v>
      </c>
      <c r="M62" s="518">
        <f>VLOOKUP($B62,Sources!$B$4:$K$104,10,FALSE)</f>
        <v>0</v>
      </c>
      <c r="N62" s="419">
        <f>IF($C$1=2014,'Portfolio Inputs'!$W61,IF($C$1=2015,'Portfolio Inputs'!$X61,'Portfolio Inputs'!$Y61))</f>
        <v>0</v>
      </c>
      <c r="O62" s="419">
        <f>IF($C$1=2014,'Portfolio Inputs'!$AA61,IF($C$1=2015,'Portfolio Inputs'!$AB61,'Portfolio Inputs'!$AC61))</f>
        <v>0</v>
      </c>
      <c r="Q62" s="438" t="str">
        <f t="shared" si="442"/>
        <v>n/a</v>
      </c>
      <c r="R62" s="439" t="str">
        <f t="shared" si="443"/>
        <v>n/a</v>
      </c>
      <c r="S62" s="439" t="str">
        <f t="shared" si="444"/>
        <v>n/a</v>
      </c>
      <c r="T62" s="439" t="str">
        <f t="shared" si="445"/>
        <v>n/a</v>
      </c>
      <c r="U62" s="439" t="str">
        <f t="shared" si="446"/>
        <v>n/a</v>
      </c>
      <c r="V62" s="439" t="str">
        <f t="shared" si="447"/>
        <v>n/a</v>
      </c>
      <c r="W62" s="439" t="str">
        <f t="shared" si="448"/>
        <v>n/a</v>
      </c>
      <c r="Y62" s="215">
        <f t="shared" si="449"/>
        <v>0</v>
      </c>
      <c r="Z62" s="215">
        <f t="shared" si="450"/>
        <v>0</v>
      </c>
      <c r="AA62" s="215">
        <f t="shared" si="451"/>
        <v>0</v>
      </c>
      <c r="AB62" s="215">
        <f t="shared" si="452"/>
        <v>0</v>
      </c>
      <c r="AC62" s="216">
        <f t="shared" si="453"/>
        <v>0</v>
      </c>
      <c r="AD62" s="216">
        <f t="shared" si="454"/>
        <v>0</v>
      </c>
      <c r="AE62" s="215">
        <f t="shared" si="455"/>
        <v>0</v>
      </c>
      <c r="AG62" s="214">
        <f>IF(AND(($E62+$C$1)&gt;AG$4,AG$4&gt;=$C$1),'General Inputs'!D$9*$H62,IF(AND(($D62+$C$1)&gt;AG$4,AG$4&gt;=$C$1),'General Inputs'!D$9*$G62,0))+IF(AND(($E62+$C$1)&gt;AG$4,AG$4&gt;=$C$1),'General Inputs'!D$10*$J62,IF(AND(($D62+$C$1)&gt;AG$4,AG$4&gt;=$C$1),'General Inputs'!D$10*$I62,0))</f>
        <v>0</v>
      </c>
      <c r="AH62" s="214">
        <f>IF(AND(($E62+$C$1)&gt;AH$4,AH$4&gt;=$C$1),'General Inputs'!E$9*$H62,IF(AND(($D62+$C$1)&gt;AH$4,AH$4&gt;=$C$1),'General Inputs'!E$9*$G62,0))+IF(AND(($E62+$C$1)&gt;AH$4,AH$4&gt;=$C$1),'General Inputs'!E$10*$J62,IF(AND(($D62+$C$1)&gt;AH$4,AH$4&gt;=$C$1),'General Inputs'!E$10*$I62,0))</f>
        <v>0</v>
      </c>
      <c r="AI62" s="214">
        <f>IF(AND(($E62+$C$1)&gt;AI$4,AI$4&gt;=$C$1),'General Inputs'!F$9*$H62,IF(AND(($D62+$C$1)&gt;AI$4,AI$4&gt;=$C$1),'General Inputs'!F$9*$G62,0))+IF(AND(($E62+$C$1)&gt;AI$4,AI$4&gt;=$C$1),'General Inputs'!F$10*$J62,IF(AND(($D62+$C$1)&gt;AI$4,AI$4&gt;=$C$1),'General Inputs'!F$10*$I62,0))</f>
        <v>0</v>
      </c>
      <c r="AJ62" s="214">
        <f>IF(AND(($E62+$C$1)&gt;AJ$4,AJ$4&gt;=$C$1),'General Inputs'!G$9*$H62,IF(AND(($D62+$C$1)&gt;AJ$4,AJ$4&gt;=$C$1),'General Inputs'!G$9*$G62,0))+IF(AND(($E62+$C$1)&gt;AJ$4,AJ$4&gt;=$C$1),'General Inputs'!G$10*$J62,IF(AND(($D62+$C$1)&gt;AJ$4,AJ$4&gt;=$C$1),'General Inputs'!G$10*$I62,0))</f>
        <v>0</v>
      </c>
      <c r="AK62" s="214">
        <f>IF(AND(($E62+$C$1)&gt;AK$4,AK$4&gt;=$C$1),'General Inputs'!H$9*$H62,IF(AND(($D62+$C$1)&gt;AK$4,AK$4&gt;=$C$1),'General Inputs'!H$9*$G62,0))+IF(AND(($E62+$C$1)&gt;AK$4,AK$4&gt;=$C$1),'General Inputs'!H$10*$J62,IF(AND(($D62+$C$1)&gt;AK$4,AK$4&gt;=$C$1),'General Inputs'!H$10*$I62,0))</f>
        <v>0</v>
      </c>
      <c r="AL62" s="214">
        <f>IF(AND(($E62+$C$1)&gt;AL$4,AL$4&gt;=$C$1),'General Inputs'!I$9*$H62,IF(AND(($D62+$C$1)&gt;AL$4,AL$4&gt;=$C$1),'General Inputs'!I$9*$G62,0))+IF(AND(($E62+$C$1)&gt;AL$4,AL$4&gt;=$C$1),'General Inputs'!I$10*$J62,IF(AND(($D62+$C$1)&gt;AL$4,AL$4&gt;=$C$1),'General Inputs'!I$10*$I62,0))</f>
        <v>0</v>
      </c>
      <c r="AM62" s="214">
        <f>IF(AND(($E62+$C$1)&gt;AM$4,AM$4&gt;=$C$1),'General Inputs'!J$9*$H62,IF(AND(($D62+$C$1)&gt;AM$4,AM$4&gt;=$C$1),'General Inputs'!J$9*$G62,0))+IF(AND(($E62+$C$1)&gt;AM$4,AM$4&gt;=$C$1),'General Inputs'!J$10*$J62,IF(AND(($D62+$C$1)&gt;AM$4,AM$4&gt;=$C$1),'General Inputs'!J$10*$I62,0))</f>
        <v>0</v>
      </c>
      <c r="AN62" s="214">
        <f>IF(AND(($E62+$C$1)&gt;AN$4,AN$4&gt;=$C$1),'General Inputs'!K$9*$H62,IF(AND(($D62+$C$1)&gt;AN$4,AN$4&gt;=$C$1),'General Inputs'!K$9*$G62,0))+IF(AND(($E62+$C$1)&gt;AN$4,AN$4&gt;=$C$1),'General Inputs'!K$10*$J62,IF(AND(($D62+$C$1)&gt;AN$4,AN$4&gt;=$C$1),'General Inputs'!K$10*$I62,0))</f>
        <v>0</v>
      </c>
      <c r="AO62" s="214">
        <f>IF(AND(($E62+$C$1)&gt;AO$4,AO$4&gt;=$C$1),'General Inputs'!L$9*$H62,IF(AND(($D62+$C$1)&gt;AO$4,AO$4&gt;=$C$1),'General Inputs'!L$9*$G62,0))+IF(AND(($E62+$C$1)&gt;AO$4,AO$4&gt;=$C$1),'General Inputs'!L$10*$J62,IF(AND(($D62+$C$1)&gt;AO$4,AO$4&gt;=$C$1),'General Inputs'!L$10*$I62,0))</f>
        <v>0</v>
      </c>
      <c r="AP62" s="214">
        <f>IF(AND(($E62+$C$1)&gt;AP$4,AP$4&gt;=$C$1),'General Inputs'!M$9*$H62,IF(AND(($D62+$C$1)&gt;AP$4,AP$4&gt;=$C$1),'General Inputs'!M$9*$G62,0))+IF(AND(($E62+$C$1)&gt;AP$4,AP$4&gt;=$C$1),'General Inputs'!M$10*$J62,IF(AND(($D62+$C$1)&gt;AP$4,AP$4&gt;=$C$1),'General Inputs'!M$10*$I62,0))</f>
        <v>0</v>
      </c>
      <c r="AQ62" s="214">
        <f>IF(AND(($E62+$C$1)&gt;AQ$4,AQ$4&gt;=$C$1),'General Inputs'!N$9*$H62,IF(AND(($D62+$C$1)&gt;AQ$4,AQ$4&gt;=$C$1),'General Inputs'!N$9*$G62,0))+IF(AND(($E62+$C$1)&gt;AQ$4,AQ$4&gt;=$C$1),'General Inputs'!N$10*$J62,IF(AND(($D62+$C$1)&gt;AQ$4,AQ$4&gt;=$C$1),'General Inputs'!N$10*$I62,0))</f>
        <v>0</v>
      </c>
      <c r="AR62" s="214">
        <f>IF(AND(($E62+$C$1)&gt;AR$4,AR$4&gt;=$C$1),'General Inputs'!O$9*$H62,IF(AND(($D62+$C$1)&gt;AR$4,AR$4&gt;=$C$1),'General Inputs'!O$9*$G62,0))+IF(AND(($E62+$C$1)&gt;AR$4,AR$4&gt;=$C$1),'General Inputs'!O$10*$J62,IF(AND(($D62+$C$1)&gt;AR$4,AR$4&gt;=$C$1),'General Inputs'!O$10*$I62,0))</f>
        <v>0</v>
      </c>
      <c r="AS62" s="214">
        <f>IF(AND(($E62+$C$1)&gt;AS$4,AS$4&gt;=$C$1),'General Inputs'!P$9*$H62,IF(AND(($D62+$C$1)&gt;AS$4,AS$4&gt;=$C$1),'General Inputs'!P$9*$G62,0))+IF(AND(($E62+$C$1)&gt;AS$4,AS$4&gt;=$C$1),'General Inputs'!P$10*$J62,IF(AND(($D62+$C$1)&gt;AS$4,AS$4&gt;=$C$1),'General Inputs'!P$10*$I62,0))</f>
        <v>0</v>
      </c>
      <c r="AT62" s="214">
        <f>IF(AND(($E62+$C$1)&gt;AT$4,AT$4&gt;=$C$1),'General Inputs'!Q$9*$H62,IF(AND(($D62+$C$1)&gt;AT$4,AT$4&gt;=$C$1),'General Inputs'!Q$9*$G62,0))+IF(AND(($E62+$C$1)&gt;AT$4,AT$4&gt;=$C$1),'General Inputs'!Q$10*$J62,IF(AND(($D62+$C$1)&gt;AT$4,AT$4&gt;=$C$1),'General Inputs'!Q$10*$I62,0))</f>
        <v>0</v>
      </c>
      <c r="AU62" s="214">
        <f>IF(AND(($E62+$C$1)&gt;AU$4,AU$4&gt;=$C$1),'General Inputs'!R$9*$H62,IF(AND(($D62+$C$1)&gt;AU$4,AU$4&gt;=$C$1),'General Inputs'!R$9*$G62,0))+IF(AND(($E62+$C$1)&gt;AU$4,AU$4&gt;=$C$1),'General Inputs'!R$10*$J62,IF(AND(($D62+$C$1)&gt;AU$4,AU$4&gt;=$C$1),'General Inputs'!R$10*$I62,0))</f>
        <v>0</v>
      </c>
      <c r="AV62" s="214">
        <f>IF(AND(($E62+$C$1)&gt;AV$4,AV$4&gt;=$C$1),'General Inputs'!S$9*$H62,IF(AND(($D62+$C$1)&gt;AV$4,AV$4&gt;=$C$1),'General Inputs'!S$9*$G62,0))+IF(AND(($E62+$C$1)&gt;AV$4,AV$4&gt;=$C$1),'General Inputs'!S$10*$J62,IF(AND(($D62+$C$1)&gt;AV$4,AV$4&gt;=$C$1),'General Inputs'!S$10*$I62,0))</f>
        <v>0</v>
      </c>
      <c r="AW62" s="214">
        <f>IF(AND(($E62+$C$1)&gt;AW$4,AW$4&gt;=$C$1),'General Inputs'!T$9*$H62,IF(AND(($D62+$C$1)&gt;AW$4,AW$4&gt;=$C$1),'General Inputs'!T$9*$G62,0))+IF(AND(($E62+$C$1)&gt;AW$4,AW$4&gt;=$C$1),'General Inputs'!T$10*$J62,IF(AND(($D62+$C$1)&gt;AW$4,AW$4&gt;=$C$1),'General Inputs'!T$10*$I62,0))</f>
        <v>0</v>
      </c>
      <c r="AX62" s="214">
        <f>IF(AND(($E62+$C$1)&gt;AX$4,AX$4&gt;=$C$1),'General Inputs'!U$9*$H62,IF(AND(($D62+$C$1)&gt;AX$4,AX$4&gt;=$C$1),'General Inputs'!U$9*$G62,0))+IF(AND(($E62+$C$1)&gt;AX$4,AX$4&gt;=$C$1),'General Inputs'!U$10*$J62,IF(AND(($D62+$C$1)&gt;AX$4,AX$4&gt;=$C$1),'General Inputs'!U$10*$I62,0))</f>
        <v>0</v>
      </c>
      <c r="AY62" s="214">
        <f>IF(AND(($E62+$C$1)&gt;AY$4,AY$4&gt;=$C$1),'General Inputs'!V$9*$H62,IF(AND(($D62+$C$1)&gt;AY$4,AY$4&gt;=$C$1),'General Inputs'!V$9*$G62,0))+IF(AND(($E62+$C$1)&gt;AY$4,AY$4&gt;=$C$1),'General Inputs'!V$10*$J62,IF(AND(($D62+$C$1)&gt;AY$4,AY$4&gt;=$C$1),'General Inputs'!V$10*$I62,0))</f>
        <v>0</v>
      </c>
      <c r="AZ62" s="214">
        <f>IF(AND(($E62+$C$1)&gt;AZ$4,AZ$4&gt;=$C$1),'General Inputs'!W$9*$H62,IF(AND(($D62+$C$1)&gt;AZ$4,AZ$4&gt;=$C$1),'General Inputs'!W$9*$G62,0))+IF(AND(($E62+$C$1)&gt;AZ$4,AZ$4&gt;=$C$1),'General Inputs'!W$10*$J62,IF(AND(($D62+$C$1)&gt;AZ$4,AZ$4&gt;=$C$1),'General Inputs'!W$10*$I62,0))</f>
        <v>0</v>
      </c>
      <c r="BB62" s="214">
        <f>IF(AND(($E62+$C$1)&gt;BB$4,BB$4&gt;=$C$1),'General Inputs'!D$11*$H62,IF(AND(($D62+$C$1)&gt;BB$4,BB$4&gt;=$C$1),'General Inputs'!D$11*$G62,0))</f>
        <v>0</v>
      </c>
      <c r="BC62" s="214">
        <f>IF(AND(($E62+$C$1)&gt;BC$4,BC$4&gt;=$C$1),'General Inputs'!E$11*$H62,IF(AND(($D62+$C$1)&gt;BC$4,BC$4&gt;=$C$1),'General Inputs'!E$11*$G62,0))</f>
        <v>0</v>
      </c>
      <c r="BD62" s="214">
        <f>IF(AND(($E62+$C$1)&gt;BD$4,BD$4&gt;=$C$1),'General Inputs'!F$11*$H62,IF(AND(($D62+$C$1)&gt;BD$4,BD$4&gt;=$C$1),'General Inputs'!F$11*$G62,0))</f>
        <v>0</v>
      </c>
      <c r="BE62" s="214">
        <f>IF(AND(($E62+$C$1)&gt;BE$4,BE$4&gt;=$C$1),'General Inputs'!G$11*$H62,IF(AND(($D62+$C$1)&gt;BE$4,BE$4&gt;=$C$1),'General Inputs'!G$11*$G62,0))</f>
        <v>0</v>
      </c>
      <c r="BF62" s="214">
        <f>IF(AND(($E62+$C$1)&gt;BF$4,BF$4&gt;=$C$1),'General Inputs'!H$11*$H62,IF(AND(($D62+$C$1)&gt;BF$4,BF$4&gt;=$C$1),'General Inputs'!H$11*$G62,0))</f>
        <v>0</v>
      </c>
      <c r="BG62" s="214">
        <f>IF(AND(($E62+$C$1)&gt;BG$4,BG$4&gt;=$C$1),'General Inputs'!I$11*$H62,IF(AND(($D62+$C$1)&gt;BG$4,BG$4&gt;=$C$1),'General Inputs'!I$11*$G62,0))</f>
        <v>0</v>
      </c>
      <c r="BH62" s="214">
        <f>IF(AND(($E62+$C$1)&gt;BH$4,BH$4&gt;=$C$1),'General Inputs'!J$11*$H62,IF(AND(($D62+$C$1)&gt;BH$4,BH$4&gt;=$C$1),'General Inputs'!J$11*$G62,0))</f>
        <v>0</v>
      </c>
      <c r="BI62" s="214">
        <f>IF(AND(($E62+$C$1)&gt;BI$4,BI$4&gt;=$C$1),'General Inputs'!K$11*$H62,IF(AND(($D62+$C$1)&gt;BI$4,BI$4&gt;=$C$1),'General Inputs'!K$11*$G62,0))</f>
        <v>0</v>
      </c>
      <c r="BJ62" s="214">
        <f>IF(AND(($E62+$C$1)&gt;BJ$4,BJ$4&gt;=$C$1),'General Inputs'!L$11*$H62,IF(AND(($D62+$C$1)&gt;BJ$4,BJ$4&gt;=$C$1),'General Inputs'!L$11*$G62,0))</f>
        <v>0</v>
      </c>
      <c r="BK62" s="214">
        <f>IF(AND(($E62+$C$1)&gt;BK$4,BK$4&gt;=$C$1),'General Inputs'!M$11*$H62,IF(AND(($D62+$C$1)&gt;BK$4,BK$4&gt;=$C$1),'General Inputs'!M$11*$G62,0))</f>
        <v>0</v>
      </c>
      <c r="BL62" s="214">
        <f>IF(AND(($E62+$C$1)&gt;BL$4,BL$4&gt;=$C$1),'General Inputs'!N$11*$H62,IF(AND(($D62+$C$1)&gt;BL$4,BL$4&gt;=$C$1),'General Inputs'!N$11*$G62,0))</f>
        <v>0</v>
      </c>
      <c r="BM62" s="214">
        <f>IF(AND(($E62+$C$1)&gt;BM$4,BM$4&gt;=$C$1),'General Inputs'!O$11*$H62,IF(AND(($D62+$C$1)&gt;BM$4,BM$4&gt;=$C$1),'General Inputs'!O$11*$G62,0))</f>
        <v>0</v>
      </c>
      <c r="BN62" s="214">
        <f>IF(AND(($E62+$C$1)&gt;BN$4,BN$4&gt;=$C$1),'General Inputs'!P$11*$H62,IF(AND(($D62+$C$1)&gt;BN$4,BN$4&gt;=$C$1),'General Inputs'!P$11*$G62,0))</f>
        <v>0</v>
      </c>
      <c r="BO62" s="214">
        <f>IF(AND(($E62+$C$1)&gt;BO$4,BO$4&gt;=$C$1),'General Inputs'!Q$11*$H62,IF(AND(($D62+$C$1)&gt;BO$4,BO$4&gt;=$C$1),'General Inputs'!Q$11*$G62,0))</f>
        <v>0</v>
      </c>
      <c r="BP62" s="214">
        <f>IF(AND(($E62+$C$1)&gt;BP$4,BP$4&gt;=$C$1),'General Inputs'!R$11*$H62,IF(AND(($D62+$C$1)&gt;BP$4,BP$4&gt;=$C$1),'General Inputs'!R$11*$G62,0))</f>
        <v>0</v>
      </c>
      <c r="BQ62" s="214">
        <f>IF(AND(($E62+$C$1)&gt;BQ$4,BQ$4&gt;=$C$1),'General Inputs'!S$11*$H62,IF(AND(($D62+$C$1)&gt;BQ$4,BQ$4&gt;=$C$1),'General Inputs'!S$11*$G62,0))</f>
        <v>0</v>
      </c>
      <c r="BR62" s="214">
        <f>IF(AND(($E62+$C$1)&gt;BR$4,BR$4&gt;=$C$1),'General Inputs'!T$11*$H62,IF(AND(($D62+$C$1)&gt;BR$4,BR$4&gt;=$C$1),'General Inputs'!T$11*$G62,0))</f>
        <v>0</v>
      </c>
      <c r="BS62" s="214">
        <f>IF(AND(($E62+$C$1)&gt;BS$4,BS$4&gt;=$C$1),'General Inputs'!U$11*$H62,IF(AND(($D62+$C$1)&gt;BS$4,BS$4&gt;=$C$1),'General Inputs'!U$11*$G62,0))</f>
        <v>0</v>
      </c>
      <c r="BT62" s="214">
        <f>IF(AND(($E62+$C$1)&gt;BT$4,BT$4&gt;=$C$1),'General Inputs'!V$11*$H62,IF(AND(($D62+$C$1)&gt;BT$4,BT$4&gt;=$C$1),'General Inputs'!V$11*$G62,0))</f>
        <v>0</v>
      </c>
      <c r="BU62" s="214">
        <f>IF(AND(($E62+$C$1)&gt;BU$4,BU$4&gt;=$C$1),'General Inputs'!W$11*$H62,IF(AND(($D62+$C$1)&gt;BU$4,BU$4&gt;=$C$1),'General Inputs'!W$11*$G62,0))</f>
        <v>0</v>
      </c>
      <c r="BW62" s="214">
        <f>IF(AND(($E62+$C$1)&gt;BW$4,BW$4&gt;=$C$1),$H62,IF(AND(($D62+$C$1)&gt;BW$4,BW$4&gt;=$C$1),$G62,0))*IF($A62="Residential",'General Inputs'!D$14,'General Inputs'!D$19)</f>
        <v>0</v>
      </c>
      <c r="BX62" s="214">
        <f>IF(AND(($E62+$C$1)&gt;BX$4,BX$4&gt;=$C$1),$H62,IF(AND(($D62+$C$1)&gt;BX$4,BX$4&gt;=$C$1),$G62,0))*IF($A62="Residential",'General Inputs'!E$14,'General Inputs'!E$19)</f>
        <v>0</v>
      </c>
      <c r="BY62" s="214">
        <f>IF(AND(($E62+$C$1)&gt;BY$4,BY$4&gt;=$C$1),$H62,IF(AND(($D62+$C$1)&gt;BY$4,BY$4&gt;=$C$1),$G62,0))*IF($A62="Residential",'General Inputs'!F$14,'General Inputs'!F$19)</f>
        <v>0</v>
      </c>
      <c r="BZ62" s="214">
        <f>IF(AND(($E62+$C$1)&gt;BZ$4,BZ$4&gt;=$C$1),$H62,IF(AND(($D62+$C$1)&gt;BZ$4,BZ$4&gt;=$C$1),$G62,0))*IF($A62="Residential",'General Inputs'!G$14,'General Inputs'!G$19)</f>
        <v>0</v>
      </c>
      <c r="CA62" s="214">
        <f>IF(AND(($E62+$C$1)&gt;CA$4,CA$4&gt;=$C$1),$H62,IF(AND(($D62+$C$1)&gt;CA$4,CA$4&gt;=$C$1),$G62,0))*IF($A62="Residential",'General Inputs'!H$14,'General Inputs'!H$19)</f>
        <v>0</v>
      </c>
      <c r="CB62" s="214">
        <f>IF(AND(($E62+$C$1)&gt;CB$4,CB$4&gt;=$C$1),$H62,IF(AND(($D62+$C$1)&gt;CB$4,CB$4&gt;=$C$1),$G62,0))*IF($A62="Residential",'General Inputs'!I$14,'General Inputs'!I$19)</f>
        <v>0</v>
      </c>
      <c r="CC62" s="214">
        <f>IF(AND(($E62+$C$1)&gt;CC$4,CC$4&gt;=$C$1),$H62,IF(AND(($D62+$C$1)&gt;CC$4,CC$4&gt;=$C$1),$G62,0))*IF($A62="Residential",'General Inputs'!J$14,'General Inputs'!J$19)</f>
        <v>0</v>
      </c>
      <c r="CD62" s="214">
        <f>IF(AND(($E62+$C$1)&gt;CD$4,CD$4&gt;=$C$1),$H62,IF(AND(($D62+$C$1)&gt;CD$4,CD$4&gt;=$C$1),$G62,0))*IF($A62="Residential",'General Inputs'!K$14,'General Inputs'!K$19)</f>
        <v>0</v>
      </c>
      <c r="CE62" s="214">
        <f>IF(AND(($E62+$C$1)&gt;CE$4,CE$4&gt;=$C$1),$H62,IF(AND(($D62+$C$1)&gt;CE$4,CE$4&gt;=$C$1),$G62,0))*IF($A62="Residential",'General Inputs'!L$14,'General Inputs'!L$19)</f>
        <v>0</v>
      </c>
      <c r="CF62" s="214">
        <f>IF(AND(($E62+$C$1)&gt;CF$4,CF$4&gt;=$C$1),$H62,IF(AND(($D62+$C$1)&gt;CF$4,CF$4&gt;=$C$1),$G62,0))*IF($A62="Residential",'General Inputs'!M$14,'General Inputs'!M$19)</f>
        <v>0</v>
      </c>
      <c r="CG62" s="214">
        <f>IF(AND(($E62+$C$1)&gt;CG$4,CG$4&gt;=$C$1),$H62,IF(AND(($D62+$C$1)&gt;CG$4,CG$4&gt;=$C$1),$G62,0))*IF($A62="Residential",'General Inputs'!N$14,'General Inputs'!N$19)</f>
        <v>0</v>
      </c>
      <c r="CH62" s="214">
        <f>IF(AND(($E62+$C$1)&gt;CH$4,CH$4&gt;=$C$1),$H62,IF(AND(($D62+$C$1)&gt;CH$4,CH$4&gt;=$C$1),$G62,0))*IF($A62="Residential",'General Inputs'!O$14,'General Inputs'!O$19)</f>
        <v>0</v>
      </c>
      <c r="CI62" s="214">
        <f>IF(AND(($E62+$C$1)&gt;CI$4,CI$4&gt;=$C$1),$H62,IF(AND(($D62+$C$1)&gt;CI$4,CI$4&gt;=$C$1),$G62,0))*IF($A62="Residential",'General Inputs'!P$14,'General Inputs'!P$19)</f>
        <v>0</v>
      </c>
      <c r="CJ62" s="214">
        <f>IF(AND(($E62+$C$1)&gt;CJ$4,CJ$4&gt;=$C$1),$H62,IF(AND(($D62+$C$1)&gt;CJ$4,CJ$4&gt;=$C$1),$G62,0))*IF($A62="Residential",'General Inputs'!Q$14,'General Inputs'!Q$19)</f>
        <v>0</v>
      </c>
      <c r="CK62" s="214">
        <f>IF(AND(($E62+$C$1)&gt;CK$4,CK$4&gt;=$C$1),$H62,IF(AND(($D62+$C$1)&gt;CK$4,CK$4&gt;=$C$1),$G62,0))*IF($A62="Residential",'General Inputs'!R$14,'General Inputs'!R$19)</f>
        <v>0</v>
      </c>
      <c r="CL62" s="214">
        <f>IF(AND(($E62+$C$1)&gt;CL$4,CL$4&gt;=$C$1),$H62,IF(AND(($D62+$C$1)&gt;CL$4,CL$4&gt;=$C$1),$G62,0))*IF($A62="Residential",'General Inputs'!S$14,'General Inputs'!S$19)</f>
        <v>0</v>
      </c>
      <c r="CM62" s="214">
        <f>IF(AND(($E62+$C$1)&gt;CM$4,CM$4&gt;=$C$1),$H62,IF(AND(($D62+$C$1)&gt;CM$4,CM$4&gt;=$C$1),$G62,0))*IF($A62="Residential",'General Inputs'!T$14,'General Inputs'!T$19)</f>
        <v>0</v>
      </c>
      <c r="CN62" s="214">
        <f>IF(AND(($E62+$C$1)&gt;CN$4,CN$4&gt;=$C$1),$H62,IF(AND(($D62+$C$1)&gt;CN$4,CN$4&gt;=$C$1),$G62,0))*IF($A62="Residential",'General Inputs'!U$14,'General Inputs'!U$19)</f>
        <v>0</v>
      </c>
      <c r="CO62" s="214">
        <f>IF(AND(($E62+$C$1)&gt;CO$4,CO$4&gt;=$C$1),$H62,IF(AND(($D62+$C$1)&gt;CO$4,CO$4&gt;=$C$1),$G62,0))*IF($A62="Residential",'General Inputs'!V$14,'General Inputs'!V$19)</f>
        <v>0</v>
      </c>
      <c r="CP62" s="214">
        <f>IF(AND(($E62+$C$1)&gt;CP$4,CP$4&gt;=$C$1),$H62,IF(AND(($D62+$C$1)&gt;CP$4,CP$4&gt;=$C$1),$G62,0))*IF($A62="Residential",'General Inputs'!W$14,'General Inputs'!W$19)</f>
        <v>0</v>
      </c>
      <c r="CR62" s="214">
        <f>IF(AND(($E62+$C$1)&gt;CR$4,CR$4&gt;=$C$1),$H62,IF(AND(($D62+$C$1)&gt;CR$4,CR$4&gt;=$C$1),$G62,0))*IF($A62="Residential",'General Inputs'!D$15,'General Inputs'!D$19)</f>
        <v>0</v>
      </c>
      <c r="CS62" s="214">
        <f>IF(AND(($E62+$C$1)&gt;CS$4,CS$4&gt;=$C$1),$H62,IF(AND(($D62+$C$1)&gt;CS$4,CS$4&gt;=$C$1),$G62,0))*IF($A62="Residential",'General Inputs'!E$15,'General Inputs'!E$19)</f>
        <v>0</v>
      </c>
      <c r="CT62" s="214">
        <f>IF(AND(($E62+$C$1)&gt;CT$4,CT$4&gt;=$C$1),$H62,IF(AND(($D62+$C$1)&gt;CT$4,CT$4&gt;=$C$1),$G62,0))*IF($A62="Residential",'General Inputs'!F$15,'General Inputs'!F$19)</f>
        <v>0</v>
      </c>
      <c r="CU62" s="214">
        <f>IF(AND(($E62+$C$1)&gt;CU$4,CU$4&gt;=$C$1),$H62,IF(AND(($D62+$C$1)&gt;CU$4,CU$4&gt;=$C$1),$G62,0))*IF($A62="Residential",'General Inputs'!G$15,'General Inputs'!G$19)</f>
        <v>0</v>
      </c>
      <c r="CV62" s="214">
        <f>IF(AND(($E62+$C$1)&gt;CV$4,CV$4&gt;=$C$1),$H62,IF(AND(($D62+$C$1)&gt;CV$4,CV$4&gt;=$C$1),$G62,0))*IF($A62="Residential",'General Inputs'!H$15,'General Inputs'!H$19)</f>
        <v>0</v>
      </c>
      <c r="CW62" s="214">
        <f>IF(AND(($E62+$C$1)&gt;CW$4,CW$4&gt;=$C$1),$H62,IF(AND(($D62+$C$1)&gt;CW$4,CW$4&gt;=$C$1),$G62,0))*IF($A62="Residential",'General Inputs'!I$15,'General Inputs'!I$19)</f>
        <v>0</v>
      </c>
      <c r="CX62" s="214">
        <f>IF(AND(($E62+$C$1)&gt;CX$4,CX$4&gt;=$C$1),$H62,IF(AND(($D62+$C$1)&gt;CX$4,CX$4&gt;=$C$1),$G62,0))*IF($A62="Residential",'General Inputs'!J$15,'General Inputs'!J$19)</f>
        <v>0</v>
      </c>
      <c r="CY62" s="214">
        <f>IF(AND(($E62+$C$1)&gt;CY$4,CY$4&gt;=$C$1),$H62,IF(AND(($D62+$C$1)&gt;CY$4,CY$4&gt;=$C$1),$G62,0))*IF($A62="Residential",'General Inputs'!K$15,'General Inputs'!K$19)</f>
        <v>0</v>
      </c>
      <c r="CZ62" s="214">
        <f>IF(AND(($E62+$C$1)&gt;CZ$4,CZ$4&gt;=$C$1),$H62,IF(AND(($D62+$C$1)&gt;CZ$4,CZ$4&gt;=$C$1),$G62,0))*IF($A62="Residential",'General Inputs'!L$15,'General Inputs'!L$19)</f>
        <v>0</v>
      </c>
      <c r="DA62" s="214">
        <f>IF(AND(($E62+$C$1)&gt;DA$4,DA$4&gt;=$C$1),$H62,IF(AND(($D62+$C$1)&gt;DA$4,DA$4&gt;=$C$1),$G62,0))*IF($A62="Residential",'General Inputs'!M$15,'General Inputs'!M$19)</f>
        <v>0</v>
      </c>
      <c r="DB62" s="214">
        <f>IF(AND(($E62+$C$1)&gt;DB$4,DB$4&gt;=$C$1),$H62,IF(AND(($D62+$C$1)&gt;DB$4,DB$4&gt;=$C$1),$G62,0))*IF($A62="Residential",'General Inputs'!N$15,'General Inputs'!N$19)</f>
        <v>0</v>
      </c>
      <c r="DC62" s="214">
        <f>IF(AND(($E62+$C$1)&gt;DC$4,DC$4&gt;=$C$1),$H62,IF(AND(($D62+$C$1)&gt;DC$4,DC$4&gt;=$C$1),$G62,0))*IF($A62="Residential",'General Inputs'!O$15,'General Inputs'!O$19)</f>
        <v>0</v>
      </c>
      <c r="DD62" s="214">
        <f>IF(AND(($E62+$C$1)&gt;DD$4,DD$4&gt;=$C$1),$H62,IF(AND(($D62+$C$1)&gt;DD$4,DD$4&gt;=$C$1),$G62,0))*IF($A62="Residential",'General Inputs'!P$15,'General Inputs'!P$19)</f>
        <v>0</v>
      </c>
      <c r="DE62" s="214">
        <f>IF(AND(($E62+$C$1)&gt;DE$4,DE$4&gt;=$C$1),$H62,IF(AND(($D62+$C$1)&gt;DE$4,DE$4&gt;=$C$1),$G62,0))*IF($A62="Residential",'General Inputs'!Q$15,'General Inputs'!Q$19)</f>
        <v>0</v>
      </c>
      <c r="DF62" s="214">
        <f>IF(AND(($E62+$C$1)&gt;DF$4,DF$4&gt;=$C$1),$H62,IF(AND(($D62+$C$1)&gt;DF$4,DF$4&gt;=$C$1),$G62,0))*IF($A62="Residential",'General Inputs'!R$15,'General Inputs'!R$19)</f>
        <v>0</v>
      </c>
      <c r="DG62" s="214">
        <f>IF(AND(($E62+$C$1)&gt;DG$4,DG$4&gt;=$C$1),$H62,IF(AND(($D62+$C$1)&gt;DG$4,DG$4&gt;=$C$1),$G62,0))*IF($A62="Residential",'General Inputs'!S$15,'General Inputs'!S$19)</f>
        <v>0</v>
      </c>
      <c r="DH62" s="214">
        <f>IF(AND(($E62+$C$1)&gt;DH$4,DH$4&gt;=$C$1),$H62,IF(AND(($D62+$C$1)&gt;DH$4,DH$4&gt;=$C$1),$G62,0))*IF($A62="Residential",'General Inputs'!T$15,'General Inputs'!T$19)</f>
        <v>0</v>
      </c>
      <c r="DI62" s="214">
        <f>IF(AND(($E62+$C$1)&gt;DI$4,DI$4&gt;=$C$1),$H62,IF(AND(($D62+$C$1)&gt;DI$4,DI$4&gt;=$C$1),$G62,0))*IF($A62="Residential",'General Inputs'!U$15,'General Inputs'!U$19)</f>
        <v>0</v>
      </c>
      <c r="DJ62" s="214">
        <f>IF(AND(($E62+$C$1)&gt;DJ$4,DJ$4&gt;=$C$1),$H62,IF(AND(($D62+$C$1)&gt;DJ$4,DJ$4&gt;=$C$1),$G62,0))*IF($A62="Residential",'General Inputs'!V$15,'General Inputs'!V$19)</f>
        <v>0</v>
      </c>
      <c r="DK62" s="214">
        <f>IF(AND(($E62+$C$1)&gt;DK$4,DK$4&gt;=$C$1),$H62,IF(AND(($D62+$C$1)&gt;DK$4,DK$4&gt;=$C$1),$G62,0))*IF($A62="Residential",'General Inputs'!W$15,'General Inputs'!W$19)</f>
        <v>0</v>
      </c>
      <c r="DM62" s="214">
        <f t="shared" si="441"/>
        <v>0</v>
      </c>
      <c r="DN62" s="214">
        <f t="shared" si="441"/>
        <v>0</v>
      </c>
      <c r="DO62" s="214">
        <f t="shared" si="441"/>
        <v>0</v>
      </c>
      <c r="DP62" s="214">
        <f t="shared" si="441"/>
        <v>0</v>
      </c>
      <c r="DQ62" s="214">
        <f t="shared" si="441"/>
        <v>0</v>
      </c>
      <c r="DR62" s="214">
        <f t="shared" si="441"/>
        <v>0</v>
      </c>
      <c r="DS62" s="214">
        <f t="shared" si="441"/>
        <v>0</v>
      </c>
      <c r="DT62" s="214">
        <f t="shared" si="441"/>
        <v>0</v>
      </c>
      <c r="DU62" s="214">
        <f t="shared" si="441"/>
        <v>0</v>
      </c>
      <c r="DV62" s="214">
        <f t="shared" si="441"/>
        <v>0</v>
      </c>
      <c r="DW62" s="214">
        <f t="shared" si="441"/>
        <v>0</v>
      </c>
      <c r="DZ62" s="650"/>
      <c r="FI62" s="195"/>
      <c r="FJ62" s="195"/>
      <c r="FK62" s="195"/>
      <c r="FL62" s="195"/>
      <c r="FM62" s="195"/>
      <c r="FN62" s="195"/>
      <c r="FO62" s="195"/>
    </row>
    <row r="63" spans="1:171">
      <c r="A63" s="342" t="s">
        <v>112</v>
      </c>
      <c r="B63" s="427" t="str">
        <f>'Portfolio Inputs'!A62</f>
        <v>Pin-Based CFL ≥32W</v>
      </c>
      <c r="C63" s="217">
        <f>IF($C$1=2014,'Portfolio Inputs'!$C62,IF($C$1=2015,'Portfolio Inputs'!$D62,'Portfolio Inputs'!$E62))</f>
        <v>0</v>
      </c>
      <c r="D63" s="504">
        <f>VLOOKUP(B63,Sources!$B$4:$J$104,2,FALSE)</f>
        <v>10</v>
      </c>
      <c r="E63" s="504">
        <f>VLOOKUP(B63,Sources!$B$4:$J$104,3,FALSE)</f>
        <v>0</v>
      </c>
      <c r="G63" s="504">
        <f>IF($C$1=2014,'Portfolio Inputs'!$G62,IF($C$1=2015,'Portfolio Inputs'!$H62,'Portfolio Inputs'!$I62))*EnergyLineLoss</f>
        <v>0</v>
      </c>
      <c r="H63" s="504"/>
      <c r="I63" s="595">
        <f>IF($C$1=2014,'Portfolio Inputs'!$K62,IF($C$1=2015,'Portfolio Inputs'!$L62,'Portfolio Inputs'!$M62))*PeakLineLoss</f>
        <v>0</v>
      </c>
      <c r="J63" s="510"/>
      <c r="L63" s="606">
        <f>IF($C$1=2014,'Portfolio Inputs'!$O62,IF($C$1=2015,'Portfolio Inputs'!$P62,'Portfolio Inputs'!$Q62))</f>
        <v>50</v>
      </c>
      <c r="M63" s="518">
        <f>VLOOKUP($B63,Sources!$B$4:$K$104,10,FALSE)</f>
        <v>0</v>
      </c>
      <c r="N63" s="419">
        <f>IF($C$1=2014,'Portfolio Inputs'!$W62,IF($C$1=2015,'Portfolio Inputs'!$X62,'Portfolio Inputs'!$Y62))</f>
        <v>0</v>
      </c>
      <c r="O63" s="419">
        <f>IF($C$1=2014,'Portfolio Inputs'!$AA62,IF($C$1=2015,'Portfolio Inputs'!$AB62,'Portfolio Inputs'!$AC62))</f>
        <v>0</v>
      </c>
      <c r="Q63" s="438" t="str">
        <f t="shared" si="442"/>
        <v>n/a</v>
      </c>
      <c r="R63" s="439" t="str">
        <f t="shared" si="443"/>
        <v>n/a</v>
      </c>
      <c r="S63" s="439" t="str">
        <f t="shared" si="444"/>
        <v>n/a</v>
      </c>
      <c r="T63" s="439" t="str">
        <f t="shared" si="445"/>
        <v>n/a</v>
      </c>
      <c r="U63" s="439" t="str">
        <f t="shared" si="446"/>
        <v>n/a</v>
      </c>
      <c r="V63" s="439" t="str">
        <f t="shared" si="447"/>
        <v>n/a</v>
      </c>
      <c r="W63" s="439" t="str">
        <f t="shared" si="448"/>
        <v>n/a</v>
      </c>
      <c r="Y63" s="215">
        <f t="shared" si="449"/>
        <v>0</v>
      </c>
      <c r="Z63" s="215">
        <f t="shared" si="450"/>
        <v>0</v>
      </c>
      <c r="AA63" s="215">
        <f t="shared" si="451"/>
        <v>0</v>
      </c>
      <c r="AB63" s="215">
        <f t="shared" si="452"/>
        <v>0</v>
      </c>
      <c r="AC63" s="216">
        <f t="shared" si="453"/>
        <v>0</v>
      </c>
      <c r="AD63" s="216">
        <f t="shared" si="454"/>
        <v>0</v>
      </c>
      <c r="AE63" s="215">
        <f t="shared" si="455"/>
        <v>0</v>
      </c>
      <c r="AG63" s="214">
        <f>IF(AND(($E63+$C$1)&gt;AG$4,AG$4&gt;=$C$1),'General Inputs'!D$9*$H63,IF(AND(($D63+$C$1)&gt;AG$4,AG$4&gt;=$C$1),'General Inputs'!D$9*$G63,0))+IF(AND(($E63+$C$1)&gt;AG$4,AG$4&gt;=$C$1),'General Inputs'!D$10*$J63,IF(AND(($D63+$C$1)&gt;AG$4,AG$4&gt;=$C$1),'General Inputs'!D$10*$I63,0))</f>
        <v>0</v>
      </c>
      <c r="AH63" s="214">
        <f>IF(AND(($E63+$C$1)&gt;AH$4,AH$4&gt;=$C$1),'General Inputs'!E$9*$H63,IF(AND(($D63+$C$1)&gt;AH$4,AH$4&gt;=$C$1),'General Inputs'!E$9*$G63,0))+IF(AND(($E63+$C$1)&gt;AH$4,AH$4&gt;=$C$1),'General Inputs'!E$10*$J63,IF(AND(($D63+$C$1)&gt;AH$4,AH$4&gt;=$C$1),'General Inputs'!E$10*$I63,0))</f>
        <v>0</v>
      </c>
      <c r="AI63" s="214">
        <f>IF(AND(($E63+$C$1)&gt;AI$4,AI$4&gt;=$C$1),'General Inputs'!F$9*$H63,IF(AND(($D63+$C$1)&gt;AI$4,AI$4&gt;=$C$1),'General Inputs'!F$9*$G63,0))+IF(AND(($E63+$C$1)&gt;AI$4,AI$4&gt;=$C$1),'General Inputs'!F$10*$J63,IF(AND(($D63+$C$1)&gt;AI$4,AI$4&gt;=$C$1),'General Inputs'!F$10*$I63,0))</f>
        <v>0</v>
      </c>
      <c r="AJ63" s="214">
        <f>IF(AND(($E63+$C$1)&gt;AJ$4,AJ$4&gt;=$C$1),'General Inputs'!G$9*$H63,IF(AND(($D63+$C$1)&gt;AJ$4,AJ$4&gt;=$C$1),'General Inputs'!G$9*$G63,0))+IF(AND(($E63+$C$1)&gt;AJ$4,AJ$4&gt;=$C$1),'General Inputs'!G$10*$J63,IF(AND(($D63+$C$1)&gt;AJ$4,AJ$4&gt;=$C$1),'General Inputs'!G$10*$I63,0))</f>
        <v>0</v>
      </c>
      <c r="AK63" s="214">
        <f>IF(AND(($E63+$C$1)&gt;AK$4,AK$4&gt;=$C$1),'General Inputs'!H$9*$H63,IF(AND(($D63+$C$1)&gt;AK$4,AK$4&gt;=$C$1),'General Inputs'!H$9*$G63,0))+IF(AND(($E63+$C$1)&gt;AK$4,AK$4&gt;=$C$1),'General Inputs'!H$10*$J63,IF(AND(($D63+$C$1)&gt;AK$4,AK$4&gt;=$C$1),'General Inputs'!H$10*$I63,0))</f>
        <v>0</v>
      </c>
      <c r="AL63" s="214">
        <f>IF(AND(($E63+$C$1)&gt;AL$4,AL$4&gt;=$C$1),'General Inputs'!I$9*$H63,IF(AND(($D63+$C$1)&gt;AL$4,AL$4&gt;=$C$1),'General Inputs'!I$9*$G63,0))+IF(AND(($E63+$C$1)&gt;AL$4,AL$4&gt;=$C$1),'General Inputs'!I$10*$J63,IF(AND(($D63+$C$1)&gt;AL$4,AL$4&gt;=$C$1),'General Inputs'!I$10*$I63,0))</f>
        <v>0</v>
      </c>
      <c r="AM63" s="214">
        <f>IF(AND(($E63+$C$1)&gt;AM$4,AM$4&gt;=$C$1),'General Inputs'!J$9*$H63,IF(AND(($D63+$C$1)&gt;AM$4,AM$4&gt;=$C$1),'General Inputs'!J$9*$G63,0))+IF(AND(($E63+$C$1)&gt;AM$4,AM$4&gt;=$C$1),'General Inputs'!J$10*$J63,IF(AND(($D63+$C$1)&gt;AM$4,AM$4&gt;=$C$1),'General Inputs'!J$10*$I63,0))</f>
        <v>0</v>
      </c>
      <c r="AN63" s="214">
        <f>IF(AND(($E63+$C$1)&gt;AN$4,AN$4&gt;=$C$1),'General Inputs'!K$9*$H63,IF(AND(($D63+$C$1)&gt;AN$4,AN$4&gt;=$C$1),'General Inputs'!K$9*$G63,0))+IF(AND(($E63+$C$1)&gt;AN$4,AN$4&gt;=$C$1),'General Inputs'!K$10*$J63,IF(AND(($D63+$C$1)&gt;AN$4,AN$4&gt;=$C$1),'General Inputs'!K$10*$I63,0))</f>
        <v>0</v>
      </c>
      <c r="AO63" s="214">
        <f>IF(AND(($E63+$C$1)&gt;AO$4,AO$4&gt;=$C$1),'General Inputs'!L$9*$H63,IF(AND(($D63+$C$1)&gt;AO$4,AO$4&gt;=$C$1),'General Inputs'!L$9*$G63,0))+IF(AND(($E63+$C$1)&gt;AO$4,AO$4&gt;=$C$1),'General Inputs'!L$10*$J63,IF(AND(($D63+$C$1)&gt;AO$4,AO$4&gt;=$C$1),'General Inputs'!L$10*$I63,0))</f>
        <v>0</v>
      </c>
      <c r="AP63" s="214">
        <f>IF(AND(($E63+$C$1)&gt;AP$4,AP$4&gt;=$C$1),'General Inputs'!M$9*$H63,IF(AND(($D63+$C$1)&gt;AP$4,AP$4&gt;=$C$1),'General Inputs'!M$9*$G63,0))+IF(AND(($E63+$C$1)&gt;AP$4,AP$4&gt;=$C$1),'General Inputs'!M$10*$J63,IF(AND(($D63+$C$1)&gt;AP$4,AP$4&gt;=$C$1),'General Inputs'!M$10*$I63,0))</f>
        <v>0</v>
      </c>
      <c r="AQ63" s="214">
        <f>IF(AND(($E63+$C$1)&gt;AQ$4,AQ$4&gt;=$C$1),'General Inputs'!N$9*$H63,IF(AND(($D63+$C$1)&gt;AQ$4,AQ$4&gt;=$C$1),'General Inputs'!N$9*$G63,0))+IF(AND(($E63+$C$1)&gt;AQ$4,AQ$4&gt;=$C$1),'General Inputs'!N$10*$J63,IF(AND(($D63+$C$1)&gt;AQ$4,AQ$4&gt;=$C$1),'General Inputs'!N$10*$I63,0))</f>
        <v>0</v>
      </c>
      <c r="AR63" s="214">
        <f>IF(AND(($E63+$C$1)&gt;AR$4,AR$4&gt;=$C$1),'General Inputs'!O$9*$H63,IF(AND(($D63+$C$1)&gt;AR$4,AR$4&gt;=$C$1),'General Inputs'!O$9*$G63,0))+IF(AND(($E63+$C$1)&gt;AR$4,AR$4&gt;=$C$1),'General Inputs'!O$10*$J63,IF(AND(($D63+$C$1)&gt;AR$4,AR$4&gt;=$C$1),'General Inputs'!O$10*$I63,0))</f>
        <v>0</v>
      </c>
      <c r="AS63" s="214">
        <f>IF(AND(($E63+$C$1)&gt;AS$4,AS$4&gt;=$C$1),'General Inputs'!P$9*$H63,IF(AND(($D63+$C$1)&gt;AS$4,AS$4&gt;=$C$1),'General Inputs'!P$9*$G63,0))+IF(AND(($E63+$C$1)&gt;AS$4,AS$4&gt;=$C$1),'General Inputs'!P$10*$J63,IF(AND(($D63+$C$1)&gt;AS$4,AS$4&gt;=$C$1),'General Inputs'!P$10*$I63,0))</f>
        <v>0</v>
      </c>
      <c r="AT63" s="214">
        <f>IF(AND(($E63+$C$1)&gt;AT$4,AT$4&gt;=$C$1),'General Inputs'!Q$9*$H63,IF(AND(($D63+$C$1)&gt;AT$4,AT$4&gt;=$C$1),'General Inputs'!Q$9*$G63,0))+IF(AND(($E63+$C$1)&gt;AT$4,AT$4&gt;=$C$1),'General Inputs'!Q$10*$J63,IF(AND(($D63+$C$1)&gt;AT$4,AT$4&gt;=$C$1),'General Inputs'!Q$10*$I63,0))</f>
        <v>0</v>
      </c>
      <c r="AU63" s="214">
        <f>IF(AND(($E63+$C$1)&gt;AU$4,AU$4&gt;=$C$1),'General Inputs'!R$9*$H63,IF(AND(($D63+$C$1)&gt;AU$4,AU$4&gt;=$C$1),'General Inputs'!R$9*$G63,0))+IF(AND(($E63+$C$1)&gt;AU$4,AU$4&gt;=$C$1),'General Inputs'!R$10*$J63,IF(AND(($D63+$C$1)&gt;AU$4,AU$4&gt;=$C$1),'General Inputs'!R$10*$I63,0))</f>
        <v>0</v>
      </c>
      <c r="AV63" s="214">
        <f>IF(AND(($E63+$C$1)&gt;AV$4,AV$4&gt;=$C$1),'General Inputs'!S$9*$H63,IF(AND(($D63+$C$1)&gt;AV$4,AV$4&gt;=$C$1),'General Inputs'!S$9*$G63,0))+IF(AND(($E63+$C$1)&gt;AV$4,AV$4&gt;=$C$1),'General Inputs'!S$10*$J63,IF(AND(($D63+$C$1)&gt;AV$4,AV$4&gt;=$C$1),'General Inputs'!S$10*$I63,0))</f>
        <v>0</v>
      </c>
      <c r="AW63" s="214">
        <f>IF(AND(($E63+$C$1)&gt;AW$4,AW$4&gt;=$C$1),'General Inputs'!T$9*$H63,IF(AND(($D63+$C$1)&gt;AW$4,AW$4&gt;=$C$1),'General Inputs'!T$9*$G63,0))+IF(AND(($E63+$C$1)&gt;AW$4,AW$4&gt;=$C$1),'General Inputs'!T$10*$J63,IF(AND(($D63+$C$1)&gt;AW$4,AW$4&gt;=$C$1),'General Inputs'!T$10*$I63,0))</f>
        <v>0</v>
      </c>
      <c r="AX63" s="214">
        <f>IF(AND(($E63+$C$1)&gt;AX$4,AX$4&gt;=$C$1),'General Inputs'!U$9*$H63,IF(AND(($D63+$C$1)&gt;AX$4,AX$4&gt;=$C$1),'General Inputs'!U$9*$G63,0))+IF(AND(($E63+$C$1)&gt;AX$4,AX$4&gt;=$C$1),'General Inputs'!U$10*$J63,IF(AND(($D63+$C$1)&gt;AX$4,AX$4&gt;=$C$1),'General Inputs'!U$10*$I63,0))</f>
        <v>0</v>
      </c>
      <c r="AY63" s="214">
        <f>IF(AND(($E63+$C$1)&gt;AY$4,AY$4&gt;=$C$1),'General Inputs'!V$9*$H63,IF(AND(($D63+$C$1)&gt;AY$4,AY$4&gt;=$C$1),'General Inputs'!V$9*$G63,0))+IF(AND(($E63+$C$1)&gt;AY$4,AY$4&gt;=$C$1),'General Inputs'!V$10*$J63,IF(AND(($D63+$C$1)&gt;AY$4,AY$4&gt;=$C$1),'General Inputs'!V$10*$I63,0))</f>
        <v>0</v>
      </c>
      <c r="AZ63" s="214">
        <f>IF(AND(($E63+$C$1)&gt;AZ$4,AZ$4&gt;=$C$1),'General Inputs'!W$9*$H63,IF(AND(($D63+$C$1)&gt;AZ$4,AZ$4&gt;=$C$1),'General Inputs'!W$9*$G63,0))+IF(AND(($E63+$C$1)&gt;AZ$4,AZ$4&gt;=$C$1),'General Inputs'!W$10*$J63,IF(AND(($D63+$C$1)&gt;AZ$4,AZ$4&gt;=$C$1),'General Inputs'!W$10*$I63,0))</f>
        <v>0</v>
      </c>
      <c r="BB63" s="214">
        <f>IF(AND(($E63+$C$1)&gt;BB$4,BB$4&gt;=$C$1),'General Inputs'!D$11*$H63,IF(AND(($D63+$C$1)&gt;BB$4,BB$4&gt;=$C$1),'General Inputs'!D$11*$G63,0))</f>
        <v>0</v>
      </c>
      <c r="BC63" s="214">
        <f>IF(AND(($E63+$C$1)&gt;BC$4,BC$4&gt;=$C$1),'General Inputs'!E$11*$H63,IF(AND(($D63+$C$1)&gt;BC$4,BC$4&gt;=$C$1),'General Inputs'!E$11*$G63,0))</f>
        <v>0</v>
      </c>
      <c r="BD63" s="214">
        <f>IF(AND(($E63+$C$1)&gt;BD$4,BD$4&gt;=$C$1),'General Inputs'!F$11*$H63,IF(AND(($D63+$C$1)&gt;BD$4,BD$4&gt;=$C$1),'General Inputs'!F$11*$G63,0))</f>
        <v>0</v>
      </c>
      <c r="BE63" s="214">
        <f>IF(AND(($E63+$C$1)&gt;BE$4,BE$4&gt;=$C$1),'General Inputs'!G$11*$H63,IF(AND(($D63+$C$1)&gt;BE$4,BE$4&gt;=$C$1),'General Inputs'!G$11*$G63,0))</f>
        <v>0</v>
      </c>
      <c r="BF63" s="214">
        <f>IF(AND(($E63+$C$1)&gt;BF$4,BF$4&gt;=$C$1),'General Inputs'!H$11*$H63,IF(AND(($D63+$C$1)&gt;BF$4,BF$4&gt;=$C$1),'General Inputs'!H$11*$G63,0))</f>
        <v>0</v>
      </c>
      <c r="BG63" s="214">
        <f>IF(AND(($E63+$C$1)&gt;BG$4,BG$4&gt;=$C$1),'General Inputs'!I$11*$H63,IF(AND(($D63+$C$1)&gt;BG$4,BG$4&gt;=$C$1),'General Inputs'!I$11*$G63,0))</f>
        <v>0</v>
      </c>
      <c r="BH63" s="214">
        <f>IF(AND(($E63+$C$1)&gt;BH$4,BH$4&gt;=$C$1),'General Inputs'!J$11*$H63,IF(AND(($D63+$C$1)&gt;BH$4,BH$4&gt;=$C$1),'General Inputs'!J$11*$G63,0))</f>
        <v>0</v>
      </c>
      <c r="BI63" s="214">
        <f>IF(AND(($E63+$C$1)&gt;BI$4,BI$4&gt;=$C$1),'General Inputs'!K$11*$H63,IF(AND(($D63+$C$1)&gt;BI$4,BI$4&gt;=$C$1),'General Inputs'!K$11*$G63,0))</f>
        <v>0</v>
      </c>
      <c r="BJ63" s="214">
        <f>IF(AND(($E63+$C$1)&gt;BJ$4,BJ$4&gt;=$C$1),'General Inputs'!L$11*$H63,IF(AND(($D63+$C$1)&gt;BJ$4,BJ$4&gt;=$C$1),'General Inputs'!L$11*$G63,0))</f>
        <v>0</v>
      </c>
      <c r="BK63" s="214">
        <f>IF(AND(($E63+$C$1)&gt;BK$4,BK$4&gt;=$C$1),'General Inputs'!M$11*$H63,IF(AND(($D63+$C$1)&gt;BK$4,BK$4&gt;=$C$1),'General Inputs'!M$11*$G63,0))</f>
        <v>0</v>
      </c>
      <c r="BL63" s="214">
        <f>IF(AND(($E63+$C$1)&gt;BL$4,BL$4&gt;=$C$1),'General Inputs'!N$11*$H63,IF(AND(($D63+$C$1)&gt;BL$4,BL$4&gt;=$C$1),'General Inputs'!N$11*$G63,0))</f>
        <v>0</v>
      </c>
      <c r="BM63" s="214">
        <f>IF(AND(($E63+$C$1)&gt;BM$4,BM$4&gt;=$C$1),'General Inputs'!O$11*$H63,IF(AND(($D63+$C$1)&gt;BM$4,BM$4&gt;=$C$1),'General Inputs'!O$11*$G63,0))</f>
        <v>0</v>
      </c>
      <c r="BN63" s="214">
        <f>IF(AND(($E63+$C$1)&gt;BN$4,BN$4&gt;=$C$1),'General Inputs'!P$11*$H63,IF(AND(($D63+$C$1)&gt;BN$4,BN$4&gt;=$C$1),'General Inputs'!P$11*$G63,0))</f>
        <v>0</v>
      </c>
      <c r="BO63" s="214">
        <f>IF(AND(($E63+$C$1)&gt;BO$4,BO$4&gt;=$C$1),'General Inputs'!Q$11*$H63,IF(AND(($D63+$C$1)&gt;BO$4,BO$4&gt;=$C$1),'General Inputs'!Q$11*$G63,0))</f>
        <v>0</v>
      </c>
      <c r="BP63" s="214">
        <f>IF(AND(($E63+$C$1)&gt;BP$4,BP$4&gt;=$C$1),'General Inputs'!R$11*$H63,IF(AND(($D63+$C$1)&gt;BP$4,BP$4&gt;=$C$1),'General Inputs'!R$11*$G63,0))</f>
        <v>0</v>
      </c>
      <c r="BQ63" s="214">
        <f>IF(AND(($E63+$C$1)&gt;BQ$4,BQ$4&gt;=$C$1),'General Inputs'!S$11*$H63,IF(AND(($D63+$C$1)&gt;BQ$4,BQ$4&gt;=$C$1),'General Inputs'!S$11*$G63,0))</f>
        <v>0</v>
      </c>
      <c r="BR63" s="214">
        <f>IF(AND(($E63+$C$1)&gt;BR$4,BR$4&gt;=$C$1),'General Inputs'!T$11*$H63,IF(AND(($D63+$C$1)&gt;BR$4,BR$4&gt;=$C$1),'General Inputs'!T$11*$G63,0))</f>
        <v>0</v>
      </c>
      <c r="BS63" s="214">
        <f>IF(AND(($E63+$C$1)&gt;BS$4,BS$4&gt;=$C$1),'General Inputs'!U$11*$H63,IF(AND(($D63+$C$1)&gt;BS$4,BS$4&gt;=$C$1),'General Inputs'!U$11*$G63,0))</f>
        <v>0</v>
      </c>
      <c r="BT63" s="214">
        <f>IF(AND(($E63+$C$1)&gt;BT$4,BT$4&gt;=$C$1),'General Inputs'!V$11*$H63,IF(AND(($D63+$C$1)&gt;BT$4,BT$4&gt;=$C$1),'General Inputs'!V$11*$G63,0))</f>
        <v>0</v>
      </c>
      <c r="BU63" s="214">
        <f>IF(AND(($E63+$C$1)&gt;BU$4,BU$4&gt;=$C$1),'General Inputs'!W$11*$H63,IF(AND(($D63+$C$1)&gt;BU$4,BU$4&gt;=$C$1),'General Inputs'!W$11*$G63,0))</f>
        <v>0</v>
      </c>
      <c r="BW63" s="214">
        <f>IF(AND(($E63+$C$1)&gt;BW$4,BW$4&gt;=$C$1),$H63,IF(AND(($D63+$C$1)&gt;BW$4,BW$4&gt;=$C$1),$G63,0))*IF($A63="Residential",'General Inputs'!D$14,'General Inputs'!D$19)</f>
        <v>0</v>
      </c>
      <c r="BX63" s="214">
        <f>IF(AND(($E63+$C$1)&gt;BX$4,BX$4&gt;=$C$1),$H63,IF(AND(($D63+$C$1)&gt;BX$4,BX$4&gt;=$C$1),$G63,0))*IF($A63="Residential",'General Inputs'!E$14,'General Inputs'!E$19)</f>
        <v>0</v>
      </c>
      <c r="BY63" s="214">
        <f>IF(AND(($E63+$C$1)&gt;BY$4,BY$4&gt;=$C$1),$H63,IF(AND(($D63+$C$1)&gt;BY$4,BY$4&gt;=$C$1),$G63,0))*IF($A63="Residential",'General Inputs'!F$14,'General Inputs'!F$19)</f>
        <v>0</v>
      </c>
      <c r="BZ63" s="214">
        <f>IF(AND(($E63+$C$1)&gt;BZ$4,BZ$4&gt;=$C$1),$H63,IF(AND(($D63+$C$1)&gt;BZ$4,BZ$4&gt;=$C$1),$G63,0))*IF($A63="Residential",'General Inputs'!G$14,'General Inputs'!G$19)</f>
        <v>0</v>
      </c>
      <c r="CA63" s="214">
        <f>IF(AND(($E63+$C$1)&gt;CA$4,CA$4&gt;=$C$1),$H63,IF(AND(($D63+$C$1)&gt;CA$4,CA$4&gt;=$C$1),$G63,0))*IF($A63="Residential",'General Inputs'!H$14,'General Inputs'!H$19)</f>
        <v>0</v>
      </c>
      <c r="CB63" s="214">
        <f>IF(AND(($E63+$C$1)&gt;CB$4,CB$4&gt;=$C$1),$H63,IF(AND(($D63+$C$1)&gt;CB$4,CB$4&gt;=$C$1),$G63,0))*IF($A63="Residential",'General Inputs'!I$14,'General Inputs'!I$19)</f>
        <v>0</v>
      </c>
      <c r="CC63" s="214">
        <f>IF(AND(($E63+$C$1)&gt;CC$4,CC$4&gt;=$C$1),$H63,IF(AND(($D63+$C$1)&gt;CC$4,CC$4&gt;=$C$1),$G63,0))*IF($A63="Residential",'General Inputs'!J$14,'General Inputs'!J$19)</f>
        <v>0</v>
      </c>
      <c r="CD63" s="214">
        <f>IF(AND(($E63+$C$1)&gt;CD$4,CD$4&gt;=$C$1),$H63,IF(AND(($D63+$C$1)&gt;CD$4,CD$4&gt;=$C$1),$G63,0))*IF($A63="Residential",'General Inputs'!K$14,'General Inputs'!K$19)</f>
        <v>0</v>
      </c>
      <c r="CE63" s="214">
        <f>IF(AND(($E63+$C$1)&gt;CE$4,CE$4&gt;=$C$1),$H63,IF(AND(($D63+$C$1)&gt;CE$4,CE$4&gt;=$C$1),$G63,0))*IF($A63="Residential",'General Inputs'!L$14,'General Inputs'!L$19)</f>
        <v>0</v>
      </c>
      <c r="CF63" s="214">
        <f>IF(AND(($E63+$C$1)&gt;CF$4,CF$4&gt;=$C$1),$H63,IF(AND(($D63+$C$1)&gt;CF$4,CF$4&gt;=$C$1),$G63,0))*IF($A63="Residential",'General Inputs'!M$14,'General Inputs'!M$19)</f>
        <v>0</v>
      </c>
      <c r="CG63" s="214">
        <f>IF(AND(($E63+$C$1)&gt;CG$4,CG$4&gt;=$C$1),$H63,IF(AND(($D63+$C$1)&gt;CG$4,CG$4&gt;=$C$1),$G63,0))*IF($A63="Residential",'General Inputs'!N$14,'General Inputs'!N$19)</f>
        <v>0</v>
      </c>
      <c r="CH63" s="214">
        <f>IF(AND(($E63+$C$1)&gt;CH$4,CH$4&gt;=$C$1),$H63,IF(AND(($D63+$C$1)&gt;CH$4,CH$4&gt;=$C$1),$G63,0))*IF($A63="Residential",'General Inputs'!O$14,'General Inputs'!O$19)</f>
        <v>0</v>
      </c>
      <c r="CI63" s="214">
        <f>IF(AND(($E63+$C$1)&gt;CI$4,CI$4&gt;=$C$1),$H63,IF(AND(($D63+$C$1)&gt;CI$4,CI$4&gt;=$C$1),$G63,0))*IF($A63="Residential",'General Inputs'!P$14,'General Inputs'!P$19)</f>
        <v>0</v>
      </c>
      <c r="CJ63" s="214">
        <f>IF(AND(($E63+$C$1)&gt;CJ$4,CJ$4&gt;=$C$1),$H63,IF(AND(($D63+$C$1)&gt;CJ$4,CJ$4&gt;=$C$1),$G63,0))*IF($A63="Residential",'General Inputs'!Q$14,'General Inputs'!Q$19)</f>
        <v>0</v>
      </c>
      <c r="CK63" s="214">
        <f>IF(AND(($E63+$C$1)&gt;CK$4,CK$4&gt;=$C$1),$H63,IF(AND(($D63+$C$1)&gt;CK$4,CK$4&gt;=$C$1),$G63,0))*IF($A63="Residential",'General Inputs'!R$14,'General Inputs'!R$19)</f>
        <v>0</v>
      </c>
      <c r="CL63" s="214">
        <f>IF(AND(($E63+$C$1)&gt;CL$4,CL$4&gt;=$C$1),$H63,IF(AND(($D63+$C$1)&gt;CL$4,CL$4&gt;=$C$1),$G63,0))*IF($A63="Residential",'General Inputs'!S$14,'General Inputs'!S$19)</f>
        <v>0</v>
      </c>
      <c r="CM63" s="214">
        <f>IF(AND(($E63+$C$1)&gt;CM$4,CM$4&gt;=$C$1),$H63,IF(AND(($D63+$C$1)&gt;CM$4,CM$4&gt;=$C$1),$G63,0))*IF($A63="Residential",'General Inputs'!T$14,'General Inputs'!T$19)</f>
        <v>0</v>
      </c>
      <c r="CN63" s="214">
        <f>IF(AND(($E63+$C$1)&gt;CN$4,CN$4&gt;=$C$1),$H63,IF(AND(($D63+$C$1)&gt;CN$4,CN$4&gt;=$C$1),$G63,0))*IF($A63="Residential",'General Inputs'!U$14,'General Inputs'!U$19)</f>
        <v>0</v>
      </c>
      <c r="CO63" s="214">
        <f>IF(AND(($E63+$C$1)&gt;CO$4,CO$4&gt;=$C$1),$H63,IF(AND(($D63+$C$1)&gt;CO$4,CO$4&gt;=$C$1),$G63,0))*IF($A63="Residential",'General Inputs'!V$14,'General Inputs'!V$19)</f>
        <v>0</v>
      </c>
      <c r="CP63" s="214">
        <f>IF(AND(($E63+$C$1)&gt;CP$4,CP$4&gt;=$C$1),$H63,IF(AND(($D63+$C$1)&gt;CP$4,CP$4&gt;=$C$1),$G63,0))*IF($A63="Residential",'General Inputs'!W$14,'General Inputs'!W$19)</f>
        <v>0</v>
      </c>
      <c r="CR63" s="214">
        <f>IF(AND(($E63+$C$1)&gt;CR$4,CR$4&gt;=$C$1),$H63,IF(AND(($D63+$C$1)&gt;CR$4,CR$4&gt;=$C$1),$G63,0))*IF($A63="Residential",'General Inputs'!D$15,'General Inputs'!D$19)</f>
        <v>0</v>
      </c>
      <c r="CS63" s="214">
        <f>IF(AND(($E63+$C$1)&gt;CS$4,CS$4&gt;=$C$1),$H63,IF(AND(($D63+$C$1)&gt;CS$4,CS$4&gt;=$C$1),$G63,0))*IF($A63="Residential",'General Inputs'!E$15,'General Inputs'!E$19)</f>
        <v>0</v>
      </c>
      <c r="CT63" s="214">
        <f>IF(AND(($E63+$C$1)&gt;CT$4,CT$4&gt;=$C$1),$H63,IF(AND(($D63+$C$1)&gt;CT$4,CT$4&gt;=$C$1),$G63,0))*IF($A63="Residential",'General Inputs'!F$15,'General Inputs'!F$19)</f>
        <v>0</v>
      </c>
      <c r="CU63" s="214">
        <f>IF(AND(($E63+$C$1)&gt;CU$4,CU$4&gt;=$C$1),$H63,IF(AND(($D63+$C$1)&gt;CU$4,CU$4&gt;=$C$1),$G63,0))*IF($A63="Residential",'General Inputs'!G$15,'General Inputs'!G$19)</f>
        <v>0</v>
      </c>
      <c r="CV63" s="214">
        <f>IF(AND(($E63+$C$1)&gt;CV$4,CV$4&gt;=$C$1),$H63,IF(AND(($D63+$C$1)&gt;CV$4,CV$4&gt;=$C$1),$G63,0))*IF($A63="Residential",'General Inputs'!H$15,'General Inputs'!H$19)</f>
        <v>0</v>
      </c>
      <c r="CW63" s="214">
        <f>IF(AND(($E63+$C$1)&gt;CW$4,CW$4&gt;=$C$1),$H63,IF(AND(($D63+$C$1)&gt;CW$4,CW$4&gt;=$C$1),$G63,0))*IF($A63="Residential",'General Inputs'!I$15,'General Inputs'!I$19)</f>
        <v>0</v>
      </c>
      <c r="CX63" s="214">
        <f>IF(AND(($E63+$C$1)&gt;CX$4,CX$4&gt;=$C$1),$H63,IF(AND(($D63+$C$1)&gt;CX$4,CX$4&gt;=$C$1),$G63,0))*IF($A63="Residential",'General Inputs'!J$15,'General Inputs'!J$19)</f>
        <v>0</v>
      </c>
      <c r="CY63" s="214">
        <f>IF(AND(($E63+$C$1)&gt;CY$4,CY$4&gt;=$C$1),$H63,IF(AND(($D63+$C$1)&gt;CY$4,CY$4&gt;=$C$1),$G63,0))*IF($A63="Residential",'General Inputs'!K$15,'General Inputs'!K$19)</f>
        <v>0</v>
      </c>
      <c r="CZ63" s="214">
        <f>IF(AND(($E63+$C$1)&gt;CZ$4,CZ$4&gt;=$C$1),$H63,IF(AND(($D63+$C$1)&gt;CZ$4,CZ$4&gt;=$C$1),$G63,0))*IF($A63="Residential",'General Inputs'!L$15,'General Inputs'!L$19)</f>
        <v>0</v>
      </c>
      <c r="DA63" s="214">
        <f>IF(AND(($E63+$C$1)&gt;DA$4,DA$4&gt;=$C$1),$H63,IF(AND(($D63+$C$1)&gt;DA$4,DA$4&gt;=$C$1),$G63,0))*IF($A63="Residential",'General Inputs'!M$15,'General Inputs'!M$19)</f>
        <v>0</v>
      </c>
      <c r="DB63" s="214">
        <f>IF(AND(($E63+$C$1)&gt;DB$4,DB$4&gt;=$C$1),$H63,IF(AND(($D63+$C$1)&gt;DB$4,DB$4&gt;=$C$1),$G63,0))*IF($A63="Residential",'General Inputs'!N$15,'General Inputs'!N$19)</f>
        <v>0</v>
      </c>
      <c r="DC63" s="214">
        <f>IF(AND(($E63+$C$1)&gt;DC$4,DC$4&gt;=$C$1),$H63,IF(AND(($D63+$C$1)&gt;DC$4,DC$4&gt;=$C$1),$G63,0))*IF($A63="Residential",'General Inputs'!O$15,'General Inputs'!O$19)</f>
        <v>0</v>
      </c>
      <c r="DD63" s="214">
        <f>IF(AND(($E63+$C$1)&gt;DD$4,DD$4&gt;=$C$1),$H63,IF(AND(($D63+$C$1)&gt;DD$4,DD$4&gt;=$C$1),$G63,0))*IF($A63="Residential",'General Inputs'!P$15,'General Inputs'!P$19)</f>
        <v>0</v>
      </c>
      <c r="DE63" s="214">
        <f>IF(AND(($E63+$C$1)&gt;DE$4,DE$4&gt;=$C$1),$H63,IF(AND(($D63+$C$1)&gt;DE$4,DE$4&gt;=$C$1),$G63,0))*IF($A63="Residential",'General Inputs'!Q$15,'General Inputs'!Q$19)</f>
        <v>0</v>
      </c>
      <c r="DF63" s="214">
        <f>IF(AND(($E63+$C$1)&gt;DF$4,DF$4&gt;=$C$1),$H63,IF(AND(($D63+$C$1)&gt;DF$4,DF$4&gt;=$C$1),$G63,0))*IF($A63="Residential",'General Inputs'!R$15,'General Inputs'!R$19)</f>
        <v>0</v>
      </c>
      <c r="DG63" s="214">
        <f>IF(AND(($E63+$C$1)&gt;DG$4,DG$4&gt;=$C$1),$H63,IF(AND(($D63+$C$1)&gt;DG$4,DG$4&gt;=$C$1),$G63,0))*IF($A63="Residential",'General Inputs'!S$15,'General Inputs'!S$19)</f>
        <v>0</v>
      </c>
      <c r="DH63" s="214">
        <f>IF(AND(($E63+$C$1)&gt;DH$4,DH$4&gt;=$C$1),$H63,IF(AND(($D63+$C$1)&gt;DH$4,DH$4&gt;=$C$1),$G63,0))*IF($A63="Residential",'General Inputs'!T$15,'General Inputs'!T$19)</f>
        <v>0</v>
      </c>
      <c r="DI63" s="214">
        <f>IF(AND(($E63+$C$1)&gt;DI$4,DI$4&gt;=$C$1),$H63,IF(AND(($D63+$C$1)&gt;DI$4,DI$4&gt;=$C$1),$G63,0))*IF($A63="Residential",'General Inputs'!U$15,'General Inputs'!U$19)</f>
        <v>0</v>
      </c>
      <c r="DJ63" s="214">
        <f>IF(AND(($E63+$C$1)&gt;DJ$4,DJ$4&gt;=$C$1),$H63,IF(AND(($D63+$C$1)&gt;DJ$4,DJ$4&gt;=$C$1),$G63,0))*IF($A63="Residential",'General Inputs'!V$15,'General Inputs'!V$19)</f>
        <v>0</v>
      </c>
      <c r="DK63" s="214">
        <f>IF(AND(($E63+$C$1)&gt;DK$4,DK$4&gt;=$C$1),$H63,IF(AND(($D63+$C$1)&gt;DK$4,DK$4&gt;=$C$1),$G63,0))*IF($A63="Residential",'General Inputs'!W$15,'General Inputs'!W$19)</f>
        <v>0</v>
      </c>
      <c r="DM63" s="214">
        <f t="shared" si="441"/>
        <v>0</v>
      </c>
      <c r="DN63" s="214">
        <f t="shared" si="441"/>
        <v>0</v>
      </c>
      <c r="DO63" s="214">
        <f t="shared" si="441"/>
        <v>0</v>
      </c>
      <c r="DP63" s="214">
        <f t="shared" si="441"/>
        <v>0</v>
      </c>
      <c r="DQ63" s="214">
        <f t="shared" si="441"/>
        <v>0</v>
      </c>
      <c r="DR63" s="214">
        <f t="shared" si="441"/>
        <v>0</v>
      </c>
      <c r="DS63" s="214">
        <f t="shared" si="441"/>
        <v>0</v>
      </c>
      <c r="DT63" s="214">
        <f t="shared" si="441"/>
        <v>0</v>
      </c>
      <c r="DU63" s="214">
        <f t="shared" si="441"/>
        <v>0</v>
      </c>
      <c r="DV63" s="214">
        <f t="shared" si="441"/>
        <v>0</v>
      </c>
      <c r="DW63" s="214">
        <f t="shared" si="441"/>
        <v>0</v>
      </c>
      <c r="DZ63" s="650"/>
      <c r="FI63" s="195"/>
      <c r="FJ63" s="195"/>
      <c r="FK63" s="195"/>
      <c r="FL63" s="195"/>
      <c r="FM63" s="195"/>
      <c r="FN63" s="195"/>
      <c r="FO63" s="195"/>
    </row>
    <row r="64" spans="1:171">
      <c r="A64" s="342" t="s">
        <v>112</v>
      </c>
      <c r="B64" s="427" t="str">
        <f>'Portfolio Inputs'!A63</f>
        <v>Multi-CFL Fixture</v>
      </c>
      <c r="C64" s="217">
        <f>IF($C$1=2014,'Portfolio Inputs'!$C63,IF($C$1=2015,'Portfolio Inputs'!$D63,'Portfolio Inputs'!$E63))</f>
        <v>0</v>
      </c>
      <c r="D64" s="504">
        <f>VLOOKUP(B64,Sources!$B$4:$J$104,2,FALSE)</f>
        <v>18</v>
      </c>
      <c r="E64" s="504">
        <f>VLOOKUP(B64,Sources!$B$4:$J$104,3,FALSE)</f>
        <v>0</v>
      </c>
      <c r="G64" s="504">
        <f>IF($C$1=2014,'Portfolio Inputs'!$G63,IF($C$1=2015,'Portfolio Inputs'!$H63,'Portfolio Inputs'!$I63))*EnergyLineLoss</f>
        <v>0</v>
      </c>
      <c r="H64" s="504"/>
      <c r="I64" s="595">
        <f>IF($C$1=2014,'Portfolio Inputs'!$K63,IF($C$1=2015,'Portfolio Inputs'!$L63,'Portfolio Inputs'!$M63))*PeakLineLoss</f>
        <v>0</v>
      </c>
      <c r="J64" s="510"/>
      <c r="L64" s="606">
        <f>IF($C$1=2014,'Portfolio Inputs'!$O63,IF($C$1=2015,'Portfolio Inputs'!$P63,'Portfolio Inputs'!$Q63))</f>
        <v>98</v>
      </c>
      <c r="M64" s="518">
        <f>VLOOKUP($B64,Sources!$B$4:$K$104,10,FALSE)</f>
        <v>0</v>
      </c>
      <c r="N64" s="419">
        <f>IF($C$1=2014,'Portfolio Inputs'!$W63,IF($C$1=2015,'Portfolio Inputs'!$X63,'Portfolio Inputs'!$Y63))</f>
        <v>0</v>
      </c>
      <c r="O64" s="419">
        <f>IF($C$1=2014,'Portfolio Inputs'!$AA63,IF($C$1=2015,'Portfolio Inputs'!$AB63,'Portfolio Inputs'!$AC63))</f>
        <v>0</v>
      </c>
      <c r="Q64" s="438" t="str">
        <f t="shared" si="442"/>
        <v>n/a</v>
      </c>
      <c r="R64" s="439" t="str">
        <f t="shared" si="443"/>
        <v>n/a</v>
      </c>
      <c r="S64" s="439" t="str">
        <f t="shared" si="444"/>
        <v>n/a</v>
      </c>
      <c r="T64" s="439" t="str">
        <f t="shared" si="445"/>
        <v>n/a</v>
      </c>
      <c r="U64" s="439" t="str">
        <f t="shared" si="446"/>
        <v>n/a</v>
      </c>
      <c r="V64" s="439" t="str">
        <f t="shared" si="447"/>
        <v>n/a</v>
      </c>
      <c r="W64" s="439" t="str">
        <f t="shared" si="448"/>
        <v>n/a</v>
      </c>
      <c r="Y64" s="215">
        <f t="shared" si="449"/>
        <v>0</v>
      </c>
      <c r="Z64" s="215">
        <f t="shared" si="450"/>
        <v>0</v>
      </c>
      <c r="AA64" s="215">
        <f t="shared" si="451"/>
        <v>0</v>
      </c>
      <c r="AB64" s="215">
        <f t="shared" si="452"/>
        <v>0</v>
      </c>
      <c r="AC64" s="216">
        <f t="shared" si="453"/>
        <v>0</v>
      </c>
      <c r="AD64" s="216">
        <f t="shared" si="454"/>
        <v>0</v>
      </c>
      <c r="AE64" s="215">
        <f t="shared" si="455"/>
        <v>0</v>
      </c>
      <c r="AG64" s="214">
        <f>IF(AND(($E64+$C$1)&gt;AG$4,AG$4&gt;=$C$1),'General Inputs'!D$9*$H64,IF(AND(($D64+$C$1)&gt;AG$4,AG$4&gt;=$C$1),'General Inputs'!D$9*$G64,0))+IF(AND(($E64+$C$1)&gt;AG$4,AG$4&gt;=$C$1),'General Inputs'!D$10*$J64,IF(AND(($D64+$C$1)&gt;AG$4,AG$4&gt;=$C$1),'General Inputs'!D$10*$I64,0))</f>
        <v>0</v>
      </c>
      <c r="AH64" s="214">
        <f>IF(AND(($E64+$C$1)&gt;AH$4,AH$4&gt;=$C$1),'General Inputs'!E$9*$H64,IF(AND(($D64+$C$1)&gt;AH$4,AH$4&gt;=$C$1),'General Inputs'!E$9*$G64,0))+IF(AND(($E64+$C$1)&gt;AH$4,AH$4&gt;=$C$1),'General Inputs'!E$10*$J64,IF(AND(($D64+$C$1)&gt;AH$4,AH$4&gt;=$C$1),'General Inputs'!E$10*$I64,0))</f>
        <v>0</v>
      </c>
      <c r="AI64" s="214">
        <f>IF(AND(($E64+$C$1)&gt;AI$4,AI$4&gt;=$C$1),'General Inputs'!F$9*$H64,IF(AND(($D64+$C$1)&gt;AI$4,AI$4&gt;=$C$1),'General Inputs'!F$9*$G64,0))+IF(AND(($E64+$C$1)&gt;AI$4,AI$4&gt;=$C$1),'General Inputs'!F$10*$J64,IF(AND(($D64+$C$1)&gt;AI$4,AI$4&gt;=$C$1),'General Inputs'!F$10*$I64,0))</f>
        <v>0</v>
      </c>
      <c r="AJ64" s="214">
        <f>IF(AND(($E64+$C$1)&gt;AJ$4,AJ$4&gt;=$C$1),'General Inputs'!G$9*$H64,IF(AND(($D64+$C$1)&gt;AJ$4,AJ$4&gt;=$C$1),'General Inputs'!G$9*$G64,0))+IF(AND(($E64+$C$1)&gt;AJ$4,AJ$4&gt;=$C$1),'General Inputs'!G$10*$J64,IF(AND(($D64+$C$1)&gt;AJ$4,AJ$4&gt;=$C$1),'General Inputs'!G$10*$I64,0))</f>
        <v>0</v>
      </c>
      <c r="AK64" s="214">
        <f>IF(AND(($E64+$C$1)&gt;AK$4,AK$4&gt;=$C$1),'General Inputs'!H$9*$H64,IF(AND(($D64+$C$1)&gt;AK$4,AK$4&gt;=$C$1),'General Inputs'!H$9*$G64,0))+IF(AND(($E64+$C$1)&gt;AK$4,AK$4&gt;=$C$1),'General Inputs'!H$10*$J64,IF(AND(($D64+$C$1)&gt;AK$4,AK$4&gt;=$C$1),'General Inputs'!H$10*$I64,0))</f>
        <v>0</v>
      </c>
      <c r="AL64" s="214">
        <f>IF(AND(($E64+$C$1)&gt;AL$4,AL$4&gt;=$C$1),'General Inputs'!I$9*$H64,IF(AND(($D64+$C$1)&gt;AL$4,AL$4&gt;=$C$1),'General Inputs'!I$9*$G64,0))+IF(AND(($E64+$C$1)&gt;AL$4,AL$4&gt;=$C$1),'General Inputs'!I$10*$J64,IF(AND(($D64+$C$1)&gt;AL$4,AL$4&gt;=$C$1),'General Inputs'!I$10*$I64,0))</f>
        <v>0</v>
      </c>
      <c r="AM64" s="214">
        <f>IF(AND(($E64+$C$1)&gt;AM$4,AM$4&gt;=$C$1),'General Inputs'!J$9*$H64,IF(AND(($D64+$C$1)&gt;AM$4,AM$4&gt;=$C$1),'General Inputs'!J$9*$G64,0))+IF(AND(($E64+$C$1)&gt;AM$4,AM$4&gt;=$C$1),'General Inputs'!J$10*$J64,IF(AND(($D64+$C$1)&gt;AM$4,AM$4&gt;=$C$1),'General Inputs'!J$10*$I64,0))</f>
        <v>0</v>
      </c>
      <c r="AN64" s="214">
        <f>IF(AND(($E64+$C$1)&gt;AN$4,AN$4&gt;=$C$1),'General Inputs'!K$9*$H64,IF(AND(($D64+$C$1)&gt;AN$4,AN$4&gt;=$C$1),'General Inputs'!K$9*$G64,0))+IF(AND(($E64+$C$1)&gt;AN$4,AN$4&gt;=$C$1),'General Inputs'!K$10*$J64,IF(AND(($D64+$C$1)&gt;AN$4,AN$4&gt;=$C$1),'General Inputs'!K$10*$I64,0))</f>
        <v>0</v>
      </c>
      <c r="AO64" s="214">
        <f>IF(AND(($E64+$C$1)&gt;AO$4,AO$4&gt;=$C$1),'General Inputs'!L$9*$H64,IF(AND(($D64+$C$1)&gt;AO$4,AO$4&gt;=$C$1),'General Inputs'!L$9*$G64,0))+IF(AND(($E64+$C$1)&gt;AO$4,AO$4&gt;=$C$1),'General Inputs'!L$10*$J64,IF(AND(($D64+$C$1)&gt;AO$4,AO$4&gt;=$C$1),'General Inputs'!L$10*$I64,0))</f>
        <v>0</v>
      </c>
      <c r="AP64" s="214">
        <f>IF(AND(($E64+$C$1)&gt;AP$4,AP$4&gt;=$C$1),'General Inputs'!M$9*$H64,IF(AND(($D64+$C$1)&gt;AP$4,AP$4&gt;=$C$1),'General Inputs'!M$9*$G64,0))+IF(AND(($E64+$C$1)&gt;AP$4,AP$4&gt;=$C$1),'General Inputs'!M$10*$J64,IF(AND(($D64+$C$1)&gt;AP$4,AP$4&gt;=$C$1),'General Inputs'!M$10*$I64,0))</f>
        <v>0</v>
      </c>
      <c r="AQ64" s="214">
        <f>IF(AND(($E64+$C$1)&gt;AQ$4,AQ$4&gt;=$C$1),'General Inputs'!N$9*$H64,IF(AND(($D64+$C$1)&gt;AQ$4,AQ$4&gt;=$C$1),'General Inputs'!N$9*$G64,0))+IF(AND(($E64+$C$1)&gt;AQ$4,AQ$4&gt;=$C$1),'General Inputs'!N$10*$J64,IF(AND(($D64+$C$1)&gt;AQ$4,AQ$4&gt;=$C$1),'General Inputs'!N$10*$I64,0))</f>
        <v>0</v>
      </c>
      <c r="AR64" s="214">
        <f>IF(AND(($E64+$C$1)&gt;AR$4,AR$4&gt;=$C$1),'General Inputs'!O$9*$H64,IF(AND(($D64+$C$1)&gt;AR$4,AR$4&gt;=$C$1),'General Inputs'!O$9*$G64,0))+IF(AND(($E64+$C$1)&gt;AR$4,AR$4&gt;=$C$1),'General Inputs'!O$10*$J64,IF(AND(($D64+$C$1)&gt;AR$4,AR$4&gt;=$C$1),'General Inputs'!O$10*$I64,0))</f>
        <v>0</v>
      </c>
      <c r="AS64" s="214">
        <f>IF(AND(($E64+$C$1)&gt;AS$4,AS$4&gt;=$C$1),'General Inputs'!P$9*$H64,IF(AND(($D64+$C$1)&gt;AS$4,AS$4&gt;=$C$1),'General Inputs'!P$9*$G64,0))+IF(AND(($E64+$C$1)&gt;AS$4,AS$4&gt;=$C$1),'General Inputs'!P$10*$J64,IF(AND(($D64+$C$1)&gt;AS$4,AS$4&gt;=$C$1),'General Inputs'!P$10*$I64,0))</f>
        <v>0</v>
      </c>
      <c r="AT64" s="214">
        <f>IF(AND(($E64+$C$1)&gt;AT$4,AT$4&gt;=$C$1),'General Inputs'!Q$9*$H64,IF(AND(($D64+$C$1)&gt;AT$4,AT$4&gt;=$C$1),'General Inputs'!Q$9*$G64,0))+IF(AND(($E64+$C$1)&gt;AT$4,AT$4&gt;=$C$1),'General Inputs'!Q$10*$J64,IF(AND(($D64+$C$1)&gt;AT$4,AT$4&gt;=$C$1),'General Inputs'!Q$10*$I64,0))</f>
        <v>0</v>
      </c>
      <c r="AU64" s="214">
        <f>IF(AND(($E64+$C$1)&gt;AU$4,AU$4&gt;=$C$1),'General Inputs'!R$9*$H64,IF(AND(($D64+$C$1)&gt;AU$4,AU$4&gt;=$C$1),'General Inputs'!R$9*$G64,0))+IF(AND(($E64+$C$1)&gt;AU$4,AU$4&gt;=$C$1),'General Inputs'!R$10*$J64,IF(AND(($D64+$C$1)&gt;AU$4,AU$4&gt;=$C$1),'General Inputs'!R$10*$I64,0))</f>
        <v>0</v>
      </c>
      <c r="AV64" s="214">
        <f>IF(AND(($E64+$C$1)&gt;AV$4,AV$4&gt;=$C$1),'General Inputs'!S$9*$H64,IF(AND(($D64+$C$1)&gt;AV$4,AV$4&gt;=$C$1),'General Inputs'!S$9*$G64,0))+IF(AND(($E64+$C$1)&gt;AV$4,AV$4&gt;=$C$1),'General Inputs'!S$10*$J64,IF(AND(($D64+$C$1)&gt;AV$4,AV$4&gt;=$C$1),'General Inputs'!S$10*$I64,0))</f>
        <v>0</v>
      </c>
      <c r="AW64" s="214">
        <f>IF(AND(($E64+$C$1)&gt;AW$4,AW$4&gt;=$C$1),'General Inputs'!T$9*$H64,IF(AND(($D64+$C$1)&gt;AW$4,AW$4&gt;=$C$1),'General Inputs'!T$9*$G64,0))+IF(AND(($E64+$C$1)&gt;AW$4,AW$4&gt;=$C$1),'General Inputs'!T$10*$J64,IF(AND(($D64+$C$1)&gt;AW$4,AW$4&gt;=$C$1),'General Inputs'!T$10*$I64,0))</f>
        <v>0</v>
      </c>
      <c r="AX64" s="214">
        <f>IF(AND(($E64+$C$1)&gt;AX$4,AX$4&gt;=$C$1),'General Inputs'!U$9*$H64,IF(AND(($D64+$C$1)&gt;AX$4,AX$4&gt;=$C$1),'General Inputs'!U$9*$G64,0))+IF(AND(($E64+$C$1)&gt;AX$4,AX$4&gt;=$C$1),'General Inputs'!U$10*$J64,IF(AND(($D64+$C$1)&gt;AX$4,AX$4&gt;=$C$1),'General Inputs'!U$10*$I64,0))</f>
        <v>0</v>
      </c>
      <c r="AY64" s="214">
        <f>IF(AND(($E64+$C$1)&gt;AY$4,AY$4&gt;=$C$1),'General Inputs'!V$9*$H64,IF(AND(($D64+$C$1)&gt;AY$4,AY$4&gt;=$C$1),'General Inputs'!V$9*$G64,0))+IF(AND(($E64+$C$1)&gt;AY$4,AY$4&gt;=$C$1),'General Inputs'!V$10*$J64,IF(AND(($D64+$C$1)&gt;AY$4,AY$4&gt;=$C$1),'General Inputs'!V$10*$I64,0))</f>
        <v>0</v>
      </c>
      <c r="AZ64" s="214">
        <f>IF(AND(($E64+$C$1)&gt;AZ$4,AZ$4&gt;=$C$1),'General Inputs'!W$9*$H64,IF(AND(($D64+$C$1)&gt;AZ$4,AZ$4&gt;=$C$1),'General Inputs'!W$9*$G64,0))+IF(AND(($E64+$C$1)&gt;AZ$4,AZ$4&gt;=$C$1),'General Inputs'!W$10*$J64,IF(AND(($D64+$C$1)&gt;AZ$4,AZ$4&gt;=$C$1),'General Inputs'!W$10*$I64,0))</f>
        <v>0</v>
      </c>
      <c r="BB64" s="214">
        <f>IF(AND(($E64+$C$1)&gt;BB$4,BB$4&gt;=$C$1),'General Inputs'!D$11*$H64,IF(AND(($D64+$C$1)&gt;BB$4,BB$4&gt;=$C$1),'General Inputs'!D$11*$G64,0))</f>
        <v>0</v>
      </c>
      <c r="BC64" s="214">
        <f>IF(AND(($E64+$C$1)&gt;BC$4,BC$4&gt;=$C$1),'General Inputs'!E$11*$H64,IF(AND(($D64+$C$1)&gt;BC$4,BC$4&gt;=$C$1),'General Inputs'!E$11*$G64,0))</f>
        <v>0</v>
      </c>
      <c r="BD64" s="214">
        <f>IF(AND(($E64+$C$1)&gt;BD$4,BD$4&gt;=$C$1),'General Inputs'!F$11*$H64,IF(AND(($D64+$C$1)&gt;BD$4,BD$4&gt;=$C$1),'General Inputs'!F$11*$G64,0))</f>
        <v>0</v>
      </c>
      <c r="BE64" s="214">
        <f>IF(AND(($E64+$C$1)&gt;BE$4,BE$4&gt;=$C$1),'General Inputs'!G$11*$H64,IF(AND(($D64+$C$1)&gt;BE$4,BE$4&gt;=$C$1),'General Inputs'!G$11*$G64,0))</f>
        <v>0</v>
      </c>
      <c r="BF64" s="214">
        <f>IF(AND(($E64+$C$1)&gt;BF$4,BF$4&gt;=$C$1),'General Inputs'!H$11*$H64,IF(AND(($D64+$C$1)&gt;BF$4,BF$4&gt;=$C$1),'General Inputs'!H$11*$G64,0))</f>
        <v>0</v>
      </c>
      <c r="BG64" s="214">
        <f>IF(AND(($E64+$C$1)&gt;BG$4,BG$4&gt;=$C$1),'General Inputs'!I$11*$H64,IF(AND(($D64+$C$1)&gt;BG$4,BG$4&gt;=$C$1),'General Inputs'!I$11*$G64,0))</f>
        <v>0</v>
      </c>
      <c r="BH64" s="214">
        <f>IF(AND(($E64+$C$1)&gt;BH$4,BH$4&gt;=$C$1),'General Inputs'!J$11*$H64,IF(AND(($D64+$C$1)&gt;BH$4,BH$4&gt;=$C$1),'General Inputs'!J$11*$G64,0))</f>
        <v>0</v>
      </c>
      <c r="BI64" s="214">
        <f>IF(AND(($E64+$C$1)&gt;BI$4,BI$4&gt;=$C$1),'General Inputs'!K$11*$H64,IF(AND(($D64+$C$1)&gt;BI$4,BI$4&gt;=$C$1),'General Inputs'!K$11*$G64,0))</f>
        <v>0</v>
      </c>
      <c r="BJ64" s="214">
        <f>IF(AND(($E64+$C$1)&gt;BJ$4,BJ$4&gt;=$C$1),'General Inputs'!L$11*$H64,IF(AND(($D64+$C$1)&gt;BJ$4,BJ$4&gt;=$C$1),'General Inputs'!L$11*$G64,0))</f>
        <v>0</v>
      </c>
      <c r="BK64" s="214">
        <f>IF(AND(($E64+$C$1)&gt;BK$4,BK$4&gt;=$C$1),'General Inputs'!M$11*$H64,IF(AND(($D64+$C$1)&gt;BK$4,BK$4&gt;=$C$1),'General Inputs'!M$11*$G64,0))</f>
        <v>0</v>
      </c>
      <c r="BL64" s="214">
        <f>IF(AND(($E64+$C$1)&gt;BL$4,BL$4&gt;=$C$1),'General Inputs'!N$11*$H64,IF(AND(($D64+$C$1)&gt;BL$4,BL$4&gt;=$C$1),'General Inputs'!N$11*$G64,0))</f>
        <v>0</v>
      </c>
      <c r="BM64" s="214">
        <f>IF(AND(($E64+$C$1)&gt;BM$4,BM$4&gt;=$C$1),'General Inputs'!O$11*$H64,IF(AND(($D64+$C$1)&gt;BM$4,BM$4&gt;=$C$1),'General Inputs'!O$11*$G64,0))</f>
        <v>0</v>
      </c>
      <c r="BN64" s="214">
        <f>IF(AND(($E64+$C$1)&gt;BN$4,BN$4&gt;=$C$1),'General Inputs'!P$11*$H64,IF(AND(($D64+$C$1)&gt;BN$4,BN$4&gt;=$C$1),'General Inputs'!P$11*$G64,0))</f>
        <v>0</v>
      </c>
      <c r="BO64" s="214">
        <f>IF(AND(($E64+$C$1)&gt;BO$4,BO$4&gt;=$C$1),'General Inputs'!Q$11*$H64,IF(AND(($D64+$C$1)&gt;BO$4,BO$4&gt;=$C$1),'General Inputs'!Q$11*$G64,0))</f>
        <v>0</v>
      </c>
      <c r="BP64" s="214">
        <f>IF(AND(($E64+$C$1)&gt;BP$4,BP$4&gt;=$C$1),'General Inputs'!R$11*$H64,IF(AND(($D64+$C$1)&gt;BP$4,BP$4&gt;=$C$1),'General Inputs'!R$11*$G64,0))</f>
        <v>0</v>
      </c>
      <c r="BQ64" s="214">
        <f>IF(AND(($E64+$C$1)&gt;BQ$4,BQ$4&gt;=$C$1),'General Inputs'!S$11*$H64,IF(AND(($D64+$C$1)&gt;BQ$4,BQ$4&gt;=$C$1),'General Inputs'!S$11*$G64,0))</f>
        <v>0</v>
      </c>
      <c r="BR64" s="214">
        <f>IF(AND(($E64+$C$1)&gt;BR$4,BR$4&gt;=$C$1),'General Inputs'!T$11*$H64,IF(AND(($D64+$C$1)&gt;BR$4,BR$4&gt;=$C$1),'General Inputs'!T$11*$G64,0))</f>
        <v>0</v>
      </c>
      <c r="BS64" s="214">
        <f>IF(AND(($E64+$C$1)&gt;BS$4,BS$4&gt;=$C$1),'General Inputs'!U$11*$H64,IF(AND(($D64+$C$1)&gt;BS$4,BS$4&gt;=$C$1),'General Inputs'!U$11*$G64,0))</f>
        <v>0</v>
      </c>
      <c r="BT64" s="214">
        <f>IF(AND(($E64+$C$1)&gt;BT$4,BT$4&gt;=$C$1),'General Inputs'!V$11*$H64,IF(AND(($D64+$C$1)&gt;BT$4,BT$4&gt;=$C$1),'General Inputs'!V$11*$G64,0))</f>
        <v>0</v>
      </c>
      <c r="BU64" s="214">
        <f>IF(AND(($E64+$C$1)&gt;BU$4,BU$4&gt;=$C$1),'General Inputs'!W$11*$H64,IF(AND(($D64+$C$1)&gt;BU$4,BU$4&gt;=$C$1),'General Inputs'!W$11*$G64,0))</f>
        <v>0</v>
      </c>
      <c r="BW64" s="214">
        <f>IF(AND(($E64+$C$1)&gt;BW$4,BW$4&gt;=$C$1),$H64,IF(AND(($D64+$C$1)&gt;BW$4,BW$4&gt;=$C$1),$G64,0))*IF($A64="Residential",'General Inputs'!D$14,'General Inputs'!D$19)</f>
        <v>0</v>
      </c>
      <c r="BX64" s="214">
        <f>IF(AND(($E64+$C$1)&gt;BX$4,BX$4&gt;=$C$1),$H64,IF(AND(($D64+$C$1)&gt;BX$4,BX$4&gt;=$C$1),$G64,0))*IF($A64="Residential",'General Inputs'!E$14,'General Inputs'!E$19)</f>
        <v>0</v>
      </c>
      <c r="BY64" s="214">
        <f>IF(AND(($E64+$C$1)&gt;BY$4,BY$4&gt;=$C$1),$H64,IF(AND(($D64+$C$1)&gt;BY$4,BY$4&gt;=$C$1),$G64,0))*IF($A64="Residential",'General Inputs'!F$14,'General Inputs'!F$19)</f>
        <v>0</v>
      </c>
      <c r="BZ64" s="214">
        <f>IF(AND(($E64+$C$1)&gt;BZ$4,BZ$4&gt;=$C$1),$H64,IF(AND(($D64+$C$1)&gt;BZ$4,BZ$4&gt;=$C$1),$G64,0))*IF($A64="Residential",'General Inputs'!G$14,'General Inputs'!G$19)</f>
        <v>0</v>
      </c>
      <c r="CA64" s="214">
        <f>IF(AND(($E64+$C$1)&gt;CA$4,CA$4&gt;=$C$1),$H64,IF(AND(($D64+$C$1)&gt;CA$4,CA$4&gt;=$C$1),$G64,0))*IF($A64="Residential",'General Inputs'!H$14,'General Inputs'!H$19)</f>
        <v>0</v>
      </c>
      <c r="CB64" s="214">
        <f>IF(AND(($E64+$C$1)&gt;CB$4,CB$4&gt;=$C$1),$H64,IF(AND(($D64+$C$1)&gt;CB$4,CB$4&gt;=$C$1),$G64,0))*IF($A64="Residential",'General Inputs'!I$14,'General Inputs'!I$19)</f>
        <v>0</v>
      </c>
      <c r="CC64" s="214">
        <f>IF(AND(($E64+$C$1)&gt;CC$4,CC$4&gt;=$C$1),$H64,IF(AND(($D64+$C$1)&gt;CC$4,CC$4&gt;=$C$1),$G64,0))*IF($A64="Residential",'General Inputs'!J$14,'General Inputs'!J$19)</f>
        <v>0</v>
      </c>
      <c r="CD64" s="214">
        <f>IF(AND(($E64+$C$1)&gt;CD$4,CD$4&gt;=$C$1),$H64,IF(AND(($D64+$C$1)&gt;CD$4,CD$4&gt;=$C$1),$G64,0))*IF($A64="Residential",'General Inputs'!K$14,'General Inputs'!K$19)</f>
        <v>0</v>
      </c>
      <c r="CE64" s="214">
        <f>IF(AND(($E64+$C$1)&gt;CE$4,CE$4&gt;=$C$1),$H64,IF(AND(($D64+$C$1)&gt;CE$4,CE$4&gt;=$C$1),$G64,0))*IF($A64="Residential",'General Inputs'!L$14,'General Inputs'!L$19)</f>
        <v>0</v>
      </c>
      <c r="CF64" s="214">
        <f>IF(AND(($E64+$C$1)&gt;CF$4,CF$4&gt;=$C$1),$H64,IF(AND(($D64+$C$1)&gt;CF$4,CF$4&gt;=$C$1),$G64,0))*IF($A64="Residential",'General Inputs'!M$14,'General Inputs'!M$19)</f>
        <v>0</v>
      </c>
      <c r="CG64" s="214">
        <f>IF(AND(($E64+$C$1)&gt;CG$4,CG$4&gt;=$C$1),$H64,IF(AND(($D64+$C$1)&gt;CG$4,CG$4&gt;=$C$1),$G64,0))*IF($A64="Residential",'General Inputs'!N$14,'General Inputs'!N$19)</f>
        <v>0</v>
      </c>
      <c r="CH64" s="214">
        <f>IF(AND(($E64+$C$1)&gt;CH$4,CH$4&gt;=$C$1),$H64,IF(AND(($D64+$C$1)&gt;CH$4,CH$4&gt;=$C$1),$G64,0))*IF($A64="Residential",'General Inputs'!O$14,'General Inputs'!O$19)</f>
        <v>0</v>
      </c>
      <c r="CI64" s="214">
        <f>IF(AND(($E64+$C$1)&gt;CI$4,CI$4&gt;=$C$1),$H64,IF(AND(($D64+$C$1)&gt;CI$4,CI$4&gt;=$C$1),$G64,0))*IF($A64="Residential",'General Inputs'!P$14,'General Inputs'!P$19)</f>
        <v>0</v>
      </c>
      <c r="CJ64" s="214">
        <f>IF(AND(($E64+$C$1)&gt;CJ$4,CJ$4&gt;=$C$1),$H64,IF(AND(($D64+$C$1)&gt;CJ$4,CJ$4&gt;=$C$1),$G64,0))*IF($A64="Residential",'General Inputs'!Q$14,'General Inputs'!Q$19)</f>
        <v>0</v>
      </c>
      <c r="CK64" s="214">
        <f>IF(AND(($E64+$C$1)&gt;CK$4,CK$4&gt;=$C$1),$H64,IF(AND(($D64+$C$1)&gt;CK$4,CK$4&gt;=$C$1),$G64,0))*IF($A64="Residential",'General Inputs'!R$14,'General Inputs'!R$19)</f>
        <v>0</v>
      </c>
      <c r="CL64" s="214">
        <f>IF(AND(($E64+$C$1)&gt;CL$4,CL$4&gt;=$C$1),$H64,IF(AND(($D64+$C$1)&gt;CL$4,CL$4&gt;=$C$1),$G64,0))*IF($A64="Residential",'General Inputs'!S$14,'General Inputs'!S$19)</f>
        <v>0</v>
      </c>
      <c r="CM64" s="214">
        <f>IF(AND(($E64+$C$1)&gt;CM$4,CM$4&gt;=$C$1),$H64,IF(AND(($D64+$C$1)&gt;CM$4,CM$4&gt;=$C$1),$G64,0))*IF($A64="Residential",'General Inputs'!T$14,'General Inputs'!T$19)</f>
        <v>0</v>
      </c>
      <c r="CN64" s="214">
        <f>IF(AND(($E64+$C$1)&gt;CN$4,CN$4&gt;=$C$1),$H64,IF(AND(($D64+$C$1)&gt;CN$4,CN$4&gt;=$C$1),$G64,0))*IF($A64="Residential",'General Inputs'!U$14,'General Inputs'!U$19)</f>
        <v>0</v>
      </c>
      <c r="CO64" s="214">
        <f>IF(AND(($E64+$C$1)&gt;CO$4,CO$4&gt;=$C$1),$H64,IF(AND(($D64+$C$1)&gt;CO$4,CO$4&gt;=$C$1),$G64,0))*IF($A64="Residential",'General Inputs'!V$14,'General Inputs'!V$19)</f>
        <v>0</v>
      </c>
      <c r="CP64" s="214">
        <f>IF(AND(($E64+$C$1)&gt;CP$4,CP$4&gt;=$C$1),$H64,IF(AND(($D64+$C$1)&gt;CP$4,CP$4&gt;=$C$1),$G64,0))*IF($A64="Residential",'General Inputs'!W$14,'General Inputs'!W$19)</f>
        <v>0</v>
      </c>
      <c r="CR64" s="214">
        <f>IF(AND(($E64+$C$1)&gt;CR$4,CR$4&gt;=$C$1),$H64,IF(AND(($D64+$C$1)&gt;CR$4,CR$4&gt;=$C$1),$G64,0))*IF($A64="Residential",'General Inputs'!D$15,'General Inputs'!D$19)</f>
        <v>0</v>
      </c>
      <c r="CS64" s="214">
        <f>IF(AND(($E64+$C$1)&gt;CS$4,CS$4&gt;=$C$1),$H64,IF(AND(($D64+$C$1)&gt;CS$4,CS$4&gt;=$C$1),$G64,0))*IF($A64="Residential",'General Inputs'!E$15,'General Inputs'!E$19)</f>
        <v>0</v>
      </c>
      <c r="CT64" s="214">
        <f>IF(AND(($E64+$C$1)&gt;CT$4,CT$4&gt;=$C$1),$H64,IF(AND(($D64+$C$1)&gt;CT$4,CT$4&gt;=$C$1),$G64,0))*IF($A64="Residential",'General Inputs'!F$15,'General Inputs'!F$19)</f>
        <v>0</v>
      </c>
      <c r="CU64" s="214">
        <f>IF(AND(($E64+$C$1)&gt;CU$4,CU$4&gt;=$C$1),$H64,IF(AND(($D64+$C$1)&gt;CU$4,CU$4&gt;=$C$1),$G64,0))*IF($A64="Residential",'General Inputs'!G$15,'General Inputs'!G$19)</f>
        <v>0</v>
      </c>
      <c r="CV64" s="214">
        <f>IF(AND(($E64+$C$1)&gt;CV$4,CV$4&gt;=$C$1),$H64,IF(AND(($D64+$C$1)&gt;CV$4,CV$4&gt;=$C$1),$G64,0))*IF($A64="Residential",'General Inputs'!H$15,'General Inputs'!H$19)</f>
        <v>0</v>
      </c>
      <c r="CW64" s="214">
        <f>IF(AND(($E64+$C$1)&gt;CW$4,CW$4&gt;=$C$1),$H64,IF(AND(($D64+$C$1)&gt;CW$4,CW$4&gt;=$C$1),$G64,0))*IF($A64="Residential",'General Inputs'!I$15,'General Inputs'!I$19)</f>
        <v>0</v>
      </c>
      <c r="CX64" s="214">
        <f>IF(AND(($E64+$C$1)&gt;CX$4,CX$4&gt;=$C$1),$H64,IF(AND(($D64+$C$1)&gt;CX$4,CX$4&gt;=$C$1),$G64,0))*IF($A64="Residential",'General Inputs'!J$15,'General Inputs'!J$19)</f>
        <v>0</v>
      </c>
      <c r="CY64" s="214">
        <f>IF(AND(($E64+$C$1)&gt;CY$4,CY$4&gt;=$C$1),$H64,IF(AND(($D64+$C$1)&gt;CY$4,CY$4&gt;=$C$1),$G64,0))*IF($A64="Residential",'General Inputs'!K$15,'General Inputs'!K$19)</f>
        <v>0</v>
      </c>
      <c r="CZ64" s="214">
        <f>IF(AND(($E64+$C$1)&gt;CZ$4,CZ$4&gt;=$C$1),$H64,IF(AND(($D64+$C$1)&gt;CZ$4,CZ$4&gt;=$C$1),$G64,0))*IF($A64="Residential",'General Inputs'!L$15,'General Inputs'!L$19)</f>
        <v>0</v>
      </c>
      <c r="DA64" s="214">
        <f>IF(AND(($E64+$C$1)&gt;DA$4,DA$4&gt;=$C$1),$H64,IF(AND(($D64+$C$1)&gt;DA$4,DA$4&gt;=$C$1),$G64,0))*IF($A64="Residential",'General Inputs'!M$15,'General Inputs'!M$19)</f>
        <v>0</v>
      </c>
      <c r="DB64" s="214">
        <f>IF(AND(($E64+$C$1)&gt;DB$4,DB$4&gt;=$C$1),$H64,IF(AND(($D64+$C$1)&gt;DB$4,DB$4&gt;=$C$1),$G64,0))*IF($A64="Residential",'General Inputs'!N$15,'General Inputs'!N$19)</f>
        <v>0</v>
      </c>
      <c r="DC64" s="214">
        <f>IF(AND(($E64+$C$1)&gt;DC$4,DC$4&gt;=$C$1),$H64,IF(AND(($D64+$C$1)&gt;DC$4,DC$4&gt;=$C$1),$G64,0))*IF($A64="Residential",'General Inputs'!O$15,'General Inputs'!O$19)</f>
        <v>0</v>
      </c>
      <c r="DD64" s="214">
        <f>IF(AND(($E64+$C$1)&gt;DD$4,DD$4&gt;=$C$1),$H64,IF(AND(($D64+$C$1)&gt;DD$4,DD$4&gt;=$C$1),$G64,0))*IF($A64="Residential",'General Inputs'!P$15,'General Inputs'!P$19)</f>
        <v>0</v>
      </c>
      <c r="DE64" s="214">
        <f>IF(AND(($E64+$C$1)&gt;DE$4,DE$4&gt;=$C$1),$H64,IF(AND(($D64+$C$1)&gt;DE$4,DE$4&gt;=$C$1),$G64,0))*IF($A64="Residential",'General Inputs'!Q$15,'General Inputs'!Q$19)</f>
        <v>0</v>
      </c>
      <c r="DF64" s="214">
        <f>IF(AND(($E64+$C$1)&gt;DF$4,DF$4&gt;=$C$1),$H64,IF(AND(($D64+$C$1)&gt;DF$4,DF$4&gt;=$C$1),$G64,0))*IF($A64="Residential",'General Inputs'!R$15,'General Inputs'!R$19)</f>
        <v>0</v>
      </c>
      <c r="DG64" s="214">
        <f>IF(AND(($E64+$C$1)&gt;DG$4,DG$4&gt;=$C$1),$H64,IF(AND(($D64+$C$1)&gt;DG$4,DG$4&gt;=$C$1),$G64,0))*IF($A64="Residential",'General Inputs'!S$15,'General Inputs'!S$19)</f>
        <v>0</v>
      </c>
      <c r="DH64" s="214">
        <f>IF(AND(($E64+$C$1)&gt;DH$4,DH$4&gt;=$C$1),$H64,IF(AND(($D64+$C$1)&gt;DH$4,DH$4&gt;=$C$1),$G64,0))*IF($A64="Residential",'General Inputs'!T$15,'General Inputs'!T$19)</f>
        <v>0</v>
      </c>
      <c r="DI64" s="214">
        <f>IF(AND(($E64+$C$1)&gt;DI$4,DI$4&gt;=$C$1),$H64,IF(AND(($D64+$C$1)&gt;DI$4,DI$4&gt;=$C$1),$G64,0))*IF($A64="Residential",'General Inputs'!U$15,'General Inputs'!U$19)</f>
        <v>0</v>
      </c>
      <c r="DJ64" s="214">
        <f>IF(AND(($E64+$C$1)&gt;DJ$4,DJ$4&gt;=$C$1),$H64,IF(AND(($D64+$C$1)&gt;DJ$4,DJ$4&gt;=$C$1),$G64,0))*IF($A64="Residential",'General Inputs'!V$15,'General Inputs'!V$19)</f>
        <v>0</v>
      </c>
      <c r="DK64" s="214">
        <f>IF(AND(($E64+$C$1)&gt;DK$4,DK$4&gt;=$C$1),$H64,IF(AND(($D64+$C$1)&gt;DK$4,DK$4&gt;=$C$1),$G64,0))*IF($A64="Residential",'General Inputs'!W$15,'General Inputs'!W$19)</f>
        <v>0</v>
      </c>
      <c r="DM64" s="214">
        <f t="shared" si="441"/>
        <v>0</v>
      </c>
      <c r="DN64" s="214">
        <f t="shared" si="441"/>
        <v>0</v>
      </c>
      <c r="DO64" s="214">
        <f t="shared" si="441"/>
        <v>0</v>
      </c>
      <c r="DP64" s="214">
        <f t="shared" si="441"/>
        <v>0</v>
      </c>
      <c r="DQ64" s="214">
        <f t="shared" si="441"/>
        <v>0</v>
      </c>
      <c r="DR64" s="214">
        <f t="shared" si="441"/>
        <v>0</v>
      </c>
      <c r="DS64" s="214">
        <f t="shared" si="441"/>
        <v>0</v>
      </c>
      <c r="DT64" s="214">
        <f t="shared" si="441"/>
        <v>0</v>
      </c>
      <c r="DU64" s="214">
        <f t="shared" si="441"/>
        <v>0</v>
      </c>
      <c r="DV64" s="214">
        <f t="shared" si="441"/>
        <v>0</v>
      </c>
      <c r="DW64" s="214">
        <f t="shared" si="441"/>
        <v>0</v>
      </c>
      <c r="DZ64" s="650"/>
      <c r="FI64" s="195"/>
      <c r="FJ64" s="195"/>
      <c r="FK64" s="195"/>
      <c r="FL64" s="195"/>
      <c r="FM64" s="195"/>
      <c r="FN64" s="195"/>
      <c r="FO64" s="195"/>
    </row>
    <row r="65" spans="1:171">
      <c r="A65" s="342" t="s">
        <v>112</v>
      </c>
      <c r="B65" s="427" t="str">
        <f>'Portfolio Inputs'!A64</f>
        <v>Indirect Fixture</v>
      </c>
      <c r="C65" s="217">
        <f>IF($C$1=2014,'Portfolio Inputs'!$C64,IF($C$1=2015,'Portfolio Inputs'!$D64,'Portfolio Inputs'!$E64))</f>
        <v>0</v>
      </c>
      <c r="D65" s="504">
        <f>VLOOKUP(B65,Sources!$B$4:$J$104,2,FALSE)</f>
        <v>18</v>
      </c>
      <c r="E65" s="504">
        <f>VLOOKUP(B65,Sources!$B$4:$J$104,3,FALSE)</f>
        <v>0</v>
      </c>
      <c r="G65" s="504">
        <f>IF($C$1=2014,'Portfolio Inputs'!$G64,IF($C$1=2015,'Portfolio Inputs'!$H64,'Portfolio Inputs'!$I64))*EnergyLineLoss</f>
        <v>0</v>
      </c>
      <c r="H65" s="504"/>
      <c r="I65" s="595">
        <f>IF($C$1=2014,'Portfolio Inputs'!$K64,IF($C$1=2015,'Portfolio Inputs'!$L64,'Portfolio Inputs'!$M64))*PeakLineLoss</f>
        <v>0</v>
      </c>
      <c r="J65" s="510"/>
      <c r="L65" s="606">
        <f>IF($C$1=2014,'Portfolio Inputs'!$O64,IF($C$1=2015,'Portfolio Inputs'!$P64,'Portfolio Inputs'!$Q64))</f>
        <v>60</v>
      </c>
      <c r="M65" s="518">
        <f>VLOOKUP($B65,Sources!$B$4:$K$104,10,FALSE)</f>
        <v>0</v>
      </c>
      <c r="N65" s="419">
        <f>IF($C$1=2014,'Portfolio Inputs'!$W64,IF($C$1=2015,'Portfolio Inputs'!$X64,'Portfolio Inputs'!$Y64))</f>
        <v>0</v>
      </c>
      <c r="O65" s="419">
        <f>IF($C$1=2014,'Portfolio Inputs'!$AA64,IF($C$1=2015,'Portfolio Inputs'!$AB64,'Portfolio Inputs'!$AC64))</f>
        <v>0</v>
      </c>
      <c r="Q65" s="438" t="str">
        <f t="shared" si="442"/>
        <v>n/a</v>
      </c>
      <c r="R65" s="439" t="str">
        <f t="shared" si="443"/>
        <v>n/a</v>
      </c>
      <c r="S65" s="439" t="str">
        <f t="shared" si="444"/>
        <v>n/a</v>
      </c>
      <c r="T65" s="439" t="str">
        <f t="shared" si="445"/>
        <v>n/a</v>
      </c>
      <c r="U65" s="439" t="str">
        <f t="shared" si="446"/>
        <v>n/a</v>
      </c>
      <c r="V65" s="439" t="str">
        <f t="shared" si="447"/>
        <v>n/a</v>
      </c>
      <c r="W65" s="439" t="str">
        <f t="shared" si="448"/>
        <v>n/a</v>
      </c>
      <c r="Y65" s="215">
        <f t="shared" si="449"/>
        <v>0</v>
      </c>
      <c r="Z65" s="215">
        <f t="shared" si="450"/>
        <v>0</v>
      </c>
      <c r="AA65" s="215">
        <f t="shared" si="451"/>
        <v>0</v>
      </c>
      <c r="AB65" s="215">
        <f t="shared" si="452"/>
        <v>0</v>
      </c>
      <c r="AC65" s="216">
        <f t="shared" si="453"/>
        <v>0</v>
      </c>
      <c r="AD65" s="216">
        <f t="shared" si="454"/>
        <v>0</v>
      </c>
      <c r="AE65" s="215">
        <f t="shared" si="455"/>
        <v>0</v>
      </c>
      <c r="AG65" s="214">
        <f>IF(AND(($E65+$C$1)&gt;AG$4,AG$4&gt;=$C$1),'General Inputs'!D$9*$H65,IF(AND(($D65+$C$1)&gt;AG$4,AG$4&gt;=$C$1),'General Inputs'!D$9*$G65,0))+IF(AND(($E65+$C$1)&gt;AG$4,AG$4&gt;=$C$1),'General Inputs'!D$10*$J65,IF(AND(($D65+$C$1)&gt;AG$4,AG$4&gt;=$C$1),'General Inputs'!D$10*$I65,0))</f>
        <v>0</v>
      </c>
      <c r="AH65" s="214">
        <f>IF(AND(($E65+$C$1)&gt;AH$4,AH$4&gt;=$C$1),'General Inputs'!E$9*$H65,IF(AND(($D65+$C$1)&gt;AH$4,AH$4&gt;=$C$1),'General Inputs'!E$9*$G65,0))+IF(AND(($E65+$C$1)&gt;AH$4,AH$4&gt;=$C$1),'General Inputs'!E$10*$J65,IF(AND(($D65+$C$1)&gt;AH$4,AH$4&gt;=$C$1),'General Inputs'!E$10*$I65,0))</f>
        <v>0</v>
      </c>
      <c r="AI65" s="214">
        <f>IF(AND(($E65+$C$1)&gt;AI$4,AI$4&gt;=$C$1),'General Inputs'!F$9*$H65,IF(AND(($D65+$C$1)&gt;AI$4,AI$4&gt;=$C$1),'General Inputs'!F$9*$G65,0))+IF(AND(($E65+$C$1)&gt;AI$4,AI$4&gt;=$C$1),'General Inputs'!F$10*$J65,IF(AND(($D65+$C$1)&gt;AI$4,AI$4&gt;=$C$1),'General Inputs'!F$10*$I65,0))</f>
        <v>0</v>
      </c>
      <c r="AJ65" s="214">
        <f>IF(AND(($E65+$C$1)&gt;AJ$4,AJ$4&gt;=$C$1),'General Inputs'!G$9*$H65,IF(AND(($D65+$C$1)&gt;AJ$4,AJ$4&gt;=$C$1),'General Inputs'!G$9*$G65,0))+IF(AND(($E65+$C$1)&gt;AJ$4,AJ$4&gt;=$C$1),'General Inputs'!G$10*$J65,IF(AND(($D65+$C$1)&gt;AJ$4,AJ$4&gt;=$C$1),'General Inputs'!G$10*$I65,0))</f>
        <v>0</v>
      </c>
      <c r="AK65" s="214">
        <f>IF(AND(($E65+$C$1)&gt;AK$4,AK$4&gt;=$C$1),'General Inputs'!H$9*$H65,IF(AND(($D65+$C$1)&gt;AK$4,AK$4&gt;=$C$1),'General Inputs'!H$9*$G65,0))+IF(AND(($E65+$C$1)&gt;AK$4,AK$4&gt;=$C$1),'General Inputs'!H$10*$J65,IF(AND(($D65+$C$1)&gt;AK$4,AK$4&gt;=$C$1),'General Inputs'!H$10*$I65,0))</f>
        <v>0</v>
      </c>
      <c r="AL65" s="214">
        <f>IF(AND(($E65+$C$1)&gt;AL$4,AL$4&gt;=$C$1),'General Inputs'!I$9*$H65,IF(AND(($D65+$C$1)&gt;AL$4,AL$4&gt;=$C$1),'General Inputs'!I$9*$G65,0))+IF(AND(($E65+$C$1)&gt;AL$4,AL$4&gt;=$C$1),'General Inputs'!I$10*$J65,IF(AND(($D65+$C$1)&gt;AL$4,AL$4&gt;=$C$1),'General Inputs'!I$10*$I65,0))</f>
        <v>0</v>
      </c>
      <c r="AM65" s="214">
        <f>IF(AND(($E65+$C$1)&gt;AM$4,AM$4&gt;=$C$1),'General Inputs'!J$9*$H65,IF(AND(($D65+$C$1)&gt;AM$4,AM$4&gt;=$C$1),'General Inputs'!J$9*$G65,0))+IF(AND(($E65+$C$1)&gt;AM$4,AM$4&gt;=$C$1),'General Inputs'!J$10*$J65,IF(AND(($D65+$C$1)&gt;AM$4,AM$4&gt;=$C$1),'General Inputs'!J$10*$I65,0))</f>
        <v>0</v>
      </c>
      <c r="AN65" s="214">
        <f>IF(AND(($E65+$C$1)&gt;AN$4,AN$4&gt;=$C$1),'General Inputs'!K$9*$H65,IF(AND(($D65+$C$1)&gt;AN$4,AN$4&gt;=$C$1),'General Inputs'!K$9*$G65,0))+IF(AND(($E65+$C$1)&gt;AN$4,AN$4&gt;=$C$1),'General Inputs'!K$10*$J65,IF(AND(($D65+$C$1)&gt;AN$4,AN$4&gt;=$C$1),'General Inputs'!K$10*$I65,0))</f>
        <v>0</v>
      </c>
      <c r="AO65" s="214">
        <f>IF(AND(($E65+$C$1)&gt;AO$4,AO$4&gt;=$C$1),'General Inputs'!L$9*$H65,IF(AND(($D65+$C$1)&gt;AO$4,AO$4&gt;=$C$1),'General Inputs'!L$9*$G65,0))+IF(AND(($E65+$C$1)&gt;AO$4,AO$4&gt;=$C$1),'General Inputs'!L$10*$J65,IF(AND(($D65+$C$1)&gt;AO$4,AO$4&gt;=$C$1),'General Inputs'!L$10*$I65,0))</f>
        <v>0</v>
      </c>
      <c r="AP65" s="214">
        <f>IF(AND(($E65+$C$1)&gt;AP$4,AP$4&gt;=$C$1),'General Inputs'!M$9*$H65,IF(AND(($D65+$C$1)&gt;AP$4,AP$4&gt;=$C$1),'General Inputs'!M$9*$G65,0))+IF(AND(($E65+$C$1)&gt;AP$4,AP$4&gt;=$C$1),'General Inputs'!M$10*$J65,IF(AND(($D65+$C$1)&gt;AP$4,AP$4&gt;=$C$1),'General Inputs'!M$10*$I65,0))</f>
        <v>0</v>
      </c>
      <c r="AQ65" s="214">
        <f>IF(AND(($E65+$C$1)&gt;AQ$4,AQ$4&gt;=$C$1),'General Inputs'!N$9*$H65,IF(AND(($D65+$C$1)&gt;AQ$4,AQ$4&gt;=$C$1),'General Inputs'!N$9*$G65,0))+IF(AND(($E65+$C$1)&gt;AQ$4,AQ$4&gt;=$C$1),'General Inputs'!N$10*$J65,IF(AND(($D65+$C$1)&gt;AQ$4,AQ$4&gt;=$C$1),'General Inputs'!N$10*$I65,0))</f>
        <v>0</v>
      </c>
      <c r="AR65" s="214">
        <f>IF(AND(($E65+$C$1)&gt;AR$4,AR$4&gt;=$C$1),'General Inputs'!O$9*$H65,IF(AND(($D65+$C$1)&gt;AR$4,AR$4&gt;=$C$1),'General Inputs'!O$9*$G65,0))+IF(AND(($E65+$C$1)&gt;AR$4,AR$4&gt;=$C$1),'General Inputs'!O$10*$J65,IF(AND(($D65+$C$1)&gt;AR$4,AR$4&gt;=$C$1),'General Inputs'!O$10*$I65,0))</f>
        <v>0</v>
      </c>
      <c r="AS65" s="214">
        <f>IF(AND(($E65+$C$1)&gt;AS$4,AS$4&gt;=$C$1),'General Inputs'!P$9*$H65,IF(AND(($D65+$C$1)&gt;AS$4,AS$4&gt;=$C$1),'General Inputs'!P$9*$G65,0))+IF(AND(($E65+$C$1)&gt;AS$4,AS$4&gt;=$C$1),'General Inputs'!P$10*$J65,IF(AND(($D65+$C$1)&gt;AS$4,AS$4&gt;=$C$1),'General Inputs'!P$10*$I65,0))</f>
        <v>0</v>
      </c>
      <c r="AT65" s="214">
        <f>IF(AND(($E65+$C$1)&gt;AT$4,AT$4&gt;=$C$1),'General Inputs'!Q$9*$H65,IF(AND(($D65+$C$1)&gt;AT$4,AT$4&gt;=$C$1),'General Inputs'!Q$9*$G65,0))+IF(AND(($E65+$C$1)&gt;AT$4,AT$4&gt;=$C$1),'General Inputs'!Q$10*$J65,IF(AND(($D65+$C$1)&gt;AT$4,AT$4&gt;=$C$1),'General Inputs'!Q$10*$I65,0))</f>
        <v>0</v>
      </c>
      <c r="AU65" s="214">
        <f>IF(AND(($E65+$C$1)&gt;AU$4,AU$4&gt;=$C$1),'General Inputs'!R$9*$H65,IF(AND(($D65+$C$1)&gt;AU$4,AU$4&gt;=$C$1),'General Inputs'!R$9*$G65,0))+IF(AND(($E65+$C$1)&gt;AU$4,AU$4&gt;=$C$1),'General Inputs'!R$10*$J65,IF(AND(($D65+$C$1)&gt;AU$4,AU$4&gt;=$C$1),'General Inputs'!R$10*$I65,0))</f>
        <v>0</v>
      </c>
      <c r="AV65" s="214">
        <f>IF(AND(($E65+$C$1)&gt;AV$4,AV$4&gt;=$C$1),'General Inputs'!S$9*$H65,IF(AND(($D65+$C$1)&gt;AV$4,AV$4&gt;=$C$1),'General Inputs'!S$9*$G65,0))+IF(AND(($E65+$C$1)&gt;AV$4,AV$4&gt;=$C$1),'General Inputs'!S$10*$J65,IF(AND(($D65+$C$1)&gt;AV$4,AV$4&gt;=$C$1),'General Inputs'!S$10*$I65,0))</f>
        <v>0</v>
      </c>
      <c r="AW65" s="214">
        <f>IF(AND(($E65+$C$1)&gt;AW$4,AW$4&gt;=$C$1),'General Inputs'!T$9*$H65,IF(AND(($D65+$C$1)&gt;AW$4,AW$4&gt;=$C$1),'General Inputs'!T$9*$G65,0))+IF(AND(($E65+$C$1)&gt;AW$4,AW$4&gt;=$C$1),'General Inputs'!T$10*$J65,IF(AND(($D65+$C$1)&gt;AW$4,AW$4&gt;=$C$1),'General Inputs'!T$10*$I65,0))</f>
        <v>0</v>
      </c>
      <c r="AX65" s="214">
        <f>IF(AND(($E65+$C$1)&gt;AX$4,AX$4&gt;=$C$1),'General Inputs'!U$9*$H65,IF(AND(($D65+$C$1)&gt;AX$4,AX$4&gt;=$C$1),'General Inputs'!U$9*$G65,0))+IF(AND(($E65+$C$1)&gt;AX$4,AX$4&gt;=$C$1),'General Inputs'!U$10*$J65,IF(AND(($D65+$C$1)&gt;AX$4,AX$4&gt;=$C$1),'General Inputs'!U$10*$I65,0))</f>
        <v>0</v>
      </c>
      <c r="AY65" s="214">
        <f>IF(AND(($E65+$C$1)&gt;AY$4,AY$4&gt;=$C$1),'General Inputs'!V$9*$H65,IF(AND(($D65+$C$1)&gt;AY$4,AY$4&gt;=$C$1),'General Inputs'!V$9*$G65,0))+IF(AND(($E65+$C$1)&gt;AY$4,AY$4&gt;=$C$1),'General Inputs'!V$10*$J65,IF(AND(($D65+$C$1)&gt;AY$4,AY$4&gt;=$C$1),'General Inputs'!V$10*$I65,0))</f>
        <v>0</v>
      </c>
      <c r="AZ65" s="214">
        <f>IF(AND(($E65+$C$1)&gt;AZ$4,AZ$4&gt;=$C$1),'General Inputs'!W$9*$H65,IF(AND(($D65+$C$1)&gt;AZ$4,AZ$4&gt;=$C$1),'General Inputs'!W$9*$G65,0))+IF(AND(($E65+$C$1)&gt;AZ$4,AZ$4&gt;=$C$1),'General Inputs'!W$10*$J65,IF(AND(($D65+$C$1)&gt;AZ$4,AZ$4&gt;=$C$1),'General Inputs'!W$10*$I65,0))</f>
        <v>0</v>
      </c>
      <c r="BB65" s="214">
        <f>IF(AND(($E65+$C$1)&gt;BB$4,BB$4&gt;=$C$1),'General Inputs'!D$11*$H65,IF(AND(($D65+$C$1)&gt;BB$4,BB$4&gt;=$C$1),'General Inputs'!D$11*$G65,0))</f>
        <v>0</v>
      </c>
      <c r="BC65" s="214">
        <f>IF(AND(($E65+$C$1)&gt;BC$4,BC$4&gt;=$C$1),'General Inputs'!E$11*$H65,IF(AND(($D65+$C$1)&gt;BC$4,BC$4&gt;=$C$1),'General Inputs'!E$11*$G65,0))</f>
        <v>0</v>
      </c>
      <c r="BD65" s="214">
        <f>IF(AND(($E65+$C$1)&gt;BD$4,BD$4&gt;=$C$1),'General Inputs'!F$11*$H65,IF(AND(($D65+$C$1)&gt;BD$4,BD$4&gt;=$C$1),'General Inputs'!F$11*$G65,0))</f>
        <v>0</v>
      </c>
      <c r="BE65" s="214">
        <f>IF(AND(($E65+$C$1)&gt;BE$4,BE$4&gt;=$C$1),'General Inputs'!G$11*$H65,IF(AND(($D65+$C$1)&gt;BE$4,BE$4&gt;=$C$1),'General Inputs'!G$11*$G65,0))</f>
        <v>0</v>
      </c>
      <c r="BF65" s="214">
        <f>IF(AND(($E65+$C$1)&gt;BF$4,BF$4&gt;=$C$1),'General Inputs'!H$11*$H65,IF(AND(($D65+$C$1)&gt;BF$4,BF$4&gt;=$C$1),'General Inputs'!H$11*$G65,0))</f>
        <v>0</v>
      </c>
      <c r="BG65" s="214">
        <f>IF(AND(($E65+$C$1)&gt;BG$4,BG$4&gt;=$C$1),'General Inputs'!I$11*$H65,IF(AND(($D65+$C$1)&gt;BG$4,BG$4&gt;=$C$1),'General Inputs'!I$11*$G65,0))</f>
        <v>0</v>
      </c>
      <c r="BH65" s="214">
        <f>IF(AND(($E65+$C$1)&gt;BH$4,BH$4&gt;=$C$1),'General Inputs'!J$11*$H65,IF(AND(($D65+$C$1)&gt;BH$4,BH$4&gt;=$C$1),'General Inputs'!J$11*$G65,0))</f>
        <v>0</v>
      </c>
      <c r="BI65" s="214">
        <f>IF(AND(($E65+$C$1)&gt;BI$4,BI$4&gt;=$C$1),'General Inputs'!K$11*$H65,IF(AND(($D65+$C$1)&gt;BI$4,BI$4&gt;=$C$1),'General Inputs'!K$11*$G65,0))</f>
        <v>0</v>
      </c>
      <c r="BJ65" s="214">
        <f>IF(AND(($E65+$C$1)&gt;BJ$4,BJ$4&gt;=$C$1),'General Inputs'!L$11*$H65,IF(AND(($D65+$C$1)&gt;BJ$4,BJ$4&gt;=$C$1),'General Inputs'!L$11*$G65,0))</f>
        <v>0</v>
      </c>
      <c r="BK65" s="214">
        <f>IF(AND(($E65+$C$1)&gt;BK$4,BK$4&gt;=$C$1),'General Inputs'!M$11*$H65,IF(AND(($D65+$C$1)&gt;BK$4,BK$4&gt;=$C$1),'General Inputs'!M$11*$G65,0))</f>
        <v>0</v>
      </c>
      <c r="BL65" s="214">
        <f>IF(AND(($E65+$C$1)&gt;BL$4,BL$4&gt;=$C$1),'General Inputs'!N$11*$H65,IF(AND(($D65+$C$1)&gt;BL$4,BL$4&gt;=$C$1),'General Inputs'!N$11*$G65,0))</f>
        <v>0</v>
      </c>
      <c r="BM65" s="214">
        <f>IF(AND(($E65+$C$1)&gt;BM$4,BM$4&gt;=$C$1),'General Inputs'!O$11*$H65,IF(AND(($D65+$C$1)&gt;BM$4,BM$4&gt;=$C$1),'General Inputs'!O$11*$G65,0))</f>
        <v>0</v>
      </c>
      <c r="BN65" s="214">
        <f>IF(AND(($E65+$C$1)&gt;BN$4,BN$4&gt;=$C$1),'General Inputs'!P$11*$H65,IF(AND(($D65+$C$1)&gt;BN$4,BN$4&gt;=$C$1),'General Inputs'!P$11*$G65,0))</f>
        <v>0</v>
      </c>
      <c r="BO65" s="214">
        <f>IF(AND(($E65+$C$1)&gt;BO$4,BO$4&gt;=$C$1),'General Inputs'!Q$11*$H65,IF(AND(($D65+$C$1)&gt;BO$4,BO$4&gt;=$C$1),'General Inputs'!Q$11*$G65,0))</f>
        <v>0</v>
      </c>
      <c r="BP65" s="214">
        <f>IF(AND(($E65+$C$1)&gt;BP$4,BP$4&gt;=$C$1),'General Inputs'!R$11*$H65,IF(AND(($D65+$C$1)&gt;BP$4,BP$4&gt;=$C$1),'General Inputs'!R$11*$G65,0))</f>
        <v>0</v>
      </c>
      <c r="BQ65" s="214">
        <f>IF(AND(($E65+$C$1)&gt;BQ$4,BQ$4&gt;=$C$1),'General Inputs'!S$11*$H65,IF(AND(($D65+$C$1)&gt;BQ$4,BQ$4&gt;=$C$1),'General Inputs'!S$11*$G65,0))</f>
        <v>0</v>
      </c>
      <c r="BR65" s="214">
        <f>IF(AND(($E65+$C$1)&gt;BR$4,BR$4&gt;=$C$1),'General Inputs'!T$11*$H65,IF(AND(($D65+$C$1)&gt;BR$4,BR$4&gt;=$C$1),'General Inputs'!T$11*$G65,0))</f>
        <v>0</v>
      </c>
      <c r="BS65" s="214">
        <f>IF(AND(($E65+$C$1)&gt;BS$4,BS$4&gt;=$C$1),'General Inputs'!U$11*$H65,IF(AND(($D65+$C$1)&gt;BS$4,BS$4&gt;=$C$1),'General Inputs'!U$11*$G65,0))</f>
        <v>0</v>
      </c>
      <c r="BT65" s="214">
        <f>IF(AND(($E65+$C$1)&gt;BT$4,BT$4&gt;=$C$1),'General Inputs'!V$11*$H65,IF(AND(($D65+$C$1)&gt;BT$4,BT$4&gt;=$C$1),'General Inputs'!V$11*$G65,0))</f>
        <v>0</v>
      </c>
      <c r="BU65" s="214">
        <f>IF(AND(($E65+$C$1)&gt;BU$4,BU$4&gt;=$C$1),'General Inputs'!W$11*$H65,IF(AND(($D65+$C$1)&gt;BU$4,BU$4&gt;=$C$1),'General Inputs'!W$11*$G65,0))</f>
        <v>0</v>
      </c>
      <c r="BW65" s="214">
        <f>IF(AND(($E65+$C$1)&gt;BW$4,BW$4&gt;=$C$1),$H65,IF(AND(($D65+$C$1)&gt;BW$4,BW$4&gt;=$C$1),$G65,0))*IF($A65="Residential",'General Inputs'!D$14,'General Inputs'!D$19)</f>
        <v>0</v>
      </c>
      <c r="BX65" s="214">
        <f>IF(AND(($E65+$C$1)&gt;BX$4,BX$4&gt;=$C$1),$H65,IF(AND(($D65+$C$1)&gt;BX$4,BX$4&gt;=$C$1),$G65,0))*IF($A65="Residential",'General Inputs'!E$14,'General Inputs'!E$19)</f>
        <v>0</v>
      </c>
      <c r="BY65" s="214">
        <f>IF(AND(($E65+$C$1)&gt;BY$4,BY$4&gt;=$C$1),$H65,IF(AND(($D65+$C$1)&gt;BY$4,BY$4&gt;=$C$1),$G65,0))*IF($A65="Residential",'General Inputs'!F$14,'General Inputs'!F$19)</f>
        <v>0</v>
      </c>
      <c r="BZ65" s="214">
        <f>IF(AND(($E65+$C$1)&gt;BZ$4,BZ$4&gt;=$C$1),$H65,IF(AND(($D65+$C$1)&gt;BZ$4,BZ$4&gt;=$C$1),$G65,0))*IF($A65="Residential",'General Inputs'!G$14,'General Inputs'!G$19)</f>
        <v>0</v>
      </c>
      <c r="CA65" s="214">
        <f>IF(AND(($E65+$C$1)&gt;CA$4,CA$4&gt;=$C$1),$H65,IF(AND(($D65+$C$1)&gt;CA$4,CA$4&gt;=$C$1),$G65,0))*IF($A65="Residential",'General Inputs'!H$14,'General Inputs'!H$19)</f>
        <v>0</v>
      </c>
      <c r="CB65" s="214">
        <f>IF(AND(($E65+$C$1)&gt;CB$4,CB$4&gt;=$C$1),$H65,IF(AND(($D65+$C$1)&gt;CB$4,CB$4&gt;=$C$1),$G65,0))*IF($A65="Residential",'General Inputs'!I$14,'General Inputs'!I$19)</f>
        <v>0</v>
      </c>
      <c r="CC65" s="214">
        <f>IF(AND(($E65+$C$1)&gt;CC$4,CC$4&gt;=$C$1),$H65,IF(AND(($D65+$C$1)&gt;CC$4,CC$4&gt;=$C$1),$G65,0))*IF($A65="Residential",'General Inputs'!J$14,'General Inputs'!J$19)</f>
        <v>0</v>
      </c>
      <c r="CD65" s="214">
        <f>IF(AND(($E65+$C$1)&gt;CD$4,CD$4&gt;=$C$1),$H65,IF(AND(($D65+$C$1)&gt;CD$4,CD$4&gt;=$C$1),$G65,0))*IF($A65="Residential",'General Inputs'!K$14,'General Inputs'!K$19)</f>
        <v>0</v>
      </c>
      <c r="CE65" s="214">
        <f>IF(AND(($E65+$C$1)&gt;CE$4,CE$4&gt;=$C$1),$H65,IF(AND(($D65+$C$1)&gt;CE$4,CE$4&gt;=$C$1),$G65,0))*IF($A65="Residential",'General Inputs'!L$14,'General Inputs'!L$19)</f>
        <v>0</v>
      </c>
      <c r="CF65" s="214">
        <f>IF(AND(($E65+$C$1)&gt;CF$4,CF$4&gt;=$C$1),$H65,IF(AND(($D65+$C$1)&gt;CF$4,CF$4&gt;=$C$1),$G65,0))*IF($A65="Residential",'General Inputs'!M$14,'General Inputs'!M$19)</f>
        <v>0</v>
      </c>
      <c r="CG65" s="214">
        <f>IF(AND(($E65+$C$1)&gt;CG$4,CG$4&gt;=$C$1),$H65,IF(AND(($D65+$C$1)&gt;CG$4,CG$4&gt;=$C$1),$G65,0))*IF($A65="Residential",'General Inputs'!N$14,'General Inputs'!N$19)</f>
        <v>0</v>
      </c>
      <c r="CH65" s="214">
        <f>IF(AND(($E65+$C$1)&gt;CH$4,CH$4&gt;=$C$1),$H65,IF(AND(($D65+$C$1)&gt;CH$4,CH$4&gt;=$C$1),$G65,0))*IF($A65="Residential",'General Inputs'!O$14,'General Inputs'!O$19)</f>
        <v>0</v>
      </c>
      <c r="CI65" s="214">
        <f>IF(AND(($E65+$C$1)&gt;CI$4,CI$4&gt;=$C$1),$H65,IF(AND(($D65+$C$1)&gt;CI$4,CI$4&gt;=$C$1),$G65,0))*IF($A65="Residential",'General Inputs'!P$14,'General Inputs'!P$19)</f>
        <v>0</v>
      </c>
      <c r="CJ65" s="214">
        <f>IF(AND(($E65+$C$1)&gt;CJ$4,CJ$4&gt;=$C$1),$H65,IF(AND(($D65+$C$1)&gt;CJ$4,CJ$4&gt;=$C$1),$G65,0))*IF($A65="Residential",'General Inputs'!Q$14,'General Inputs'!Q$19)</f>
        <v>0</v>
      </c>
      <c r="CK65" s="214">
        <f>IF(AND(($E65+$C$1)&gt;CK$4,CK$4&gt;=$C$1),$H65,IF(AND(($D65+$C$1)&gt;CK$4,CK$4&gt;=$C$1),$G65,0))*IF($A65="Residential",'General Inputs'!R$14,'General Inputs'!R$19)</f>
        <v>0</v>
      </c>
      <c r="CL65" s="214">
        <f>IF(AND(($E65+$C$1)&gt;CL$4,CL$4&gt;=$C$1),$H65,IF(AND(($D65+$C$1)&gt;CL$4,CL$4&gt;=$C$1),$G65,0))*IF($A65="Residential",'General Inputs'!S$14,'General Inputs'!S$19)</f>
        <v>0</v>
      </c>
      <c r="CM65" s="214">
        <f>IF(AND(($E65+$C$1)&gt;CM$4,CM$4&gt;=$C$1),$H65,IF(AND(($D65+$C$1)&gt;CM$4,CM$4&gt;=$C$1),$G65,0))*IF($A65="Residential",'General Inputs'!T$14,'General Inputs'!T$19)</f>
        <v>0</v>
      </c>
      <c r="CN65" s="214">
        <f>IF(AND(($E65+$C$1)&gt;CN$4,CN$4&gt;=$C$1),$H65,IF(AND(($D65+$C$1)&gt;CN$4,CN$4&gt;=$C$1),$G65,0))*IF($A65="Residential",'General Inputs'!U$14,'General Inputs'!U$19)</f>
        <v>0</v>
      </c>
      <c r="CO65" s="214">
        <f>IF(AND(($E65+$C$1)&gt;CO$4,CO$4&gt;=$C$1),$H65,IF(AND(($D65+$C$1)&gt;CO$4,CO$4&gt;=$C$1),$G65,0))*IF($A65="Residential",'General Inputs'!V$14,'General Inputs'!V$19)</f>
        <v>0</v>
      </c>
      <c r="CP65" s="214">
        <f>IF(AND(($E65+$C$1)&gt;CP$4,CP$4&gt;=$C$1),$H65,IF(AND(($D65+$C$1)&gt;CP$4,CP$4&gt;=$C$1),$G65,0))*IF($A65="Residential",'General Inputs'!W$14,'General Inputs'!W$19)</f>
        <v>0</v>
      </c>
      <c r="CR65" s="214">
        <f>IF(AND(($E65+$C$1)&gt;CR$4,CR$4&gt;=$C$1),$H65,IF(AND(($D65+$C$1)&gt;CR$4,CR$4&gt;=$C$1),$G65,0))*IF($A65="Residential",'General Inputs'!D$15,'General Inputs'!D$19)</f>
        <v>0</v>
      </c>
      <c r="CS65" s="214">
        <f>IF(AND(($E65+$C$1)&gt;CS$4,CS$4&gt;=$C$1),$H65,IF(AND(($D65+$C$1)&gt;CS$4,CS$4&gt;=$C$1),$G65,0))*IF($A65="Residential",'General Inputs'!E$15,'General Inputs'!E$19)</f>
        <v>0</v>
      </c>
      <c r="CT65" s="214">
        <f>IF(AND(($E65+$C$1)&gt;CT$4,CT$4&gt;=$C$1),$H65,IF(AND(($D65+$C$1)&gt;CT$4,CT$4&gt;=$C$1),$G65,0))*IF($A65="Residential",'General Inputs'!F$15,'General Inputs'!F$19)</f>
        <v>0</v>
      </c>
      <c r="CU65" s="214">
        <f>IF(AND(($E65+$C$1)&gt;CU$4,CU$4&gt;=$C$1),$H65,IF(AND(($D65+$C$1)&gt;CU$4,CU$4&gt;=$C$1),$G65,0))*IF($A65="Residential",'General Inputs'!G$15,'General Inputs'!G$19)</f>
        <v>0</v>
      </c>
      <c r="CV65" s="214">
        <f>IF(AND(($E65+$C$1)&gt;CV$4,CV$4&gt;=$C$1),$H65,IF(AND(($D65+$C$1)&gt;CV$4,CV$4&gt;=$C$1),$G65,0))*IF($A65="Residential",'General Inputs'!H$15,'General Inputs'!H$19)</f>
        <v>0</v>
      </c>
      <c r="CW65" s="214">
        <f>IF(AND(($E65+$C$1)&gt;CW$4,CW$4&gt;=$C$1),$H65,IF(AND(($D65+$C$1)&gt;CW$4,CW$4&gt;=$C$1),$G65,0))*IF($A65="Residential",'General Inputs'!I$15,'General Inputs'!I$19)</f>
        <v>0</v>
      </c>
      <c r="CX65" s="214">
        <f>IF(AND(($E65+$C$1)&gt;CX$4,CX$4&gt;=$C$1),$H65,IF(AND(($D65+$C$1)&gt;CX$4,CX$4&gt;=$C$1),$G65,0))*IF($A65="Residential",'General Inputs'!J$15,'General Inputs'!J$19)</f>
        <v>0</v>
      </c>
      <c r="CY65" s="214">
        <f>IF(AND(($E65+$C$1)&gt;CY$4,CY$4&gt;=$C$1),$H65,IF(AND(($D65+$C$1)&gt;CY$4,CY$4&gt;=$C$1),$G65,0))*IF($A65="Residential",'General Inputs'!K$15,'General Inputs'!K$19)</f>
        <v>0</v>
      </c>
      <c r="CZ65" s="214">
        <f>IF(AND(($E65+$C$1)&gt;CZ$4,CZ$4&gt;=$C$1),$H65,IF(AND(($D65+$C$1)&gt;CZ$4,CZ$4&gt;=$C$1),$G65,0))*IF($A65="Residential",'General Inputs'!L$15,'General Inputs'!L$19)</f>
        <v>0</v>
      </c>
      <c r="DA65" s="214">
        <f>IF(AND(($E65+$C$1)&gt;DA$4,DA$4&gt;=$C$1),$H65,IF(AND(($D65+$C$1)&gt;DA$4,DA$4&gt;=$C$1),$G65,0))*IF($A65="Residential",'General Inputs'!M$15,'General Inputs'!M$19)</f>
        <v>0</v>
      </c>
      <c r="DB65" s="214">
        <f>IF(AND(($E65+$C$1)&gt;DB$4,DB$4&gt;=$C$1),$H65,IF(AND(($D65+$C$1)&gt;DB$4,DB$4&gt;=$C$1),$G65,0))*IF($A65="Residential",'General Inputs'!N$15,'General Inputs'!N$19)</f>
        <v>0</v>
      </c>
      <c r="DC65" s="214">
        <f>IF(AND(($E65+$C$1)&gt;DC$4,DC$4&gt;=$C$1),$H65,IF(AND(($D65+$C$1)&gt;DC$4,DC$4&gt;=$C$1),$G65,0))*IF($A65="Residential",'General Inputs'!O$15,'General Inputs'!O$19)</f>
        <v>0</v>
      </c>
      <c r="DD65" s="214">
        <f>IF(AND(($E65+$C$1)&gt;DD$4,DD$4&gt;=$C$1),$H65,IF(AND(($D65+$C$1)&gt;DD$4,DD$4&gt;=$C$1),$G65,0))*IF($A65="Residential",'General Inputs'!P$15,'General Inputs'!P$19)</f>
        <v>0</v>
      </c>
      <c r="DE65" s="214">
        <f>IF(AND(($E65+$C$1)&gt;DE$4,DE$4&gt;=$C$1),$H65,IF(AND(($D65+$C$1)&gt;DE$4,DE$4&gt;=$C$1),$G65,0))*IF($A65="Residential",'General Inputs'!Q$15,'General Inputs'!Q$19)</f>
        <v>0</v>
      </c>
      <c r="DF65" s="214">
        <f>IF(AND(($E65+$C$1)&gt;DF$4,DF$4&gt;=$C$1),$H65,IF(AND(($D65+$C$1)&gt;DF$4,DF$4&gt;=$C$1),$G65,0))*IF($A65="Residential",'General Inputs'!R$15,'General Inputs'!R$19)</f>
        <v>0</v>
      </c>
      <c r="DG65" s="214">
        <f>IF(AND(($E65+$C$1)&gt;DG$4,DG$4&gt;=$C$1),$H65,IF(AND(($D65+$C$1)&gt;DG$4,DG$4&gt;=$C$1),$G65,0))*IF($A65="Residential",'General Inputs'!S$15,'General Inputs'!S$19)</f>
        <v>0</v>
      </c>
      <c r="DH65" s="214">
        <f>IF(AND(($E65+$C$1)&gt;DH$4,DH$4&gt;=$C$1),$H65,IF(AND(($D65+$C$1)&gt;DH$4,DH$4&gt;=$C$1),$G65,0))*IF($A65="Residential",'General Inputs'!T$15,'General Inputs'!T$19)</f>
        <v>0</v>
      </c>
      <c r="DI65" s="214">
        <f>IF(AND(($E65+$C$1)&gt;DI$4,DI$4&gt;=$C$1),$H65,IF(AND(($D65+$C$1)&gt;DI$4,DI$4&gt;=$C$1),$G65,0))*IF($A65="Residential",'General Inputs'!U$15,'General Inputs'!U$19)</f>
        <v>0</v>
      </c>
      <c r="DJ65" s="214">
        <f>IF(AND(($E65+$C$1)&gt;DJ$4,DJ$4&gt;=$C$1),$H65,IF(AND(($D65+$C$1)&gt;DJ$4,DJ$4&gt;=$C$1),$G65,0))*IF($A65="Residential",'General Inputs'!V$15,'General Inputs'!V$19)</f>
        <v>0</v>
      </c>
      <c r="DK65" s="214">
        <f>IF(AND(($E65+$C$1)&gt;DK$4,DK$4&gt;=$C$1),$H65,IF(AND(($D65+$C$1)&gt;DK$4,DK$4&gt;=$C$1),$G65,0))*IF($A65="Residential",'General Inputs'!W$15,'General Inputs'!W$19)</f>
        <v>0</v>
      </c>
      <c r="DM65" s="214">
        <f t="shared" si="441"/>
        <v>0</v>
      </c>
      <c r="DN65" s="214">
        <f t="shared" si="441"/>
        <v>0</v>
      </c>
      <c r="DO65" s="214">
        <f t="shared" si="441"/>
        <v>0</v>
      </c>
      <c r="DP65" s="214">
        <f t="shared" si="441"/>
        <v>0</v>
      </c>
      <c r="DQ65" s="214">
        <f t="shared" si="441"/>
        <v>0</v>
      </c>
      <c r="DR65" s="214">
        <f t="shared" si="441"/>
        <v>0</v>
      </c>
      <c r="DS65" s="214">
        <f t="shared" si="441"/>
        <v>0</v>
      </c>
      <c r="DT65" s="214">
        <f t="shared" si="441"/>
        <v>0</v>
      </c>
      <c r="DU65" s="214">
        <f t="shared" si="441"/>
        <v>0</v>
      </c>
      <c r="DV65" s="214">
        <f t="shared" si="441"/>
        <v>0</v>
      </c>
      <c r="DW65" s="214">
        <f t="shared" si="441"/>
        <v>0</v>
      </c>
      <c r="DZ65" s="650"/>
      <c r="FI65" s="195"/>
      <c r="FJ65" s="195"/>
      <c r="FK65" s="195"/>
      <c r="FL65" s="195"/>
      <c r="FM65" s="195"/>
      <c r="FN65" s="195"/>
      <c r="FO65" s="195"/>
    </row>
    <row r="66" spans="1:171">
      <c r="A66" s="342" t="s">
        <v>112</v>
      </c>
      <c r="B66" s="427" t="str">
        <f>'Portfolio Inputs'!A65</f>
        <v>Ceramic Integrated Metal Halide (≤150W)</v>
      </c>
      <c r="C66" s="217">
        <f>IF($C$1=2014,'Portfolio Inputs'!$C65,IF($C$1=2015,'Portfolio Inputs'!$D65,'Portfolio Inputs'!$E65))</f>
        <v>0</v>
      </c>
      <c r="D66" s="504">
        <f>VLOOKUP(B66,Sources!$B$4:$J$104,2,FALSE)</f>
        <v>18</v>
      </c>
      <c r="E66" s="504">
        <f>VLOOKUP(B66,Sources!$B$4:$J$104,3,FALSE)</f>
        <v>0</v>
      </c>
      <c r="G66" s="504">
        <f>IF($C$1=2014,'Portfolio Inputs'!$G65,IF($C$1=2015,'Portfolio Inputs'!$H65,'Portfolio Inputs'!$I65))*EnergyLineLoss</f>
        <v>0</v>
      </c>
      <c r="H66" s="504"/>
      <c r="I66" s="595">
        <f>IF($C$1=2014,'Portfolio Inputs'!$K65,IF($C$1=2015,'Portfolio Inputs'!$L65,'Portfolio Inputs'!$M65))*PeakLineLoss</f>
        <v>0</v>
      </c>
      <c r="J66" s="510"/>
      <c r="L66" s="606">
        <f>IF($C$1=2014,'Portfolio Inputs'!$O65,IF($C$1=2015,'Portfolio Inputs'!$P65,'Portfolio Inputs'!$Q65))</f>
        <v>145</v>
      </c>
      <c r="M66" s="518">
        <f>VLOOKUP($B66,Sources!$B$4:$K$104,10,FALSE)</f>
        <v>0</v>
      </c>
      <c r="N66" s="419">
        <f>IF($C$1=2014,'Portfolio Inputs'!$W65,IF($C$1=2015,'Portfolio Inputs'!$X65,'Portfolio Inputs'!$Y65))</f>
        <v>0</v>
      </c>
      <c r="O66" s="419">
        <f>IF($C$1=2014,'Portfolio Inputs'!$AA65,IF($C$1=2015,'Portfolio Inputs'!$AB65,'Portfolio Inputs'!$AC65))</f>
        <v>0</v>
      </c>
      <c r="Q66" s="438" t="str">
        <f t="shared" si="442"/>
        <v>n/a</v>
      </c>
      <c r="R66" s="439" t="str">
        <f t="shared" si="443"/>
        <v>n/a</v>
      </c>
      <c r="S66" s="439" t="str">
        <f t="shared" si="444"/>
        <v>n/a</v>
      </c>
      <c r="T66" s="439" t="str">
        <f t="shared" si="445"/>
        <v>n/a</v>
      </c>
      <c r="U66" s="439" t="str">
        <f t="shared" si="446"/>
        <v>n/a</v>
      </c>
      <c r="V66" s="439" t="str">
        <f t="shared" si="447"/>
        <v>n/a</v>
      </c>
      <c r="W66" s="439" t="str">
        <f t="shared" si="448"/>
        <v>n/a</v>
      </c>
      <c r="Y66" s="215">
        <f t="shared" si="449"/>
        <v>0</v>
      </c>
      <c r="Z66" s="215">
        <f t="shared" si="450"/>
        <v>0</v>
      </c>
      <c r="AA66" s="215">
        <f t="shared" si="451"/>
        <v>0</v>
      </c>
      <c r="AB66" s="215">
        <f t="shared" si="452"/>
        <v>0</v>
      </c>
      <c r="AC66" s="216">
        <f t="shared" si="453"/>
        <v>0</v>
      </c>
      <c r="AD66" s="216">
        <f t="shared" si="454"/>
        <v>0</v>
      </c>
      <c r="AE66" s="215">
        <f t="shared" si="455"/>
        <v>0</v>
      </c>
      <c r="AG66" s="214">
        <f>IF(AND(($E66+$C$1)&gt;AG$4,AG$4&gt;=$C$1),'General Inputs'!D$9*$H66,IF(AND(($D66+$C$1)&gt;AG$4,AG$4&gt;=$C$1),'General Inputs'!D$9*$G66,0))+IF(AND(($E66+$C$1)&gt;AG$4,AG$4&gt;=$C$1),'General Inputs'!D$10*$J66,IF(AND(($D66+$C$1)&gt;AG$4,AG$4&gt;=$C$1),'General Inputs'!D$10*$I66,0))</f>
        <v>0</v>
      </c>
      <c r="AH66" s="214">
        <f>IF(AND(($E66+$C$1)&gt;AH$4,AH$4&gt;=$C$1),'General Inputs'!E$9*$H66,IF(AND(($D66+$C$1)&gt;AH$4,AH$4&gt;=$C$1),'General Inputs'!E$9*$G66,0))+IF(AND(($E66+$C$1)&gt;AH$4,AH$4&gt;=$C$1),'General Inputs'!E$10*$J66,IF(AND(($D66+$C$1)&gt;AH$4,AH$4&gt;=$C$1),'General Inputs'!E$10*$I66,0))</f>
        <v>0</v>
      </c>
      <c r="AI66" s="214">
        <f>IF(AND(($E66+$C$1)&gt;AI$4,AI$4&gt;=$C$1),'General Inputs'!F$9*$H66,IF(AND(($D66+$C$1)&gt;AI$4,AI$4&gt;=$C$1),'General Inputs'!F$9*$G66,0))+IF(AND(($E66+$C$1)&gt;AI$4,AI$4&gt;=$C$1),'General Inputs'!F$10*$J66,IF(AND(($D66+$C$1)&gt;AI$4,AI$4&gt;=$C$1),'General Inputs'!F$10*$I66,0))</f>
        <v>0</v>
      </c>
      <c r="AJ66" s="214">
        <f>IF(AND(($E66+$C$1)&gt;AJ$4,AJ$4&gt;=$C$1),'General Inputs'!G$9*$H66,IF(AND(($D66+$C$1)&gt;AJ$4,AJ$4&gt;=$C$1),'General Inputs'!G$9*$G66,0))+IF(AND(($E66+$C$1)&gt;AJ$4,AJ$4&gt;=$C$1),'General Inputs'!G$10*$J66,IF(AND(($D66+$C$1)&gt;AJ$4,AJ$4&gt;=$C$1),'General Inputs'!G$10*$I66,0))</f>
        <v>0</v>
      </c>
      <c r="AK66" s="214">
        <f>IF(AND(($E66+$C$1)&gt;AK$4,AK$4&gt;=$C$1),'General Inputs'!H$9*$H66,IF(AND(($D66+$C$1)&gt;AK$4,AK$4&gt;=$C$1),'General Inputs'!H$9*$G66,0))+IF(AND(($E66+$C$1)&gt;AK$4,AK$4&gt;=$C$1),'General Inputs'!H$10*$J66,IF(AND(($D66+$C$1)&gt;AK$4,AK$4&gt;=$C$1),'General Inputs'!H$10*$I66,0))</f>
        <v>0</v>
      </c>
      <c r="AL66" s="214">
        <f>IF(AND(($E66+$C$1)&gt;AL$4,AL$4&gt;=$C$1),'General Inputs'!I$9*$H66,IF(AND(($D66+$C$1)&gt;AL$4,AL$4&gt;=$C$1),'General Inputs'!I$9*$G66,0))+IF(AND(($E66+$C$1)&gt;AL$4,AL$4&gt;=$C$1),'General Inputs'!I$10*$J66,IF(AND(($D66+$C$1)&gt;AL$4,AL$4&gt;=$C$1),'General Inputs'!I$10*$I66,0))</f>
        <v>0</v>
      </c>
      <c r="AM66" s="214">
        <f>IF(AND(($E66+$C$1)&gt;AM$4,AM$4&gt;=$C$1),'General Inputs'!J$9*$H66,IF(AND(($D66+$C$1)&gt;AM$4,AM$4&gt;=$C$1),'General Inputs'!J$9*$G66,0))+IF(AND(($E66+$C$1)&gt;AM$4,AM$4&gt;=$C$1),'General Inputs'!J$10*$J66,IF(AND(($D66+$C$1)&gt;AM$4,AM$4&gt;=$C$1),'General Inputs'!J$10*$I66,0))</f>
        <v>0</v>
      </c>
      <c r="AN66" s="214">
        <f>IF(AND(($E66+$C$1)&gt;AN$4,AN$4&gt;=$C$1),'General Inputs'!K$9*$H66,IF(AND(($D66+$C$1)&gt;AN$4,AN$4&gt;=$C$1),'General Inputs'!K$9*$G66,0))+IF(AND(($E66+$C$1)&gt;AN$4,AN$4&gt;=$C$1),'General Inputs'!K$10*$J66,IF(AND(($D66+$C$1)&gt;AN$4,AN$4&gt;=$C$1),'General Inputs'!K$10*$I66,0))</f>
        <v>0</v>
      </c>
      <c r="AO66" s="214">
        <f>IF(AND(($E66+$C$1)&gt;AO$4,AO$4&gt;=$C$1),'General Inputs'!L$9*$H66,IF(AND(($D66+$C$1)&gt;AO$4,AO$4&gt;=$C$1),'General Inputs'!L$9*$G66,0))+IF(AND(($E66+$C$1)&gt;AO$4,AO$4&gt;=$C$1),'General Inputs'!L$10*$J66,IF(AND(($D66+$C$1)&gt;AO$4,AO$4&gt;=$C$1),'General Inputs'!L$10*$I66,0))</f>
        <v>0</v>
      </c>
      <c r="AP66" s="214">
        <f>IF(AND(($E66+$C$1)&gt;AP$4,AP$4&gt;=$C$1),'General Inputs'!M$9*$H66,IF(AND(($D66+$C$1)&gt;AP$4,AP$4&gt;=$C$1),'General Inputs'!M$9*$G66,0))+IF(AND(($E66+$C$1)&gt;AP$4,AP$4&gt;=$C$1),'General Inputs'!M$10*$J66,IF(AND(($D66+$C$1)&gt;AP$4,AP$4&gt;=$C$1),'General Inputs'!M$10*$I66,0))</f>
        <v>0</v>
      </c>
      <c r="AQ66" s="214">
        <f>IF(AND(($E66+$C$1)&gt;AQ$4,AQ$4&gt;=$C$1),'General Inputs'!N$9*$H66,IF(AND(($D66+$C$1)&gt;AQ$4,AQ$4&gt;=$C$1),'General Inputs'!N$9*$G66,0))+IF(AND(($E66+$C$1)&gt;AQ$4,AQ$4&gt;=$C$1),'General Inputs'!N$10*$J66,IF(AND(($D66+$C$1)&gt;AQ$4,AQ$4&gt;=$C$1),'General Inputs'!N$10*$I66,0))</f>
        <v>0</v>
      </c>
      <c r="AR66" s="214">
        <f>IF(AND(($E66+$C$1)&gt;AR$4,AR$4&gt;=$C$1),'General Inputs'!O$9*$H66,IF(AND(($D66+$C$1)&gt;AR$4,AR$4&gt;=$C$1),'General Inputs'!O$9*$G66,0))+IF(AND(($E66+$C$1)&gt;AR$4,AR$4&gt;=$C$1),'General Inputs'!O$10*$J66,IF(AND(($D66+$C$1)&gt;AR$4,AR$4&gt;=$C$1),'General Inputs'!O$10*$I66,0))</f>
        <v>0</v>
      </c>
      <c r="AS66" s="214">
        <f>IF(AND(($E66+$C$1)&gt;AS$4,AS$4&gt;=$C$1),'General Inputs'!P$9*$H66,IF(AND(($D66+$C$1)&gt;AS$4,AS$4&gt;=$C$1),'General Inputs'!P$9*$G66,0))+IF(AND(($E66+$C$1)&gt;AS$4,AS$4&gt;=$C$1),'General Inputs'!P$10*$J66,IF(AND(($D66+$C$1)&gt;AS$4,AS$4&gt;=$C$1),'General Inputs'!P$10*$I66,0))</f>
        <v>0</v>
      </c>
      <c r="AT66" s="214">
        <f>IF(AND(($E66+$C$1)&gt;AT$4,AT$4&gt;=$C$1),'General Inputs'!Q$9*$H66,IF(AND(($D66+$C$1)&gt;AT$4,AT$4&gt;=$C$1),'General Inputs'!Q$9*$G66,0))+IF(AND(($E66+$C$1)&gt;AT$4,AT$4&gt;=$C$1),'General Inputs'!Q$10*$J66,IF(AND(($D66+$C$1)&gt;AT$4,AT$4&gt;=$C$1),'General Inputs'!Q$10*$I66,0))</f>
        <v>0</v>
      </c>
      <c r="AU66" s="214">
        <f>IF(AND(($E66+$C$1)&gt;AU$4,AU$4&gt;=$C$1),'General Inputs'!R$9*$H66,IF(AND(($D66+$C$1)&gt;AU$4,AU$4&gt;=$C$1),'General Inputs'!R$9*$G66,0))+IF(AND(($E66+$C$1)&gt;AU$4,AU$4&gt;=$C$1),'General Inputs'!R$10*$J66,IF(AND(($D66+$C$1)&gt;AU$4,AU$4&gt;=$C$1),'General Inputs'!R$10*$I66,0))</f>
        <v>0</v>
      </c>
      <c r="AV66" s="214">
        <f>IF(AND(($E66+$C$1)&gt;AV$4,AV$4&gt;=$C$1),'General Inputs'!S$9*$H66,IF(AND(($D66+$C$1)&gt;AV$4,AV$4&gt;=$C$1),'General Inputs'!S$9*$G66,0))+IF(AND(($E66+$C$1)&gt;AV$4,AV$4&gt;=$C$1),'General Inputs'!S$10*$J66,IF(AND(($D66+$C$1)&gt;AV$4,AV$4&gt;=$C$1),'General Inputs'!S$10*$I66,0))</f>
        <v>0</v>
      </c>
      <c r="AW66" s="214">
        <f>IF(AND(($E66+$C$1)&gt;AW$4,AW$4&gt;=$C$1),'General Inputs'!T$9*$H66,IF(AND(($D66+$C$1)&gt;AW$4,AW$4&gt;=$C$1),'General Inputs'!T$9*$G66,0))+IF(AND(($E66+$C$1)&gt;AW$4,AW$4&gt;=$C$1),'General Inputs'!T$10*$J66,IF(AND(($D66+$C$1)&gt;AW$4,AW$4&gt;=$C$1),'General Inputs'!T$10*$I66,0))</f>
        <v>0</v>
      </c>
      <c r="AX66" s="214">
        <f>IF(AND(($E66+$C$1)&gt;AX$4,AX$4&gt;=$C$1),'General Inputs'!U$9*$H66,IF(AND(($D66+$C$1)&gt;AX$4,AX$4&gt;=$C$1),'General Inputs'!U$9*$G66,0))+IF(AND(($E66+$C$1)&gt;AX$4,AX$4&gt;=$C$1),'General Inputs'!U$10*$J66,IF(AND(($D66+$C$1)&gt;AX$4,AX$4&gt;=$C$1),'General Inputs'!U$10*$I66,0))</f>
        <v>0</v>
      </c>
      <c r="AY66" s="214">
        <f>IF(AND(($E66+$C$1)&gt;AY$4,AY$4&gt;=$C$1),'General Inputs'!V$9*$H66,IF(AND(($D66+$C$1)&gt;AY$4,AY$4&gt;=$C$1),'General Inputs'!V$9*$G66,0))+IF(AND(($E66+$C$1)&gt;AY$4,AY$4&gt;=$C$1),'General Inputs'!V$10*$J66,IF(AND(($D66+$C$1)&gt;AY$4,AY$4&gt;=$C$1),'General Inputs'!V$10*$I66,0))</f>
        <v>0</v>
      </c>
      <c r="AZ66" s="214">
        <f>IF(AND(($E66+$C$1)&gt;AZ$4,AZ$4&gt;=$C$1),'General Inputs'!W$9*$H66,IF(AND(($D66+$C$1)&gt;AZ$4,AZ$4&gt;=$C$1),'General Inputs'!W$9*$G66,0))+IF(AND(($E66+$C$1)&gt;AZ$4,AZ$4&gt;=$C$1),'General Inputs'!W$10*$J66,IF(AND(($D66+$C$1)&gt;AZ$4,AZ$4&gt;=$C$1),'General Inputs'!W$10*$I66,0))</f>
        <v>0</v>
      </c>
      <c r="BB66" s="214">
        <f>IF(AND(($E66+$C$1)&gt;BB$4,BB$4&gt;=$C$1),'General Inputs'!D$11*$H66,IF(AND(($D66+$C$1)&gt;BB$4,BB$4&gt;=$C$1),'General Inputs'!D$11*$G66,0))</f>
        <v>0</v>
      </c>
      <c r="BC66" s="214">
        <f>IF(AND(($E66+$C$1)&gt;BC$4,BC$4&gt;=$C$1),'General Inputs'!E$11*$H66,IF(AND(($D66+$C$1)&gt;BC$4,BC$4&gt;=$C$1),'General Inputs'!E$11*$G66,0))</f>
        <v>0</v>
      </c>
      <c r="BD66" s="214">
        <f>IF(AND(($E66+$C$1)&gt;BD$4,BD$4&gt;=$C$1),'General Inputs'!F$11*$H66,IF(AND(($D66+$C$1)&gt;BD$4,BD$4&gt;=$C$1),'General Inputs'!F$11*$G66,0))</f>
        <v>0</v>
      </c>
      <c r="BE66" s="214">
        <f>IF(AND(($E66+$C$1)&gt;BE$4,BE$4&gt;=$C$1),'General Inputs'!G$11*$H66,IF(AND(($D66+$C$1)&gt;BE$4,BE$4&gt;=$C$1),'General Inputs'!G$11*$G66,0))</f>
        <v>0</v>
      </c>
      <c r="BF66" s="214">
        <f>IF(AND(($E66+$C$1)&gt;BF$4,BF$4&gt;=$C$1),'General Inputs'!H$11*$H66,IF(AND(($D66+$C$1)&gt;BF$4,BF$4&gt;=$C$1),'General Inputs'!H$11*$G66,0))</f>
        <v>0</v>
      </c>
      <c r="BG66" s="214">
        <f>IF(AND(($E66+$C$1)&gt;BG$4,BG$4&gt;=$C$1),'General Inputs'!I$11*$H66,IF(AND(($D66+$C$1)&gt;BG$4,BG$4&gt;=$C$1),'General Inputs'!I$11*$G66,0))</f>
        <v>0</v>
      </c>
      <c r="BH66" s="214">
        <f>IF(AND(($E66+$C$1)&gt;BH$4,BH$4&gt;=$C$1),'General Inputs'!J$11*$H66,IF(AND(($D66+$C$1)&gt;BH$4,BH$4&gt;=$C$1),'General Inputs'!J$11*$G66,0))</f>
        <v>0</v>
      </c>
      <c r="BI66" s="214">
        <f>IF(AND(($E66+$C$1)&gt;BI$4,BI$4&gt;=$C$1),'General Inputs'!K$11*$H66,IF(AND(($D66+$C$1)&gt;BI$4,BI$4&gt;=$C$1),'General Inputs'!K$11*$G66,0))</f>
        <v>0</v>
      </c>
      <c r="BJ66" s="214">
        <f>IF(AND(($E66+$C$1)&gt;BJ$4,BJ$4&gt;=$C$1),'General Inputs'!L$11*$H66,IF(AND(($D66+$C$1)&gt;BJ$4,BJ$4&gt;=$C$1),'General Inputs'!L$11*$G66,0))</f>
        <v>0</v>
      </c>
      <c r="BK66" s="214">
        <f>IF(AND(($E66+$C$1)&gt;BK$4,BK$4&gt;=$C$1),'General Inputs'!M$11*$H66,IF(AND(($D66+$C$1)&gt;BK$4,BK$4&gt;=$C$1),'General Inputs'!M$11*$G66,0))</f>
        <v>0</v>
      </c>
      <c r="BL66" s="214">
        <f>IF(AND(($E66+$C$1)&gt;BL$4,BL$4&gt;=$C$1),'General Inputs'!N$11*$H66,IF(AND(($D66+$C$1)&gt;BL$4,BL$4&gt;=$C$1),'General Inputs'!N$11*$G66,0))</f>
        <v>0</v>
      </c>
      <c r="BM66" s="214">
        <f>IF(AND(($E66+$C$1)&gt;BM$4,BM$4&gt;=$C$1),'General Inputs'!O$11*$H66,IF(AND(($D66+$C$1)&gt;BM$4,BM$4&gt;=$C$1),'General Inputs'!O$11*$G66,0))</f>
        <v>0</v>
      </c>
      <c r="BN66" s="214">
        <f>IF(AND(($E66+$C$1)&gt;BN$4,BN$4&gt;=$C$1),'General Inputs'!P$11*$H66,IF(AND(($D66+$C$1)&gt;BN$4,BN$4&gt;=$C$1),'General Inputs'!P$11*$G66,0))</f>
        <v>0</v>
      </c>
      <c r="BO66" s="214">
        <f>IF(AND(($E66+$C$1)&gt;BO$4,BO$4&gt;=$C$1),'General Inputs'!Q$11*$H66,IF(AND(($D66+$C$1)&gt;BO$4,BO$4&gt;=$C$1),'General Inputs'!Q$11*$G66,0))</f>
        <v>0</v>
      </c>
      <c r="BP66" s="214">
        <f>IF(AND(($E66+$C$1)&gt;BP$4,BP$4&gt;=$C$1),'General Inputs'!R$11*$H66,IF(AND(($D66+$C$1)&gt;BP$4,BP$4&gt;=$C$1),'General Inputs'!R$11*$G66,0))</f>
        <v>0</v>
      </c>
      <c r="BQ66" s="214">
        <f>IF(AND(($E66+$C$1)&gt;BQ$4,BQ$4&gt;=$C$1),'General Inputs'!S$11*$H66,IF(AND(($D66+$C$1)&gt;BQ$4,BQ$4&gt;=$C$1),'General Inputs'!S$11*$G66,0))</f>
        <v>0</v>
      </c>
      <c r="BR66" s="214">
        <f>IF(AND(($E66+$C$1)&gt;BR$4,BR$4&gt;=$C$1),'General Inputs'!T$11*$H66,IF(AND(($D66+$C$1)&gt;BR$4,BR$4&gt;=$C$1),'General Inputs'!T$11*$G66,0))</f>
        <v>0</v>
      </c>
      <c r="BS66" s="214">
        <f>IF(AND(($E66+$C$1)&gt;BS$4,BS$4&gt;=$C$1),'General Inputs'!U$11*$H66,IF(AND(($D66+$C$1)&gt;BS$4,BS$4&gt;=$C$1),'General Inputs'!U$11*$G66,0))</f>
        <v>0</v>
      </c>
      <c r="BT66" s="214">
        <f>IF(AND(($E66+$C$1)&gt;BT$4,BT$4&gt;=$C$1),'General Inputs'!V$11*$H66,IF(AND(($D66+$C$1)&gt;BT$4,BT$4&gt;=$C$1),'General Inputs'!V$11*$G66,0))</f>
        <v>0</v>
      </c>
      <c r="BU66" s="214">
        <f>IF(AND(($E66+$C$1)&gt;BU$4,BU$4&gt;=$C$1),'General Inputs'!W$11*$H66,IF(AND(($D66+$C$1)&gt;BU$4,BU$4&gt;=$C$1),'General Inputs'!W$11*$G66,0))</f>
        <v>0</v>
      </c>
      <c r="BW66" s="214">
        <f>IF(AND(($E66+$C$1)&gt;BW$4,BW$4&gt;=$C$1),$H66,IF(AND(($D66+$C$1)&gt;BW$4,BW$4&gt;=$C$1),$G66,0))*IF($A66="Residential",'General Inputs'!D$14,'General Inputs'!D$19)</f>
        <v>0</v>
      </c>
      <c r="BX66" s="214">
        <f>IF(AND(($E66+$C$1)&gt;BX$4,BX$4&gt;=$C$1),$H66,IF(AND(($D66+$C$1)&gt;BX$4,BX$4&gt;=$C$1),$G66,0))*IF($A66="Residential",'General Inputs'!E$14,'General Inputs'!E$19)</f>
        <v>0</v>
      </c>
      <c r="BY66" s="214">
        <f>IF(AND(($E66+$C$1)&gt;BY$4,BY$4&gt;=$C$1),$H66,IF(AND(($D66+$C$1)&gt;BY$4,BY$4&gt;=$C$1),$G66,0))*IF($A66="Residential",'General Inputs'!F$14,'General Inputs'!F$19)</f>
        <v>0</v>
      </c>
      <c r="BZ66" s="214">
        <f>IF(AND(($E66+$C$1)&gt;BZ$4,BZ$4&gt;=$C$1),$H66,IF(AND(($D66+$C$1)&gt;BZ$4,BZ$4&gt;=$C$1),$G66,0))*IF($A66="Residential",'General Inputs'!G$14,'General Inputs'!G$19)</f>
        <v>0</v>
      </c>
      <c r="CA66" s="214">
        <f>IF(AND(($E66+$C$1)&gt;CA$4,CA$4&gt;=$C$1),$H66,IF(AND(($D66+$C$1)&gt;CA$4,CA$4&gt;=$C$1),$G66,0))*IF($A66="Residential",'General Inputs'!H$14,'General Inputs'!H$19)</f>
        <v>0</v>
      </c>
      <c r="CB66" s="214">
        <f>IF(AND(($E66+$C$1)&gt;CB$4,CB$4&gt;=$C$1),$H66,IF(AND(($D66+$C$1)&gt;CB$4,CB$4&gt;=$C$1),$G66,0))*IF($A66="Residential",'General Inputs'!I$14,'General Inputs'!I$19)</f>
        <v>0</v>
      </c>
      <c r="CC66" s="214">
        <f>IF(AND(($E66+$C$1)&gt;CC$4,CC$4&gt;=$C$1),$H66,IF(AND(($D66+$C$1)&gt;CC$4,CC$4&gt;=$C$1),$G66,0))*IF($A66="Residential",'General Inputs'!J$14,'General Inputs'!J$19)</f>
        <v>0</v>
      </c>
      <c r="CD66" s="214">
        <f>IF(AND(($E66+$C$1)&gt;CD$4,CD$4&gt;=$C$1),$H66,IF(AND(($D66+$C$1)&gt;CD$4,CD$4&gt;=$C$1),$G66,0))*IF($A66="Residential",'General Inputs'!K$14,'General Inputs'!K$19)</f>
        <v>0</v>
      </c>
      <c r="CE66" s="214">
        <f>IF(AND(($E66+$C$1)&gt;CE$4,CE$4&gt;=$C$1),$H66,IF(AND(($D66+$C$1)&gt;CE$4,CE$4&gt;=$C$1),$G66,0))*IF($A66="Residential",'General Inputs'!L$14,'General Inputs'!L$19)</f>
        <v>0</v>
      </c>
      <c r="CF66" s="214">
        <f>IF(AND(($E66+$C$1)&gt;CF$4,CF$4&gt;=$C$1),$H66,IF(AND(($D66+$C$1)&gt;CF$4,CF$4&gt;=$C$1),$G66,0))*IF($A66="Residential",'General Inputs'!M$14,'General Inputs'!M$19)</f>
        <v>0</v>
      </c>
      <c r="CG66" s="214">
        <f>IF(AND(($E66+$C$1)&gt;CG$4,CG$4&gt;=$C$1),$H66,IF(AND(($D66+$C$1)&gt;CG$4,CG$4&gt;=$C$1),$G66,0))*IF($A66="Residential",'General Inputs'!N$14,'General Inputs'!N$19)</f>
        <v>0</v>
      </c>
      <c r="CH66" s="214">
        <f>IF(AND(($E66+$C$1)&gt;CH$4,CH$4&gt;=$C$1),$H66,IF(AND(($D66+$C$1)&gt;CH$4,CH$4&gt;=$C$1),$G66,0))*IF($A66="Residential",'General Inputs'!O$14,'General Inputs'!O$19)</f>
        <v>0</v>
      </c>
      <c r="CI66" s="214">
        <f>IF(AND(($E66+$C$1)&gt;CI$4,CI$4&gt;=$C$1),$H66,IF(AND(($D66+$C$1)&gt;CI$4,CI$4&gt;=$C$1),$G66,0))*IF($A66="Residential",'General Inputs'!P$14,'General Inputs'!P$19)</f>
        <v>0</v>
      </c>
      <c r="CJ66" s="214">
        <f>IF(AND(($E66+$C$1)&gt;CJ$4,CJ$4&gt;=$C$1),$H66,IF(AND(($D66+$C$1)&gt;CJ$4,CJ$4&gt;=$C$1),$G66,0))*IF($A66="Residential",'General Inputs'!Q$14,'General Inputs'!Q$19)</f>
        <v>0</v>
      </c>
      <c r="CK66" s="214">
        <f>IF(AND(($E66+$C$1)&gt;CK$4,CK$4&gt;=$C$1),$H66,IF(AND(($D66+$C$1)&gt;CK$4,CK$4&gt;=$C$1),$G66,0))*IF($A66="Residential",'General Inputs'!R$14,'General Inputs'!R$19)</f>
        <v>0</v>
      </c>
      <c r="CL66" s="214">
        <f>IF(AND(($E66+$C$1)&gt;CL$4,CL$4&gt;=$C$1),$H66,IF(AND(($D66+$C$1)&gt;CL$4,CL$4&gt;=$C$1),$G66,0))*IF($A66="Residential",'General Inputs'!S$14,'General Inputs'!S$19)</f>
        <v>0</v>
      </c>
      <c r="CM66" s="214">
        <f>IF(AND(($E66+$C$1)&gt;CM$4,CM$4&gt;=$C$1),$H66,IF(AND(($D66+$C$1)&gt;CM$4,CM$4&gt;=$C$1),$G66,0))*IF($A66="Residential",'General Inputs'!T$14,'General Inputs'!T$19)</f>
        <v>0</v>
      </c>
      <c r="CN66" s="214">
        <f>IF(AND(($E66+$C$1)&gt;CN$4,CN$4&gt;=$C$1),$H66,IF(AND(($D66+$C$1)&gt;CN$4,CN$4&gt;=$C$1),$G66,0))*IF($A66="Residential",'General Inputs'!U$14,'General Inputs'!U$19)</f>
        <v>0</v>
      </c>
      <c r="CO66" s="214">
        <f>IF(AND(($E66+$C$1)&gt;CO$4,CO$4&gt;=$C$1),$H66,IF(AND(($D66+$C$1)&gt;CO$4,CO$4&gt;=$C$1),$G66,0))*IF($A66="Residential",'General Inputs'!V$14,'General Inputs'!V$19)</f>
        <v>0</v>
      </c>
      <c r="CP66" s="214">
        <f>IF(AND(($E66+$C$1)&gt;CP$4,CP$4&gt;=$C$1),$H66,IF(AND(($D66+$C$1)&gt;CP$4,CP$4&gt;=$C$1),$G66,0))*IF($A66="Residential",'General Inputs'!W$14,'General Inputs'!W$19)</f>
        <v>0</v>
      </c>
      <c r="CR66" s="214">
        <f>IF(AND(($E66+$C$1)&gt;CR$4,CR$4&gt;=$C$1),$H66,IF(AND(($D66+$C$1)&gt;CR$4,CR$4&gt;=$C$1),$G66,0))*IF($A66="Residential",'General Inputs'!D$15,'General Inputs'!D$19)</f>
        <v>0</v>
      </c>
      <c r="CS66" s="214">
        <f>IF(AND(($E66+$C$1)&gt;CS$4,CS$4&gt;=$C$1),$H66,IF(AND(($D66+$C$1)&gt;CS$4,CS$4&gt;=$C$1),$G66,0))*IF($A66="Residential",'General Inputs'!E$15,'General Inputs'!E$19)</f>
        <v>0</v>
      </c>
      <c r="CT66" s="214">
        <f>IF(AND(($E66+$C$1)&gt;CT$4,CT$4&gt;=$C$1),$H66,IF(AND(($D66+$C$1)&gt;CT$4,CT$4&gt;=$C$1),$G66,0))*IF($A66="Residential",'General Inputs'!F$15,'General Inputs'!F$19)</f>
        <v>0</v>
      </c>
      <c r="CU66" s="214">
        <f>IF(AND(($E66+$C$1)&gt;CU$4,CU$4&gt;=$C$1),$H66,IF(AND(($D66+$C$1)&gt;CU$4,CU$4&gt;=$C$1),$G66,0))*IF($A66="Residential",'General Inputs'!G$15,'General Inputs'!G$19)</f>
        <v>0</v>
      </c>
      <c r="CV66" s="214">
        <f>IF(AND(($E66+$C$1)&gt;CV$4,CV$4&gt;=$C$1),$H66,IF(AND(($D66+$C$1)&gt;CV$4,CV$4&gt;=$C$1),$G66,0))*IF($A66="Residential",'General Inputs'!H$15,'General Inputs'!H$19)</f>
        <v>0</v>
      </c>
      <c r="CW66" s="214">
        <f>IF(AND(($E66+$C$1)&gt;CW$4,CW$4&gt;=$C$1),$H66,IF(AND(($D66+$C$1)&gt;CW$4,CW$4&gt;=$C$1),$G66,0))*IF($A66="Residential",'General Inputs'!I$15,'General Inputs'!I$19)</f>
        <v>0</v>
      </c>
      <c r="CX66" s="214">
        <f>IF(AND(($E66+$C$1)&gt;CX$4,CX$4&gt;=$C$1),$H66,IF(AND(($D66+$C$1)&gt;CX$4,CX$4&gt;=$C$1),$G66,0))*IF($A66="Residential",'General Inputs'!J$15,'General Inputs'!J$19)</f>
        <v>0</v>
      </c>
      <c r="CY66" s="214">
        <f>IF(AND(($E66+$C$1)&gt;CY$4,CY$4&gt;=$C$1),$H66,IF(AND(($D66+$C$1)&gt;CY$4,CY$4&gt;=$C$1),$G66,0))*IF($A66="Residential",'General Inputs'!K$15,'General Inputs'!K$19)</f>
        <v>0</v>
      </c>
      <c r="CZ66" s="214">
        <f>IF(AND(($E66+$C$1)&gt;CZ$4,CZ$4&gt;=$C$1),$H66,IF(AND(($D66+$C$1)&gt;CZ$4,CZ$4&gt;=$C$1),$G66,0))*IF($A66="Residential",'General Inputs'!L$15,'General Inputs'!L$19)</f>
        <v>0</v>
      </c>
      <c r="DA66" s="214">
        <f>IF(AND(($E66+$C$1)&gt;DA$4,DA$4&gt;=$C$1),$H66,IF(AND(($D66+$C$1)&gt;DA$4,DA$4&gt;=$C$1),$G66,0))*IF($A66="Residential",'General Inputs'!M$15,'General Inputs'!M$19)</f>
        <v>0</v>
      </c>
      <c r="DB66" s="214">
        <f>IF(AND(($E66+$C$1)&gt;DB$4,DB$4&gt;=$C$1),$H66,IF(AND(($D66+$C$1)&gt;DB$4,DB$4&gt;=$C$1),$G66,0))*IF($A66="Residential",'General Inputs'!N$15,'General Inputs'!N$19)</f>
        <v>0</v>
      </c>
      <c r="DC66" s="214">
        <f>IF(AND(($E66+$C$1)&gt;DC$4,DC$4&gt;=$C$1),$H66,IF(AND(($D66+$C$1)&gt;DC$4,DC$4&gt;=$C$1),$G66,0))*IF($A66="Residential",'General Inputs'!O$15,'General Inputs'!O$19)</f>
        <v>0</v>
      </c>
      <c r="DD66" s="214">
        <f>IF(AND(($E66+$C$1)&gt;DD$4,DD$4&gt;=$C$1),$H66,IF(AND(($D66+$C$1)&gt;DD$4,DD$4&gt;=$C$1),$G66,0))*IF($A66="Residential",'General Inputs'!P$15,'General Inputs'!P$19)</f>
        <v>0</v>
      </c>
      <c r="DE66" s="214">
        <f>IF(AND(($E66+$C$1)&gt;DE$4,DE$4&gt;=$C$1),$H66,IF(AND(($D66+$C$1)&gt;DE$4,DE$4&gt;=$C$1),$G66,0))*IF($A66="Residential",'General Inputs'!Q$15,'General Inputs'!Q$19)</f>
        <v>0</v>
      </c>
      <c r="DF66" s="214">
        <f>IF(AND(($E66+$C$1)&gt;DF$4,DF$4&gt;=$C$1),$H66,IF(AND(($D66+$C$1)&gt;DF$4,DF$4&gt;=$C$1),$G66,0))*IF($A66="Residential",'General Inputs'!R$15,'General Inputs'!R$19)</f>
        <v>0</v>
      </c>
      <c r="DG66" s="214">
        <f>IF(AND(($E66+$C$1)&gt;DG$4,DG$4&gt;=$C$1),$H66,IF(AND(($D66+$C$1)&gt;DG$4,DG$4&gt;=$C$1),$G66,0))*IF($A66="Residential",'General Inputs'!S$15,'General Inputs'!S$19)</f>
        <v>0</v>
      </c>
      <c r="DH66" s="214">
        <f>IF(AND(($E66+$C$1)&gt;DH$4,DH$4&gt;=$C$1),$H66,IF(AND(($D66+$C$1)&gt;DH$4,DH$4&gt;=$C$1),$G66,0))*IF($A66="Residential",'General Inputs'!T$15,'General Inputs'!T$19)</f>
        <v>0</v>
      </c>
      <c r="DI66" s="214">
        <f>IF(AND(($E66+$C$1)&gt;DI$4,DI$4&gt;=$C$1),$H66,IF(AND(($D66+$C$1)&gt;DI$4,DI$4&gt;=$C$1),$G66,0))*IF($A66="Residential",'General Inputs'!U$15,'General Inputs'!U$19)</f>
        <v>0</v>
      </c>
      <c r="DJ66" s="214">
        <f>IF(AND(($E66+$C$1)&gt;DJ$4,DJ$4&gt;=$C$1),$H66,IF(AND(($D66+$C$1)&gt;DJ$4,DJ$4&gt;=$C$1),$G66,0))*IF($A66="Residential",'General Inputs'!V$15,'General Inputs'!V$19)</f>
        <v>0</v>
      </c>
      <c r="DK66" s="214">
        <f>IF(AND(($E66+$C$1)&gt;DK$4,DK$4&gt;=$C$1),$H66,IF(AND(($D66+$C$1)&gt;DK$4,DK$4&gt;=$C$1),$G66,0))*IF($A66="Residential",'General Inputs'!W$15,'General Inputs'!W$19)</f>
        <v>0</v>
      </c>
      <c r="DM66" s="214">
        <f t="shared" ref="DM66:DW83" si="456">IF($C$1=DM$4,$L66*$C66,IF($E66+$C$1=DM$4,-$M66*$C66,0))</f>
        <v>0</v>
      </c>
      <c r="DN66" s="214">
        <f t="shared" si="456"/>
        <v>0</v>
      </c>
      <c r="DO66" s="214">
        <f t="shared" si="456"/>
        <v>0</v>
      </c>
      <c r="DP66" s="214">
        <f t="shared" si="456"/>
        <v>0</v>
      </c>
      <c r="DQ66" s="214">
        <f t="shared" si="456"/>
        <v>0</v>
      </c>
      <c r="DR66" s="214">
        <f t="shared" si="456"/>
        <v>0</v>
      </c>
      <c r="DS66" s="214">
        <f t="shared" si="456"/>
        <v>0</v>
      </c>
      <c r="DT66" s="214">
        <f t="shared" si="456"/>
        <v>0</v>
      </c>
      <c r="DU66" s="214">
        <f t="shared" si="456"/>
        <v>0</v>
      </c>
      <c r="DV66" s="214">
        <f t="shared" si="456"/>
        <v>0</v>
      </c>
      <c r="DW66" s="214">
        <f t="shared" si="456"/>
        <v>0</v>
      </c>
      <c r="DZ66" s="650"/>
      <c r="FI66" s="195"/>
      <c r="FJ66" s="195"/>
      <c r="FK66" s="195"/>
      <c r="FL66" s="195"/>
      <c r="FM66" s="195"/>
      <c r="FN66" s="195"/>
      <c r="FO66" s="195"/>
    </row>
    <row r="67" spans="1:171">
      <c r="A67" s="342" t="s">
        <v>112</v>
      </c>
      <c r="B67" s="427" t="str">
        <f>'Portfolio Inputs'!A66</f>
        <v>Ceramic Integrated Metal Halide (150 &lt; 250W)</v>
      </c>
      <c r="C67" s="217">
        <f>IF($C$1=2014,'Portfolio Inputs'!$C66,IF($C$1=2015,'Portfolio Inputs'!$D66,'Portfolio Inputs'!$E66))</f>
        <v>0</v>
      </c>
      <c r="D67" s="504">
        <f>VLOOKUP(B67,Sources!$B$4:$J$104,2,FALSE)</f>
        <v>18</v>
      </c>
      <c r="E67" s="504">
        <f>VLOOKUP(B67,Sources!$B$4:$J$104,3,FALSE)</f>
        <v>0</v>
      </c>
      <c r="G67" s="504">
        <f>IF($C$1=2014,'Portfolio Inputs'!$G66,IF($C$1=2015,'Portfolio Inputs'!$H66,'Portfolio Inputs'!$I66))*EnergyLineLoss</f>
        <v>0</v>
      </c>
      <c r="H67" s="504"/>
      <c r="I67" s="595">
        <f>IF($C$1=2014,'Portfolio Inputs'!$K66,IF($C$1=2015,'Portfolio Inputs'!$L66,'Portfolio Inputs'!$M66))*PeakLineLoss</f>
        <v>0</v>
      </c>
      <c r="J67" s="510"/>
      <c r="L67" s="606">
        <f>IF($C$1=2014,'Portfolio Inputs'!$O66,IF($C$1=2015,'Portfolio Inputs'!$P66,'Portfolio Inputs'!$Q66))</f>
        <v>98</v>
      </c>
      <c r="M67" s="518">
        <f>VLOOKUP($B67,Sources!$B$4:$K$104,10,FALSE)</f>
        <v>0</v>
      </c>
      <c r="N67" s="419">
        <f>IF($C$1=2014,'Portfolio Inputs'!$W66,IF($C$1=2015,'Portfolio Inputs'!$X66,'Portfolio Inputs'!$Y66))</f>
        <v>0</v>
      </c>
      <c r="O67" s="419">
        <f>IF($C$1=2014,'Portfolio Inputs'!$AA66,IF($C$1=2015,'Portfolio Inputs'!$AB66,'Portfolio Inputs'!$AC66))</f>
        <v>0</v>
      </c>
      <c r="Q67" s="438" t="str">
        <f t="shared" si="442"/>
        <v>n/a</v>
      </c>
      <c r="R67" s="439" t="str">
        <f t="shared" si="443"/>
        <v>n/a</v>
      </c>
      <c r="S67" s="439" t="str">
        <f t="shared" si="444"/>
        <v>n/a</v>
      </c>
      <c r="T67" s="439" t="str">
        <f t="shared" si="445"/>
        <v>n/a</v>
      </c>
      <c r="U67" s="439" t="str">
        <f t="shared" si="446"/>
        <v>n/a</v>
      </c>
      <c r="V67" s="439" t="str">
        <f t="shared" si="447"/>
        <v>n/a</v>
      </c>
      <c r="W67" s="439" t="str">
        <f t="shared" si="448"/>
        <v>n/a</v>
      </c>
      <c r="Y67" s="215">
        <f t="shared" si="449"/>
        <v>0</v>
      </c>
      <c r="Z67" s="215">
        <f t="shared" si="450"/>
        <v>0</v>
      </c>
      <c r="AA67" s="215">
        <f t="shared" si="451"/>
        <v>0</v>
      </c>
      <c r="AB67" s="215">
        <f t="shared" si="452"/>
        <v>0</v>
      </c>
      <c r="AC67" s="216">
        <f t="shared" si="453"/>
        <v>0</v>
      </c>
      <c r="AD67" s="216">
        <f t="shared" si="454"/>
        <v>0</v>
      </c>
      <c r="AE67" s="215">
        <f t="shared" si="455"/>
        <v>0</v>
      </c>
      <c r="AG67" s="214">
        <f>IF(AND(($E67+$C$1)&gt;AG$4,AG$4&gt;=$C$1),'General Inputs'!D$9*$H67,IF(AND(($D67+$C$1)&gt;AG$4,AG$4&gt;=$C$1),'General Inputs'!D$9*$G67,0))+IF(AND(($E67+$C$1)&gt;AG$4,AG$4&gt;=$C$1),'General Inputs'!D$10*$J67,IF(AND(($D67+$C$1)&gt;AG$4,AG$4&gt;=$C$1),'General Inputs'!D$10*$I67,0))</f>
        <v>0</v>
      </c>
      <c r="AH67" s="214">
        <f>IF(AND(($E67+$C$1)&gt;AH$4,AH$4&gt;=$C$1),'General Inputs'!E$9*$H67,IF(AND(($D67+$C$1)&gt;AH$4,AH$4&gt;=$C$1),'General Inputs'!E$9*$G67,0))+IF(AND(($E67+$C$1)&gt;AH$4,AH$4&gt;=$C$1),'General Inputs'!E$10*$J67,IF(AND(($D67+$C$1)&gt;AH$4,AH$4&gt;=$C$1),'General Inputs'!E$10*$I67,0))</f>
        <v>0</v>
      </c>
      <c r="AI67" s="214">
        <f>IF(AND(($E67+$C$1)&gt;AI$4,AI$4&gt;=$C$1),'General Inputs'!F$9*$H67,IF(AND(($D67+$C$1)&gt;AI$4,AI$4&gt;=$C$1),'General Inputs'!F$9*$G67,0))+IF(AND(($E67+$C$1)&gt;AI$4,AI$4&gt;=$C$1),'General Inputs'!F$10*$J67,IF(AND(($D67+$C$1)&gt;AI$4,AI$4&gt;=$C$1),'General Inputs'!F$10*$I67,0))</f>
        <v>0</v>
      </c>
      <c r="AJ67" s="214">
        <f>IF(AND(($E67+$C$1)&gt;AJ$4,AJ$4&gt;=$C$1),'General Inputs'!G$9*$H67,IF(AND(($D67+$C$1)&gt;AJ$4,AJ$4&gt;=$C$1),'General Inputs'!G$9*$G67,0))+IF(AND(($E67+$C$1)&gt;AJ$4,AJ$4&gt;=$C$1),'General Inputs'!G$10*$J67,IF(AND(($D67+$C$1)&gt;AJ$4,AJ$4&gt;=$C$1),'General Inputs'!G$10*$I67,0))</f>
        <v>0</v>
      </c>
      <c r="AK67" s="214">
        <f>IF(AND(($E67+$C$1)&gt;AK$4,AK$4&gt;=$C$1),'General Inputs'!H$9*$H67,IF(AND(($D67+$C$1)&gt;AK$4,AK$4&gt;=$C$1),'General Inputs'!H$9*$G67,0))+IF(AND(($E67+$C$1)&gt;AK$4,AK$4&gt;=$C$1),'General Inputs'!H$10*$J67,IF(AND(($D67+$C$1)&gt;AK$4,AK$4&gt;=$C$1),'General Inputs'!H$10*$I67,0))</f>
        <v>0</v>
      </c>
      <c r="AL67" s="214">
        <f>IF(AND(($E67+$C$1)&gt;AL$4,AL$4&gt;=$C$1),'General Inputs'!I$9*$H67,IF(AND(($D67+$C$1)&gt;AL$4,AL$4&gt;=$C$1),'General Inputs'!I$9*$G67,0))+IF(AND(($E67+$C$1)&gt;AL$4,AL$4&gt;=$C$1),'General Inputs'!I$10*$J67,IF(AND(($D67+$C$1)&gt;AL$4,AL$4&gt;=$C$1),'General Inputs'!I$10*$I67,0))</f>
        <v>0</v>
      </c>
      <c r="AM67" s="214">
        <f>IF(AND(($E67+$C$1)&gt;AM$4,AM$4&gt;=$C$1),'General Inputs'!J$9*$H67,IF(AND(($D67+$C$1)&gt;AM$4,AM$4&gt;=$C$1),'General Inputs'!J$9*$G67,0))+IF(AND(($E67+$C$1)&gt;AM$4,AM$4&gt;=$C$1),'General Inputs'!J$10*$J67,IF(AND(($D67+$C$1)&gt;AM$4,AM$4&gt;=$C$1),'General Inputs'!J$10*$I67,0))</f>
        <v>0</v>
      </c>
      <c r="AN67" s="214">
        <f>IF(AND(($E67+$C$1)&gt;AN$4,AN$4&gt;=$C$1),'General Inputs'!K$9*$H67,IF(AND(($D67+$C$1)&gt;AN$4,AN$4&gt;=$C$1),'General Inputs'!K$9*$G67,0))+IF(AND(($E67+$C$1)&gt;AN$4,AN$4&gt;=$C$1),'General Inputs'!K$10*$J67,IF(AND(($D67+$C$1)&gt;AN$4,AN$4&gt;=$C$1),'General Inputs'!K$10*$I67,0))</f>
        <v>0</v>
      </c>
      <c r="AO67" s="214">
        <f>IF(AND(($E67+$C$1)&gt;AO$4,AO$4&gt;=$C$1),'General Inputs'!L$9*$H67,IF(AND(($D67+$C$1)&gt;AO$4,AO$4&gt;=$C$1),'General Inputs'!L$9*$G67,0))+IF(AND(($E67+$C$1)&gt;AO$4,AO$4&gt;=$C$1),'General Inputs'!L$10*$J67,IF(AND(($D67+$C$1)&gt;AO$4,AO$4&gt;=$C$1),'General Inputs'!L$10*$I67,0))</f>
        <v>0</v>
      </c>
      <c r="AP67" s="214">
        <f>IF(AND(($E67+$C$1)&gt;AP$4,AP$4&gt;=$C$1),'General Inputs'!M$9*$H67,IF(AND(($D67+$C$1)&gt;AP$4,AP$4&gt;=$C$1),'General Inputs'!M$9*$G67,0))+IF(AND(($E67+$C$1)&gt;AP$4,AP$4&gt;=$C$1),'General Inputs'!M$10*$J67,IF(AND(($D67+$C$1)&gt;AP$4,AP$4&gt;=$C$1),'General Inputs'!M$10*$I67,0))</f>
        <v>0</v>
      </c>
      <c r="AQ67" s="214">
        <f>IF(AND(($E67+$C$1)&gt;AQ$4,AQ$4&gt;=$C$1),'General Inputs'!N$9*$H67,IF(AND(($D67+$C$1)&gt;AQ$4,AQ$4&gt;=$C$1),'General Inputs'!N$9*$G67,0))+IF(AND(($E67+$C$1)&gt;AQ$4,AQ$4&gt;=$C$1),'General Inputs'!N$10*$J67,IF(AND(($D67+$C$1)&gt;AQ$4,AQ$4&gt;=$C$1),'General Inputs'!N$10*$I67,0))</f>
        <v>0</v>
      </c>
      <c r="AR67" s="214">
        <f>IF(AND(($E67+$C$1)&gt;AR$4,AR$4&gt;=$C$1),'General Inputs'!O$9*$H67,IF(AND(($D67+$C$1)&gt;AR$4,AR$4&gt;=$C$1),'General Inputs'!O$9*$G67,0))+IF(AND(($E67+$C$1)&gt;AR$4,AR$4&gt;=$C$1),'General Inputs'!O$10*$J67,IF(AND(($D67+$C$1)&gt;AR$4,AR$4&gt;=$C$1),'General Inputs'!O$10*$I67,0))</f>
        <v>0</v>
      </c>
      <c r="AS67" s="214">
        <f>IF(AND(($E67+$C$1)&gt;AS$4,AS$4&gt;=$C$1),'General Inputs'!P$9*$H67,IF(AND(($D67+$C$1)&gt;AS$4,AS$4&gt;=$C$1),'General Inputs'!P$9*$G67,0))+IF(AND(($E67+$C$1)&gt;AS$4,AS$4&gt;=$C$1),'General Inputs'!P$10*$J67,IF(AND(($D67+$C$1)&gt;AS$4,AS$4&gt;=$C$1),'General Inputs'!P$10*$I67,0))</f>
        <v>0</v>
      </c>
      <c r="AT67" s="214">
        <f>IF(AND(($E67+$C$1)&gt;AT$4,AT$4&gt;=$C$1),'General Inputs'!Q$9*$H67,IF(AND(($D67+$C$1)&gt;AT$4,AT$4&gt;=$C$1),'General Inputs'!Q$9*$G67,0))+IF(AND(($E67+$C$1)&gt;AT$4,AT$4&gt;=$C$1),'General Inputs'!Q$10*$J67,IF(AND(($D67+$C$1)&gt;AT$4,AT$4&gt;=$C$1),'General Inputs'!Q$10*$I67,0))</f>
        <v>0</v>
      </c>
      <c r="AU67" s="214">
        <f>IF(AND(($E67+$C$1)&gt;AU$4,AU$4&gt;=$C$1),'General Inputs'!R$9*$H67,IF(AND(($D67+$C$1)&gt;AU$4,AU$4&gt;=$C$1),'General Inputs'!R$9*$G67,0))+IF(AND(($E67+$C$1)&gt;AU$4,AU$4&gt;=$C$1),'General Inputs'!R$10*$J67,IF(AND(($D67+$C$1)&gt;AU$4,AU$4&gt;=$C$1),'General Inputs'!R$10*$I67,0))</f>
        <v>0</v>
      </c>
      <c r="AV67" s="214">
        <f>IF(AND(($E67+$C$1)&gt;AV$4,AV$4&gt;=$C$1),'General Inputs'!S$9*$H67,IF(AND(($D67+$C$1)&gt;AV$4,AV$4&gt;=$C$1),'General Inputs'!S$9*$G67,0))+IF(AND(($E67+$C$1)&gt;AV$4,AV$4&gt;=$C$1),'General Inputs'!S$10*$J67,IF(AND(($D67+$C$1)&gt;AV$4,AV$4&gt;=$C$1),'General Inputs'!S$10*$I67,0))</f>
        <v>0</v>
      </c>
      <c r="AW67" s="214">
        <f>IF(AND(($E67+$C$1)&gt;AW$4,AW$4&gt;=$C$1),'General Inputs'!T$9*$H67,IF(AND(($D67+$C$1)&gt;AW$4,AW$4&gt;=$C$1),'General Inputs'!T$9*$G67,0))+IF(AND(($E67+$C$1)&gt;AW$4,AW$4&gt;=$C$1),'General Inputs'!T$10*$J67,IF(AND(($D67+$C$1)&gt;AW$4,AW$4&gt;=$C$1),'General Inputs'!T$10*$I67,0))</f>
        <v>0</v>
      </c>
      <c r="AX67" s="214">
        <f>IF(AND(($E67+$C$1)&gt;AX$4,AX$4&gt;=$C$1),'General Inputs'!U$9*$H67,IF(AND(($D67+$C$1)&gt;AX$4,AX$4&gt;=$C$1),'General Inputs'!U$9*$G67,0))+IF(AND(($E67+$C$1)&gt;AX$4,AX$4&gt;=$C$1),'General Inputs'!U$10*$J67,IF(AND(($D67+$C$1)&gt;AX$4,AX$4&gt;=$C$1),'General Inputs'!U$10*$I67,0))</f>
        <v>0</v>
      </c>
      <c r="AY67" s="214">
        <f>IF(AND(($E67+$C$1)&gt;AY$4,AY$4&gt;=$C$1),'General Inputs'!V$9*$H67,IF(AND(($D67+$C$1)&gt;AY$4,AY$4&gt;=$C$1),'General Inputs'!V$9*$G67,0))+IF(AND(($E67+$C$1)&gt;AY$4,AY$4&gt;=$C$1),'General Inputs'!V$10*$J67,IF(AND(($D67+$C$1)&gt;AY$4,AY$4&gt;=$C$1),'General Inputs'!V$10*$I67,0))</f>
        <v>0</v>
      </c>
      <c r="AZ67" s="214">
        <f>IF(AND(($E67+$C$1)&gt;AZ$4,AZ$4&gt;=$C$1),'General Inputs'!W$9*$H67,IF(AND(($D67+$C$1)&gt;AZ$4,AZ$4&gt;=$C$1),'General Inputs'!W$9*$G67,0))+IF(AND(($E67+$C$1)&gt;AZ$4,AZ$4&gt;=$C$1),'General Inputs'!W$10*$J67,IF(AND(($D67+$C$1)&gt;AZ$4,AZ$4&gt;=$C$1),'General Inputs'!W$10*$I67,0))</f>
        <v>0</v>
      </c>
      <c r="BB67" s="214">
        <f>IF(AND(($E67+$C$1)&gt;BB$4,BB$4&gt;=$C$1),'General Inputs'!D$11*$H67,IF(AND(($D67+$C$1)&gt;BB$4,BB$4&gt;=$C$1),'General Inputs'!D$11*$G67,0))</f>
        <v>0</v>
      </c>
      <c r="BC67" s="214">
        <f>IF(AND(($E67+$C$1)&gt;BC$4,BC$4&gt;=$C$1),'General Inputs'!E$11*$H67,IF(AND(($D67+$C$1)&gt;BC$4,BC$4&gt;=$C$1),'General Inputs'!E$11*$G67,0))</f>
        <v>0</v>
      </c>
      <c r="BD67" s="214">
        <f>IF(AND(($E67+$C$1)&gt;BD$4,BD$4&gt;=$C$1),'General Inputs'!F$11*$H67,IF(AND(($D67+$C$1)&gt;BD$4,BD$4&gt;=$C$1),'General Inputs'!F$11*$G67,0))</f>
        <v>0</v>
      </c>
      <c r="BE67" s="214">
        <f>IF(AND(($E67+$C$1)&gt;BE$4,BE$4&gt;=$C$1),'General Inputs'!G$11*$H67,IF(AND(($D67+$C$1)&gt;BE$4,BE$4&gt;=$C$1),'General Inputs'!G$11*$G67,0))</f>
        <v>0</v>
      </c>
      <c r="BF67" s="214">
        <f>IF(AND(($E67+$C$1)&gt;BF$4,BF$4&gt;=$C$1),'General Inputs'!H$11*$H67,IF(AND(($D67+$C$1)&gt;BF$4,BF$4&gt;=$C$1),'General Inputs'!H$11*$G67,0))</f>
        <v>0</v>
      </c>
      <c r="BG67" s="214">
        <f>IF(AND(($E67+$C$1)&gt;BG$4,BG$4&gt;=$C$1),'General Inputs'!I$11*$H67,IF(AND(($D67+$C$1)&gt;BG$4,BG$4&gt;=$C$1),'General Inputs'!I$11*$G67,0))</f>
        <v>0</v>
      </c>
      <c r="BH67" s="214">
        <f>IF(AND(($E67+$C$1)&gt;BH$4,BH$4&gt;=$C$1),'General Inputs'!J$11*$H67,IF(AND(($D67+$C$1)&gt;BH$4,BH$4&gt;=$C$1),'General Inputs'!J$11*$G67,0))</f>
        <v>0</v>
      </c>
      <c r="BI67" s="214">
        <f>IF(AND(($E67+$C$1)&gt;BI$4,BI$4&gt;=$C$1),'General Inputs'!K$11*$H67,IF(AND(($D67+$C$1)&gt;BI$4,BI$4&gt;=$C$1),'General Inputs'!K$11*$G67,0))</f>
        <v>0</v>
      </c>
      <c r="BJ67" s="214">
        <f>IF(AND(($E67+$C$1)&gt;BJ$4,BJ$4&gt;=$C$1),'General Inputs'!L$11*$H67,IF(AND(($D67+$C$1)&gt;BJ$4,BJ$4&gt;=$C$1),'General Inputs'!L$11*$G67,0))</f>
        <v>0</v>
      </c>
      <c r="BK67" s="214">
        <f>IF(AND(($E67+$C$1)&gt;BK$4,BK$4&gt;=$C$1),'General Inputs'!M$11*$H67,IF(AND(($D67+$C$1)&gt;BK$4,BK$4&gt;=$C$1),'General Inputs'!M$11*$G67,0))</f>
        <v>0</v>
      </c>
      <c r="BL67" s="214">
        <f>IF(AND(($E67+$C$1)&gt;BL$4,BL$4&gt;=$C$1),'General Inputs'!N$11*$H67,IF(AND(($D67+$C$1)&gt;BL$4,BL$4&gt;=$C$1),'General Inputs'!N$11*$G67,0))</f>
        <v>0</v>
      </c>
      <c r="BM67" s="214">
        <f>IF(AND(($E67+$C$1)&gt;BM$4,BM$4&gt;=$C$1),'General Inputs'!O$11*$H67,IF(AND(($D67+$C$1)&gt;BM$4,BM$4&gt;=$C$1),'General Inputs'!O$11*$G67,0))</f>
        <v>0</v>
      </c>
      <c r="BN67" s="214">
        <f>IF(AND(($E67+$C$1)&gt;BN$4,BN$4&gt;=$C$1),'General Inputs'!P$11*$H67,IF(AND(($D67+$C$1)&gt;BN$4,BN$4&gt;=$C$1),'General Inputs'!P$11*$G67,0))</f>
        <v>0</v>
      </c>
      <c r="BO67" s="214">
        <f>IF(AND(($E67+$C$1)&gt;BO$4,BO$4&gt;=$C$1),'General Inputs'!Q$11*$H67,IF(AND(($D67+$C$1)&gt;BO$4,BO$4&gt;=$C$1),'General Inputs'!Q$11*$G67,0))</f>
        <v>0</v>
      </c>
      <c r="BP67" s="214">
        <f>IF(AND(($E67+$C$1)&gt;BP$4,BP$4&gt;=$C$1),'General Inputs'!R$11*$H67,IF(AND(($D67+$C$1)&gt;BP$4,BP$4&gt;=$C$1),'General Inputs'!R$11*$G67,0))</f>
        <v>0</v>
      </c>
      <c r="BQ67" s="214">
        <f>IF(AND(($E67+$C$1)&gt;BQ$4,BQ$4&gt;=$C$1),'General Inputs'!S$11*$H67,IF(AND(($D67+$C$1)&gt;BQ$4,BQ$4&gt;=$C$1),'General Inputs'!S$11*$G67,0))</f>
        <v>0</v>
      </c>
      <c r="BR67" s="214">
        <f>IF(AND(($E67+$C$1)&gt;BR$4,BR$4&gt;=$C$1),'General Inputs'!T$11*$H67,IF(AND(($D67+$C$1)&gt;BR$4,BR$4&gt;=$C$1),'General Inputs'!T$11*$G67,0))</f>
        <v>0</v>
      </c>
      <c r="BS67" s="214">
        <f>IF(AND(($E67+$C$1)&gt;BS$4,BS$4&gt;=$C$1),'General Inputs'!U$11*$H67,IF(AND(($D67+$C$1)&gt;BS$4,BS$4&gt;=$C$1),'General Inputs'!U$11*$G67,0))</f>
        <v>0</v>
      </c>
      <c r="BT67" s="214">
        <f>IF(AND(($E67+$C$1)&gt;BT$4,BT$4&gt;=$C$1),'General Inputs'!V$11*$H67,IF(AND(($D67+$C$1)&gt;BT$4,BT$4&gt;=$C$1),'General Inputs'!V$11*$G67,0))</f>
        <v>0</v>
      </c>
      <c r="BU67" s="214">
        <f>IF(AND(($E67+$C$1)&gt;BU$4,BU$4&gt;=$C$1),'General Inputs'!W$11*$H67,IF(AND(($D67+$C$1)&gt;BU$4,BU$4&gt;=$C$1),'General Inputs'!W$11*$G67,0))</f>
        <v>0</v>
      </c>
      <c r="BW67" s="214">
        <f>IF(AND(($E67+$C$1)&gt;BW$4,BW$4&gt;=$C$1),$H67,IF(AND(($D67+$C$1)&gt;BW$4,BW$4&gt;=$C$1),$G67,0))*IF($A67="Residential",'General Inputs'!D$14,'General Inputs'!D$19)</f>
        <v>0</v>
      </c>
      <c r="BX67" s="214">
        <f>IF(AND(($E67+$C$1)&gt;BX$4,BX$4&gt;=$C$1),$H67,IF(AND(($D67+$C$1)&gt;BX$4,BX$4&gt;=$C$1),$G67,0))*IF($A67="Residential",'General Inputs'!E$14,'General Inputs'!E$19)</f>
        <v>0</v>
      </c>
      <c r="BY67" s="214">
        <f>IF(AND(($E67+$C$1)&gt;BY$4,BY$4&gt;=$C$1),$H67,IF(AND(($D67+$C$1)&gt;BY$4,BY$4&gt;=$C$1),$G67,0))*IF($A67="Residential",'General Inputs'!F$14,'General Inputs'!F$19)</f>
        <v>0</v>
      </c>
      <c r="BZ67" s="214">
        <f>IF(AND(($E67+$C$1)&gt;BZ$4,BZ$4&gt;=$C$1),$H67,IF(AND(($D67+$C$1)&gt;BZ$4,BZ$4&gt;=$C$1),$G67,0))*IF($A67="Residential",'General Inputs'!G$14,'General Inputs'!G$19)</f>
        <v>0</v>
      </c>
      <c r="CA67" s="214">
        <f>IF(AND(($E67+$C$1)&gt;CA$4,CA$4&gt;=$C$1),$H67,IF(AND(($D67+$C$1)&gt;CA$4,CA$4&gt;=$C$1),$G67,0))*IF($A67="Residential",'General Inputs'!H$14,'General Inputs'!H$19)</f>
        <v>0</v>
      </c>
      <c r="CB67" s="214">
        <f>IF(AND(($E67+$C$1)&gt;CB$4,CB$4&gt;=$C$1),$H67,IF(AND(($D67+$C$1)&gt;CB$4,CB$4&gt;=$C$1),$G67,0))*IF($A67="Residential",'General Inputs'!I$14,'General Inputs'!I$19)</f>
        <v>0</v>
      </c>
      <c r="CC67" s="214">
        <f>IF(AND(($E67+$C$1)&gt;CC$4,CC$4&gt;=$C$1),$H67,IF(AND(($D67+$C$1)&gt;CC$4,CC$4&gt;=$C$1),$G67,0))*IF($A67="Residential",'General Inputs'!J$14,'General Inputs'!J$19)</f>
        <v>0</v>
      </c>
      <c r="CD67" s="214">
        <f>IF(AND(($E67+$C$1)&gt;CD$4,CD$4&gt;=$C$1),$H67,IF(AND(($D67+$C$1)&gt;CD$4,CD$4&gt;=$C$1),$G67,0))*IF($A67="Residential",'General Inputs'!K$14,'General Inputs'!K$19)</f>
        <v>0</v>
      </c>
      <c r="CE67" s="214">
        <f>IF(AND(($E67+$C$1)&gt;CE$4,CE$4&gt;=$C$1),$H67,IF(AND(($D67+$C$1)&gt;CE$4,CE$4&gt;=$C$1),$G67,0))*IF($A67="Residential",'General Inputs'!L$14,'General Inputs'!L$19)</f>
        <v>0</v>
      </c>
      <c r="CF67" s="214">
        <f>IF(AND(($E67+$C$1)&gt;CF$4,CF$4&gt;=$C$1),$H67,IF(AND(($D67+$C$1)&gt;CF$4,CF$4&gt;=$C$1),$G67,0))*IF($A67="Residential",'General Inputs'!M$14,'General Inputs'!M$19)</f>
        <v>0</v>
      </c>
      <c r="CG67" s="214">
        <f>IF(AND(($E67+$C$1)&gt;CG$4,CG$4&gt;=$C$1),$H67,IF(AND(($D67+$C$1)&gt;CG$4,CG$4&gt;=$C$1),$G67,0))*IF($A67="Residential",'General Inputs'!N$14,'General Inputs'!N$19)</f>
        <v>0</v>
      </c>
      <c r="CH67" s="214">
        <f>IF(AND(($E67+$C$1)&gt;CH$4,CH$4&gt;=$C$1),$H67,IF(AND(($D67+$C$1)&gt;CH$4,CH$4&gt;=$C$1),$G67,0))*IF($A67="Residential",'General Inputs'!O$14,'General Inputs'!O$19)</f>
        <v>0</v>
      </c>
      <c r="CI67" s="214">
        <f>IF(AND(($E67+$C$1)&gt;CI$4,CI$4&gt;=$C$1),$H67,IF(AND(($D67+$C$1)&gt;CI$4,CI$4&gt;=$C$1),$G67,0))*IF($A67="Residential",'General Inputs'!P$14,'General Inputs'!P$19)</f>
        <v>0</v>
      </c>
      <c r="CJ67" s="214">
        <f>IF(AND(($E67+$C$1)&gt;CJ$4,CJ$4&gt;=$C$1),$H67,IF(AND(($D67+$C$1)&gt;CJ$4,CJ$4&gt;=$C$1),$G67,0))*IF($A67="Residential",'General Inputs'!Q$14,'General Inputs'!Q$19)</f>
        <v>0</v>
      </c>
      <c r="CK67" s="214">
        <f>IF(AND(($E67+$C$1)&gt;CK$4,CK$4&gt;=$C$1),$H67,IF(AND(($D67+$C$1)&gt;CK$4,CK$4&gt;=$C$1),$G67,0))*IF($A67="Residential",'General Inputs'!R$14,'General Inputs'!R$19)</f>
        <v>0</v>
      </c>
      <c r="CL67" s="214">
        <f>IF(AND(($E67+$C$1)&gt;CL$4,CL$4&gt;=$C$1),$H67,IF(AND(($D67+$C$1)&gt;CL$4,CL$4&gt;=$C$1),$G67,0))*IF($A67="Residential",'General Inputs'!S$14,'General Inputs'!S$19)</f>
        <v>0</v>
      </c>
      <c r="CM67" s="214">
        <f>IF(AND(($E67+$C$1)&gt;CM$4,CM$4&gt;=$C$1),$H67,IF(AND(($D67+$C$1)&gt;CM$4,CM$4&gt;=$C$1),$G67,0))*IF($A67="Residential",'General Inputs'!T$14,'General Inputs'!T$19)</f>
        <v>0</v>
      </c>
      <c r="CN67" s="214">
        <f>IF(AND(($E67+$C$1)&gt;CN$4,CN$4&gt;=$C$1),$H67,IF(AND(($D67+$C$1)&gt;CN$4,CN$4&gt;=$C$1),$G67,0))*IF($A67="Residential",'General Inputs'!U$14,'General Inputs'!U$19)</f>
        <v>0</v>
      </c>
      <c r="CO67" s="214">
        <f>IF(AND(($E67+$C$1)&gt;CO$4,CO$4&gt;=$C$1),$H67,IF(AND(($D67+$C$1)&gt;CO$4,CO$4&gt;=$C$1),$G67,0))*IF($A67="Residential",'General Inputs'!V$14,'General Inputs'!V$19)</f>
        <v>0</v>
      </c>
      <c r="CP67" s="214">
        <f>IF(AND(($E67+$C$1)&gt;CP$4,CP$4&gt;=$C$1),$H67,IF(AND(($D67+$C$1)&gt;CP$4,CP$4&gt;=$C$1),$G67,0))*IF($A67="Residential",'General Inputs'!W$14,'General Inputs'!W$19)</f>
        <v>0</v>
      </c>
      <c r="CR67" s="214">
        <f>IF(AND(($E67+$C$1)&gt;CR$4,CR$4&gt;=$C$1),$H67,IF(AND(($D67+$C$1)&gt;CR$4,CR$4&gt;=$C$1),$G67,0))*IF($A67="Residential",'General Inputs'!D$15,'General Inputs'!D$19)</f>
        <v>0</v>
      </c>
      <c r="CS67" s="214">
        <f>IF(AND(($E67+$C$1)&gt;CS$4,CS$4&gt;=$C$1),$H67,IF(AND(($D67+$C$1)&gt;CS$4,CS$4&gt;=$C$1),$G67,0))*IF($A67="Residential",'General Inputs'!E$15,'General Inputs'!E$19)</f>
        <v>0</v>
      </c>
      <c r="CT67" s="214">
        <f>IF(AND(($E67+$C$1)&gt;CT$4,CT$4&gt;=$C$1),$H67,IF(AND(($D67+$C$1)&gt;CT$4,CT$4&gt;=$C$1),$G67,0))*IF($A67="Residential",'General Inputs'!F$15,'General Inputs'!F$19)</f>
        <v>0</v>
      </c>
      <c r="CU67" s="214">
        <f>IF(AND(($E67+$C$1)&gt;CU$4,CU$4&gt;=$C$1),$H67,IF(AND(($D67+$C$1)&gt;CU$4,CU$4&gt;=$C$1),$G67,0))*IF($A67="Residential",'General Inputs'!G$15,'General Inputs'!G$19)</f>
        <v>0</v>
      </c>
      <c r="CV67" s="214">
        <f>IF(AND(($E67+$C$1)&gt;CV$4,CV$4&gt;=$C$1),$H67,IF(AND(($D67+$C$1)&gt;CV$4,CV$4&gt;=$C$1),$G67,0))*IF($A67="Residential",'General Inputs'!H$15,'General Inputs'!H$19)</f>
        <v>0</v>
      </c>
      <c r="CW67" s="214">
        <f>IF(AND(($E67+$C$1)&gt;CW$4,CW$4&gt;=$C$1),$H67,IF(AND(($D67+$C$1)&gt;CW$4,CW$4&gt;=$C$1),$G67,0))*IF($A67="Residential",'General Inputs'!I$15,'General Inputs'!I$19)</f>
        <v>0</v>
      </c>
      <c r="CX67" s="214">
        <f>IF(AND(($E67+$C$1)&gt;CX$4,CX$4&gt;=$C$1),$H67,IF(AND(($D67+$C$1)&gt;CX$4,CX$4&gt;=$C$1),$G67,0))*IF($A67="Residential",'General Inputs'!J$15,'General Inputs'!J$19)</f>
        <v>0</v>
      </c>
      <c r="CY67" s="214">
        <f>IF(AND(($E67+$C$1)&gt;CY$4,CY$4&gt;=$C$1),$H67,IF(AND(($D67+$C$1)&gt;CY$4,CY$4&gt;=$C$1),$G67,0))*IF($A67="Residential",'General Inputs'!K$15,'General Inputs'!K$19)</f>
        <v>0</v>
      </c>
      <c r="CZ67" s="214">
        <f>IF(AND(($E67+$C$1)&gt;CZ$4,CZ$4&gt;=$C$1),$H67,IF(AND(($D67+$C$1)&gt;CZ$4,CZ$4&gt;=$C$1),$G67,0))*IF($A67="Residential",'General Inputs'!L$15,'General Inputs'!L$19)</f>
        <v>0</v>
      </c>
      <c r="DA67" s="214">
        <f>IF(AND(($E67+$C$1)&gt;DA$4,DA$4&gt;=$C$1),$H67,IF(AND(($D67+$C$1)&gt;DA$4,DA$4&gt;=$C$1),$G67,0))*IF($A67="Residential",'General Inputs'!M$15,'General Inputs'!M$19)</f>
        <v>0</v>
      </c>
      <c r="DB67" s="214">
        <f>IF(AND(($E67+$C$1)&gt;DB$4,DB$4&gt;=$C$1),$H67,IF(AND(($D67+$C$1)&gt;DB$4,DB$4&gt;=$C$1),$G67,0))*IF($A67="Residential",'General Inputs'!N$15,'General Inputs'!N$19)</f>
        <v>0</v>
      </c>
      <c r="DC67" s="214">
        <f>IF(AND(($E67+$C$1)&gt;DC$4,DC$4&gt;=$C$1),$H67,IF(AND(($D67+$C$1)&gt;DC$4,DC$4&gt;=$C$1),$G67,0))*IF($A67="Residential",'General Inputs'!O$15,'General Inputs'!O$19)</f>
        <v>0</v>
      </c>
      <c r="DD67" s="214">
        <f>IF(AND(($E67+$C$1)&gt;DD$4,DD$4&gt;=$C$1),$H67,IF(AND(($D67+$C$1)&gt;DD$4,DD$4&gt;=$C$1),$G67,0))*IF($A67="Residential",'General Inputs'!P$15,'General Inputs'!P$19)</f>
        <v>0</v>
      </c>
      <c r="DE67" s="214">
        <f>IF(AND(($E67+$C$1)&gt;DE$4,DE$4&gt;=$C$1),$H67,IF(AND(($D67+$C$1)&gt;DE$4,DE$4&gt;=$C$1),$G67,0))*IF($A67="Residential",'General Inputs'!Q$15,'General Inputs'!Q$19)</f>
        <v>0</v>
      </c>
      <c r="DF67" s="214">
        <f>IF(AND(($E67+$C$1)&gt;DF$4,DF$4&gt;=$C$1),$H67,IF(AND(($D67+$C$1)&gt;DF$4,DF$4&gt;=$C$1),$G67,0))*IF($A67="Residential",'General Inputs'!R$15,'General Inputs'!R$19)</f>
        <v>0</v>
      </c>
      <c r="DG67" s="214">
        <f>IF(AND(($E67+$C$1)&gt;DG$4,DG$4&gt;=$C$1),$H67,IF(AND(($D67+$C$1)&gt;DG$4,DG$4&gt;=$C$1),$G67,0))*IF($A67="Residential",'General Inputs'!S$15,'General Inputs'!S$19)</f>
        <v>0</v>
      </c>
      <c r="DH67" s="214">
        <f>IF(AND(($E67+$C$1)&gt;DH$4,DH$4&gt;=$C$1),$H67,IF(AND(($D67+$C$1)&gt;DH$4,DH$4&gt;=$C$1),$G67,0))*IF($A67="Residential",'General Inputs'!T$15,'General Inputs'!T$19)</f>
        <v>0</v>
      </c>
      <c r="DI67" s="214">
        <f>IF(AND(($E67+$C$1)&gt;DI$4,DI$4&gt;=$C$1),$H67,IF(AND(($D67+$C$1)&gt;DI$4,DI$4&gt;=$C$1),$G67,0))*IF($A67="Residential",'General Inputs'!U$15,'General Inputs'!U$19)</f>
        <v>0</v>
      </c>
      <c r="DJ67" s="214">
        <f>IF(AND(($E67+$C$1)&gt;DJ$4,DJ$4&gt;=$C$1),$H67,IF(AND(($D67+$C$1)&gt;DJ$4,DJ$4&gt;=$C$1),$G67,0))*IF($A67="Residential",'General Inputs'!V$15,'General Inputs'!V$19)</f>
        <v>0</v>
      </c>
      <c r="DK67" s="214">
        <f>IF(AND(($E67+$C$1)&gt;DK$4,DK$4&gt;=$C$1),$H67,IF(AND(($D67+$C$1)&gt;DK$4,DK$4&gt;=$C$1),$G67,0))*IF($A67="Residential",'General Inputs'!W$15,'General Inputs'!W$19)</f>
        <v>0</v>
      </c>
      <c r="DM67" s="214">
        <f t="shared" si="456"/>
        <v>0</v>
      </c>
      <c r="DN67" s="214">
        <f t="shared" si="456"/>
        <v>0</v>
      </c>
      <c r="DO67" s="214">
        <f t="shared" si="456"/>
        <v>0</v>
      </c>
      <c r="DP67" s="214">
        <f t="shared" si="456"/>
        <v>0</v>
      </c>
      <c r="DQ67" s="214">
        <f t="shared" si="456"/>
        <v>0</v>
      </c>
      <c r="DR67" s="214">
        <f t="shared" si="456"/>
        <v>0</v>
      </c>
      <c r="DS67" s="214">
        <f t="shared" si="456"/>
        <v>0</v>
      </c>
      <c r="DT67" s="214">
        <f t="shared" si="456"/>
        <v>0</v>
      </c>
      <c r="DU67" s="214">
        <f t="shared" si="456"/>
        <v>0</v>
      </c>
      <c r="DV67" s="214">
        <f t="shared" si="456"/>
        <v>0</v>
      </c>
      <c r="DW67" s="214">
        <f t="shared" si="456"/>
        <v>0</v>
      </c>
      <c r="DZ67" s="650"/>
      <c r="FI67" s="195"/>
      <c r="FJ67" s="195"/>
      <c r="FK67" s="195"/>
      <c r="FL67" s="195"/>
      <c r="FM67" s="195"/>
      <c r="FN67" s="195"/>
      <c r="FO67" s="195"/>
    </row>
    <row r="68" spans="1:171">
      <c r="A68" s="342" t="s">
        <v>112</v>
      </c>
      <c r="B68" s="427" t="str">
        <f>'Portfolio Inputs'!A67</f>
        <v>Ceramic Integrated Metal Halide (≥250 W)</v>
      </c>
      <c r="C68" s="217">
        <f>IF($C$1=2014,'Portfolio Inputs'!$C67,IF($C$1=2015,'Portfolio Inputs'!$D67,'Portfolio Inputs'!$E67))</f>
        <v>0</v>
      </c>
      <c r="D68" s="504">
        <f>VLOOKUP(B68,Sources!$B$4:$J$104,2,FALSE)</f>
        <v>18</v>
      </c>
      <c r="E68" s="504">
        <f>VLOOKUP(B68,Sources!$B$4:$J$104,3,FALSE)</f>
        <v>0</v>
      </c>
      <c r="G68" s="504">
        <f>IF($C$1=2014,'Portfolio Inputs'!$G67,IF($C$1=2015,'Portfolio Inputs'!$H67,'Portfolio Inputs'!$I67))*EnergyLineLoss</f>
        <v>0</v>
      </c>
      <c r="H68" s="504"/>
      <c r="I68" s="595">
        <f>IF($C$1=2014,'Portfolio Inputs'!$K67,IF($C$1=2015,'Portfolio Inputs'!$L67,'Portfolio Inputs'!$M67))*PeakLineLoss</f>
        <v>0</v>
      </c>
      <c r="J68" s="510"/>
      <c r="L68" s="606">
        <f>IF($C$1=2014,'Portfolio Inputs'!$O67,IF($C$1=2015,'Portfolio Inputs'!$P67,'Portfolio Inputs'!$Q67))</f>
        <v>42</v>
      </c>
      <c r="M68" s="518">
        <f>VLOOKUP($B68,Sources!$B$4:$K$104,10,FALSE)</f>
        <v>0</v>
      </c>
      <c r="N68" s="419">
        <f>IF($C$1=2014,'Portfolio Inputs'!$W67,IF($C$1=2015,'Portfolio Inputs'!$X67,'Portfolio Inputs'!$Y67))</f>
        <v>0</v>
      </c>
      <c r="O68" s="419">
        <f>IF($C$1=2014,'Portfolio Inputs'!$AA67,IF($C$1=2015,'Portfolio Inputs'!$AB67,'Portfolio Inputs'!$AC67))</f>
        <v>0</v>
      </c>
      <c r="Q68" s="438" t="str">
        <f t="shared" si="442"/>
        <v>n/a</v>
      </c>
      <c r="R68" s="439" t="str">
        <f t="shared" si="443"/>
        <v>n/a</v>
      </c>
      <c r="S68" s="439" t="str">
        <f t="shared" si="444"/>
        <v>n/a</v>
      </c>
      <c r="T68" s="439" t="str">
        <f t="shared" si="445"/>
        <v>n/a</v>
      </c>
      <c r="U68" s="439" t="str">
        <f t="shared" si="446"/>
        <v>n/a</v>
      </c>
      <c r="V68" s="439" t="str">
        <f t="shared" si="447"/>
        <v>n/a</v>
      </c>
      <c r="W68" s="439" t="str">
        <f t="shared" si="448"/>
        <v>n/a</v>
      </c>
      <c r="Y68" s="215">
        <f t="shared" si="449"/>
        <v>0</v>
      </c>
      <c r="Z68" s="215">
        <f t="shared" si="450"/>
        <v>0</v>
      </c>
      <c r="AA68" s="215">
        <f t="shared" si="451"/>
        <v>0</v>
      </c>
      <c r="AB68" s="215">
        <f t="shared" si="452"/>
        <v>0</v>
      </c>
      <c r="AC68" s="216">
        <f t="shared" si="453"/>
        <v>0</v>
      </c>
      <c r="AD68" s="216">
        <f t="shared" si="454"/>
        <v>0</v>
      </c>
      <c r="AE68" s="215">
        <f t="shared" si="455"/>
        <v>0</v>
      </c>
      <c r="AG68" s="214">
        <f>IF(AND(($E68+$C$1)&gt;AG$4,AG$4&gt;=$C$1),'General Inputs'!D$9*$H68,IF(AND(($D68+$C$1)&gt;AG$4,AG$4&gt;=$C$1),'General Inputs'!D$9*$G68,0))+IF(AND(($E68+$C$1)&gt;AG$4,AG$4&gt;=$C$1),'General Inputs'!D$10*$J68,IF(AND(($D68+$C$1)&gt;AG$4,AG$4&gt;=$C$1),'General Inputs'!D$10*$I68,0))</f>
        <v>0</v>
      </c>
      <c r="AH68" s="214">
        <f>IF(AND(($E68+$C$1)&gt;AH$4,AH$4&gt;=$C$1),'General Inputs'!E$9*$H68,IF(AND(($D68+$C$1)&gt;AH$4,AH$4&gt;=$C$1),'General Inputs'!E$9*$G68,0))+IF(AND(($E68+$C$1)&gt;AH$4,AH$4&gt;=$C$1),'General Inputs'!E$10*$J68,IF(AND(($D68+$C$1)&gt;AH$4,AH$4&gt;=$C$1),'General Inputs'!E$10*$I68,0))</f>
        <v>0</v>
      </c>
      <c r="AI68" s="214">
        <f>IF(AND(($E68+$C$1)&gt;AI$4,AI$4&gt;=$C$1),'General Inputs'!F$9*$H68,IF(AND(($D68+$C$1)&gt;AI$4,AI$4&gt;=$C$1),'General Inputs'!F$9*$G68,0))+IF(AND(($E68+$C$1)&gt;AI$4,AI$4&gt;=$C$1),'General Inputs'!F$10*$J68,IF(AND(($D68+$C$1)&gt;AI$4,AI$4&gt;=$C$1),'General Inputs'!F$10*$I68,0))</f>
        <v>0</v>
      </c>
      <c r="AJ68" s="214">
        <f>IF(AND(($E68+$C$1)&gt;AJ$4,AJ$4&gt;=$C$1),'General Inputs'!G$9*$H68,IF(AND(($D68+$C$1)&gt;AJ$4,AJ$4&gt;=$C$1),'General Inputs'!G$9*$G68,0))+IF(AND(($E68+$C$1)&gt;AJ$4,AJ$4&gt;=$C$1),'General Inputs'!G$10*$J68,IF(AND(($D68+$C$1)&gt;AJ$4,AJ$4&gt;=$C$1),'General Inputs'!G$10*$I68,0))</f>
        <v>0</v>
      </c>
      <c r="AK68" s="214">
        <f>IF(AND(($E68+$C$1)&gt;AK$4,AK$4&gt;=$C$1),'General Inputs'!H$9*$H68,IF(AND(($D68+$C$1)&gt;AK$4,AK$4&gt;=$C$1),'General Inputs'!H$9*$G68,0))+IF(AND(($E68+$C$1)&gt;AK$4,AK$4&gt;=$C$1),'General Inputs'!H$10*$J68,IF(AND(($D68+$C$1)&gt;AK$4,AK$4&gt;=$C$1),'General Inputs'!H$10*$I68,0))</f>
        <v>0</v>
      </c>
      <c r="AL68" s="214">
        <f>IF(AND(($E68+$C$1)&gt;AL$4,AL$4&gt;=$C$1),'General Inputs'!I$9*$H68,IF(AND(($D68+$C$1)&gt;AL$4,AL$4&gt;=$C$1),'General Inputs'!I$9*$G68,0))+IF(AND(($E68+$C$1)&gt;AL$4,AL$4&gt;=$C$1),'General Inputs'!I$10*$J68,IF(AND(($D68+$C$1)&gt;AL$4,AL$4&gt;=$C$1),'General Inputs'!I$10*$I68,0))</f>
        <v>0</v>
      </c>
      <c r="AM68" s="214">
        <f>IF(AND(($E68+$C$1)&gt;AM$4,AM$4&gt;=$C$1),'General Inputs'!J$9*$H68,IF(AND(($D68+$C$1)&gt;AM$4,AM$4&gt;=$C$1),'General Inputs'!J$9*$G68,0))+IF(AND(($E68+$C$1)&gt;AM$4,AM$4&gt;=$C$1),'General Inputs'!J$10*$J68,IF(AND(($D68+$C$1)&gt;AM$4,AM$4&gt;=$C$1),'General Inputs'!J$10*$I68,0))</f>
        <v>0</v>
      </c>
      <c r="AN68" s="214">
        <f>IF(AND(($E68+$C$1)&gt;AN$4,AN$4&gt;=$C$1),'General Inputs'!K$9*$H68,IF(AND(($D68+$C$1)&gt;AN$4,AN$4&gt;=$C$1),'General Inputs'!K$9*$G68,0))+IF(AND(($E68+$C$1)&gt;AN$4,AN$4&gt;=$C$1),'General Inputs'!K$10*$J68,IF(AND(($D68+$C$1)&gt;AN$4,AN$4&gt;=$C$1),'General Inputs'!K$10*$I68,0))</f>
        <v>0</v>
      </c>
      <c r="AO68" s="214">
        <f>IF(AND(($E68+$C$1)&gt;AO$4,AO$4&gt;=$C$1),'General Inputs'!L$9*$H68,IF(AND(($D68+$C$1)&gt;AO$4,AO$4&gt;=$C$1),'General Inputs'!L$9*$G68,0))+IF(AND(($E68+$C$1)&gt;AO$4,AO$4&gt;=$C$1),'General Inputs'!L$10*$J68,IF(AND(($D68+$C$1)&gt;AO$4,AO$4&gt;=$C$1),'General Inputs'!L$10*$I68,0))</f>
        <v>0</v>
      </c>
      <c r="AP68" s="214">
        <f>IF(AND(($E68+$C$1)&gt;AP$4,AP$4&gt;=$C$1),'General Inputs'!M$9*$H68,IF(AND(($D68+$C$1)&gt;AP$4,AP$4&gt;=$C$1),'General Inputs'!M$9*$G68,0))+IF(AND(($E68+$C$1)&gt;AP$4,AP$4&gt;=$C$1),'General Inputs'!M$10*$J68,IF(AND(($D68+$C$1)&gt;AP$4,AP$4&gt;=$C$1),'General Inputs'!M$10*$I68,0))</f>
        <v>0</v>
      </c>
      <c r="AQ68" s="214">
        <f>IF(AND(($E68+$C$1)&gt;AQ$4,AQ$4&gt;=$C$1),'General Inputs'!N$9*$H68,IF(AND(($D68+$C$1)&gt;AQ$4,AQ$4&gt;=$C$1),'General Inputs'!N$9*$G68,0))+IF(AND(($E68+$C$1)&gt;AQ$4,AQ$4&gt;=$C$1),'General Inputs'!N$10*$J68,IF(AND(($D68+$C$1)&gt;AQ$4,AQ$4&gt;=$C$1),'General Inputs'!N$10*$I68,0))</f>
        <v>0</v>
      </c>
      <c r="AR68" s="214">
        <f>IF(AND(($E68+$C$1)&gt;AR$4,AR$4&gt;=$C$1),'General Inputs'!O$9*$H68,IF(AND(($D68+$C$1)&gt;AR$4,AR$4&gt;=$C$1),'General Inputs'!O$9*$G68,0))+IF(AND(($E68+$C$1)&gt;AR$4,AR$4&gt;=$C$1),'General Inputs'!O$10*$J68,IF(AND(($D68+$C$1)&gt;AR$4,AR$4&gt;=$C$1),'General Inputs'!O$10*$I68,0))</f>
        <v>0</v>
      </c>
      <c r="AS68" s="214">
        <f>IF(AND(($E68+$C$1)&gt;AS$4,AS$4&gt;=$C$1),'General Inputs'!P$9*$H68,IF(AND(($D68+$C$1)&gt;AS$4,AS$4&gt;=$C$1),'General Inputs'!P$9*$G68,0))+IF(AND(($E68+$C$1)&gt;AS$4,AS$4&gt;=$C$1),'General Inputs'!P$10*$J68,IF(AND(($D68+$C$1)&gt;AS$4,AS$4&gt;=$C$1),'General Inputs'!P$10*$I68,0))</f>
        <v>0</v>
      </c>
      <c r="AT68" s="214">
        <f>IF(AND(($E68+$C$1)&gt;AT$4,AT$4&gt;=$C$1),'General Inputs'!Q$9*$H68,IF(AND(($D68+$C$1)&gt;AT$4,AT$4&gt;=$C$1),'General Inputs'!Q$9*$G68,0))+IF(AND(($E68+$C$1)&gt;AT$4,AT$4&gt;=$C$1),'General Inputs'!Q$10*$J68,IF(AND(($D68+$C$1)&gt;AT$4,AT$4&gt;=$C$1),'General Inputs'!Q$10*$I68,0))</f>
        <v>0</v>
      </c>
      <c r="AU68" s="214">
        <f>IF(AND(($E68+$C$1)&gt;AU$4,AU$4&gt;=$C$1),'General Inputs'!R$9*$H68,IF(AND(($D68+$C$1)&gt;AU$4,AU$4&gt;=$C$1),'General Inputs'!R$9*$G68,0))+IF(AND(($E68+$C$1)&gt;AU$4,AU$4&gt;=$C$1),'General Inputs'!R$10*$J68,IF(AND(($D68+$C$1)&gt;AU$4,AU$4&gt;=$C$1),'General Inputs'!R$10*$I68,0))</f>
        <v>0</v>
      </c>
      <c r="AV68" s="214">
        <f>IF(AND(($E68+$C$1)&gt;AV$4,AV$4&gt;=$C$1),'General Inputs'!S$9*$H68,IF(AND(($D68+$C$1)&gt;AV$4,AV$4&gt;=$C$1),'General Inputs'!S$9*$G68,0))+IF(AND(($E68+$C$1)&gt;AV$4,AV$4&gt;=$C$1),'General Inputs'!S$10*$J68,IF(AND(($D68+$C$1)&gt;AV$4,AV$4&gt;=$C$1),'General Inputs'!S$10*$I68,0))</f>
        <v>0</v>
      </c>
      <c r="AW68" s="214">
        <f>IF(AND(($E68+$C$1)&gt;AW$4,AW$4&gt;=$C$1),'General Inputs'!T$9*$H68,IF(AND(($D68+$C$1)&gt;AW$4,AW$4&gt;=$C$1),'General Inputs'!T$9*$G68,0))+IF(AND(($E68+$C$1)&gt;AW$4,AW$4&gt;=$C$1),'General Inputs'!T$10*$J68,IF(AND(($D68+$C$1)&gt;AW$4,AW$4&gt;=$C$1),'General Inputs'!T$10*$I68,0))</f>
        <v>0</v>
      </c>
      <c r="AX68" s="214">
        <f>IF(AND(($E68+$C$1)&gt;AX$4,AX$4&gt;=$C$1),'General Inputs'!U$9*$H68,IF(AND(($D68+$C$1)&gt;AX$4,AX$4&gt;=$C$1),'General Inputs'!U$9*$G68,0))+IF(AND(($E68+$C$1)&gt;AX$4,AX$4&gt;=$C$1),'General Inputs'!U$10*$J68,IF(AND(($D68+$C$1)&gt;AX$4,AX$4&gt;=$C$1),'General Inputs'!U$10*$I68,0))</f>
        <v>0</v>
      </c>
      <c r="AY68" s="214">
        <f>IF(AND(($E68+$C$1)&gt;AY$4,AY$4&gt;=$C$1),'General Inputs'!V$9*$H68,IF(AND(($D68+$C$1)&gt;AY$4,AY$4&gt;=$C$1),'General Inputs'!V$9*$G68,0))+IF(AND(($E68+$C$1)&gt;AY$4,AY$4&gt;=$C$1),'General Inputs'!V$10*$J68,IF(AND(($D68+$C$1)&gt;AY$4,AY$4&gt;=$C$1),'General Inputs'!V$10*$I68,0))</f>
        <v>0</v>
      </c>
      <c r="AZ68" s="214">
        <f>IF(AND(($E68+$C$1)&gt;AZ$4,AZ$4&gt;=$C$1),'General Inputs'!W$9*$H68,IF(AND(($D68+$C$1)&gt;AZ$4,AZ$4&gt;=$C$1),'General Inputs'!W$9*$G68,0))+IF(AND(($E68+$C$1)&gt;AZ$4,AZ$4&gt;=$C$1),'General Inputs'!W$10*$J68,IF(AND(($D68+$C$1)&gt;AZ$4,AZ$4&gt;=$C$1),'General Inputs'!W$10*$I68,0))</f>
        <v>0</v>
      </c>
      <c r="BB68" s="214">
        <f>IF(AND(($E68+$C$1)&gt;BB$4,BB$4&gt;=$C$1),'General Inputs'!D$11*$H68,IF(AND(($D68+$C$1)&gt;BB$4,BB$4&gt;=$C$1),'General Inputs'!D$11*$G68,0))</f>
        <v>0</v>
      </c>
      <c r="BC68" s="214">
        <f>IF(AND(($E68+$C$1)&gt;BC$4,BC$4&gt;=$C$1),'General Inputs'!E$11*$H68,IF(AND(($D68+$C$1)&gt;BC$4,BC$4&gt;=$C$1),'General Inputs'!E$11*$G68,0))</f>
        <v>0</v>
      </c>
      <c r="BD68" s="214">
        <f>IF(AND(($E68+$C$1)&gt;BD$4,BD$4&gt;=$C$1),'General Inputs'!F$11*$H68,IF(AND(($D68+$C$1)&gt;BD$4,BD$4&gt;=$C$1),'General Inputs'!F$11*$G68,0))</f>
        <v>0</v>
      </c>
      <c r="BE68" s="214">
        <f>IF(AND(($E68+$C$1)&gt;BE$4,BE$4&gt;=$C$1),'General Inputs'!G$11*$H68,IF(AND(($D68+$C$1)&gt;BE$4,BE$4&gt;=$C$1),'General Inputs'!G$11*$G68,0))</f>
        <v>0</v>
      </c>
      <c r="BF68" s="214">
        <f>IF(AND(($E68+$C$1)&gt;BF$4,BF$4&gt;=$C$1),'General Inputs'!H$11*$H68,IF(AND(($D68+$C$1)&gt;BF$4,BF$4&gt;=$C$1),'General Inputs'!H$11*$G68,0))</f>
        <v>0</v>
      </c>
      <c r="BG68" s="214">
        <f>IF(AND(($E68+$C$1)&gt;BG$4,BG$4&gt;=$C$1),'General Inputs'!I$11*$H68,IF(AND(($D68+$C$1)&gt;BG$4,BG$4&gt;=$C$1),'General Inputs'!I$11*$G68,0))</f>
        <v>0</v>
      </c>
      <c r="BH68" s="214">
        <f>IF(AND(($E68+$C$1)&gt;BH$4,BH$4&gt;=$C$1),'General Inputs'!J$11*$H68,IF(AND(($D68+$C$1)&gt;BH$4,BH$4&gt;=$C$1),'General Inputs'!J$11*$G68,0))</f>
        <v>0</v>
      </c>
      <c r="BI68" s="214">
        <f>IF(AND(($E68+$C$1)&gt;BI$4,BI$4&gt;=$C$1),'General Inputs'!K$11*$H68,IF(AND(($D68+$C$1)&gt;BI$4,BI$4&gt;=$C$1),'General Inputs'!K$11*$G68,0))</f>
        <v>0</v>
      </c>
      <c r="BJ68" s="214">
        <f>IF(AND(($E68+$C$1)&gt;BJ$4,BJ$4&gt;=$C$1),'General Inputs'!L$11*$H68,IF(AND(($D68+$C$1)&gt;BJ$4,BJ$4&gt;=$C$1),'General Inputs'!L$11*$G68,0))</f>
        <v>0</v>
      </c>
      <c r="BK68" s="214">
        <f>IF(AND(($E68+$C$1)&gt;BK$4,BK$4&gt;=$C$1),'General Inputs'!M$11*$H68,IF(AND(($D68+$C$1)&gt;BK$4,BK$4&gt;=$C$1),'General Inputs'!M$11*$G68,0))</f>
        <v>0</v>
      </c>
      <c r="BL68" s="214">
        <f>IF(AND(($E68+$C$1)&gt;BL$4,BL$4&gt;=$C$1),'General Inputs'!N$11*$H68,IF(AND(($D68+$C$1)&gt;BL$4,BL$4&gt;=$C$1),'General Inputs'!N$11*$G68,0))</f>
        <v>0</v>
      </c>
      <c r="BM68" s="214">
        <f>IF(AND(($E68+$C$1)&gt;BM$4,BM$4&gt;=$C$1),'General Inputs'!O$11*$H68,IF(AND(($D68+$C$1)&gt;BM$4,BM$4&gt;=$C$1),'General Inputs'!O$11*$G68,0))</f>
        <v>0</v>
      </c>
      <c r="BN68" s="214">
        <f>IF(AND(($E68+$C$1)&gt;BN$4,BN$4&gt;=$C$1),'General Inputs'!P$11*$H68,IF(AND(($D68+$C$1)&gt;BN$4,BN$4&gt;=$C$1),'General Inputs'!P$11*$G68,0))</f>
        <v>0</v>
      </c>
      <c r="BO68" s="214">
        <f>IF(AND(($E68+$C$1)&gt;BO$4,BO$4&gt;=$C$1),'General Inputs'!Q$11*$H68,IF(AND(($D68+$C$1)&gt;BO$4,BO$4&gt;=$C$1),'General Inputs'!Q$11*$G68,0))</f>
        <v>0</v>
      </c>
      <c r="BP68" s="214">
        <f>IF(AND(($E68+$C$1)&gt;BP$4,BP$4&gt;=$C$1),'General Inputs'!R$11*$H68,IF(AND(($D68+$C$1)&gt;BP$4,BP$4&gt;=$C$1),'General Inputs'!R$11*$G68,0))</f>
        <v>0</v>
      </c>
      <c r="BQ68" s="214">
        <f>IF(AND(($E68+$C$1)&gt;BQ$4,BQ$4&gt;=$C$1),'General Inputs'!S$11*$H68,IF(AND(($D68+$C$1)&gt;BQ$4,BQ$4&gt;=$C$1),'General Inputs'!S$11*$G68,0))</f>
        <v>0</v>
      </c>
      <c r="BR68" s="214">
        <f>IF(AND(($E68+$C$1)&gt;BR$4,BR$4&gt;=$C$1),'General Inputs'!T$11*$H68,IF(AND(($D68+$C$1)&gt;BR$4,BR$4&gt;=$C$1),'General Inputs'!T$11*$G68,0))</f>
        <v>0</v>
      </c>
      <c r="BS68" s="214">
        <f>IF(AND(($E68+$C$1)&gt;BS$4,BS$4&gt;=$C$1),'General Inputs'!U$11*$H68,IF(AND(($D68+$C$1)&gt;BS$4,BS$4&gt;=$C$1),'General Inputs'!U$11*$G68,0))</f>
        <v>0</v>
      </c>
      <c r="BT68" s="214">
        <f>IF(AND(($E68+$C$1)&gt;BT$4,BT$4&gt;=$C$1),'General Inputs'!V$11*$H68,IF(AND(($D68+$C$1)&gt;BT$4,BT$4&gt;=$C$1),'General Inputs'!V$11*$G68,0))</f>
        <v>0</v>
      </c>
      <c r="BU68" s="214">
        <f>IF(AND(($E68+$C$1)&gt;BU$4,BU$4&gt;=$C$1),'General Inputs'!W$11*$H68,IF(AND(($D68+$C$1)&gt;BU$4,BU$4&gt;=$C$1),'General Inputs'!W$11*$G68,0))</f>
        <v>0</v>
      </c>
      <c r="BW68" s="214">
        <f>IF(AND(($E68+$C$1)&gt;BW$4,BW$4&gt;=$C$1),$H68,IF(AND(($D68+$C$1)&gt;BW$4,BW$4&gt;=$C$1),$G68,0))*IF($A68="Residential",'General Inputs'!D$14,'General Inputs'!D$19)</f>
        <v>0</v>
      </c>
      <c r="BX68" s="214">
        <f>IF(AND(($E68+$C$1)&gt;BX$4,BX$4&gt;=$C$1),$H68,IF(AND(($D68+$C$1)&gt;BX$4,BX$4&gt;=$C$1),$G68,0))*IF($A68="Residential",'General Inputs'!E$14,'General Inputs'!E$19)</f>
        <v>0</v>
      </c>
      <c r="BY68" s="214">
        <f>IF(AND(($E68+$C$1)&gt;BY$4,BY$4&gt;=$C$1),$H68,IF(AND(($D68+$C$1)&gt;BY$4,BY$4&gt;=$C$1),$G68,0))*IF($A68="Residential",'General Inputs'!F$14,'General Inputs'!F$19)</f>
        <v>0</v>
      </c>
      <c r="BZ68" s="214">
        <f>IF(AND(($E68+$C$1)&gt;BZ$4,BZ$4&gt;=$C$1),$H68,IF(AND(($D68+$C$1)&gt;BZ$4,BZ$4&gt;=$C$1),$G68,0))*IF($A68="Residential",'General Inputs'!G$14,'General Inputs'!G$19)</f>
        <v>0</v>
      </c>
      <c r="CA68" s="214">
        <f>IF(AND(($E68+$C$1)&gt;CA$4,CA$4&gt;=$C$1),$H68,IF(AND(($D68+$C$1)&gt;CA$4,CA$4&gt;=$C$1),$G68,0))*IF($A68="Residential",'General Inputs'!H$14,'General Inputs'!H$19)</f>
        <v>0</v>
      </c>
      <c r="CB68" s="214">
        <f>IF(AND(($E68+$C$1)&gt;CB$4,CB$4&gt;=$C$1),$H68,IF(AND(($D68+$C$1)&gt;CB$4,CB$4&gt;=$C$1),$G68,0))*IF($A68="Residential",'General Inputs'!I$14,'General Inputs'!I$19)</f>
        <v>0</v>
      </c>
      <c r="CC68" s="214">
        <f>IF(AND(($E68+$C$1)&gt;CC$4,CC$4&gt;=$C$1),$H68,IF(AND(($D68+$C$1)&gt;CC$4,CC$4&gt;=$C$1),$G68,0))*IF($A68="Residential",'General Inputs'!J$14,'General Inputs'!J$19)</f>
        <v>0</v>
      </c>
      <c r="CD68" s="214">
        <f>IF(AND(($E68+$C$1)&gt;CD$4,CD$4&gt;=$C$1),$H68,IF(AND(($D68+$C$1)&gt;CD$4,CD$4&gt;=$C$1),$G68,0))*IF($A68="Residential",'General Inputs'!K$14,'General Inputs'!K$19)</f>
        <v>0</v>
      </c>
      <c r="CE68" s="214">
        <f>IF(AND(($E68+$C$1)&gt;CE$4,CE$4&gt;=$C$1),$H68,IF(AND(($D68+$C$1)&gt;CE$4,CE$4&gt;=$C$1),$G68,0))*IF($A68="Residential",'General Inputs'!L$14,'General Inputs'!L$19)</f>
        <v>0</v>
      </c>
      <c r="CF68" s="214">
        <f>IF(AND(($E68+$C$1)&gt;CF$4,CF$4&gt;=$C$1),$H68,IF(AND(($D68+$C$1)&gt;CF$4,CF$4&gt;=$C$1),$G68,0))*IF($A68="Residential",'General Inputs'!M$14,'General Inputs'!M$19)</f>
        <v>0</v>
      </c>
      <c r="CG68" s="214">
        <f>IF(AND(($E68+$C$1)&gt;CG$4,CG$4&gt;=$C$1),$H68,IF(AND(($D68+$C$1)&gt;CG$4,CG$4&gt;=$C$1),$G68,0))*IF($A68="Residential",'General Inputs'!N$14,'General Inputs'!N$19)</f>
        <v>0</v>
      </c>
      <c r="CH68" s="214">
        <f>IF(AND(($E68+$C$1)&gt;CH$4,CH$4&gt;=$C$1),$H68,IF(AND(($D68+$C$1)&gt;CH$4,CH$4&gt;=$C$1),$G68,0))*IF($A68="Residential",'General Inputs'!O$14,'General Inputs'!O$19)</f>
        <v>0</v>
      </c>
      <c r="CI68" s="214">
        <f>IF(AND(($E68+$C$1)&gt;CI$4,CI$4&gt;=$C$1),$H68,IF(AND(($D68+$C$1)&gt;CI$4,CI$4&gt;=$C$1),$G68,0))*IF($A68="Residential",'General Inputs'!P$14,'General Inputs'!P$19)</f>
        <v>0</v>
      </c>
      <c r="CJ68" s="214">
        <f>IF(AND(($E68+$C$1)&gt;CJ$4,CJ$4&gt;=$C$1),$H68,IF(AND(($D68+$C$1)&gt;CJ$4,CJ$4&gt;=$C$1),$G68,0))*IF($A68="Residential",'General Inputs'!Q$14,'General Inputs'!Q$19)</f>
        <v>0</v>
      </c>
      <c r="CK68" s="214">
        <f>IF(AND(($E68+$C$1)&gt;CK$4,CK$4&gt;=$C$1),$H68,IF(AND(($D68+$C$1)&gt;CK$4,CK$4&gt;=$C$1),$G68,0))*IF($A68="Residential",'General Inputs'!R$14,'General Inputs'!R$19)</f>
        <v>0</v>
      </c>
      <c r="CL68" s="214">
        <f>IF(AND(($E68+$C$1)&gt;CL$4,CL$4&gt;=$C$1),$H68,IF(AND(($D68+$C$1)&gt;CL$4,CL$4&gt;=$C$1),$G68,0))*IF($A68="Residential",'General Inputs'!S$14,'General Inputs'!S$19)</f>
        <v>0</v>
      </c>
      <c r="CM68" s="214">
        <f>IF(AND(($E68+$C$1)&gt;CM$4,CM$4&gt;=$C$1),$H68,IF(AND(($D68+$C$1)&gt;CM$4,CM$4&gt;=$C$1),$G68,0))*IF($A68="Residential",'General Inputs'!T$14,'General Inputs'!T$19)</f>
        <v>0</v>
      </c>
      <c r="CN68" s="214">
        <f>IF(AND(($E68+$C$1)&gt;CN$4,CN$4&gt;=$C$1),$H68,IF(AND(($D68+$C$1)&gt;CN$4,CN$4&gt;=$C$1),$G68,0))*IF($A68="Residential",'General Inputs'!U$14,'General Inputs'!U$19)</f>
        <v>0</v>
      </c>
      <c r="CO68" s="214">
        <f>IF(AND(($E68+$C$1)&gt;CO$4,CO$4&gt;=$C$1),$H68,IF(AND(($D68+$C$1)&gt;CO$4,CO$4&gt;=$C$1),$G68,0))*IF($A68="Residential",'General Inputs'!V$14,'General Inputs'!V$19)</f>
        <v>0</v>
      </c>
      <c r="CP68" s="214">
        <f>IF(AND(($E68+$C$1)&gt;CP$4,CP$4&gt;=$C$1),$H68,IF(AND(($D68+$C$1)&gt;CP$4,CP$4&gt;=$C$1),$G68,0))*IF($A68="Residential",'General Inputs'!W$14,'General Inputs'!W$19)</f>
        <v>0</v>
      </c>
      <c r="CR68" s="214">
        <f>IF(AND(($E68+$C$1)&gt;CR$4,CR$4&gt;=$C$1),$H68,IF(AND(($D68+$C$1)&gt;CR$4,CR$4&gt;=$C$1),$G68,0))*IF($A68="Residential",'General Inputs'!D$15,'General Inputs'!D$19)</f>
        <v>0</v>
      </c>
      <c r="CS68" s="214">
        <f>IF(AND(($E68+$C$1)&gt;CS$4,CS$4&gt;=$C$1),$H68,IF(AND(($D68+$C$1)&gt;CS$4,CS$4&gt;=$C$1),$G68,0))*IF($A68="Residential",'General Inputs'!E$15,'General Inputs'!E$19)</f>
        <v>0</v>
      </c>
      <c r="CT68" s="214">
        <f>IF(AND(($E68+$C$1)&gt;CT$4,CT$4&gt;=$C$1),$H68,IF(AND(($D68+$C$1)&gt;CT$4,CT$4&gt;=$C$1),$G68,0))*IF($A68="Residential",'General Inputs'!F$15,'General Inputs'!F$19)</f>
        <v>0</v>
      </c>
      <c r="CU68" s="214">
        <f>IF(AND(($E68+$C$1)&gt;CU$4,CU$4&gt;=$C$1),$H68,IF(AND(($D68+$C$1)&gt;CU$4,CU$4&gt;=$C$1),$G68,0))*IF($A68="Residential",'General Inputs'!G$15,'General Inputs'!G$19)</f>
        <v>0</v>
      </c>
      <c r="CV68" s="214">
        <f>IF(AND(($E68+$C$1)&gt;CV$4,CV$4&gt;=$C$1),$H68,IF(AND(($D68+$C$1)&gt;CV$4,CV$4&gt;=$C$1),$G68,0))*IF($A68="Residential",'General Inputs'!H$15,'General Inputs'!H$19)</f>
        <v>0</v>
      </c>
      <c r="CW68" s="214">
        <f>IF(AND(($E68+$C$1)&gt;CW$4,CW$4&gt;=$C$1),$H68,IF(AND(($D68+$C$1)&gt;CW$4,CW$4&gt;=$C$1),$G68,0))*IF($A68="Residential",'General Inputs'!I$15,'General Inputs'!I$19)</f>
        <v>0</v>
      </c>
      <c r="CX68" s="214">
        <f>IF(AND(($E68+$C$1)&gt;CX$4,CX$4&gt;=$C$1),$H68,IF(AND(($D68+$C$1)&gt;CX$4,CX$4&gt;=$C$1),$G68,0))*IF($A68="Residential",'General Inputs'!J$15,'General Inputs'!J$19)</f>
        <v>0</v>
      </c>
      <c r="CY68" s="214">
        <f>IF(AND(($E68+$C$1)&gt;CY$4,CY$4&gt;=$C$1),$H68,IF(AND(($D68+$C$1)&gt;CY$4,CY$4&gt;=$C$1),$G68,0))*IF($A68="Residential",'General Inputs'!K$15,'General Inputs'!K$19)</f>
        <v>0</v>
      </c>
      <c r="CZ68" s="214">
        <f>IF(AND(($E68+$C$1)&gt;CZ$4,CZ$4&gt;=$C$1),$H68,IF(AND(($D68+$C$1)&gt;CZ$4,CZ$4&gt;=$C$1),$G68,0))*IF($A68="Residential",'General Inputs'!L$15,'General Inputs'!L$19)</f>
        <v>0</v>
      </c>
      <c r="DA68" s="214">
        <f>IF(AND(($E68+$C$1)&gt;DA$4,DA$4&gt;=$C$1),$H68,IF(AND(($D68+$C$1)&gt;DA$4,DA$4&gt;=$C$1),$G68,0))*IF($A68="Residential",'General Inputs'!M$15,'General Inputs'!M$19)</f>
        <v>0</v>
      </c>
      <c r="DB68" s="214">
        <f>IF(AND(($E68+$C$1)&gt;DB$4,DB$4&gt;=$C$1),$H68,IF(AND(($D68+$C$1)&gt;DB$4,DB$4&gt;=$C$1),$G68,0))*IF($A68="Residential",'General Inputs'!N$15,'General Inputs'!N$19)</f>
        <v>0</v>
      </c>
      <c r="DC68" s="214">
        <f>IF(AND(($E68+$C$1)&gt;DC$4,DC$4&gt;=$C$1),$H68,IF(AND(($D68+$C$1)&gt;DC$4,DC$4&gt;=$C$1),$G68,0))*IF($A68="Residential",'General Inputs'!O$15,'General Inputs'!O$19)</f>
        <v>0</v>
      </c>
      <c r="DD68" s="214">
        <f>IF(AND(($E68+$C$1)&gt;DD$4,DD$4&gt;=$C$1),$H68,IF(AND(($D68+$C$1)&gt;DD$4,DD$4&gt;=$C$1),$G68,0))*IF($A68="Residential",'General Inputs'!P$15,'General Inputs'!P$19)</f>
        <v>0</v>
      </c>
      <c r="DE68" s="214">
        <f>IF(AND(($E68+$C$1)&gt;DE$4,DE$4&gt;=$C$1),$H68,IF(AND(($D68+$C$1)&gt;DE$4,DE$4&gt;=$C$1),$G68,0))*IF($A68="Residential",'General Inputs'!Q$15,'General Inputs'!Q$19)</f>
        <v>0</v>
      </c>
      <c r="DF68" s="214">
        <f>IF(AND(($E68+$C$1)&gt;DF$4,DF$4&gt;=$C$1),$H68,IF(AND(($D68+$C$1)&gt;DF$4,DF$4&gt;=$C$1),$G68,0))*IF($A68="Residential",'General Inputs'!R$15,'General Inputs'!R$19)</f>
        <v>0</v>
      </c>
      <c r="DG68" s="214">
        <f>IF(AND(($E68+$C$1)&gt;DG$4,DG$4&gt;=$C$1),$H68,IF(AND(($D68+$C$1)&gt;DG$4,DG$4&gt;=$C$1),$G68,0))*IF($A68="Residential",'General Inputs'!S$15,'General Inputs'!S$19)</f>
        <v>0</v>
      </c>
      <c r="DH68" s="214">
        <f>IF(AND(($E68+$C$1)&gt;DH$4,DH$4&gt;=$C$1),$H68,IF(AND(($D68+$C$1)&gt;DH$4,DH$4&gt;=$C$1),$G68,0))*IF($A68="Residential",'General Inputs'!T$15,'General Inputs'!T$19)</f>
        <v>0</v>
      </c>
      <c r="DI68" s="214">
        <f>IF(AND(($E68+$C$1)&gt;DI$4,DI$4&gt;=$C$1),$H68,IF(AND(($D68+$C$1)&gt;DI$4,DI$4&gt;=$C$1),$G68,0))*IF($A68="Residential",'General Inputs'!U$15,'General Inputs'!U$19)</f>
        <v>0</v>
      </c>
      <c r="DJ68" s="214">
        <f>IF(AND(($E68+$C$1)&gt;DJ$4,DJ$4&gt;=$C$1),$H68,IF(AND(($D68+$C$1)&gt;DJ$4,DJ$4&gt;=$C$1),$G68,0))*IF($A68="Residential",'General Inputs'!V$15,'General Inputs'!V$19)</f>
        <v>0</v>
      </c>
      <c r="DK68" s="214">
        <f>IF(AND(($E68+$C$1)&gt;DK$4,DK$4&gt;=$C$1),$H68,IF(AND(($D68+$C$1)&gt;DK$4,DK$4&gt;=$C$1),$G68,0))*IF($A68="Residential",'General Inputs'!W$15,'General Inputs'!W$19)</f>
        <v>0</v>
      </c>
      <c r="DM68" s="214">
        <f t="shared" si="456"/>
        <v>0</v>
      </c>
      <c r="DN68" s="214">
        <f t="shared" si="456"/>
        <v>0</v>
      </c>
      <c r="DO68" s="214">
        <f t="shared" si="456"/>
        <v>0</v>
      </c>
      <c r="DP68" s="214">
        <f t="shared" si="456"/>
        <v>0</v>
      </c>
      <c r="DQ68" s="214">
        <f t="shared" si="456"/>
        <v>0</v>
      </c>
      <c r="DR68" s="214">
        <f t="shared" si="456"/>
        <v>0</v>
      </c>
      <c r="DS68" s="214">
        <f t="shared" si="456"/>
        <v>0</v>
      </c>
      <c r="DT68" s="214">
        <f t="shared" si="456"/>
        <v>0</v>
      </c>
      <c r="DU68" s="214">
        <f t="shared" si="456"/>
        <v>0</v>
      </c>
      <c r="DV68" s="214">
        <f t="shared" si="456"/>
        <v>0</v>
      </c>
      <c r="DW68" s="214">
        <f t="shared" si="456"/>
        <v>0</v>
      </c>
      <c r="DZ68" s="650"/>
      <c r="FI68" s="195"/>
      <c r="FJ68" s="195"/>
      <c r="FK68" s="195"/>
      <c r="FL68" s="195"/>
      <c r="FM68" s="195"/>
      <c r="FN68" s="195"/>
      <c r="FO68" s="195"/>
    </row>
    <row r="69" spans="1:171">
      <c r="A69" s="342" t="s">
        <v>112</v>
      </c>
      <c r="B69" s="427" t="str">
        <f>'Portfolio Inputs'!A68</f>
        <v>Pulse Start Metal Halide (≤175W)</v>
      </c>
      <c r="C69" s="217">
        <f>IF($C$1=2014,'Portfolio Inputs'!$C68,IF($C$1=2015,'Portfolio Inputs'!$D68,'Portfolio Inputs'!$E68))</f>
        <v>0</v>
      </c>
      <c r="D69" s="504">
        <f>VLOOKUP(B69,Sources!$B$4:$J$104,2,FALSE)</f>
        <v>18</v>
      </c>
      <c r="E69" s="504">
        <f>VLOOKUP(B69,Sources!$B$4:$J$104,3,FALSE)</f>
        <v>0</v>
      </c>
      <c r="G69" s="504">
        <f>IF($C$1=2014,'Portfolio Inputs'!$G68,IF($C$1=2015,'Portfolio Inputs'!$H68,'Portfolio Inputs'!$I68))*EnergyLineLoss</f>
        <v>0</v>
      </c>
      <c r="H69" s="504"/>
      <c r="I69" s="595">
        <f>IF($C$1=2014,'Portfolio Inputs'!$K68,IF($C$1=2015,'Portfolio Inputs'!$L68,'Portfolio Inputs'!$M68))*PeakLineLoss</f>
        <v>0</v>
      </c>
      <c r="J69" s="510"/>
      <c r="L69" s="606">
        <f>IF($C$1=2014,'Portfolio Inputs'!$O68,IF($C$1=2015,'Portfolio Inputs'!$P68,'Portfolio Inputs'!$Q68))</f>
        <v>161</v>
      </c>
      <c r="M69" s="518">
        <f>VLOOKUP($B69,Sources!$B$4:$K$104,10,FALSE)</f>
        <v>0</v>
      </c>
      <c r="N69" s="419">
        <f>IF($C$1=2014,'Portfolio Inputs'!$W68,IF($C$1=2015,'Portfolio Inputs'!$X68,'Portfolio Inputs'!$Y68))</f>
        <v>0</v>
      </c>
      <c r="O69" s="419">
        <f>IF($C$1=2014,'Portfolio Inputs'!$AA68,IF($C$1=2015,'Portfolio Inputs'!$AB68,'Portfolio Inputs'!$AC68))</f>
        <v>0</v>
      </c>
      <c r="Q69" s="438" t="str">
        <f t="shared" si="442"/>
        <v>n/a</v>
      </c>
      <c r="R69" s="439" t="str">
        <f t="shared" si="443"/>
        <v>n/a</v>
      </c>
      <c r="S69" s="439" t="str">
        <f t="shared" si="444"/>
        <v>n/a</v>
      </c>
      <c r="T69" s="439" t="str">
        <f t="shared" si="445"/>
        <v>n/a</v>
      </c>
      <c r="U69" s="439" t="str">
        <f t="shared" si="446"/>
        <v>n/a</v>
      </c>
      <c r="V69" s="439" t="str">
        <f t="shared" si="447"/>
        <v>n/a</v>
      </c>
      <c r="W69" s="439" t="str">
        <f t="shared" si="448"/>
        <v>n/a</v>
      </c>
      <c r="Y69" s="215">
        <f t="shared" si="449"/>
        <v>0</v>
      </c>
      <c r="Z69" s="215">
        <f t="shared" si="450"/>
        <v>0</v>
      </c>
      <c r="AA69" s="215">
        <f t="shared" si="451"/>
        <v>0</v>
      </c>
      <c r="AB69" s="215">
        <f t="shared" si="452"/>
        <v>0</v>
      </c>
      <c r="AC69" s="216">
        <f t="shared" si="453"/>
        <v>0</v>
      </c>
      <c r="AD69" s="216">
        <f t="shared" si="454"/>
        <v>0</v>
      </c>
      <c r="AE69" s="215">
        <f t="shared" si="455"/>
        <v>0</v>
      </c>
      <c r="AG69" s="214">
        <f>IF(AND(($E69+$C$1)&gt;AG$4,AG$4&gt;=$C$1),'General Inputs'!D$9*$H69,IF(AND(($D69+$C$1)&gt;AG$4,AG$4&gt;=$C$1),'General Inputs'!D$9*$G69,0))+IF(AND(($E69+$C$1)&gt;AG$4,AG$4&gt;=$C$1),'General Inputs'!D$10*$J69,IF(AND(($D69+$C$1)&gt;AG$4,AG$4&gt;=$C$1),'General Inputs'!D$10*$I69,0))</f>
        <v>0</v>
      </c>
      <c r="AH69" s="214">
        <f>IF(AND(($E69+$C$1)&gt;AH$4,AH$4&gt;=$C$1),'General Inputs'!E$9*$H69,IF(AND(($D69+$C$1)&gt;AH$4,AH$4&gt;=$C$1),'General Inputs'!E$9*$G69,0))+IF(AND(($E69+$C$1)&gt;AH$4,AH$4&gt;=$C$1),'General Inputs'!E$10*$J69,IF(AND(($D69+$C$1)&gt;AH$4,AH$4&gt;=$C$1),'General Inputs'!E$10*$I69,0))</f>
        <v>0</v>
      </c>
      <c r="AI69" s="214">
        <f>IF(AND(($E69+$C$1)&gt;AI$4,AI$4&gt;=$C$1),'General Inputs'!F$9*$H69,IF(AND(($D69+$C$1)&gt;AI$4,AI$4&gt;=$C$1),'General Inputs'!F$9*$G69,0))+IF(AND(($E69+$C$1)&gt;AI$4,AI$4&gt;=$C$1),'General Inputs'!F$10*$J69,IF(AND(($D69+$C$1)&gt;AI$4,AI$4&gt;=$C$1),'General Inputs'!F$10*$I69,0))</f>
        <v>0</v>
      </c>
      <c r="AJ69" s="214">
        <f>IF(AND(($E69+$C$1)&gt;AJ$4,AJ$4&gt;=$C$1),'General Inputs'!G$9*$H69,IF(AND(($D69+$C$1)&gt;AJ$4,AJ$4&gt;=$C$1),'General Inputs'!G$9*$G69,0))+IF(AND(($E69+$C$1)&gt;AJ$4,AJ$4&gt;=$C$1),'General Inputs'!G$10*$J69,IF(AND(($D69+$C$1)&gt;AJ$4,AJ$4&gt;=$C$1),'General Inputs'!G$10*$I69,0))</f>
        <v>0</v>
      </c>
      <c r="AK69" s="214">
        <f>IF(AND(($E69+$C$1)&gt;AK$4,AK$4&gt;=$C$1),'General Inputs'!H$9*$H69,IF(AND(($D69+$C$1)&gt;AK$4,AK$4&gt;=$C$1),'General Inputs'!H$9*$G69,0))+IF(AND(($E69+$C$1)&gt;AK$4,AK$4&gt;=$C$1),'General Inputs'!H$10*$J69,IF(AND(($D69+$C$1)&gt;AK$4,AK$4&gt;=$C$1),'General Inputs'!H$10*$I69,0))</f>
        <v>0</v>
      </c>
      <c r="AL69" s="214">
        <f>IF(AND(($E69+$C$1)&gt;AL$4,AL$4&gt;=$C$1),'General Inputs'!I$9*$H69,IF(AND(($D69+$C$1)&gt;AL$4,AL$4&gt;=$C$1),'General Inputs'!I$9*$G69,0))+IF(AND(($E69+$C$1)&gt;AL$4,AL$4&gt;=$C$1),'General Inputs'!I$10*$J69,IF(AND(($D69+$C$1)&gt;AL$4,AL$4&gt;=$C$1),'General Inputs'!I$10*$I69,0))</f>
        <v>0</v>
      </c>
      <c r="AM69" s="214">
        <f>IF(AND(($E69+$C$1)&gt;AM$4,AM$4&gt;=$C$1),'General Inputs'!J$9*$H69,IF(AND(($D69+$C$1)&gt;AM$4,AM$4&gt;=$C$1),'General Inputs'!J$9*$G69,0))+IF(AND(($E69+$C$1)&gt;AM$4,AM$4&gt;=$C$1),'General Inputs'!J$10*$J69,IF(AND(($D69+$C$1)&gt;AM$4,AM$4&gt;=$C$1),'General Inputs'!J$10*$I69,0))</f>
        <v>0</v>
      </c>
      <c r="AN69" s="214">
        <f>IF(AND(($E69+$C$1)&gt;AN$4,AN$4&gt;=$C$1),'General Inputs'!K$9*$H69,IF(AND(($D69+$C$1)&gt;AN$4,AN$4&gt;=$C$1),'General Inputs'!K$9*$G69,0))+IF(AND(($E69+$C$1)&gt;AN$4,AN$4&gt;=$C$1),'General Inputs'!K$10*$J69,IF(AND(($D69+$C$1)&gt;AN$4,AN$4&gt;=$C$1),'General Inputs'!K$10*$I69,0))</f>
        <v>0</v>
      </c>
      <c r="AO69" s="214">
        <f>IF(AND(($E69+$C$1)&gt;AO$4,AO$4&gt;=$C$1),'General Inputs'!L$9*$H69,IF(AND(($D69+$C$1)&gt;AO$4,AO$4&gt;=$C$1),'General Inputs'!L$9*$G69,0))+IF(AND(($E69+$C$1)&gt;AO$4,AO$4&gt;=$C$1),'General Inputs'!L$10*$J69,IF(AND(($D69+$C$1)&gt;AO$4,AO$4&gt;=$C$1),'General Inputs'!L$10*$I69,0))</f>
        <v>0</v>
      </c>
      <c r="AP69" s="214">
        <f>IF(AND(($E69+$C$1)&gt;AP$4,AP$4&gt;=$C$1),'General Inputs'!M$9*$H69,IF(AND(($D69+$C$1)&gt;AP$4,AP$4&gt;=$C$1),'General Inputs'!M$9*$G69,0))+IF(AND(($E69+$C$1)&gt;AP$4,AP$4&gt;=$C$1),'General Inputs'!M$10*$J69,IF(AND(($D69+$C$1)&gt;AP$4,AP$4&gt;=$C$1),'General Inputs'!M$10*$I69,0))</f>
        <v>0</v>
      </c>
      <c r="AQ69" s="214">
        <f>IF(AND(($E69+$C$1)&gt;AQ$4,AQ$4&gt;=$C$1),'General Inputs'!N$9*$H69,IF(AND(($D69+$C$1)&gt;AQ$4,AQ$4&gt;=$C$1),'General Inputs'!N$9*$G69,0))+IF(AND(($E69+$C$1)&gt;AQ$4,AQ$4&gt;=$C$1),'General Inputs'!N$10*$J69,IF(AND(($D69+$C$1)&gt;AQ$4,AQ$4&gt;=$C$1),'General Inputs'!N$10*$I69,0))</f>
        <v>0</v>
      </c>
      <c r="AR69" s="214">
        <f>IF(AND(($E69+$C$1)&gt;AR$4,AR$4&gt;=$C$1),'General Inputs'!O$9*$H69,IF(AND(($D69+$C$1)&gt;AR$4,AR$4&gt;=$C$1),'General Inputs'!O$9*$G69,0))+IF(AND(($E69+$C$1)&gt;AR$4,AR$4&gt;=$C$1),'General Inputs'!O$10*$J69,IF(AND(($D69+$C$1)&gt;AR$4,AR$4&gt;=$C$1),'General Inputs'!O$10*$I69,0))</f>
        <v>0</v>
      </c>
      <c r="AS69" s="214">
        <f>IF(AND(($E69+$C$1)&gt;AS$4,AS$4&gt;=$C$1),'General Inputs'!P$9*$H69,IF(AND(($D69+$C$1)&gt;AS$4,AS$4&gt;=$C$1),'General Inputs'!P$9*$G69,0))+IF(AND(($E69+$C$1)&gt;AS$4,AS$4&gt;=$C$1),'General Inputs'!P$10*$J69,IF(AND(($D69+$C$1)&gt;AS$4,AS$4&gt;=$C$1),'General Inputs'!P$10*$I69,0))</f>
        <v>0</v>
      </c>
      <c r="AT69" s="214">
        <f>IF(AND(($E69+$C$1)&gt;AT$4,AT$4&gt;=$C$1),'General Inputs'!Q$9*$H69,IF(AND(($D69+$C$1)&gt;AT$4,AT$4&gt;=$C$1),'General Inputs'!Q$9*$G69,0))+IF(AND(($E69+$C$1)&gt;AT$4,AT$4&gt;=$C$1),'General Inputs'!Q$10*$J69,IF(AND(($D69+$C$1)&gt;AT$4,AT$4&gt;=$C$1),'General Inputs'!Q$10*$I69,0))</f>
        <v>0</v>
      </c>
      <c r="AU69" s="214">
        <f>IF(AND(($E69+$C$1)&gt;AU$4,AU$4&gt;=$C$1),'General Inputs'!R$9*$H69,IF(AND(($D69+$C$1)&gt;AU$4,AU$4&gt;=$C$1),'General Inputs'!R$9*$G69,0))+IF(AND(($E69+$C$1)&gt;AU$4,AU$4&gt;=$C$1),'General Inputs'!R$10*$J69,IF(AND(($D69+$C$1)&gt;AU$4,AU$4&gt;=$C$1),'General Inputs'!R$10*$I69,0))</f>
        <v>0</v>
      </c>
      <c r="AV69" s="214">
        <f>IF(AND(($E69+$C$1)&gt;AV$4,AV$4&gt;=$C$1),'General Inputs'!S$9*$H69,IF(AND(($D69+$C$1)&gt;AV$4,AV$4&gt;=$C$1),'General Inputs'!S$9*$G69,0))+IF(AND(($E69+$C$1)&gt;AV$4,AV$4&gt;=$C$1),'General Inputs'!S$10*$J69,IF(AND(($D69+$C$1)&gt;AV$4,AV$4&gt;=$C$1),'General Inputs'!S$10*$I69,0))</f>
        <v>0</v>
      </c>
      <c r="AW69" s="214">
        <f>IF(AND(($E69+$C$1)&gt;AW$4,AW$4&gt;=$C$1),'General Inputs'!T$9*$H69,IF(AND(($D69+$C$1)&gt;AW$4,AW$4&gt;=$C$1),'General Inputs'!T$9*$G69,0))+IF(AND(($E69+$C$1)&gt;AW$4,AW$4&gt;=$C$1),'General Inputs'!T$10*$J69,IF(AND(($D69+$C$1)&gt;AW$4,AW$4&gt;=$C$1),'General Inputs'!T$10*$I69,0))</f>
        <v>0</v>
      </c>
      <c r="AX69" s="214">
        <f>IF(AND(($E69+$C$1)&gt;AX$4,AX$4&gt;=$C$1),'General Inputs'!U$9*$H69,IF(AND(($D69+$C$1)&gt;AX$4,AX$4&gt;=$C$1),'General Inputs'!U$9*$G69,0))+IF(AND(($E69+$C$1)&gt;AX$4,AX$4&gt;=$C$1),'General Inputs'!U$10*$J69,IF(AND(($D69+$C$1)&gt;AX$4,AX$4&gt;=$C$1),'General Inputs'!U$10*$I69,0))</f>
        <v>0</v>
      </c>
      <c r="AY69" s="214">
        <f>IF(AND(($E69+$C$1)&gt;AY$4,AY$4&gt;=$C$1),'General Inputs'!V$9*$H69,IF(AND(($D69+$C$1)&gt;AY$4,AY$4&gt;=$C$1),'General Inputs'!V$9*$G69,0))+IF(AND(($E69+$C$1)&gt;AY$4,AY$4&gt;=$C$1),'General Inputs'!V$10*$J69,IF(AND(($D69+$C$1)&gt;AY$4,AY$4&gt;=$C$1),'General Inputs'!V$10*$I69,0))</f>
        <v>0</v>
      </c>
      <c r="AZ69" s="214">
        <f>IF(AND(($E69+$C$1)&gt;AZ$4,AZ$4&gt;=$C$1),'General Inputs'!W$9*$H69,IF(AND(($D69+$C$1)&gt;AZ$4,AZ$4&gt;=$C$1),'General Inputs'!W$9*$G69,0))+IF(AND(($E69+$C$1)&gt;AZ$4,AZ$4&gt;=$C$1),'General Inputs'!W$10*$J69,IF(AND(($D69+$C$1)&gt;AZ$4,AZ$4&gt;=$C$1),'General Inputs'!W$10*$I69,0))</f>
        <v>0</v>
      </c>
      <c r="BB69" s="214">
        <f>IF(AND(($E69+$C$1)&gt;BB$4,BB$4&gt;=$C$1),'General Inputs'!D$11*$H69,IF(AND(($D69+$C$1)&gt;BB$4,BB$4&gt;=$C$1),'General Inputs'!D$11*$G69,0))</f>
        <v>0</v>
      </c>
      <c r="BC69" s="214">
        <f>IF(AND(($E69+$C$1)&gt;BC$4,BC$4&gt;=$C$1),'General Inputs'!E$11*$H69,IF(AND(($D69+$C$1)&gt;BC$4,BC$4&gt;=$C$1),'General Inputs'!E$11*$G69,0))</f>
        <v>0</v>
      </c>
      <c r="BD69" s="214">
        <f>IF(AND(($E69+$C$1)&gt;BD$4,BD$4&gt;=$C$1),'General Inputs'!F$11*$H69,IF(AND(($D69+$C$1)&gt;BD$4,BD$4&gt;=$C$1),'General Inputs'!F$11*$G69,0))</f>
        <v>0</v>
      </c>
      <c r="BE69" s="214">
        <f>IF(AND(($E69+$C$1)&gt;BE$4,BE$4&gt;=$C$1),'General Inputs'!G$11*$H69,IF(AND(($D69+$C$1)&gt;BE$4,BE$4&gt;=$C$1),'General Inputs'!G$11*$G69,0))</f>
        <v>0</v>
      </c>
      <c r="BF69" s="214">
        <f>IF(AND(($E69+$C$1)&gt;BF$4,BF$4&gt;=$C$1),'General Inputs'!H$11*$H69,IF(AND(($D69+$C$1)&gt;BF$4,BF$4&gt;=$C$1),'General Inputs'!H$11*$G69,0))</f>
        <v>0</v>
      </c>
      <c r="BG69" s="214">
        <f>IF(AND(($E69+$C$1)&gt;BG$4,BG$4&gt;=$C$1),'General Inputs'!I$11*$H69,IF(AND(($D69+$C$1)&gt;BG$4,BG$4&gt;=$C$1),'General Inputs'!I$11*$G69,0))</f>
        <v>0</v>
      </c>
      <c r="BH69" s="214">
        <f>IF(AND(($E69+$C$1)&gt;BH$4,BH$4&gt;=$C$1),'General Inputs'!J$11*$H69,IF(AND(($D69+$C$1)&gt;BH$4,BH$4&gt;=$C$1),'General Inputs'!J$11*$G69,0))</f>
        <v>0</v>
      </c>
      <c r="BI69" s="214">
        <f>IF(AND(($E69+$C$1)&gt;BI$4,BI$4&gt;=$C$1),'General Inputs'!K$11*$H69,IF(AND(($D69+$C$1)&gt;BI$4,BI$4&gt;=$C$1),'General Inputs'!K$11*$G69,0))</f>
        <v>0</v>
      </c>
      <c r="BJ69" s="214">
        <f>IF(AND(($E69+$C$1)&gt;BJ$4,BJ$4&gt;=$C$1),'General Inputs'!L$11*$H69,IF(AND(($D69+$C$1)&gt;BJ$4,BJ$4&gt;=$C$1),'General Inputs'!L$11*$G69,0))</f>
        <v>0</v>
      </c>
      <c r="BK69" s="214">
        <f>IF(AND(($E69+$C$1)&gt;BK$4,BK$4&gt;=$C$1),'General Inputs'!M$11*$H69,IF(AND(($D69+$C$1)&gt;BK$4,BK$4&gt;=$C$1),'General Inputs'!M$11*$G69,0))</f>
        <v>0</v>
      </c>
      <c r="BL69" s="214">
        <f>IF(AND(($E69+$C$1)&gt;BL$4,BL$4&gt;=$C$1),'General Inputs'!N$11*$H69,IF(AND(($D69+$C$1)&gt;BL$4,BL$4&gt;=$C$1),'General Inputs'!N$11*$G69,0))</f>
        <v>0</v>
      </c>
      <c r="BM69" s="214">
        <f>IF(AND(($E69+$C$1)&gt;BM$4,BM$4&gt;=$C$1),'General Inputs'!O$11*$H69,IF(AND(($D69+$C$1)&gt;BM$4,BM$4&gt;=$C$1),'General Inputs'!O$11*$G69,0))</f>
        <v>0</v>
      </c>
      <c r="BN69" s="214">
        <f>IF(AND(($E69+$C$1)&gt;BN$4,BN$4&gt;=$C$1),'General Inputs'!P$11*$H69,IF(AND(($D69+$C$1)&gt;BN$4,BN$4&gt;=$C$1),'General Inputs'!P$11*$G69,0))</f>
        <v>0</v>
      </c>
      <c r="BO69" s="214">
        <f>IF(AND(($E69+$C$1)&gt;BO$4,BO$4&gt;=$C$1),'General Inputs'!Q$11*$H69,IF(AND(($D69+$C$1)&gt;BO$4,BO$4&gt;=$C$1),'General Inputs'!Q$11*$G69,0))</f>
        <v>0</v>
      </c>
      <c r="BP69" s="214">
        <f>IF(AND(($E69+$C$1)&gt;BP$4,BP$4&gt;=$C$1),'General Inputs'!R$11*$H69,IF(AND(($D69+$C$1)&gt;BP$4,BP$4&gt;=$C$1),'General Inputs'!R$11*$G69,0))</f>
        <v>0</v>
      </c>
      <c r="BQ69" s="214">
        <f>IF(AND(($E69+$C$1)&gt;BQ$4,BQ$4&gt;=$C$1),'General Inputs'!S$11*$H69,IF(AND(($D69+$C$1)&gt;BQ$4,BQ$4&gt;=$C$1),'General Inputs'!S$11*$G69,0))</f>
        <v>0</v>
      </c>
      <c r="BR69" s="214">
        <f>IF(AND(($E69+$C$1)&gt;BR$4,BR$4&gt;=$C$1),'General Inputs'!T$11*$H69,IF(AND(($D69+$C$1)&gt;BR$4,BR$4&gt;=$C$1),'General Inputs'!T$11*$G69,0))</f>
        <v>0</v>
      </c>
      <c r="BS69" s="214">
        <f>IF(AND(($E69+$C$1)&gt;BS$4,BS$4&gt;=$C$1),'General Inputs'!U$11*$H69,IF(AND(($D69+$C$1)&gt;BS$4,BS$4&gt;=$C$1),'General Inputs'!U$11*$G69,0))</f>
        <v>0</v>
      </c>
      <c r="BT69" s="214">
        <f>IF(AND(($E69+$C$1)&gt;BT$4,BT$4&gt;=$C$1),'General Inputs'!V$11*$H69,IF(AND(($D69+$C$1)&gt;BT$4,BT$4&gt;=$C$1),'General Inputs'!V$11*$G69,0))</f>
        <v>0</v>
      </c>
      <c r="BU69" s="214">
        <f>IF(AND(($E69+$C$1)&gt;BU$4,BU$4&gt;=$C$1),'General Inputs'!W$11*$H69,IF(AND(($D69+$C$1)&gt;BU$4,BU$4&gt;=$C$1),'General Inputs'!W$11*$G69,0))</f>
        <v>0</v>
      </c>
      <c r="BW69" s="214">
        <f>IF(AND(($E69+$C$1)&gt;BW$4,BW$4&gt;=$C$1),$H69,IF(AND(($D69+$C$1)&gt;BW$4,BW$4&gt;=$C$1),$G69,0))*IF($A69="Residential",'General Inputs'!D$14,'General Inputs'!D$19)</f>
        <v>0</v>
      </c>
      <c r="BX69" s="214">
        <f>IF(AND(($E69+$C$1)&gt;BX$4,BX$4&gt;=$C$1),$H69,IF(AND(($D69+$C$1)&gt;BX$4,BX$4&gt;=$C$1),$G69,0))*IF($A69="Residential",'General Inputs'!E$14,'General Inputs'!E$19)</f>
        <v>0</v>
      </c>
      <c r="BY69" s="214">
        <f>IF(AND(($E69+$C$1)&gt;BY$4,BY$4&gt;=$C$1),$H69,IF(AND(($D69+$C$1)&gt;BY$4,BY$4&gt;=$C$1),$G69,0))*IF($A69="Residential",'General Inputs'!F$14,'General Inputs'!F$19)</f>
        <v>0</v>
      </c>
      <c r="BZ69" s="214">
        <f>IF(AND(($E69+$C$1)&gt;BZ$4,BZ$4&gt;=$C$1),$H69,IF(AND(($D69+$C$1)&gt;BZ$4,BZ$4&gt;=$C$1),$G69,0))*IF($A69="Residential",'General Inputs'!G$14,'General Inputs'!G$19)</f>
        <v>0</v>
      </c>
      <c r="CA69" s="214">
        <f>IF(AND(($E69+$C$1)&gt;CA$4,CA$4&gt;=$C$1),$H69,IF(AND(($D69+$C$1)&gt;CA$4,CA$4&gt;=$C$1),$G69,0))*IF($A69="Residential",'General Inputs'!H$14,'General Inputs'!H$19)</f>
        <v>0</v>
      </c>
      <c r="CB69" s="214">
        <f>IF(AND(($E69+$C$1)&gt;CB$4,CB$4&gt;=$C$1),$H69,IF(AND(($D69+$C$1)&gt;CB$4,CB$4&gt;=$C$1),$G69,0))*IF($A69="Residential",'General Inputs'!I$14,'General Inputs'!I$19)</f>
        <v>0</v>
      </c>
      <c r="CC69" s="214">
        <f>IF(AND(($E69+$C$1)&gt;CC$4,CC$4&gt;=$C$1),$H69,IF(AND(($D69+$C$1)&gt;CC$4,CC$4&gt;=$C$1),$G69,0))*IF($A69="Residential",'General Inputs'!J$14,'General Inputs'!J$19)</f>
        <v>0</v>
      </c>
      <c r="CD69" s="214">
        <f>IF(AND(($E69+$C$1)&gt;CD$4,CD$4&gt;=$C$1),$H69,IF(AND(($D69+$C$1)&gt;CD$4,CD$4&gt;=$C$1),$G69,0))*IF($A69="Residential",'General Inputs'!K$14,'General Inputs'!K$19)</f>
        <v>0</v>
      </c>
      <c r="CE69" s="214">
        <f>IF(AND(($E69+$C$1)&gt;CE$4,CE$4&gt;=$C$1),$H69,IF(AND(($D69+$C$1)&gt;CE$4,CE$4&gt;=$C$1),$G69,0))*IF($A69="Residential",'General Inputs'!L$14,'General Inputs'!L$19)</f>
        <v>0</v>
      </c>
      <c r="CF69" s="214">
        <f>IF(AND(($E69+$C$1)&gt;CF$4,CF$4&gt;=$C$1),$H69,IF(AND(($D69+$C$1)&gt;CF$4,CF$4&gt;=$C$1),$G69,0))*IF($A69="Residential",'General Inputs'!M$14,'General Inputs'!M$19)</f>
        <v>0</v>
      </c>
      <c r="CG69" s="214">
        <f>IF(AND(($E69+$C$1)&gt;CG$4,CG$4&gt;=$C$1),$H69,IF(AND(($D69+$C$1)&gt;CG$4,CG$4&gt;=$C$1),$G69,0))*IF($A69="Residential",'General Inputs'!N$14,'General Inputs'!N$19)</f>
        <v>0</v>
      </c>
      <c r="CH69" s="214">
        <f>IF(AND(($E69+$C$1)&gt;CH$4,CH$4&gt;=$C$1),$H69,IF(AND(($D69+$C$1)&gt;CH$4,CH$4&gt;=$C$1),$G69,0))*IF($A69="Residential",'General Inputs'!O$14,'General Inputs'!O$19)</f>
        <v>0</v>
      </c>
      <c r="CI69" s="214">
        <f>IF(AND(($E69+$C$1)&gt;CI$4,CI$4&gt;=$C$1),$H69,IF(AND(($D69+$C$1)&gt;CI$4,CI$4&gt;=$C$1),$G69,0))*IF($A69="Residential",'General Inputs'!P$14,'General Inputs'!P$19)</f>
        <v>0</v>
      </c>
      <c r="CJ69" s="214">
        <f>IF(AND(($E69+$C$1)&gt;CJ$4,CJ$4&gt;=$C$1),$H69,IF(AND(($D69+$C$1)&gt;CJ$4,CJ$4&gt;=$C$1),$G69,0))*IF($A69="Residential",'General Inputs'!Q$14,'General Inputs'!Q$19)</f>
        <v>0</v>
      </c>
      <c r="CK69" s="214">
        <f>IF(AND(($E69+$C$1)&gt;CK$4,CK$4&gt;=$C$1),$H69,IF(AND(($D69+$C$1)&gt;CK$4,CK$4&gt;=$C$1),$G69,0))*IF($A69="Residential",'General Inputs'!R$14,'General Inputs'!R$19)</f>
        <v>0</v>
      </c>
      <c r="CL69" s="214">
        <f>IF(AND(($E69+$C$1)&gt;CL$4,CL$4&gt;=$C$1),$H69,IF(AND(($D69+$C$1)&gt;CL$4,CL$4&gt;=$C$1),$G69,0))*IF($A69="Residential",'General Inputs'!S$14,'General Inputs'!S$19)</f>
        <v>0</v>
      </c>
      <c r="CM69" s="214">
        <f>IF(AND(($E69+$C$1)&gt;CM$4,CM$4&gt;=$C$1),$H69,IF(AND(($D69+$C$1)&gt;CM$4,CM$4&gt;=$C$1),$G69,0))*IF($A69="Residential",'General Inputs'!T$14,'General Inputs'!T$19)</f>
        <v>0</v>
      </c>
      <c r="CN69" s="214">
        <f>IF(AND(($E69+$C$1)&gt;CN$4,CN$4&gt;=$C$1),$H69,IF(AND(($D69+$C$1)&gt;CN$4,CN$4&gt;=$C$1),$G69,0))*IF($A69="Residential",'General Inputs'!U$14,'General Inputs'!U$19)</f>
        <v>0</v>
      </c>
      <c r="CO69" s="214">
        <f>IF(AND(($E69+$C$1)&gt;CO$4,CO$4&gt;=$C$1),$H69,IF(AND(($D69+$C$1)&gt;CO$4,CO$4&gt;=$C$1),$G69,0))*IF($A69="Residential",'General Inputs'!V$14,'General Inputs'!V$19)</f>
        <v>0</v>
      </c>
      <c r="CP69" s="214">
        <f>IF(AND(($E69+$C$1)&gt;CP$4,CP$4&gt;=$C$1),$H69,IF(AND(($D69+$C$1)&gt;CP$4,CP$4&gt;=$C$1),$G69,0))*IF($A69="Residential",'General Inputs'!W$14,'General Inputs'!W$19)</f>
        <v>0</v>
      </c>
      <c r="CR69" s="214">
        <f>IF(AND(($E69+$C$1)&gt;CR$4,CR$4&gt;=$C$1),$H69,IF(AND(($D69+$C$1)&gt;CR$4,CR$4&gt;=$C$1),$G69,0))*IF($A69="Residential",'General Inputs'!D$15,'General Inputs'!D$19)</f>
        <v>0</v>
      </c>
      <c r="CS69" s="214">
        <f>IF(AND(($E69+$C$1)&gt;CS$4,CS$4&gt;=$C$1),$H69,IF(AND(($D69+$C$1)&gt;CS$4,CS$4&gt;=$C$1),$G69,0))*IF($A69="Residential",'General Inputs'!E$15,'General Inputs'!E$19)</f>
        <v>0</v>
      </c>
      <c r="CT69" s="214">
        <f>IF(AND(($E69+$C$1)&gt;CT$4,CT$4&gt;=$C$1),$H69,IF(AND(($D69+$C$1)&gt;CT$4,CT$4&gt;=$C$1),$G69,0))*IF($A69="Residential",'General Inputs'!F$15,'General Inputs'!F$19)</f>
        <v>0</v>
      </c>
      <c r="CU69" s="214">
        <f>IF(AND(($E69+$C$1)&gt;CU$4,CU$4&gt;=$C$1),$H69,IF(AND(($D69+$C$1)&gt;CU$4,CU$4&gt;=$C$1),$G69,0))*IF($A69="Residential",'General Inputs'!G$15,'General Inputs'!G$19)</f>
        <v>0</v>
      </c>
      <c r="CV69" s="214">
        <f>IF(AND(($E69+$C$1)&gt;CV$4,CV$4&gt;=$C$1),$H69,IF(AND(($D69+$C$1)&gt;CV$4,CV$4&gt;=$C$1),$G69,0))*IF($A69="Residential",'General Inputs'!H$15,'General Inputs'!H$19)</f>
        <v>0</v>
      </c>
      <c r="CW69" s="214">
        <f>IF(AND(($E69+$C$1)&gt;CW$4,CW$4&gt;=$C$1),$H69,IF(AND(($D69+$C$1)&gt;CW$4,CW$4&gt;=$C$1),$G69,0))*IF($A69="Residential",'General Inputs'!I$15,'General Inputs'!I$19)</f>
        <v>0</v>
      </c>
      <c r="CX69" s="214">
        <f>IF(AND(($E69+$C$1)&gt;CX$4,CX$4&gt;=$C$1),$H69,IF(AND(($D69+$C$1)&gt;CX$4,CX$4&gt;=$C$1),$G69,0))*IF($A69="Residential",'General Inputs'!J$15,'General Inputs'!J$19)</f>
        <v>0</v>
      </c>
      <c r="CY69" s="214">
        <f>IF(AND(($E69+$C$1)&gt;CY$4,CY$4&gt;=$C$1),$H69,IF(AND(($D69+$C$1)&gt;CY$4,CY$4&gt;=$C$1),$G69,0))*IF($A69="Residential",'General Inputs'!K$15,'General Inputs'!K$19)</f>
        <v>0</v>
      </c>
      <c r="CZ69" s="214">
        <f>IF(AND(($E69+$C$1)&gt;CZ$4,CZ$4&gt;=$C$1),$H69,IF(AND(($D69+$C$1)&gt;CZ$4,CZ$4&gt;=$C$1),$G69,0))*IF($A69="Residential",'General Inputs'!L$15,'General Inputs'!L$19)</f>
        <v>0</v>
      </c>
      <c r="DA69" s="214">
        <f>IF(AND(($E69+$C$1)&gt;DA$4,DA$4&gt;=$C$1),$H69,IF(AND(($D69+$C$1)&gt;DA$4,DA$4&gt;=$C$1),$G69,0))*IF($A69="Residential",'General Inputs'!M$15,'General Inputs'!M$19)</f>
        <v>0</v>
      </c>
      <c r="DB69" s="214">
        <f>IF(AND(($E69+$C$1)&gt;DB$4,DB$4&gt;=$C$1),$H69,IF(AND(($D69+$C$1)&gt;DB$4,DB$4&gt;=$C$1),$G69,0))*IF($A69="Residential",'General Inputs'!N$15,'General Inputs'!N$19)</f>
        <v>0</v>
      </c>
      <c r="DC69" s="214">
        <f>IF(AND(($E69+$C$1)&gt;DC$4,DC$4&gt;=$C$1),$H69,IF(AND(($D69+$C$1)&gt;DC$4,DC$4&gt;=$C$1),$G69,0))*IF($A69="Residential",'General Inputs'!O$15,'General Inputs'!O$19)</f>
        <v>0</v>
      </c>
      <c r="DD69" s="214">
        <f>IF(AND(($E69+$C$1)&gt;DD$4,DD$4&gt;=$C$1),$H69,IF(AND(($D69+$C$1)&gt;DD$4,DD$4&gt;=$C$1),$G69,0))*IF($A69="Residential",'General Inputs'!P$15,'General Inputs'!P$19)</f>
        <v>0</v>
      </c>
      <c r="DE69" s="214">
        <f>IF(AND(($E69+$C$1)&gt;DE$4,DE$4&gt;=$C$1),$H69,IF(AND(($D69+$C$1)&gt;DE$4,DE$4&gt;=$C$1),$G69,0))*IF($A69="Residential",'General Inputs'!Q$15,'General Inputs'!Q$19)</f>
        <v>0</v>
      </c>
      <c r="DF69" s="214">
        <f>IF(AND(($E69+$C$1)&gt;DF$4,DF$4&gt;=$C$1),$H69,IF(AND(($D69+$C$1)&gt;DF$4,DF$4&gt;=$C$1),$G69,0))*IF($A69="Residential",'General Inputs'!R$15,'General Inputs'!R$19)</f>
        <v>0</v>
      </c>
      <c r="DG69" s="214">
        <f>IF(AND(($E69+$C$1)&gt;DG$4,DG$4&gt;=$C$1),$H69,IF(AND(($D69+$C$1)&gt;DG$4,DG$4&gt;=$C$1),$G69,0))*IF($A69="Residential",'General Inputs'!S$15,'General Inputs'!S$19)</f>
        <v>0</v>
      </c>
      <c r="DH69" s="214">
        <f>IF(AND(($E69+$C$1)&gt;DH$4,DH$4&gt;=$C$1),$H69,IF(AND(($D69+$C$1)&gt;DH$4,DH$4&gt;=$C$1),$G69,0))*IF($A69="Residential",'General Inputs'!T$15,'General Inputs'!T$19)</f>
        <v>0</v>
      </c>
      <c r="DI69" s="214">
        <f>IF(AND(($E69+$C$1)&gt;DI$4,DI$4&gt;=$C$1),$H69,IF(AND(($D69+$C$1)&gt;DI$4,DI$4&gt;=$C$1),$G69,0))*IF($A69="Residential",'General Inputs'!U$15,'General Inputs'!U$19)</f>
        <v>0</v>
      </c>
      <c r="DJ69" s="214">
        <f>IF(AND(($E69+$C$1)&gt;DJ$4,DJ$4&gt;=$C$1),$H69,IF(AND(($D69+$C$1)&gt;DJ$4,DJ$4&gt;=$C$1),$G69,0))*IF($A69="Residential",'General Inputs'!V$15,'General Inputs'!V$19)</f>
        <v>0</v>
      </c>
      <c r="DK69" s="214">
        <f>IF(AND(($E69+$C$1)&gt;DK$4,DK$4&gt;=$C$1),$H69,IF(AND(($D69+$C$1)&gt;DK$4,DK$4&gt;=$C$1),$G69,0))*IF($A69="Residential",'General Inputs'!W$15,'General Inputs'!W$19)</f>
        <v>0</v>
      </c>
      <c r="DM69" s="214">
        <f t="shared" si="456"/>
        <v>0</v>
      </c>
      <c r="DN69" s="214">
        <f t="shared" si="456"/>
        <v>0</v>
      </c>
      <c r="DO69" s="214">
        <f t="shared" si="456"/>
        <v>0</v>
      </c>
      <c r="DP69" s="214">
        <f t="shared" si="456"/>
        <v>0</v>
      </c>
      <c r="DQ69" s="214">
        <f t="shared" si="456"/>
        <v>0</v>
      </c>
      <c r="DR69" s="214">
        <f t="shared" si="456"/>
        <v>0</v>
      </c>
      <c r="DS69" s="214">
        <f t="shared" si="456"/>
        <v>0</v>
      </c>
      <c r="DT69" s="214">
        <f t="shared" si="456"/>
        <v>0</v>
      </c>
      <c r="DU69" s="214">
        <f t="shared" si="456"/>
        <v>0</v>
      </c>
      <c r="DV69" s="214">
        <f t="shared" si="456"/>
        <v>0</v>
      </c>
      <c r="DW69" s="214">
        <f t="shared" si="456"/>
        <v>0</v>
      </c>
      <c r="DZ69" s="650"/>
      <c r="FI69" s="195"/>
      <c r="FJ69" s="195"/>
      <c r="FK69" s="195"/>
      <c r="FL69" s="195"/>
      <c r="FM69" s="195"/>
      <c r="FN69" s="195"/>
      <c r="FO69" s="195"/>
    </row>
    <row r="70" spans="1:171">
      <c r="A70" s="342" t="s">
        <v>112</v>
      </c>
      <c r="B70" s="427" t="str">
        <f>'Portfolio Inputs'!A69</f>
        <v>Pulse Start Metal Halide (175 &lt; 320 W)</v>
      </c>
      <c r="C70" s="217">
        <f>IF($C$1=2014,'Portfolio Inputs'!$C69,IF($C$1=2015,'Portfolio Inputs'!$D69,'Portfolio Inputs'!$E69))</f>
        <v>0</v>
      </c>
      <c r="D70" s="504">
        <f>VLOOKUP(B70,Sources!$B$4:$J$104,2,FALSE)</f>
        <v>18</v>
      </c>
      <c r="E70" s="504">
        <f>VLOOKUP(B70,Sources!$B$4:$J$104,3,FALSE)</f>
        <v>0</v>
      </c>
      <c r="G70" s="504">
        <f>IF($C$1=2014,'Portfolio Inputs'!$G69,IF($C$1=2015,'Portfolio Inputs'!$H69,'Portfolio Inputs'!$I69))*EnergyLineLoss</f>
        <v>0</v>
      </c>
      <c r="H70" s="504"/>
      <c r="I70" s="595">
        <f>IF($C$1=2014,'Portfolio Inputs'!$K69,IF($C$1=2015,'Portfolio Inputs'!$L69,'Portfolio Inputs'!$M69))*PeakLineLoss</f>
        <v>0</v>
      </c>
      <c r="J70" s="510"/>
      <c r="L70" s="606">
        <f>IF($C$1=2014,'Portfolio Inputs'!$O69,IF($C$1=2015,'Portfolio Inputs'!$P69,'Portfolio Inputs'!$Q69))</f>
        <v>185</v>
      </c>
      <c r="M70" s="518">
        <f>VLOOKUP($B70,Sources!$B$4:$K$104,10,FALSE)</f>
        <v>0</v>
      </c>
      <c r="N70" s="419">
        <f>IF($C$1=2014,'Portfolio Inputs'!$W69,IF($C$1=2015,'Portfolio Inputs'!$X69,'Portfolio Inputs'!$Y69))</f>
        <v>0</v>
      </c>
      <c r="O70" s="419">
        <f>IF($C$1=2014,'Portfolio Inputs'!$AA69,IF($C$1=2015,'Portfolio Inputs'!$AB69,'Portfolio Inputs'!$AC69))</f>
        <v>0</v>
      </c>
      <c r="Q70" s="438" t="str">
        <f t="shared" si="442"/>
        <v>n/a</v>
      </c>
      <c r="R70" s="439" t="str">
        <f t="shared" si="443"/>
        <v>n/a</v>
      </c>
      <c r="S70" s="439" t="str">
        <f t="shared" si="444"/>
        <v>n/a</v>
      </c>
      <c r="T70" s="439" t="str">
        <f t="shared" si="445"/>
        <v>n/a</v>
      </c>
      <c r="U70" s="439" t="str">
        <f t="shared" si="446"/>
        <v>n/a</v>
      </c>
      <c r="V70" s="439" t="str">
        <f t="shared" si="447"/>
        <v>n/a</v>
      </c>
      <c r="W70" s="439" t="str">
        <f t="shared" si="448"/>
        <v>n/a</v>
      </c>
      <c r="Y70" s="215">
        <f t="shared" si="449"/>
        <v>0</v>
      </c>
      <c r="Z70" s="215">
        <f t="shared" si="450"/>
        <v>0</v>
      </c>
      <c r="AA70" s="215">
        <f t="shared" si="451"/>
        <v>0</v>
      </c>
      <c r="AB70" s="215">
        <f t="shared" si="452"/>
        <v>0</v>
      </c>
      <c r="AC70" s="216">
        <f t="shared" si="453"/>
        <v>0</v>
      </c>
      <c r="AD70" s="216">
        <f t="shared" si="454"/>
        <v>0</v>
      </c>
      <c r="AE70" s="215">
        <f t="shared" si="455"/>
        <v>0</v>
      </c>
      <c r="AG70" s="214">
        <f>IF(AND(($E70+$C$1)&gt;AG$4,AG$4&gt;=$C$1),'General Inputs'!D$9*$H70,IF(AND(($D70+$C$1)&gt;AG$4,AG$4&gt;=$C$1),'General Inputs'!D$9*$G70,0))+IF(AND(($E70+$C$1)&gt;AG$4,AG$4&gt;=$C$1),'General Inputs'!D$10*$J70,IF(AND(($D70+$C$1)&gt;AG$4,AG$4&gt;=$C$1),'General Inputs'!D$10*$I70,0))</f>
        <v>0</v>
      </c>
      <c r="AH70" s="214">
        <f>IF(AND(($E70+$C$1)&gt;AH$4,AH$4&gt;=$C$1),'General Inputs'!E$9*$H70,IF(AND(($D70+$C$1)&gt;AH$4,AH$4&gt;=$C$1),'General Inputs'!E$9*$G70,0))+IF(AND(($E70+$C$1)&gt;AH$4,AH$4&gt;=$C$1),'General Inputs'!E$10*$J70,IF(AND(($D70+$C$1)&gt;AH$4,AH$4&gt;=$C$1),'General Inputs'!E$10*$I70,0))</f>
        <v>0</v>
      </c>
      <c r="AI70" s="214">
        <f>IF(AND(($E70+$C$1)&gt;AI$4,AI$4&gt;=$C$1),'General Inputs'!F$9*$H70,IF(AND(($D70+$C$1)&gt;AI$4,AI$4&gt;=$C$1),'General Inputs'!F$9*$G70,0))+IF(AND(($E70+$C$1)&gt;AI$4,AI$4&gt;=$C$1),'General Inputs'!F$10*$J70,IF(AND(($D70+$C$1)&gt;AI$4,AI$4&gt;=$C$1),'General Inputs'!F$10*$I70,0))</f>
        <v>0</v>
      </c>
      <c r="AJ70" s="214">
        <f>IF(AND(($E70+$C$1)&gt;AJ$4,AJ$4&gt;=$C$1),'General Inputs'!G$9*$H70,IF(AND(($D70+$C$1)&gt;AJ$4,AJ$4&gt;=$C$1),'General Inputs'!G$9*$G70,0))+IF(AND(($E70+$C$1)&gt;AJ$4,AJ$4&gt;=$C$1),'General Inputs'!G$10*$J70,IF(AND(($D70+$C$1)&gt;AJ$4,AJ$4&gt;=$C$1),'General Inputs'!G$10*$I70,0))</f>
        <v>0</v>
      </c>
      <c r="AK70" s="214">
        <f>IF(AND(($E70+$C$1)&gt;AK$4,AK$4&gt;=$C$1),'General Inputs'!H$9*$H70,IF(AND(($D70+$C$1)&gt;AK$4,AK$4&gt;=$C$1),'General Inputs'!H$9*$G70,0))+IF(AND(($E70+$C$1)&gt;AK$4,AK$4&gt;=$C$1),'General Inputs'!H$10*$J70,IF(AND(($D70+$C$1)&gt;AK$4,AK$4&gt;=$C$1),'General Inputs'!H$10*$I70,0))</f>
        <v>0</v>
      </c>
      <c r="AL70" s="214">
        <f>IF(AND(($E70+$C$1)&gt;AL$4,AL$4&gt;=$C$1),'General Inputs'!I$9*$H70,IF(AND(($D70+$C$1)&gt;AL$4,AL$4&gt;=$C$1),'General Inputs'!I$9*$G70,0))+IF(AND(($E70+$C$1)&gt;AL$4,AL$4&gt;=$C$1),'General Inputs'!I$10*$J70,IF(AND(($D70+$C$1)&gt;AL$4,AL$4&gt;=$C$1),'General Inputs'!I$10*$I70,0))</f>
        <v>0</v>
      </c>
      <c r="AM70" s="214">
        <f>IF(AND(($E70+$C$1)&gt;AM$4,AM$4&gt;=$C$1),'General Inputs'!J$9*$H70,IF(AND(($D70+$C$1)&gt;AM$4,AM$4&gt;=$C$1),'General Inputs'!J$9*$G70,0))+IF(AND(($E70+$C$1)&gt;AM$4,AM$4&gt;=$C$1),'General Inputs'!J$10*$J70,IF(AND(($D70+$C$1)&gt;AM$4,AM$4&gt;=$C$1),'General Inputs'!J$10*$I70,0))</f>
        <v>0</v>
      </c>
      <c r="AN70" s="214">
        <f>IF(AND(($E70+$C$1)&gt;AN$4,AN$4&gt;=$C$1),'General Inputs'!K$9*$H70,IF(AND(($D70+$C$1)&gt;AN$4,AN$4&gt;=$C$1),'General Inputs'!K$9*$G70,0))+IF(AND(($E70+$C$1)&gt;AN$4,AN$4&gt;=$C$1),'General Inputs'!K$10*$J70,IF(AND(($D70+$C$1)&gt;AN$4,AN$4&gt;=$C$1),'General Inputs'!K$10*$I70,0))</f>
        <v>0</v>
      </c>
      <c r="AO70" s="214">
        <f>IF(AND(($E70+$C$1)&gt;AO$4,AO$4&gt;=$C$1),'General Inputs'!L$9*$H70,IF(AND(($D70+$C$1)&gt;AO$4,AO$4&gt;=$C$1),'General Inputs'!L$9*$G70,0))+IF(AND(($E70+$C$1)&gt;AO$4,AO$4&gt;=$C$1),'General Inputs'!L$10*$J70,IF(AND(($D70+$C$1)&gt;AO$4,AO$4&gt;=$C$1),'General Inputs'!L$10*$I70,0))</f>
        <v>0</v>
      </c>
      <c r="AP70" s="214">
        <f>IF(AND(($E70+$C$1)&gt;AP$4,AP$4&gt;=$C$1),'General Inputs'!M$9*$H70,IF(AND(($D70+$C$1)&gt;AP$4,AP$4&gt;=$C$1),'General Inputs'!M$9*$G70,0))+IF(AND(($E70+$C$1)&gt;AP$4,AP$4&gt;=$C$1),'General Inputs'!M$10*$J70,IF(AND(($D70+$C$1)&gt;AP$4,AP$4&gt;=$C$1),'General Inputs'!M$10*$I70,0))</f>
        <v>0</v>
      </c>
      <c r="AQ70" s="214">
        <f>IF(AND(($E70+$C$1)&gt;AQ$4,AQ$4&gt;=$C$1),'General Inputs'!N$9*$H70,IF(AND(($D70+$C$1)&gt;AQ$4,AQ$4&gt;=$C$1),'General Inputs'!N$9*$G70,0))+IF(AND(($E70+$C$1)&gt;AQ$4,AQ$4&gt;=$C$1),'General Inputs'!N$10*$J70,IF(AND(($D70+$C$1)&gt;AQ$4,AQ$4&gt;=$C$1),'General Inputs'!N$10*$I70,0))</f>
        <v>0</v>
      </c>
      <c r="AR70" s="214">
        <f>IF(AND(($E70+$C$1)&gt;AR$4,AR$4&gt;=$C$1),'General Inputs'!O$9*$H70,IF(AND(($D70+$C$1)&gt;AR$4,AR$4&gt;=$C$1),'General Inputs'!O$9*$G70,0))+IF(AND(($E70+$C$1)&gt;AR$4,AR$4&gt;=$C$1),'General Inputs'!O$10*$J70,IF(AND(($D70+$C$1)&gt;AR$4,AR$4&gt;=$C$1),'General Inputs'!O$10*$I70,0))</f>
        <v>0</v>
      </c>
      <c r="AS70" s="214">
        <f>IF(AND(($E70+$C$1)&gt;AS$4,AS$4&gt;=$C$1),'General Inputs'!P$9*$H70,IF(AND(($D70+$C$1)&gt;AS$4,AS$4&gt;=$C$1),'General Inputs'!P$9*$G70,0))+IF(AND(($E70+$C$1)&gt;AS$4,AS$4&gt;=$C$1),'General Inputs'!P$10*$J70,IF(AND(($D70+$C$1)&gt;AS$4,AS$4&gt;=$C$1),'General Inputs'!P$10*$I70,0))</f>
        <v>0</v>
      </c>
      <c r="AT70" s="214">
        <f>IF(AND(($E70+$C$1)&gt;AT$4,AT$4&gt;=$C$1),'General Inputs'!Q$9*$H70,IF(AND(($D70+$C$1)&gt;AT$4,AT$4&gt;=$C$1),'General Inputs'!Q$9*$G70,0))+IF(AND(($E70+$C$1)&gt;AT$4,AT$4&gt;=$C$1),'General Inputs'!Q$10*$J70,IF(AND(($D70+$C$1)&gt;AT$4,AT$4&gt;=$C$1),'General Inputs'!Q$10*$I70,0))</f>
        <v>0</v>
      </c>
      <c r="AU70" s="214">
        <f>IF(AND(($E70+$C$1)&gt;AU$4,AU$4&gt;=$C$1),'General Inputs'!R$9*$H70,IF(AND(($D70+$C$1)&gt;AU$4,AU$4&gt;=$C$1),'General Inputs'!R$9*$G70,0))+IF(AND(($E70+$C$1)&gt;AU$4,AU$4&gt;=$C$1),'General Inputs'!R$10*$J70,IF(AND(($D70+$C$1)&gt;AU$4,AU$4&gt;=$C$1),'General Inputs'!R$10*$I70,0))</f>
        <v>0</v>
      </c>
      <c r="AV70" s="214">
        <f>IF(AND(($E70+$C$1)&gt;AV$4,AV$4&gt;=$C$1),'General Inputs'!S$9*$H70,IF(AND(($D70+$C$1)&gt;AV$4,AV$4&gt;=$C$1),'General Inputs'!S$9*$G70,0))+IF(AND(($E70+$C$1)&gt;AV$4,AV$4&gt;=$C$1),'General Inputs'!S$10*$J70,IF(AND(($D70+$C$1)&gt;AV$4,AV$4&gt;=$C$1),'General Inputs'!S$10*$I70,0))</f>
        <v>0</v>
      </c>
      <c r="AW70" s="214">
        <f>IF(AND(($E70+$C$1)&gt;AW$4,AW$4&gt;=$C$1),'General Inputs'!T$9*$H70,IF(AND(($D70+$C$1)&gt;AW$4,AW$4&gt;=$C$1),'General Inputs'!T$9*$G70,0))+IF(AND(($E70+$C$1)&gt;AW$4,AW$4&gt;=$C$1),'General Inputs'!T$10*$J70,IF(AND(($D70+$C$1)&gt;AW$4,AW$4&gt;=$C$1),'General Inputs'!T$10*$I70,0))</f>
        <v>0</v>
      </c>
      <c r="AX70" s="214">
        <f>IF(AND(($E70+$C$1)&gt;AX$4,AX$4&gt;=$C$1),'General Inputs'!U$9*$H70,IF(AND(($D70+$C$1)&gt;AX$4,AX$4&gt;=$C$1),'General Inputs'!U$9*$G70,0))+IF(AND(($E70+$C$1)&gt;AX$4,AX$4&gt;=$C$1),'General Inputs'!U$10*$J70,IF(AND(($D70+$C$1)&gt;AX$4,AX$4&gt;=$C$1),'General Inputs'!U$10*$I70,0))</f>
        <v>0</v>
      </c>
      <c r="AY70" s="214">
        <f>IF(AND(($E70+$C$1)&gt;AY$4,AY$4&gt;=$C$1),'General Inputs'!V$9*$H70,IF(AND(($D70+$C$1)&gt;AY$4,AY$4&gt;=$C$1),'General Inputs'!V$9*$G70,0))+IF(AND(($E70+$C$1)&gt;AY$4,AY$4&gt;=$C$1),'General Inputs'!V$10*$J70,IF(AND(($D70+$C$1)&gt;AY$4,AY$4&gt;=$C$1),'General Inputs'!V$10*$I70,0))</f>
        <v>0</v>
      </c>
      <c r="AZ70" s="214">
        <f>IF(AND(($E70+$C$1)&gt;AZ$4,AZ$4&gt;=$C$1),'General Inputs'!W$9*$H70,IF(AND(($D70+$C$1)&gt;AZ$4,AZ$4&gt;=$C$1),'General Inputs'!W$9*$G70,0))+IF(AND(($E70+$C$1)&gt;AZ$4,AZ$4&gt;=$C$1),'General Inputs'!W$10*$J70,IF(AND(($D70+$C$1)&gt;AZ$4,AZ$4&gt;=$C$1),'General Inputs'!W$10*$I70,0))</f>
        <v>0</v>
      </c>
      <c r="BB70" s="214">
        <f>IF(AND(($E70+$C$1)&gt;BB$4,BB$4&gt;=$C$1),'General Inputs'!D$11*$H70,IF(AND(($D70+$C$1)&gt;BB$4,BB$4&gt;=$C$1),'General Inputs'!D$11*$G70,0))</f>
        <v>0</v>
      </c>
      <c r="BC70" s="214">
        <f>IF(AND(($E70+$C$1)&gt;BC$4,BC$4&gt;=$C$1),'General Inputs'!E$11*$H70,IF(AND(($D70+$C$1)&gt;BC$4,BC$4&gt;=$C$1),'General Inputs'!E$11*$G70,0))</f>
        <v>0</v>
      </c>
      <c r="BD70" s="214">
        <f>IF(AND(($E70+$C$1)&gt;BD$4,BD$4&gt;=$C$1),'General Inputs'!F$11*$H70,IF(AND(($D70+$C$1)&gt;BD$4,BD$4&gt;=$C$1),'General Inputs'!F$11*$G70,0))</f>
        <v>0</v>
      </c>
      <c r="BE70" s="214">
        <f>IF(AND(($E70+$C$1)&gt;BE$4,BE$4&gt;=$C$1),'General Inputs'!G$11*$H70,IF(AND(($D70+$C$1)&gt;BE$4,BE$4&gt;=$C$1),'General Inputs'!G$11*$G70,0))</f>
        <v>0</v>
      </c>
      <c r="BF70" s="214">
        <f>IF(AND(($E70+$C$1)&gt;BF$4,BF$4&gt;=$C$1),'General Inputs'!H$11*$H70,IF(AND(($D70+$C$1)&gt;BF$4,BF$4&gt;=$C$1),'General Inputs'!H$11*$G70,0))</f>
        <v>0</v>
      </c>
      <c r="BG70" s="214">
        <f>IF(AND(($E70+$C$1)&gt;BG$4,BG$4&gt;=$C$1),'General Inputs'!I$11*$H70,IF(AND(($D70+$C$1)&gt;BG$4,BG$4&gt;=$C$1),'General Inputs'!I$11*$G70,0))</f>
        <v>0</v>
      </c>
      <c r="BH70" s="214">
        <f>IF(AND(($E70+$C$1)&gt;BH$4,BH$4&gt;=$C$1),'General Inputs'!J$11*$H70,IF(AND(($D70+$C$1)&gt;BH$4,BH$4&gt;=$C$1),'General Inputs'!J$11*$G70,0))</f>
        <v>0</v>
      </c>
      <c r="BI70" s="214">
        <f>IF(AND(($E70+$C$1)&gt;BI$4,BI$4&gt;=$C$1),'General Inputs'!K$11*$H70,IF(AND(($D70+$C$1)&gt;BI$4,BI$4&gt;=$C$1),'General Inputs'!K$11*$G70,0))</f>
        <v>0</v>
      </c>
      <c r="BJ70" s="214">
        <f>IF(AND(($E70+$C$1)&gt;BJ$4,BJ$4&gt;=$C$1),'General Inputs'!L$11*$H70,IF(AND(($D70+$C$1)&gt;BJ$4,BJ$4&gt;=$C$1),'General Inputs'!L$11*$G70,0))</f>
        <v>0</v>
      </c>
      <c r="BK70" s="214">
        <f>IF(AND(($E70+$C$1)&gt;BK$4,BK$4&gt;=$C$1),'General Inputs'!M$11*$H70,IF(AND(($D70+$C$1)&gt;BK$4,BK$4&gt;=$C$1),'General Inputs'!M$11*$G70,0))</f>
        <v>0</v>
      </c>
      <c r="BL70" s="214">
        <f>IF(AND(($E70+$C$1)&gt;BL$4,BL$4&gt;=$C$1),'General Inputs'!N$11*$H70,IF(AND(($D70+$C$1)&gt;BL$4,BL$4&gt;=$C$1),'General Inputs'!N$11*$G70,0))</f>
        <v>0</v>
      </c>
      <c r="BM70" s="214">
        <f>IF(AND(($E70+$C$1)&gt;BM$4,BM$4&gt;=$C$1),'General Inputs'!O$11*$H70,IF(AND(($D70+$C$1)&gt;BM$4,BM$4&gt;=$C$1),'General Inputs'!O$11*$G70,0))</f>
        <v>0</v>
      </c>
      <c r="BN70" s="214">
        <f>IF(AND(($E70+$C$1)&gt;BN$4,BN$4&gt;=$C$1),'General Inputs'!P$11*$H70,IF(AND(($D70+$C$1)&gt;BN$4,BN$4&gt;=$C$1),'General Inputs'!P$11*$G70,0))</f>
        <v>0</v>
      </c>
      <c r="BO70" s="214">
        <f>IF(AND(($E70+$C$1)&gt;BO$4,BO$4&gt;=$C$1),'General Inputs'!Q$11*$H70,IF(AND(($D70+$C$1)&gt;BO$4,BO$4&gt;=$C$1),'General Inputs'!Q$11*$G70,0))</f>
        <v>0</v>
      </c>
      <c r="BP70" s="214">
        <f>IF(AND(($E70+$C$1)&gt;BP$4,BP$4&gt;=$C$1),'General Inputs'!R$11*$H70,IF(AND(($D70+$C$1)&gt;BP$4,BP$4&gt;=$C$1),'General Inputs'!R$11*$G70,0))</f>
        <v>0</v>
      </c>
      <c r="BQ70" s="214">
        <f>IF(AND(($E70+$C$1)&gt;BQ$4,BQ$4&gt;=$C$1),'General Inputs'!S$11*$H70,IF(AND(($D70+$C$1)&gt;BQ$4,BQ$4&gt;=$C$1),'General Inputs'!S$11*$G70,0))</f>
        <v>0</v>
      </c>
      <c r="BR70" s="214">
        <f>IF(AND(($E70+$C$1)&gt;BR$4,BR$4&gt;=$C$1),'General Inputs'!T$11*$H70,IF(AND(($D70+$C$1)&gt;BR$4,BR$4&gt;=$C$1),'General Inputs'!T$11*$G70,0))</f>
        <v>0</v>
      </c>
      <c r="BS70" s="214">
        <f>IF(AND(($E70+$C$1)&gt;BS$4,BS$4&gt;=$C$1),'General Inputs'!U$11*$H70,IF(AND(($D70+$C$1)&gt;BS$4,BS$4&gt;=$C$1),'General Inputs'!U$11*$G70,0))</f>
        <v>0</v>
      </c>
      <c r="BT70" s="214">
        <f>IF(AND(($E70+$C$1)&gt;BT$4,BT$4&gt;=$C$1),'General Inputs'!V$11*$H70,IF(AND(($D70+$C$1)&gt;BT$4,BT$4&gt;=$C$1),'General Inputs'!V$11*$G70,0))</f>
        <v>0</v>
      </c>
      <c r="BU70" s="214">
        <f>IF(AND(($E70+$C$1)&gt;BU$4,BU$4&gt;=$C$1),'General Inputs'!W$11*$H70,IF(AND(($D70+$C$1)&gt;BU$4,BU$4&gt;=$C$1),'General Inputs'!W$11*$G70,0))</f>
        <v>0</v>
      </c>
      <c r="BW70" s="214">
        <f>IF(AND(($E70+$C$1)&gt;BW$4,BW$4&gt;=$C$1),$H70,IF(AND(($D70+$C$1)&gt;BW$4,BW$4&gt;=$C$1),$G70,0))*IF($A70="Residential",'General Inputs'!D$14,'General Inputs'!D$19)</f>
        <v>0</v>
      </c>
      <c r="BX70" s="214">
        <f>IF(AND(($E70+$C$1)&gt;BX$4,BX$4&gt;=$C$1),$H70,IF(AND(($D70+$C$1)&gt;BX$4,BX$4&gt;=$C$1),$G70,0))*IF($A70="Residential",'General Inputs'!E$14,'General Inputs'!E$19)</f>
        <v>0</v>
      </c>
      <c r="BY70" s="214">
        <f>IF(AND(($E70+$C$1)&gt;BY$4,BY$4&gt;=$C$1),$H70,IF(AND(($D70+$C$1)&gt;BY$4,BY$4&gt;=$C$1),$G70,0))*IF($A70="Residential",'General Inputs'!F$14,'General Inputs'!F$19)</f>
        <v>0</v>
      </c>
      <c r="BZ70" s="214">
        <f>IF(AND(($E70+$C$1)&gt;BZ$4,BZ$4&gt;=$C$1),$H70,IF(AND(($D70+$C$1)&gt;BZ$4,BZ$4&gt;=$C$1),$G70,0))*IF($A70="Residential",'General Inputs'!G$14,'General Inputs'!G$19)</f>
        <v>0</v>
      </c>
      <c r="CA70" s="214">
        <f>IF(AND(($E70+$C$1)&gt;CA$4,CA$4&gt;=$C$1),$H70,IF(AND(($D70+$C$1)&gt;CA$4,CA$4&gt;=$C$1),$G70,0))*IF($A70="Residential",'General Inputs'!H$14,'General Inputs'!H$19)</f>
        <v>0</v>
      </c>
      <c r="CB70" s="214">
        <f>IF(AND(($E70+$C$1)&gt;CB$4,CB$4&gt;=$C$1),$H70,IF(AND(($D70+$C$1)&gt;CB$4,CB$4&gt;=$C$1),$G70,0))*IF($A70="Residential",'General Inputs'!I$14,'General Inputs'!I$19)</f>
        <v>0</v>
      </c>
      <c r="CC70" s="214">
        <f>IF(AND(($E70+$C$1)&gt;CC$4,CC$4&gt;=$C$1),$H70,IF(AND(($D70+$C$1)&gt;CC$4,CC$4&gt;=$C$1),$G70,0))*IF($A70="Residential",'General Inputs'!J$14,'General Inputs'!J$19)</f>
        <v>0</v>
      </c>
      <c r="CD70" s="214">
        <f>IF(AND(($E70+$C$1)&gt;CD$4,CD$4&gt;=$C$1),$H70,IF(AND(($D70+$C$1)&gt;CD$4,CD$4&gt;=$C$1),$G70,0))*IF($A70="Residential",'General Inputs'!K$14,'General Inputs'!K$19)</f>
        <v>0</v>
      </c>
      <c r="CE70" s="214">
        <f>IF(AND(($E70+$C$1)&gt;CE$4,CE$4&gt;=$C$1),$H70,IF(AND(($D70+$C$1)&gt;CE$4,CE$4&gt;=$C$1),$G70,0))*IF($A70="Residential",'General Inputs'!L$14,'General Inputs'!L$19)</f>
        <v>0</v>
      </c>
      <c r="CF70" s="214">
        <f>IF(AND(($E70+$C$1)&gt;CF$4,CF$4&gt;=$C$1),$H70,IF(AND(($D70+$C$1)&gt;CF$4,CF$4&gt;=$C$1),$G70,0))*IF($A70="Residential",'General Inputs'!M$14,'General Inputs'!M$19)</f>
        <v>0</v>
      </c>
      <c r="CG70" s="214">
        <f>IF(AND(($E70+$C$1)&gt;CG$4,CG$4&gt;=$C$1),$H70,IF(AND(($D70+$C$1)&gt;CG$4,CG$4&gt;=$C$1),$G70,0))*IF($A70="Residential",'General Inputs'!N$14,'General Inputs'!N$19)</f>
        <v>0</v>
      </c>
      <c r="CH70" s="214">
        <f>IF(AND(($E70+$C$1)&gt;CH$4,CH$4&gt;=$C$1),$H70,IF(AND(($D70+$C$1)&gt;CH$4,CH$4&gt;=$C$1),$G70,0))*IF($A70="Residential",'General Inputs'!O$14,'General Inputs'!O$19)</f>
        <v>0</v>
      </c>
      <c r="CI70" s="214">
        <f>IF(AND(($E70+$C$1)&gt;CI$4,CI$4&gt;=$C$1),$H70,IF(AND(($D70+$C$1)&gt;CI$4,CI$4&gt;=$C$1),$G70,0))*IF($A70="Residential",'General Inputs'!P$14,'General Inputs'!P$19)</f>
        <v>0</v>
      </c>
      <c r="CJ70" s="214">
        <f>IF(AND(($E70+$C$1)&gt;CJ$4,CJ$4&gt;=$C$1),$H70,IF(AND(($D70+$C$1)&gt;CJ$4,CJ$4&gt;=$C$1),$G70,0))*IF($A70="Residential",'General Inputs'!Q$14,'General Inputs'!Q$19)</f>
        <v>0</v>
      </c>
      <c r="CK70" s="214">
        <f>IF(AND(($E70+$C$1)&gt;CK$4,CK$4&gt;=$C$1),$H70,IF(AND(($D70+$C$1)&gt;CK$4,CK$4&gt;=$C$1),$G70,0))*IF($A70="Residential",'General Inputs'!R$14,'General Inputs'!R$19)</f>
        <v>0</v>
      </c>
      <c r="CL70" s="214">
        <f>IF(AND(($E70+$C$1)&gt;CL$4,CL$4&gt;=$C$1),$H70,IF(AND(($D70+$C$1)&gt;CL$4,CL$4&gt;=$C$1),$G70,0))*IF($A70="Residential",'General Inputs'!S$14,'General Inputs'!S$19)</f>
        <v>0</v>
      </c>
      <c r="CM70" s="214">
        <f>IF(AND(($E70+$C$1)&gt;CM$4,CM$4&gt;=$C$1),$H70,IF(AND(($D70+$C$1)&gt;CM$4,CM$4&gt;=$C$1),$G70,0))*IF($A70="Residential",'General Inputs'!T$14,'General Inputs'!T$19)</f>
        <v>0</v>
      </c>
      <c r="CN70" s="214">
        <f>IF(AND(($E70+$C$1)&gt;CN$4,CN$4&gt;=$C$1),$H70,IF(AND(($D70+$C$1)&gt;CN$4,CN$4&gt;=$C$1),$G70,0))*IF($A70="Residential",'General Inputs'!U$14,'General Inputs'!U$19)</f>
        <v>0</v>
      </c>
      <c r="CO70" s="214">
        <f>IF(AND(($E70+$C$1)&gt;CO$4,CO$4&gt;=$C$1),$H70,IF(AND(($D70+$C$1)&gt;CO$4,CO$4&gt;=$C$1),$G70,0))*IF($A70="Residential",'General Inputs'!V$14,'General Inputs'!V$19)</f>
        <v>0</v>
      </c>
      <c r="CP70" s="214">
        <f>IF(AND(($E70+$C$1)&gt;CP$4,CP$4&gt;=$C$1),$H70,IF(AND(($D70+$C$1)&gt;CP$4,CP$4&gt;=$C$1),$G70,0))*IF($A70="Residential",'General Inputs'!W$14,'General Inputs'!W$19)</f>
        <v>0</v>
      </c>
      <c r="CR70" s="214">
        <f>IF(AND(($E70+$C$1)&gt;CR$4,CR$4&gt;=$C$1),$H70,IF(AND(($D70+$C$1)&gt;CR$4,CR$4&gt;=$C$1),$G70,0))*IF($A70="Residential",'General Inputs'!D$15,'General Inputs'!D$19)</f>
        <v>0</v>
      </c>
      <c r="CS70" s="214">
        <f>IF(AND(($E70+$C$1)&gt;CS$4,CS$4&gt;=$C$1),$H70,IF(AND(($D70+$C$1)&gt;CS$4,CS$4&gt;=$C$1),$G70,0))*IF($A70="Residential",'General Inputs'!E$15,'General Inputs'!E$19)</f>
        <v>0</v>
      </c>
      <c r="CT70" s="214">
        <f>IF(AND(($E70+$C$1)&gt;CT$4,CT$4&gt;=$C$1),$H70,IF(AND(($D70+$C$1)&gt;CT$4,CT$4&gt;=$C$1),$G70,0))*IF($A70="Residential",'General Inputs'!F$15,'General Inputs'!F$19)</f>
        <v>0</v>
      </c>
      <c r="CU70" s="214">
        <f>IF(AND(($E70+$C$1)&gt;CU$4,CU$4&gt;=$C$1),$H70,IF(AND(($D70+$C$1)&gt;CU$4,CU$4&gt;=$C$1),$G70,0))*IF($A70="Residential",'General Inputs'!G$15,'General Inputs'!G$19)</f>
        <v>0</v>
      </c>
      <c r="CV70" s="214">
        <f>IF(AND(($E70+$C$1)&gt;CV$4,CV$4&gt;=$C$1),$H70,IF(AND(($D70+$C$1)&gt;CV$4,CV$4&gt;=$C$1),$G70,0))*IF($A70="Residential",'General Inputs'!H$15,'General Inputs'!H$19)</f>
        <v>0</v>
      </c>
      <c r="CW70" s="214">
        <f>IF(AND(($E70+$C$1)&gt;CW$4,CW$4&gt;=$C$1),$H70,IF(AND(($D70+$C$1)&gt;CW$4,CW$4&gt;=$C$1),$G70,0))*IF($A70="Residential",'General Inputs'!I$15,'General Inputs'!I$19)</f>
        <v>0</v>
      </c>
      <c r="CX70" s="214">
        <f>IF(AND(($E70+$C$1)&gt;CX$4,CX$4&gt;=$C$1),$H70,IF(AND(($D70+$C$1)&gt;CX$4,CX$4&gt;=$C$1),$G70,0))*IF($A70="Residential",'General Inputs'!J$15,'General Inputs'!J$19)</f>
        <v>0</v>
      </c>
      <c r="CY70" s="214">
        <f>IF(AND(($E70+$C$1)&gt;CY$4,CY$4&gt;=$C$1),$H70,IF(AND(($D70+$C$1)&gt;CY$4,CY$4&gt;=$C$1),$G70,0))*IF($A70="Residential",'General Inputs'!K$15,'General Inputs'!K$19)</f>
        <v>0</v>
      </c>
      <c r="CZ70" s="214">
        <f>IF(AND(($E70+$C$1)&gt;CZ$4,CZ$4&gt;=$C$1),$H70,IF(AND(($D70+$C$1)&gt;CZ$4,CZ$4&gt;=$C$1),$G70,0))*IF($A70="Residential",'General Inputs'!L$15,'General Inputs'!L$19)</f>
        <v>0</v>
      </c>
      <c r="DA70" s="214">
        <f>IF(AND(($E70+$C$1)&gt;DA$4,DA$4&gt;=$C$1),$H70,IF(AND(($D70+$C$1)&gt;DA$4,DA$4&gt;=$C$1),$G70,0))*IF($A70="Residential",'General Inputs'!M$15,'General Inputs'!M$19)</f>
        <v>0</v>
      </c>
      <c r="DB70" s="214">
        <f>IF(AND(($E70+$C$1)&gt;DB$4,DB$4&gt;=$C$1),$H70,IF(AND(($D70+$C$1)&gt;DB$4,DB$4&gt;=$C$1),$G70,0))*IF($A70="Residential",'General Inputs'!N$15,'General Inputs'!N$19)</f>
        <v>0</v>
      </c>
      <c r="DC70" s="214">
        <f>IF(AND(($E70+$C$1)&gt;DC$4,DC$4&gt;=$C$1),$H70,IF(AND(($D70+$C$1)&gt;DC$4,DC$4&gt;=$C$1),$G70,0))*IF($A70="Residential",'General Inputs'!O$15,'General Inputs'!O$19)</f>
        <v>0</v>
      </c>
      <c r="DD70" s="214">
        <f>IF(AND(($E70+$C$1)&gt;DD$4,DD$4&gt;=$C$1),$H70,IF(AND(($D70+$C$1)&gt;DD$4,DD$4&gt;=$C$1),$G70,0))*IF($A70="Residential",'General Inputs'!P$15,'General Inputs'!P$19)</f>
        <v>0</v>
      </c>
      <c r="DE70" s="214">
        <f>IF(AND(($E70+$C$1)&gt;DE$4,DE$4&gt;=$C$1),$H70,IF(AND(($D70+$C$1)&gt;DE$4,DE$4&gt;=$C$1),$G70,0))*IF($A70="Residential",'General Inputs'!Q$15,'General Inputs'!Q$19)</f>
        <v>0</v>
      </c>
      <c r="DF70" s="214">
        <f>IF(AND(($E70+$C$1)&gt;DF$4,DF$4&gt;=$C$1),$H70,IF(AND(($D70+$C$1)&gt;DF$4,DF$4&gt;=$C$1),$G70,0))*IF($A70="Residential",'General Inputs'!R$15,'General Inputs'!R$19)</f>
        <v>0</v>
      </c>
      <c r="DG70" s="214">
        <f>IF(AND(($E70+$C$1)&gt;DG$4,DG$4&gt;=$C$1),$H70,IF(AND(($D70+$C$1)&gt;DG$4,DG$4&gt;=$C$1),$G70,0))*IF($A70="Residential",'General Inputs'!S$15,'General Inputs'!S$19)</f>
        <v>0</v>
      </c>
      <c r="DH70" s="214">
        <f>IF(AND(($E70+$C$1)&gt;DH$4,DH$4&gt;=$C$1),$H70,IF(AND(($D70+$C$1)&gt;DH$4,DH$4&gt;=$C$1),$G70,0))*IF($A70="Residential",'General Inputs'!T$15,'General Inputs'!T$19)</f>
        <v>0</v>
      </c>
      <c r="DI70" s="214">
        <f>IF(AND(($E70+$C$1)&gt;DI$4,DI$4&gt;=$C$1),$H70,IF(AND(($D70+$C$1)&gt;DI$4,DI$4&gt;=$C$1),$G70,0))*IF($A70="Residential",'General Inputs'!U$15,'General Inputs'!U$19)</f>
        <v>0</v>
      </c>
      <c r="DJ70" s="214">
        <f>IF(AND(($E70+$C$1)&gt;DJ$4,DJ$4&gt;=$C$1),$H70,IF(AND(($D70+$C$1)&gt;DJ$4,DJ$4&gt;=$C$1),$G70,0))*IF($A70="Residential",'General Inputs'!V$15,'General Inputs'!V$19)</f>
        <v>0</v>
      </c>
      <c r="DK70" s="214">
        <f>IF(AND(($E70+$C$1)&gt;DK$4,DK$4&gt;=$C$1),$H70,IF(AND(($D70+$C$1)&gt;DK$4,DK$4&gt;=$C$1),$G70,0))*IF($A70="Residential",'General Inputs'!W$15,'General Inputs'!W$19)</f>
        <v>0</v>
      </c>
      <c r="DM70" s="214">
        <f t="shared" si="456"/>
        <v>0</v>
      </c>
      <c r="DN70" s="214">
        <f t="shared" si="456"/>
        <v>0</v>
      </c>
      <c r="DO70" s="214">
        <f t="shared" si="456"/>
        <v>0</v>
      </c>
      <c r="DP70" s="214">
        <f t="shared" si="456"/>
        <v>0</v>
      </c>
      <c r="DQ70" s="214">
        <f t="shared" si="456"/>
        <v>0</v>
      </c>
      <c r="DR70" s="214">
        <f t="shared" si="456"/>
        <v>0</v>
      </c>
      <c r="DS70" s="214">
        <f t="shared" si="456"/>
        <v>0</v>
      </c>
      <c r="DT70" s="214">
        <f t="shared" si="456"/>
        <v>0</v>
      </c>
      <c r="DU70" s="214">
        <f t="shared" si="456"/>
        <v>0</v>
      </c>
      <c r="DV70" s="214">
        <f t="shared" si="456"/>
        <v>0</v>
      </c>
      <c r="DW70" s="214">
        <f t="shared" si="456"/>
        <v>0</v>
      </c>
      <c r="DZ70" s="650"/>
      <c r="FI70" s="195"/>
      <c r="FJ70" s="195"/>
      <c r="FK70" s="195"/>
      <c r="FL70" s="195"/>
      <c r="FM70" s="195"/>
      <c r="FN70" s="195"/>
      <c r="FO70" s="195"/>
    </row>
    <row r="71" spans="1:171">
      <c r="A71" s="342" t="s">
        <v>112</v>
      </c>
      <c r="B71" s="427" t="str">
        <f>'Portfolio Inputs'!A70</f>
        <v>Pulse Start Metal Halide (320 &lt; 750 W)</v>
      </c>
      <c r="C71" s="217">
        <f>IF($C$1=2014,'Portfolio Inputs'!$C70,IF($C$1=2015,'Portfolio Inputs'!$D70,'Portfolio Inputs'!$E70))</f>
        <v>0</v>
      </c>
      <c r="D71" s="504">
        <f>VLOOKUP(B71,Sources!$B$4:$J$104,2,FALSE)</f>
        <v>18</v>
      </c>
      <c r="E71" s="504">
        <f>VLOOKUP(B71,Sources!$B$4:$J$104,3,FALSE)</f>
        <v>0</v>
      </c>
      <c r="G71" s="504">
        <f>IF($C$1=2014,'Portfolio Inputs'!$G70,IF($C$1=2015,'Portfolio Inputs'!$H70,'Portfolio Inputs'!$I70))*EnergyLineLoss</f>
        <v>0</v>
      </c>
      <c r="H71" s="504"/>
      <c r="I71" s="595">
        <f>IF($C$1=2014,'Portfolio Inputs'!$K70,IF($C$1=2015,'Portfolio Inputs'!$L70,'Portfolio Inputs'!$M70))*PeakLineLoss</f>
        <v>0</v>
      </c>
      <c r="J71" s="510"/>
      <c r="L71" s="606">
        <f>IF($C$1=2014,'Portfolio Inputs'!$O70,IF($C$1=2015,'Portfolio Inputs'!$P70,'Portfolio Inputs'!$Q70))</f>
        <v>283</v>
      </c>
      <c r="M71" s="518">
        <f>VLOOKUP($B71,Sources!$B$4:$K$104,10,FALSE)</f>
        <v>0</v>
      </c>
      <c r="N71" s="419">
        <f>IF($C$1=2014,'Portfolio Inputs'!$W70,IF($C$1=2015,'Portfolio Inputs'!$X70,'Portfolio Inputs'!$Y70))</f>
        <v>0</v>
      </c>
      <c r="O71" s="419">
        <f>IF($C$1=2014,'Portfolio Inputs'!$AA70,IF($C$1=2015,'Portfolio Inputs'!$AB70,'Portfolio Inputs'!$AC70))</f>
        <v>0</v>
      </c>
      <c r="Q71" s="438" t="str">
        <f t="shared" si="442"/>
        <v>n/a</v>
      </c>
      <c r="R71" s="439" t="str">
        <f t="shared" si="443"/>
        <v>n/a</v>
      </c>
      <c r="S71" s="439" t="str">
        <f t="shared" si="444"/>
        <v>n/a</v>
      </c>
      <c r="T71" s="439" t="str">
        <f t="shared" si="445"/>
        <v>n/a</v>
      </c>
      <c r="U71" s="439" t="str">
        <f t="shared" si="446"/>
        <v>n/a</v>
      </c>
      <c r="V71" s="439" t="str">
        <f t="shared" si="447"/>
        <v>n/a</v>
      </c>
      <c r="W71" s="439" t="str">
        <f t="shared" si="448"/>
        <v>n/a</v>
      </c>
      <c r="Y71" s="215">
        <f t="shared" si="449"/>
        <v>0</v>
      </c>
      <c r="Z71" s="215">
        <f t="shared" si="450"/>
        <v>0</v>
      </c>
      <c r="AA71" s="215">
        <f t="shared" si="451"/>
        <v>0</v>
      </c>
      <c r="AB71" s="215">
        <f t="shared" si="452"/>
        <v>0</v>
      </c>
      <c r="AC71" s="216">
        <f t="shared" si="453"/>
        <v>0</v>
      </c>
      <c r="AD71" s="216">
        <f t="shared" si="454"/>
        <v>0</v>
      </c>
      <c r="AE71" s="215">
        <f t="shared" si="455"/>
        <v>0</v>
      </c>
      <c r="AG71" s="214">
        <f>IF(AND(($E71+$C$1)&gt;AG$4,AG$4&gt;=$C$1),'General Inputs'!D$9*$H71,IF(AND(($D71+$C$1)&gt;AG$4,AG$4&gt;=$C$1),'General Inputs'!D$9*$G71,0))+IF(AND(($E71+$C$1)&gt;AG$4,AG$4&gt;=$C$1),'General Inputs'!D$10*$J71,IF(AND(($D71+$C$1)&gt;AG$4,AG$4&gt;=$C$1),'General Inputs'!D$10*$I71,0))</f>
        <v>0</v>
      </c>
      <c r="AH71" s="214">
        <f>IF(AND(($E71+$C$1)&gt;AH$4,AH$4&gt;=$C$1),'General Inputs'!E$9*$H71,IF(AND(($D71+$C$1)&gt;AH$4,AH$4&gt;=$C$1),'General Inputs'!E$9*$G71,0))+IF(AND(($E71+$C$1)&gt;AH$4,AH$4&gt;=$C$1),'General Inputs'!E$10*$J71,IF(AND(($D71+$C$1)&gt;AH$4,AH$4&gt;=$C$1),'General Inputs'!E$10*$I71,0))</f>
        <v>0</v>
      </c>
      <c r="AI71" s="214">
        <f>IF(AND(($E71+$C$1)&gt;AI$4,AI$4&gt;=$C$1),'General Inputs'!F$9*$H71,IF(AND(($D71+$C$1)&gt;AI$4,AI$4&gt;=$C$1),'General Inputs'!F$9*$G71,0))+IF(AND(($E71+$C$1)&gt;AI$4,AI$4&gt;=$C$1),'General Inputs'!F$10*$J71,IF(AND(($D71+$C$1)&gt;AI$4,AI$4&gt;=$C$1),'General Inputs'!F$10*$I71,0))</f>
        <v>0</v>
      </c>
      <c r="AJ71" s="214">
        <f>IF(AND(($E71+$C$1)&gt;AJ$4,AJ$4&gt;=$C$1),'General Inputs'!G$9*$H71,IF(AND(($D71+$C$1)&gt;AJ$4,AJ$4&gt;=$C$1),'General Inputs'!G$9*$G71,0))+IF(AND(($E71+$C$1)&gt;AJ$4,AJ$4&gt;=$C$1),'General Inputs'!G$10*$J71,IF(AND(($D71+$C$1)&gt;AJ$4,AJ$4&gt;=$C$1),'General Inputs'!G$10*$I71,0))</f>
        <v>0</v>
      </c>
      <c r="AK71" s="214">
        <f>IF(AND(($E71+$C$1)&gt;AK$4,AK$4&gt;=$C$1),'General Inputs'!H$9*$H71,IF(AND(($D71+$C$1)&gt;AK$4,AK$4&gt;=$C$1),'General Inputs'!H$9*$G71,0))+IF(AND(($E71+$C$1)&gt;AK$4,AK$4&gt;=$C$1),'General Inputs'!H$10*$J71,IF(AND(($D71+$C$1)&gt;AK$4,AK$4&gt;=$C$1),'General Inputs'!H$10*$I71,0))</f>
        <v>0</v>
      </c>
      <c r="AL71" s="214">
        <f>IF(AND(($E71+$C$1)&gt;AL$4,AL$4&gt;=$C$1),'General Inputs'!I$9*$H71,IF(AND(($D71+$C$1)&gt;AL$4,AL$4&gt;=$C$1),'General Inputs'!I$9*$G71,0))+IF(AND(($E71+$C$1)&gt;AL$4,AL$4&gt;=$C$1),'General Inputs'!I$10*$J71,IF(AND(($D71+$C$1)&gt;AL$4,AL$4&gt;=$C$1),'General Inputs'!I$10*$I71,0))</f>
        <v>0</v>
      </c>
      <c r="AM71" s="214">
        <f>IF(AND(($E71+$C$1)&gt;AM$4,AM$4&gt;=$C$1),'General Inputs'!J$9*$H71,IF(AND(($D71+$C$1)&gt;AM$4,AM$4&gt;=$C$1),'General Inputs'!J$9*$G71,0))+IF(AND(($E71+$C$1)&gt;AM$4,AM$4&gt;=$C$1),'General Inputs'!J$10*$J71,IF(AND(($D71+$C$1)&gt;AM$4,AM$4&gt;=$C$1),'General Inputs'!J$10*$I71,0))</f>
        <v>0</v>
      </c>
      <c r="AN71" s="214">
        <f>IF(AND(($E71+$C$1)&gt;AN$4,AN$4&gt;=$C$1),'General Inputs'!K$9*$H71,IF(AND(($D71+$C$1)&gt;AN$4,AN$4&gt;=$C$1),'General Inputs'!K$9*$G71,0))+IF(AND(($E71+$C$1)&gt;AN$4,AN$4&gt;=$C$1),'General Inputs'!K$10*$J71,IF(AND(($D71+$C$1)&gt;AN$4,AN$4&gt;=$C$1),'General Inputs'!K$10*$I71,0))</f>
        <v>0</v>
      </c>
      <c r="AO71" s="214">
        <f>IF(AND(($E71+$C$1)&gt;AO$4,AO$4&gt;=$C$1),'General Inputs'!L$9*$H71,IF(AND(($D71+$C$1)&gt;AO$4,AO$4&gt;=$C$1),'General Inputs'!L$9*$G71,0))+IF(AND(($E71+$C$1)&gt;AO$4,AO$4&gt;=$C$1),'General Inputs'!L$10*$J71,IF(AND(($D71+$C$1)&gt;AO$4,AO$4&gt;=$C$1),'General Inputs'!L$10*$I71,0))</f>
        <v>0</v>
      </c>
      <c r="AP71" s="214">
        <f>IF(AND(($E71+$C$1)&gt;AP$4,AP$4&gt;=$C$1),'General Inputs'!M$9*$H71,IF(AND(($D71+$C$1)&gt;AP$4,AP$4&gt;=$C$1),'General Inputs'!M$9*$G71,0))+IF(AND(($E71+$C$1)&gt;AP$4,AP$4&gt;=$C$1),'General Inputs'!M$10*$J71,IF(AND(($D71+$C$1)&gt;AP$4,AP$4&gt;=$C$1),'General Inputs'!M$10*$I71,0))</f>
        <v>0</v>
      </c>
      <c r="AQ71" s="214">
        <f>IF(AND(($E71+$C$1)&gt;AQ$4,AQ$4&gt;=$C$1),'General Inputs'!N$9*$H71,IF(AND(($D71+$C$1)&gt;AQ$4,AQ$4&gt;=$C$1),'General Inputs'!N$9*$G71,0))+IF(AND(($E71+$C$1)&gt;AQ$4,AQ$4&gt;=$C$1),'General Inputs'!N$10*$J71,IF(AND(($D71+$C$1)&gt;AQ$4,AQ$4&gt;=$C$1),'General Inputs'!N$10*$I71,0))</f>
        <v>0</v>
      </c>
      <c r="AR71" s="214">
        <f>IF(AND(($E71+$C$1)&gt;AR$4,AR$4&gt;=$C$1),'General Inputs'!O$9*$H71,IF(AND(($D71+$C$1)&gt;AR$4,AR$4&gt;=$C$1),'General Inputs'!O$9*$G71,0))+IF(AND(($E71+$C$1)&gt;AR$4,AR$4&gt;=$C$1),'General Inputs'!O$10*$J71,IF(AND(($D71+$C$1)&gt;AR$4,AR$4&gt;=$C$1),'General Inputs'!O$10*$I71,0))</f>
        <v>0</v>
      </c>
      <c r="AS71" s="214">
        <f>IF(AND(($E71+$C$1)&gt;AS$4,AS$4&gt;=$C$1),'General Inputs'!P$9*$H71,IF(AND(($D71+$C$1)&gt;AS$4,AS$4&gt;=$C$1),'General Inputs'!P$9*$G71,0))+IF(AND(($E71+$C$1)&gt;AS$4,AS$4&gt;=$C$1),'General Inputs'!P$10*$J71,IF(AND(($D71+$C$1)&gt;AS$4,AS$4&gt;=$C$1),'General Inputs'!P$10*$I71,0))</f>
        <v>0</v>
      </c>
      <c r="AT71" s="214">
        <f>IF(AND(($E71+$C$1)&gt;AT$4,AT$4&gt;=$C$1),'General Inputs'!Q$9*$H71,IF(AND(($D71+$C$1)&gt;AT$4,AT$4&gt;=$C$1),'General Inputs'!Q$9*$G71,0))+IF(AND(($E71+$C$1)&gt;AT$4,AT$4&gt;=$C$1),'General Inputs'!Q$10*$J71,IF(AND(($D71+$C$1)&gt;AT$4,AT$4&gt;=$C$1),'General Inputs'!Q$10*$I71,0))</f>
        <v>0</v>
      </c>
      <c r="AU71" s="214">
        <f>IF(AND(($E71+$C$1)&gt;AU$4,AU$4&gt;=$C$1),'General Inputs'!R$9*$H71,IF(AND(($D71+$C$1)&gt;AU$4,AU$4&gt;=$C$1),'General Inputs'!R$9*$G71,0))+IF(AND(($E71+$C$1)&gt;AU$4,AU$4&gt;=$C$1),'General Inputs'!R$10*$J71,IF(AND(($D71+$C$1)&gt;AU$4,AU$4&gt;=$C$1),'General Inputs'!R$10*$I71,0))</f>
        <v>0</v>
      </c>
      <c r="AV71" s="214">
        <f>IF(AND(($E71+$C$1)&gt;AV$4,AV$4&gt;=$C$1),'General Inputs'!S$9*$H71,IF(AND(($D71+$C$1)&gt;AV$4,AV$4&gt;=$C$1),'General Inputs'!S$9*$G71,0))+IF(AND(($E71+$C$1)&gt;AV$4,AV$4&gt;=$C$1),'General Inputs'!S$10*$J71,IF(AND(($D71+$C$1)&gt;AV$4,AV$4&gt;=$C$1),'General Inputs'!S$10*$I71,0))</f>
        <v>0</v>
      </c>
      <c r="AW71" s="214">
        <f>IF(AND(($E71+$C$1)&gt;AW$4,AW$4&gt;=$C$1),'General Inputs'!T$9*$H71,IF(AND(($D71+$C$1)&gt;AW$4,AW$4&gt;=$C$1),'General Inputs'!T$9*$G71,0))+IF(AND(($E71+$C$1)&gt;AW$4,AW$4&gt;=$C$1),'General Inputs'!T$10*$J71,IF(AND(($D71+$C$1)&gt;AW$4,AW$4&gt;=$C$1),'General Inputs'!T$10*$I71,0))</f>
        <v>0</v>
      </c>
      <c r="AX71" s="214">
        <f>IF(AND(($E71+$C$1)&gt;AX$4,AX$4&gt;=$C$1),'General Inputs'!U$9*$H71,IF(AND(($D71+$C$1)&gt;AX$4,AX$4&gt;=$C$1),'General Inputs'!U$9*$G71,0))+IF(AND(($E71+$C$1)&gt;AX$4,AX$4&gt;=$C$1),'General Inputs'!U$10*$J71,IF(AND(($D71+$C$1)&gt;AX$4,AX$4&gt;=$C$1),'General Inputs'!U$10*$I71,0))</f>
        <v>0</v>
      </c>
      <c r="AY71" s="214">
        <f>IF(AND(($E71+$C$1)&gt;AY$4,AY$4&gt;=$C$1),'General Inputs'!V$9*$H71,IF(AND(($D71+$C$1)&gt;AY$4,AY$4&gt;=$C$1),'General Inputs'!V$9*$G71,0))+IF(AND(($E71+$C$1)&gt;AY$4,AY$4&gt;=$C$1),'General Inputs'!V$10*$J71,IF(AND(($D71+$C$1)&gt;AY$4,AY$4&gt;=$C$1),'General Inputs'!V$10*$I71,0))</f>
        <v>0</v>
      </c>
      <c r="AZ71" s="214">
        <f>IF(AND(($E71+$C$1)&gt;AZ$4,AZ$4&gt;=$C$1),'General Inputs'!W$9*$H71,IF(AND(($D71+$C$1)&gt;AZ$4,AZ$4&gt;=$C$1),'General Inputs'!W$9*$G71,0))+IF(AND(($E71+$C$1)&gt;AZ$4,AZ$4&gt;=$C$1),'General Inputs'!W$10*$J71,IF(AND(($D71+$C$1)&gt;AZ$4,AZ$4&gt;=$C$1),'General Inputs'!W$10*$I71,0))</f>
        <v>0</v>
      </c>
      <c r="BB71" s="214">
        <f>IF(AND(($E71+$C$1)&gt;BB$4,BB$4&gt;=$C$1),'General Inputs'!D$11*$H71,IF(AND(($D71+$C$1)&gt;BB$4,BB$4&gt;=$C$1),'General Inputs'!D$11*$G71,0))</f>
        <v>0</v>
      </c>
      <c r="BC71" s="214">
        <f>IF(AND(($E71+$C$1)&gt;BC$4,BC$4&gt;=$C$1),'General Inputs'!E$11*$H71,IF(AND(($D71+$C$1)&gt;BC$4,BC$4&gt;=$C$1),'General Inputs'!E$11*$G71,0))</f>
        <v>0</v>
      </c>
      <c r="BD71" s="214">
        <f>IF(AND(($E71+$C$1)&gt;BD$4,BD$4&gt;=$C$1),'General Inputs'!F$11*$H71,IF(AND(($D71+$C$1)&gt;BD$4,BD$4&gt;=$C$1),'General Inputs'!F$11*$G71,0))</f>
        <v>0</v>
      </c>
      <c r="BE71" s="214">
        <f>IF(AND(($E71+$C$1)&gt;BE$4,BE$4&gt;=$C$1),'General Inputs'!G$11*$H71,IF(AND(($D71+$C$1)&gt;BE$4,BE$4&gt;=$C$1),'General Inputs'!G$11*$G71,0))</f>
        <v>0</v>
      </c>
      <c r="BF71" s="214">
        <f>IF(AND(($E71+$C$1)&gt;BF$4,BF$4&gt;=$C$1),'General Inputs'!H$11*$H71,IF(AND(($D71+$C$1)&gt;BF$4,BF$4&gt;=$C$1),'General Inputs'!H$11*$G71,0))</f>
        <v>0</v>
      </c>
      <c r="BG71" s="214">
        <f>IF(AND(($E71+$C$1)&gt;BG$4,BG$4&gt;=$C$1),'General Inputs'!I$11*$H71,IF(AND(($D71+$C$1)&gt;BG$4,BG$4&gt;=$C$1),'General Inputs'!I$11*$G71,0))</f>
        <v>0</v>
      </c>
      <c r="BH71" s="214">
        <f>IF(AND(($E71+$C$1)&gt;BH$4,BH$4&gt;=$C$1),'General Inputs'!J$11*$H71,IF(AND(($D71+$C$1)&gt;BH$4,BH$4&gt;=$C$1),'General Inputs'!J$11*$G71,0))</f>
        <v>0</v>
      </c>
      <c r="BI71" s="214">
        <f>IF(AND(($E71+$C$1)&gt;BI$4,BI$4&gt;=$C$1),'General Inputs'!K$11*$H71,IF(AND(($D71+$C$1)&gt;BI$4,BI$4&gt;=$C$1),'General Inputs'!K$11*$G71,0))</f>
        <v>0</v>
      </c>
      <c r="BJ71" s="214">
        <f>IF(AND(($E71+$C$1)&gt;BJ$4,BJ$4&gt;=$C$1),'General Inputs'!L$11*$H71,IF(AND(($D71+$C$1)&gt;BJ$4,BJ$4&gt;=$C$1),'General Inputs'!L$11*$G71,0))</f>
        <v>0</v>
      </c>
      <c r="BK71" s="214">
        <f>IF(AND(($E71+$C$1)&gt;BK$4,BK$4&gt;=$C$1),'General Inputs'!M$11*$H71,IF(AND(($D71+$C$1)&gt;BK$4,BK$4&gt;=$C$1),'General Inputs'!M$11*$G71,0))</f>
        <v>0</v>
      </c>
      <c r="BL71" s="214">
        <f>IF(AND(($E71+$C$1)&gt;BL$4,BL$4&gt;=$C$1),'General Inputs'!N$11*$H71,IF(AND(($D71+$C$1)&gt;BL$4,BL$4&gt;=$C$1),'General Inputs'!N$11*$G71,0))</f>
        <v>0</v>
      </c>
      <c r="BM71" s="214">
        <f>IF(AND(($E71+$C$1)&gt;BM$4,BM$4&gt;=$C$1),'General Inputs'!O$11*$H71,IF(AND(($D71+$C$1)&gt;BM$4,BM$4&gt;=$C$1),'General Inputs'!O$11*$G71,0))</f>
        <v>0</v>
      </c>
      <c r="BN71" s="214">
        <f>IF(AND(($E71+$C$1)&gt;BN$4,BN$4&gt;=$C$1),'General Inputs'!P$11*$H71,IF(AND(($D71+$C$1)&gt;BN$4,BN$4&gt;=$C$1),'General Inputs'!P$11*$G71,0))</f>
        <v>0</v>
      </c>
      <c r="BO71" s="214">
        <f>IF(AND(($E71+$C$1)&gt;BO$4,BO$4&gt;=$C$1),'General Inputs'!Q$11*$H71,IF(AND(($D71+$C$1)&gt;BO$4,BO$4&gt;=$C$1),'General Inputs'!Q$11*$G71,0))</f>
        <v>0</v>
      </c>
      <c r="BP71" s="214">
        <f>IF(AND(($E71+$C$1)&gt;BP$4,BP$4&gt;=$C$1),'General Inputs'!R$11*$H71,IF(AND(($D71+$C$1)&gt;BP$4,BP$4&gt;=$C$1),'General Inputs'!R$11*$G71,0))</f>
        <v>0</v>
      </c>
      <c r="BQ71" s="214">
        <f>IF(AND(($E71+$C$1)&gt;BQ$4,BQ$4&gt;=$C$1),'General Inputs'!S$11*$H71,IF(AND(($D71+$C$1)&gt;BQ$4,BQ$4&gt;=$C$1),'General Inputs'!S$11*$G71,0))</f>
        <v>0</v>
      </c>
      <c r="BR71" s="214">
        <f>IF(AND(($E71+$C$1)&gt;BR$4,BR$4&gt;=$C$1),'General Inputs'!T$11*$H71,IF(AND(($D71+$C$1)&gt;BR$4,BR$4&gt;=$C$1),'General Inputs'!T$11*$G71,0))</f>
        <v>0</v>
      </c>
      <c r="BS71" s="214">
        <f>IF(AND(($E71+$C$1)&gt;BS$4,BS$4&gt;=$C$1),'General Inputs'!U$11*$H71,IF(AND(($D71+$C$1)&gt;BS$4,BS$4&gt;=$C$1),'General Inputs'!U$11*$G71,0))</f>
        <v>0</v>
      </c>
      <c r="BT71" s="214">
        <f>IF(AND(($E71+$C$1)&gt;BT$4,BT$4&gt;=$C$1),'General Inputs'!V$11*$H71,IF(AND(($D71+$C$1)&gt;BT$4,BT$4&gt;=$C$1),'General Inputs'!V$11*$G71,0))</f>
        <v>0</v>
      </c>
      <c r="BU71" s="214">
        <f>IF(AND(($E71+$C$1)&gt;BU$4,BU$4&gt;=$C$1),'General Inputs'!W$11*$H71,IF(AND(($D71+$C$1)&gt;BU$4,BU$4&gt;=$C$1),'General Inputs'!W$11*$G71,0))</f>
        <v>0</v>
      </c>
      <c r="BW71" s="214">
        <f>IF(AND(($E71+$C$1)&gt;BW$4,BW$4&gt;=$C$1),$H71,IF(AND(($D71+$C$1)&gt;BW$4,BW$4&gt;=$C$1),$G71,0))*IF($A71="Residential",'General Inputs'!D$14,'General Inputs'!D$19)</f>
        <v>0</v>
      </c>
      <c r="BX71" s="214">
        <f>IF(AND(($E71+$C$1)&gt;BX$4,BX$4&gt;=$C$1),$H71,IF(AND(($D71+$C$1)&gt;BX$4,BX$4&gt;=$C$1),$G71,0))*IF($A71="Residential",'General Inputs'!E$14,'General Inputs'!E$19)</f>
        <v>0</v>
      </c>
      <c r="BY71" s="214">
        <f>IF(AND(($E71+$C$1)&gt;BY$4,BY$4&gt;=$C$1),$H71,IF(AND(($D71+$C$1)&gt;BY$4,BY$4&gt;=$C$1),$G71,0))*IF($A71="Residential",'General Inputs'!F$14,'General Inputs'!F$19)</f>
        <v>0</v>
      </c>
      <c r="BZ71" s="214">
        <f>IF(AND(($E71+$C$1)&gt;BZ$4,BZ$4&gt;=$C$1),$H71,IF(AND(($D71+$C$1)&gt;BZ$4,BZ$4&gt;=$C$1),$G71,0))*IF($A71="Residential",'General Inputs'!G$14,'General Inputs'!G$19)</f>
        <v>0</v>
      </c>
      <c r="CA71" s="214">
        <f>IF(AND(($E71+$C$1)&gt;CA$4,CA$4&gt;=$C$1),$H71,IF(AND(($D71+$C$1)&gt;CA$4,CA$4&gt;=$C$1),$G71,0))*IF($A71="Residential",'General Inputs'!H$14,'General Inputs'!H$19)</f>
        <v>0</v>
      </c>
      <c r="CB71" s="214">
        <f>IF(AND(($E71+$C$1)&gt;CB$4,CB$4&gt;=$C$1),$H71,IF(AND(($D71+$C$1)&gt;CB$4,CB$4&gt;=$C$1),$G71,0))*IF($A71="Residential",'General Inputs'!I$14,'General Inputs'!I$19)</f>
        <v>0</v>
      </c>
      <c r="CC71" s="214">
        <f>IF(AND(($E71+$C$1)&gt;CC$4,CC$4&gt;=$C$1),$H71,IF(AND(($D71+$C$1)&gt;CC$4,CC$4&gt;=$C$1),$G71,0))*IF($A71="Residential",'General Inputs'!J$14,'General Inputs'!J$19)</f>
        <v>0</v>
      </c>
      <c r="CD71" s="214">
        <f>IF(AND(($E71+$C$1)&gt;CD$4,CD$4&gt;=$C$1),$H71,IF(AND(($D71+$C$1)&gt;CD$4,CD$4&gt;=$C$1),$G71,0))*IF($A71="Residential",'General Inputs'!K$14,'General Inputs'!K$19)</f>
        <v>0</v>
      </c>
      <c r="CE71" s="214">
        <f>IF(AND(($E71+$C$1)&gt;CE$4,CE$4&gt;=$C$1),$H71,IF(AND(($D71+$C$1)&gt;CE$4,CE$4&gt;=$C$1),$G71,0))*IF($A71="Residential",'General Inputs'!L$14,'General Inputs'!L$19)</f>
        <v>0</v>
      </c>
      <c r="CF71" s="214">
        <f>IF(AND(($E71+$C$1)&gt;CF$4,CF$4&gt;=$C$1),$H71,IF(AND(($D71+$C$1)&gt;CF$4,CF$4&gt;=$C$1),$G71,0))*IF($A71="Residential",'General Inputs'!M$14,'General Inputs'!M$19)</f>
        <v>0</v>
      </c>
      <c r="CG71" s="214">
        <f>IF(AND(($E71+$C$1)&gt;CG$4,CG$4&gt;=$C$1),$H71,IF(AND(($D71+$C$1)&gt;CG$4,CG$4&gt;=$C$1),$G71,0))*IF($A71="Residential",'General Inputs'!N$14,'General Inputs'!N$19)</f>
        <v>0</v>
      </c>
      <c r="CH71" s="214">
        <f>IF(AND(($E71+$C$1)&gt;CH$4,CH$4&gt;=$C$1),$H71,IF(AND(($D71+$C$1)&gt;CH$4,CH$4&gt;=$C$1),$G71,0))*IF($A71="Residential",'General Inputs'!O$14,'General Inputs'!O$19)</f>
        <v>0</v>
      </c>
      <c r="CI71" s="214">
        <f>IF(AND(($E71+$C$1)&gt;CI$4,CI$4&gt;=$C$1),$H71,IF(AND(($D71+$C$1)&gt;CI$4,CI$4&gt;=$C$1),$G71,0))*IF($A71="Residential",'General Inputs'!P$14,'General Inputs'!P$19)</f>
        <v>0</v>
      </c>
      <c r="CJ71" s="214">
        <f>IF(AND(($E71+$C$1)&gt;CJ$4,CJ$4&gt;=$C$1),$H71,IF(AND(($D71+$C$1)&gt;CJ$4,CJ$4&gt;=$C$1),$G71,0))*IF($A71="Residential",'General Inputs'!Q$14,'General Inputs'!Q$19)</f>
        <v>0</v>
      </c>
      <c r="CK71" s="214">
        <f>IF(AND(($E71+$C$1)&gt;CK$4,CK$4&gt;=$C$1),$H71,IF(AND(($D71+$C$1)&gt;CK$4,CK$4&gt;=$C$1),$G71,0))*IF($A71="Residential",'General Inputs'!R$14,'General Inputs'!R$19)</f>
        <v>0</v>
      </c>
      <c r="CL71" s="214">
        <f>IF(AND(($E71+$C$1)&gt;CL$4,CL$4&gt;=$C$1),$H71,IF(AND(($D71+$C$1)&gt;CL$4,CL$4&gt;=$C$1),$G71,0))*IF($A71="Residential",'General Inputs'!S$14,'General Inputs'!S$19)</f>
        <v>0</v>
      </c>
      <c r="CM71" s="214">
        <f>IF(AND(($E71+$C$1)&gt;CM$4,CM$4&gt;=$C$1),$H71,IF(AND(($D71+$C$1)&gt;CM$4,CM$4&gt;=$C$1),$G71,0))*IF($A71="Residential",'General Inputs'!T$14,'General Inputs'!T$19)</f>
        <v>0</v>
      </c>
      <c r="CN71" s="214">
        <f>IF(AND(($E71+$C$1)&gt;CN$4,CN$4&gt;=$C$1),$H71,IF(AND(($D71+$C$1)&gt;CN$4,CN$4&gt;=$C$1),$G71,0))*IF($A71="Residential",'General Inputs'!U$14,'General Inputs'!U$19)</f>
        <v>0</v>
      </c>
      <c r="CO71" s="214">
        <f>IF(AND(($E71+$C$1)&gt;CO$4,CO$4&gt;=$C$1),$H71,IF(AND(($D71+$C$1)&gt;CO$4,CO$4&gt;=$C$1),$G71,0))*IF($A71="Residential",'General Inputs'!V$14,'General Inputs'!V$19)</f>
        <v>0</v>
      </c>
      <c r="CP71" s="214">
        <f>IF(AND(($E71+$C$1)&gt;CP$4,CP$4&gt;=$C$1),$H71,IF(AND(($D71+$C$1)&gt;CP$4,CP$4&gt;=$C$1),$G71,0))*IF($A71="Residential",'General Inputs'!W$14,'General Inputs'!W$19)</f>
        <v>0</v>
      </c>
      <c r="CR71" s="214">
        <f>IF(AND(($E71+$C$1)&gt;CR$4,CR$4&gt;=$C$1),$H71,IF(AND(($D71+$C$1)&gt;CR$4,CR$4&gt;=$C$1),$G71,0))*IF($A71="Residential",'General Inputs'!D$15,'General Inputs'!D$19)</f>
        <v>0</v>
      </c>
      <c r="CS71" s="214">
        <f>IF(AND(($E71+$C$1)&gt;CS$4,CS$4&gt;=$C$1),$H71,IF(AND(($D71+$C$1)&gt;CS$4,CS$4&gt;=$C$1),$G71,0))*IF($A71="Residential",'General Inputs'!E$15,'General Inputs'!E$19)</f>
        <v>0</v>
      </c>
      <c r="CT71" s="214">
        <f>IF(AND(($E71+$C$1)&gt;CT$4,CT$4&gt;=$C$1),$H71,IF(AND(($D71+$C$1)&gt;CT$4,CT$4&gt;=$C$1),$G71,0))*IF($A71="Residential",'General Inputs'!F$15,'General Inputs'!F$19)</f>
        <v>0</v>
      </c>
      <c r="CU71" s="214">
        <f>IF(AND(($E71+$C$1)&gt;CU$4,CU$4&gt;=$C$1),$H71,IF(AND(($D71+$C$1)&gt;CU$4,CU$4&gt;=$C$1),$G71,0))*IF($A71="Residential",'General Inputs'!G$15,'General Inputs'!G$19)</f>
        <v>0</v>
      </c>
      <c r="CV71" s="214">
        <f>IF(AND(($E71+$C$1)&gt;CV$4,CV$4&gt;=$C$1),$H71,IF(AND(($D71+$C$1)&gt;CV$4,CV$4&gt;=$C$1),$G71,0))*IF($A71="Residential",'General Inputs'!H$15,'General Inputs'!H$19)</f>
        <v>0</v>
      </c>
      <c r="CW71" s="214">
        <f>IF(AND(($E71+$C$1)&gt;CW$4,CW$4&gt;=$C$1),$H71,IF(AND(($D71+$C$1)&gt;CW$4,CW$4&gt;=$C$1),$G71,0))*IF($A71="Residential",'General Inputs'!I$15,'General Inputs'!I$19)</f>
        <v>0</v>
      </c>
      <c r="CX71" s="214">
        <f>IF(AND(($E71+$C$1)&gt;CX$4,CX$4&gt;=$C$1),$H71,IF(AND(($D71+$C$1)&gt;CX$4,CX$4&gt;=$C$1),$G71,0))*IF($A71="Residential",'General Inputs'!J$15,'General Inputs'!J$19)</f>
        <v>0</v>
      </c>
      <c r="CY71" s="214">
        <f>IF(AND(($E71+$C$1)&gt;CY$4,CY$4&gt;=$C$1),$H71,IF(AND(($D71+$C$1)&gt;CY$4,CY$4&gt;=$C$1),$G71,0))*IF($A71="Residential",'General Inputs'!K$15,'General Inputs'!K$19)</f>
        <v>0</v>
      </c>
      <c r="CZ71" s="214">
        <f>IF(AND(($E71+$C$1)&gt;CZ$4,CZ$4&gt;=$C$1),$H71,IF(AND(($D71+$C$1)&gt;CZ$4,CZ$4&gt;=$C$1),$G71,0))*IF($A71="Residential",'General Inputs'!L$15,'General Inputs'!L$19)</f>
        <v>0</v>
      </c>
      <c r="DA71" s="214">
        <f>IF(AND(($E71+$C$1)&gt;DA$4,DA$4&gt;=$C$1),$H71,IF(AND(($D71+$C$1)&gt;DA$4,DA$4&gt;=$C$1),$G71,0))*IF($A71="Residential",'General Inputs'!M$15,'General Inputs'!M$19)</f>
        <v>0</v>
      </c>
      <c r="DB71" s="214">
        <f>IF(AND(($E71+$C$1)&gt;DB$4,DB$4&gt;=$C$1),$H71,IF(AND(($D71+$C$1)&gt;DB$4,DB$4&gt;=$C$1),$G71,0))*IF($A71="Residential",'General Inputs'!N$15,'General Inputs'!N$19)</f>
        <v>0</v>
      </c>
      <c r="DC71" s="214">
        <f>IF(AND(($E71+$C$1)&gt;DC$4,DC$4&gt;=$C$1),$H71,IF(AND(($D71+$C$1)&gt;DC$4,DC$4&gt;=$C$1),$G71,0))*IF($A71="Residential",'General Inputs'!O$15,'General Inputs'!O$19)</f>
        <v>0</v>
      </c>
      <c r="DD71" s="214">
        <f>IF(AND(($E71+$C$1)&gt;DD$4,DD$4&gt;=$C$1),$H71,IF(AND(($D71+$C$1)&gt;DD$4,DD$4&gt;=$C$1),$G71,0))*IF($A71="Residential",'General Inputs'!P$15,'General Inputs'!P$19)</f>
        <v>0</v>
      </c>
      <c r="DE71" s="214">
        <f>IF(AND(($E71+$C$1)&gt;DE$4,DE$4&gt;=$C$1),$H71,IF(AND(($D71+$C$1)&gt;DE$4,DE$4&gt;=$C$1),$G71,0))*IF($A71="Residential",'General Inputs'!Q$15,'General Inputs'!Q$19)</f>
        <v>0</v>
      </c>
      <c r="DF71" s="214">
        <f>IF(AND(($E71+$C$1)&gt;DF$4,DF$4&gt;=$C$1),$H71,IF(AND(($D71+$C$1)&gt;DF$4,DF$4&gt;=$C$1),$G71,0))*IF($A71="Residential",'General Inputs'!R$15,'General Inputs'!R$19)</f>
        <v>0</v>
      </c>
      <c r="DG71" s="214">
        <f>IF(AND(($E71+$C$1)&gt;DG$4,DG$4&gt;=$C$1),$H71,IF(AND(($D71+$C$1)&gt;DG$4,DG$4&gt;=$C$1),$G71,0))*IF($A71="Residential",'General Inputs'!S$15,'General Inputs'!S$19)</f>
        <v>0</v>
      </c>
      <c r="DH71" s="214">
        <f>IF(AND(($E71+$C$1)&gt;DH$4,DH$4&gt;=$C$1),$H71,IF(AND(($D71+$C$1)&gt;DH$4,DH$4&gt;=$C$1),$G71,0))*IF($A71="Residential",'General Inputs'!T$15,'General Inputs'!T$19)</f>
        <v>0</v>
      </c>
      <c r="DI71" s="214">
        <f>IF(AND(($E71+$C$1)&gt;DI$4,DI$4&gt;=$C$1),$H71,IF(AND(($D71+$C$1)&gt;DI$4,DI$4&gt;=$C$1),$G71,0))*IF($A71="Residential",'General Inputs'!U$15,'General Inputs'!U$19)</f>
        <v>0</v>
      </c>
      <c r="DJ71" s="214">
        <f>IF(AND(($E71+$C$1)&gt;DJ$4,DJ$4&gt;=$C$1),$H71,IF(AND(($D71+$C$1)&gt;DJ$4,DJ$4&gt;=$C$1),$G71,0))*IF($A71="Residential",'General Inputs'!V$15,'General Inputs'!V$19)</f>
        <v>0</v>
      </c>
      <c r="DK71" s="214">
        <f>IF(AND(($E71+$C$1)&gt;DK$4,DK$4&gt;=$C$1),$H71,IF(AND(($D71+$C$1)&gt;DK$4,DK$4&gt;=$C$1),$G71,0))*IF($A71="Residential",'General Inputs'!W$15,'General Inputs'!W$19)</f>
        <v>0</v>
      </c>
      <c r="DM71" s="214">
        <f t="shared" si="456"/>
        <v>0</v>
      </c>
      <c r="DN71" s="214">
        <f t="shared" si="456"/>
        <v>0</v>
      </c>
      <c r="DO71" s="214">
        <f t="shared" si="456"/>
        <v>0</v>
      </c>
      <c r="DP71" s="214">
        <f t="shared" si="456"/>
        <v>0</v>
      </c>
      <c r="DQ71" s="214">
        <f t="shared" si="456"/>
        <v>0</v>
      </c>
      <c r="DR71" s="214">
        <f t="shared" si="456"/>
        <v>0</v>
      </c>
      <c r="DS71" s="214">
        <f t="shared" si="456"/>
        <v>0</v>
      </c>
      <c r="DT71" s="214">
        <f t="shared" si="456"/>
        <v>0</v>
      </c>
      <c r="DU71" s="214">
        <f t="shared" si="456"/>
        <v>0</v>
      </c>
      <c r="DV71" s="214">
        <f t="shared" si="456"/>
        <v>0</v>
      </c>
      <c r="DW71" s="214">
        <f t="shared" si="456"/>
        <v>0</v>
      </c>
      <c r="DZ71" s="650"/>
      <c r="FI71" s="195"/>
      <c r="FJ71" s="195"/>
      <c r="FK71" s="195"/>
      <c r="FL71" s="195"/>
      <c r="FM71" s="195"/>
      <c r="FN71" s="195"/>
      <c r="FO71" s="195"/>
    </row>
    <row r="72" spans="1:171">
      <c r="A72" s="342" t="s">
        <v>112</v>
      </c>
      <c r="B72" s="427" t="str">
        <f>'Portfolio Inputs'!A71</f>
        <v>Pulse Start Metal Halide (≥750 W)</v>
      </c>
      <c r="C72" s="217">
        <f>IF($C$1=2014,'Portfolio Inputs'!$C71,IF($C$1=2015,'Portfolio Inputs'!$D71,'Portfolio Inputs'!$E71))</f>
        <v>0</v>
      </c>
      <c r="D72" s="504">
        <f>VLOOKUP(B72,Sources!$B$4:$J$104,2,FALSE)</f>
        <v>18</v>
      </c>
      <c r="E72" s="504">
        <f>VLOOKUP(B72,Sources!$B$4:$J$104,3,FALSE)</f>
        <v>0</v>
      </c>
      <c r="G72" s="504">
        <f>IF($C$1=2014,'Portfolio Inputs'!$G71,IF($C$1=2015,'Portfolio Inputs'!$H71,'Portfolio Inputs'!$I71))*EnergyLineLoss</f>
        <v>0</v>
      </c>
      <c r="H72" s="504"/>
      <c r="I72" s="595">
        <f>IF($C$1=2014,'Portfolio Inputs'!$K71,IF($C$1=2015,'Portfolio Inputs'!$L71,'Portfolio Inputs'!$M71))*PeakLineLoss</f>
        <v>0</v>
      </c>
      <c r="J72" s="510"/>
      <c r="L72" s="606">
        <f>IF($C$1=2014,'Portfolio Inputs'!$O71,IF($C$1=2015,'Portfolio Inputs'!$P71,'Portfolio Inputs'!$Q71))</f>
        <v>381</v>
      </c>
      <c r="M72" s="518">
        <f>VLOOKUP($B72,Sources!$B$4:$K$104,10,FALSE)</f>
        <v>0</v>
      </c>
      <c r="N72" s="419">
        <f>IF($C$1=2014,'Portfolio Inputs'!$W71,IF($C$1=2015,'Portfolio Inputs'!$X71,'Portfolio Inputs'!$Y71))</f>
        <v>0</v>
      </c>
      <c r="O72" s="419">
        <f>IF($C$1=2014,'Portfolio Inputs'!$AA71,IF($C$1=2015,'Portfolio Inputs'!$AB71,'Portfolio Inputs'!$AC71))</f>
        <v>0</v>
      </c>
      <c r="Q72" s="438" t="str">
        <f t="shared" si="442"/>
        <v>n/a</v>
      </c>
      <c r="R72" s="439" t="str">
        <f t="shared" si="443"/>
        <v>n/a</v>
      </c>
      <c r="S72" s="439" t="str">
        <f t="shared" si="444"/>
        <v>n/a</v>
      </c>
      <c r="T72" s="439" t="str">
        <f t="shared" si="445"/>
        <v>n/a</v>
      </c>
      <c r="U72" s="439" t="str">
        <f t="shared" si="446"/>
        <v>n/a</v>
      </c>
      <c r="V72" s="439" t="str">
        <f t="shared" si="447"/>
        <v>n/a</v>
      </c>
      <c r="W72" s="439" t="str">
        <f t="shared" si="448"/>
        <v>n/a</v>
      </c>
      <c r="Y72" s="215">
        <f t="shared" si="449"/>
        <v>0</v>
      </c>
      <c r="Z72" s="215">
        <f t="shared" si="450"/>
        <v>0</v>
      </c>
      <c r="AA72" s="215">
        <f t="shared" si="451"/>
        <v>0</v>
      </c>
      <c r="AB72" s="215">
        <f t="shared" si="452"/>
        <v>0</v>
      </c>
      <c r="AC72" s="216">
        <f t="shared" si="453"/>
        <v>0</v>
      </c>
      <c r="AD72" s="216">
        <f t="shared" si="454"/>
        <v>0</v>
      </c>
      <c r="AE72" s="215">
        <f t="shared" si="455"/>
        <v>0</v>
      </c>
      <c r="AG72" s="214">
        <f>IF(AND(($E72+$C$1)&gt;AG$4,AG$4&gt;=$C$1),'General Inputs'!D$9*$H72,IF(AND(($D72+$C$1)&gt;AG$4,AG$4&gt;=$C$1),'General Inputs'!D$9*$G72,0))+IF(AND(($E72+$C$1)&gt;AG$4,AG$4&gt;=$C$1),'General Inputs'!D$10*$J72,IF(AND(($D72+$C$1)&gt;AG$4,AG$4&gt;=$C$1),'General Inputs'!D$10*$I72,0))</f>
        <v>0</v>
      </c>
      <c r="AH72" s="214">
        <f>IF(AND(($E72+$C$1)&gt;AH$4,AH$4&gt;=$C$1),'General Inputs'!E$9*$H72,IF(AND(($D72+$C$1)&gt;AH$4,AH$4&gt;=$C$1),'General Inputs'!E$9*$G72,0))+IF(AND(($E72+$C$1)&gt;AH$4,AH$4&gt;=$C$1),'General Inputs'!E$10*$J72,IF(AND(($D72+$C$1)&gt;AH$4,AH$4&gt;=$C$1),'General Inputs'!E$10*$I72,0))</f>
        <v>0</v>
      </c>
      <c r="AI72" s="214">
        <f>IF(AND(($E72+$C$1)&gt;AI$4,AI$4&gt;=$C$1),'General Inputs'!F$9*$H72,IF(AND(($D72+$C$1)&gt;AI$4,AI$4&gt;=$C$1),'General Inputs'!F$9*$G72,0))+IF(AND(($E72+$C$1)&gt;AI$4,AI$4&gt;=$C$1),'General Inputs'!F$10*$J72,IF(AND(($D72+$C$1)&gt;AI$4,AI$4&gt;=$C$1),'General Inputs'!F$10*$I72,0))</f>
        <v>0</v>
      </c>
      <c r="AJ72" s="214">
        <f>IF(AND(($E72+$C$1)&gt;AJ$4,AJ$4&gt;=$C$1),'General Inputs'!G$9*$H72,IF(AND(($D72+$C$1)&gt;AJ$4,AJ$4&gt;=$C$1),'General Inputs'!G$9*$G72,0))+IF(AND(($E72+$C$1)&gt;AJ$4,AJ$4&gt;=$C$1),'General Inputs'!G$10*$J72,IF(AND(($D72+$C$1)&gt;AJ$4,AJ$4&gt;=$C$1),'General Inputs'!G$10*$I72,0))</f>
        <v>0</v>
      </c>
      <c r="AK72" s="214">
        <f>IF(AND(($E72+$C$1)&gt;AK$4,AK$4&gt;=$C$1),'General Inputs'!H$9*$H72,IF(AND(($D72+$C$1)&gt;AK$4,AK$4&gt;=$C$1),'General Inputs'!H$9*$G72,0))+IF(AND(($E72+$C$1)&gt;AK$4,AK$4&gt;=$C$1),'General Inputs'!H$10*$J72,IF(AND(($D72+$C$1)&gt;AK$4,AK$4&gt;=$C$1),'General Inputs'!H$10*$I72,0))</f>
        <v>0</v>
      </c>
      <c r="AL72" s="214">
        <f>IF(AND(($E72+$C$1)&gt;AL$4,AL$4&gt;=$C$1),'General Inputs'!I$9*$H72,IF(AND(($D72+$C$1)&gt;AL$4,AL$4&gt;=$C$1),'General Inputs'!I$9*$G72,0))+IF(AND(($E72+$C$1)&gt;AL$4,AL$4&gt;=$C$1),'General Inputs'!I$10*$J72,IF(AND(($D72+$C$1)&gt;AL$4,AL$4&gt;=$C$1),'General Inputs'!I$10*$I72,0))</f>
        <v>0</v>
      </c>
      <c r="AM72" s="214">
        <f>IF(AND(($E72+$C$1)&gt;AM$4,AM$4&gt;=$C$1),'General Inputs'!J$9*$H72,IF(AND(($D72+$C$1)&gt;AM$4,AM$4&gt;=$C$1),'General Inputs'!J$9*$G72,0))+IF(AND(($E72+$C$1)&gt;AM$4,AM$4&gt;=$C$1),'General Inputs'!J$10*$J72,IF(AND(($D72+$C$1)&gt;AM$4,AM$4&gt;=$C$1),'General Inputs'!J$10*$I72,0))</f>
        <v>0</v>
      </c>
      <c r="AN72" s="214">
        <f>IF(AND(($E72+$C$1)&gt;AN$4,AN$4&gt;=$C$1),'General Inputs'!K$9*$H72,IF(AND(($D72+$C$1)&gt;AN$4,AN$4&gt;=$C$1),'General Inputs'!K$9*$G72,0))+IF(AND(($E72+$C$1)&gt;AN$4,AN$4&gt;=$C$1),'General Inputs'!K$10*$J72,IF(AND(($D72+$C$1)&gt;AN$4,AN$4&gt;=$C$1),'General Inputs'!K$10*$I72,0))</f>
        <v>0</v>
      </c>
      <c r="AO72" s="214">
        <f>IF(AND(($E72+$C$1)&gt;AO$4,AO$4&gt;=$C$1),'General Inputs'!L$9*$H72,IF(AND(($D72+$C$1)&gt;AO$4,AO$4&gt;=$C$1),'General Inputs'!L$9*$G72,0))+IF(AND(($E72+$C$1)&gt;AO$4,AO$4&gt;=$C$1),'General Inputs'!L$10*$J72,IF(AND(($D72+$C$1)&gt;AO$4,AO$4&gt;=$C$1),'General Inputs'!L$10*$I72,0))</f>
        <v>0</v>
      </c>
      <c r="AP72" s="214">
        <f>IF(AND(($E72+$C$1)&gt;AP$4,AP$4&gt;=$C$1),'General Inputs'!M$9*$H72,IF(AND(($D72+$C$1)&gt;AP$4,AP$4&gt;=$C$1),'General Inputs'!M$9*$G72,0))+IF(AND(($E72+$C$1)&gt;AP$4,AP$4&gt;=$C$1),'General Inputs'!M$10*$J72,IF(AND(($D72+$C$1)&gt;AP$4,AP$4&gt;=$C$1),'General Inputs'!M$10*$I72,0))</f>
        <v>0</v>
      </c>
      <c r="AQ72" s="214">
        <f>IF(AND(($E72+$C$1)&gt;AQ$4,AQ$4&gt;=$C$1),'General Inputs'!N$9*$H72,IF(AND(($D72+$C$1)&gt;AQ$4,AQ$4&gt;=$C$1),'General Inputs'!N$9*$G72,0))+IF(AND(($E72+$C$1)&gt;AQ$4,AQ$4&gt;=$C$1),'General Inputs'!N$10*$J72,IF(AND(($D72+$C$1)&gt;AQ$4,AQ$4&gt;=$C$1),'General Inputs'!N$10*$I72,0))</f>
        <v>0</v>
      </c>
      <c r="AR72" s="214">
        <f>IF(AND(($E72+$C$1)&gt;AR$4,AR$4&gt;=$C$1),'General Inputs'!O$9*$H72,IF(AND(($D72+$C$1)&gt;AR$4,AR$4&gt;=$C$1),'General Inputs'!O$9*$G72,0))+IF(AND(($E72+$C$1)&gt;AR$4,AR$4&gt;=$C$1),'General Inputs'!O$10*$J72,IF(AND(($D72+$C$1)&gt;AR$4,AR$4&gt;=$C$1),'General Inputs'!O$10*$I72,0))</f>
        <v>0</v>
      </c>
      <c r="AS72" s="214">
        <f>IF(AND(($E72+$C$1)&gt;AS$4,AS$4&gt;=$C$1),'General Inputs'!P$9*$H72,IF(AND(($D72+$C$1)&gt;AS$4,AS$4&gt;=$C$1),'General Inputs'!P$9*$G72,0))+IF(AND(($E72+$C$1)&gt;AS$4,AS$4&gt;=$C$1),'General Inputs'!P$10*$J72,IF(AND(($D72+$C$1)&gt;AS$4,AS$4&gt;=$C$1),'General Inputs'!P$10*$I72,0))</f>
        <v>0</v>
      </c>
      <c r="AT72" s="214">
        <f>IF(AND(($E72+$C$1)&gt;AT$4,AT$4&gt;=$C$1),'General Inputs'!Q$9*$H72,IF(AND(($D72+$C$1)&gt;AT$4,AT$4&gt;=$C$1),'General Inputs'!Q$9*$G72,0))+IF(AND(($E72+$C$1)&gt;AT$4,AT$4&gt;=$C$1),'General Inputs'!Q$10*$J72,IF(AND(($D72+$C$1)&gt;AT$4,AT$4&gt;=$C$1),'General Inputs'!Q$10*$I72,0))</f>
        <v>0</v>
      </c>
      <c r="AU72" s="214">
        <f>IF(AND(($E72+$C$1)&gt;AU$4,AU$4&gt;=$C$1),'General Inputs'!R$9*$H72,IF(AND(($D72+$C$1)&gt;AU$4,AU$4&gt;=$C$1),'General Inputs'!R$9*$G72,0))+IF(AND(($E72+$C$1)&gt;AU$4,AU$4&gt;=$C$1),'General Inputs'!R$10*$J72,IF(AND(($D72+$C$1)&gt;AU$4,AU$4&gt;=$C$1),'General Inputs'!R$10*$I72,0))</f>
        <v>0</v>
      </c>
      <c r="AV72" s="214">
        <f>IF(AND(($E72+$C$1)&gt;AV$4,AV$4&gt;=$C$1),'General Inputs'!S$9*$H72,IF(AND(($D72+$C$1)&gt;AV$4,AV$4&gt;=$C$1),'General Inputs'!S$9*$G72,0))+IF(AND(($E72+$C$1)&gt;AV$4,AV$4&gt;=$C$1),'General Inputs'!S$10*$J72,IF(AND(($D72+$C$1)&gt;AV$4,AV$4&gt;=$C$1),'General Inputs'!S$10*$I72,0))</f>
        <v>0</v>
      </c>
      <c r="AW72" s="214">
        <f>IF(AND(($E72+$C$1)&gt;AW$4,AW$4&gt;=$C$1),'General Inputs'!T$9*$H72,IF(AND(($D72+$C$1)&gt;AW$4,AW$4&gt;=$C$1),'General Inputs'!T$9*$G72,0))+IF(AND(($E72+$C$1)&gt;AW$4,AW$4&gt;=$C$1),'General Inputs'!T$10*$J72,IF(AND(($D72+$C$1)&gt;AW$4,AW$4&gt;=$C$1),'General Inputs'!T$10*$I72,0))</f>
        <v>0</v>
      </c>
      <c r="AX72" s="214">
        <f>IF(AND(($E72+$C$1)&gt;AX$4,AX$4&gt;=$C$1),'General Inputs'!U$9*$H72,IF(AND(($D72+$C$1)&gt;AX$4,AX$4&gt;=$C$1),'General Inputs'!U$9*$G72,0))+IF(AND(($E72+$C$1)&gt;AX$4,AX$4&gt;=$C$1),'General Inputs'!U$10*$J72,IF(AND(($D72+$C$1)&gt;AX$4,AX$4&gt;=$C$1),'General Inputs'!U$10*$I72,0))</f>
        <v>0</v>
      </c>
      <c r="AY72" s="214">
        <f>IF(AND(($E72+$C$1)&gt;AY$4,AY$4&gt;=$C$1),'General Inputs'!V$9*$H72,IF(AND(($D72+$C$1)&gt;AY$4,AY$4&gt;=$C$1),'General Inputs'!V$9*$G72,0))+IF(AND(($E72+$C$1)&gt;AY$4,AY$4&gt;=$C$1),'General Inputs'!V$10*$J72,IF(AND(($D72+$C$1)&gt;AY$4,AY$4&gt;=$C$1),'General Inputs'!V$10*$I72,0))</f>
        <v>0</v>
      </c>
      <c r="AZ72" s="214">
        <f>IF(AND(($E72+$C$1)&gt;AZ$4,AZ$4&gt;=$C$1),'General Inputs'!W$9*$H72,IF(AND(($D72+$C$1)&gt;AZ$4,AZ$4&gt;=$C$1),'General Inputs'!W$9*$G72,0))+IF(AND(($E72+$C$1)&gt;AZ$4,AZ$4&gt;=$C$1),'General Inputs'!W$10*$J72,IF(AND(($D72+$C$1)&gt;AZ$4,AZ$4&gt;=$C$1),'General Inputs'!W$10*$I72,0))</f>
        <v>0</v>
      </c>
      <c r="BB72" s="214">
        <f>IF(AND(($E72+$C$1)&gt;BB$4,BB$4&gt;=$C$1),'General Inputs'!D$11*$H72,IF(AND(($D72+$C$1)&gt;BB$4,BB$4&gt;=$C$1),'General Inputs'!D$11*$G72,0))</f>
        <v>0</v>
      </c>
      <c r="BC72" s="214">
        <f>IF(AND(($E72+$C$1)&gt;BC$4,BC$4&gt;=$C$1),'General Inputs'!E$11*$H72,IF(AND(($D72+$C$1)&gt;BC$4,BC$4&gt;=$C$1),'General Inputs'!E$11*$G72,0))</f>
        <v>0</v>
      </c>
      <c r="BD72" s="214">
        <f>IF(AND(($E72+$C$1)&gt;BD$4,BD$4&gt;=$C$1),'General Inputs'!F$11*$H72,IF(AND(($D72+$C$1)&gt;BD$4,BD$4&gt;=$C$1),'General Inputs'!F$11*$G72,0))</f>
        <v>0</v>
      </c>
      <c r="BE72" s="214">
        <f>IF(AND(($E72+$C$1)&gt;BE$4,BE$4&gt;=$C$1),'General Inputs'!G$11*$H72,IF(AND(($D72+$C$1)&gt;BE$4,BE$4&gt;=$C$1),'General Inputs'!G$11*$G72,0))</f>
        <v>0</v>
      </c>
      <c r="BF72" s="214">
        <f>IF(AND(($E72+$C$1)&gt;BF$4,BF$4&gt;=$C$1),'General Inputs'!H$11*$H72,IF(AND(($D72+$C$1)&gt;BF$4,BF$4&gt;=$C$1),'General Inputs'!H$11*$G72,0))</f>
        <v>0</v>
      </c>
      <c r="BG72" s="214">
        <f>IF(AND(($E72+$C$1)&gt;BG$4,BG$4&gt;=$C$1),'General Inputs'!I$11*$H72,IF(AND(($D72+$C$1)&gt;BG$4,BG$4&gt;=$C$1),'General Inputs'!I$11*$G72,0))</f>
        <v>0</v>
      </c>
      <c r="BH72" s="214">
        <f>IF(AND(($E72+$C$1)&gt;BH$4,BH$4&gt;=$C$1),'General Inputs'!J$11*$H72,IF(AND(($D72+$C$1)&gt;BH$4,BH$4&gt;=$C$1),'General Inputs'!J$11*$G72,0))</f>
        <v>0</v>
      </c>
      <c r="BI72" s="214">
        <f>IF(AND(($E72+$C$1)&gt;BI$4,BI$4&gt;=$C$1),'General Inputs'!K$11*$H72,IF(AND(($D72+$C$1)&gt;BI$4,BI$4&gt;=$C$1),'General Inputs'!K$11*$G72,0))</f>
        <v>0</v>
      </c>
      <c r="BJ72" s="214">
        <f>IF(AND(($E72+$C$1)&gt;BJ$4,BJ$4&gt;=$C$1),'General Inputs'!L$11*$H72,IF(AND(($D72+$C$1)&gt;BJ$4,BJ$4&gt;=$C$1),'General Inputs'!L$11*$G72,0))</f>
        <v>0</v>
      </c>
      <c r="BK72" s="214">
        <f>IF(AND(($E72+$C$1)&gt;BK$4,BK$4&gt;=$C$1),'General Inputs'!M$11*$H72,IF(AND(($D72+$C$1)&gt;BK$4,BK$4&gt;=$C$1),'General Inputs'!M$11*$G72,0))</f>
        <v>0</v>
      </c>
      <c r="BL72" s="214">
        <f>IF(AND(($E72+$C$1)&gt;BL$4,BL$4&gt;=$C$1),'General Inputs'!N$11*$H72,IF(AND(($D72+$C$1)&gt;BL$4,BL$4&gt;=$C$1),'General Inputs'!N$11*$G72,0))</f>
        <v>0</v>
      </c>
      <c r="BM72" s="214">
        <f>IF(AND(($E72+$C$1)&gt;BM$4,BM$4&gt;=$C$1),'General Inputs'!O$11*$H72,IF(AND(($D72+$C$1)&gt;BM$4,BM$4&gt;=$C$1),'General Inputs'!O$11*$G72,0))</f>
        <v>0</v>
      </c>
      <c r="BN72" s="214">
        <f>IF(AND(($E72+$C$1)&gt;BN$4,BN$4&gt;=$C$1),'General Inputs'!P$11*$H72,IF(AND(($D72+$C$1)&gt;BN$4,BN$4&gt;=$C$1),'General Inputs'!P$11*$G72,0))</f>
        <v>0</v>
      </c>
      <c r="BO72" s="214">
        <f>IF(AND(($E72+$C$1)&gt;BO$4,BO$4&gt;=$C$1),'General Inputs'!Q$11*$H72,IF(AND(($D72+$C$1)&gt;BO$4,BO$4&gt;=$C$1),'General Inputs'!Q$11*$G72,0))</f>
        <v>0</v>
      </c>
      <c r="BP72" s="214">
        <f>IF(AND(($E72+$C$1)&gt;BP$4,BP$4&gt;=$C$1),'General Inputs'!R$11*$H72,IF(AND(($D72+$C$1)&gt;BP$4,BP$4&gt;=$C$1),'General Inputs'!R$11*$G72,0))</f>
        <v>0</v>
      </c>
      <c r="BQ72" s="214">
        <f>IF(AND(($E72+$C$1)&gt;BQ$4,BQ$4&gt;=$C$1),'General Inputs'!S$11*$H72,IF(AND(($D72+$C$1)&gt;BQ$4,BQ$4&gt;=$C$1),'General Inputs'!S$11*$G72,0))</f>
        <v>0</v>
      </c>
      <c r="BR72" s="214">
        <f>IF(AND(($E72+$C$1)&gt;BR$4,BR$4&gt;=$C$1),'General Inputs'!T$11*$H72,IF(AND(($D72+$C$1)&gt;BR$4,BR$4&gt;=$C$1),'General Inputs'!T$11*$G72,0))</f>
        <v>0</v>
      </c>
      <c r="BS72" s="214">
        <f>IF(AND(($E72+$C$1)&gt;BS$4,BS$4&gt;=$C$1),'General Inputs'!U$11*$H72,IF(AND(($D72+$C$1)&gt;BS$4,BS$4&gt;=$C$1),'General Inputs'!U$11*$G72,0))</f>
        <v>0</v>
      </c>
      <c r="BT72" s="214">
        <f>IF(AND(($E72+$C$1)&gt;BT$4,BT$4&gt;=$C$1),'General Inputs'!V$11*$H72,IF(AND(($D72+$C$1)&gt;BT$4,BT$4&gt;=$C$1),'General Inputs'!V$11*$G72,0))</f>
        <v>0</v>
      </c>
      <c r="BU72" s="214">
        <f>IF(AND(($E72+$C$1)&gt;BU$4,BU$4&gt;=$C$1),'General Inputs'!W$11*$H72,IF(AND(($D72+$C$1)&gt;BU$4,BU$4&gt;=$C$1),'General Inputs'!W$11*$G72,0))</f>
        <v>0</v>
      </c>
      <c r="BW72" s="214">
        <f>IF(AND(($E72+$C$1)&gt;BW$4,BW$4&gt;=$C$1),$H72,IF(AND(($D72+$C$1)&gt;BW$4,BW$4&gt;=$C$1),$G72,0))*IF($A72="Residential",'General Inputs'!D$14,'General Inputs'!D$19)</f>
        <v>0</v>
      </c>
      <c r="BX72" s="214">
        <f>IF(AND(($E72+$C$1)&gt;BX$4,BX$4&gt;=$C$1),$H72,IF(AND(($D72+$C$1)&gt;BX$4,BX$4&gt;=$C$1),$G72,0))*IF($A72="Residential",'General Inputs'!E$14,'General Inputs'!E$19)</f>
        <v>0</v>
      </c>
      <c r="BY72" s="214">
        <f>IF(AND(($E72+$C$1)&gt;BY$4,BY$4&gt;=$C$1),$H72,IF(AND(($D72+$C$1)&gt;BY$4,BY$4&gt;=$C$1),$G72,0))*IF($A72="Residential",'General Inputs'!F$14,'General Inputs'!F$19)</f>
        <v>0</v>
      </c>
      <c r="BZ72" s="214">
        <f>IF(AND(($E72+$C$1)&gt;BZ$4,BZ$4&gt;=$C$1),$H72,IF(AND(($D72+$C$1)&gt;BZ$4,BZ$4&gt;=$C$1),$G72,0))*IF($A72="Residential",'General Inputs'!G$14,'General Inputs'!G$19)</f>
        <v>0</v>
      </c>
      <c r="CA72" s="214">
        <f>IF(AND(($E72+$C$1)&gt;CA$4,CA$4&gt;=$C$1),$H72,IF(AND(($D72+$C$1)&gt;CA$4,CA$4&gt;=$C$1),$G72,0))*IF($A72="Residential",'General Inputs'!H$14,'General Inputs'!H$19)</f>
        <v>0</v>
      </c>
      <c r="CB72" s="214">
        <f>IF(AND(($E72+$C$1)&gt;CB$4,CB$4&gt;=$C$1),$H72,IF(AND(($D72+$C$1)&gt;CB$4,CB$4&gt;=$C$1),$G72,0))*IF($A72="Residential",'General Inputs'!I$14,'General Inputs'!I$19)</f>
        <v>0</v>
      </c>
      <c r="CC72" s="214">
        <f>IF(AND(($E72+$C$1)&gt;CC$4,CC$4&gt;=$C$1),$H72,IF(AND(($D72+$C$1)&gt;CC$4,CC$4&gt;=$C$1),$G72,0))*IF($A72="Residential",'General Inputs'!J$14,'General Inputs'!J$19)</f>
        <v>0</v>
      </c>
      <c r="CD72" s="214">
        <f>IF(AND(($E72+$C$1)&gt;CD$4,CD$4&gt;=$C$1),$H72,IF(AND(($D72+$C$1)&gt;CD$4,CD$4&gt;=$C$1),$G72,0))*IF($A72="Residential",'General Inputs'!K$14,'General Inputs'!K$19)</f>
        <v>0</v>
      </c>
      <c r="CE72" s="214">
        <f>IF(AND(($E72+$C$1)&gt;CE$4,CE$4&gt;=$C$1),$H72,IF(AND(($D72+$C$1)&gt;CE$4,CE$4&gt;=$C$1),$G72,0))*IF($A72="Residential",'General Inputs'!L$14,'General Inputs'!L$19)</f>
        <v>0</v>
      </c>
      <c r="CF72" s="214">
        <f>IF(AND(($E72+$C$1)&gt;CF$4,CF$4&gt;=$C$1),$H72,IF(AND(($D72+$C$1)&gt;CF$4,CF$4&gt;=$C$1),$G72,0))*IF($A72="Residential",'General Inputs'!M$14,'General Inputs'!M$19)</f>
        <v>0</v>
      </c>
      <c r="CG72" s="214">
        <f>IF(AND(($E72+$C$1)&gt;CG$4,CG$4&gt;=$C$1),$H72,IF(AND(($D72+$C$1)&gt;CG$4,CG$4&gt;=$C$1),$G72,0))*IF($A72="Residential",'General Inputs'!N$14,'General Inputs'!N$19)</f>
        <v>0</v>
      </c>
      <c r="CH72" s="214">
        <f>IF(AND(($E72+$C$1)&gt;CH$4,CH$4&gt;=$C$1),$H72,IF(AND(($D72+$C$1)&gt;CH$4,CH$4&gt;=$C$1),$G72,0))*IF($A72="Residential",'General Inputs'!O$14,'General Inputs'!O$19)</f>
        <v>0</v>
      </c>
      <c r="CI72" s="214">
        <f>IF(AND(($E72+$C$1)&gt;CI$4,CI$4&gt;=$C$1),$H72,IF(AND(($D72+$C$1)&gt;CI$4,CI$4&gt;=$C$1),$G72,0))*IF($A72="Residential",'General Inputs'!P$14,'General Inputs'!P$19)</f>
        <v>0</v>
      </c>
      <c r="CJ72" s="214">
        <f>IF(AND(($E72+$C$1)&gt;CJ$4,CJ$4&gt;=$C$1),$H72,IF(AND(($D72+$C$1)&gt;CJ$4,CJ$4&gt;=$C$1),$G72,0))*IF($A72="Residential",'General Inputs'!Q$14,'General Inputs'!Q$19)</f>
        <v>0</v>
      </c>
      <c r="CK72" s="214">
        <f>IF(AND(($E72+$C$1)&gt;CK$4,CK$4&gt;=$C$1),$H72,IF(AND(($D72+$C$1)&gt;CK$4,CK$4&gt;=$C$1),$G72,0))*IF($A72="Residential",'General Inputs'!R$14,'General Inputs'!R$19)</f>
        <v>0</v>
      </c>
      <c r="CL72" s="214">
        <f>IF(AND(($E72+$C$1)&gt;CL$4,CL$4&gt;=$C$1),$H72,IF(AND(($D72+$C$1)&gt;CL$4,CL$4&gt;=$C$1),$G72,0))*IF($A72="Residential",'General Inputs'!S$14,'General Inputs'!S$19)</f>
        <v>0</v>
      </c>
      <c r="CM72" s="214">
        <f>IF(AND(($E72+$C$1)&gt;CM$4,CM$4&gt;=$C$1),$H72,IF(AND(($D72+$C$1)&gt;CM$4,CM$4&gt;=$C$1),$G72,0))*IF($A72="Residential",'General Inputs'!T$14,'General Inputs'!T$19)</f>
        <v>0</v>
      </c>
      <c r="CN72" s="214">
        <f>IF(AND(($E72+$C$1)&gt;CN$4,CN$4&gt;=$C$1),$H72,IF(AND(($D72+$C$1)&gt;CN$4,CN$4&gt;=$C$1),$G72,0))*IF($A72="Residential",'General Inputs'!U$14,'General Inputs'!U$19)</f>
        <v>0</v>
      </c>
      <c r="CO72" s="214">
        <f>IF(AND(($E72+$C$1)&gt;CO$4,CO$4&gt;=$C$1),$H72,IF(AND(($D72+$C$1)&gt;CO$4,CO$4&gt;=$C$1),$G72,0))*IF($A72="Residential",'General Inputs'!V$14,'General Inputs'!V$19)</f>
        <v>0</v>
      </c>
      <c r="CP72" s="214">
        <f>IF(AND(($E72+$C$1)&gt;CP$4,CP$4&gt;=$C$1),$H72,IF(AND(($D72+$C$1)&gt;CP$4,CP$4&gt;=$C$1),$G72,0))*IF($A72="Residential",'General Inputs'!W$14,'General Inputs'!W$19)</f>
        <v>0</v>
      </c>
      <c r="CR72" s="214">
        <f>IF(AND(($E72+$C$1)&gt;CR$4,CR$4&gt;=$C$1),$H72,IF(AND(($D72+$C$1)&gt;CR$4,CR$4&gt;=$C$1),$G72,0))*IF($A72="Residential",'General Inputs'!D$15,'General Inputs'!D$19)</f>
        <v>0</v>
      </c>
      <c r="CS72" s="214">
        <f>IF(AND(($E72+$C$1)&gt;CS$4,CS$4&gt;=$C$1),$H72,IF(AND(($D72+$C$1)&gt;CS$4,CS$4&gt;=$C$1),$G72,0))*IF($A72="Residential",'General Inputs'!E$15,'General Inputs'!E$19)</f>
        <v>0</v>
      </c>
      <c r="CT72" s="214">
        <f>IF(AND(($E72+$C$1)&gt;CT$4,CT$4&gt;=$C$1),$H72,IF(AND(($D72+$C$1)&gt;CT$4,CT$4&gt;=$C$1),$G72,0))*IF($A72="Residential",'General Inputs'!F$15,'General Inputs'!F$19)</f>
        <v>0</v>
      </c>
      <c r="CU72" s="214">
        <f>IF(AND(($E72+$C$1)&gt;CU$4,CU$4&gt;=$C$1),$H72,IF(AND(($D72+$C$1)&gt;CU$4,CU$4&gt;=$C$1),$G72,0))*IF($A72="Residential",'General Inputs'!G$15,'General Inputs'!G$19)</f>
        <v>0</v>
      </c>
      <c r="CV72" s="214">
        <f>IF(AND(($E72+$C$1)&gt;CV$4,CV$4&gt;=$C$1),$H72,IF(AND(($D72+$C$1)&gt;CV$4,CV$4&gt;=$C$1),$G72,0))*IF($A72="Residential",'General Inputs'!H$15,'General Inputs'!H$19)</f>
        <v>0</v>
      </c>
      <c r="CW72" s="214">
        <f>IF(AND(($E72+$C$1)&gt;CW$4,CW$4&gt;=$C$1),$H72,IF(AND(($D72+$C$1)&gt;CW$4,CW$4&gt;=$C$1),$G72,0))*IF($A72="Residential",'General Inputs'!I$15,'General Inputs'!I$19)</f>
        <v>0</v>
      </c>
      <c r="CX72" s="214">
        <f>IF(AND(($E72+$C$1)&gt;CX$4,CX$4&gt;=$C$1),$H72,IF(AND(($D72+$C$1)&gt;CX$4,CX$4&gt;=$C$1),$G72,0))*IF($A72="Residential",'General Inputs'!J$15,'General Inputs'!J$19)</f>
        <v>0</v>
      </c>
      <c r="CY72" s="214">
        <f>IF(AND(($E72+$C$1)&gt;CY$4,CY$4&gt;=$C$1),$H72,IF(AND(($D72+$C$1)&gt;CY$4,CY$4&gt;=$C$1),$G72,0))*IF($A72="Residential",'General Inputs'!K$15,'General Inputs'!K$19)</f>
        <v>0</v>
      </c>
      <c r="CZ72" s="214">
        <f>IF(AND(($E72+$C$1)&gt;CZ$4,CZ$4&gt;=$C$1),$H72,IF(AND(($D72+$C$1)&gt;CZ$4,CZ$4&gt;=$C$1),$G72,0))*IF($A72="Residential",'General Inputs'!L$15,'General Inputs'!L$19)</f>
        <v>0</v>
      </c>
      <c r="DA72" s="214">
        <f>IF(AND(($E72+$C$1)&gt;DA$4,DA$4&gt;=$C$1),$H72,IF(AND(($D72+$C$1)&gt;DA$4,DA$4&gt;=$C$1),$G72,0))*IF($A72="Residential",'General Inputs'!M$15,'General Inputs'!M$19)</f>
        <v>0</v>
      </c>
      <c r="DB72" s="214">
        <f>IF(AND(($E72+$C$1)&gt;DB$4,DB$4&gt;=$C$1),$H72,IF(AND(($D72+$C$1)&gt;DB$4,DB$4&gt;=$C$1),$G72,0))*IF($A72="Residential",'General Inputs'!N$15,'General Inputs'!N$19)</f>
        <v>0</v>
      </c>
      <c r="DC72" s="214">
        <f>IF(AND(($E72+$C$1)&gt;DC$4,DC$4&gt;=$C$1),$H72,IF(AND(($D72+$C$1)&gt;DC$4,DC$4&gt;=$C$1),$G72,0))*IF($A72="Residential",'General Inputs'!O$15,'General Inputs'!O$19)</f>
        <v>0</v>
      </c>
      <c r="DD72" s="214">
        <f>IF(AND(($E72+$C$1)&gt;DD$4,DD$4&gt;=$C$1),$H72,IF(AND(($D72+$C$1)&gt;DD$4,DD$4&gt;=$C$1),$G72,0))*IF($A72="Residential",'General Inputs'!P$15,'General Inputs'!P$19)</f>
        <v>0</v>
      </c>
      <c r="DE72" s="214">
        <f>IF(AND(($E72+$C$1)&gt;DE$4,DE$4&gt;=$C$1),$H72,IF(AND(($D72+$C$1)&gt;DE$4,DE$4&gt;=$C$1),$G72,0))*IF($A72="Residential",'General Inputs'!Q$15,'General Inputs'!Q$19)</f>
        <v>0</v>
      </c>
      <c r="DF72" s="214">
        <f>IF(AND(($E72+$C$1)&gt;DF$4,DF$4&gt;=$C$1),$H72,IF(AND(($D72+$C$1)&gt;DF$4,DF$4&gt;=$C$1),$G72,0))*IF($A72="Residential",'General Inputs'!R$15,'General Inputs'!R$19)</f>
        <v>0</v>
      </c>
      <c r="DG72" s="214">
        <f>IF(AND(($E72+$C$1)&gt;DG$4,DG$4&gt;=$C$1),$H72,IF(AND(($D72+$C$1)&gt;DG$4,DG$4&gt;=$C$1),$G72,0))*IF($A72="Residential",'General Inputs'!S$15,'General Inputs'!S$19)</f>
        <v>0</v>
      </c>
      <c r="DH72" s="214">
        <f>IF(AND(($E72+$C$1)&gt;DH$4,DH$4&gt;=$C$1),$H72,IF(AND(($D72+$C$1)&gt;DH$4,DH$4&gt;=$C$1),$G72,0))*IF($A72="Residential",'General Inputs'!T$15,'General Inputs'!T$19)</f>
        <v>0</v>
      </c>
      <c r="DI72" s="214">
        <f>IF(AND(($E72+$C$1)&gt;DI$4,DI$4&gt;=$C$1),$H72,IF(AND(($D72+$C$1)&gt;DI$4,DI$4&gt;=$C$1),$G72,0))*IF($A72="Residential",'General Inputs'!U$15,'General Inputs'!U$19)</f>
        <v>0</v>
      </c>
      <c r="DJ72" s="214">
        <f>IF(AND(($E72+$C$1)&gt;DJ$4,DJ$4&gt;=$C$1),$H72,IF(AND(($D72+$C$1)&gt;DJ$4,DJ$4&gt;=$C$1),$G72,0))*IF($A72="Residential",'General Inputs'!V$15,'General Inputs'!V$19)</f>
        <v>0</v>
      </c>
      <c r="DK72" s="214">
        <f>IF(AND(($E72+$C$1)&gt;DK$4,DK$4&gt;=$C$1),$H72,IF(AND(($D72+$C$1)&gt;DK$4,DK$4&gt;=$C$1),$G72,0))*IF($A72="Residential",'General Inputs'!W$15,'General Inputs'!W$19)</f>
        <v>0</v>
      </c>
      <c r="DM72" s="214">
        <f t="shared" si="456"/>
        <v>0</v>
      </c>
      <c r="DN72" s="214">
        <f t="shared" si="456"/>
        <v>0</v>
      </c>
      <c r="DO72" s="214">
        <f t="shared" si="456"/>
        <v>0</v>
      </c>
      <c r="DP72" s="214">
        <f t="shared" si="456"/>
        <v>0</v>
      </c>
      <c r="DQ72" s="214">
        <f t="shared" si="456"/>
        <v>0</v>
      </c>
      <c r="DR72" s="214">
        <f t="shared" si="456"/>
        <v>0</v>
      </c>
      <c r="DS72" s="214">
        <f t="shared" si="456"/>
        <v>0</v>
      </c>
      <c r="DT72" s="214">
        <f t="shared" si="456"/>
        <v>0</v>
      </c>
      <c r="DU72" s="214">
        <f t="shared" si="456"/>
        <v>0</v>
      </c>
      <c r="DV72" s="214">
        <f t="shared" si="456"/>
        <v>0</v>
      </c>
      <c r="DW72" s="214">
        <f t="shared" si="456"/>
        <v>0</v>
      </c>
      <c r="DZ72" s="650"/>
      <c r="FI72" s="195"/>
      <c r="FJ72" s="195"/>
      <c r="FK72" s="195"/>
      <c r="FL72" s="195"/>
      <c r="FM72" s="195"/>
      <c r="FN72" s="195"/>
      <c r="FO72" s="195"/>
    </row>
    <row r="73" spans="1:171">
      <c r="A73" s="342" t="s">
        <v>112</v>
      </c>
      <c r="B73" s="427" t="str">
        <f>'Portfolio Inputs'!A72</f>
        <v>Ceiling Mount Occupancy</v>
      </c>
      <c r="C73" s="217">
        <f>IF($C$1=2014,'Portfolio Inputs'!$C72,IF($C$1=2015,'Portfolio Inputs'!$D72,'Portfolio Inputs'!$E72))</f>
        <v>9</v>
      </c>
      <c r="D73" s="504">
        <f>VLOOKUP(B73,Sources!$B$4:$J$104,2,FALSE)</f>
        <v>8</v>
      </c>
      <c r="E73" s="504">
        <f>VLOOKUP(B73,Sources!$B$4:$J$104,3,FALSE)</f>
        <v>0</v>
      </c>
      <c r="G73" s="504">
        <f>IF($C$1=2014,'Portfolio Inputs'!$G72,IF($C$1=2015,'Portfolio Inputs'!$H72,'Portfolio Inputs'!$I72))*EnergyLineLoss</f>
        <v>3151.8992699999994</v>
      </c>
      <c r="H73" s="504"/>
      <c r="I73" s="595">
        <f>IF($C$1=2014,'Portfolio Inputs'!$K72,IF($C$1=2015,'Portfolio Inputs'!$L72,'Portfolio Inputs'!$M72))*PeakLineLoss</f>
        <v>0.1006574283</v>
      </c>
      <c r="J73" s="510"/>
      <c r="L73" s="606">
        <f>IF($C$1=2014,'Portfolio Inputs'!$O72,IF($C$1=2015,'Portfolio Inputs'!$P72,'Portfolio Inputs'!$Q72))</f>
        <v>125</v>
      </c>
      <c r="M73" s="518">
        <f>VLOOKUP($B73,Sources!$B$4:$K$104,10,FALSE)</f>
        <v>0</v>
      </c>
      <c r="N73" s="419">
        <f>IF($C$1=2014,'Portfolio Inputs'!$W72,IF($C$1=2015,'Portfolio Inputs'!$X72,'Portfolio Inputs'!$Y72))</f>
        <v>270</v>
      </c>
      <c r="O73" s="419">
        <f>IF($C$1=2014,'Portfolio Inputs'!$AA72,IF($C$1=2015,'Portfolio Inputs'!$AB72,'Portfolio Inputs'!$AC72))</f>
        <v>0</v>
      </c>
      <c r="Q73" s="438">
        <f t="shared" si="442"/>
        <v>0.71635166401148731</v>
      </c>
      <c r="R73" s="439">
        <f t="shared" si="443"/>
        <v>2.9847986000478639</v>
      </c>
      <c r="S73" s="439">
        <f t="shared" si="444"/>
        <v>0.90990627768287469</v>
      </c>
      <c r="T73" s="439">
        <f t="shared" si="445"/>
        <v>2.0973870290861485</v>
      </c>
      <c r="U73" s="439">
        <f t="shared" si="446"/>
        <v>2.0973870290861485</v>
      </c>
      <c r="V73" s="439">
        <f t="shared" si="447"/>
        <v>0.34154481460849345</v>
      </c>
      <c r="W73" s="439">
        <f t="shared" si="448"/>
        <v>0.34154481460849345</v>
      </c>
      <c r="Y73" s="215">
        <f t="shared" si="449"/>
        <v>805.89562201292324</v>
      </c>
      <c r="Z73" s="215">
        <f t="shared" si="450"/>
        <v>217.7489403803109</v>
      </c>
      <c r="AA73" s="215">
        <f t="shared" si="451"/>
        <v>2089.5604077219168</v>
      </c>
      <c r="AB73" s="215">
        <f t="shared" si="452"/>
        <v>2089.5604077219168</v>
      </c>
      <c r="AC73" s="216">
        <f t="shared" si="453"/>
        <v>0</v>
      </c>
      <c r="AD73" s="216">
        <f t="shared" si="454"/>
        <v>270</v>
      </c>
      <c r="AE73" s="215">
        <f t="shared" si="455"/>
        <v>1125</v>
      </c>
      <c r="AG73" s="214">
        <f>IF(AND(($E73+$C$1)&gt;AG$4,AG$4&gt;=$C$1),'General Inputs'!D$9*$H73,IF(AND(($D73+$C$1)&gt;AG$4,AG$4&gt;=$C$1),'General Inputs'!D$9*$G73,0))+IF(AND(($E73+$C$1)&gt;AG$4,AG$4&gt;=$C$1),'General Inputs'!D$10*$J73,IF(AND(($D73+$C$1)&gt;AG$4,AG$4&gt;=$C$1),'General Inputs'!D$10*$I73,0))</f>
        <v>126.99151092528363</v>
      </c>
      <c r="AH73" s="214">
        <f>IF(AND(($E73+$C$1)&gt;AH$4,AH$4&gt;=$C$1),'General Inputs'!E$9*$H73,IF(AND(($D73+$C$1)&gt;AH$4,AH$4&gt;=$C$1),'General Inputs'!E$9*$G73,0))+IF(AND(($E73+$C$1)&gt;AH$4,AH$4&gt;=$C$1),'General Inputs'!E$10*$J73,IF(AND(($D73+$C$1)&gt;AH$4,AH$4&gt;=$C$1),'General Inputs'!E$10*$I73,0))</f>
        <v>128.89638358916287</v>
      </c>
      <c r="AI73" s="214">
        <f>IF(AND(($E73+$C$1)&gt;AI$4,AI$4&gt;=$C$1),'General Inputs'!F$9*$H73,IF(AND(($D73+$C$1)&gt;AI$4,AI$4&gt;=$C$1),'General Inputs'!F$9*$G73,0))+IF(AND(($E73+$C$1)&gt;AI$4,AI$4&gt;=$C$1),'General Inputs'!F$10*$J73,IF(AND(($D73+$C$1)&gt;AI$4,AI$4&gt;=$C$1),'General Inputs'!F$10*$I73,0))</f>
        <v>130.82982934300031</v>
      </c>
      <c r="AJ73" s="214">
        <f>IF(AND(($E73+$C$1)&gt;AJ$4,AJ$4&gt;=$C$1),'General Inputs'!G$9*$H73,IF(AND(($D73+$C$1)&gt;AJ$4,AJ$4&gt;=$C$1),'General Inputs'!G$9*$G73,0))+IF(AND(($E73+$C$1)&gt;AJ$4,AJ$4&gt;=$C$1),'General Inputs'!G$10*$J73,IF(AND(($D73+$C$1)&gt;AJ$4,AJ$4&gt;=$C$1),'General Inputs'!G$10*$I73,0))</f>
        <v>132.7922767831453</v>
      </c>
      <c r="AK73" s="214">
        <f>IF(AND(($E73+$C$1)&gt;AK$4,AK$4&gt;=$C$1),'General Inputs'!H$9*$H73,IF(AND(($D73+$C$1)&gt;AK$4,AK$4&gt;=$C$1),'General Inputs'!H$9*$G73,0))+IF(AND(($E73+$C$1)&gt;AK$4,AK$4&gt;=$C$1),'General Inputs'!H$10*$J73,IF(AND(($D73+$C$1)&gt;AK$4,AK$4&gt;=$C$1),'General Inputs'!H$10*$I73,0))</f>
        <v>134.78416093489247</v>
      </c>
      <c r="AL73" s="214">
        <f>IF(AND(($E73+$C$1)&gt;AL$4,AL$4&gt;=$C$1),'General Inputs'!I$9*$H73,IF(AND(($D73+$C$1)&gt;AL$4,AL$4&gt;=$C$1),'General Inputs'!I$9*$G73,0))+IF(AND(($E73+$C$1)&gt;AL$4,AL$4&gt;=$C$1),'General Inputs'!I$10*$J73,IF(AND(($D73+$C$1)&gt;AL$4,AL$4&gt;=$C$1),'General Inputs'!I$10*$I73,0))</f>
        <v>136.80592334891585</v>
      </c>
      <c r="AM73" s="214">
        <f>IF(AND(($E73+$C$1)&gt;AM$4,AM$4&gt;=$C$1),'General Inputs'!J$9*$H73,IF(AND(($D73+$C$1)&gt;AM$4,AM$4&gt;=$C$1),'General Inputs'!J$9*$G73,0))+IF(AND(($E73+$C$1)&gt;AM$4,AM$4&gt;=$C$1),'General Inputs'!J$10*$J73,IF(AND(($D73+$C$1)&gt;AM$4,AM$4&gt;=$C$1),'General Inputs'!J$10*$I73,0))</f>
        <v>138.85801219914956</v>
      </c>
      <c r="AN73" s="214">
        <f>IF(AND(($E73+$C$1)&gt;AN$4,AN$4&gt;=$C$1),'General Inputs'!K$9*$H73,IF(AND(($D73+$C$1)&gt;AN$4,AN$4&gt;=$C$1),'General Inputs'!K$9*$G73,0))+IF(AND(($E73+$C$1)&gt;AN$4,AN$4&gt;=$C$1),'General Inputs'!K$10*$J73,IF(AND(($D73+$C$1)&gt;AN$4,AN$4&gt;=$C$1),'General Inputs'!K$10*$I73,0))</f>
        <v>140.94088238213678</v>
      </c>
      <c r="AO73" s="214">
        <f>IF(AND(($E73+$C$1)&gt;AO$4,AO$4&gt;=$C$1),'General Inputs'!L$9*$H73,IF(AND(($D73+$C$1)&gt;AO$4,AO$4&gt;=$C$1),'General Inputs'!L$9*$G73,0))+IF(AND(($E73+$C$1)&gt;AO$4,AO$4&gt;=$C$1),'General Inputs'!L$10*$J73,IF(AND(($D73+$C$1)&gt;AO$4,AO$4&gt;=$C$1),'General Inputs'!L$10*$I73,0))</f>
        <v>0</v>
      </c>
      <c r="AP73" s="214">
        <f>IF(AND(($E73+$C$1)&gt;AP$4,AP$4&gt;=$C$1),'General Inputs'!M$9*$H73,IF(AND(($D73+$C$1)&gt;AP$4,AP$4&gt;=$C$1),'General Inputs'!M$9*$G73,0))+IF(AND(($E73+$C$1)&gt;AP$4,AP$4&gt;=$C$1),'General Inputs'!M$10*$J73,IF(AND(($D73+$C$1)&gt;AP$4,AP$4&gt;=$C$1),'General Inputs'!M$10*$I73,0))</f>
        <v>0</v>
      </c>
      <c r="AQ73" s="214">
        <f>IF(AND(($E73+$C$1)&gt;AQ$4,AQ$4&gt;=$C$1),'General Inputs'!N$9*$H73,IF(AND(($D73+$C$1)&gt;AQ$4,AQ$4&gt;=$C$1),'General Inputs'!N$9*$G73,0))+IF(AND(($E73+$C$1)&gt;AQ$4,AQ$4&gt;=$C$1),'General Inputs'!N$10*$J73,IF(AND(($D73+$C$1)&gt;AQ$4,AQ$4&gt;=$C$1),'General Inputs'!N$10*$I73,0))</f>
        <v>0</v>
      </c>
      <c r="AR73" s="214">
        <f>IF(AND(($E73+$C$1)&gt;AR$4,AR$4&gt;=$C$1),'General Inputs'!O$9*$H73,IF(AND(($D73+$C$1)&gt;AR$4,AR$4&gt;=$C$1),'General Inputs'!O$9*$G73,0))+IF(AND(($E73+$C$1)&gt;AR$4,AR$4&gt;=$C$1),'General Inputs'!O$10*$J73,IF(AND(($D73+$C$1)&gt;AR$4,AR$4&gt;=$C$1),'General Inputs'!O$10*$I73,0))</f>
        <v>0</v>
      </c>
      <c r="AS73" s="214">
        <f>IF(AND(($E73+$C$1)&gt;AS$4,AS$4&gt;=$C$1),'General Inputs'!P$9*$H73,IF(AND(($D73+$C$1)&gt;AS$4,AS$4&gt;=$C$1),'General Inputs'!P$9*$G73,0))+IF(AND(($E73+$C$1)&gt;AS$4,AS$4&gt;=$C$1),'General Inputs'!P$10*$J73,IF(AND(($D73+$C$1)&gt;AS$4,AS$4&gt;=$C$1),'General Inputs'!P$10*$I73,0))</f>
        <v>0</v>
      </c>
      <c r="AT73" s="214">
        <f>IF(AND(($E73+$C$1)&gt;AT$4,AT$4&gt;=$C$1),'General Inputs'!Q$9*$H73,IF(AND(($D73+$C$1)&gt;AT$4,AT$4&gt;=$C$1),'General Inputs'!Q$9*$G73,0))+IF(AND(($E73+$C$1)&gt;AT$4,AT$4&gt;=$C$1),'General Inputs'!Q$10*$J73,IF(AND(($D73+$C$1)&gt;AT$4,AT$4&gt;=$C$1),'General Inputs'!Q$10*$I73,0))</f>
        <v>0</v>
      </c>
      <c r="AU73" s="214">
        <f>IF(AND(($E73+$C$1)&gt;AU$4,AU$4&gt;=$C$1),'General Inputs'!R$9*$H73,IF(AND(($D73+$C$1)&gt;AU$4,AU$4&gt;=$C$1),'General Inputs'!R$9*$G73,0))+IF(AND(($E73+$C$1)&gt;AU$4,AU$4&gt;=$C$1),'General Inputs'!R$10*$J73,IF(AND(($D73+$C$1)&gt;AU$4,AU$4&gt;=$C$1),'General Inputs'!R$10*$I73,0))</f>
        <v>0</v>
      </c>
      <c r="AV73" s="214">
        <f>IF(AND(($E73+$C$1)&gt;AV$4,AV$4&gt;=$C$1),'General Inputs'!S$9*$H73,IF(AND(($D73+$C$1)&gt;AV$4,AV$4&gt;=$C$1),'General Inputs'!S$9*$G73,0))+IF(AND(($E73+$C$1)&gt;AV$4,AV$4&gt;=$C$1),'General Inputs'!S$10*$J73,IF(AND(($D73+$C$1)&gt;AV$4,AV$4&gt;=$C$1),'General Inputs'!S$10*$I73,0))</f>
        <v>0</v>
      </c>
      <c r="AW73" s="214">
        <f>IF(AND(($E73+$C$1)&gt;AW$4,AW$4&gt;=$C$1),'General Inputs'!T$9*$H73,IF(AND(($D73+$C$1)&gt;AW$4,AW$4&gt;=$C$1),'General Inputs'!T$9*$G73,0))+IF(AND(($E73+$C$1)&gt;AW$4,AW$4&gt;=$C$1),'General Inputs'!T$10*$J73,IF(AND(($D73+$C$1)&gt;AW$4,AW$4&gt;=$C$1),'General Inputs'!T$10*$I73,0))</f>
        <v>0</v>
      </c>
      <c r="AX73" s="214">
        <f>IF(AND(($E73+$C$1)&gt;AX$4,AX$4&gt;=$C$1),'General Inputs'!U$9*$H73,IF(AND(($D73+$C$1)&gt;AX$4,AX$4&gt;=$C$1),'General Inputs'!U$9*$G73,0))+IF(AND(($E73+$C$1)&gt;AX$4,AX$4&gt;=$C$1),'General Inputs'!U$10*$J73,IF(AND(($D73+$C$1)&gt;AX$4,AX$4&gt;=$C$1),'General Inputs'!U$10*$I73,0))</f>
        <v>0</v>
      </c>
      <c r="AY73" s="214">
        <f>IF(AND(($E73+$C$1)&gt;AY$4,AY$4&gt;=$C$1),'General Inputs'!V$9*$H73,IF(AND(($D73+$C$1)&gt;AY$4,AY$4&gt;=$C$1),'General Inputs'!V$9*$G73,0))+IF(AND(($E73+$C$1)&gt;AY$4,AY$4&gt;=$C$1),'General Inputs'!V$10*$J73,IF(AND(($D73+$C$1)&gt;AY$4,AY$4&gt;=$C$1),'General Inputs'!V$10*$I73,0))</f>
        <v>0</v>
      </c>
      <c r="AZ73" s="214">
        <f>IF(AND(($E73+$C$1)&gt;AZ$4,AZ$4&gt;=$C$1),'General Inputs'!W$9*$H73,IF(AND(($D73+$C$1)&gt;AZ$4,AZ$4&gt;=$C$1),'General Inputs'!W$9*$G73,0))+IF(AND(($E73+$C$1)&gt;AZ$4,AZ$4&gt;=$C$1),'General Inputs'!W$10*$J73,IF(AND(($D73+$C$1)&gt;AZ$4,AZ$4&gt;=$C$1),'General Inputs'!W$10*$I73,0))</f>
        <v>0</v>
      </c>
      <c r="BB73" s="214">
        <f>IF(AND(($E73+$C$1)&gt;BB$4,BB$4&gt;=$C$1),'General Inputs'!D$11*$H73,IF(AND(($D73+$C$1)&gt;BB$4,BB$4&gt;=$C$1),'General Inputs'!D$11*$G73,0))</f>
        <v>35.931651677999994</v>
      </c>
      <c r="BC73" s="214">
        <f>IF(AND(($E73+$C$1)&gt;BC$4,BC$4&gt;=$C$1),'General Inputs'!E$11*$H73,IF(AND(($D73+$C$1)&gt;BC$4,BC$4&gt;=$C$1),'General Inputs'!E$11*$G73,0))</f>
        <v>35.931651677999994</v>
      </c>
      <c r="BD73" s="214">
        <f>IF(AND(($E73+$C$1)&gt;BD$4,BD$4&gt;=$C$1),'General Inputs'!F$11*$H73,IF(AND(($D73+$C$1)&gt;BD$4,BD$4&gt;=$C$1),'General Inputs'!F$11*$G73,0))</f>
        <v>35.931651677999994</v>
      </c>
      <c r="BE73" s="214">
        <f>IF(AND(($E73+$C$1)&gt;BE$4,BE$4&gt;=$C$1),'General Inputs'!G$11*$H73,IF(AND(($D73+$C$1)&gt;BE$4,BE$4&gt;=$C$1),'General Inputs'!G$11*$G73,0))</f>
        <v>35.931651677999994</v>
      </c>
      <c r="BF73" s="214">
        <f>IF(AND(($E73+$C$1)&gt;BF$4,BF$4&gt;=$C$1),'General Inputs'!H$11*$H73,IF(AND(($D73+$C$1)&gt;BF$4,BF$4&gt;=$C$1),'General Inputs'!H$11*$G73,0))</f>
        <v>35.931651677999994</v>
      </c>
      <c r="BG73" s="214">
        <f>IF(AND(($E73+$C$1)&gt;BG$4,BG$4&gt;=$C$1),'General Inputs'!I$11*$H73,IF(AND(($D73+$C$1)&gt;BG$4,BG$4&gt;=$C$1),'General Inputs'!I$11*$G73,0))</f>
        <v>35.931651677999994</v>
      </c>
      <c r="BH73" s="214">
        <f>IF(AND(($E73+$C$1)&gt;BH$4,BH$4&gt;=$C$1),'General Inputs'!J$11*$H73,IF(AND(($D73+$C$1)&gt;BH$4,BH$4&gt;=$C$1),'General Inputs'!J$11*$G73,0))</f>
        <v>35.931651677999994</v>
      </c>
      <c r="BI73" s="214">
        <f>IF(AND(($E73+$C$1)&gt;BI$4,BI$4&gt;=$C$1),'General Inputs'!K$11*$H73,IF(AND(($D73+$C$1)&gt;BI$4,BI$4&gt;=$C$1),'General Inputs'!K$11*$G73,0))</f>
        <v>35.931651677999994</v>
      </c>
      <c r="BJ73" s="214">
        <f>IF(AND(($E73+$C$1)&gt;BJ$4,BJ$4&gt;=$C$1),'General Inputs'!L$11*$H73,IF(AND(($D73+$C$1)&gt;BJ$4,BJ$4&gt;=$C$1),'General Inputs'!L$11*$G73,0))</f>
        <v>0</v>
      </c>
      <c r="BK73" s="214">
        <f>IF(AND(($E73+$C$1)&gt;BK$4,BK$4&gt;=$C$1),'General Inputs'!M$11*$H73,IF(AND(($D73+$C$1)&gt;BK$4,BK$4&gt;=$C$1),'General Inputs'!M$11*$G73,0))</f>
        <v>0</v>
      </c>
      <c r="BL73" s="214">
        <f>IF(AND(($E73+$C$1)&gt;BL$4,BL$4&gt;=$C$1),'General Inputs'!N$11*$H73,IF(AND(($D73+$C$1)&gt;BL$4,BL$4&gt;=$C$1),'General Inputs'!N$11*$G73,0))</f>
        <v>0</v>
      </c>
      <c r="BM73" s="214">
        <f>IF(AND(($E73+$C$1)&gt;BM$4,BM$4&gt;=$C$1),'General Inputs'!O$11*$H73,IF(AND(($D73+$C$1)&gt;BM$4,BM$4&gt;=$C$1),'General Inputs'!O$11*$G73,0))</f>
        <v>0</v>
      </c>
      <c r="BN73" s="214">
        <f>IF(AND(($E73+$C$1)&gt;BN$4,BN$4&gt;=$C$1),'General Inputs'!P$11*$H73,IF(AND(($D73+$C$1)&gt;BN$4,BN$4&gt;=$C$1),'General Inputs'!P$11*$G73,0))</f>
        <v>0</v>
      </c>
      <c r="BO73" s="214">
        <f>IF(AND(($E73+$C$1)&gt;BO$4,BO$4&gt;=$C$1),'General Inputs'!Q$11*$H73,IF(AND(($D73+$C$1)&gt;BO$4,BO$4&gt;=$C$1),'General Inputs'!Q$11*$G73,0))</f>
        <v>0</v>
      </c>
      <c r="BP73" s="214">
        <f>IF(AND(($E73+$C$1)&gt;BP$4,BP$4&gt;=$C$1),'General Inputs'!R$11*$H73,IF(AND(($D73+$C$1)&gt;BP$4,BP$4&gt;=$C$1),'General Inputs'!R$11*$G73,0))</f>
        <v>0</v>
      </c>
      <c r="BQ73" s="214">
        <f>IF(AND(($E73+$C$1)&gt;BQ$4,BQ$4&gt;=$C$1),'General Inputs'!S$11*$H73,IF(AND(($D73+$C$1)&gt;BQ$4,BQ$4&gt;=$C$1),'General Inputs'!S$11*$G73,0))</f>
        <v>0</v>
      </c>
      <c r="BR73" s="214">
        <f>IF(AND(($E73+$C$1)&gt;BR$4,BR$4&gt;=$C$1),'General Inputs'!T$11*$H73,IF(AND(($D73+$C$1)&gt;BR$4,BR$4&gt;=$C$1),'General Inputs'!T$11*$G73,0))</f>
        <v>0</v>
      </c>
      <c r="BS73" s="214">
        <f>IF(AND(($E73+$C$1)&gt;BS$4,BS$4&gt;=$C$1),'General Inputs'!U$11*$H73,IF(AND(($D73+$C$1)&gt;BS$4,BS$4&gt;=$C$1),'General Inputs'!U$11*$G73,0))</f>
        <v>0</v>
      </c>
      <c r="BT73" s="214">
        <f>IF(AND(($E73+$C$1)&gt;BT$4,BT$4&gt;=$C$1),'General Inputs'!V$11*$H73,IF(AND(($D73+$C$1)&gt;BT$4,BT$4&gt;=$C$1),'General Inputs'!V$11*$G73,0))</f>
        <v>0</v>
      </c>
      <c r="BU73" s="214">
        <f>IF(AND(($E73+$C$1)&gt;BU$4,BU$4&gt;=$C$1),'General Inputs'!W$11*$H73,IF(AND(($D73+$C$1)&gt;BU$4,BU$4&gt;=$C$1),'General Inputs'!W$11*$G73,0))</f>
        <v>0</v>
      </c>
      <c r="BW73" s="214">
        <f>IF(AND(($E73+$C$1)&gt;BW$4,BW$4&gt;=$C$1),$H73,IF(AND(($D73+$C$1)&gt;BW$4,BW$4&gt;=$C$1),$G73,0))*IF($A73="Residential",'General Inputs'!D$14,'General Inputs'!D$19)</f>
        <v>329.2689848388365</v>
      </c>
      <c r="BX73" s="214">
        <f>IF(AND(($E73+$C$1)&gt;BX$4,BX$4&gt;=$C$1),$H73,IF(AND(($D73+$C$1)&gt;BX$4,BX$4&gt;=$C$1),$G73,0))*IF($A73="Residential",'General Inputs'!E$14,'General Inputs'!E$19)</f>
        <v>334.20801961141905</v>
      </c>
      <c r="BY73" s="214">
        <f>IF(AND(($E73+$C$1)&gt;BY$4,BY$4&gt;=$C$1),$H73,IF(AND(($D73+$C$1)&gt;BY$4,BY$4&gt;=$C$1),$G73,0))*IF($A73="Residential",'General Inputs'!F$14,'General Inputs'!F$19)</f>
        <v>339.22113990559035</v>
      </c>
      <c r="BZ73" s="214">
        <f>IF(AND(($E73+$C$1)&gt;BZ$4,BZ$4&gt;=$C$1),$H73,IF(AND(($D73+$C$1)&gt;BZ$4,BZ$4&gt;=$C$1),$G73,0))*IF($A73="Residential",'General Inputs'!G$14,'General Inputs'!G$19)</f>
        <v>344.30945700417413</v>
      </c>
      <c r="CA73" s="214">
        <f>IF(AND(($E73+$C$1)&gt;CA$4,CA$4&gt;=$C$1),$H73,IF(AND(($D73+$C$1)&gt;CA$4,CA$4&gt;=$C$1),$G73,0))*IF($A73="Residential",'General Inputs'!H$14,'General Inputs'!H$19)</f>
        <v>349.47409885923668</v>
      </c>
      <c r="CB73" s="214">
        <f>IF(AND(($E73+$C$1)&gt;CB$4,CB$4&gt;=$C$1),$H73,IF(AND(($D73+$C$1)&gt;CB$4,CB$4&gt;=$C$1),$G73,0))*IF($A73="Residential",'General Inputs'!I$14,'General Inputs'!I$19)</f>
        <v>354.71621034212518</v>
      </c>
      <c r="CC73" s="214">
        <f>IF(AND(($E73+$C$1)&gt;CC$4,CC$4&gt;=$C$1),$H73,IF(AND(($D73+$C$1)&gt;CC$4,CC$4&gt;=$C$1),$G73,0))*IF($A73="Residential",'General Inputs'!J$14,'General Inputs'!J$19)</f>
        <v>360.03695349725706</v>
      </c>
      <c r="CD73" s="214">
        <f>IF(AND(($E73+$C$1)&gt;CD$4,CD$4&gt;=$C$1),$H73,IF(AND(($D73+$C$1)&gt;CD$4,CD$4&gt;=$C$1),$G73,0))*IF($A73="Residential",'General Inputs'!K$14,'General Inputs'!K$19)</f>
        <v>365.43750779971583</v>
      </c>
      <c r="CE73" s="214">
        <f>IF(AND(($E73+$C$1)&gt;CE$4,CE$4&gt;=$C$1),$H73,IF(AND(($D73+$C$1)&gt;CE$4,CE$4&gt;=$C$1),$G73,0))*IF($A73="Residential",'General Inputs'!L$14,'General Inputs'!L$19)</f>
        <v>0</v>
      </c>
      <c r="CF73" s="214">
        <f>IF(AND(($E73+$C$1)&gt;CF$4,CF$4&gt;=$C$1),$H73,IF(AND(($D73+$C$1)&gt;CF$4,CF$4&gt;=$C$1),$G73,0))*IF($A73="Residential",'General Inputs'!M$14,'General Inputs'!M$19)</f>
        <v>0</v>
      </c>
      <c r="CG73" s="214">
        <f>IF(AND(($E73+$C$1)&gt;CG$4,CG$4&gt;=$C$1),$H73,IF(AND(($D73+$C$1)&gt;CG$4,CG$4&gt;=$C$1),$G73,0))*IF($A73="Residential",'General Inputs'!N$14,'General Inputs'!N$19)</f>
        <v>0</v>
      </c>
      <c r="CH73" s="214">
        <f>IF(AND(($E73+$C$1)&gt;CH$4,CH$4&gt;=$C$1),$H73,IF(AND(($D73+$C$1)&gt;CH$4,CH$4&gt;=$C$1),$G73,0))*IF($A73="Residential",'General Inputs'!O$14,'General Inputs'!O$19)</f>
        <v>0</v>
      </c>
      <c r="CI73" s="214">
        <f>IF(AND(($E73+$C$1)&gt;CI$4,CI$4&gt;=$C$1),$H73,IF(AND(($D73+$C$1)&gt;CI$4,CI$4&gt;=$C$1),$G73,0))*IF($A73="Residential",'General Inputs'!P$14,'General Inputs'!P$19)</f>
        <v>0</v>
      </c>
      <c r="CJ73" s="214">
        <f>IF(AND(($E73+$C$1)&gt;CJ$4,CJ$4&gt;=$C$1),$H73,IF(AND(($D73+$C$1)&gt;CJ$4,CJ$4&gt;=$C$1),$G73,0))*IF($A73="Residential",'General Inputs'!Q$14,'General Inputs'!Q$19)</f>
        <v>0</v>
      </c>
      <c r="CK73" s="214">
        <f>IF(AND(($E73+$C$1)&gt;CK$4,CK$4&gt;=$C$1),$H73,IF(AND(($D73+$C$1)&gt;CK$4,CK$4&gt;=$C$1),$G73,0))*IF($A73="Residential",'General Inputs'!R$14,'General Inputs'!R$19)</f>
        <v>0</v>
      </c>
      <c r="CL73" s="214">
        <f>IF(AND(($E73+$C$1)&gt;CL$4,CL$4&gt;=$C$1),$H73,IF(AND(($D73+$C$1)&gt;CL$4,CL$4&gt;=$C$1),$G73,0))*IF($A73="Residential",'General Inputs'!S$14,'General Inputs'!S$19)</f>
        <v>0</v>
      </c>
      <c r="CM73" s="214">
        <f>IF(AND(($E73+$C$1)&gt;CM$4,CM$4&gt;=$C$1),$H73,IF(AND(($D73+$C$1)&gt;CM$4,CM$4&gt;=$C$1),$G73,0))*IF($A73="Residential",'General Inputs'!T$14,'General Inputs'!T$19)</f>
        <v>0</v>
      </c>
      <c r="CN73" s="214">
        <f>IF(AND(($E73+$C$1)&gt;CN$4,CN$4&gt;=$C$1),$H73,IF(AND(($D73+$C$1)&gt;CN$4,CN$4&gt;=$C$1),$G73,0))*IF($A73="Residential",'General Inputs'!U$14,'General Inputs'!U$19)</f>
        <v>0</v>
      </c>
      <c r="CO73" s="214">
        <f>IF(AND(($E73+$C$1)&gt;CO$4,CO$4&gt;=$C$1),$H73,IF(AND(($D73+$C$1)&gt;CO$4,CO$4&gt;=$C$1),$G73,0))*IF($A73="Residential",'General Inputs'!V$14,'General Inputs'!V$19)</f>
        <v>0</v>
      </c>
      <c r="CP73" s="214">
        <f>IF(AND(($E73+$C$1)&gt;CP$4,CP$4&gt;=$C$1),$H73,IF(AND(($D73+$C$1)&gt;CP$4,CP$4&gt;=$C$1),$G73,0))*IF($A73="Residential",'General Inputs'!W$14,'General Inputs'!W$19)</f>
        <v>0</v>
      </c>
      <c r="CR73" s="214">
        <f>IF(AND(($E73+$C$1)&gt;CR$4,CR$4&gt;=$C$1),$H73,IF(AND(($D73+$C$1)&gt;CR$4,CR$4&gt;=$C$1),$G73,0))*IF($A73="Residential",'General Inputs'!D$15,'General Inputs'!D$19)</f>
        <v>329.2689848388365</v>
      </c>
      <c r="CS73" s="214">
        <f>IF(AND(($E73+$C$1)&gt;CS$4,CS$4&gt;=$C$1),$H73,IF(AND(($D73+$C$1)&gt;CS$4,CS$4&gt;=$C$1),$G73,0))*IF($A73="Residential",'General Inputs'!E$15,'General Inputs'!E$19)</f>
        <v>334.20801961141905</v>
      </c>
      <c r="CT73" s="214">
        <f>IF(AND(($E73+$C$1)&gt;CT$4,CT$4&gt;=$C$1),$H73,IF(AND(($D73+$C$1)&gt;CT$4,CT$4&gt;=$C$1),$G73,0))*IF($A73="Residential",'General Inputs'!F$15,'General Inputs'!F$19)</f>
        <v>339.22113990559035</v>
      </c>
      <c r="CU73" s="214">
        <f>IF(AND(($E73+$C$1)&gt;CU$4,CU$4&gt;=$C$1),$H73,IF(AND(($D73+$C$1)&gt;CU$4,CU$4&gt;=$C$1),$G73,0))*IF($A73="Residential",'General Inputs'!G$15,'General Inputs'!G$19)</f>
        <v>344.30945700417413</v>
      </c>
      <c r="CV73" s="214">
        <f>IF(AND(($E73+$C$1)&gt;CV$4,CV$4&gt;=$C$1),$H73,IF(AND(($D73+$C$1)&gt;CV$4,CV$4&gt;=$C$1),$G73,0))*IF($A73="Residential",'General Inputs'!H$15,'General Inputs'!H$19)</f>
        <v>349.47409885923668</v>
      </c>
      <c r="CW73" s="214">
        <f>IF(AND(($E73+$C$1)&gt;CW$4,CW$4&gt;=$C$1),$H73,IF(AND(($D73+$C$1)&gt;CW$4,CW$4&gt;=$C$1),$G73,0))*IF($A73="Residential",'General Inputs'!I$15,'General Inputs'!I$19)</f>
        <v>354.71621034212518</v>
      </c>
      <c r="CX73" s="214">
        <f>IF(AND(($E73+$C$1)&gt;CX$4,CX$4&gt;=$C$1),$H73,IF(AND(($D73+$C$1)&gt;CX$4,CX$4&gt;=$C$1),$G73,0))*IF($A73="Residential",'General Inputs'!J$15,'General Inputs'!J$19)</f>
        <v>360.03695349725706</v>
      </c>
      <c r="CY73" s="214">
        <f>IF(AND(($E73+$C$1)&gt;CY$4,CY$4&gt;=$C$1),$H73,IF(AND(($D73+$C$1)&gt;CY$4,CY$4&gt;=$C$1),$G73,0))*IF($A73="Residential",'General Inputs'!K$15,'General Inputs'!K$19)</f>
        <v>365.43750779971583</v>
      </c>
      <c r="CZ73" s="214">
        <f>IF(AND(($E73+$C$1)&gt;CZ$4,CZ$4&gt;=$C$1),$H73,IF(AND(($D73+$C$1)&gt;CZ$4,CZ$4&gt;=$C$1),$G73,0))*IF($A73="Residential",'General Inputs'!L$15,'General Inputs'!L$19)</f>
        <v>0</v>
      </c>
      <c r="DA73" s="214">
        <f>IF(AND(($E73+$C$1)&gt;DA$4,DA$4&gt;=$C$1),$H73,IF(AND(($D73+$C$1)&gt;DA$4,DA$4&gt;=$C$1),$G73,0))*IF($A73="Residential",'General Inputs'!M$15,'General Inputs'!M$19)</f>
        <v>0</v>
      </c>
      <c r="DB73" s="214">
        <f>IF(AND(($E73+$C$1)&gt;DB$4,DB$4&gt;=$C$1),$H73,IF(AND(($D73+$C$1)&gt;DB$4,DB$4&gt;=$C$1),$G73,0))*IF($A73="Residential",'General Inputs'!N$15,'General Inputs'!N$19)</f>
        <v>0</v>
      </c>
      <c r="DC73" s="214">
        <f>IF(AND(($E73+$C$1)&gt;DC$4,DC$4&gt;=$C$1),$H73,IF(AND(($D73+$C$1)&gt;DC$4,DC$4&gt;=$C$1),$G73,0))*IF($A73="Residential",'General Inputs'!O$15,'General Inputs'!O$19)</f>
        <v>0</v>
      </c>
      <c r="DD73" s="214">
        <f>IF(AND(($E73+$C$1)&gt;DD$4,DD$4&gt;=$C$1),$H73,IF(AND(($D73+$C$1)&gt;DD$4,DD$4&gt;=$C$1),$G73,0))*IF($A73="Residential",'General Inputs'!P$15,'General Inputs'!P$19)</f>
        <v>0</v>
      </c>
      <c r="DE73" s="214">
        <f>IF(AND(($E73+$C$1)&gt;DE$4,DE$4&gt;=$C$1),$H73,IF(AND(($D73+$C$1)&gt;DE$4,DE$4&gt;=$C$1),$G73,0))*IF($A73="Residential",'General Inputs'!Q$15,'General Inputs'!Q$19)</f>
        <v>0</v>
      </c>
      <c r="DF73" s="214">
        <f>IF(AND(($E73+$C$1)&gt;DF$4,DF$4&gt;=$C$1),$H73,IF(AND(($D73+$C$1)&gt;DF$4,DF$4&gt;=$C$1),$G73,0))*IF($A73="Residential",'General Inputs'!R$15,'General Inputs'!R$19)</f>
        <v>0</v>
      </c>
      <c r="DG73" s="214">
        <f>IF(AND(($E73+$C$1)&gt;DG$4,DG$4&gt;=$C$1),$H73,IF(AND(($D73+$C$1)&gt;DG$4,DG$4&gt;=$C$1),$G73,0))*IF($A73="Residential",'General Inputs'!S$15,'General Inputs'!S$19)</f>
        <v>0</v>
      </c>
      <c r="DH73" s="214">
        <f>IF(AND(($E73+$C$1)&gt;DH$4,DH$4&gt;=$C$1),$H73,IF(AND(($D73+$C$1)&gt;DH$4,DH$4&gt;=$C$1),$G73,0))*IF($A73="Residential",'General Inputs'!T$15,'General Inputs'!T$19)</f>
        <v>0</v>
      </c>
      <c r="DI73" s="214">
        <f>IF(AND(($E73+$C$1)&gt;DI$4,DI$4&gt;=$C$1),$H73,IF(AND(($D73+$C$1)&gt;DI$4,DI$4&gt;=$C$1),$G73,0))*IF($A73="Residential",'General Inputs'!U$15,'General Inputs'!U$19)</f>
        <v>0</v>
      </c>
      <c r="DJ73" s="214">
        <f>IF(AND(($E73+$C$1)&gt;DJ$4,DJ$4&gt;=$C$1),$H73,IF(AND(($D73+$C$1)&gt;DJ$4,DJ$4&gt;=$C$1),$G73,0))*IF($A73="Residential",'General Inputs'!V$15,'General Inputs'!V$19)</f>
        <v>0</v>
      </c>
      <c r="DK73" s="214">
        <f>IF(AND(($E73+$C$1)&gt;DK$4,DK$4&gt;=$C$1),$H73,IF(AND(($D73+$C$1)&gt;DK$4,DK$4&gt;=$C$1),$G73,0))*IF($A73="Residential",'General Inputs'!W$15,'General Inputs'!W$19)</f>
        <v>0</v>
      </c>
      <c r="DM73" s="214">
        <f t="shared" si="456"/>
        <v>1125</v>
      </c>
      <c r="DN73" s="214">
        <f t="shared" si="456"/>
        <v>0</v>
      </c>
      <c r="DO73" s="214">
        <f t="shared" si="456"/>
        <v>0</v>
      </c>
      <c r="DP73" s="214">
        <f t="shared" si="456"/>
        <v>0</v>
      </c>
      <c r="DQ73" s="214">
        <f t="shared" si="456"/>
        <v>0</v>
      </c>
      <c r="DR73" s="214">
        <f t="shared" si="456"/>
        <v>0</v>
      </c>
      <c r="DS73" s="214">
        <f t="shared" si="456"/>
        <v>0</v>
      </c>
      <c r="DT73" s="214">
        <f t="shared" si="456"/>
        <v>0</v>
      </c>
      <c r="DU73" s="214">
        <f t="shared" si="456"/>
        <v>0</v>
      </c>
      <c r="DV73" s="214">
        <f t="shared" si="456"/>
        <v>0</v>
      </c>
      <c r="DW73" s="214">
        <f t="shared" si="456"/>
        <v>0</v>
      </c>
      <c r="DZ73" s="650"/>
      <c r="FI73" s="195"/>
      <c r="FJ73" s="195"/>
      <c r="FK73" s="195"/>
      <c r="FL73" s="195"/>
      <c r="FM73" s="195"/>
      <c r="FN73" s="195"/>
      <c r="FO73" s="195"/>
    </row>
    <row r="74" spans="1:171">
      <c r="A74" s="342" t="s">
        <v>112</v>
      </c>
      <c r="B74" s="427" t="str">
        <f>'Portfolio Inputs'!A73</f>
        <v>Wall Mount Occupancy</v>
      </c>
      <c r="C74" s="217">
        <f>IF($C$1=2014,'Portfolio Inputs'!$C73,IF($C$1=2015,'Portfolio Inputs'!$D73,'Portfolio Inputs'!$E73))</f>
        <v>1</v>
      </c>
      <c r="D74" s="504">
        <f>VLOOKUP(B74,Sources!$B$4:$J$104,2,FALSE)</f>
        <v>8</v>
      </c>
      <c r="E74" s="504">
        <f>VLOOKUP(B74,Sources!$B$4:$J$104,3,FALSE)</f>
        <v>0</v>
      </c>
      <c r="G74" s="504">
        <f>IF($C$1=2014,'Portfolio Inputs'!$G73,IF($C$1=2015,'Portfolio Inputs'!$H73,'Portfolio Inputs'!$I73))*EnergyLineLoss</f>
        <v>350.21102999999999</v>
      </c>
      <c r="H74" s="504"/>
      <c r="I74" s="595">
        <f>IF($C$1=2014,'Portfolio Inputs'!$K73,IF($C$1=2015,'Portfolio Inputs'!$L73,'Portfolio Inputs'!$M73))*PeakLineLoss</f>
        <v>1.11841587E-2</v>
      </c>
      <c r="J74" s="510"/>
      <c r="L74" s="606">
        <f>IF($C$1=2014,'Portfolio Inputs'!$O73,IF($C$1=2015,'Portfolio Inputs'!$P73,'Portfolio Inputs'!$Q73))</f>
        <v>55</v>
      </c>
      <c r="M74" s="518">
        <f>VLOOKUP($B74,Sources!$B$4:$K$104,10,FALSE)</f>
        <v>0</v>
      </c>
      <c r="N74" s="419">
        <f>IF($C$1=2014,'Portfolio Inputs'!$W73,IF($C$1=2015,'Portfolio Inputs'!$X73,'Portfolio Inputs'!$Y73))</f>
        <v>12</v>
      </c>
      <c r="O74" s="419">
        <f>IF($C$1=2014,'Portfolio Inputs'!$AA73,IF($C$1=2015,'Portfolio Inputs'!$AB73,'Portfolio Inputs'!$AC73))</f>
        <v>0</v>
      </c>
      <c r="Q74" s="438">
        <f t="shared" si="442"/>
        <v>1.6280719636624714</v>
      </c>
      <c r="R74" s="439">
        <f t="shared" si="443"/>
        <v>7.4619965001196604</v>
      </c>
      <c r="S74" s="439">
        <f t="shared" si="444"/>
        <v>2.0679688129156246</v>
      </c>
      <c r="T74" s="439">
        <f t="shared" si="445"/>
        <v>4.4395159751957927</v>
      </c>
      <c r="U74" s="439">
        <f t="shared" si="446"/>
        <v>4.4395159751957927</v>
      </c>
      <c r="V74" s="439">
        <f t="shared" si="447"/>
        <v>0.36672285284223349</v>
      </c>
      <c r="W74" s="439">
        <f t="shared" si="448"/>
        <v>0.36672285284223349</v>
      </c>
      <c r="Y74" s="215">
        <f t="shared" si="449"/>
        <v>89.543958001435925</v>
      </c>
      <c r="Z74" s="215">
        <f t="shared" si="450"/>
        <v>24.194326708923434</v>
      </c>
      <c r="AA74" s="215">
        <f t="shared" si="451"/>
        <v>232.17337863576859</v>
      </c>
      <c r="AB74" s="215">
        <f t="shared" si="452"/>
        <v>232.17337863576859</v>
      </c>
      <c r="AC74" s="216">
        <f t="shared" si="453"/>
        <v>0</v>
      </c>
      <c r="AD74" s="216">
        <f t="shared" si="454"/>
        <v>12</v>
      </c>
      <c r="AE74" s="215">
        <f t="shared" si="455"/>
        <v>55</v>
      </c>
      <c r="AG74" s="214">
        <f>IF(AND(($E74+$C$1)&gt;AG$4,AG$4&gt;=$C$1),'General Inputs'!D$9*$H74,IF(AND(($D74+$C$1)&gt;AG$4,AG$4&gt;=$C$1),'General Inputs'!D$9*$G74,0))+IF(AND(($E74+$C$1)&gt;AG$4,AG$4&gt;=$C$1),'General Inputs'!D$10*$J74,IF(AND(($D74+$C$1)&gt;AG$4,AG$4&gt;=$C$1),'General Inputs'!D$10*$I74,0))</f>
        <v>14.110167880587074</v>
      </c>
      <c r="AH74" s="214">
        <f>IF(AND(($E74+$C$1)&gt;AH$4,AH$4&gt;=$C$1),'General Inputs'!E$9*$H74,IF(AND(($D74+$C$1)&gt;AH$4,AH$4&gt;=$C$1),'General Inputs'!E$9*$G74,0))+IF(AND(($E74+$C$1)&gt;AH$4,AH$4&gt;=$C$1),'General Inputs'!E$10*$J74,IF(AND(($D74+$C$1)&gt;AH$4,AH$4&gt;=$C$1),'General Inputs'!E$10*$I74,0))</f>
        <v>14.321820398795879</v>
      </c>
      <c r="AI74" s="214">
        <f>IF(AND(($E74+$C$1)&gt;AI$4,AI$4&gt;=$C$1),'General Inputs'!F$9*$H74,IF(AND(($D74+$C$1)&gt;AI$4,AI$4&gt;=$C$1),'General Inputs'!F$9*$G74,0))+IF(AND(($E74+$C$1)&gt;AI$4,AI$4&gt;=$C$1),'General Inputs'!F$10*$J74,IF(AND(($D74+$C$1)&gt;AI$4,AI$4&gt;=$C$1),'General Inputs'!F$10*$I74,0))</f>
        <v>14.536647704777813</v>
      </c>
      <c r="AJ74" s="214">
        <f>IF(AND(($E74+$C$1)&gt;AJ$4,AJ$4&gt;=$C$1),'General Inputs'!G$9*$H74,IF(AND(($D74+$C$1)&gt;AJ$4,AJ$4&gt;=$C$1),'General Inputs'!G$9*$G74,0))+IF(AND(($E74+$C$1)&gt;AJ$4,AJ$4&gt;=$C$1),'General Inputs'!G$10*$J74,IF(AND(($D74+$C$1)&gt;AJ$4,AJ$4&gt;=$C$1),'General Inputs'!G$10*$I74,0))</f>
        <v>14.754697420349482</v>
      </c>
      <c r="AK74" s="214">
        <f>IF(AND(($E74+$C$1)&gt;AK$4,AK$4&gt;=$C$1),'General Inputs'!H$9*$H74,IF(AND(($D74+$C$1)&gt;AK$4,AK$4&gt;=$C$1),'General Inputs'!H$9*$G74,0))+IF(AND(($E74+$C$1)&gt;AK$4,AK$4&gt;=$C$1),'General Inputs'!H$10*$J74,IF(AND(($D74+$C$1)&gt;AK$4,AK$4&gt;=$C$1),'General Inputs'!H$10*$I74,0))</f>
        <v>14.97601788165472</v>
      </c>
      <c r="AL74" s="214">
        <f>IF(AND(($E74+$C$1)&gt;AL$4,AL$4&gt;=$C$1),'General Inputs'!I$9*$H74,IF(AND(($D74+$C$1)&gt;AL$4,AL$4&gt;=$C$1),'General Inputs'!I$9*$G74,0))+IF(AND(($E74+$C$1)&gt;AL$4,AL$4&gt;=$C$1),'General Inputs'!I$10*$J74,IF(AND(($D74+$C$1)&gt;AL$4,AL$4&gt;=$C$1),'General Inputs'!I$10*$I74,0))</f>
        <v>15.200658149879539</v>
      </c>
      <c r="AM74" s="214">
        <f>IF(AND(($E74+$C$1)&gt;AM$4,AM$4&gt;=$C$1),'General Inputs'!J$9*$H74,IF(AND(($D74+$C$1)&gt;AM$4,AM$4&gt;=$C$1),'General Inputs'!J$9*$G74,0))+IF(AND(($E74+$C$1)&gt;AM$4,AM$4&gt;=$C$1),'General Inputs'!J$10*$J74,IF(AND(($D74+$C$1)&gt;AM$4,AM$4&gt;=$C$1),'General Inputs'!J$10*$I74,0))</f>
        <v>15.428668022127731</v>
      </c>
      <c r="AN74" s="214">
        <f>IF(AND(($E74+$C$1)&gt;AN$4,AN$4&gt;=$C$1),'General Inputs'!K$9*$H74,IF(AND(($D74+$C$1)&gt;AN$4,AN$4&gt;=$C$1),'General Inputs'!K$9*$G74,0))+IF(AND(($E74+$C$1)&gt;AN$4,AN$4&gt;=$C$1),'General Inputs'!K$10*$J74,IF(AND(($D74+$C$1)&gt;AN$4,AN$4&gt;=$C$1),'General Inputs'!K$10*$I74,0))</f>
        <v>15.660098042459643</v>
      </c>
      <c r="AO74" s="214">
        <f>IF(AND(($E74+$C$1)&gt;AO$4,AO$4&gt;=$C$1),'General Inputs'!L$9*$H74,IF(AND(($D74+$C$1)&gt;AO$4,AO$4&gt;=$C$1),'General Inputs'!L$9*$G74,0))+IF(AND(($E74+$C$1)&gt;AO$4,AO$4&gt;=$C$1),'General Inputs'!L$10*$J74,IF(AND(($D74+$C$1)&gt;AO$4,AO$4&gt;=$C$1),'General Inputs'!L$10*$I74,0))</f>
        <v>0</v>
      </c>
      <c r="AP74" s="214">
        <f>IF(AND(($E74+$C$1)&gt;AP$4,AP$4&gt;=$C$1),'General Inputs'!M$9*$H74,IF(AND(($D74+$C$1)&gt;AP$4,AP$4&gt;=$C$1),'General Inputs'!M$9*$G74,0))+IF(AND(($E74+$C$1)&gt;AP$4,AP$4&gt;=$C$1),'General Inputs'!M$10*$J74,IF(AND(($D74+$C$1)&gt;AP$4,AP$4&gt;=$C$1),'General Inputs'!M$10*$I74,0))</f>
        <v>0</v>
      </c>
      <c r="AQ74" s="214">
        <f>IF(AND(($E74+$C$1)&gt;AQ$4,AQ$4&gt;=$C$1),'General Inputs'!N$9*$H74,IF(AND(($D74+$C$1)&gt;AQ$4,AQ$4&gt;=$C$1),'General Inputs'!N$9*$G74,0))+IF(AND(($E74+$C$1)&gt;AQ$4,AQ$4&gt;=$C$1),'General Inputs'!N$10*$J74,IF(AND(($D74+$C$1)&gt;AQ$4,AQ$4&gt;=$C$1),'General Inputs'!N$10*$I74,0))</f>
        <v>0</v>
      </c>
      <c r="AR74" s="214">
        <f>IF(AND(($E74+$C$1)&gt;AR$4,AR$4&gt;=$C$1),'General Inputs'!O$9*$H74,IF(AND(($D74+$C$1)&gt;AR$4,AR$4&gt;=$C$1),'General Inputs'!O$9*$G74,0))+IF(AND(($E74+$C$1)&gt;AR$4,AR$4&gt;=$C$1),'General Inputs'!O$10*$J74,IF(AND(($D74+$C$1)&gt;AR$4,AR$4&gt;=$C$1),'General Inputs'!O$10*$I74,0))</f>
        <v>0</v>
      </c>
      <c r="AS74" s="214">
        <f>IF(AND(($E74+$C$1)&gt;AS$4,AS$4&gt;=$C$1),'General Inputs'!P$9*$H74,IF(AND(($D74+$C$1)&gt;AS$4,AS$4&gt;=$C$1),'General Inputs'!P$9*$G74,0))+IF(AND(($E74+$C$1)&gt;AS$4,AS$4&gt;=$C$1),'General Inputs'!P$10*$J74,IF(AND(($D74+$C$1)&gt;AS$4,AS$4&gt;=$C$1),'General Inputs'!P$10*$I74,0))</f>
        <v>0</v>
      </c>
      <c r="AT74" s="214">
        <f>IF(AND(($E74+$C$1)&gt;AT$4,AT$4&gt;=$C$1),'General Inputs'!Q$9*$H74,IF(AND(($D74+$C$1)&gt;AT$4,AT$4&gt;=$C$1),'General Inputs'!Q$9*$G74,0))+IF(AND(($E74+$C$1)&gt;AT$4,AT$4&gt;=$C$1),'General Inputs'!Q$10*$J74,IF(AND(($D74+$C$1)&gt;AT$4,AT$4&gt;=$C$1),'General Inputs'!Q$10*$I74,0))</f>
        <v>0</v>
      </c>
      <c r="AU74" s="214">
        <f>IF(AND(($E74+$C$1)&gt;AU$4,AU$4&gt;=$C$1),'General Inputs'!R$9*$H74,IF(AND(($D74+$C$1)&gt;AU$4,AU$4&gt;=$C$1),'General Inputs'!R$9*$G74,0))+IF(AND(($E74+$C$1)&gt;AU$4,AU$4&gt;=$C$1),'General Inputs'!R$10*$J74,IF(AND(($D74+$C$1)&gt;AU$4,AU$4&gt;=$C$1),'General Inputs'!R$10*$I74,0))</f>
        <v>0</v>
      </c>
      <c r="AV74" s="214">
        <f>IF(AND(($E74+$C$1)&gt;AV$4,AV$4&gt;=$C$1),'General Inputs'!S$9*$H74,IF(AND(($D74+$C$1)&gt;AV$4,AV$4&gt;=$C$1),'General Inputs'!S$9*$G74,0))+IF(AND(($E74+$C$1)&gt;AV$4,AV$4&gt;=$C$1),'General Inputs'!S$10*$J74,IF(AND(($D74+$C$1)&gt;AV$4,AV$4&gt;=$C$1),'General Inputs'!S$10*$I74,0))</f>
        <v>0</v>
      </c>
      <c r="AW74" s="214">
        <f>IF(AND(($E74+$C$1)&gt;AW$4,AW$4&gt;=$C$1),'General Inputs'!T$9*$H74,IF(AND(($D74+$C$1)&gt;AW$4,AW$4&gt;=$C$1),'General Inputs'!T$9*$G74,0))+IF(AND(($E74+$C$1)&gt;AW$4,AW$4&gt;=$C$1),'General Inputs'!T$10*$J74,IF(AND(($D74+$C$1)&gt;AW$4,AW$4&gt;=$C$1),'General Inputs'!T$10*$I74,0))</f>
        <v>0</v>
      </c>
      <c r="AX74" s="214">
        <f>IF(AND(($E74+$C$1)&gt;AX$4,AX$4&gt;=$C$1),'General Inputs'!U$9*$H74,IF(AND(($D74+$C$1)&gt;AX$4,AX$4&gt;=$C$1),'General Inputs'!U$9*$G74,0))+IF(AND(($E74+$C$1)&gt;AX$4,AX$4&gt;=$C$1),'General Inputs'!U$10*$J74,IF(AND(($D74+$C$1)&gt;AX$4,AX$4&gt;=$C$1),'General Inputs'!U$10*$I74,0))</f>
        <v>0</v>
      </c>
      <c r="AY74" s="214">
        <f>IF(AND(($E74+$C$1)&gt;AY$4,AY$4&gt;=$C$1),'General Inputs'!V$9*$H74,IF(AND(($D74+$C$1)&gt;AY$4,AY$4&gt;=$C$1),'General Inputs'!V$9*$G74,0))+IF(AND(($E74+$C$1)&gt;AY$4,AY$4&gt;=$C$1),'General Inputs'!V$10*$J74,IF(AND(($D74+$C$1)&gt;AY$4,AY$4&gt;=$C$1),'General Inputs'!V$10*$I74,0))</f>
        <v>0</v>
      </c>
      <c r="AZ74" s="214">
        <f>IF(AND(($E74+$C$1)&gt;AZ$4,AZ$4&gt;=$C$1),'General Inputs'!W$9*$H74,IF(AND(($D74+$C$1)&gt;AZ$4,AZ$4&gt;=$C$1),'General Inputs'!W$9*$G74,0))+IF(AND(($E74+$C$1)&gt;AZ$4,AZ$4&gt;=$C$1),'General Inputs'!W$10*$J74,IF(AND(($D74+$C$1)&gt;AZ$4,AZ$4&gt;=$C$1),'General Inputs'!W$10*$I74,0))</f>
        <v>0</v>
      </c>
      <c r="BB74" s="214">
        <f>IF(AND(($E74+$C$1)&gt;BB$4,BB$4&gt;=$C$1),'General Inputs'!D$11*$H74,IF(AND(($D74+$C$1)&gt;BB$4,BB$4&gt;=$C$1),'General Inputs'!D$11*$G74,0))</f>
        <v>3.9924057419999999</v>
      </c>
      <c r="BC74" s="214">
        <f>IF(AND(($E74+$C$1)&gt;BC$4,BC$4&gt;=$C$1),'General Inputs'!E$11*$H74,IF(AND(($D74+$C$1)&gt;BC$4,BC$4&gt;=$C$1),'General Inputs'!E$11*$G74,0))</f>
        <v>3.9924057419999999</v>
      </c>
      <c r="BD74" s="214">
        <f>IF(AND(($E74+$C$1)&gt;BD$4,BD$4&gt;=$C$1),'General Inputs'!F$11*$H74,IF(AND(($D74+$C$1)&gt;BD$4,BD$4&gt;=$C$1),'General Inputs'!F$11*$G74,0))</f>
        <v>3.9924057419999999</v>
      </c>
      <c r="BE74" s="214">
        <f>IF(AND(($E74+$C$1)&gt;BE$4,BE$4&gt;=$C$1),'General Inputs'!G$11*$H74,IF(AND(($D74+$C$1)&gt;BE$4,BE$4&gt;=$C$1),'General Inputs'!G$11*$G74,0))</f>
        <v>3.9924057419999999</v>
      </c>
      <c r="BF74" s="214">
        <f>IF(AND(($E74+$C$1)&gt;BF$4,BF$4&gt;=$C$1),'General Inputs'!H$11*$H74,IF(AND(($D74+$C$1)&gt;BF$4,BF$4&gt;=$C$1),'General Inputs'!H$11*$G74,0))</f>
        <v>3.9924057419999999</v>
      </c>
      <c r="BG74" s="214">
        <f>IF(AND(($E74+$C$1)&gt;BG$4,BG$4&gt;=$C$1),'General Inputs'!I$11*$H74,IF(AND(($D74+$C$1)&gt;BG$4,BG$4&gt;=$C$1),'General Inputs'!I$11*$G74,0))</f>
        <v>3.9924057419999999</v>
      </c>
      <c r="BH74" s="214">
        <f>IF(AND(($E74+$C$1)&gt;BH$4,BH$4&gt;=$C$1),'General Inputs'!J$11*$H74,IF(AND(($D74+$C$1)&gt;BH$4,BH$4&gt;=$C$1),'General Inputs'!J$11*$G74,0))</f>
        <v>3.9924057419999999</v>
      </c>
      <c r="BI74" s="214">
        <f>IF(AND(($E74+$C$1)&gt;BI$4,BI$4&gt;=$C$1),'General Inputs'!K$11*$H74,IF(AND(($D74+$C$1)&gt;BI$4,BI$4&gt;=$C$1),'General Inputs'!K$11*$G74,0))</f>
        <v>3.9924057419999999</v>
      </c>
      <c r="BJ74" s="214">
        <f>IF(AND(($E74+$C$1)&gt;BJ$4,BJ$4&gt;=$C$1),'General Inputs'!L$11*$H74,IF(AND(($D74+$C$1)&gt;BJ$4,BJ$4&gt;=$C$1),'General Inputs'!L$11*$G74,0))</f>
        <v>0</v>
      </c>
      <c r="BK74" s="214">
        <f>IF(AND(($E74+$C$1)&gt;BK$4,BK$4&gt;=$C$1),'General Inputs'!M$11*$H74,IF(AND(($D74+$C$1)&gt;BK$4,BK$4&gt;=$C$1),'General Inputs'!M$11*$G74,0))</f>
        <v>0</v>
      </c>
      <c r="BL74" s="214">
        <f>IF(AND(($E74+$C$1)&gt;BL$4,BL$4&gt;=$C$1),'General Inputs'!N$11*$H74,IF(AND(($D74+$C$1)&gt;BL$4,BL$4&gt;=$C$1),'General Inputs'!N$11*$G74,0))</f>
        <v>0</v>
      </c>
      <c r="BM74" s="214">
        <f>IF(AND(($E74+$C$1)&gt;BM$4,BM$4&gt;=$C$1),'General Inputs'!O$11*$H74,IF(AND(($D74+$C$1)&gt;BM$4,BM$4&gt;=$C$1),'General Inputs'!O$11*$G74,0))</f>
        <v>0</v>
      </c>
      <c r="BN74" s="214">
        <f>IF(AND(($E74+$C$1)&gt;BN$4,BN$4&gt;=$C$1),'General Inputs'!P$11*$H74,IF(AND(($D74+$C$1)&gt;BN$4,BN$4&gt;=$C$1),'General Inputs'!P$11*$G74,0))</f>
        <v>0</v>
      </c>
      <c r="BO74" s="214">
        <f>IF(AND(($E74+$C$1)&gt;BO$4,BO$4&gt;=$C$1),'General Inputs'!Q$11*$H74,IF(AND(($D74+$C$1)&gt;BO$4,BO$4&gt;=$C$1),'General Inputs'!Q$11*$G74,0))</f>
        <v>0</v>
      </c>
      <c r="BP74" s="214">
        <f>IF(AND(($E74+$C$1)&gt;BP$4,BP$4&gt;=$C$1),'General Inputs'!R$11*$H74,IF(AND(($D74+$C$1)&gt;BP$4,BP$4&gt;=$C$1),'General Inputs'!R$11*$G74,0))</f>
        <v>0</v>
      </c>
      <c r="BQ74" s="214">
        <f>IF(AND(($E74+$C$1)&gt;BQ$4,BQ$4&gt;=$C$1),'General Inputs'!S$11*$H74,IF(AND(($D74+$C$1)&gt;BQ$4,BQ$4&gt;=$C$1),'General Inputs'!S$11*$G74,0))</f>
        <v>0</v>
      </c>
      <c r="BR74" s="214">
        <f>IF(AND(($E74+$C$1)&gt;BR$4,BR$4&gt;=$C$1),'General Inputs'!T$11*$H74,IF(AND(($D74+$C$1)&gt;BR$4,BR$4&gt;=$C$1),'General Inputs'!T$11*$G74,0))</f>
        <v>0</v>
      </c>
      <c r="BS74" s="214">
        <f>IF(AND(($E74+$C$1)&gt;BS$4,BS$4&gt;=$C$1),'General Inputs'!U$11*$H74,IF(AND(($D74+$C$1)&gt;BS$4,BS$4&gt;=$C$1),'General Inputs'!U$11*$G74,0))</f>
        <v>0</v>
      </c>
      <c r="BT74" s="214">
        <f>IF(AND(($E74+$C$1)&gt;BT$4,BT$4&gt;=$C$1),'General Inputs'!V$11*$H74,IF(AND(($D74+$C$1)&gt;BT$4,BT$4&gt;=$C$1),'General Inputs'!V$11*$G74,0))</f>
        <v>0</v>
      </c>
      <c r="BU74" s="214">
        <f>IF(AND(($E74+$C$1)&gt;BU$4,BU$4&gt;=$C$1),'General Inputs'!W$11*$H74,IF(AND(($D74+$C$1)&gt;BU$4,BU$4&gt;=$C$1),'General Inputs'!W$11*$G74,0))</f>
        <v>0</v>
      </c>
      <c r="BW74" s="214">
        <f>IF(AND(($E74+$C$1)&gt;BW$4,BW$4&gt;=$C$1),$H74,IF(AND(($D74+$C$1)&gt;BW$4,BW$4&gt;=$C$1),$G74,0))*IF($A74="Residential",'General Inputs'!D$14,'General Inputs'!D$19)</f>
        <v>36.58544275987073</v>
      </c>
      <c r="BX74" s="214">
        <f>IF(AND(($E74+$C$1)&gt;BX$4,BX$4&gt;=$C$1),$H74,IF(AND(($D74+$C$1)&gt;BX$4,BX$4&gt;=$C$1),$G74,0))*IF($A74="Residential",'General Inputs'!E$14,'General Inputs'!E$19)</f>
        <v>37.134224401268789</v>
      </c>
      <c r="BY74" s="214">
        <f>IF(AND(($E74+$C$1)&gt;BY$4,BY$4&gt;=$C$1),$H74,IF(AND(($D74+$C$1)&gt;BY$4,BY$4&gt;=$C$1),$G74,0))*IF($A74="Residential",'General Inputs'!F$14,'General Inputs'!F$19)</f>
        <v>37.691237767287824</v>
      </c>
      <c r="BZ74" s="214">
        <f>IF(AND(($E74+$C$1)&gt;BZ$4,BZ$4&gt;=$C$1),$H74,IF(AND(($D74+$C$1)&gt;BZ$4,BZ$4&gt;=$C$1),$G74,0))*IF($A74="Residential",'General Inputs'!G$14,'General Inputs'!G$19)</f>
        <v>38.256606333797137</v>
      </c>
      <c r="CA74" s="214">
        <f>IF(AND(($E74+$C$1)&gt;CA$4,CA$4&gt;=$C$1),$H74,IF(AND(($D74+$C$1)&gt;CA$4,CA$4&gt;=$C$1),$G74,0))*IF($A74="Residential",'General Inputs'!H$14,'General Inputs'!H$19)</f>
        <v>38.830455428804079</v>
      </c>
      <c r="CB74" s="214">
        <f>IF(AND(($E74+$C$1)&gt;CB$4,CB$4&gt;=$C$1),$H74,IF(AND(($D74+$C$1)&gt;CB$4,CB$4&gt;=$C$1),$G74,0))*IF($A74="Residential",'General Inputs'!I$14,'General Inputs'!I$19)</f>
        <v>39.412912260236133</v>
      </c>
      <c r="CC74" s="214">
        <f>IF(AND(($E74+$C$1)&gt;CC$4,CC$4&gt;=$C$1),$H74,IF(AND(($D74+$C$1)&gt;CC$4,CC$4&gt;=$C$1),$G74,0))*IF($A74="Residential",'General Inputs'!J$14,'General Inputs'!J$19)</f>
        <v>40.004105944139681</v>
      </c>
      <c r="CD74" s="214">
        <f>IF(AND(($E74+$C$1)&gt;CD$4,CD$4&gt;=$C$1),$H74,IF(AND(($D74+$C$1)&gt;CD$4,CD$4&gt;=$C$1),$G74,0))*IF($A74="Residential",'General Inputs'!K$14,'General Inputs'!K$19)</f>
        <v>40.604167533301769</v>
      </c>
      <c r="CE74" s="214">
        <f>IF(AND(($E74+$C$1)&gt;CE$4,CE$4&gt;=$C$1),$H74,IF(AND(($D74+$C$1)&gt;CE$4,CE$4&gt;=$C$1),$G74,0))*IF($A74="Residential",'General Inputs'!L$14,'General Inputs'!L$19)</f>
        <v>0</v>
      </c>
      <c r="CF74" s="214">
        <f>IF(AND(($E74+$C$1)&gt;CF$4,CF$4&gt;=$C$1),$H74,IF(AND(($D74+$C$1)&gt;CF$4,CF$4&gt;=$C$1),$G74,0))*IF($A74="Residential",'General Inputs'!M$14,'General Inputs'!M$19)</f>
        <v>0</v>
      </c>
      <c r="CG74" s="214">
        <f>IF(AND(($E74+$C$1)&gt;CG$4,CG$4&gt;=$C$1),$H74,IF(AND(($D74+$C$1)&gt;CG$4,CG$4&gt;=$C$1),$G74,0))*IF($A74="Residential",'General Inputs'!N$14,'General Inputs'!N$19)</f>
        <v>0</v>
      </c>
      <c r="CH74" s="214">
        <f>IF(AND(($E74+$C$1)&gt;CH$4,CH$4&gt;=$C$1),$H74,IF(AND(($D74+$C$1)&gt;CH$4,CH$4&gt;=$C$1),$G74,0))*IF($A74="Residential",'General Inputs'!O$14,'General Inputs'!O$19)</f>
        <v>0</v>
      </c>
      <c r="CI74" s="214">
        <f>IF(AND(($E74+$C$1)&gt;CI$4,CI$4&gt;=$C$1),$H74,IF(AND(($D74+$C$1)&gt;CI$4,CI$4&gt;=$C$1),$G74,0))*IF($A74="Residential",'General Inputs'!P$14,'General Inputs'!P$19)</f>
        <v>0</v>
      </c>
      <c r="CJ74" s="214">
        <f>IF(AND(($E74+$C$1)&gt;CJ$4,CJ$4&gt;=$C$1),$H74,IF(AND(($D74+$C$1)&gt;CJ$4,CJ$4&gt;=$C$1),$G74,0))*IF($A74="Residential",'General Inputs'!Q$14,'General Inputs'!Q$19)</f>
        <v>0</v>
      </c>
      <c r="CK74" s="214">
        <f>IF(AND(($E74+$C$1)&gt;CK$4,CK$4&gt;=$C$1),$H74,IF(AND(($D74+$C$1)&gt;CK$4,CK$4&gt;=$C$1),$G74,0))*IF($A74="Residential",'General Inputs'!R$14,'General Inputs'!R$19)</f>
        <v>0</v>
      </c>
      <c r="CL74" s="214">
        <f>IF(AND(($E74+$C$1)&gt;CL$4,CL$4&gt;=$C$1),$H74,IF(AND(($D74+$C$1)&gt;CL$4,CL$4&gt;=$C$1),$G74,0))*IF($A74="Residential",'General Inputs'!S$14,'General Inputs'!S$19)</f>
        <v>0</v>
      </c>
      <c r="CM74" s="214">
        <f>IF(AND(($E74+$C$1)&gt;CM$4,CM$4&gt;=$C$1),$H74,IF(AND(($D74+$C$1)&gt;CM$4,CM$4&gt;=$C$1),$G74,0))*IF($A74="Residential",'General Inputs'!T$14,'General Inputs'!T$19)</f>
        <v>0</v>
      </c>
      <c r="CN74" s="214">
        <f>IF(AND(($E74+$C$1)&gt;CN$4,CN$4&gt;=$C$1),$H74,IF(AND(($D74+$C$1)&gt;CN$4,CN$4&gt;=$C$1),$G74,0))*IF($A74="Residential",'General Inputs'!U$14,'General Inputs'!U$19)</f>
        <v>0</v>
      </c>
      <c r="CO74" s="214">
        <f>IF(AND(($E74+$C$1)&gt;CO$4,CO$4&gt;=$C$1),$H74,IF(AND(($D74+$C$1)&gt;CO$4,CO$4&gt;=$C$1),$G74,0))*IF($A74="Residential",'General Inputs'!V$14,'General Inputs'!V$19)</f>
        <v>0</v>
      </c>
      <c r="CP74" s="214">
        <f>IF(AND(($E74+$C$1)&gt;CP$4,CP$4&gt;=$C$1),$H74,IF(AND(($D74+$C$1)&gt;CP$4,CP$4&gt;=$C$1),$G74,0))*IF($A74="Residential",'General Inputs'!W$14,'General Inputs'!W$19)</f>
        <v>0</v>
      </c>
      <c r="CR74" s="214">
        <f>IF(AND(($E74+$C$1)&gt;CR$4,CR$4&gt;=$C$1),$H74,IF(AND(($D74+$C$1)&gt;CR$4,CR$4&gt;=$C$1),$G74,0))*IF($A74="Residential",'General Inputs'!D$15,'General Inputs'!D$19)</f>
        <v>36.58544275987073</v>
      </c>
      <c r="CS74" s="214">
        <f>IF(AND(($E74+$C$1)&gt;CS$4,CS$4&gt;=$C$1),$H74,IF(AND(($D74+$C$1)&gt;CS$4,CS$4&gt;=$C$1),$G74,0))*IF($A74="Residential",'General Inputs'!E$15,'General Inputs'!E$19)</f>
        <v>37.134224401268789</v>
      </c>
      <c r="CT74" s="214">
        <f>IF(AND(($E74+$C$1)&gt;CT$4,CT$4&gt;=$C$1),$H74,IF(AND(($D74+$C$1)&gt;CT$4,CT$4&gt;=$C$1),$G74,0))*IF($A74="Residential",'General Inputs'!F$15,'General Inputs'!F$19)</f>
        <v>37.691237767287824</v>
      </c>
      <c r="CU74" s="214">
        <f>IF(AND(($E74+$C$1)&gt;CU$4,CU$4&gt;=$C$1),$H74,IF(AND(($D74+$C$1)&gt;CU$4,CU$4&gt;=$C$1),$G74,0))*IF($A74="Residential",'General Inputs'!G$15,'General Inputs'!G$19)</f>
        <v>38.256606333797137</v>
      </c>
      <c r="CV74" s="214">
        <f>IF(AND(($E74+$C$1)&gt;CV$4,CV$4&gt;=$C$1),$H74,IF(AND(($D74+$C$1)&gt;CV$4,CV$4&gt;=$C$1),$G74,0))*IF($A74="Residential",'General Inputs'!H$15,'General Inputs'!H$19)</f>
        <v>38.830455428804079</v>
      </c>
      <c r="CW74" s="214">
        <f>IF(AND(($E74+$C$1)&gt;CW$4,CW$4&gt;=$C$1),$H74,IF(AND(($D74+$C$1)&gt;CW$4,CW$4&gt;=$C$1),$G74,0))*IF($A74="Residential",'General Inputs'!I$15,'General Inputs'!I$19)</f>
        <v>39.412912260236133</v>
      </c>
      <c r="CX74" s="214">
        <f>IF(AND(($E74+$C$1)&gt;CX$4,CX$4&gt;=$C$1),$H74,IF(AND(($D74+$C$1)&gt;CX$4,CX$4&gt;=$C$1),$G74,0))*IF($A74="Residential",'General Inputs'!J$15,'General Inputs'!J$19)</f>
        <v>40.004105944139681</v>
      </c>
      <c r="CY74" s="214">
        <f>IF(AND(($E74+$C$1)&gt;CY$4,CY$4&gt;=$C$1),$H74,IF(AND(($D74+$C$1)&gt;CY$4,CY$4&gt;=$C$1),$G74,0))*IF($A74="Residential",'General Inputs'!K$15,'General Inputs'!K$19)</f>
        <v>40.604167533301769</v>
      </c>
      <c r="CZ74" s="214">
        <f>IF(AND(($E74+$C$1)&gt;CZ$4,CZ$4&gt;=$C$1),$H74,IF(AND(($D74+$C$1)&gt;CZ$4,CZ$4&gt;=$C$1),$G74,0))*IF($A74="Residential",'General Inputs'!L$15,'General Inputs'!L$19)</f>
        <v>0</v>
      </c>
      <c r="DA74" s="214">
        <f>IF(AND(($E74+$C$1)&gt;DA$4,DA$4&gt;=$C$1),$H74,IF(AND(($D74+$C$1)&gt;DA$4,DA$4&gt;=$C$1),$G74,0))*IF($A74="Residential",'General Inputs'!M$15,'General Inputs'!M$19)</f>
        <v>0</v>
      </c>
      <c r="DB74" s="214">
        <f>IF(AND(($E74+$C$1)&gt;DB$4,DB$4&gt;=$C$1),$H74,IF(AND(($D74+$C$1)&gt;DB$4,DB$4&gt;=$C$1),$G74,0))*IF($A74="Residential",'General Inputs'!N$15,'General Inputs'!N$19)</f>
        <v>0</v>
      </c>
      <c r="DC74" s="214">
        <f>IF(AND(($E74+$C$1)&gt;DC$4,DC$4&gt;=$C$1),$H74,IF(AND(($D74+$C$1)&gt;DC$4,DC$4&gt;=$C$1),$G74,0))*IF($A74="Residential",'General Inputs'!O$15,'General Inputs'!O$19)</f>
        <v>0</v>
      </c>
      <c r="DD74" s="214">
        <f>IF(AND(($E74+$C$1)&gt;DD$4,DD$4&gt;=$C$1),$H74,IF(AND(($D74+$C$1)&gt;DD$4,DD$4&gt;=$C$1),$G74,0))*IF($A74="Residential",'General Inputs'!P$15,'General Inputs'!P$19)</f>
        <v>0</v>
      </c>
      <c r="DE74" s="214">
        <f>IF(AND(($E74+$C$1)&gt;DE$4,DE$4&gt;=$C$1),$H74,IF(AND(($D74+$C$1)&gt;DE$4,DE$4&gt;=$C$1),$G74,0))*IF($A74="Residential",'General Inputs'!Q$15,'General Inputs'!Q$19)</f>
        <v>0</v>
      </c>
      <c r="DF74" s="214">
        <f>IF(AND(($E74+$C$1)&gt;DF$4,DF$4&gt;=$C$1),$H74,IF(AND(($D74+$C$1)&gt;DF$4,DF$4&gt;=$C$1),$G74,0))*IF($A74="Residential",'General Inputs'!R$15,'General Inputs'!R$19)</f>
        <v>0</v>
      </c>
      <c r="DG74" s="214">
        <f>IF(AND(($E74+$C$1)&gt;DG$4,DG$4&gt;=$C$1),$H74,IF(AND(($D74+$C$1)&gt;DG$4,DG$4&gt;=$C$1),$G74,0))*IF($A74="Residential",'General Inputs'!S$15,'General Inputs'!S$19)</f>
        <v>0</v>
      </c>
      <c r="DH74" s="214">
        <f>IF(AND(($E74+$C$1)&gt;DH$4,DH$4&gt;=$C$1),$H74,IF(AND(($D74+$C$1)&gt;DH$4,DH$4&gt;=$C$1),$G74,0))*IF($A74="Residential",'General Inputs'!T$15,'General Inputs'!T$19)</f>
        <v>0</v>
      </c>
      <c r="DI74" s="214">
        <f>IF(AND(($E74+$C$1)&gt;DI$4,DI$4&gt;=$C$1),$H74,IF(AND(($D74+$C$1)&gt;DI$4,DI$4&gt;=$C$1),$G74,0))*IF($A74="Residential",'General Inputs'!U$15,'General Inputs'!U$19)</f>
        <v>0</v>
      </c>
      <c r="DJ74" s="214">
        <f>IF(AND(($E74+$C$1)&gt;DJ$4,DJ$4&gt;=$C$1),$H74,IF(AND(($D74+$C$1)&gt;DJ$4,DJ$4&gt;=$C$1),$G74,0))*IF($A74="Residential",'General Inputs'!V$15,'General Inputs'!V$19)</f>
        <v>0</v>
      </c>
      <c r="DK74" s="214">
        <f>IF(AND(($E74+$C$1)&gt;DK$4,DK$4&gt;=$C$1),$H74,IF(AND(($D74+$C$1)&gt;DK$4,DK$4&gt;=$C$1),$G74,0))*IF($A74="Residential",'General Inputs'!W$15,'General Inputs'!W$19)</f>
        <v>0</v>
      </c>
      <c r="DM74" s="214">
        <f t="shared" si="456"/>
        <v>55</v>
      </c>
      <c r="DN74" s="214">
        <f t="shared" si="456"/>
        <v>0</v>
      </c>
      <c r="DO74" s="214">
        <f t="shared" si="456"/>
        <v>0</v>
      </c>
      <c r="DP74" s="214">
        <f t="shared" si="456"/>
        <v>0</v>
      </c>
      <c r="DQ74" s="214">
        <f t="shared" si="456"/>
        <v>0</v>
      </c>
      <c r="DR74" s="214">
        <f t="shared" si="456"/>
        <v>0</v>
      </c>
      <c r="DS74" s="214">
        <f t="shared" si="456"/>
        <v>0</v>
      </c>
      <c r="DT74" s="214">
        <f t="shared" si="456"/>
        <v>0</v>
      </c>
      <c r="DU74" s="214">
        <f t="shared" si="456"/>
        <v>0</v>
      </c>
      <c r="DV74" s="214">
        <f t="shared" si="456"/>
        <v>0</v>
      </c>
      <c r="DW74" s="214">
        <f t="shared" si="456"/>
        <v>0</v>
      </c>
      <c r="DZ74" s="650"/>
      <c r="FI74" s="195"/>
      <c r="FJ74" s="195"/>
      <c r="FK74" s="195"/>
      <c r="FL74" s="195"/>
      <c r="FM74" s="195"/>
      <c r="FN74" s="195"/>
      <c r="FO74" s="195"/>
    </row>
    <row r="75" spans="1:171">
      <c r="A75" s="342" t="s">
        <v>112</v>
      </c>
      <c r="B75" s="427" t="str">
        <f>'Portfolio Inputs'!A74</f>
        <v>Fixture Mount Photo Sensor</v>
      </c>
      <c r="C75" s="217">
        <f>IF($C$1=2014,'Portfolio Inputs'!$C74,IF($C$1=2015,'Portfolio Inputs'!$D74,'Portfolio Inputs'!$E74))</f>
        <v>0</v>
      </c>
      <c r="D75" s="504">
        <f>VLOOKUP(B75,Sources!$B$4:$J$104,2,FALSE)</f>
        <v>8</v>
      </c>
      <c r="E75" s="504">
        <f>VLOOKUP(B75,Sources!$B$4:$J$104,3,FALSE)</f>
        <v>0</v>
      </c>
      <c r="G75" s="504">
        <f>IF($C$1=2014,'Portfolio Inputs'!$G74,IF($C$1=2015,'Portfolio Inputs'!$H74,'Portfolio Inputs'!$I74))*EnergyLineLoss</f>
        <v>0</v>
      </c>
      <c r="H75" s="504"/>
      <c r="I75" s="595">
        <f>IF($C$1=2014,'Portfolio Inputs'!$K74,IF($C$1=2015,'Portfolio Inputs'!$L74,'Portfolio Inputs'!$M74))*PeakLineLoss</f>
        <v>0</v>
      </c>
      <c r="J75" s="510"/>
      <c r="L75" s="606">
        <f>IF($C$1=2014,'Portfolio Inputs'!$O74,IF($C$1=2015,'Portfolio Inputs'!$P74,'Portfolio Inputs'!$Q74))</f>
        <v>65</v>
      </c>
      <c r="M75" s="518">
        <f>VLOOKUP($B75,Sources!$B$4:$K$104,10,FALSE)</f>
        <v>0</v>
      </c>
      <c r="N75" s="419">
        <f>IF($C$1=2014,'Portfolio Inputs'!$W74,IF($C$1=2015,'Portfolio Inputs'!$X74,'Portfolio Inputs'!$Y74))</f>
        <v>0</v>
      </c>
      <c r="O75" s="419">
        <f>IF($C$1=2014,'Portfolio Inputs'!$AA74,IF($C$1=2015,'Portfolio Inputs'!$AB74,'Portfolio Inputs'!$AC74))</f>
        <v>0</v>
      </c>
      <c r="Q75" s="438" t="str">
        <f t="shared" si="442"/>
        <v>n/a</v>
      </c>
      <c r="R75" s="439" t="str">
        <f t="shared" si="443"/>
        <v>n/a</v>
      </c>
      <c r="S75" s="439" t="str">
        <f t="shared" si="444"/>
        <v>n/a</v>
      </c>
      <c r="T75" s="439" t="str">
        <f t="shared" si="445"/>
        <v>n/a</v>
      </c>
      <c r="U75" s="439" t="str">
        <f t="shared" si="446"/>
        <v>n/a</v>
      </c>
      <c r="V75" s="439" t="str">
        <f t="shared" si="447"/>
        <v>n/a</v>
      </c>
      <c r="W75" s="439" t="str">
        <f t="shared" si="448"/>
        <v>n/a</v>
      </c>
      <c r="Y75" s="215">
        <f t="shared" si="449"/>
        <v>0</v>
      </c>
      <c r="Z75" s="215">
        <f t="shared" si="450"/>
        <v>0</v>
      </c>
      <c r="AA75" s="215">
        <f t="shared" si="451"/>
        <v>0</v>
      </c>
      <c r="AB75" s="215">
        <f t="shared" si="452"/>
        <v>0</v>
      </c>
      <c r="AC75" s="216">
        <f t="shared" si="453"/>
        <v>0</v>
      </c>
      <c r="AD75" s="216">
        <f t="shared" si="454"/>
        <v>0</v>
      </c>
      <c r="AE75" s="215">
        <f t="shared" si="455"/>
        <v>0</v>
      </c>
      <c r="AG75" s="214">
        <f>IF(AND(($E75+$C$1)&gt;AG$4,AG$4&gt;=$C$1),'General Inputs'!D$9*$H75,IF(AND(($D75+$C$1)&gt;AG$4,AG$4&gt;=$C$1),'General Inputs'!D$9*$G75,0))+IF(AND(($E75+$C$1)&gt;AG$4,AG$4&gt;=$C$1),'General Inputs'!D$10*$J75,IF(AND(($D75+$C$1)&gt;AG$4,AG$4&gt;=$C$1),'General Inputs'!D$10*$I75,0))</f>
        <v>0</v>
      </c>
      <c r="AH75" s="214">
        <f>IF(AND(($E75+$C$1)&gt;AH$4,AH$4&gt;=$C$1),'General Inputs'!E$9*$H75,IF(AND(($D75+$C$1)&gt;AH$4,AH$4&gt;=$C$1),'General Inputs'!E$9*$G75,0))+IF(AND(($E75+$C$1)&gt;AH$4,AH$4&gt;=$C$1),'General Inputs'!E$10*$J75,IF(AND(($D75+$C$1)&gt;AH$4,AH$4&gt;=$C$1),'General Inputs'!E$10*$I75,0))</f>
        <v>0</v>
      </c>
      <c r="AI75" s="214">
        <f>IF(AND(($E75+$C$1)&gt;AI$4,AI$4&gt;=$C$1),'General Inputs'!F$9*$H75,IF(AND(($D75+$C$1)&gt;AI$4,AI$4&gt;=$C$1),'General Inputs'!F$9*$G75,0))+IF(AND(($E75+$C$1)&gt;AI$4,AI$4&gt;=$C$1),'General Inputs'!F$10*$J75,IF(AND(($D75+$C$1)&gt;AI$4,AI$4&gt;=$C$1),'General Inputs'!F$10*$I75,0))</f>
        <v>0</v>
      </c>
      <c r="AJ75" s="214">
        <f>IF(AND(($E75+$C$1)&gt;AJ$4,AJ$4&gt;=$C$1),'General Inputs'!G$9*$H75,IF(AND(($D75+$C$1)&gt;AJ$4,AJ$4&gt;=$C$1),'General Inputs'!G$9*$G75,0))+IF(AND(($E75+$C$1)&gt;AJ$4,AJ$4&gt;=$C$1),'General Inputs'!G$10*$J75,IF(AND(($D75+$C$1)&gt;AJ$4,AJ$4&gt;=$C$1),'General Inputs'!G$10*$I75,0))</f>
        <v>0</v>
      </c>
      <c r="AK75" s="214">
        <f>IF(AND(($E75+$C$1)&gt;AK$4,AK$4&gt;=$C$1),'General Inputs'!H$9*$H75,IF(AND(($D75+$C$1)&gt;AK$4,AK$4&gt;=$C$1),'General Inputs'!H$9*$G75,0))+IF(AND(($E75+$C$1)&gt;AK$4,AK$4&gt;=$C$1),'General Inputs'!H$10*$J75,IF(AND(($D75+$C$1)&gt;AK$4,AK$4&gt;=$C$1),'General Inputs'!H$10*$I75,0))</f>
        <v>0</v>
      </c>
      <c r="AL75" s="214">
        <f>IF(AND(($E75+$C$1)&gt;AL$4,AL$4&gt;=$C$1),'General Inputs'!I$9*$H75,IF(AND(($D75+$C$1)&gt;AL$4,AL$4&gt;=$C$1),'General Inputs'!I$9*$G75,0))+IF(AND(($E75+$C$1)&gt;AL$4,AL$4&gt;=$C$1),'General Inputs'!I$10*$J75,IF(AND(($D75+$C$1)&gt;AL$4,AL$4&gt;=$C$1),'General Inputs'!I$10*$I75,0))</f>
        <v>0</v>
      </c>
      <c r="AM75" s="214">
        <f>IF(AND(($E75+$C$1)&gt;AM$4,AM$4&gt;=$C$1),'General Inputs'!J$9*$H75,IF(AND(($D75+$C$1)&gt;AM$4,AM$4&gt;=$C$1),'General Inputs'!J$9*$G75,0))+IF(AND(($E75+$C$1)&gt;AM$4,AM$4&gt;=$C$1),'General Inputs'!J$10*$J75,IF(AND(($D75+$C$1)&gt;AM$4,AM$4&gt;=$C$1),'General Inputs'!J$10*$I75,0))</f>
        <v>0</v>
      </c>
      <c r="AN75" s="214">
        <f>IF(AND(($E75+$C$1)&gt;AN$4,AN$4&gt;=$C$1),'General Inputs'!K$9*$H75,IF(AND(($D75+$C$1)&gt;AN$4,AN$4&gt;=$C$1),'General Inputs'!K$9*$G75,0))+IF(AND(($E75+$C$1)&gt;AN$4,AN$4&gt;=$C$1),'General Inputs'!K$10*$J75,IF(AND(($D75+$C$1)&gt;AN$4,AN$4&gt;=$C$1),'General Inputs'!K$10*$I75,0))</f>
        <v>0</v>
      </c>
      <c r="AO75" s="214">
        <f>IF(AND(($E75+$C$1)&gt;AO$4,AO$4&gt;=$C$1),'General Inputs'!L$9*$H75,IF(AND(($D75+$C$1)&gt;AO$4,AO$4&gt;=$C$1),'General Inputs'!L$9*$G75,0))+IF(AND(($E75+$C$1)&gt;AO$4,AO$4&gt;=$C$1),'General Inputs'!L$10*$J75,IF(AND(($D75+$C$1)&gt;AO$4,AO$4&gt;=$C$1),'General Inputs'!L$10*$I75,0))</f>
        <v>0</v>
      </c>
      <c r="AP75" s="214">
        <f>IF(AND(($E75+$C$1)&gt;AP$4,AP$4&gt;=$C$1),'General Inputs'!M$9*$H75,IF(AND(($D75+$C$1)&gt;AP$4,AP$4&gt;=$C$1),'General Inputs'!M$9*$G75,0))+IF(AND(($E75+$C$1)&gt;AP$4,AP$4&gt;=$C$1),'General Inputs'!M$10*$J75,IF(AND(($D75+$C$1)&gt;AP$4,AP$4&gt;=$C$1),'General Inputs'!M$10*$I75,0))</f>
        <v>0</v>
      </c>
      <c r="AQ75" s="214">
        <f>IF(AND(($E75+$C$1)&gt;AQ$4,AQ$4&gt;=$C$1),'General Inputs'!N$9*$H75,IF(AND(($D75+$C$1)&gt;AQ$4,AQ$4&gt;=$C$1),'General Inputs'!N$9*$G75,0))+IF(AND(($E75+$C$1)&gt;AQ$4,AQ$4&gt;=$C$1),'General Inputs'!N$10*$J75,IF(AND(($D75+$C$1)&gt;AQ$4,AQ$4&gt;=$C$1),'General Inputs'!N$10*$I75,0))</f>
        <v>0</v>
      </c>
      <c r="AR75" s="214">
        <f>IF(AND(($E75+$C$1)&gt;AR$4,AR$4&gt;=$C$1),'General Inputs'!O$9*$H75,IF(AND(($D75+$C$1)&gt;AR$4,AR$4&gt;=$C$1),'General Inputs'!O$9*$G75,0))+IF(AND(($E75+$C$1)&gt;AR$4,AR$4&gt;=$C$1),'General Inputs'!O$10*$J75,IF(AND(($D75+$C$1)&gt;AR$4,AR$4&gt;=$C$1),'General Inputs'!O$10*$I75,0))</f>
        <v>0</v>
      </c>
      <c r="AS75" s="214">
        <f>IF(AND(($E75+$C$1)&gt;AS$4,AS$4&gt;=$C$1),'General Inputs'!P$9*$H75,IF(AND(($D75+$C$1)&gt;AS$4,AS$4&gt;=$C$1),'General Inputs'!P$9*$G75,0))+IF(AND(($E75+$C$1)&gt;AS$4,AS$4&gt;=$C$1),'General Inputs'!P$10*$J75,IF(AND(($D75+$C$1)&gt;AS$4,AS$4&gt;=$C$1),'General Inputs'!P$10*$I75,0))</f>
        <v>0</v>
      </c>
      <c r="AT75" s="214">
        <f>IF(AND(($E75+$C$1)&gt;AT$4,AT$4&gt;=$C$1),'General Inputs'!Q$9*$H75,IF(AND(($D75+$C$1)&gt;AT$4,AT$4&gt;=$C$1),'General Inputs'!Q$9*$G75,0))+IF(AND(($E75+$C$1)&gt;AT$4,AT$4&gt;=$C$1),'General Inputs'!Q$10*$J75,IF(AND(($D75+$C$1)&gt;AT$4,AT$4&gt;=$C$1),'General Inputs'!Q$10*$I75,0))</f>
        <v>0</v>
      </c>
      <c r="AU75" s="214">
        <f>IF(AND(($E75+$C$1)&gt;AU$4,AU$4&gt;=$C$1),'General Inputs'!R$9*$H75,IF(AND(($D75+$C$1)&gt;AU$4,AU$4&gt;=$C$1),'General Inputs'!R$9*$G75,0))+IF(AND(($E75+$C$1)&gt;AU$4,AU$4&gt;=$C$1),'General Inputs'!R$10*$J75,IF(AND(($D75+$C$1)&gt;AU$4,AU$4&gt;=$C$1),'General Inputs'!R$10*$I75,0))</f>
        <v>0</v>
      </c>
      <c r="AV75" s="214">
        <f>IF(AND(($E75+$C$1)&gt;AV$4,AV$4&gt;=$C$1),'General Inputs'!S$9*$H75,IF(AND(($D75+$C$1)&gt;AV$4,AV$4&gt;=$C$1),'General Inputs'!S$9*$G75,0))+IF(AND(($E75+$C$1)&gt;AV$4,AV$4&gt;=$C$1),'General Inputs'!S$10*$J75,IF(AND(($D75+$C$1)&gt;AV$4,AV$4&gt;=$C$1),'General Inputs'!S$10*$I75,0))</f>
        <v>0</v>
      </c>
      <c r="AW75" s="214">
        <f>IF(AND(($E75+$C$1)&gt;AW$4,AW$4&gt;=$C$1),'General Inputs'!T$9*$H75,IF(AND(($D75+$C$1)&gt;AW$4,AW$4&gt;=$C$1),'General Inputs'!T$9*$G75,0))+IF(AND(($E75+$C$1)&gt;AW$4,AW$4&gt;=$C$1),'General Inputs'!T$10*$J75,IF(AND(($D75+$C$1)&gt;AW$4,AW$4&gt;=$C$1),'General Inputs'!T$10*$I75,0))</f>
        <v>0</v>
      </c>
      <c r="AX75" s="214">
        <f>IF(AND(($E75+$C$1)&gt;AX$4,AX$4&gt;=$C$1),'General Inputs'!U$9*$H75,IF(AND(($D75+$C$1)&gt;AX$4,AX$4&gt;=$C$1),'General Inputs'!U$9*$G75,0))+IF(AND(($E75+$C$1)&gt;AX$4,AX$4&gt;=$C$1),'General Inputs'!U$10*$J75,IF(AND(($D75+$C$1)&gt;AX$4,AX$4&gt;=$C$1),'General Inputs'!U$10*$I75,0))</f>
        <v>0</v>
      </c>
      <c r="AY75" s="214">
        <f>IF(AND(($E75+$C$1)&gt;AY$4,AY$4&gt;=$C$1),'General Inputs'!V$9*$H75,IF(AND(($D75+$C$1)&gt;AY$4,AY$4&gt;=$C$1),'General Inputs'!V$9*$G75,0))+IF(AND(($E75+$C$1)&gt;AY$4,AY$4&gt;=$C$1),'General Inputs'!V$10*$J75,IF(AND(($D75+$C$1)&gt;AY$4,AY$4&gt;=$C$1),'General Inputs'!V$10*$I75,0))</f>
        <v>0</v>
      </c>
      <c r="AZ75" s="214">
        <f>IF(AND(($E75+$C$1)&gt;AZ$4,AZ$4&gt;=$C$1),'General Inputs'!W$9*$H75,IF(AND(($D75+$C$1)&gt;AZ$4,AZ$4&gt;=$C$1),'General Inputs'!W$9*$G75,0))+IF(AND(($E75+$C$1)&gt;AZ$4,AZ$4&gt;=$C$1),'General Inputs'!W$10*$J75,IF(AND(($D75+$C$1)&gt;AZ$4,AZ$4&gt;=$C$1),'General Inputs'!W$10*$I75,0))</f>
        <v>0</v>
      </c>
      <c r="BB75" s="214">
        <f>IF(AND(($E75+$C$1)&gt;BB$4,BB$4&gt;=$C$1),'General Inputs'!D$11*$H75,IF(AND(($D75+$C$1)&gt;BB$4,BB$4&gt;=$C$1),'General Inputs'!D$11*$G75,0))</f>
        <v>0</v>
      </c>
      <c r="BC75" s="214">
        <f>IF(AND(($E75+$C$1)&gt;BC$4,BC$4&gt;=$C$1),'General Inputs'!E$11*$H75,IF(AND(($D75+$C$1)&gt;BC$4,BC$4&gt;=$C$1),'General Inputs'!E$11*$G75,0))</f>
        <v>0</v>
      </c>
      <c r="BD75" s="214">
        <f>IF(AND(($E75+$C$1)&gt;BD$4,BD$4&gt;=$C$1),'General Inputs'!F$11*$H75,IF(AND(($D75+$C$1)&gt;BD$4,BD$4&gt;=$C$1),'General Inputs'!F$11*$G75,0))</f>
        <v>0</v>
      </c>
      <c r="BE75" s="214">
        <f>IF(AND(($E75+$C$1)&gt;BE$4,BE$4&gt;=$C$1),'General Inputs'!G$11*$H75,IF(AND(($D75+$C$1)&gt;BE$4,BE$4&gt;=$C$1),'General Inputs'!G$11*$G75,0))</f>
        <v>0</v>
      </c>
      <c r="BF75" s="214">
        <f>IF(AND(($E75+$C$1)&gt;BF$4,BF$4&gt;=$C$1),'General Inputs'!H$11*$H75,IF(AND(($D75+$C$1)&gt;BF$4,BF$4&gt;=$C$1),'General Inputs'!H$11*$G75,0))</f>
        <v>0</v>
      </c>
      <c r="BG75" s="214">
        <f>IF(AND(($E75+$C$1)&gt;BG$4,BG$4&gt;=$C$1),'General Inputs'!I$11*$H75,IF(AND(($D75+$C$1)&gt;BG$4,BG$4&gt;=$C$1),'General Inputs'!I$11*$G75,0))</f>
        <v>0</v>
      </c>
      <c r="BH75" s="214">
        <f>IF(AND(($E75+$C$1)&gt;BH$4,BH$4&gt;=$C$1),'General Inputs'!J$11*$H75,IF(AND(($D75+$C$1)&gt;BH$4,BH$4&gt;=$C$1),'General Inputs'!J$11*$G75,0))</f>
        <v>0</v>
      </c>
      <c r="BI75" s="214">
        <f>IF(AND(($E75+$C$1)&gt;BI$4,BI$4&gt;=$C$1),'General Inputs'!K$11*$H75,IF(AND(($D75+$C$1)&gt;BI$4,BI$4&gt;=$C$1),'General Inputs'!K$11*$G75,0))</f>
        <v>0</v>
      </c>
      <c r="BJ75" s="214">
        <f>IF(AND(($E75+$C$1)&gt;BJ$4,BJ$4&gt;=$C$1),'General Inputs'!L$11*$H75,IF(AND(($D75+$C$1)&gt;BJ$4,BJ$4&gt;=$C$1),'General Inputs'!L$11*$G75,0))</f>
        <v>0</v>
      </c>
      <c r="BK75" s="214">
        <f>IF(AND(($E75+$C$1)&gt;BK$4,BK$4&gt;=$C$1),'General Inputs'!M$11*$H75,IF(AND(($D75+$C$1)&gt;BK$4,BK$4&gt;=$C$1),'General Inputs'!M$11*$G75,0))</f>
        <v>0</v>
      </c>
      <c r="BL75" s="214">
        <f>IF(AND(($E75+$C$1)&gt;BL$4,BL$4&gt;=$C$1),'General Inputs'!N$11*$H75,IF(AND(($D75+$C$1)&gt;BL$4,BL$4&gt;=$C$1),'General Inputs'!N$11*$G75,0))</f>
        <v>0</v>
      </c>
      <c r="BM75" s="214">
        <f>IF(AND(($E75+$C$1)&gt;BM$4,BM$4&gt;=$C$1),'General Inputs'!O$11*$H75,IF(AND(($D75+$C$1)&gt;BM$4,BM$4&gt;=$C$1),'General Inputs'!O$11*$G75,0))</f>
        <v>0</v>
      </c>
      <c r="BN75" s="214">
        <f>IF(AND(($E75+$C$1)&gt;BN$4,BN$4&gt;=$C$1),'General Inputs'!P$11*$H75,IF(AND(($D75+$C$1)&gt;BN$4,BN$4&gt;=$C$1),'General Inputs'!P$11*$G75,0))</f>
        <v>0</v>
      </c>
      <c r="BO75" s="214">
        <f>IF(AND(($E75+$C$1)&gt;BO$4,BO$4&gt;=$C$1),'General Inputs'!Q$11*$H75,IF(AND(($D75+$C$1)&gt;BO$4,BO$4&gt;=$C$1),'General Inputs'!Q$11*$G75,0))</f>
        <v>0</v>
      </c>
      <c r="BP75" s="214">
        <f>IF(AND(($E75+$C$1)&gt;BP$4,BP$4&gt;=$C$1),'General Inputs'!R$11*$H75,IF(AND(($D75+$C$1)&gt;BP$4,BP$4&gt;=$C$1),'General Inputs'!R$11*$G75,0))</f>
        <v>0</v>
      </c>
      <c r="BQ75" s="214">
        <f>IF(AND(($E75+$C$1)&gt;BQ$4,BQ$4&gt;=$C$1),'General Inputs'!S$11*$H75,IF(AND(($D75+$C$1)&gt;BQ$4,BQ$4&gt;=$C$1),'General Inputs'!S$11*$G75,0))</f>
        <v>0</v>
      </c>
      <c r="BR75" s="214">
        <f>IF(AND(($E75+$C$1)&gt;BR$4,BR$4&gt;=$C$1),'General Inputs'!T$11*$H75,IF(AND(($D75+$C$1)&gt;BR$4,BR$4&gt;=$C$1),'General Inputs'!T$11*$G75,0))</f>
        <v>0</v>
      </c>
      <c r="BS75" s="214">
        <f>IF(AND(($E75+$C$1)&gt;BS$4,BS$4&gt;=$C$1),'General Inputs'!U$11*$H75,IF(AND(($D75+$C$1)&gt;BS$4,BS$4&gt;=$C$1),'General Inputs'!U$11*$G75,0))</f>
        <v>0</v>
      </c>
      <c r="BT75" s="214">
        <f>IF(AND(($E75+$C$1)&gt;BT$4,BT$4&gt;=$C$1),'General Inputs'!V$11*$H75,IF(AND(($D75+$C$1)&gt;BT$4,BT$4&gt;=$C$1),'General Inputs'!V$11*$G75,0))</f>
        <v>0</v>
      </c>
      <c r="BU75" s="214">
        <f>IF(AND(($E75+$C$1)&gt;BU$4,BU$4&gt;=$C$1),'General Inputs'!W$11*$H75,IF(AND(($D75+$C$1)&gt;BU$4,BU$4&gt;=$C$1),'General Inputs'!W$11*$G75,0))</f>
        <v>0</v>
      </c>
      <c r="BW75" s="214">
        <f>IF(AND(($E75+$C$1)&gt;BW$4,BW$4&gt;=$C$1),$H75,IF(AND(($D75+$C$1)&gt;BW$4,BW$4&gt;=$C$1),$G75,0))*IF($A75="Residential",'General Inputs'!D$14,'General Inputs'!D$19)</f>
        <v>0</v>
      </c>
      <c r="BX75" s="214">
        <f>IF(AND(($E75+$C$1)&gt;BX$4,BX$4&gt;=$C$1),$H75,IF(AND(($D75+$C$1)&gt;BX$4,BX$4&gt;=$C$1),$G75,0))*IF($A75="Residential",'General Inputs'!E$14,'General Inputs'!E$19)</f>
        <v>0</v>
      </c>
      <c r="BY75" s="214">
        <f>IF(AND(($E75+$C$1)&gt;BY$4,BY$4&gt;=$C$1),$H75,IF(AND(($D75+$C$1)&gt;BY$4,BY$4&gt;=$C$1),$G75,0))*IF($A75="Residential",'General Inputs'!F$14,'General Inputs'!F$19)</f>
        <v>0</v>
      </c>
      <c r="BZ75" s="214">
        <f>IF(AND(($E75+$C$1)&gt;BZ$4,BZ$4&gt;=$C$1),$H75,IF(AND(($D75+$C$1)&gt;BZ$4,BZ$4&gt;=$C$1),$G75,0))*IF($A75="Residential",'General Inputs'!G$14,'General Inputs'!G$19)</f>
        <v>0</v>
      </c>
      <c r="CA75" s="214">
        <f>IF(AND(($E75+$C$1)&gt;CA$4,CA$4&gt;=$C$1),$H75,IF(AND(($D75+$C$1)&gt;CA$4,CA$4&gt;=$C$1),$G75,0))*IF($A75="Residential",'General Inputs'!H$14,'General Inputs'!H$19)</f>
        <v>0</v>
      </c>
      <c r="CB75" s="214">
        <f>IF(AND(($E75+$C$1)&gt;CB$4,CB$4&gt;=$C$1),$H75,IF(AND(($D75+$C$1)&gt;CB$4,CB$4&gt;=$C$1),$G75,0))*IF($A75="Residential",'General Inputs'!I$14,'General Inputs'!I$19)</f>
        <v>0</v>
      </c>
      <c r="CC75" s="214">
        <f>IF(AND(($E75+$C$1)&gt;CC$4,CC$4&gt;=$C$1),$H75,IF(AND(($D75+$C$1)&gt;CC$4,CC$4&gt;=$C$1),$G75,0))*IF($A75="Residential",'General Inputs'!J$14,'General Inputs'!J$19)</f>
        <v>0</v>
      </c>
      <c r="CD75" s="214">
        <f>IF(AND(($E75+$C$1)&gt;CD$4,CD$4&gt;=$C$1),$H75,IF(AND(($D75+$C$1)&gt;CD$4,CD$4&gt;=$C$1),$G75,0))*IF($A75="Residential",'General Inputs'!K$14,'General Inputs'!K$19)</f>
        <v>0</v>
      </c>
      <c r="CE75" s="214">
        <f>IF(AND(($E75+$C$1)&gt;CE$4,CE$4&gt;=$C$1),$H75,IF(AND(($D75+$C$1)&gt;CE$4,CE$4&gt;=$C$1),$G75,0))*IF($A75="Residential",'General Inputs'!L$14,'General Inputs'!L$19)</f>
        <v>0</v>
      </c>
      <c r="CF75" s="214">
        <f>IF(AND(($E75+$C$1)&gt;CF$4,CF$4&gt;=$C$1),$H75,IF(AND(($D75+$C$1)&gt;CF$4,CF$4&gt;=$C$1),$G75,0))*IF($A75="Residential",'General Inputs'!M$14,'General Inputs'!M$19)</f>
        <v>0</v>
      </c>
      <c r="CG75" s="214">
        <f>IF(AND(($E75+$C$1)&gt;CG$4,CG$4&gt;=$C$1),$H75,IF(AND(($D75+$C$1)&gt;CG$4,CG$4&gt;=$C$1),$G75,0))*IF($A75="Residential",'General Inputs'!N$14,'General Inputs'!N$19)</f>
        <v>0</v>
      </c>
      <c r="CH75" s="214">
        <f>IF(AND(($E75+$C$1)&gt;CH$4,CH$4&gt;=$C$1),$H75,IF(AND(($D75+$C$1)&gt;CH$4,CH$4&gt;=$C$1),$G75,0))*IF($A75="Residential",'General Inputs'!O$14,'General Inputs'!O$19)</f>
        <v>0</v>
      </c>
      <c r="CI75" s="214">
        <f>IF(AND(($E75+$C$1)&gt;CI$4,CI$4&gt;=$C$1),$H75,IF(AND(($D75+$C$1)&gt;CI$4,CI$4&gt;=$C$1),$G75,0))*IF($A75="Residential",'General Inputs'!P$14,'General Inputs'!P$19)</f>
        <v>0</v>
      </c>
      <c r="CJ75" s="214">
        <f>IF(AND(($E75+$C$1)&gt;CJ$4,CJ$4&gt;=$C$1),$H75,IF(AND(($D75+$C$1)&gt;CJ$4,CJ$4&gt;=$C$1),$G75,0))*IF($A75="Residential",'General Inputs'!Q$14,'General Inputs'!Q$19)</f>
        <v>0</v>
      </c>
      <c r="CK75" s="214">
        <f>IF(AND(($E75+$C$1)&gt;CK$4,CK$4&gt;=$C$1),$H75,IF(AND(($D75+$C$1)&gt;CK$4,CK$4&gt;=$C$1),$G75,0))*IF($A75="Residential",'General Inputs'!R$14,'General Inputs'!R$19)</f>
        <v>0</v>
      </c>
      <c r="CL75" s="214">
        <f>IF(AND(($E75+$C$1)&gt;CL$4,CL$4&gt;=$C$1),$H75,IF(AND(($D75+$C$1)&gt;CL$4,CL$4&gt;=$C$1),$G75,0))*IF($A75="Residential",'General Inputs'!S$14,'General Inputs'!S$19)</f>
        <v>0</v>
      </c>
      <c r="CM75" s="214">
        <f>IF(AND(($E75+$C$1)&gt;CM$4,CM$4&gt;=$C$1),$H75,IF(AND(($D75+$C$1)&gt;CM$4,CM$4&gt;=$C$1),$G75,0))*IF($A75="Residential",'General Inputs'!T$14,'General Inputs'!T$19)</f>
        <v>0</v>
      </c>
      <c r="CN75" s="214">
        <f>IF(AND(($E75+$C$1)&gt;CN$4,CN$4&gt;=$C$1),$H75,IF(AND(($D75+$C$1)&gt;CN$4,CN$4&gt;=$C$1),$G75,0))*IF($A75="Residential",'General Inputs'!U$14,'General Inputs'!U$19)</f>
        <v>0</v>
      </c>
      <c r="CO75" s="214">
        <f>IF(AND(($E75+$C$1)&gt;CO$4,CO$4&gt;=$C$1),$H75,IF(AND(($D75+$C$1)&gt;CO$4,CO$4&gt;=$C$1),$G75,0))*IF($A75="Residential",'General Inputs'!V$14,'General Inputs'!V$19)</f>
        <v>0</v>
      </c>
      <c r="CP75" s="214">
        <f>IF(AND(($E75+$C$1)&gt;CP$4,CP$4&gt;=$C$1),$H75,IF(AND(($D75+$C$1)&gt;CP$4,CP$4&gt;=$C$1),$G75,0))*IF($A75="Residential",'General Inputs'!W$14,'General Inputs'!W$19)</f>
        <v>0</v>
      </c>
      <c r="CR75" s="214">
        <f>IF(AND(($E75+$C$1)&gt;CR$4,CR$4&gt;=$C$1),$H75,IF(AND(($D75+$C$1)&gt;CR$4,CR$4&gt;=$C$1),$G75,0))*IF($A75="Residential",'General Inputs'!D$15,'General Inputs'!D$19)</f>
        <v>0</v>
      </c>
      <c r="CS75" s="214">
        <f>IF(AND(($E75+$C$1)&gt;CS$4,CS$4&gt;=$C$1),$H75,IF(AND(($D75+$C$1)&gt;CS$4,CS$4&gt;=$C$1),$G75,0))*IF($A75="Residential",'General Inputs'!E$15,'General Inputs'!E$19)</f>
        <v>0</v>
      </c>
      <c r="CT75" s="214">
        <f>IF(AND(($E75+$C$1)&gt;CT$4,CT$4&gt;=$C$1),$H75,IF(AND(($D75+$C$1)&gt;CT$4,CT$4&gt;=$C$1),$G75,0))*IF($A75="Residential",'General Inputs'!F$15,'General Inputs'!F$19)</f>
        <v>0</v>
      </c>
      <c r="CU75" s="214">
        <f>IF(AND(($E75+$C$1)&gt;CU$4,CU$4&gt;=$C$1),$H75,IF(AND(($D75+$C$1)&gt;CU$4,CU$4&gt;=$C$1),$G75,0))*IF($A75="Residential",'General Inputs'!G$15,'General Inputs'!G$19)</f>
        <v>0</v>
      </c>
      <c r="CV75" s="214">
        <f>IF(AND(($E75+$C$1)&gt;CV$4,CV$4&gt;=$C$1),$H75,IF(AND(($D75+$C$1)&gt;CV$4,CV$4&gt;=$C$1),$G75,0))*IF($A75="Residential",'General Inputs'!H$15,'General Inputs'!H$19)</f>
        <v>0</v>
      </c>
      <c r="CW75" s="214">
        <f>IF(AND(($E75+$C$1)&gt;CW$4,CW$4&gt;=$C$1),$H75,IF(AND(($D75+$C$1)&gt;CW$4,CW$4&gt;=$C$1),$G75,0))*IF($A75="Residential",'General Inputs'!I$15,'General Inputs'!I$19)</f>
        <v>0</v>
      </c>
      <c r="CX75" s="214">
        <f>IF(AND(($E75+$C$1)&gt;CX$4,CX$4&gt;=$C$1),$H75,IF(AND(($D75+$C$1)&gt;CX$4,CX$4&gt;=$C$1),$G75,0))*IF($A75="Residential",'General Inputs'!J$15,'General Inputs'!J$19)</f>
        <v>0</v>
      </c>
      <c r="CY75" s="214">
        <f>IF(AND(($E75+$C$1)&gt;CY$4,CY$4&gt;=$C$1),$H75,IF(AND(($D75+$C$1)&gt;CY$4,CY$4&gt;=$C$1),$G75,0))*IF($A75="Residential",'General Inputs'!K$15,'General Inputs'!K$19)</f>
        <v>0</v>
      </c>
      <c r="CZ75" s="214">
        <f>IF(AND(($E75+$C$1)&gt;CZ$4,CZ$4&gt;=$C$1),$H75,IF(AND(($D75+$C$1)&gt;CZ$4,CZ$4&gt;=$C$1),$G75,0))*IF($A75="Residential",'General Inputs'!L$15,'General Inputs'!L$19)</f>
        <v>0</v>
      </c>
      <c r="DA75" s="214">
        <f>IF(AND(($E75+$C$1)&gt;DA$4,DA$4&gt;=$C$1),$H75,IF(AND(($D75+$C$1)&gt;DA$4,DA$4&gt;=$C$1),$G75,0))*IF($A75="Residential",'General Inputs'!M$15,'General Inputs'!M$19)</f>
        <v>0</v>
      </c>
      <c r="DB75" s="214">
        <f>IF(AND(($E75+$C$1)&gt;DB$4,DB$4&gt;=$C$1),$H75,IF(AND(($D75+$C$1)&gt;DB$4,DB$4&gt;=$C$1),$G75,0))*IF($A75="Residential",'General Inputs'!N$15,'General Inputs'!N$19)</f>
        <v>0</v>
      </c>
      <c r="DC75" s="214">
        <f>IF(AND(($E75+$C$1)&gt;DC$4,DC$4&gt;=$C$1),$H75,IF(AND(($D75+$C$1)&gt;DC$4,DC$4&gt;=$C$1),$G75,0))*IF($A75="Residential",'General Inputs'!O$15,'General Inputs'!O$19)</f>
        <v>0</v>
      </c>
      <c r="DD75" s="214">
        <f>IF(AND(($E75+$C$1)&gt;DD$4,DD$4&gt;=$C$1),$H75,IF(AND(($D75+$C$1)&gt;DD$4,DD$4&gt;=$C$1),$G75,0))*IF($A75="Residential",'General Inputs'!P$15,'General Inputs'!P$19)</f>
        <v>0</v>
      </c>
      <c r="DE75" s="214">
        <f>IF(AND(($E75+$C$1)&gt;DE$4,DE$4&gt;=$C$1),$H75,IF(AND(($D75+$C$1)&gt;DE$4,DE$4&gt;=$C$1),$G75,0))*IF($A75="Residential",'General Inputs'!Q$15,'General Inputs'!Q$19)</f>
        <v>0</v>
      </c>
      <c r="DF75" s="214">
        <f>IF(AND(($E75+$C$1)&gt;DF$4,DF$4&gt;=$C$1),$H75,IF(AND(($D75+$C$1)&gt;DF$4,DF$4&gt;=$C$1),$G75,0))*IF($A75="Residential",'General Inputs'!R$15,'General Inputs'!R$19)</f>
        <v>0</v>
      </c>
      <c r="DG75" s="214">
        <f>IF(AND(($E75+$C$1)&gt;DG$4,DG$4&gt;=$C$1),$H75,IF(AND(($D75+$C$1)&gt;DG$4,DG$4&gt;=$C$1),$G75,0))*IF($A75="Residential",'General Inputs'!S$15,'General Inputs'!S$19)</f>
        <v>0</v>
      </c>
      <c r="DH75" s="214">
        <f>IF(AND(($E75+$C$1)&gt;DH$4,DH$4&gt;=$C$1),$H75,IF(AND(($D75+$C$1)&gt;DH$4,DH$4&gt;=$C$1),$G75,0))*IF($A75="Residential",'General Inputs'!T$15,'General Inputs'!T$19)</f>
        <v>0</v>
      </c>
      <c r="DI75" s="214">
        <f>IF(AND(($E75+$C$1)&gt;DI$4,DI$4&gt;=$C$1),$H75,IF(AND(($D75+$C$1)&gt;DI$4,DI$4&gt;=$C$1),$G75,0))*IF($A75="Residential",'General Inputs'!U$15,'General Inputs'!U$19)</f>
        <v>0</v>
      </c>
      <c r="DJ75" s="214">
        <f>IF(AND(($E75+$C$1)&gt;DJ$4,DJ$4&gt;=$C$1),$H75,IF(AND(($D75+$C$1)&gt;DJ$4,DJ$4&gt;=$C$1),$G75,0))*IF($A75="Residential",'General Inputs'!V$15,'General Inputs'!V$19)</f>
        <v>0</v>
      </c>
      <c r="DK75" s="214">
        <f>IF(AND(($E75+$C$1)&gt;DK$4,DK$4&gt;=$C$1),$H75,IF(AND(($D75+$C$1)&gt;DK$4,DK$4&gt;=$C$1),$G75,0))*IF($A75="Residential",'General Inputs'!W$15,'General Inputs'!W$19)</f>
        <v>0</v>
      </c>
      <c r="DM75" s="214">
        <f t="shared" si="456"/>
        <v>0</v>
      </c>
      <c r="DN75" s="214">
        <f t="shared" si="456"/>
        <v>0</v>
      </c>
      <c r="DO75" s="214">
        <f t="shared" si="456"/>
        <v>0</v>
      </c>
      <c r="DP75" s="214">
        <f t="shared" si="456"/>
        <v>0</v>
      </c>
      <c r="DQ75" s="214">
        <f t="shared" si="456"/>
        <v>0</v>
      </c>
      <c r="DR75" s="214">
        <f t="shared" si="456"/>
        <v>0</v>
      </c>
      <c r="DS75" s="214">
        <f t="shared" si="456"/>
        <v>0</v>
      </c>
      <c r="DT75" s="214">
        <f t="shared" si="456"/>
        <v>0</v>
      </c>
      <c r="DU75" s="214">
        <f t="shared" si="456"/>
        <v>0</v>
      </c>
      <c r="DV75" s="214">
        <f t="shared" si="456"/>
        <v>0</v>
      </c>
      <c r="DW75" s="214">
        <f t="shared" si="456"/>
        <v>0</v>
      </c>
      <c r="DZ75" s="650"/>
      <c r="FI75" s="195"/>
      <c r="FJ75" s="195"/>
      <c r="FK75" s="195"/>
      <c r="FL75" s="195"/>
      <c r="FM75" s="195"/>
      <c r="FN75" s="195"/>
      <c r="FO75" s="195"/>
    </row>
    <row r="76" spans="1:171">
      <c r="A76" s="342" t="s">
        <v>112</v>
      </c>
      <c r="B76" s="427" t="str">
        <f>'Portfolio Inputs'!A75</f>
        <v>Fixture Mount Occupancy</v>
      </c>
      <c r="C76" s="217">
        <f>IF($C$1=2014,'Portfolio Inputs'!$C75,IF($C$1=2015,'Portfolio Inputs'!$D75,'Portfolio Inputs'!$E75))</f>
        <v>31</v>
      </c>
      <c r="D76" s="504">
        <f>VLOOKUP(B76,Sources!$B$4:$J$104,2,FALSE)</f>
        <v>8</v>
      </c>
      <c r="E76" s="504">
        <f>VLOOKUP(B76,Sources!$B$4:$J$104,3,FALSE)</f>
        <v>0</v>
      </c>
      <c r="G76" s="504">
        <f>IF($C$1=2014,'Portfolio Inputs'!$G75,IF($C$1=2015,'Portfolio Inputs'!$H75,'Portfolio Inputs'!$I75))*EnergyLineLoss</f>
        <v>10856.541929999999</v>
      </c>
      <c r="H76" s="504"/>
      <c r="I76" s="595">
        <f>IF($C$1=2014,'Portfolio Inputs'!$K75,IF($C$1=2015,'Portfolio Inputs'!$L75,'Portfolio Inputs'!$M75))*PeakLineLoss</f>
        <v>0.34670891970000001</v>
      </c>
      <c r="J76" s="510"/>
      <c r="L76" s="606">
        <f>IF($C$1=2014,'Portfolio Inputs'!$O75,IF($C$1=2015,'Portfolio Inputs'!$P75,'Portfolio Inputs'!$Q75))</f>
        <v>55</v>
      </c>
      <c r="M76" s="518">
        <f>VLOOKUP($B76,Sources!$B$4:$K$104,10,FALSE)</f>
        <v>0</v>
      </c>
      <c r="N76" s="419">
        <f>IF($C$1=2014,'Portfolio Inputs'!$W75,IF($C$1=2015,'Portfolio Inputs'!$X75,'Portfolio Inputs'!$Y75))</f>
        <v>868</v>
      </c>
      <c r="O76" s="419">
        <f>IF($C$1=2014,'Portfolio Inputs'!$AA75,IF($C$1=2015,'Portfolio Inputs'!$AB75,'Portfolio Inputs'!$AC75))</f>
        <v>0</v>
      </c>
      <c r="Q76" s="438">
        <f t="shared" si="442"/>
        <v>1.6280719636624712</v>
      </c>
      <c r="R76" s="439">
        <f t="shared" si="443"/>
        <v>3.1979985000512827</v>
      </c>
      <c r="S76" s="439">
        <f t="shared" si="444"/>
        <v>2.0679688129156246</v>
      </c>
      <c r="T76" s="439">
        <f t="shared" si="445"/>
        <v>4.7304250661048828</v>
      </c>
      <c r="U76" s="439">
        <f t="shared" si="446"/>
        <v>4.7304250661048828</v>
      </c>
      <c r="V76" s="439">
        <f t="shared" si="447"/>
        <v>0.34417033161103527</v>
      </c>
      <c r="W76" s="439">
        <f t="shared" si="448"/>
        <v>0.34417033161103527</v>
      </c>
      <c r="Y76" s="215">
        <f t="shared" si="449"/>
        <v>2775.8626980445133</v>
      </c>
      <c r="Z76" s="215">
        <f t="shared" si="450"/>
        <v>750.02412797662646</v>
      </c>
      <c r="AA76" s="215">
        <f t="shared" si="451"/>
        <v>7197.3747377088257</v>
      </c>
      <c r="AB76" s="215">
        <f t="shared" si="452"/>
        <v>7197.3747377088257</v>
      </c>
      <c r="AC76" s="216">
        <f t="shared" si="453"/>
        <v>0</v>
      </c>
      <c r="AD76" s="216">
        <f t="shared" si="454"/>
        <v>868</v>
      </c>
      <c r="AE76" s="215">
        <f t="shared" si="455"/>
        <v>1705</v>
      </c>
      <c r="AG76" s="214">
        <f>IF(AND(($E76+$C$1)&gt;AG$4,AG$4&gt;=$C$1),'General Inputs'!D$9*$H76,IF(AND(($D76+$C$1)&gt;AG$4,AG$4&gt;=$C$1),'General Inputs'!D$9*$G76,0))+IF(AND(($E76+$C$1)&gt;AG$4,AG$4&gt;=$C$1),'General Inputs'!D$10*$J76,IF(AND(($D76+$C$1)&gt;AG$4,AG$4&gt;=$C$1),'General Inputs'!D$10*$I76,0))</f>
        <v>437.41520429819923</v>
      </c>
      <c r="AH76" s="214">
        <f>IF(AND(($E76+$C$1)&gt;AH$4,AH$4&gt;=$C$1),'General Inputs'!E$9*$H76,IF(AND(($D76+$C$1)&gt;AH$4,AH$4&gt;=$C$1),'General Inputs'!E$9*$G76,0))+IF(AND(($E76+$C$1)&gt;AH$4,AH$4&gt;=$C$1),'General Inputs'!E$10*$J76,IF(AND(($D76+$C$1)&gt;AH$4,AH$4&gt;=$C$1),'General Inputs'!E$10*$I76,0))</f>
        <v>443.9764323626722</v>
      </c>
      <c r="AI76" s="214">
        <f>IF(AND(($E76+$C$1)&gt;AI$4,AI$4&gt;=$C$1),'General Inputs'!F$9*$H76,IF(AND(($D76+$C$1)&gt;AI$4,AI$4&gt;=$C$1),'General Inputs'!F$9*$G76,0))+IF(AND(($E76+$C$1)&gt;AI$4,AI$4&gt;=$C$1),'General Inputs'!F$10*$J76,IF(AND(($D76+$C$1)&gt;AI$4,AI$4&gt;=$C$1),'General Inputs'!F$10*$I76,0))</f>
        <v>450.63607884811222</v>
      </c>
      <c r="AJ76" s="214">
        <f>IF(AND(($E76+$C$1)&gt;AJ$4,AJ$4&gt;=$C$1),'General Inputs'!G$9*$H76,IF(AND(($D76+$C$1)&gt;AJ$4,AJ$4&gt;=$C$1),'General Inputs'!G$9*$G76,0))+IF(AND(($E76+$C$1)&gt;AJ$4,AJ$4&gt;=$C$1),'General Inputs'!G$10*$J76,IF(AND(($D76+$C$1)&gt;AJ$4,AJ$4&gt;=$C$1),'General Inputs'!G$10*$I76,0))</f>
        <v>457.39562003083387</v>
      </c>
      <c r="AK76" s="214">
        <f>IF(AND(($E76+$C$1)&gt;AK$4,AK$4&gt;=$C$1),'General Inputs'!H$9*$H76,IF(AND(($D76+$C$1)&gt;AK$4,AK$4&gt;=$C$1),'General Inputs'!H$9*$G76,0))+IF(AND(($E76+$C$1)&gt;AK$4,AK$4&gt;=$C$1),'General Inputs'!H$10*$J76,IF(AND(($D76+$C$1)&gt;AK$4,AK$4&gt;=$C$1),'General Inputs'!H$10*$I76,0))</f>
        <v>464.25655433129634</v>
      </c>
      <c r="AL76" s="214">
        <f>IF(AND(($E76+$C$1)&gt;AL$4,AL$4&gt;=$C$1),'General Inputs'!I$9*$H76,IF(AND(($D76+$C$1)&gt;AL$4,AL$4&gt;=$C$1),'General Inputs'!I$9*$G76,0))+IF(AND(($E76+$C$1)&gt;AL$4,AL$4&gt;=$C$1),'General Inputs'!I$10*$J76,IF(AND(($D76+$C$1)&gt;AL$4,AL$4&gt;=$C$1),'General Inputs'!I$10*$I76,0))</f>
        <v>471.22040264626571</v>
      </c>
      <c r="AM76" s="214">
        <f>IF(AND(($E76+$C$1)&gt;AM$4,AM$4&gt;=$C$1),'General Inputs'!J$9*$H76,IF(AND(($D76+$C$1)&gt;AM$4,AM$4&gt;=$C$1),'General Inputs'!J$9*$G76,0))+IF(AND(($E76+$C$1)&gt;AM$4,AM$4&gt;=$C$1),'General Inputs'!J$10*$J76,IF(AND(($D76+$C$1)&gt;AM$4,AM$4&gt;=$C$1),'General Inputs'!J$10*$I76,0))</f>
        <v>478.28870868595965</v>
      </c>
      <c r="AN76" s="214">
        <f>IF(AND(($E76+$C$1)&gt;AN$4,AN$4&gt;=$C$1),'General Inputs'!K$9*$H76,IF(AND(($D76+$C$1)&gt;AN$4,AN$4&gt;=$C$1),'General Inputs'!K$9*$G76,0))+IF(AND(($E76+$C$1)&gt;AN$4,AN$4&gt;=$C$1),'General Inputs'!K$10*$J76,IF(AND(($D76+$C$1)&gt;AN$4,AN$4&gt;=$C$1),'General Inputs'!K$10*$I76,0))</f>
        <v>485.46303931624897</v>
      </c>
      <c r="AO76" s="214">
        <f>IF(AND(($E76+$C$1)&gt;AO$4,AO$4&gt;=$C$1),'General Inputs'!L$9*$H76,IF(AND(($D76+$C$1)&gt;AO$4,AO$4&gt;=$C$1),'General Inputs'!L$9*$G76,0))+IF(AND(($E76+$C$1)&gt;AO$4,AO$4&gt;=$C$1),'General Inputs'!L$10*$J76,IF(AND(($D76+$C$1)&gt;AO$4,AO$4&gt;=$C$1),'General Inputs'!L$10*$I76,0))</f>
        <v>0</v>
      </c>
      <c r="AP76" s="214">
        <f>IF(AND(($E76+$C$1)&gt;AP$4,AP$4&gt;=$C$1),'General Inputs'!M$9*$H76,IF(AND(($D76+$C$1)&gt;AP$4,AP$4&gt;=$C$1),'General Inputs'!M$9*$G76,0))+IF(AND(($E76+$C$1)&gt;AP$4,AP$4&gt;=$C$1),'General Inputs'!M$10*$J76,IF(AND(($D76+$C$1)&gt;AP$4,AP$4&gt;=$C$1),'General Inputs'!M$10*$I76,0))</f>
        <v>0</v>
      </c>
      <c r="AQ76" s="214">
        <f>IF(AND(($E76+$C$1)&gt;AQ$4,AQ$4&gt;=$C$1),'General Inputs'!N$9*$H76,IF(AND(($D76+$C$1)&gt;AQ$4,AQ$4&gt;=$C$1),'General Inputs'!N$9*$G76,0))+IF(AND(($E76+$C$1)&gt;AQ$4,AQ$4&gt;=$C$1),'General Inputs'!N$10*$J76,IF(AND(($D76+$C$1)&gt;AQ$4,AQ$4&gt;=$C$1),'General Inputs'!N$10*$I76,0))</f>
        <v>0</v>
      </c>
      <c r="AR76" s="214">
        <f>IF(AND(($E76+$C$1)&gt;AR$4,AR$4&gt;=$C$1),'General Inputs'!O$9*$H76,IF(AND(($D76+$C$1)&gt;AR$4,AR$4&gt;=$C$1),'General Inputs'!O$9*$G76,0))+IF(AND(($E76+$C$1)&gt;AR$4,AR$4&gt;=$C$1),'General Inputs'!O$10*$J76,IF(AND(($D76+$C$1)&gt;AR$4,AR$4&gt;=$C$1),'General Inputs'!O$10*$I76,0))</f>
        <v>0</v>
      </c>
      <c r="AS76" s="214">
        <f>IF(AND(($E76+$C$1)&gt;AS$4,AS$4&gt;=$C$1),'General Inputs'!P$9*$H76,IF(AND(($D76+$C$1)&gt;AS$4,AS$4&gt;=$C$1),'General Inputs'!P$9*$G76,0))+IF(AND(($E76+$C$1)&gt;AS$4,AS$4&gt;=$C$1),'General Inputs'!P$10*$J76,IF(AND(($D76+$C$1)&gt;AS$4,AS$4&gt;=$C$1),'General Inputs'!P$10*$I76,0))</f>
        <v>0</v>
      </c>
      <c r="AT76" s="214">
        <f>IF(AND(($E76+$C$1)&gt;AT$4,AT$4&gt;=$C$1),'General Inputs'!Q$9*$H76,IF(AND(($D76+$C$1)&gt;AT$4,AT$4&gt;=$C$1),'General Inputs'!Q$9*$G76,0))+IF(AND(($E76+$C$1)&gt;AT$4,AT$4&gt;=$C$1),'General Inputs'!Q$10*$J76,IF(AND(($D76+$C$1)&gt;AT$4,AT$4&gt;=$C$1),'General Inputs'!Q$10*$I76,0))</f>
        <v>0</v>
      </c>
      <c r="AU76" s="214">
        <f>IF(AND(($E76+$C$1)&gt;AU$4,AU$4&gt;=$C$1),'General Inputs'!R$9*$H76,IF(AND(($D76+$C$1)&gt;AU$4,AU$4&gt;=$C$1),'General Inputs'!R$9*$G76,0))+IF(AND(($E76+$C$1)&gt;AU$4,AU$4&gt;=$C$1),'General Inputs'!R$10*$J76,IF(AND(($D76+$C$1)&gt;AU$4,AU$4&gt;=$C$1),'General Inputs'!R$10*$I76,0))</f>
        <v>0</v>
      </c>
      <c r="AV76" s="214">
        <f>IF(AND(($E76+$C$1)&gt;AV$4,AV$4&gt;=$C$1),'General Inputs'!S$9*$H76,IF(AND(($D76+$C$1)&gt;AV$4,AV$4&gt;=$C$1),'General Inputs'!S$9*$G76,0))+IF(AND(($E76+$C$1)&gt;AV$4,AV$4&gt;=$C$1),'General Inputs'!S$10*$J76,IF(AND(($D76+$C$1)&gt;AV$4,AV$4&gt;=$C$1),'General Inputs'!S$10*$I76,0))</f>
        <v>0</v>
      </c>
      <c r="AW76" s="214">
        <f>IF(AND(($E76+$C$1)&gt;AW$4,AW$4&gt;=$C$1),'General Inputs'!T$9*$H76,IF(AND(($D76+$C$1)&gt;AW$4,AW$4&gt;=$C$1),'General Inputs'!T$9*$G76,0))+IF(AND(($E76+$C$1)&gt;AW$4,AW$4&gt;=$C$1),'General Inputs'!T$10*$J76,IF(AND(($D76+$C$1)&gt;AW$4,AW$4&gt;=$C$1),'General Inputs'!T$10*$I76,0))</f>
        <v>0</v>
      </c>
      <c r="AX76" s="214">
        <f>IF(AND(($E76+$C$1)&gt;AX$4,AX$4&gt;=$C$1),'General Inputs'!U$9*$H76,IF(AND(($D76+$C$1)&gt;AX$4,AX$4&gt;=$C$1),'General Inputs'!U$9*$G76,0))+IF(AND(($E76+$C$1)&gt;AX$4,AX$4&gt;=$C$1),'General Inputs'!U$10*$J76,IF(AND(($D76+$C$1)&gt;AX$4,AX$4&gt;=$C$1),'General Inputs'!U$10*$I76,0))</f>
        <v>0</v>
      </c>
      <c r="AY76" s="214">
        <f>IF(AND(($E76+$C$1)&gt;AY$4,AY$4&gt;=$C$1),'General Inputs'!V$9*$H76,IF(AND(($D76+$C$1)&gt;AY$4,AY$4&gt;=$C$1),'General Inputs'!V$9*$G76,0))+IF(AND(($E76+$C$1)&gt;AY$4,AY$4&gt;=$C$1),'General Inputs'!V$10*$J76,IF(AND(($D76+$C$1)&gt;AY$4,AY$4&gt;=$C$1),'General Inputs'!V$10*$I76,0))</f>
        <v>0</v>
      </c>
      <c r="AZ76" s="214">
        <f>IF(AND(($E76+$C$1)&gt;AZ$4,AZ$4&gt;=$C$1),'General Inputs'!W$9*$H76,IF(AND(($D76+$C$1)&gt;AZ$4,AZ$4&gt;=$C$1),'General Inputs'!W$9*$G76,0))+IF(AND(($E76+$C$1)&gt;AZ$4,AZ$4&gt;=$C$1),'General Inputs'!W$10*$J76,IF(AND(($D76+$C$1)&gt;AZ$4,AZ$4&gt;=$C$1),'General Inputs'!W$10*$I76,0))</f>
        <v>0</v>
      </c>
      <c r="BB76" s="214">
        <f>IF(AND(($E76+$C$1)&gt;BB$4,BB$4&gt;=$C$1),'General Inputs'!D$11*$H76,IF(AND(($D76+$C$1)&gt;BB$4,BB$4&gt;=$C$1),'General Inputs'!D$11*$G76,0))</f>
        <v>123.76457800199999</v>
      </c>
      <c r="BC76" s="214">
        <f>IF(AND(($E76+$C$1)&gt;BC$4,BC$4&gt;=$C$1),'General Inputs'!E$11*$H76,IF(AND(($D76+$C$1)&gt;BC$4,BC$4&gt;=$C$1),'General Inputs'!E$11*$G76,0))</f>
        <v>123.76457800199999</v>
      </c>
      <c r="BD76" s="214">
        <f>IF(AND(($E76+$C$1)&gt;BD$4,BD$4&gt;=$C$1),'General Inputs'!F$11*$H76,IF(AND(($D76+$C$1)&gt;BD$4,BD$4&gt;=$C$1),'General Inputs'!F$11*$G76,0))</f>
        <v>123.76457800199999</v>
      </c>
      <c r="BE76" s="214">
        <f>IF(AND(($E76+$C$1)&gt;BE$4,BE$4&gt;=$C$1),'General Inputs'!G$11*$H76,IF(AND(($D76+$C$1)&gt;BE$4,BE$4&gt;=$C$1),'General Inputs'!G$11*$G76,0))</f>
        <v>123.76457800199999</v>
      </c>
      <c r="BF76" s="214">
        <f>IF(AND(($E76+$C$1)&gt;BF$4,BF$4&gt;=$C$1),'General Inputs'!H$11*$H76,IF(AND(($D76+$C$1)&gt;BF$4,BF$4&gt;=$C$1),'General Inputs'!H$11*$G76,0))</f>
        <v>123.76457800199999</v>
      </c>
      <c r="BG76" s="214">
        <f>IF(AND(($E76+$C$1)&gt;BG$4,BG$4&gt;=$C$1),'General Inputs'!I$11*$H76,IF(AND(($D76+$C$1)&gt;BG$4,BG$4&gt;=$C$1),'General Inputs'!I$11*$G76,0))</f>
        <v>123.76457800199999</v>
      </c>
      <c r="BH76" s="214">
        <f>IF(AND(($E76+$C$1)&gt;BH$4,BH$4&gt;=$C$1),'General Inputs'!J$11*$H76,IF(AND(($D76+$C$1)&gt;BH$4,BH$4&gt;=$C$1),'General Inputs'!J$11*$G76,0))</f>
        <v>123.76457800199999</v>
      </c>
      <c r="BI76" s="214">
        <f>IF(AND(($E76+$C$1)&gt;BI$4,BI$4&gt;=$C$1),'General Inputs'!K$11*$H76,IF(AND(($D76+$C$1)&gt;BI$4,BI$4&gt;=$C$1),'General Inputs'!K$11*$G76,0))</f>
        <v>123.76457800199999</v>
      </c>
      <c r="BJ76" s="214">
        <f>IF(AND(($E76+$C$1)&gt;BJ$4,BJ$4&gt;=$C$1),'General Inputs'!L$11*$H76,IF(AND(($D76+$C$1)&gt;BJ$4,BJ$4&gt;=$C$1),'General Inputs'!L$11*$G76,0))</f>
        <v>0</v>
      </c>
      <c r="BK76" s="214">
        <f>IF(AND(($E76+$C$1)&gt;BK$4,BK$4&gt;=$C$1),'General Inputs'!M$11*$H76,IF(AND(($D76+$C$1)&gt;BK$4,BK$4&gt;=$C$1),'General Inputs'!M$11*$G76,0))</f>
        <v>0</v>
      </c>
      <c r="BL76" s="214">
        <f>IF(AND(($E76+$C$1)&gt;BL$4,BL$4&gt;=$C$1),'General Inputs'!N$11*$H76,IF(AND(($D76+$C$1)&gt;BL$4,BL$4&gt;=$C$1),'General Inputs'!N$11*$G76,0))</f>
        <v>0</v>
      </c>
      <c r="BM76" s="214">
        <f>IF(AND(($E76+$C$1)&gt;BM$4,BM$4&gt;=$C$1),'General Inputs'!O$11*$H76,IF(AND(($D76+$C$1)&gt;BM$4,BM$4&gt;=$C$1),'General Inputs'!O$11*$G76,0))</f>
        <v>0</v>
      </c>
      <c r="BN76" s="214">
        <f>IF(AND(($E76+$C$1)&gt;BN$4,BN$4&gt;=$C$1),'General Inputs'!P$11*$H76,IF(AND(($D76+$C$1)&gt;BN$4,BN$4&gt;=$C$1),'General Inputs'!P$11*$G76,0))</f>
        <v>0</v>
      </c>
      <c r="BO76" s="214">
        <f>IF(AND(($E76+$C$1)&gt;BO$4,BO$4&gt;=$C$1),'General Inputs'!Q$11*$H76,IF(AND(($D76+$C$1)&gt;BO$4,BO$4&gt;=$C$1),'General Inputs'!Q$11*$G76,0))</f>
        <v>0</v>
      </c>
      <c r="BP76" s="214">
        <f>IF(AND(($E76+$C$1)&gt;BP$4,BP$4&gt;=$C$1),'General Inputs'!R$11*$H76,IF(AND(($D76+$C$1)&gt;BP$4,BP$4&gt;=$C$1),'General Inputs'!R$11*$G76,0))</f>
        <v>0</v>
      </c>
      <c r="BQ76" s="214">
        <f>IF(AND(($E76+$C$1)&gt;BQ$4,BQ$4&gt;=$C$1),'General Inputs'!S$11*$H76,IF(AND(($D76+$C$1)&gt;BQ$4,BQ$4&gt;=$C$1),'General Inputs'!S$11*$G76,0))</f>
        <v>0</v>
      </c>
      <c r="BR76" s="214">
        <f>IF(AND(($E76+$C$1)&gt;BR$4,BR$4&gt;=$C$1),'General Inputs'!T$11*$H76,IF(AND(($D76+$C$1)&gt;BR$4,BR$4&gt;=$C$1),'General Inputs'!T$11*$G76,0))</f>
        <v>0</v>
      </c>
      <c r="BS76" s="214">
        <f>IF(AND(($E76+$C$1)&gt;BS$4,BS$4&gt;=$C$1),'General Inputs'!U$11*$H76,IF(AND(($D76+$C$1)&gt;BS$4,BS$4&gt;=$C$1),'General Inputs'!U$11*$G76,0))</f>
        <v>0</v>
      </c>
      <c r="BT76" s="214">
        <f>IF(AND(($E76+$C$1)&gt;BT$4,BT$4&gt;=$C$1),'General Inputs'!V$11*$H76,IF(AND(($D76+$C$1)&gt;BT$4,BT$4&gt;=$C$1),'General Inputs'!V$11*$G76,0))</f>
        <v>0</v>
      </c>
      <c r="BU76" s="214">
        <f>IF(AND(($E76+$C$1)&gt;BU$4,BU$4&gt;=$C$1),'General Inputs'!W$11*$H76,IF(AND(($D76+$C$1)&gt;BU$4,BU$4&gt;=$C$1),'General Inputs'!W$11*$G76,0))</f>
        <v>0</v>
      </c>
      <c r="BW76" s="214">
        <f>IF(AND(($E76+$C$1)&gt;BW$4,BW$4&gt;=$C$1),$H76,IF(AND(($D76+$C$1)&gt;BW$4,BW$4&gt;=$C$1),$G76,0))*IF($A76="Residential",'General Inputs'!D$14,'General Inputs'!D$19)</f>
        <v>1134.1487255559925</v>
      </c>
      <c r="BX76" s="214">
        <f>IF(AND(($E76+$C$1)&gt;BX$4,BX$4&gt;=$C$1),$H76,IF(AND(($D76+$C$1)&gt;BX$4,BX$4&gt;=$C$1),$G76,0))*IF($A76="Residential",'General Inputs'!E$14,'General Inputs'!E$19)</f>
        <v>1151.1609564393323</v>
      </c>
      <c r="BY76" s="214">
        <f>IF(AND(($E76+$C$1)&gt;BY$4,BY$4&gt;=$C$1),$H76,IF(AND(($D76+$C$1)&gt;BY$4,BY$4&gt;=$C$1),$G76,0))*IF($A76="Residential",'General Inputs'!F$14,'General Inputs'!F$19)</f>
        <v>1168.4283707859224</v>
      </c>
      <c r="BZ76" s="214">
        <f>IF(AND(($E76+$C$1)&gt;BZ$4,BZ$4&gt;=$C$1),$H76,IF(AND(($D76+$C$1)&gt;BZ$4,BZ$4&gt;=$C$1),$G76,0))*IF($A76="Residential",'General Inputs'!G$14,'General Inputs'!G$19)</f>
        <v>1185.9547963477112</v>
      </c>
      <c r="CA76" s="214">
        <f>IF(AND(($E76+$C$1)&gt;CA$4,CA$4&gt;=$C$1),$H76,IF(AND(($D76+$C$1)&gt;CA$4,CA$4&gt;=$C$1),$G76,0))*IF($A76="Residential",'General Inputs'!H$14,'General Inputs'!H$19)</f>
        <v>1203.7441182929265</v>
      </c>
      <c r="CB76" s="214">
        <f>IF(AND(($E76+$C$1)&gt;CB$4,CB$4&gt;=$C$1),$H76,IF(AND(($D76+$C$1)&gt;CB$4,CB$4&gt;=$C$1),$G76,0))*IF($A76="Residential",'General Inputs'!I$14,'General Inputs'!I$19)</f>
        <v>1221.8002800673203</v>
      </c>
      <c r="CC76" s="214">
        <f>IF(AND(($E76+$C$1)&gt;CC$4,CC$4&gt;=$C$1),$H76,IF(AND(($D76+$C$1)&gt;CC$4,CC$4&gt;=$C$1),$G76,0))*IF($A76="Residential",'General Inputs'!J$14,'General Inputs'!J$19)</f>
        <v>1240.12728426833</v>
      </c>
      <c r="CD76" s="214">
        <f>IF(AND(($E76+$C$1)&gt;CD$4,CD$4&gt;=$C$1),$H76,IF(AND(($D76+$C$1)&gt;CD$4,CD$4&gt;=$C$1),$G76,0))*IF($A76="Residential",'General Inputs'!K$14,'General Inputs'!K$19)</f>
        <v>1258.7291935323549</v>
      </c>
      <c r="CE76" s="214">
        <f>IF(AND(($E76+$C$1)&gt;CE$4,CE$4&gt;=$C$1),$H76,IF(AND(($D76+$C$1)&gt;CE$4,CE$4&gt;=$C$1),$G76,0))*IF($A76="Residential",'General Inputs'!L$14,'General Inputs'!L$19)</f>
        <v>0</v>
      </c>
      <c r="CF76" s="214">
        <f>IF(AND(($E76+$C$1)&gt;CF$4,CF$4&gt;=$C$1),$H76,IF(AND(($D76+$C$1)&gt;CF$4,CF$4&gt;=$C$1),$G76,0))*IF($A76="Residential",'General Inputs'!M$14,'General Inputs'!M$19)</f>
        <v>0</v>
      </c>
      <c r="CG76" s="214">
        <f>IF(AND(($E76+$C$1)&gt;CG$4,CG$4&gt;=$C$1),$H76,IF(AND(($D76+$C$1)&gt;CG$4,CG$4&gt;=$C$1),$G76,0))*IF($A76="Residential",'General Inputs'!N$14,'General Inputs'!N$19)</f>
        <v>0</v>
      </c>
      <c r="CH76" s="214">
        <f>IF(AND(($E76+$C$1)&gt;CH$4,CH$4&gt;=$C$1),$H76,IF(AND(($D76+$C$1)&gt;CH$4,CH$4&gt;=$C$1),$G76,0))*IF($A76="Residential",'General Inputs'!O$14,'General Inputs'!O$19)</f>
        <v>0</v>
      </c>
      <c r="CI76" s="214">
        <f>IF(AND(($E76+$C$1)&gt;CI$4,CI$4&gt;=$C$1),$H76,IF(AND(($D76+$C$1)&gt;CI$4,CI$4&gt;=$C$1),$G76,0))*IF($A76="Residential",'General Inputs'!P$14,'General Inputs'!P$19)</f>
        <v>0</v>
      </c>
      <c r="CJ76" s="214">
        <f>IF(AND(($E76+$C$1)&gt;CJ$4,CJ$4&gt;=$C$1),$H76,IF(AND(($D76+$C$1)&gt;CJ$4,CJ$4&gt;=$C$1),$G76,0))*IF($A76="Residential",'General Inputs'!Q$14,'General Inputs'!Q$19)</f>
        <v>0</v>
      </c>
      <c r="CK76" s="214">
        <f>IF(AND(($E76+$C$1)&gt;CK$4,CK$4&gt;=$C$1),$H76,IF(AND(($D76+$C$1)&gt;CK$4,CK$4&gt;=$C$1),$G76,0))*IF($A76="Residential",'General Inputs'!R$14,'General Inputs'!R$19)</f>
        <v>0</v>
      </c>
      <c r="CL76" s="214">
        <f>IF(AND(($E76+$C$1)&gt;CL$4,CL$4&gt;=$C$1),$H76,IF(AND(($D76+$C$1)&gt;CL$4,CL$4&gt;=$C$1),$G76,0))*IF($A76="Residential",'General Inputs'!S$14,'General Inputs'!S$19)</f>
        <v>0</v>
      </c>
      <c r="CM76" s="214">
        <f>IF(AND(($E76+$C$1)&gt;CM$4,CM$4&gt;=$C$1),$H76,IF(AND(($D76+$C$1)&gt;CM$4,CM$4&gt;=$C$1),$G76,0))*IF($A76="Residential",'General Inputs'!T$14,'General Inputs'!T$19)</f>
        <v>0</v>
      </c>
      <c r="CN76" s="214">
        <f>IF(AND(($E76+$C$1)&gt;CN$4,CN$4&gt;=$C$1),$H76,IF(AND(($D76+$C$1)&gt;CN$4,CN$4&gt;=$C$1),$G76,0))*IF($A76="Residential",'General Inputs'!U$14,'General Inputs'!U$19)</f>
        <v>0</v>
      </c>
      <c r="CO76" s="214">
        <f>IF(AND(($E76+$C$1)&gt;CO$4,CO$4&gt;=$C$1),$H76,IF(AND(($D76+$C$1)&gt;CO$4,CO$4&gt;=$C$1),$G76,0))*IF($A76="Residential",'General Inputs'!V$14,'General Inputs'!V$19)</f>
        <v>0</v>
      </c>
      <c r="CP76" s="214">
        <f>IF(AND(($E76+$C$1)&gt;CP$4,CP$4&gt;=$C$1),$H76,IF(AND(($D76+$C$1)&gt;CP$4,CP$4&gt;=$C$1),$G76,0))*IF($A76="Residential",'General Inputs'!W$14,'General Inputs'!W$19)</f>
        <v>0</v>
      </c>
      <c r="CR76" s="214">
        <f>IF(AND(($E76+$C$1)&gt;CR$4,CR$4&gt;=$C$1),$H76,IF(AND(($D76+$C$1)&gt;CR$4,CR$4&gt;=$C$1),$G76,0))*IF($A76="Residential",'General Inputs'!D$15,'General Inputs'!D$19)</f>
        <v>1134.1487255559925</v>
      </c>
      <c r="CS76" s="214">
        <f>IF(AND(($E76+$C$1)&gt;CS$4,CS$4&gt;=$C$1),$H76,IF(AND(($D76+$C$1)&gt;CS$4,CS$4&gt;=$C$1),$G76,0))*IF($A76="Residential",'General Inputs'!E$15,'General Inputs'!E$19)</f>
        <v>1151.1609564393323</v>
      </c>
      <c r="CT76" s="214">
        <f>IF(AND(($E76+$C$1)&gt;CT$4,CT$4&gt;=$C$1),$H76,IF(AND(($D76+$C$1)&gt;CT$4,CT$4&gt;=$C$1),$G76,0))*IF($A76="Residential",'General Inputs'!F$15,'General Inputs'!F$19)</f>
        <v>1168.4283707859224</v>
      </c>
      <c r="CU76" s="214">
        <f>IF(AND(($E76+$C$1)&gt;CU$4,CU$4&gt;=$C$1),$H76,IF(AND(($D76+$C$1)&gt;CU$4,CU$4&gt;=$C$1),$G76,0))*IF($A76="Residential",'General Inputs'!G$15,'General Inputs'!G$19)</f>
        <v>1185.9547963477112</v>
      </c>
      <c r="CV76" s="214">
        <f>IF(AND(($E76+$C$1)&gt;CV$4,CV$4&gt;=$C$1),$H76,IF(AND(($D76+$C$1)&gt;CV$4,CV$4&gt;=$C$1),$G76,0))*IF($A76="Residential",'General Inputs'!H$15,'General Inputs'!H$19)</f>
        <v>1203.7441182929265</v>
      </c>
      <c r="CW76" s="214">
        <f>IF(AND(($E76+$C$1)&gt;CW$4,CW$4&gt;=$C$1),$H76,IF(AND(($D76+$C$1)&gt;CW$4,CW$4&gt;=$C$1),$G76,0))*IF($A76="Residential",'General Inputs'!I$15,'General Inputs'!I$19)</f>
        <v>1221.8002800673203</v>
      </c>
      <c r="CX76" s="214">
        <f>IF(AND(($E76+$C$1)&gt;CX$4,CX$4&gt;=$C$1),$H76,IF(AND(($D76+$C$1)&gt;CX$4,CX$4&gt;=$C$1),$G76,0))*IF($A76="Residential",'General Inputs'!J$15,'General Inputs'!J$19)</f>
        <v>1240.12728426833</v>
      </c>
      <c r="CY76" s="214">
        <f>IF(AND(($E76+$C$1)&gt;CY$4,CY$4&gt;=$C$1),$H76,IF(AND(($D76+$C$1)&gt;CY$4,CY$4&gt;=$C$1),$G76,0))*IF($A76="Residential",'General Inputs'!K$15,'General Inputs'!K$19)</f>
        <v>1258.7291935323549</v>
      </c>
      <c r="CZ76" s="214">
        <f>IF(AND(($E76+$C$1)&gt;CZ$4,CZ$4&gt;=$C$1),$H76,IF(AND(($D76+$C$1)&gt;CZ$4,CZ$4&gt;=$C$1),$G76,0))*IF($A76="Residential",'General Inputs'!L$15,'General Inputs'!L$19)</f>
        <v>0</v>
      </c>
      <c r="DA76" s="214">
        <f>IF(AND(($E76+$C$1)&gt;DA$4,DA$4&gt;=$C$1),$H76,IF(AND(($D76+$C$1)&gt;DA$4,DA$4&gt;=$C$1),$G76,0))*IF($A76="Residential",'General Inputs'!M$15,'General Inputs'!M$19)</f>
        <v>0</v>
      </c>
      <c r="DB76" s="214">
        <f>IF(AND(($E76+$C$1)&gt;DB$4,DB$4&gt;=$C$1),$H76,IF(AND(($D76+$C$1)&gt;DB$4,DB$4&gt;=$C$1),$G76,0))*IF($A76="Residential",'General Inputs'!N$15,'General Inputs'!N$19)</f>
        <v>0</v>
      </c>
      <c r="DC76" s="214">
        <f>IF(AND(($E76+$C$1)&gt;DC$4,DC$4&gt;=$C$1),$H76,IF(AND(($D76+$C$1)&gt;DC$4,DC$4&gt;=$C$1),$G76,0))*IF($A76="Residential",'General Inputs'!O$15,'General Inputs'!O$19)</f>
        <v>0</v>
      </c>
      <c r="DD76" s="214">
        <f>IF(AND(($E76+$C$1)&gt;DD$4,DD$4&gt;=$C$1),$H76,IF(AND(($D76+$C$1)&gt;DD$4,DD$4&gt;=$C$1),$G76,0))*IF($A76="Residential",'General Inputs'!P$15,'General Inputs'!P$19)</f>
        <v>0</v>
      </c>
      <c r="DE76" s="214">
        <f>IF(AND(($E76+$C$1)&gt;DE$4,DE$4&gt;=$C$1),$H76,IF(AND(($D76+$C$1)&gt;DE$4,DE$4&gt;=$C$1),$G76,0))*IF($A76="Residential",'General Inputs'!Q$15,'General Inputs'!Q$19)</f>
        <v>0</v>
      </c>
      <c r="DF76" s="214">
        <f>IF(AND(($E76+$C$1)&gt;DF$4,DF$4&gt;=$C$1),$H76,IF(AND(($D76+$C$1)&gt;DF$4,DF$4&gt;=$C$1),$G76,0))*IF($A76="Residential",'General Inputs'!R$15,'General Inputs'!R$19)</f>
        <v>0</v>
      </c>
      <c r="DG76" s="214">
        <f>IF(AND(($E76+$C$1)&gt;DG$4,DG$4&gt;=$C$1),$H76,IF(AND(($D76+$C$1)&gt;DG$4,DG$4&gt;=$C$1),$G76,0))*IF($A76="Residential",'General Inputs'!S$15,'General Inputs'!S$19)</f>
        <v>0</v>
      </c>
      <c r="DH76" s="214">
        <f>IF(AND(($E76+$C$1)&gt;DH$4,DH$4&gt;=$C$1),$H76,IF(AND(($D76+$C$1)&gt;DH$4,DH$4&gt;=$C$1),$G76,0))*IF($A76="Residential",'General Inputs'!T$15,'General Inputs'!T$19)</f>
        <v>0</v>
      </c>
      <c r="DI76" s="214">
        <f>IF(AND(($E76+$C$1)&gt;DI$4,DI$4&gt;=$C$1),$H76,IF(AND(($D76+$C$1)&gt;DI$4,DI$4&gt;=$C$1),$G76,0))*IF($A76="Residential",'General Inputs'!U$15,'General Inputs'!U$19)</f>
        <v>0</v>
      </c>
      <c r="DJ76" s="214">
        <f>IF(AND(($E76+$C$1)&gt;DJ$4,DJ$4&gt;=$C$1),$H76,IF(AND(($D76+$C$1)&gt;DJ$4,DJ$4&gt;=$C$1),$G76,0))*IF($A76="Residential",'General Inputs'!V$15,'General Inputs'!V$19)</f>
        <v>0</v>
      </c>
      <c r="DK76" s="214">
        <f>IF(AND(($E76+$C$1)&gt;DK$4,DK$4&gt;=$C$1),$H76,IF(AND(($D76+$C$1)&gt;DK$4,DK$4&gt;=$C$1),$G76,0))*IF($A76="Residential",'General Inputs'!W$15,'General Inputs'!W$19)</f>
        <v>0</v>
      </c>
      <c r="DM76" s="214">
        <f t="shared" si="456"/>
        <v>1705</v>
      </c>
      <c r="DN76" s="214">
        <f t="shared" si="456"/>
        <v>0</v>
      </c>
      <c r="DO76" s="214">
        <f t="shared" si="456"/>
        <v>0</v>
      </c>
      <c r="DP76" s="214">
        <f t="shared" si="456"/>
        <v>0</v>
      </c>
      <c r="DQ76" s="214">
        <f t="shared" si="456"/>
        <v>0</v>
      </c>
      <c r="DR76" s="214">
        <f t="shared" si="456"/>
        <v>0</v>
      </c>
      <c r="DS76" s="214">
        <f t="shared" si="456"/>
        <v>0</v>
      </c>
      <c r="DT76" s="214">
        <f t="shared" si="456"/>
        <v>0</v>
      </c>
      <c r="DU76" s="214">
        <f t="shared" si="456"/>
        <v>0</v>
      </c>
      <c r="DV76" s="214">
        <f t="shared" si="456"/>
        <v>0</v>
      </c>
      <c r="DW76" s="214">
        <f t="shared" si="456"/>
        <v>0</v>
      </c>
      <c r="DZ76" s="650"/>
      <c r="FI76" s="195"/>
      <c r="FJ76" s="195"/>
      <c r="FK76" s="195"/>
      <c r="FL76" s="195"/>
      <c r="FM76" s="195"/>
      <c r="FN76" s="195"/>
      <c r="FO76" s="195"/>
    </row>
    <row r="77" spans="1:171">
      <c r="A77" s="342" t="s">
        <v>112</v>
      </c>
      <c r="B77" s="427" t="str">
        <f>'Portfolio Inputs'!A76</f>
        <v>Exit Sign</v>
      </c>
      <c r="C77" s="217">
        <f>IF($C$1=2014,'Portfolio Inputs'!$C76,IF($C$1=2015,'Portfolio Inputs'!$D76,'Portfolio Inputs'!$E76))</f>
        <v>35</v>
      </c>
      <c r="D77" s="504">
        <f>VLOOKUP(B77,Sources!$B$4:$J$104,2,FALSE)</f>
        <v>15</v>
      </c>
      <c r="E77" s="504">
        <f>VLOOKUP(B77,Sources!$B$4:$J$104,3,FALSE)</f>
        <v>0</v>
      </c>
      <c r="G77" s="504">
        <f>IF($C$1=2014,'Portfolio Inputs'!$G76,IF($C$1=2015,'Portfolio Inputs'!$H76,'Portfolio Inputs'!$I76))*EnergyLineLoss</f>
        <v>6629.4999020249998</v>
      </c>
      <c r="H77" s="504"/>
      <c r="I77" s="595">
        <f>IF($C$1=2014,'Portfolio Inputs'!$K76,IF($C$1=2015,'Portfolio Inputs'!$L76,'Portfolio Inputs'!$M76))*PeakLineLoss</f>
        <v>1.1947735799999999</v>
      </c>
      <c r="J77" s="510"/>
      <c r="L77" s="606">
        <f>IF($C$1=2014,'Portfolio Inputs'!$O76,IF($C$1=2015,'Portfolio Inputs'!$P76,'Portfolio Inputs'!$Q76))</f>
        <v>25</v>
      </c>
      <c r="M77" s="518">
        <f>VLOOKUP($B77,Sources!$B$4:$K$104,10,FALSE)</f>
        <v>0</v>
      </c>
      <c r="N77" s="419">
        <f>IF($C$1=2014,'Portfolio Inputs'!$W76,IF($C$1=2015,'Portfolio Inputs'!$X76,'Portfolio Inputs'!$Y76))</f>
        <v>210</v>
      </c>
      <c r="O77" s="419">
        <f>IF($C$1=2014,'Portfolio Inputs'!$AA76,IF($C$1=2015,'Portfolio Inputs'!$AB76,'Portfolio Inputs'!$AC76))</f>
        <v>0</v>
      </c>
      <c r="Q77" s="438">
        <f t="shared" si="442"/>
        <v>3.1001901429916017</v>
      </c>
      <c r="R77" s="439">
        <f t="shared" si="443"/>
        <v>12.917458929131675</v>
      </c>
      <c r="S77" s="439">
        <f t="shared" si="444"/>
        <v>3.8651724113351817</v>
      </c>
      <c r="T77" s="439">
        <f t="shared" si="445"/>
        <v>7.85844785973583</v>
      </c>
      <c r="U77" s="439">
        <f t="shared" si="446"/>
        <v>7.85844785973583</v>
      </c>
      <c r="V77" s="439">
        <f t="shared" si="447"/>
        <v>0.39450413088263692</v>
      </c>
      <c r="W77" s="439">
        <f t="shared" si="448"/>
        <v>0.39450413088263692</v>
      </c>
      <c r="Y77" s="215">
        <f t="shared" si="449"/>
        <v>2712.6663751176516</v>
      </c>
      <c r="Z77" s="215">
        <f t="shared" si="450"/>
        <v>669.35948480063246</v>
      </c>
      <c r="AA77" s="215">
        <f t="shared" si="451"/>
        <v>6666.1418772688512</v>
      </c>
      <c r="AB77" s="215">
        <f t="shared" si="452"/>
        <v>6666.1418772688512</v>
      </c>
      <c r="AC77" s="216">
        <f t="shared" si="453"/>
        <v>0</v>
      </c>
      <c r="AD77" s="216">
        <f t="shared" si="454"/>
        <v>210</v>
      </c>
      <c r="AE77" s="215">
        <f t="shared" si="455"/>
        <v>875</v>
      </c>
      <c r="AG77" s="214">
        <f>IF(AND(($E77+$C$1)&gt;AG$4,AG$4&gt;=$C$1),'General Inputs'!D$9*$H77,IF(AND(($D77+$C$1)&gt;AG$4,AG$4&gt;=$C$1),'General Inputs'!D$9*$G77,0))+IF(AND(($E77+$C$1)&gt;AG$4,AG$4&gt;=$C$1),'General Inputs'!D$10*$J77,IF(AND(($D77+$C$1)&gt;AG$4,AG$4&gt;=$C$1),'General Inputs'!D$10*$I77,0))</f>
        <v>281.82602492769018</v>
      </c>
      <c r="AH77" s="214">
        <f>IF(AND(($E77+$C$1)&gt;AH$4,AH$4&gt;=$C$1),'General Inputs'!E$9*$H77,IF(AND(($D77+$C$1)&gt;AH$4,AH$4&gt;=$C$1),'General Inputs'!E$9*$G77,0))+IF(AND(($E77+$C$1)&gt;AH$4,AH$4&gt;=$C$1),'General Inputs'!E$10*$J77,IF(AND(($D77+$C$1)&gt;AH$4,AH$4&gt;=$C$1),'General Inputs'!E$10*$I77,0))</f>
        <v>286.05341530160553</v>
      </c>
      <c r="AI77" s="214">
        <f>IF(AND(($E77+$C$1)&gt;AI$4,AI$4&gt;=$C$1),'General Inputs'!F$9*$H77,IF(AND(($D77+$C$1)&gt;AI$4,AI$4&gt;=$C$1),'General Inputs'!F$9*$G77,0))+IF(AND(($E77+$C$1)&gt;AI$4,AI$4&gt;=$C$1),'General Inputs'!F$10*$J77,IF(AND(($D77+$C$1)&gt;AI$4,AI$4&gt;=$C$1),'General Inputs'!F$10*$I77,0))</f>
        <v>290.34421653112958</v>
      </c>
      <c r="AJ77" s="214">
        <f>IF(AND(($E77+$C$1)&gt;AJ$4,AJ$4&gt;=$C$1),'General Inputs'!G$9*$H77,IF(AND(($D77+$C$1)&gt;AJ$4,AJ$4&gt;=$C$1),'General Inputs'!G$9*$G77,0))+IF(AND(($E77+$C$1)&gt;AJ$4,AJ$4&gt;=$C$1),'General Inputs'!G$10*$J77,IF(AND(($D77+$C$1)&gt;AJ$4,AJ$4&gt;=$C$1),'General Inputs'!G$10*$I77,0))</f>
        <v>294.69937977909655</v>
      </c>
      <c r="AK77" s="214">
        <f>IF(AND(($E77+$C$1)&gt;AK$4,AK$4&gt;=$C$1),'General Inputs'!H$9*$H77,IF(AND(($D77+$C$1)&gt;AK$4,AK$4&gt;=$C$1),'General Inputs'!H$9*$G77,0))+IF(AND(($E77+$C$1)&gt;AK$4,AK$4&gt;=$C$1),'General Inputs'!H$10*$J77,IF(AND(($D77+$C$1)&gt;AK$4,AK$4&gt;=$C$1),'General Inputs'!H$10*$I77,0))</f>
        <v>299.11987047578288</v>
      </c>
      <c r="AL77" s="214">
        <f>IF(AND(($E77+$C$1)&gt;AL$4,AL$4&gt;=$C$1),'General Inputs'!I$9*$H77,IF(AND(($D77+$C$1)&gt;AL$4,AL$4&gt;=$C$1),'General Inputs'!I$9*$G77,0))+IF(AND(($E77+$C$1)&gt;AL$4,AL$4&gt;=$C$1),'General Inputs'!I$10*$J77,IF(AND(($D77+$C$1)&gt;AL$4,AL$4&gt;=$C$1),'General Inputs'!I$10*$I77,0))</f>
        <v>303.60666853291963</v>
      </c>
      <c r="AM77" s="214">
        <f>IF(AND(($E77+$C$1)&gt;AM$4,AM$4&gt;=$C$1),'General Inputs'!J$9*$H77,IF(AND(($D77+$C$1)&gt;AM$4,AM$4&gt;=$C$1),'General Inputs'!J$9*$G77,0))+IF(AND(($E77+$C$1)&gt;AM$4,AM$4&gt;=$C$1),'General Inputs'!J$10*$J77,IF(AND(($D77+$C$1)&gt;AM$4,AM$4&gt;=$C$1),'General Inputs'!J$10*$I77,0))</f>
        <v>308.16076856091337</v>
      </c>
      <c r="AN77" s="214">
        <f>IF(AND(($E77+$C$1)&gt;AN$4,AN$4&gt;=$C$1),'General Inputs'!K$9*$H77,IF(AND(($D77+$C$1)&gt;AN$4,AN$4&gt;=$C$1),'General Inputs'!K$9*$G77,0))+IF(AND(($E77+$C$1)&gt;AN$4,AN$4&gt;=$C$1),'General Inputs'!K$10*$J77,IF(AND(($D77+$C$1)&gt;AN$4,AN$4&gt;=$C$1),'General Inputs'!K$10*$I77,0))</f>
        <v>312.783180089327</v>
      </c>
      <c r="AO77" s="214">
        <f>IF(AND(($E77+$C$1)&gt;AO$4,AO$4&gt;=$C$1),'General Inputs'!L$9*$H77,IF(AND(($D77+$C$1)&gt;AO$4,AO$4&gt;=$C$1),'General Inputs'!L$9*$G77,0))+IF(AND(($E77+$C$1)&gt;AO$4,AO$4&gt;=$C$1),'General Inputs'!L$10*$J77,IF(AND(($D77+$C$1)&gt;AO$4,AO$4&gt;=$C$1),'General Inputs'!L$10*$I77,0))</f>
        <v>317.47492779066692</v>
      </c>
      <c r="AP77" s="214">
        <f>IF(AND(($E77+$C$1)&gt;AP$4,AP$4&gt;=$C$1),'General Inputs'!M$9*$H77,IF(AND(($D77+$C$1)&gt;AP$4,AP$4&gt;=$C$1),'General Inputs'!M$9*$G77,0))+IF(AND(($E77+$C$1)&gt;AP$4,AP$4&gt;=$C$1),'General Inputs'!M$10*$J77,IF(AND(($D77+$C$1)&gt;AP$4,AP$4&gt;=$C$1),'General Inputs'!M$10*$I77,0))</f>
        <v>322.23705170752686</v>
      </c>
      <c r="AQ77" s="214">
        <f>IF(AND(($E77+$C$1)&gt;AQ$4,AQ$4&gt;=$C$1),'General Inputs'!N$9*$H77,IF(AND(($D77+$C$1)&gt;AQ$4,AQ$4&gt;=$C$1),'General Inputs'!N$9*$G77,0))+IF(AND(($E77+$C$1)&gt;AQ$4,AQ$4&gt;=$C$1),'General Inputs'!N$10*$J77,IF(AND(($D77+$C$1)&gt;AQ$4,AQ$4&gt;=$C$1),'General Inputs'!N$10*$I77,0))</f>
        <v>327.07060748313972</v>
      </c>
      <c r="AR77" s="214">
        <f>IF(AND(($E77+$C$1)&gt;AR$4,AR$4&gt;=$C$1),'General Inputs'!O$9*$H77,IF(AND(($D77+$C$1)&gt;AR$4,AR$4&gt;=$C$1),'General Inputs'!O$9*$G77,0))+IF(AND(($E77+$C$1)&gt;AR$4,AR$4&gt;=$C$1),'General Inputs'!O$10*$J77,IF(AND(($D77+$C$1)&gt;AR$4,AR$4&gt;=$C$1),'General Inputs'!O$10*$I77,0))</f>
        <v>331.9766665953868</v>
      </c>
      <c r="AS77" s="214">
        <f>IF(AND(($E77+$C$1)&gt;AS$4,AS$4&gt;=$C$1),'General Inputs'!P$9*$H77,IF(AND(($D77+$C$1)&gt;AS$4,AS$4&gt;=$C$1),'General Inputs'!P$9*$G77,0))+IF(AND(($E77+$C$1)&gt;AS$4,AS$4&gt;=$C$1),'General Inputs'!P$10*$J77,IF(AND(($D77+$C$1)&gt;AS$4,AS$4&gt;=$C$1),'General Inputs'!P$10*$I77,0))</f>
        <v>336.95631659431757</v>
      </c>
      <c r="AT77" s="214">
        <f>IF(AND(($E77+$C$1)&gt;AT$4,AT$4&gt;=$C$1),'General Inputs'!Q$9*$H77,IF(AND(($D77+$C$1)&gt;AT$4,AT$4&gt;=$C$1),'General Inputs'!Q$9*$G77,0))+IF(AND(($E77+$C$1)&gt;AT$4,AT$4&gt;=$C$1),'General Inputs'!Q$10*$J77,IF(AND(($D77+$C$1)&gt;AT$4,AT$4&gt;=$C$1),'General Inputs'!Q$10*$I77,0))</f>
        <v>342.0106613432323</v>
      </c>
      <c r="AU77" s="214">
        <f>IF(AND(($E77+$C$1)&gt;AU$4,AU$4&gt;=$C$1),'General Inputs'!R$9*$H77,IF(AND(($D77+$C$1)&gt;AU$4,AU$4&gt;=$C$1),'General Inputs'!R$9*$G77,0))+IF(AND(($E77+$C$1)&gt;AU$4,AU$4&gt;=$C$1),'General Inputs'!R$10*$J77,IF(AND(($D77+$C$1)&gt;AU$4,AU$4&gt;=$C$1),'General Inputs'!R$10*$I77,0))</f>
        <v>347.14082126338076</v>
      </c>
      <c r="AV77" s="214">
        <f>IF(AND(($E77+$C$1)&gt;AV$4,AV$4&gt;=$C$1),'General Inputs'!S$9*$H77,IF(AND(($D77+$C$1)&gt;AV$4,AV$4&gt;=$C$1),'General Inputs'!S$9*$G77,0))+IF(AND(($E77+$C$1)&gt;AV$4,AV$4&gt;=$C$1),'General Inputs'!S$10*$J77,IF(AND(($D77+$C$1)&gt;AV$4,AV$4&gt;=$C$1),'General Inputs'!S$10*$I77,0))</f>
        <v>0</v>
      </c>
      <c r="AW77" s="214">
        <f>IF(AND(($E77+$C$1)&gt;AW$4,AW$4&gt;=$C$1),'General Inputs'!T$9*$H77,IF(AND(($D77+$C$1)&gt;AW$4,AW$4&gt;=$C$1),'General Inputs'!T$9*$G77,0))+IF(AND(($E77+$C$1)&gt;AW$4,AW$4&gt;=$C$1),'General Inputs'!T$10*$J77,IF(AND(($D77+$C$1)&gt;AW$4,AW$4&gt;=$C$1),'General Inputs'!T$10*$I77,0))</f>
        <v>0</v>
      </c>
      <c r="AX77" s="214">
        <f>IF(AND(($E77+$C$1)&gt;AX$4,AX$4&gt;=$C$1),'General Inputs'!U$9*$H77,IF(AND(($D77+$C$1)&gt;AX$4,AX$4&gt;=$C$1),'General Inputs'!U$9*$G77,0))+IF(AND(($E77+$C$1)&gt;AX$4,AX$4&gt;=$C$1),'General Inputs'!U$10*$J77,IF(AND(($D77+$C$1)&gt;AX$4,AX$4&gt;=$C$1),'General Inputs'!U$10*$I77,0))</f>
        <v>0</v>
      </c>
      <c r="AY77" s="214">
        <f>IF(AND(($E77+$C$1)&gt;AY$4,AY$4&gt;=$C$1),'General Inputs'!V$9*$H77,IF(AND(($D77+$C$1)&gt;AY$4,AY$4&gt;=$C$1),'General Inputs'!V$9*$G77,0))+IF(AND(($E77+$C$1)&gt;AY$4,AY$4&gt;=$C$1),'General Inputs'!V$10*$J77,IF(AND(($D77+$C$1)&gt;AY$4,AY$4&gt;=$C$1),'General Inputs'!V$10*$I77,0))</f>
        <v>0</v>
      </c>
      <c r="AZ77" s="214">
        <f>IF(AND(($E77+$C$1)&gt;AZ$4,AZ$4&gt;=$C$1),'General Inputs'!W$9*$H77,IF(AND(($D77+$C$1)&gt;AZ$4,AZ$4&gt;=$C$1),'General Inputs'!W$9*$G77,0))+IF(AND(($E77+$C$1)&gt;AZ$4,AZ$4&gt;=$C$1),'General Inputs'!W$10*$J77,IF(AND(($D77+$C$1)&gt;AZ$4,AZ$4&gt;=$C$1),'General Inputs'!W$10*$I77,0))</f>
        <v>0</v>
      </c>
      <c r="BB77" s="214">
        <f>IF(AND(($E77+$C$1)&gt;BB$4,BB$4&gt;=$C$1),'General Inputs'!D$11*$H77,IF(AND(($D77+$C$1)&gt;BB$4,BB$4&gt;=$C$1),'General Inputs'!D$11*$G77,0))</f>
        <v>75.576298883085002</v>
      </c>
      <c r="BC77" s="214">
        <f>IF(AND(($E77+$C$1)&gt;BC$4,BC$4&gt;=$C$1),'General Inputs'!E$11*$H77,IF(AND(($D77+$C$1)&gt;BC$4,BC$4&gt;=$C$1),'General Inputs'!E$11*$G77,0))</f>
        <v>75.576298883085002</v>
      </c>
      <c r="BD77" s="214">
        <f>IF(AND(($E77+$C$1)&gt;BD$4,BD$4&gt;=$C$1),'General Inputs'!F$11*$H77,IF(AND(($D77+$C$1)&gt;BD$4,BD$4&gt;=$C$1),'General Inputs'!F$11*$G77,0))</f>
        <v>75.576298883085002</v>
      </c>
      <c r="BE77" s="214">
        <f>IF(AND(($E77+$C$1)&gt;BE$4,BE$4&gt;=$C$1),'General Inputs'!G$11*$H77,IF(AND(($D77+$C$1)&gt;BE$4,BE$4&gt;=$C$1),'General Inputs'!G$11*$G77,0))</f>
        <v>75.576298883085002</v>
      </c>
      <c r="BF77" s="214">
        <f>IF(AND(($E77+$C$1)&gt;BF$4,BF$4&gt;=$C$1),'General Inputs'!H$11*$H77,IF(AND(($D77+$C$1)&gt;BF$4,BF$4&gt;=$C$1),'General Inputs'!H$11*$G77,0))</f>
        <v>75.576298883085002</v>
      </c>
      <c r="BG77" s="214">
        <f>IF(AND(($E77+$C$1)&gt;BG$4,BG$4&gt;=$C$1),'General Inputs'!I$11*$H77,IF(AND(($D77+$C$1)&gt;BG$4,BG$4&gt;=$C$1),'General Inputs'!I$11*$G77,0))</f>
        <v>75.576298883085002</v>
      </c>
      <c r="BH77" s="214">
        <f>IF(AND(($E77+$C$1)&gt;BH$4,BH$4&gt;=$C$1),'General Inputs'!J$11*$H77,IF(AND(($D77+$C$1)&gt;BH$4,BH$4&gt;=$C$1),'General Inputs'!J$11*$G77,0))</f>
        <v>75.576298883085002</v>
      </c>
      <c r="BI77" s="214">
        <f>IF(AND(($E77+$C$1)&gt;BI$4,BI$4&gt;=$C$1),'General Inputs'!K$11*$H77,IF(AND(($D77+$C$1)&gt;BI$4,BI$4&gt;=$C$1),'General Inputs'!K$11*$G77,0))</f>
        <v>75.576298883085002</v>
      </c>
      <c r="BJ77" s="214">
        <f>IF(AND(($E77+$C$1)&gt;BJ$4,BJ$4&gt;=$C$1),'General Inputs'!L$11*$H77,IF(AND(($D77+$C$1)&gt;BJ$4,BJ$4&gt;=$C$1),'General Inputs'!L$11*$G77,0))</f>
        <v>75.576298883085002</v>
      </c>
      <c r="BK77" s="214">
        <f>IF(AND(($E77+$C$1)&gt;BK$4,BK$4&gt;=$C$1),'General Inputs'!M$11*$H77,IF(AND(($D77+$C$1)&gt;BK$4,BK$4&gt;=$C$1),'General Inputs'!M$11*$G77,0))</f>
        <v>75.576298883085002</v>
      </c>
      <c r="BL77" s="214">
        <f>IF(AND(($E77+$C$1)&gt;BL$4,BL$4&gt;=$C$1),'General Inputs'!N$11*$H77,IF(AND(($D77+$C$1)&gt;BL$4,BL$4&gt;=$C$1),'General Inputs'!N$11*$G77,0))</f>
        <v>75.576298883085002</v>
      </c>
      <c r="BM77" s="214">
        <f>IF(AND(($E77+$C$1)&gt;BM$4,BM$4&gt;=$C$1),'General Inputs'!O$11*$H77,IF(AND(($D77+$C$1)&gt;BM$4,BM$4&gt;=$C$1),'General Inputs'!O$11*$G77,0))</f>
        <v>75.576298883085002</v>
      </c>
      <c r="BN77" s="214">
        <f>IF(AND(($E77+$C$1)&gt;BN$4,BN$4&gt;=$C$1),'General Inputs'!P$11*$H77,IF(AND(($D77+$C$1)&gt;BN$4,BN$4&gt;=$C$1),'General Inputs'!P$11*$G77,0))</f>
        <v>75.576298883085002</v>
      </c>
      <c r="BO77" s="214">
        <f>IF(AND(($E77+$C$1)&gt;BO$4,BO$4&gt;=$C$1),'General Inputs'!Q$11*$H77,IF(AND(($D77+$C$1)&gt;BO$4,BO$4&gt;=$C$1),'General Inputs'!Q$11*$G77,0))</f>
        <v>75.576298883085002</v>
      </c>
      <c r="BP77" s="214">
        <f>IF(AND(($E77+$C$1)&gt;BP$4,BP$4&gt;=$C$1),'General Inputs'!R$11*$H77,IF(AND(($D77+$C$1)&gt;BP$4,BP$4&gt;=$C$1),'General Inputs'!R$11*$G77,0))</f>
        <v>75.576298883085002</v>
      </c>
      <c r="BQ77" s="214">
        <f>IF(AND(($E77+$C$1)&gt;BQ$4,BQ$4&gt;=$C$1),'General Inputs'!S$11*$H77,IF(AND(($D77+$C$1)&gt;BQ$4,BQ$4&gt;=$C$1),'General Inputs'!S$11*$G77,0))</f>
        <v>0</v>
      </c>
      <c r="BR77" s="214">
        <f>IF(AND(($E77+$C$1)&gt;BR$4,BR$4&gt;=$C$1),'General Inputs'!T$11*$H77,IF(AND(($D77+$C$1)&gt;BR$4,BR$4&gt;=$C$1),'General Inputs'!T$11*$G77,0))</f>
        <v>0</v>
      </c>
      <c r="BS77" s="214">
        <f>IF(AND(($E77+$C$1)&gt;BS$4,BS$4&gt;=$C$1),'General Inputs'!U$11*$H77,IF(AND(($D77+$C$1)&gt;BS$4,BS$4&gt;=$C$1),'General Inputs'!U$11*$G77,0))</f>
        <v>0</v>
      </c>
      <c r="BT77" s="214">
        <f>IF(AND(($E77+$C$1)&gt;BT$4,BT$4&gt;=$C$1),'General Inputs'!V$11*$H77,IF(AND(($D77+$C$1)&gt;BT$4,BT$4&gt;=$C$1),'General Inputs'!V$11*$G77,0))</f>
        <v>0</v>
      </c>
      <c r="BU77" s="214">
        <f>IF(AND(($E77+$C$1)&gt;BU$4,BU$4&gt;=$C$1),'General Inputs'!W$11*$H77,IF(AND(($D77+$C$1)&gt;BU$4,BU$4&gt;=$C$1),'General Inputs'!W$11*$G77,0))</f>
        <v>0</v>
      </c>
      <c r="BW77" s="214">
        <f>IF(AND(($E77+$C$1)&gt;BW$4,BW$4&gt;=$C$1),$H77,IF(AND(($D77+$C$1)&gt;BW$4,BW$4&gt;=$C$1),$G77,0))*IF($A77="Residential",'General Inputs'!D$14,'General Inputs'!D$19)</f>
        <v>692.56296465620812</v>
      </c>
      <c r="BX77" s="214">
        <f>IF(AND(($E77+$C$1)&gt;BX$4,BX$4&gt;=$C$1),$H77,IF(AND(($D77+$C$1)&gt;BX$4,BX$4&gt;=$C$1),$G77,0))*IF($A77="Residential",'General Inputs'!E$14,'General Inputs'!E$19)</f>
        <v>702.9514091260512</v>
      </c>
      <c r="BY77" s="214">
        <f>IF(AND(($E77+$C$1)&gt;BY$4,BY$4&gt;=$C$1),$H77,IF(AND(($D77+$C$1)&gt;BY$4,BY$4&gt;=$C$1),$G77,0))*IF($A77="Residential",'General Inputs'!F$14,'General Inputs'!F$19)</f>
        <v>713.49568026294196</v>
      </c>
      <c r="BZ77" s="214">
        <f>IF(AND(($E77+$C$1)&gt;BZ$4,BZ$4&gt;=$C$1),$H77,IF(AND(($D77+$C$1)&gt;BZ$4,BZ$4&gt;=$C$1),$G77,0))*IF($A77="Residential",'General Inputs'!G$14,'General Inputs'!G$19)</f>
        <v>724.19811546688607</v>
      </c>
      <c r="CA77" s="214">
        <f>IF(AND(($E77+$C$1)&gt;CA$4,CA$4&gt;=$C$1),$H77,IF(AND(($D77+$C$1)&gt;CA$4,CA$4&gt;=$C$1),$G77,0))*IF($A77="Residential",'General Inputs'!H$14,'General Inputs'!H$19)</f>
        <v>735.06108719888914</v>
      </c>
      <c r="CB77" s="214">
        <f>IF(AND(($E77+$C$1)&gt;CB$4,CB$4&gt;=$C$1),$H77,IF(AND(($D77+$C$1)&gt;CB$4,CB$4&gt;=$C$1),$G77,0))*IF($A77="Residential",'General Inputs'!I$14,'General Inputs'!I$19)</f>
        <v>746.08700350687241</v>
      </c>
      <c r="CC77" s="214">
        <f>IF(AND(($E77+$C$1)&gt;CC$4,CC$4&gt;=$C$1),$H77,IF(AND(($D77+$C$1)&gt;CC$4,CC$4&gt;=$C$1),$G77,0))*IF($A77="Residential",'General Inputs'!J$14,'General Inputs'!J$19)</f>
        <v>757.27830855947548</v>
      </c>
      <c r="CD77" s="214">
        <f>IF(AND(($E77+$C$1)&gt;CD$4,CD$4&gt;=$C$1),$H77,IF(AND(($D77+$C$1)&gt;CD$4,CD$4&gt;=$C$1),$G77,0))*IF($A77="Residential",'General Inputs'!K$14,'General Inputs'!K$19)</f>
        <v>768.63748318786747</v>
      </c>
      <c r="CE77" s="214">
        <f>IF(AND(($E77+$C$1)&gt;CE$4,CE$4&gt;=$C$1),$H77,IF(AND(($D77+$C$1)&gt;CE$4,CE$4&gt;=$C$1),$G77,0))*IF($A77="Residential",'General Inputs'!L$14,'General Inputs'!L$19)</f>
        <v>780.1670454356854</v>
      </c>
      <c r="CF77" s="214">
        <f>IF(AND(($E77+$C$1)&gt;CF$4,CF$4&gt;=$C$1),$H77,IF(AND(($D77+$C$1)&gt;CF$4,CF$4&gt;=$C$1),$G77,0))*IF($A77="Residential",'General Inputs'!M$14,'General Inputs'!M$19)</f>
        <v>791.86955111722068</v>
      </c>
      <c r="CG77" s="214">
        <f>IF(AND(($E77+$C$1)&gt;CG$4,CG$4&gt;=$C$1),$H77,IF(AND(($D77+$C$1)&gt;CG$4,CG$4&gt;=$C$1),$G77,0))*IF($A77="Residential",'General Inputs'!N$14,'General Inputs'!N$19)</f>
        <v>803.74759438397894</v>
      </c>
      <c r="CH77" s="214">
        <f>IF(AND(($E77+$C$1)&gt;CH$4,CH$4&gt;=$C$1),$H77,IF(AND(($D77+$C$1)&gt;CH$4,CH$4&gt;=$C$1),$G77,0))*IF($A77="Residential",'General Inputs'!O$14,'General Inputs'!O$19)</f>
        <v>815.80380829973842</v>
      </c>
      <c r="CI77" s="214">
        <f>IF(AND(($E77+$C$1)&gt;CI$4,CI$4&gt;=$C$1),$H77,IF(AND(($D77+$C$1)&gt;CI$4,CI$4&gt;=$C$1),$G77,0))*IF($A77="Residential",'General Inputs'!P$14,'General Inputs'!P$19)</f>
        <v>828.04086542423454</v>
      </c>
      <c r="CJ77" s="214">
        <f>IF(AND(($E77+$C$1)&gt;CJ$4,CJ$4&gt;=$C$1),$H77,IF(AND(($D77+$C$1)&gt;CJ$4,CJ$4&gt;=$C$1),$G77,0))*IF($A77="Residential",'General Inputs'!Q$14,'General Inputs'!Q$19)</f>
        <v>840.46147840559797</v>
      </c>
      <c r="CK77" s="214">
        <f>IF(AND(($E77+$C$1)&gt;CK$4,CK$4&gt;=$C$1),$H77,IF(AND(($D77+$C$1)&gt;CK$4,CK$4&gt;=$C$1),$G77,0))*IF($A77="Residential",'General Inputs'!R$14,'General Inputs'!R$19)</f>
        <v>853.06840058168177</v>
      </c>
      <c r="CL77" s="214">
        <f>IF(AND(($E77+$C$1)&gt;CL$4,CL$4&gt;=$C$1),$H77,IF(AND(($D77+$C$1)&gt;CL$4,CL$4&gt;=$C$1),$G77,0))*IF($A77="Residential",'General Inputs'!S$14,'General Inputs'!S$19)</f>
        <v>0</v>
      </c>
      <c r="CM77" s="214">
        <f>IF(AND(($E77+$C$1)&gt;CM$4,CM$4&gt;=$C$1),$H77,IF(AND(($D77+$C$1)&gt;CM$4,CM$4&gt;=$C$1),$G77,0))*IF($A77="Residential",'General Inputs'!T$14,'General Inputs'!T$19)</f>
        <v>0</v>
      </c>
      <c r="CN77" s="214">
        <f>IF(AND(($E77+$C$1)&gt;CN$4,CN$4&gt;=$C$1),$H77,IF(AND(($D77+$C$1)&gt;CN$4,CN$4&gt;=$C$1),$G77,0))*IF($A77="Residential",'General Inputs'!U$14,'General Inputs'!U$19)</f>
        <v>0</v>
      </c>
      <c r="CO77" s="214">
        <f>IF(AND(($E77+$C$1)&gt;CO$4,CO$4&gt;=$C$1),$H77,IF(AND(($D77+$C$1)&gt;CO$4,CO$4&gt;=$C$1),$G77,0))*IF($A77="Residential",'General Inputs'!V$14,'General Inputs'!V$19)</f>
        <v>0</v>
      </c>
      <c r="CP77" s="214">
        <f>IF(AND(($E77+$C$1)&gt;CP$4,CP$4&gt;=$C$1),$H77,IF(AND(($D77+$C$1)&gt;CP$4,CP$4&gt;=$C$1),$G77,0))*IF($A77="Residential",'General Inputs'!W$14,'General Inputs'!W$19)</f>
        <v>0</v>
      </c>
      <c r="CR77" s="214">
        <f>IF(AND(($E77+$C$1)&gt;CR$4,CR$4&gt;=$C$1),$H77,IF(AND(($D77+$C$1)&gt;CR$4,CR$4&gt;=$C$1),$G77,0))*IF($A77="Residential",'General Inputs'!D$15,'General Inputs'!D$19)</f>
        <v>692.56296465620812</v>
      </c>
      <c r="CS77" s="214">
        <f>IF(AND(($E77+$C$1)&gt;CS$4,CS$4&gt;=$C$1),$H77,IF(AND(($D77+$C$1)&gt;CS$4,CS$4&gt;=$C$1),$G77,0))*IF($A77="Residential",'General Inputs'!E$15,'General Inputs'!E$19)</f>
        <v>702.9514091260512</v>
      </c>
      <c r="CT77" s="214">
        <f>IF(AND(($E77+$C$1)&gt;CT$4,CT$4&gt;=$C$1),$H77,IF(AND(($D77+$C$1)&gt;CT$4,CT$4&gt;=$C$1),$G77,0))*IF($A77="Residential",'General Inputs'!F$15,'General Inputs'!F$19)</f>
        <v>713.49568026294196</v>
      </c>
      <c r="CU77" s="214">
        <f>IF(AND(($E77+$C$1)&gt;CU$4,CU$4&gt;=$C$1),$H77,IF(AND(($D77+$C$1)&gt;CU$4,CU$4&gt;=$C$1),$G77,0))*IF($A77="Residential",'General Inputs'!G$15,'General Inputs'!G$19)</f>
        <v>724.19811546688607</v>
      </c>
      <c r="CV77" s="214">
        <f>IF(AND(($E77+$C$1)&gt;CV$4,CV$4&gt;=$C$1),$H77,IF(AND(($D77+$C$1)&gt;CV$4,CV$4&gt;=$C$1),$G77,0))*IF($A77="Residential",'General Inputs'!H$15,'General Inputs'!H$19)</f>
        <v>735.06108719888914</v>
      </c>
      <c r="CW77" s="214">
        <f>IF(AND(($E77+$C$1)&gt;CW$4,CW$4&gt;=$C$1),$H77,IF(AND(($D77+$C$1)&gt;CW$4,CW$4&gt;=$C$1),$G77,0))*IF($A77="Residential",'General Inputs'!I$15,'General Inputs'!I$19)</f>
        <v>746.08700350687241</v>
      </c>
      <c r="CX77" s="214">
        <f>IF(AND(($E77+$C$1)&gt;CX$4,CX$4&gt;=$C$1),$H77,IF(AND(($D77+$C$1)&gt;CX$4,CX$4&gt;=$C$1),$G77,0))*IF($A77="Residential",'General Inputs'!J$15,'General Inputs'!J$19)</f>
        <v>757.27830855947548</v>
      </c>
      <c r="CY77" s="214">
        <f>IF(AND(($E77+$C$1)&gt;CY$4,CY$4&gt;=$C$1),$H77,IF(AND(($D77+$C$1)&gt;CY$4,CY$4&gt;=$C$1),$G77,0))*IF($A77="Residential",'General Inputs'!K$15,'General Inputs'!K$19)</f>
        <v>768.63748318786747</v>
      </c>
      <c r="CZ77" s="214">
        <f>IF(AND(($E77+$C$1)&gt;CZ$4,CZ$4&gt;=$C$1),$H77,IF(AND(($D77+$C$1)&gt;CZ$4,CZ$4&gt;=$C$1),$G77,0))*IF($A77="Residential",'General Inputs'!L$15,'General Inputs'!L$19)</f>
        <v>780.1670454356854</v>
      </c>
      <c r="DA77" s="214">
        <f>IF(AND(($E77+$C$1)&gt;DA$4,DA$4&gt;=$C$1),$H77,IF(AND(($D77+$C$1)&gt;DA$4,DA$4&gt;=$C$1),$G77,0))*IF($A77="Residential",'General Inputs'!M$15,'General Inputs'!M$19)</f>
        <v>791.86955111722068</v>
      </c>
      <c r="DB77" s="214">
        <f>IF(AND(($E77+$C$1)&gt;DB$4,DB$4&gt;=$C$1),$H77,IF(AND(($D77+$C$1)&gt;DB$4,DB$4&gt;=$C$1),$G77,0))*IF($A77="Residential",'General Inputs'!N$15,'General Inputs'!N$19)</f>
        <v>803.74759438397894</v>
      </c>
      <c r="DC77" s="214">
        <f>IF(AND(($E77+$C$1)&gt;DC$4,DC$4&gt;=$C$1),$H77,IF(AND(($D77+$C$1)&gt;DC$4,DC$4&gt;=$C$1),$G77,0))*IF($A77="Residential",'General Inputs'!O$15,'General Inputs'!O$19)</f>
        <v>815.80380829973842</v>
      </c>
      <c r="DD77" s="214">
        <f>IF(AND(($E77+$C$1)&gt;DD$4,DD$4&gt;=$C$1),$H77,IF(AND(($D77+$C$1)&gt;DD$4,DD$4&gt;=$C$1),$G77,0))*IF($A77="Residential",'General Inputs'!P$15,'General Inputs'!P$19)</f>
        <v>828.04086542423454</v>
      </c>
      <c r="DE77" s="214">
        <f>IF(AND(($E77+$C$1)&gt;DE$4,DE$4&gt;=$C$1),$H77,IF(AND(($D77+$C$1)&gt;DE$4,DE$4&gt;=$C$1),$G77,0))*IF($A77="Residential",'General Inputs'!Q$15,'General Inputs'!Q$19)</f>
        <v>840.46147840559797</v>
      </c>
      <c r="DF77" s="214">
        <f>IF(AND(($E77+$C$1)&gt;DF$4,DF$4&gt;=$C$1),$H77,IF(AND(($D77+$C$1)&gt;DF$4,DF$4&gt;=$C$1),$G77,0))*IF($A77="Residential",'General Inputs'!R$15,'General Inputs'!R$19)</f>
        <v>853.06840058168177</v>
      </c>
      <c r="DG77" s="214">
        <f>IF(AND(($E77+$C$1)&gt;DG$4,DG$4&gt;=$C$1),$H77,IF(AND(($D77+$C$1)&gt;DG$4,DG$4&gt;=$C$1),$G77,0))*IF($A77="Residential",'General Inputs'!S$15,'General Inputs'!S$19)</f>
        <v>0</v>
      </c>
      <c r="DH77" s="214">
        <f>IF(AND(($E77+$C$1)&gt;DH$4,DH$4&gt;=$C$1),$H77,IF(AND(($D77+$C$1)&gt;DH$4,DH$4&gt;=$C$1),$G77,0))*IF($A77="Residential",'General Inputs'!T$15,'General Inputs'!T$19)</f>
        <v>0</v>
      </c>
      <c r="DI77" s="214">
        <f>IF(AND(($E77+$C$1)&gt;DI$4,DI$4&gt;=$C$1),$H77,IF(AND(($D77+$C$1)&gt;DI$4,DI$4&gt;=$C$1),$G77,0))*IF($A77="Residential",'General Inputs'!U$15,'General Inputs'!U$19)</f>
        <v>0</v>
      </c>
      <c r="DJ77" s="214">
        <f>IF(AND(($E77+$C$1)&gt;DJ$4,DJ$4&gt;=$C$1),$H77,IF(AND(($D77+$C$1)&gt;DJ$4,DJ$4&gt;=$C$1),$G77,0))*IF($A77="Residential",'General Inputs'!V$15,'General Inputs'!V$19)</f>
        <v>0</v>
      </c>
      <c r="DK77" s="214">
        <f>IF(AND(($E77+$C$1)&gt;DK$4,DK$4&gt;=$C$1),$H77,IF(AND(($D77+$C$1)&gt;DK$4,DK$4&gt;=$C$1),$G77,0))*IF($A77="Residential",'General Inputs'!W$15,'General Inputs'!W$19)</f>
        <v>0</v>
      </c>
      <c r="DM77" s="214">
        <f t="shared" si="456"/>
        <v>875</v>
      </c>
      <c r="DN77" s="214">
        <f t="shared" si="456"/>
        <v>0</v>
      </c>
      <c r="DO77" s="214">
        <f t="shared" si="456"/>
        <v>0</v>
      </c>
      <c r="DP77" s="214">
        <f t="shared" si="456"/>
        <v>0</v>
      </c>
      <c r="DQ77" s="214">
        <f t="shared" si="456"/>
        <v>0</v>
      </c>
      <c r="DR77" s="214">
        <f t="shared" si="456"/>
        <v>0</v>
      </c>
      <c r="DS77" s="214">
        <f t="shared" si="456"/>
        <v>0</v>
      </c>
      <c r="DT77" s="214">
        <f t="shared" si="456"/>
        <v>0</v>
      </c>
      <c r="DU77" s="214">
        <f t="shared" si="456"/>
        <v>0</v>
      </c>
      <c r="DV77" s="214">
        <f t="shared" si="456"/>
        <v>0</v>
      </c>
      <c r="DW77" s="214">
        <f t="shared" si="456"/>
        <v>0</v>
      </c>
      <c r="DZ77" s="650"/>
      <c r="FI77" s="195"/>
      <c r="FJ77" s="195"/>
      <c r="FK77" s="195"/>
      <c r="FL77" s="195"/>
      <c r="FM77" s="195"/>
      <c r="FN77" s="195"/>
      <c r="FO77" s="195"/>
    </row>
    <row r="78" spans="1:171">
      <c r="A78" s="342" t="s">
        <v>112</v>
      </c>
      <c r="B78" s="427" t="str">
        <f>'Portfolio Inputs'!A77</f>
        <v>LED (≤5W)</v>
      </c>
      <c r="C78" s="217">
        <f>IF($C$1=2014,'Portfolio Inputs'!$C77,IF($C$1=2015,'Portfolio Inputs'!$D77,'Portfolio Inputs'!$E77))</f>
        <v>0</v>
      </c>
      <c r="D78" s="504">
        <f>VLOOKUP(B78,Sources!$B$4:$J$104,2,FALSE)</f>
        <v>10</v>
      </c>
      <c r="E78" s="504">
        <f>VLOOKUP(B78,Sources!$B$4:$J$104,3,FALSE)</f>
        <v>0</v>
      </c>
      <c r="G78" s="504">
        <f>IF($C$1=2014,'Portfolio Inputs'!$G77,IF($C$1=2015,'Portfolio Inputs'!$H77,'Portfolio Inputs'!$I77))*EnergyLineLoss</f>
        <v>0</v>
      </c>
      <c r="H78" s="504"/>
      <c r="I78" s="595">
        <f>IF($C$1=2014,'Portfolio Inputs'!$K77,IF($C$1=2015,'Portfolio Inputs'!$L77,'Portfolio Inputs'!$M77))*PeakLineLoss</f>
        <v>0</v>
      </c>
      <c r="J78" s="510"/>
      <c r="L78" s="606">
        <f>IF($C$1=2014,'Portfolio Inputs'!$O77,IF($C$1=2015,'Portfolio Inputs'!$P77,'Portfolio Inputs'!$Q77))</f>
        <v>34</v>
      </c>
      <c r="M78" s="518">
        <f>VLOOKUP($B78,Sources!$B$4:$K$104,10,FALSE)</f>
        <v>0</v>
      </c>
      <c r="N78" s="419">
        <f>IF($C$1=2014,'Portfolio Inputs'!$W77,IF($C$1=2015,'Portfolio Inputs'!$X77,'Portfolio Inputs'!$Y77))</f>
        <v>0</v>
      </c>
      <c r="O78" s="419">
        <f>IF($C$1=2014,'Portfolio Inputs'!$AA77,IF($C$1=2015,'Portfolio Inputs'!$AB77,'Portfolio Inputs'!$AC77))</f>
        <v>0</v>
      </c>
      <c r="Q78" s="438" t="str">
        <f t="shared" si="442"/>
        <v>n/a</v>
      </c>
      <c r="R78" s="439" t="str">
        <f t="shared" si="443"/>
        <v>n/a</v>
      </c>
      <c r="S78" s="439" t="str">
        <f t="shared" si="444"/>
        <v>n/a</v>
      </c>
      <c r="T78" s="439" t="str">
        <f t="shared" si="445"/>
        <v>n/a</v>
      </c>
      <c r="U78" s="439" t="str">
        <f t="shared" si="446"/>
        <v>n/a</v>
      </c>
      <c r="V78" s="439" t="str">
        <f t="shared" si="447"/>
        <v>n/a</v>
      </c>
      <c r="W78" s="439" t="str">
        <f t="shared" si="448"/>
        <v>n/a</v>
      </c>
      <c r="Y78" s="215">
        <f t="shared" si="449"/>
        <v>0</v>
      </c>
      <c r="Z78" s="215">
        <f t="shared" si="450"/>
        <v>0</v>
      </c>
      <c r="AA78" s="215">
        <f t="shared" si="451"/>
        <v>0</v>
      </c>
      <c r="AB78" s="215">
        <f t="shared" si="452"/>
        <v>0</v>
      </c>
      <c r="AC78" s="216">
        <f t="shared" si="453"/>
        <v>0</v>
      </c>
      <c r="AD78" s="216">
        <f t="shared" si="454"/>
        <v>0</v>
      </c>
      <c r="AE78" s="215">
        <f t="shared" si="455"/>
        <v>0</v>
      </c>
      <c r="AG78" s="214">
        <f>IF(AND(($E78+$C$1)&gt;AG$4,AG$4&gt;=$C$1),'General Inputs'!D$9*$H78,IF(AND(($D78+$C$1)&gt;AG$4,AG$4&gt;=$C$1),'General Inputs'!D$9*$G78,0))+IF(AND(($E78+$C$1)&gt;AG$4,AG$4&gt;=$C$1),'General Inputs'!D$10*$J78,IF(AND(($D78+$C$1)&gt;AG$4,AG$4&gt;=$C$1),'General Inputs'!D$10*$I78,0))</f>
        <v>0</v>
      </c>
      <c r="AH78" s="214">
        <f>IF(AND(($E78+$C$1)&gt;AH$4,AH$4&gt;=$C$1),'General Inputs'!E$9*$H78,IF(AND(($D78+$C$1)&gt;AH$4,AH$4&gt;=$C$1),'General Inputs'!E$9*$G78,0))+IF(AND(($E78+$C$1)&gt;AH$4,AH$4&gt;=$C$1),'General Inputs'!E$10*$J78,IF(AND(($D78+$C$1)&gt;AH$4,AH$4&gt;=$C$1),'General Inputs'!E$10*$I78,0))</f>
        <v>0</v>
      </c>
      <c r="AI78" s="214">
        <f>IF(AND(($E78+$C$1)&gt;AI$4,AI$4&gt;=$C$1),'General Inputs'!F$9*$H78,IF(AND(($D78+$C$1)&gt;AI$4,AI$4&gt;=$C$1),'General Inputs'!F$9*$G78,0))+IF(AND(($E78+$C$1)&gt;AI$4,AI$4&gt;=$C$1),'General Inputs'!F$10*$J78,IF(AND(($D78+$C$1)&gt;AI$4,AI$4&gt;=$C$1),'General Inputs'!F$10*$I78,0))</f>
        <v>0</v>
      </c>
      <c r="AJ78" s="214">
        <f>IF(AND(($E78+$C$1)&gt;AJ$4,AJ$4&gt;=$C$1),'General Inputs'!G$9*$H78,IF(AND(($D78+$C$1)&gt;AJ$4,AJ$4&gt;=$C$1),'General Inputs'!G$9*$G78,0))+IF(AND(($E78+$C$1)&gt;AJ$4,AJ$4&gt;=$C$1),'General Inputs'!G$10*$J78,IF(AND(($D78+$C$1)&gt;AJ$4,AJ$4&gt;=$C$1),'General Inputs'!G$10*$I78,0))</f>
        <v>0</v>
      </c>
      <c r="AK78" s="214">
        <f>IF(AND(($E78+$C$1)&gt;AK$4,AK$4&gt;=$C$1),'General Inputs'!H$9*$H78,IF(AND(($D78+$C$1)&gt;AK$4,AK$4&gt;=$C$1),'General Inputs'!H$9*$G78,0))+IF(AND(($E78+$C$1)&gt;AK$4,AK$4&gt;=$C$1),'General Inputs'!H$10*$J78,IF(AND(($D78+$C$1)&gt;AK$4,AK$4&gt;=$C$1),'General Inputs'!H$10*$I78,0))</f>
        <v>0</v>
      </c>
      <c r="AL78" s="214">
        <f>IF(AND(($E78+$C$1)&gt;AL$4,AL$4&gt;=$C$1),'General Inputs'!I$9*$H78,IF(AND(($D78+$C$1)&gt;AL$4,AL$4&gt;=$C$1),'General Inputs'!I$9*$G78,0))+IF(AND(($E78+$C$1)&gt;AL$4,AL$4&gt;=$C$1),'General Inputs'!I$10*$J78,IF(AND(($D78+$C$1)&gt;AL$4,AL$4&gt;=$C$1),'General Inputs'!I$10*$I78,0))</f>
        <v>0</v>
      </c>
      <c r="AM78" s="214">
        <f>IF(AND(($E78+$C$1)&gt;AM$4,AM$4&gt;=$C$1),'General Inputs'!J$9*$H78,IF(AND(($D78+$C$1)&gt;AM$4,AM$4&gt;=$C$1),'General Inputs'!J$9*$G78,0))+IF(AND(($E78+$C$1)&gt;AM$4,AM$4&gt;=$C$1),'General Inputs'!J$10*$J78,IF(AND(($D78+$C$1)&gt;AM$4,AM$4&gt;=$C$1),'General Inputs'!J$10*$I78,0))</f>
        <v>0</v>
      </c>
      <c r="AN78" s="214">
        <f>IF(AND(($E78+$C$1)&gt;AN$4,AN$4&gt;=$C$1),'General Inputs'!K$9*$H78,IF(AND(($D78+$C$1)&gt;AN$4,AN$4&gt;=$C$1),'General Inputs'!K$9*$G78,0))+IF(AND(($E78+$C$1)&gt;AN$4,AN$4&gt;=$C$1),'General Inputs'!K$10*$J78,IF(AND(($D78+$C$1)&gt;AN$4,AN$4&gt;=$C$1),'General Inputs'!K$10*$I78,0))</f>
        <v>0</v>
      </c>
      <c r="AO78" s="214">
        <f>IF(AND(($E78+$C$1)&gt;AO$4,AO$4&gt;=$C$1),'General Inputs'!L$9*$H78,IF(AND(($D78+$C$1)&gt;AO$4,AO$4&gt;=$C$1),'General Inputs'!L$9*$G78,0))+IF(AND(($E78+$C$1)&gt;AO$4,AO$4&gt;=$C$1),'General Inputs'!L$10*$J78,IF(AND(($D78+$C$1)&gt;AO$4,AO$4&gt;=$C$1),'General Inputs'!L$10*$I78,0))</f>
        <v>0</v>
      </c>
      <c r="AP78" s="214">
        <f>IF(AND(($E78+$C$1)&gt;AP$4,AP$4&gt;=$C$1),'General Inputs'!M$9*$H78,IF(AND(($D78+$C$1)&gt;AP$4,AP$4&gt;=$C$1),'General Inputs'!M$9*$G78,0))+IF(AND(($E78+$C$1)&gt;AP$4,AP$4&gt;=$C$1),'General Inputs'!M$10*$J78,IF(AND(($D78+$C$1)&gt;AP$4,AP$4&gt;=$C$1),'General Inputs'!M$10*$I78,0))</f>
        <v>0</v>
      </c>
      <c r="AQ78" s="214">
        <f>IF(AND(($E78+$C$1)&gt;AQ$4,AQ$4&gt;=$C$1),'General Inputs'!N$9*$H78,IF(AND(($D78+$C$1)&gt;AQ$4,AQ$4&gt;=$C$1),'General Inputs'!N$9*$G78,0))+IF(AND(($E78+$C$1)&gt;AQ$4,AQ$4&gt;=$C$1),'General Inputs'!N$10*$J78,IF(AND(($D78+$C$1)&gt;AQ$4,AQ$4&gt;=$C$1),'General Inputs'!N$10*$I78,0))</f>
        <v>0</v>
      </c>
      <c r="AR78" s="214">
        <f>IF(AND(($E78+$C$1)&gt;AR$4,AR$4&gt;=$C$1),'General Inputs'!O$9*$H78,IF(AND(($D78+$C$1)&gt;AR$4,AR$4&gt;=$C$1),'General Inputs'!O$9*$G78,0))+IF(AND(($E78+$C$1)&gt;AR$4,AR$4&gt;=$C$1),'General Inputs'!O$10*$J78,IF(AND(($D78+$C$1)&gt;AR$4,AR$4&gt;=$C$1),'General Inputs'!O$10*$I78,0))</f>
        <v>0</v>
      </c>
      <c r="AS78" s="214">
        <f>IF(AND(($E78+$C$1)&gt;AS$4,AS$4&gt;=$C$1),'General Inputs'!P$9*$H78,IF(AND(($D78+$C$1)&gt;AS$4,AS$4&gt;=$C$1),'General Inputs'!P$9*$G78,0))+IF(AND(($E78+$C$1)&gt;AS$4,AS$4&gt;=$C$1),'General Inputs'!P$10*$J78,IF(AND(($D78+$C$1)&gt;AS$4,AS$4&gt;=$C$1),'General Inputs'!P$10*$I78,0))</f>
        <v>0</v>
      </c>
      <c r="AT78" s="214">
        <f>IF(AND(($E78+$C$1)&gt;AT$4,AT$4&gt;=$C$1),'General Inputs'!Q$9*$H78,IF(AND(($D78+$C$1)&gt;AT$4,AT$4&gt;=$C$1),'General Inputs'!Q$9*$G78,0))+IF(AND(($E78+$C$1)&gt;AT$4,AT$4&gt;=$C$1),'General Inputs'!Q$10*$J78,IF(AND(($D78+$C$1)&gt;AT$4,AT$4&gt;=$C$1),'General Inputs'!Q$10*$I78,0))</f>
        <v>0</v>
      </c>
      <c r="AU78" s="214">
        <f>IF(AND(($E78+$C$1)&gt;AU$4,AU$4&gt;=$C$1),'General Inputs'!R$9*$H78,IF(AND(($D78+$C$1)&gt;AU$4,AU$4&gt;=$C$1),'General Inputs'!R$9*$G78,0))+IF(AND(($E78+$C$1)&gt;AU$4,AU$4&gt;=$C$1),'General Inputs'!R$10*$J78,IF(AND(($D78+$C$1)&gt;AU$4,AU$4&gt;=$C$1),'General Inputs'!R$10*$I78,0))</f>
        <v>0</v>
      </c>
      <c r="AV78" s="214">
        <f>IF(AND(($E78+$C$1)&gt;AV$4,AV$4&gt;=$C$1),'General Inputs'!S$9*$H78,IF(AND(($D78+$C$1)&gt;AV$4,AV$4&gt;=$C$1),'General Inputs'!S$9*$G78,0))+IF(AND(($E78+$C$1)&gt;AV$4,AV$4&gt;=$C$1),'General Inputs'!S$10*$J78,IF(AND(($D78+$C$1)&gt;AV$4,AV$4&gt;=$C$1),'General Inputs'!S$10*$I78,0))</f>
        <v>0</v>
      </c>
      <c r="AW78" s="214">
        <f>IF(AND(($E78+$C$1)&gt;AW$4,AW$4&gt;=$C$1),'General Inputs'!T$9*$H78,IF(AND(($D78+$C$1)&gt;AW$4,AW$4&gt;=$C$1),'General Inputs'!T$9*$G78,0))+IF(AND(($E78+$C$1)&gt;AW$4,AW$4&gt;=$C$1),'General Inputs'!T$10*$J78,IF(AND(($D78+$C$1)&gt;AW$4,AW$4&gt;=$C$1),'General Inputs'!T$10*$I78,0))</f>
        <v>0</v>
      </c>
      <c r="AX78" s="214">
        <f>IF(AND(($E78+$C$1)&gt;AX$4,AX$4&gt;=$C$1),'General Inputs'!U$9*$H78,IF(AND(($D78+$C$1)&gt;AX$4,AX$4&gt;=$C$1),'General Inputs'!U$9*$G78,0))+IF(AND(($E78+$C$1)&gt;AX$4,AX$4&gt;=$C$1),'General Inputs'!U$10*$J78,IF(AND(($D78+$C$1)&gt;AX$4,AX$4&gt;=$C$1),'General Inputs'!U$10*$I78,0))</f>
        <v>0</v>
      </c>
      <c r="AY78" s="214">
        <f>IF(AND(($E78+$C$1)&gt;AY$4,AY$4&gt;=$C$1),'General Inputs'!V$9*$H78,IF(AND(($D78+$C$1)&gt;AY$4,AY$4&gt;=$C$1),'General Inputs'!V$9*$G78,0))+IF(AND(($E78+$C$1)&gt;AY$4,AY$4&gt;=$C$1),'General Inputs'!V$10*$J78,IF(AND(($D78+$C$1)&gt;AY$4,AY$4&gt;=$C$1),'General Inputs'!V$10*$I78,0))</f>
        <v>0</v>
      </c>
      <c r="AZ78" s="214">
        <f>IF(AND(($E78+$C$1)&gt;AZ$4,AZ$4&gt;=$C$1),'General Inputs'!W$9*$H78,IF(AND(($D78+$C$1)&gt;AZ$4,AZ$4&gt;=$C$1),'General Inputs'!W$9*$G78,0))+IF(AND(($E78+$C$1)&gt;AZ$4,AZ$4&gt;=$C$1),'General Inputs'!W$10*$J78,IF(AND(($D78+$C$1)&gt;AZ$4,AZ$4&gt;=$C$1),'General Inputs'!W$10*$I78,0))</f>
        <v>0</v>
      </c>
      <c r="BB78" s="214">
        <f>IF(AND(($E78+$C$1)&gt;BB$4,BB$4&gt;=$C$1),'General Inputs'!D$11*$H78,IF(AND(($D78+$C$1)&gt;BB$4,BB$4&gt;=$C$1),'General Inputs'!D$11*$G78,0))</f>
        <v>0</v>
      </c>
      <c r="BC78" s="214">
        <f>IF(AND(($E78+$C$1)&gt;BC$4,BC$4&gt;=$C$1),'General Inputs'!E$11*$H78,IF(AND(($D78+$C$1)&gt;BC$4,BC$4&gt;=$C$1),'General Inputs'!E$11*$G78,0))</f>
        <v>0</v>
      </c>
      <c r="BD78" s="214">
        <f>IF(AND(($E78+$C$1)&gt;BD$4,BD$4&gt;=$C$1),'General Inputs'!F$11*$H78,IF(AND(($D78+$C$1)&gt;BD$4,BD$4&gt;=$C$1),'General Inputs'!F$11*$G78,0))</f>
        <v>0</v>
      </c>
      <c r="BE78" s="214">
        <f>IF(AND(($E78+$C$1)&gt;BE$4,BE$4&gt;=$C$1),'General Inputs'!G$11*$H78,IF(AND(($D78+$C$1)&gt;BE$4,BE$4&gt;=$C$1),'General Inputs'!G$11*$G78,0))</f>
        <v>0</v>
      </c>
      <c r="BF78" s="214">
        <f>IF(AND(($E78+$C$1)&gt;BF$4,BF$4&gt;=$C$1),'General Inputs'!H$11*$H78,IF(AND(($D78+$C$1)&gt;BF$4,BF$4&gt;=$C$1),'General Inputs'!H$11*$G78,0))</f>
        <v>0</v>
      </c>
      <c r="BG78" s="214">
        <f>IF(AND(($E78+$C$1)&gt;BG$4,BG$4&gt;=$C$1),'General Inputs'!I$11*$H78,IF(AND(($D78+$C$1)&gt;BG$4,BG$4&gt;=$C$1),'General Inputs'!I$11*$G78,0))</f>
        <v>0</v>
      </c>
      <c r="BH78" s="214">
        <f>IF(AND(($E78+$C$1)&gt;BH$4,BH$4&gt;=$C$1),'General Inputs'!J$11*$H78,IF(AND(($D78+$C$1)&gt;BH$4,BH$4&gt;=$C$1),'General Inputs'!J$11*$G78,0))</f>
        <v>0</v>
      </c>
      <c r="BI78" s="214">
        <f>IF(AND(($E78+$C$1)&gt;BI$4,BI$4&gt;=$C$1),'General Inputs'!K$11*$H78,IF(AND(($D78+$C$1)&gt;BI$4,BI$4&gt;=$C$1),'General Inputs'!K$11*$G78,0))</f>
        <v>0</v>
      </c>
      <c r="BJ78" s="214">
        <f>IF(AND(($E78+$C$1)&gt;BJ$4,BJ$4&gt;=$C$1),'General Inputs'!L$11*$H78,IF(AND(($D78+$C$1)&gt;BJ$4,BJ$4&gt;=$C$1),'General Inputs'!L$11*$G78,0))</f>
        <v>0</v>
      </c>
      <c r="BK78" s="214">
        <f>IF(AND(($E78+$C$1)&gt;BK$4,BK$4&gt;=$C$1),'General Inputs'!M$11*$H78,IF(AND(($D78+$C$1)&gt;BK$4,BK$4&gt;=$C$1),'General Inputs'!M$11*$G78,0))</f>
        <v>0</v>
      </c>
      <c r="BL78" s="214">
        <f>IF(AND(($E78+$C$1)&gt;BL$4,BL$4&gt;=$C$1),'General Inputs'!N$11*$H78,IF(AND(($D78+$C$1)&gt;BL$4,BL$4&gt;=$C$1),'General Inputs'!N$11*$G78,0))</f>
        <v>0</v>
      </c>
      <c r="BM78" s="214">
        <f>IF(AND(($E78+$C$1)&gt;BM$4,BM$4&gt;=$C$1),'General Inputs'!O$11*$H78,IF(AND(($D78+$C$1)&gt;BM$4,BM$4&gt;=$C$1),'General Inputs'!O$11*$G78,0))</f>
        <v>0</v>
      </c>
      <c r="BN78" s="214">
        <f>IF(AND(($E78+$C$1)&gt;BN$4,BN$4&gt;=$C$1),'General Inputs'!P$11*$H78,IF(AND(($D78+$C$1)&gt;BN$4,BN$4&gt;=$C$1),'General Inputs'!P$11*$G78,0))</f>
        <v>0</v>
      </c>
      <c r="BO78" s="214">
        <f>IF(AND(($E78+$C$1)&gt;BO$4,BO$4&gt;=$C$1),'General Inputs'!Q$11*$H78,IF(AND(($D78+$C$1)&gt;BO$4,BO$4&gt;=$C$1),'General Inputs'!Q$11*$G78,0))</f>
        <v>0</v>
      </c>
      <c r="BP78" s="214">
        <f>IF(AND(($E78+$C$1)&gt;BP$4,BP$4&gt;=$C$1),'General Inputs'!R$11*$H78,IF(AND(($D78+$C$1)&gt;BP$4,BP$4&gt;=$C$1),'General Inputs'!R$11*$G78,0))</f>
        <v>0</v>
      </c>
      <c r="BQ78" s="214">
        <f>IF(AND(($E78+$C$1)&gt;BQ$4,BQ$4&gt;=$C$1),'General Inputs'!S$11*$H78,IF(AND(($D78+$C$1)&gt;BQ$4,BQ$4&gt;=$C$1),'General Inputs'!S$11*$G78,0))</f>
        <v>0</v>
      </c>
      <c r="BR78" s="214">
        <f>IF(AND(($E78+$C$1)&gt;BR$4,BR$4&gt;=$C$1),'General Inputs'!T$11*$H78,IF(AND(($D78+$C$1)&gt;BR$4,BR$4&gt;=$C$1),'General Inputs'!T$11*$G78,0))</f>
        <v>0</v>
      </c>
      <c r="BS78" s="214">
        <f>IF(AND(($E78+$C$1)&gt;BS$4,BS$4&gt;=$C$1),'General Inputs'!U$11*$H78,IF(AND(($D78+$C$1)&gt;BS$4,BS$4&gt;=$C$1),'General Inputs'!U$11*$G78,0))</f>
        <v>0</v>
      </c>
      <c r="BT78" s="214">
        <f>IF(AND(($E78+$C$1)&gt;BT$4,BT$4&gt;=$C$1),'General Inputs'!V$11*$H78,IF(AND(($D78+$C$1)&gt;BT$4,BT$4&gt;=$C$1),'General Inputs'!V$11*$G78,0))</f>
        <v>0</v>
      </c>
      <c r="BU78" s="214">
        <f>IF(AND(($E78+$C$1)&gt;BU$4,BU$4&gt;=$C$1),'General Inputs'!W$11*$H78,IF(AND(($D78+$C$1)&gt;BU$4,BU$4&gt;=$C$1),'General Inputs'!W$11*$G78,0))</f>
        <v>0</v>
      </c>
      <c r="BW78" s="214">
        <f>IF(AND(($E78+$C$1)&gt;BW$4,BW$4&gt;=$C$1),$H78,IF(AND(($D78+$C$1)&gt;BW$4,BW$4&gt;=$C$1),$G78,0))*IF($A78="Residential",'General Inputs'!D$14,'General Inputs'!D$19)</f>
        <v>0</v>
      </c>
      <c r="BX78" s="214">
        <f>IF(AND(($E78+$C$1)&gt;BX$4,BX$4&gt;=$C$1),$H78,IF(AND(($D78+$C$1)&gt;BX$4,BX$4&gt;=$C$1),$G78,0))*IF($A78="Residential",'General Inputs'!E$14,'General Inputs'!E$19)</f>
        <v>0</v>
      </c>
      <c r="BY78" s="214">
        <f>IF(AND(($E78+$C$1)&gt;BY$4,BY$4&gt;=$C$1),$H78,IF(AND(($D78+$C$1)&gt;BY$4,BY$4&gt;=$C$1),$G78,0))*IF($A78="Residential",'General Inputs'!F$14,'General Inputs'!F$19)</f>
        <v>0</v>
      </c>
      <c r="BZ78" s="214">
        <f>IF(AND(($E78+$C$1)&gt;BZ$4,BZ$4&gt;=$C$1),$H78,IF(AND(($D78+$C$1)&gt;BZ$4,BZ$4&gt;=$C$1),$G78,0))*IF($A78="Residential",'General Inputs'!G$14,'General Inputs'!G$19)</f>
        <v>0</v>
      </c>
      <c r="CA78" s="214">
        <f>IF(AND(($E78+$C$1)&gt;CA$4,CA$4&gt;=$C$1),$H78,IF(AND(($D78+$C$1)&gt;CA$4,CA$4&gt;=$C$1),$G78,0))*IF($A78="Residential",'General Inputs'!H$14,'General Inputs'!H$19)</f>
        <v>0</v>
      </c>
      <c r="CB78" s="214">
        <f>IF(AND(($E78+$C$1)&gt;CB$4,CB$4&gt;=$C$1),$H78,IF(AND(($D78+$C$1)&gt;CB$4,CB$4&gt;=$C$1),$G78,0))*IF($A78="Residential",'General Inputs'!I$14,'General Inputs'!I$19)</f>
        <v>0</v>
      </c>
      <c r="CC78" s="214">
        <f>IF(AND(($E78+$C$1)&gt;CC$4,CC$4&gt;=$C$1),$H78,IF(AND(($D78+$C$1)&gt;CC$4,CC$4&gt;=$C$1),$G78,0))*IF($A78="Residential",'General Inputs'!J$14,'General Inputs'!J$19)</f>
        <v>0</v>
      </c>
      <c r="CD78" s="214">
        <f>IF(AND(($E78+$C$1)&gt;CD$4,CD$4&gt;=$C$1),$H78,IF(AND(($D78+$C$1)&gt;CD$4,CD$4&gt;=$C$1),$G78,0))*IF($A78="Residential",'General Inputs'!K$14,'General Inputs'!K$19)</f>
        <v>0</v>
      </c>
      <c r="CE78" s="214">
        <f>IF(AND(($E78+$C$1)&gt;CE$4,CE$4&gt;=$C$1),$H78,IF(AND(($D78+$C$1)&gt;CE$4,CE$4&gt;=$C$1),$G78,0))*IF($A78="Residential",'General Inputs'!L$14,'General Inputs'!L$19)</f>
        <v>0</v>
      </c>
      <c r="CF78" s="214">
        <f>IF(AND(($E78+$C$1)&gt;CF$4,CF$4&gt;=$C$1),$H78,IF(AND(($D78+$C$1)&gt;CF$4,CF$4&gt;=$C$1),$G78,0))*IF($A78="Residential",'General Inputs'!M$14,'General Inputs'!M$19)</f>
        <v>0</v>
      </c>
      <c r="CG78" s="214">
        <f>IF(AND(($E78+$C$1)&gt;CG$4,CG$4&gt;=$C$1),$H78,IF(AND(($D78+$C$1)&gt;CG$4,CG$4&gt;=$C$1),$G78,0))*IF($A78="Residential",'General Inputs'!N$14,'General Inputs'!N$19)</f>
        <v>0</v>
      </c>
      <c r="CH78" s="214">
        <f>IF(AND(($E78+$C$1)&gt;CH$4,CH$4&gt;=$C$1),$H78,IF(AND(($D78+$C$1)&gt;CH$4,CH$4&gt;=$C$1),$G78,0))*IF($A78="Residential",'General Inputs'!O$14,'General Inputs'!O$19)</f>
        <v>0</v>
      </c>
      <c r="CI78" s="214">
        <f>IF(AND(($E78+$C$1)&gt;CI$4,CI$4&gt;=$C$1),$H78,IF(AND(($D78+$C$1)&gt;CI$4,CI$4&gt;=$C$1),$G78,0))*IF($A78="Residential",'General Inputs'!P$14,'General Inputs'!P$19)</f>
        <v>0</v>
      </c>
      <c r="CJ78" s="214">
        <f>IF(AND(($E78+$C$1)&gt;CJ$4,CJ$4&gt;=$C$1),$H78,IF(AND(($D78+$C$1)&gt;CJ$4,CJ$4&gt;=$C$1),$G78,0))*IF($A78="Residential",'General Inputs'!Q$14,'General Inputs'!Q$19)</f>
        <v>0</v>
      </c>
      <c r="CK78" s="214">
        <f>IF(AND(($E78+$C$1)&gt;CK$4,CK$4&gt;=$C$1),$H78,IF(AND(($D78+$C$1)&gt;CK$4,CK$4&gt;=$C$1),$G78,0))*IF($A78="Residential",'General Inputs'!R$14,'General Inputs'!R$19)</f>
        <v>0</v>
      </c>
      <c r="CL78" s="214">
        <f>IF(AND(($E78+$C$1)&gt;CL$4,CL$4&gt;=$C$1),$H78,IF(AND(($D78+$C$1)&gt;CL$4,CL$4&gt;=$C$1),$G78,0))*IF($A78="Residential",'General Inputs'!S$14,'General Inputs'!S$19)</f>
        <v>0</v>
      </c>
      <c r="CM78" s="214">
        <f>IF(AND(($E78+$C$1)&gt;CM$4,CM$4&gt;=$C$1),$H78,IF(AND(($D78+$C$1)&gt;CM$4,CM$4&gt;=$C$1),$G78,0))*IF($A78="Residential",'General Inputs'!T$14,'General Inputs'!T$19)</f>
        <v>0</v>
      </c>
      <c r="CN78" s="214">
        <f>IF(AND(($E78+$C$1)&gt;CN$4,CN$4&gt;=$C$1),$H78,IF(AND(($D78+$C$1)&gt;CN$4,CN$4&gt;=$C$1),$G78,0))*IF($A78="Residential",'General Inputs'!U$14,'General Inputs'!U$19)</f>
        <v>0</v>
      </c>
      <c r="CO78" s="214">
        <f>IF(AND(($E78+$C$1)&gt;CO$4,CO$4&gt;=$C$1),$H78,IF(AND(($D78+$C$1)&gt;CO$4,CO$4&gt;=$C$1),$G78,0))*IF($A78="Residential",'General Inputs'!V$14,'General Inputs'!V$19)</f>
        <v>0</v>
      </c>
      <c r="CP78" s="214">
        <f>IF(AND(($E78+$C$1)&gt;CP$4,CP$4&gt;=$C$1),$H78,IF(AND(($D78+$C$1)&gt;CP$4,CP$4&gt;=$C$1),$G78,0))*IF($A78="Residential",'General Inputs'!W$14,'General Inputs'!W$19)</f>
        <v>0</v>
      </c>
      <c r="CR78" s="214">
        <f>IF(AND(($E78+$C$1)&gt;CR$4,CR$4&gt;=$C$1),$H78,IF(AND(($D78+$C$1)&gt;CR$4,CR$4&gt;=$C$1),$G78,0))*IF($A78="Residential",'General Inputs'!D$15,'General Inputs'!D$19)</f>
        <v>0</v>
      </c>
      <c r="CS78" s="214">
        <f>IF(AND(($E78+$C$1)&gt;CS$4,CS$4&gt;=$C$1),$H78,IF(AND(($D78+$C$1)&gt;CS$4,CS$4&gt;=$C$1),$G78,0))*IF($A78="Residential",'General Inputs'!E$15,'General Inputs'!E$19)</f>
        <v>0</v>
      </c>
      <c r="CT78" s="214">
        <f>IF(AND(($E78+$C$1)&gt;CT$4,CT$4&gt;=$C$1),$H78,IF(AND(($D78+$C$1)&gt;CT$4,CT$4&gt;=$C$1),$G78,0))*IF($A78="Residential",'General Inputs'!F$15,'General Inputs'!F$19)</f>
        <v>0</v>
      </c>
      <c r="CU78" s="214">
        <f>IF(AND(($E78+$C$1)&gt;CU$4,CU$4&gt;=$C$1),$H78,IF(AND(($D78+$C$1)&gt;CU$4,CU$4&gt;=$C$1),$G78,0))*IF($A78="Residential",'General Inputs'!G$15,'General Inputs'!G$19)</f>
        <v>0</v>
      </c>
      <c r="CV78" s="214">
        <f>IF(AND(($E78+$C$1)&gt;CV$4,CV$4&gt;=$C$1),$H78,IF(AND(($D78+$C$1)&gt;CV$4,CV$4&gt;=$C$1),$G78,0))*IF($A78="Residential",'General Inputs'!H$15,'General Inputs'!H$19)</f>
        <v>0</v>
      </c>
      <c r="CW78" s="214">
        <f>IF(AND(($E78+$C$1)&gt;CW$4,CW$4&gt;=$C$1),$H78,IF(AND(($D78+$C$1)&gt;CW$4,CW$4&gt;=$C$1),$G78,0))*IF($A78="Residential",'General Inputs'!I$15,'General Inputs'!I$19)</f>
        <v>0</v>
      </c>
      <c r="CX78" s="214">
        <f>IF(AND(($E78+$C$1)&gt;CX$4,CX$4&gt;=$C$1),$H78,IF(AND(($D78+$C$1)&gt;CX$4,CX$4&gt;=$C$1),$G78,0))*IF($A78="Residential",'General Inputs'!J$15,'General Inputs'!J$19)</f>
        <v>0</v>
      </c>
      <c r="CY78" s="214">
        <f>IF(AND(($E78+$C$1)&gt;CY$4,CY$4&gt;=$C$1),$H78,IF(AND(($D78+$C$1)&gt;CY$4,CY$4&gt;=$C$1),$G78,0))*IF($A78="Residential",'General Inputs'!K$15,'General Inputs'!K$19)</f>
        <v>0</v>
      </c>
      <c r="CZ78" s="214">
        <f>IF(AND(($E78+$C$1)&gt;CZ$4,CZ$4&gt;=$C$1),$H78,IF(AND(($D78+$C$1)&gt;CZ$4,CZ$4&gt;=$C$1),$G78,0))*IF($A78="Residential",'General Inputs'!L$15,'General Inputs'!L$19)</f>
        <v>0</v>
      </c>
      <c r="DA78" s="214">
        <f>IF(AND(($E78+$C$1)&gt;DA$4,DA$4&gt;=$C$1),$H78,IF(AND(($D78+$C$1)&gt;DA$4,DA$4&gt;=$C$1),$G78,0))*IF($A78="Residential",'General Inputs'!M$15,'General Inputs'!M$19)</f>
        <v>0</v>
      </c>
      <c r="DB78" s="214">
        <f>IF(AND(($E78+$C$1)&gt;DB$4,DB$4&gt;=$C$1),$H78,IF(AND(($D78+$C$1)&gt;DB$4,DB$4&gt;=$C$1),$G78,0))*IF($A78="Residential",'General Inputs'!N$15,'General Inputs'!N$19)</f>
        <v>0</v>
      </c>
      <c r="DC78" s="214">
        <f>IF(AND(($E78+$C$1)&gt;DC$4,DC$4&gt;=$C$1),$H78,IF(AND(($D78+$C$1)&gt;DC$4,DC$4&gt;=$C$1),$G78,0))*IF($A78="Residential",'General Inputs'!O$15,'General Inputs'!O$19)</f>
        <v>0</v>
      </c>
      <c r="DD78" s="214">
        <f>IF(AND(($E78+$C$1)&gt;DD$4,DD$4&gt;=$C$1),$H78,IF(AND(($D78+$C$1)&gt;DD$4,DD$4&gt;=$C$1),$G78,0))*IF($A78="Residential",'General Inputs'!P$15,'General Inputs'!P$19)</f>
        <v>0</v>
      </c>
      <c r="DE78" s="214">
        <f>IF(AND(($E78+$C$1)&gt;DE$4,DE$4&gt;=$C$1),$H78,IF(AND(($D78+$C$1)&gt;DE$4,DE$4&gt;=$C$1),$G78,0))*IF($A78="Residential",'General Inputs'!Q$15,'General Inputs'!Q$19)</f>
        <v>0</v>
      </c>
      <c r="DF78" s="214">
        <f>IF(AND(($E78+$C$1)&gt;DF$4,DF$4&gt;=$C$1),$H78,IF(AND(($D78+$C$1)&gt;DF$4,DF$4&gt;=$C$1),$G78,0))*IF($A78="Residential",'General Inputs'!R$15,'General Inputs'!R$19)</f>
        <v>0</v>
      </c>
      <c r="DG78" s="214">
        <f>IF(AND(($E78+$C$1)&gt;DG$4,DG$4&gt;=$C$1),$H78,IF(AND(($D78+$C$1)&gt;DG$4,DG$4&gt;=$C$1),$G78,0))*IF($A78="Residential",'General Inputs'!S$15,'General Inputs'!S$19)</f>
        <v>0</v>
      </c>
      <c r="DH78" s="214">
        <f>IF(AND(($E78+$C$1)&gt;DH$4,DH$4&gt;=$C$1),$H78,IF(AND(($D78+$C$1)&gt;DH$4,DH$4&gt;=$C$1),$G78,0))*IF($A78="Residential",'General Inputs'!T$15,'General Inputs'!T$19)</f>
        <v>0</v>
      </c>
      <c r="DI78" s="214">
        <f>IF(AND(($E78+$C$1)&gt;DI$4,DI$4&gt;=$C$1),$H78,IF(AND(($D78+$C$1)&gt;DI$4,DI$4&gt;=$C$1),$G78,0))*IF($A78="Residential",'General Inputs'!U$15,'General Inputs'!U$19)</f>
        <v>0</v>
      </c>
      <c r="DJ78" s="214">
        <f>IF(AND(($E78+$C$1)&gt;DJ$4,DJ$4&gt;=$C$1),$H78,IF(AND(($D78+$C$1)&gt;DJ$4,DJ$4&gt;=$C$1),$G78,0))*IF($A78="Residential",'General Inputs'!V$15,'General Inputs'!V$19)</f>
        <v>0</v>
      </c>
      <c r="DK78" s="214">
        <f>IF(AND(($E78+$C$1)&gt;DK$4,DK$4&gt;=$C$1),$H78,IF(AND(($D78+$C$1)&gt;DK$4,DK$4&gt;=$C$1),$G78,0))*IF($A78="Residential",'General Inputs'!W$15,'General Inputs'!W$19)</f>
        <v>0</v>
      </c>
      <c r="DM78" s="214">
        <f t="shared" si="456"/>
        <v>0</v>
      </c>
      <c r="DN78" s="214">
        <f t="shared" si="456"/>
        <v>0</v>
      </c>
      <c r="DO78" s="214">
        <f t="shared" si="456"/>
        <v>0</v>
      </c>
      <c r="DP78" s="214">
        <f t="shared" si="456"/>
        <v>0</v>
      </c>
      <c r="DQ78" s="214">
        <f t="shared" si="456"/>
        <v>0</v>
      </c>
      <c r="DR78" s="214">
        <f t="shared" si="456"/>
        <v>0</v>
      </c>
      <c r="DS78" s="214">
        <f t="shared" si="456"/>
        <v>0</v>
      </c>
      <c r="DT78" s="214">
        <f t="shared" si="456"/>
        <v>0</v>
      </c>
      <c r="DU78" s="214">
        <f t="shared" si="456"/>
        <v>0</v>
      </c>
      <c r="DV78" s="214">
        <f t="shared" si="456"/>
        <v>0</v>
      </c>
      <c r="DW78" s="214">
        <f t="shared" si="456"/>
        <v>0</v>
      </c>
      <c r="DZ78" s="650"/>
      <c r="FI78" s="195"/>
      <c r="FJ78" s="195"/>
      <c r="FK78" s="195"/>
      <c r="FL78" s="195"/>
      <c r="FM78" s="195"/>
      <c r="FN78" s="195"/>
      <c r="FO78" s="195"/>
    </row>
    <row r="79" spans="1:171">
      <c r="A79" s="342" t="s">
        <v>112</v>
      </c>
      <c r="B79" s="427" t="str">
        <f>'Portfolio Inputs'!A78</f>
        <v>LED (5 ≤ 10W)</v>
      </c>
      <c r="C79" s="217">
        <f>IF($C$1=2014,'Portfolio Inputs'!$C78,IF($C$1=2015,'Portfolio Inputs'!$D78,'Portfolio Inputs'!$E78))</f>
        <v>545</v>
      </c>
      <c r="D79" s="504">
        <f>VLOOKUP(B79,Sources!$B$4:$J$104,2,FALSE)</f>
        <v>10</v>
      </c>
      <c r="E79" s="504">
        <f>VLOOKUP(B79,Sources!$B$4:$J$104,3,FALSE)</f>
        <v>0</v>
      </c>
      <c r="G79" s="504">
        <f>IF($C$1=2014,'Portfolio Inputs'!$G78,IF($C$1=2015,'Portfolio Inputs'!$H78,'Portfolio Inputs'!$I78))*EnergyLineLoss</f>
        <v>139312.79917499999</v>
      </c>
      <c r="H79" s="504"/>
      <c r="I79" s="595">
        <f>IF($C$1=2014,'Portfolio Inputs'!$K78,IF($C$1=2015,'Portfolio Inputs'!$L78,'Portfolio Inputs'!$M78))*PeakLineLoss</f>
        <v>21.541857480000001</v>
      </c>
      <c r="J79" s="510"/>
      <c r="L79" s="606">
        <f>IF($C$1=2014,'Portfolio Inputs'!$O78,IF($C$1=2015,'Portfolio Inputs'!$P78,'Portfolio Inputs'!$Q78))</f>
        <v>40</v>
      </c>
      <c r="M79" s="518">
        <f>VLOOKUP($B79,Sources!$B$4:$K$104,10,FALSE)</f>
        <v>0</v>
      </c>
      <c r="N79" s="419">
        <f>IF($C$1=2014,'Portfolio Inputs'!$W78,IF($C$1=2015,'Portfolio Inputs'!$X78,'Portfolio Inputs'!$Y78))</f>
        <v>9265</v>
      </c>
      <c r="O79" s="419">
        <f>IF($C$1=2014,'Portfolio Inputs'!$AA78,IF($C$1=2015,'Portfolio Inputs'!$AB78,'Portfolio Inputs'!$AC78))</f>
        <v>0</v>
      </c>
      <c r="Q79" s="438">
        <f t="shared" si="442"/>
        <v>2.0060815934550358</v>
      </c>
      <c r="R79" s="439">
        <f t="shared" si="443"/>
        <v>4.7201919846000848</v>
      </c>
      <c r="S79" s="439">
        <f t="shared" si="444"/>
        <v>2.51855223708246</v>
      </c>
      <c r="T79" s="439">
        <f t="shared" si="445"/>
        <v>5.3996138322583471</v>
      </c>
      <c r="U79" s="439">
        <f t="shared" si="446"/>
        <v>5.3996138322583471</v>
      </c>
      <c r="V79" s="439">
        <f t="shared" si="447"/>
        <v>0.37152315994716378</v>
      </c>
      <c r="W79" s="439">
        <f t="shared" si="448"/>
        <v>0.37152315994716378</v>
      </c>
      <c r="Y79" s="215">
        <f t="shared" si="449"/>
        <v>43732.578737319782</v>
      </c>
      <c r="Z79" s="215">
        <f t="shared" si="450"/>
        <v>11171.86003107784</v>
      </c>
      <c r="AA79" s="215">
        <f t="shared" si="451"/>
        <v>108446.58154323197</v>
      </c>
      <c r="AB79" s="215">
        <f t="shared" si="452"/>
        <v>108446.58154323197</v>
      </c>
      <c r="AC79" s="216">
        <f t="shared" si="453"/>
        <v>0</v>
      </c>
      <c r="AD79" s="216">
        <f t="shared" si="454"/>
        <v>9265</v>
      </c>
      <c r="AE79" s="215">
        <f t="shared" si="455"/>
        <v>21800</v>
      </c>
      <c r="AG79" s="214">
        <f>IF(AND(($E79+$C$1)&gt;AG$4,AG$4&gt;=$C$1),'General Inputs'!D$9*$H79,IF(AND(($D79+$C$1)&gt;AG$4,AG$4&gt;=$C$1),'General Inputs'!D$9*$G79,0))+IF(AND(($E79+$C$1)&gt;AG$4,AG$4&gt;=$C$1),'General Inputs'!D$10*$J79,IF(AND(($D79+$C$1)&gt;AG$4,AG$4&gt;=$C$1),'General Inputs'!D$10*$I79,0))</f>
        <v>5868.9273504212451</v>
      </c>
      <c r="AH79" s="214">
        <f>IF(AND(($E79+$C$1)&gt;AH$4,AH$4&gt;=$C$1),'General Inputs'!E$9*$H79,IF(AND(($D79+$C$1)&gt;AH$4,AH$4&gt;=$C$1),'General Inputs'!E$9*$G79,0))+IF(AND(($E79+$C$1)&gt;AH$4,AH$4&gt;=$C$1),'General Inputs'!E$10*$J79,IF(AND(($D79+$C$1)&gt;AH$4,AH$4&gt;=$C$1),'General Inputs'!E$10*$I79,0))</f>
        <v>5956.9612606775636</v>
      </c>
      <c r="AI79" s="214">
        <f>IF(AND(($E79+$C$1)&gt;AI$4,AI$4&gt;=$C$1),'General Inputs'!F$9*$H79,IF(AND(($D79+$C$1)&gt;AI$4,AI$4&gt;=$C$1),'General Inputs'!F$9*$G79,0))+IF(AND(($E79+$C$1)&gt;AI$4,AI$4&gt;=$C$1),'General Inputs'!F$10*$J79,IF(AND(($D79+$C$1)&gt;AI$4,AI$4&gt;=$C$1),'General Inputs'!F$10*$I79,0))</f>
        <v>6046.3156795877258</v>
      </c>
      <c r="AJ79" s="214">
        <f>IF(AND(($E79+$C$1)&gt;AJ$4,AJ$4&gt;=$C$1),'General Inputs'!G$9*$H79,IF(AND(($D79+$C$1)&gt;AJ$4,AJ$4&gt;=$C$1),'General Inputs'!G$9*$G79,0))+IF(AND(($E79+$C$1)&gt;AJ$4,AJ$4&gt;=$C$1),'General Inputs'!G$10*$J79,IF(AND(($D79+$C$1)&gt;AJ$4,AJ$4&gt;=$C$1),'General Inputs'!G$10*$I79,0))</f>
        <v>6137.0104147815409</v>
      </c>
      <c r="AK79" s="214">
        <f>IF(AND(($E79+$C$1)&gt;AK$4,AK$4&gt;=$C$1),'General Inputs'!H$9*$H79,IF(AND(($D79+$C$1)&gt;AK$4,AK$4&gt;=$C$1),'General Inputs'!H$9*$G79,0))+IF(AND(($E79+$C$1)&gt;AK$4,AK$4&gt;=$C$1),'General Inputs'!H$10*$J79,IF(AND(($D79+$C$1)&gt;AK$4,AK$4&gt;=$C$1),'General Inputs'!H$10*$I79,0))</f>
        <v>6229.0655710032634</v>
      </c>
      <c r="AL79" s="214">
        <f>IF(AND(($E79+$C$1)&gt;AL$4,AL$4&gt;=$C$1),'General Inputs'!I$9*$H79,IF(AND(($D79+$C$1)&gt;AL$4,AL$4&gt;=$C$1),'General Inputs'!I$9*$G79,0))+IF(AND(($E79+$C$1)&gt;AL$4,AL$4&gt;=$C$1),'General Inputs'!I$10*$J79,IF(AND(($D79+$C$1)&gt;AL$4,AL$4&gt;=$C$1),'General Inputs'!I$10*$I79,0))</f>
        <v>6322.5015545683118</v>
      </c>
      <c r="AM79" s="214">
        <f>IF(AND(($E79+$C$1)&gt;AM$4,AM$4&gt;=$C$1),'General Inputs'!J$9*$H79,IF(AND(($D79+$C$1)&gt;AM$4,AM$4&gt;=$C$1),'General Inputs'!J$9*$G79,0))+IF(AND(($E79+$C$1)&gt;AM$4,AM$4&gt;=$C$1),'General Inputs'!J$10*$J79,IF(AND(($D79+$C$1)&gt;AM$4,AM$4&gt;=$C$1),'General Inputs'!J$10*$I79,0))</f>
        <v>6417.3390778868352</v>
      </c>
      <c r="AN79" s="214">
        <f>IF(AND(($E79+$C$1)&gt;AN$4,AN$4&gt;=$C$1),'General Inputs'!K$9*$H79,IF(AND(($D79+$C$1)&gt;AN$4,AN$4&gt;=$C$1),'General Inputs'!K$9*$G79,0))+IF(AND(($E79+$C$1)&gt;AN$4,AN$4&gt;=$C$1),'General Inputs'!K$10*$J79,IF(AND(($D79+$C$1)&gt;AN$4,AN$4&gt;=$C$1),'General Inputs'!K$10*$I79,0))</f>
        <v>6513.5991640551365</v>
      </c>
      <c r="AO79" s="214">
        <f>IF(AND(($E79+$C$1)&gt;AO$4,AO$4&gt;=$C$1),'General Inputs'!L$9*$H79,IF(AND(($D79+$C$1)&gt;AO$4,AO$4&gt;=$C$1),'General Inputs'!L$9*$G79,0))+IF(AND(($E79+$C$1)&gt;AO$4,AO$4&gt;=$C$1),'General Inputs'!L$10*$J79,IF(AND(($D79+$C$1)&gt;AO$4,AO$4&gt;=$C$1),'General Inputs'!L$10*$I79,0))</f>
        <v>6611.3031515159637</v>
      </c>
      <c r="AP79" s="214">
        <f>IF(AND(($E79+$C$1)&gt;AP$4,AP$4&gt;=$C$1),'General Inputs'!M$9*$H79,IF(AND(($D79+$C$1)&gt;AP$4,AP$4&gt;=$C$1),'General Inputs'!M$9*$G79,0))+IF(AND(($E79+$C$1)&gt;AP$4,AP$4&gt;=$C$1),'General Inputs'!M$10*$J79,IF(AND(($D79+$C$1)&gt;AP$4,AP$4&gt;=$C$1),'General Inputs'!M$10*$I79,0))</f>
        <v>6710.4726987887016</v>
      </c>
      <c r="AQ79" s="214">
        <f>IF(AND(($E79+$C$1)&gt;AQ$4,AQ$4&gt;=$C$1),'General Inputs'!N$9*$H79,IF(AND(($D79+$C$1)&gt;AQ$4,AQ$4&gt;=$C$1),'General Inputs'!N$9*$G79,0))+IF(AND(($E79+$C$1)&gt;AQ$4,AQ$4&gt;=$C$1),'General Inputs'!N$10*$J79,IF(AND(($D79+$C$1)&gt;AQ$4,AQ$4&gt;=$C$1),'General Inputs'!N$10*$I79,0))</f>
        <v>0</v>
      </c>
      <c r="AR79" s="214">
        <f>IF(AND(($E79+$C$1)&gt;AR$4,AR$4&gt;=$C$1),'General Inputs'!O$9*$H79,IF(AND(($D79+$C$1)&gt;AR$4,AR$4&gt;=$C$1),'General Inputs'!O$9*$G79,0))+IF(AND(($E79+$C$1)&gt;AR$4,AR$4&gt;=$C$1),'General Inputs'!O$10*$J79,IF(AND(($D79+$C$1)&gt;AR$4,AR$4&gt;=$C$1),'General Inputs'!O$10*$I79,0))</f>
        <v>0</v>
      </c>
      <c r="AS79" s="214">
        <f>IF(AND(($E79+$C$1)&gt;AS$4,AS$4&gt;=$C$1),'General Inputs'!P$9*$H79,IF(AND(($D79+$C$1)&gt;AS$4,AS$4&gt;=$C$1),'General Inputs'!P$9*$G79,0))+IF(AND(($E79+$C$1)&gt;AS$4,AS$4&gt;=$C$1),'General Inputs'!P$10*$J79,IF(AND(($D79+$C$1)&gt;AS$4,AS$4&gt;=$C$1),'General Inputs'!P$10*$I79,0))</f>
        <v>0</v>
      </c>
      <c r="AT79" s="214">
        <f>IF(AND(($E79+$C$1)&gt;AT$4,AT$4&gt;=$C$1),'General Inputs'!Q$9*$H79,IF(AND(($D79+$C$1)&gt;AT$4,AT$4&gt;=$C$1),'General Inputs'!Q$9*$G79,0))+IF(AND(($E79+$C$1)&gt;AT$4,AT$4&gt;=$C$1),'General Inputs'!Q$10*$J79,IF(AND(($D79+$C$1)&gt;AT$4,AT$4&gt;=$C$1),'General Inputs'!Q$10*$I79,0))</f>
        <v>0</v>
      </c>
      <c r="AU79" s="214">
        <f>IF(AND(($E79+$C$1)&gt;AU$4,AU$4&gt;=$C$1),'General Inputs'!R$9*$H79,IF(AND(($D79+$C$1)&gt;AU$4,AU$4&gt;=$C$1),'General Inputs'!R$9*$G79,0))+IF(AND(($E79+$C$1)&gt;AU$4,AU$4&gt;=$C$1),'General Inputs'!R$10*$J79,IF(AND(($D79+$C$1)&gt;AU$4,AU$4&gt;=$C$1),'General Inputs'!R$10*$I79,0))</f>
        <v>0</v>
      </c>
      <c r="AV79" s="214">
        <f>IF(AND(($E79+$C$1)&gt;AV$4,AV$4&gt;=$C$1),'General Inputs'!S$9*$H79,IF(AND(($D79+$C$1)&gt;AV$4,AV$4&gt;=$C$1),'General Inputs'!S$9*$G79,0))+IF(AND(($E79+$C$1)&gt;AV$4,AV$4&gt;=$C$1),'General Inputs'!S$10*$J79,IF(AND(($D79+$C$1)&gt;AV$4,AV$4&gt;=$C$1),'General Inputs'!S$10*$I79,0))</f>
        <v>0</v>
      </c>
      <c r="AW79" s="214">
        <f>IF(AND(($E79+$C$1)&gt;AW$4,AW$4&gt;=$C$1),'General Inputs'!T$9*$H79,IF(AND(($D79+$C$1)&gt;AW$4,AW$4&gt;=$C$1),'General Inputs'!T$9*$G79,0))+IF(AND(($E79+$C$1)&gt;AW$4,AW$4&gt;=$C$1),'General Inputs'!T$10*$J79,IF(AND(($D79+$C$1)&gt;AW$4,AW$4&gt;=$C$1),'General Inputs'!T$10*$I79,0))</f>
        <v>0</v>
      </c>
      <c r="AX79" s="214">
        <f>IF(AND(($E79+$C$1)&gt;AX$4,AX$4&gt;=$C$1),'General Inputs'!U$9*$H79,IF(AND(($D79+$C$1)&gt;AX$4,AX$4&gt;=$C$1),'General Inputs'!U$9*$G79,0))+IF(AND(($E79+$C$1)&gt;AX$4,AX$4&gt;=$C$1),'General Inputs'!U$10*$J79,IF(AND(($D79+$C$1)&gt;AX$4,AX$4&gt;=$C$1),'General Inputs'!U$10*$I79,0))</f>
        <v>0</v>
      </c>
      <c r="AY79" s="214">
        <f>IF(AND(($E79+$C$1)&gt;AY$4,AY$4&gt;=$C$1),'General Inputs'!V$9*$H79,IF(AND(($D79+$C$1)&gt;AY$4,AY$4&gt;=$C$1),'General Inputs'!V$9*$G79,0))+IF(AND(($E79+$C$1)&gt;AY$4,AY$4&gt;=$C$1),'General Inputs'!V$10*$J79,IF(AND(($D79+$C$1)&gt;AY$4,AY$4&gt;=$C$1),'General Inputs'!V$10*$I79,0))</f>
        <v>0</v>
      </c>
      <c r="AZ79" s="214">
        <f>IF(AND(($E79+$C$1)&gt;AZ$4,AZ$4&gt;=$C$1),'General Inputs'!W$9*$H79,IF(AND(($D79+$C$1)&gt;AZ$4,AZ$4&gt;=$C$1),'General Inputs'!W$9*$G79,0))+IF(AND(($E79+$C$1)&gt;AZ$4,AZ$4&gt;=$C$1),'General Inputs'!W$10*$J79,IF(AND(($D79+$C$1)&gt;AZ$4,AZ$4&gt;=$C$1),'General Inputs'!W$10*$I79,0))</f>
        <v>0</v>
      </c>
      <c r="BB79" s="214">
        <f>IF(AND(($E79+$C$1)&gt;BB$4,BB$4&gt;=$C$1),'General Inputs'!D$11*$H79,IF(AND(($D79+$C$1)&gt;BB$4,BB$4&gt;=$C$1),'General Inputs'!D$11*$G79,0))</f>
        <v>1588.165910595</v>
      </c>
      <c r="BC79" s="214">
        <f>IF(AND(($E79+$C$1)&gt;BC$4,BC$4&gt;=$C$1),'General Inputs'!E$11*$H79,IF(AND(($D79+$C$1)&gt;BC$4,BC$4&gt;=$C$1),'General Inputs'!E$11*$G79,0))</f>
        <v>1588.165910595</v>
      </c>
      <c r="BD79" s="214">
        <f>IF(AND(($E79+$C$1)&gt;BD$4,BD$4&gt;=$C$1),'General Inputs'!F$11*$H79,IF(AND(($D79+$C$1)&gt;BD$4,BD$4&gt;=$C$1),'General Inputs'!F$11*$G79,0))</f>
        <v>1588.165910595</v>
      </c>
      <c r="BE79" s="214">
        <f>IF(AND(($E79+$C$1)&gt;BE$4,BE$4&gt;=$C$1),'General Inputs'!G$11*$H79,IF(AND(($D79+$C$1)&gt;BE$4,BE$4&gt;=$C$1),'General Inputs'!G$11*$G79,0))</f>
        <v>1588.165910595</v>
      </c>
      <c r="BF79" s="214">
        <f>IF(AND(($E79+$C$1)&gt;BF$4,BF$4&gt;=$C$1),'General Inputs'!H$11*$H79,IF(AND(($D79+$C$1)&gt;BF$4,BF$4&gt;=$C$1),'General Inputs'!H$11*$G79,0))</f>
        <v>1588.165910595</v>
      </c>
      <c r="BG79" s="214">
        <f>IF(AND(($E79+$C$1)&gt;BG$4,BG$4&gt;=$C$1),'General Inputs'!I$11*$H79,IF(AND(($D79+$C$1)&gt;BG$4,BG$4&gt;=$C$1),'General Inputs'!I$11*$G79,0))</f>
        <v>1588.165910595</v>
      </c>
      <c r="BH79" s="214">
        <f>IF(AND(($E79+$C$1)&gt;BH$4,BH$4&gt;=$C$1),'General Inputs'!J$11*$H79,IF(AND(($D79+$C$1)&gt;BH$4,BH$4&gt;=$C$1),'General Inputs'!J$11*$G79,0))</f>
        <v>1588.165910595</v>
      </c>
      <c r="BI79" s="214">
        <f>IF(AND(($E79+$C$1)&gt;BI$4,BI$4&gt;=$C$1),'General Inputs'!K$11*$H79,IF(AND(($D79+$C$1)&gt;BI$4,BI$4&gt;=$C$1),'General Inputs'!K$11*$G79,0))</f>
        <v>1588.165910595</v>
      </c>
      <c r="BJ79" s="214">
        <f>IF(AND(($E79+$C$1)&gt;BJ$4,BJ$4&gt;=$C$1),'General Inputs'!L$11*$H79,IF(AND(($D79+$C$1)&gt;BJ$4,BJ$4&gt;=$C$1),'General Inputs'!L$11*$G79,0))</f>
        <v>1588.165910595</v>
      </c>
      <c r="BK79" s="214">
        <f>IF(AND(($E79+$C$1)&gt;BK$4,BK$4&gt;=$C$1),'General Inputs'!M$11*$H79,IF(AND(($D79+$C$1)&gt;BK$4,BK$4&gt;=$C$1),'General Inputs'!M$11*$G79,0))</f>
        <v>1588.165910595</v>
      </c>
      <c r="BL79" s="214">
        <f>IF(AND(($E79+$C$1)&gt;BL$4,BL$4&gt;=$C$1),'General Inputs'!N$11*$H79,IF(AND(($D79+$C$1)&gt;BL$4,BL$4&gt;=$C$1),'General Inputs'!N$11*$G79,0))</f>
        <v>0</v>
      </c>
      <c r="BM79" s="214">
        <f>IF(AND(($E79+$C$1)&gt;BM$4,BM$4&gt;=$C$1),'General Inputs'!O$11*$H79,IF(AND(($D79+$C$1)&gt;BM$4,BM$4&gt;=$C$1),'General Inputs'!O$11*$G79,0))</f>
        <v>0</v>
      </c>
      <c r="BN79" s="214">
        <f>IF(AND(($E79+$C$1)&gt;BN$4,BN$4&gt;=$C$1),'General Inputs'!P$11*$H79,IF(AND(($D79+$C$1)&gt;BN$4,BN$4&gt;=$C$1),'General Inputs'!P$11*$G79,0))</f>
        <v>0</v>
      </c>
      <c r="BO79" s="214">
        <f>IF(AND(($E79+$C$1)&gt;BO$4,BO$4&gt;=$C$1),'General Inputs'!Q$11*$H79,IF(AND(($D79+$C$1)&gt;BO$4,BO$4&gt;=$C$1),'General Inputs'!Q$11*$G79,0))</f>
        <v>0</v>
      </c>
      <c r="BP79" s="214">
        <f>IF(AND(($E79+$C$1)&gt;BP$4,BP$4&gt;=$C$1),'General Inputs'!R$11*$H79,IF(AND(($D79+$C$1)&gt;BP$4,BP$4&gt;=$C$1),'General Inputs'!R$11*$G79,0))</f>
        <v>0</v>
      </c>
      <c r="BQ79" s="214">
        <f>IF(AND(($E79+$C$1)&gt;BQ$4,BQ$4&gt;=$C$1),'General Inputs'!S$11*$H79,IF(AND(($D79+$C$1)&gt;BQ$4,BQ$4&gt;=$C$1),'General Inputs'!S$11*$G79,0))</f>
        <v>0</v>
      </c>
      <c r="BR79" s="214">
        <f>IF(AND(($E79+$C$1)&gt;BR$4,BR$4&gt;=$C$1),'General Inputs'!T$11*$H79,IF(AND(($D79+$C$1)&gt;BR$4,BR$4&gt;=$C$1),'General Inputs'!T$11*$G79,0))</f>
        <v>0</v>
      </c>
      <c r="BS79" s="214">
        <f>IF(AND(($E79+$C$1)&gt;BS$4,BS$4&gt;=$C$1),'General Inputs'!U$11*$H79,IF(AND(($D79+$C$1)&gt;BS$4,BS$4&gt;=$C$1),'General Inputs'!U$11*$G79,0))</f>
        <v>0</v>
      </c>
      <c r="BT79" s="214">
        <f>IF(AND(($E79+$C$1)&gt;BT$4,BT$4&gt;=$C$1),'General Inputs'!V$11*$H79,IF(AND(($D79+$C$1)&gt;BT$4,BT$4&gt;=$C$1),'General Inputs'!V$11*$G79,0))</f>
        <v>0</v>
      </c>
      <c r="BU79" s="214">
        <f>IF(AND(($E79+$C$1)&gt;BU$4,BU$4&gt;=$C$1),'General Inputs'!W$11*$H79,IF(AND(($D79+$C$1)&gt;BU$4,BU$4&gt;=$C$1),'General Inputs'!W$11*$G79,0))</f>
        <v>0</v>
      </c>
      <c r="BW79" s="214">
        <f>IF(AND(($E79+$C$1)&gt;BW$4,BW$4&gt;=$C$1),$H79,IF(AND(($D79+$C$1)&gt;BW$4,BW$4&gt;=$C$1),$G79,0))*IF($A79="Residential",'General Inputs'!D$14,'General Inputs'!D$19)</f>
        <v>14553.569143537052</v>
      </c>
      <c r="BX79" s="214">
        <f>IF(AND(($E79+$C$1)&gt;BX$4,BX$4&gt;=$C$1),$H79,IF(AND(($D79+$C$1)&gt;BX$4,BX$4&gt;=$C$1),$G79,0))*IF($A79="Residential",'General Inputs'!E$14,'General Inputs'!E$19)</f>
        <v>14771.872680690105</v>
      </c>
      <c r="BY79" s="214">
        <f>IF(AND(($E79+$C$1)&gt;BY$4,BY$4&gt;=$C$1),$H79,IF(AND(($D79+$C$1)&gt;BY$4,BY$4&gt;=$C$1),$G79,0))*IF($A79="Residential",'General Inputs'!F$14,'General Inputs'!F$19)</f>
        <v>14993.450770900457</v>
      </c>
      <c r="BZ79" s="214">
        <f>IF(AND(($E79+$C$1)&gt;BZ$4,BZ$4&gt;=$C$1),$H79,IF(AND(($D79+$C$1)&gt;BZ$4,BZ$4&gt;=$C$1),$G79,0))*IF($A79="Residential",'General Inputs'!G$14,'General Inputs'!G$19)</f>
        <v>15218.352532463963</v>
      </c>
      <c r="CA79" s="214">
        <f>IF(AND(($E79+$C$1)&gt;CA$4,CA$4&gt;=$C$1),$H79,IF(AND(($D79+$C$1)&gt;CA$4,CA$4&gt;=$C$1),$G79,0))*IF($A79="Residential",'General Inputs'!H$14,'General Inputs'!H$19)</f>
        <v>15446.62782045092</v>
      </c>
      <c r="CB79" s="214">
        <f>IF(AND(($E79+$C$1)&gt;CB$4,CB$4&gt;=$C$1),$H79,IF(AND(($D79+$C$1)&gt;CB$4,CB$4&gt;=$C$1),$G79,0))*IF($A79="Residential",'General Inputs'!I$14,'General Inputs'!I$19)</f>
        <v>15678.32723775768</v>
      </c>
      <c r="CC79" s="214">
        <f>IF(AND(($E79+$C$1)&gt;CC$4,CC$4&gt;=$C$1),$H79,IF(AND(($D79+$C$1)&gt;CC$4,CC$4&gt;=$C$1),$G79,0))*IF($A79="Residential",'General Inputs'!J$14,'General Inputs'!J$19)</f>
        <v>15913.502146324045</v>
      </c>
      <c r="CD79" s="214">
        <f>IF(AND(($E79+$C$1)&gt;CD$4,CD$4&gt;=$C$1),$H79,IF(AND(($D79+$C$1)&gt;CD$4,CD$4&gt;=$C$1),$G79,0))*IF($A79="Residential",'General Inputs'!K$14,'General Inputs'!K$19)</f>
        <v>16152.204678518903</v>
      </c>
      <c r="CE79" s="214">
        <f>IF(AND(($E79+$C$1)&gt;CE$4,CE$4&gt;=$C$1),$H79,IF(AND(($D79+$C$1)&gt;CE$4,CE$4&gt;=$C$1),$G79,0))*IF($A79="Residential",'General Inputs'!L$14,'General Inputs'!L$19)</f>
        <v>16394.487748696687</v>
      </c>
      <c r="CF79" s="214">
        <f>IF(AND(($E79+$C$1)&gt;CF$4,CF$4&gt;=$C$1),$H79,IF(AND(($D79+$C$1)&gt;CF$4,CF$4&gt;=$C$1),$G79,0))*IF($A79="Residential",'General Inputs'!M$14,'General Inputs'!M$19)</f>
        <v>16640.405064927134</v>
      </c>
      <c r="CG79" s="214">
        <f>IF(AND(($E79+$C$1)&gt;CG$4,CG$4&gt;=$C$1),$H79,IF(AND(($D79+$C$1)&gt;CG$4,CG$4&gt;=$C$1),$G79,0))*IF($A79="Residential",'General Inputs'!N$14,'General Inputs'!N$19)</f>
        <v>0</v>
      </c>
      <c r="CH79" s="214">
        <f>IF(AND(($E79+$C$1)&gt;CH$4,CH$4&gt;=$C$1),$H79,IF(AND(($D79+$C$1)&gt;CH$4,CH$4&gt;=$C$1),$G79,0))*IF($A79="Residential",'General Inputs'!O$14,'General Inputs'!O$19)</f>
        <v>0</v>
      </c>
      <c r="CI79" s="214">
        <f>IF(AND(($E79+$C$1)&gt;CI$4,CI$4&gt;=$C$1),$H79,IF(AND(($D79+$C$1)&gt;CI$4,CI$4&gt;=$C$1),$G79,0))*IF($A79="Residential",'General Inputs'!P$14,'General Inputs'!P$19)</f>
        <v>0</v>
      </c>
      <c r="CJ79" s="214">
        <f>IF(AND(($E79+$C$1)&gt;CJ$4,CJ$4&gt;=$C$1),$H79,IF(AND(($D79+$C$1)&gt;CJ$4,CJ$4&gt;=$C$1),$G79,0))*IF($A79="Residential",'General Inputs'!Q$14,'General Inputs'!Q$19)</f>
        <v>0</v>
      </c>
      <c r="CK79" s="214">
        <f>IF(AND(($E79+$C$1)&gt;CK$4,CK$4&gt;=$C$1),$H79,IF(AND(($D79+$C$1)&gt;CK$4,CK$4&gt;=$C$1),$G79,0))*IF($A79="Residential",'General Inputs'!R$14,'General Inputs'!R$19)</f>
        <v>0</v>
      </c>
      <c r="CL79" s="214">
        <f>IF(AND(($E79+$C$1)&gt;CL$4,CL$4&gt;=$C$1),$H79,IF(AND(($D79+$C$1)&gt;CL$4,CL$4&gt;=$C$1),$G79,0))*IF($A79="Residential",'General Inputs'!S$14,'General Inputs'!S$19)</f>
        <v>0</v>
      </c>
      <c r="CM79" s="214">
        <f>IF(AND(($E79+$C$1)&gt;CM$4,CM$4&gt;=$C$1),$H79,IF(AND(($D79+$C$1)&gt;CM$4,CM$4&gt;=$C$1),$G79,0))*IF($A79="Residential",'General Inputs'!T$14,'General Inputs'!T$19)</f>
        <v>0</v>
      </c>
      <c r="CN79" s="214">
        <f>IF(AND(($E79+$C$1)&gt;CN$4,CN$4&gt;=$C$1),$H79,IF(AND(($D79+$C$1)&gt;CN$4,CN$4&gt;=$C$1),$G79,0))*IF($A79="Residential",'General Inputs'!U$14,'General Inputs'!U$19)</f>
        <v>0</v>
      </c>
      <c r="CO79" s="214">
        <f>IF(AND(($E79+$C$1)&gt;CO$4,CO$4&gt;=$C$1),$H79,IF(AND(($D79+$C$1)&gt;CO$4,CO$4&gt;=$C$1),$G79,0))*IF($A79="Residential",'General Inputs'!V$14,'General Inputs'!V$19)</f>
        <v>0</v>
      </c>
      <c r="CP79" s="214">
        <f>IF(AND(($E79+$C$1)&gt;CP$4,CP$4&gt;=$C$1),$H79,IF(AND(($D79+$C$1)&gt;CP$4,CP$4&gt;=$C$1),$G79,0))*IF($A79="Residential",'General Inputs'!W$14,'General Inputs'!W$19)</f>
        <v>0</v>
      </c>
      <c r="CR79" s="214">
        <f>IF(AND(($E79+$C$1)&gt;CR$4,CR$4&gt;=$C$1),$H79,IF(AND(($D79+$C$1)&gt;CR$4,CR$4&gt;=$C$1),$G79,0))*IF($A79="Residential",'General Inputs'!D$15,'General Inputs'!D$19)</f>
        <v>14553.569143537052</v>
      </c>
      <c r="CS79" s="214">
        <f>IF(AND(($E79+$C$1)&gt;CS$4,CS$4&gt;=$C$1),$H79,IF(AND(($D79+$C$1)&gt;CS$4,CS$4&gt;=$C$1),$G79,0))*IF($A79="Residential",'General Inputs'!E$15,'General Inputs'!E$19)</f>
        <v>14771.872680690105</v>
      </c>
      <c r="CT79" s="214">
        <f>IF(AND(($E79+$C$1)&gt;CT$4,CT$4&gt;=$C$1),$H79,IF(AND(($D79+$C$1)&gt;CT$4,CT$4&gt;=$C$1),$G79,0))*IF($A79="Residential",'General Inputs'!F$15,'General Inputs'!F$19)</f>
        <v>14993.450770900457</v>
      </c>
      <c r="CU79" s="214">
        <f>IF(AND(($E79+$C$1)&gt;CU$4,CU$4&gt;=$C$1),$H79,IF(AND(($D79+$C$1)&gt;CU$4,CU$4&gt;=$C$1),$G79,0))*IF($A79="Residential",'General Inputs'!G$15,'General Inputs'!G$19)</f>
        <v>15218.352532463963</v>
      </c>
      <c r="CV79" s="214">
        <f>IF(AND(($E79+$C$1)&gt;CV$4,CV$4&gt;=$C$1),$H79,IF(AND(($D79+$C$1)&gt;CV$4,CV$4&gt;=$C$1),$G79,0))*IF($A79="Residential",'General Inputs'!H$15,'General Inputs'!H$19)</f>
        <v>15446.62782045092</v>
      </c>
      <c r="CW79" s="214">
        <f>IF(AND(($E79+$C$1)&gt;CW$4,CW$4&gt;=$C$1),$H79,IF(AND(($D79+$C$1)&gt;CW$4,CW$4&gt;=$C$1),$G79,0))*IF($A79="Residential",'General Inputs'!I$15,'General Inputs'!I$19)</f>
        <v>15678.32723775768</v>
      </c>
      <c r="CX79" s="214">
        <f>IF(AND(($E79+$C$1)&gt;CX$4,CX$4&gt;=$C$1),$H79,IF(AND(($D79+$C$1)&gt;CX$4,CX$4&gt;=$C$1),$G79,0))*IF($A79="Residential",'General Inputs'!J$15,'General Inputs'!J$19)</f>
        <v>15913.502146324045</v>
      </c>
      <c r="CY79" s="214">
        <f>IF(AND(($E79+$C$1)&gt;CY$4,CY$4&gt;=$C$1),$H79,IF(AND(($D79+$C$1)&gt;CY$4,CY$4&gt;=$C$1),$G79,0))*IF($A79="Residential",'General Inputs'!K$15,'General Inputs'!K$19)</f>
        <v>16152.204678518903</v>
      </c>
      <c r="CZ79" s="214">
        <f>IF(AND(($E79+$C$1)&gt;CZ$4,CZ$4&gt;=$C$1),$H79,IF(AND(($D79+$C$1)&gt;CZ$4,CZ$4&gt;=$C$1),$G79,0))*IF($A79="Residential",'General Inputs'!L$15,'General Inputs'!L$19)</f>
        <v>16394.487748696687</v>
      </c>
      <c r="DA79" s="214">
        <f>IF(AND(($E79+$C$1)&gt;DA$4,DA$4&gt;=$C$1),$H79,IF(AND(($D79+$C$1)&gt;DA$4,DA$4&gt;=$C$1),$G79,0))*IF($A79="Residential",'General Inputs'!M$15,'General Inputs'!M$19)</f>
        <v>16640.405064927134</v>
      </c>
      <c r="DB79" s="214">
        <f>IF(AND(($E79+$C$1)&gt;DB$4,DB$4&gt;=$C$1),$H79,IF(AND(($D79+$C$1)&gt;DB$4,DB$4&gt;=$C$1),$G79,0))*IF($A79="Residential",'General Inputs'!N$15,'General Inputs'!N$19)</f>
        <v>0</v>
      </c>
      <c r="DC79" s="214">
        <f>IF(AND(($E79+$C$1)&gt;DC$4,DC$4&gt;=$C$1),$H79,IF(AND(($D79+$C$1)&gt;DC$4,DC$4&gt;=$C$1),$G79,0))*IF($A79="Residential",'General Inputs'!O$15,'General Inputs'!O$19)</f>
        <v>0</v>
      </c>
      <c r="DD79" s="214">
        <f>IF(AND(($E79+$C$1)&gt;DD$4,DD$4&gt;=$C$1),$H79,IF(AND(($D79+$C$1)&gt;DD$4,DD$4&gt;=$C$1),$G79,0))*IF($A79="Residential",'General Inputs'!P$15,'General Inputs'!P$19)</f>
        <v>0</v>
      </c>
      <c r="DE79" s="214">
        <f>IF(AND(($E79+$C$1)&gt;DE$4,DE$4&gt;=$C$1),$H79,IF(AND(($D79+$C$1)&gt;DE$4,DE$4&gt;=$C$1),$G79,0))*IF($A79="Residential",'General Inputs'!Q$15,'General Inputs'!Q$19)</f>
        <v>0</v>
      </c>
      <c r="DF79" s="214">
        <f>IF(AND(($E79+$C$1)&gt;DF$4,DF$4&gt;=$C$1),$H79,IF(AND(($D79+$C$1)&gt;DF$4,DF$4&gt;=$C$1),$G79,0))*IF($A79="Residential",'General Inputs'!R$15,'General Inputs'!R$19)</f>
        <v>0</v>
      </c>
      <c r="DG79" s="214">
        <f>IF(AND(($E79+$C$1)&gt;DG$4,DG$4&gt;=$C$1),$H79,IF(AND(($D79+$C$1)&gt;DG$4,DG$4&gt;=$C$1),$G79,0))*IF($A79="Residential",'General Inputs'!S$15,'General Inputs'!S$19)</f>
        <v>0</v>
      </c>
      <c r="DH79" s="214">
        <f>IF(AND(($E79+$C$1)&gt;DH$4,DH$4&gt;=$C$1),$H79,IF(AND(($D79+$C$1)&gt;DH$4,DH$4&gt;=$C$1),$G79,0))*IF($A79="Residential",'General Inputs'!T$15,'General Inputs'!T$19)</f>
        <v>0</v>
      </c>
      <c r="DI79" s="214">
        <f>IF(AND(($E79+$C$1)&gt;DI$4,DI$4&gt;=$C$1),$H79,IF(AND(($D79+$C$1)&gt;DI$4,DI$4&gt;=$C$1),$G79,0))*IF($A79="Residential",'General Inputs'!U$15,'General Inputs'!U$19)</f>
        <v>0</v>
      </c>
      <c r="DJ79" s="214">
        <f>IF(AND(($E79+$C$1)&gt;DJ$4,DJ$4&gt;=$C$1),$H79,IF(AND(($D79+$C$1)&gt;DJ$4,DJ$4&gt;=$C$1),$G79,0))*IF($A79="Residential",'General Inputs'!V$15,'General Inputs'!V$19)</f>
        <v>0</v>
      </c>
      <c r="DK79" s="214">
        <f>IF(AND(($E79+$C$1)&gt;DK$4,DK$4&gt;=$C$1),$H79,IF(AND(($D79+$C$1)&gt;DK$4,DK$4&gt;=$C$1),$G79,0))*IF($A79="Residential",'General Inputs'!W$15,'General Inputs'!W$19)</f>
        <v>0</v>
      </c>
      <c r="DM79" s="214">
        <f t="shared" si="456"/>
        <v>21800</v>
      </c>
      <c r="DN79" s="214">
        <f t="shared" si="456"/>
        <v>0</v>
      </c>
      <c r="DO79" s="214">
        <f t="shared" si="456"/>
        <v>0</v>
      </c>
      <c r="DP79" s="214">
        <f t="shared" si="456"/>
        <v>0</v>
      </c>
      <c r="DQ79" s="214">
        <f t="shared" si="456"/>
        <v>0</v>
      </c>
      <c r="DR79" s="214">
        <f t="shared" si="456"/>
        <v>0</v>
      </c>
      <c r="DS79" s="214">
        <f t="shared" si="456"/>
        <v>0</v>
      </c>
      <c r="DT79" s="214">
        <f t="shared" si="456"/>
        <v>0</v>
      </c>
      <c r="DU79" s="214">
        <f t="shared" si="456"/>
        <v>0</v>
      </c>
      <c r="DV79" s="214">
        <f t="shared" si="456"/>
        <v>0</v>
      </c>
      <c r="DW79" s="214">
        <f t="shared" si="456"/>
        <v>0</v>
      </c>
      <c r="DZ79" s="650"/>
      <c r="FI79" s="195"/>
      <c r="FJ79" s="195"/>
      <c r="FK79" s="195"/>
      <c r="FL79" s="195"/>
      <c r="FM79" s="195"/>
      <c r="FN79" s="195"/>
      <c r="FO79" s="195"/>
    </row>
    <row r="80" spans="1:171">
      <c r="A80" s="342" t="s">
        <v>112</v>
      </c>
      <c r="B80" s="427" t="str">
        <f>'Portfolio Inputs'!A79</f>
        <v>LED (&gt;10W)</v>
      </c>
      <c r="C80" s="217">
        <f>IF($C$1=2014,'Portfolio Inputs'!$C79,IF($C$1=2015,'Portfolio Inputs'!$D79,'Portfolio Inputs'!$E79))</f>
        <v>111</v>
      </c>
      <c r="D80" s="504">
        <f>VLOOKUP(B80,Sources!$B$4:$J$104,2,FALSE)</f>
        <v>10</v>
      </c>
      <c r="E80" s="504">
        <f>VLOOKUP(B80,Sources!$B$4:$J$104,3,FALSE)</f>
        <v>0</v>
      </c>
      <c r="G80" s="504">
        <f>IF($C$1=2014,'Portfolio Inputs'!$G79,IF($C$1=2015,'Portfolio Inputs'!$H79,'Portfolio Inputs'!$I79))*EnergyLineLoss</f>
        <v>64485.907874999997</v>
      </c>
      <c r="H80" s="504"/>
      <c r="I80" s="595">
        <f>IF($C$1=2014,'Portfolio Inputs'!$K79,IF($C$1=2015,'Portfolio Inputs'!$L79,'Portfolio Inputs'!$M79))*PeakLineLoss</f>
        <v>9.9714185999999998</v>
      </c>
      <c r="J80" s="510"/>
      <c r="L80" s="606">
        <f>IF($C$1=2014,'Portfolio Inputs'!$O79,IF($C$1=2015,'Portfolio Inputs'!$P79,'Portfolio Inputs'!$Q79))</f>
        <v>65</v>
      </c>
      <c r="M80" s="518">
        <f>VLOOKUP($B80,Sources!$B$4:$K$104,10,FALSE)</f>
        <v>0</v>
      </c>
      <c r="N80" s="419">
        <f>IF($C$1=2014,'Portfolio Inputs'!$W79,IF($C$1=2015,'Portfolio Inputs'!$X79,'Portfolio Inputs'!$Y79))</f>
        <v>2775</v>
      </c>
      <c r="O80" s="419">
        <f>IF($C$1=2014,'Portfolio Inputs'!$AA79,IF($C$1=2015,'Portfolio Inputs'!$AB79,'Portfolio Inputs'!$AC79))</f>
        <v>0</v>
      </c>
      <c r="Q80" s="438">
        <f t="shared" si="442"/>
        <v>2.805708522314736</v>
      </c>
      <c r="R80" s="439">
        <f t="shared" si="443"/>
        <v>7.2948421580183131</v>
      </c>
      <c r="S80" s="439">
        <f t="shared" si="444"/>
        <v>3.52245068123421</v>
      </c>
      <c r="T80" s="439">
        <f t="shared" si="445"/>
        <v>7.3421172479137722</v>
      </c>
      <c r="U80" s="439">
        <f t="shared" si="446"/>
        <v>7.3421172479137722</v>
      </c>
      <c r="V80" s="439">
        <f t="shared" si="447"/>
        <v>0.38213888822219022</v>
      </c>
      <c r="W80" s="439">
        <f t="shared" si="448"/>
        <v>0.38213888822219022</v>
      </c>
      <c r="Y80" s="215">
        <f t="shared" si="449"/>
        <v>20243.18698850082</v>
      </c>
      <c r="Z80" s="215">
        <f t="shared" si="450"/>
        <v>5171.2946766040041</v>
      </c>
      <c r="AA80" s="215">
        <f t="shared" si="451"/>
        <v>50198.375943697865</v>
      </c>
      <c r="AB80" s="215">
        <f t="shared" si="452"/>
        <v>50198.375943697865</v>
      </c>
      <c r="AC80" s="216">
        <f t="shared" si="453"/>
        <v>0</v>
      </c>
      <c r="AD80" s="216">
        <f t="shared" si="454"/>
        <v>2775</v>
      </c>
      <c r="AE80" s="215">
        <f t="shared" si="455"/>
        <v>7215</v>
      </c>
      <c r="AG80" s="214">
        <f>IF(AND(($E80+$C$1)&gt;AG$4,AG$4&gt;=$C$1),'General Inputs'!D$9*$H80,IF(AND(($D80+$C$1)&gt;AG$4,AG$4&gt;=$C$1),'General Inputs'!D$9*$G80,0))+IF(AND(($E80+$C$1)&gt;AG$4,AG$4&gt;=$C$1),'General Inputs'!D$10*$J80,IF(AND(($D80+$C$1)&gt;AG$4,AG$4&gt;=$C$1),'General Inputs'!D$10*$I80,0))</f>
        <v>2716.6427685436124</v>
      </c>
      <c r="AH80" s="214">
        <f>IF(AND(($E80+$C$1)&gt;AH$4,AH$4&gt;=$C$1),'General Inputs'!E$9*$H80,IF(AND(($D80+$C$1)&gt;AH$4,AH$4&gt;=$C$1),'General Inputs'!E$9*$G80,0))+IF(AND(($E80+$C$1)&gt;AH$4,AH$4&gt;=$C$1),'General Inputs'!E$10*$J80,IF(AND(($D80+$C$1)&gt;AH$4,AH$4&gt;=$C$1),'General Inputs'!E$10*$I80,0))</f>
        <v>2757.3924100717663</v>
      </c>
      <c r="AI80" s="214">
        <f>IF(AND(($E80+$C$1)&gt;AI$4,AI$4&gt;=$C$1),'General Inputs'!F$9*$H80,IF(AND(($D80+$C$1)&gt;AI$4,AI$4&gt;=$C$1),'General Inputs'!F$9*$G80,0))+IF(AND(($E80+$C$1)&gt;AI$4,AI$4&gt;=$C$1),'General Inputs'!F$10*$J80,IF(AND(($D80+$C$1)&gt;AI$4,AI$4&gt;=$C$1),'General Inputs'!F$10*$I80,0))</f>
        <v>2798.7532962228424</v>
      </c>
      <c r="AJ80" s="214">
        <f>IF(AND(($E80+$C$1)&gt;AJ$4,AJ$4&gt;=$C$1),'General Inputs'!G$9*$H80,IF(AND(($D80+$C$1)&gt;AJ$4,AJ$4&gt;=$C$1),'General Inputs'!G$9*$G80,0))+IF(AND(($E80+$C$1)&gt;AJ$4,AJ$4&gt;=$C$1),'General Inputs'!G$10*$J80,IF(AND(($D80+$C$1)&gt;AJ$4,AJ$4&gt;=$C$1),'General Inputs'!G$10*$I80,0))</f>
        <v>2840.7345956661848</v>
      </c>
      <c r="AK80" s="214">
        <f>IF(AND(($E80+$C$1)&gt;AK$4,AK$4&gt;=$C$1),'General Inputs'!H$9*$H80,IF(AND(($D80+$C$1)&gt;AK$4,AK$4&gt;=$C$1),'General Inputs'!H$9*$G80,0))+IF(AND(($E80+$C$1)&gt;AK$4,AK$4&gt;=$C$1),'General Inputs'!H$10*$J80,IF(AND(($D80+$C$1)&gt;AK$4,AK$4&gt;=$C$1),'General Inputs'!H$10*$I80,0))</f>
        <v>2883.3456146011767</v>
      </c>
      <c r="AL80" s="214">
        <f>IF(AND(($E80+$C$1)&gt;AL$4,AL$4&gt;=$C$1),'General Inputs'!I$9*$H80,IF(AND(($D80+$C$1)&gt;AL$4,AL$4&gt;=$C$1),'General Inputs'!I$9*$G80,0))+IF(AND(($E80+$C$1)&gt;AL$4,AL$4&gt;=$C$1),'General Inputs'!I$10*$J80,IF(AND(($D80+$C$1)&gt;AL$4,AL$4&gt;=$C$1),'General Inputs'!I$10*$I80,0))</f>
        <v>2926.5957988201944</v>
      </c>
      <c r="AM80" s="214">
        <f>IF(AND(($E80+$C$1)&gt;AM$4,AM$4&gt;=$C$1),'General Inputs'!J$9*$H80,IF(AND(($D80+$C$1)&gt;AM$4,AM$4&gt;=$C$1),'General Inputs'!J$9*$G80,0))+IF(AND(($E80+$C$1)&gt;AM$4,AM$4&gt;=$C$1),'General Inputs'!J$10*$J80,IF(AND(($D80+$C$1)&gt;AM$4,AM$4&gt;=$C$1),'General Inputs'!J$10*$I80,0))</f>
        <v>2970.4947358024965</v>
      </c>
      <c r="AN80" s="214">
        <f>IF(AND(($E80+$C$1)&gt;AN$4,AN$4&gt;=$C$1),'General Inputs'!K$9*$H80,IF(AND(($D80+$C$1)&gt;AN$4,AN$4&gt;=$C$1),'General Inputs'!K$9*$G80,0))+IF(AND(($E80+$C$1)&gt;AN$4,AN$4&gt;=$C$1),'General Inputs'!K$10*$J80,IF(AND(($D80+$C$1)&gt;AN$4,AN$4&gt;=$C$1),'General Inputs'!K$10*$I80,0))</f>
        <v>3015.0521568395338</v>
      </c>
      <c r="AO80" s="214">
        <f>IF(AND(($E80+$C$1)&gt;AO$4,AO$4&gt;=$C$1),'General Inputs'!L$9*$H80,IF(AND(($D80+$C$1)&gt;AO$4,AO$4&gt;=$C$1),'General Inputs'!L$9*$G80,0))+IF(AND(($E80+$C$1)&gt;AO$4,AO$4&gt;=$C$1),'General Inputs'!L$10*$J80,IF(AND(($D80+$C$1)&gt;AO$4,AO$4&gt;=$C$1),'General Inputs'!L$10*$I80,0))</f>
        <v>3060.2779391921263</v>
      </c>
      <c r="AP80" s="214">
        <f>IF(AND(($E80+$C$1)&gt;AP$4,AP$4&gt;=$C$1),'General Inputs'!M$9*$H80,IF(AND(($D80+$C$1)&gt;AP$4,AP$4&gt;=$C$1),'General Inputs'!M$9*$G80,0))+IF(AND(($E80+$C$1)&gt;AP$4,AP$4&gt;=$C$1),'General Inputs'!M$10*$J80,IF(AND(($D80+$C$1)&gt;AP$4,AP$4&gt;=$C$1),'General Inputs'!M$10*$I80,0))</f>
        <v>3106.1821082800079</v>
      </c>
      <c r="AQ80" s="214">
        <f>IF(AND(($E80+$C$1)&gt;AQ$4,AQ$4&gt;=$C$1),'General Inputs'!N$9*$H80,IF(AND(($D80+$C$1)&gt;AQ$4,AQ$4&gt;=$C$1),'General Inputs'!N$9*$G80,0))+IF(AND(($E80+$C$1)&gt;AQ$4,AQ$4&gt;=$C$1),'General Inputs'!N$10*$J80,IF(AND(($D80+$C$1)&gt;AQ$4,AQ$4&gt;=$C$1),'General Inputs'!N$10*$I80,0))</f>
        <v>0</v>
      </c>
      <c r="AR80" s="214">
        <f>IF(AND(($E80+$C$1)&gt;AR$4,AR$4&gt;=$C$1),'General Inputs'!O$9*$H80,IF(AND(($D80+$C$1)&gt;AR$4,AR$4&gt;=$C$1),'General Inputs'!O$9*$G80,0))+IF(AND(($E80+$C$1)&gt;AR$4,AR$4&gt;=$C$1),'General Inputs'!O$10*$J80,IF(AND(($D80+$C$1)&gt;AR$4,AR$4&gt;=$C$1),'General Inputs'!O$10*$I80,0))</f>
        <v>0</v>
      </c>
      <c r="AS80" s="214">
        <f>IF(AND(($E80+$C$1)&gt;AS$4,AS$4&gt;=$C$1),'General Inputs'!P$9*$H80,IF(AND(($D80+$C$1)&gt;AS$4,AS$4&gt;=$C$1),'General Inputs'!P$9*$G80,0))+IF(AND(($E80+$C$1)&gt;AS$4,AS$4&gt;=$C$1),'General Inputs'!P$10*$J80,IF(AND(($D80+$C$1)&gt;AS$4,AS$4&gt;=$C$1),'General Inputs'!P$10*$I80,0))</f>
        <v>0</v>
      </c>
      <c r="AT80" s="214">
        <f>IF(AND(($E80+$C$1)&gt;AT$4,AT$4&gt;=$C$1),'General Inputs'!Q$9*$H80,IF(AND(($D80+$C$1)&gt;AT$4,AT$4&gt;=$C$1),'General Inputs'!Q$9*$G80,0))+IF(AND(($E80+$C$1)&gt;AT$4,AT$4&gt;=$C$1),'General Inputs'!Q$10*$J80,IF(AND(($D80+$C$1)&gt;AT$4,AT$4&gt;=$C$1),'General Inputs'!Q$10*$I80,0))</f>
        <v>0</v>
      </c>
      <c r="AU80" s="214">
        <f>IF(AND(($E80+$C$1)&gt;AU$4,AU$4&gt;=$C$1),'General Inputs'!R$9*$H80,IF(AND(($D80+$C$1)&gt;AU$4,AU$4&gt;=$C$1),'General Inputs'!R$9*$G80,0))+IF(AND(($E80+$C$1)&gt;AU$4,AU$4&gt;=$C$1),'General Inputs'!R$10*$J80,IF(AND(($D80+$C$1)&gt;AU$4,AU$4&gt;=$C$1),'General Inputs'!R$10*$I80,0))</f>
        <v>0</v>
      </c>
      <c r="AV80" s="214">
        <f>IF(AND(($E80+$C$1)&gt;AV$4,AV$4&gt;=$C$1),'General Inputs'!S$9*$H80,IF(AND(($D80+$C$1)&gt;AV$4,AV$4&gt;=$C$1),'General Inputs'!S$9*$G80,0))+IF(AND(($E80+$C$1)&gt;AV$4,AV$4&gt;=$C$1),'General Inputs'!S$10*$J80,IF(AND(($D80+$C$1)&gt;AV$4,AV$4&gt;=$C$1),'General Inputs'!S$10*$I80,0))</f>
        <v>0</v>
      </c>
      <c r="AW80" s="214">
        <f>IF(AND(($E80+$C$1)&gt;AW$4,AW$4&gt;=$C$1),'General Inputs'!T$9*$H80,IF(AND(($D80+$C$1)&gt;AW$4,AW$4&gt;=$C$1),'General Inputs'!T$9*$G80,0))+IF(AND(($E80+$C$1)&gt;AW$4,AW$4&gt;=$C$1),'General Inputs'!T$10*$J80,IF(AND(($D80+$C$1)&gt;AW$4,AW$4&gt;=$C$1),'General Inputs'!T$10*$I80,0))</f>
        <v>0</v>
      </c>
      <c r="AX80" s="214">
        <f>IF(AND(($E80+$C$1)&gt;AX$4,AX$4&gt;=$C$1),'General Inputs'!U$9*$H80,IF(AND(($D80+$C$1)&gt;AX$4,AX$4&gt;=$C$1),'General Inputs'!U$9*$G80,0))+IF(AND(($E80+$C$1)&gt;AX$4,AX$4&gt;=$C$1),'General Inputs'!U$10*$J80,IF(AND(($D80+$C$1)&gt;AX$4,AX$4&gt;=$C$1),'General Inputs'!U$10*$I80,0))</f>
        <v>0</v>
      </c>
      <c r="AY80" s="214">
        <f>IF(AND(($E80+$C$1)&gt;AY$4,AY$4&gt;=$C$1),'General Inputs'!V$9*$H80,IF(AND(($D80+$C$1)&gt;AY$4,AY$4&gt;=$C$1),'General Inputs'!V$9*$G80,0))+IF(AND(($E80+$C$1)&gt;AY$4,AY$4&gt;=$C$1),'General Inputs'!V$10*$J80,IF(AND(($D80+$C$1)&gt;AY$4,AY$4&gt;=$C$1),'General Inputs'!V$10*$I80,0))</f>
        <v>0</v>
      </c>
      <c r="AZ80" s="214">
        <f>IF(AND(($E80+$C$1)&gt;AZ$4,AZ$4&gt;=$C$1),'General Inputs'!W$9*$H80,IF(AND(($D80+$C$1)&gt;AZ$4,AZ$4&gt;=$C$1),'General Inputs'!W$9*$G80,0))+IF(AND(($E80+$C$1)&gt;AZ$4,AZ$4&gt;=$C$1),'General Inputs'!W$10*$J80,IF(AND(($D80+$C$1)&gt;AZ$4,AZ$4&gt;=$C$1),'General Inputs'!W$10*$I80,0))</f>
        <v>0</v>
      </c>
      <c r="BB80" s="214">
        <f>IF(AND(($E80+$C$1)&gt;BB$4,BB$4&gt;=$C$1),'General Inputs'!D$11*$H80,IF(AND(($D80+$C$1)&gt;BB$4,BB$4&gt;=$C$1),'General Inputs'!D$11*$G80,0))</f>
        <v>735.13934977500003</v>
      </c>
      <c r="BC80" s="214">
        <f>IF(AND(($E80+$C$1)&gt;BC$4,BC$4&gt;=$C$1),'General Inputs'!E$11*$H80,IF(AND(($D80+$C$1)&gt;BC$4,BC$4&gt;=$C$1),'General Inputs'!E$11*$G80,0))</f>
        <v>735.13934977500003</v>
      </c>
      <c r="BD80" s="214">
        <f>IF(AND(($E80+$C$1)&gt;BD$4,BD$4&gt;=$C$1),'General Inputs'!F$11*$H80,IF(AND(($D80+$C$1)&gt;BD$4,BD$4&gt;=$C$1),'General Inputs'!F$11*$G80,0))</f>
        <v>735.13934977500003</v>
      </c>
      <c r="BE80" s="214">
        <f>IF(AND(($E80+$C$1)&gt;BE$4,BE$4&gt;=$C$1),'General Inputs'!G$11*$H80,IF(AND(($D80+$C$1)&gt;BE$4,BE$4&gt;=$C$1),'General Inputs'!G$11*$G80,0))</f>
        <v>735.13934977500003</v>
      </c>
      <c r="BF80" s="214">
        <f>IF(AND(($E80+$C$1)&gt;BF$4,BF$4&gt;=$C$1),'General Inputs'!H$11*$H80,IF(AND(($D80+$C$1)&gt;BF$4,BF$4&gt;=$C$1),'General Inputs'!H$11*$G80,0))</f>
        <v>735.13934977500003</v>
      </c>
      <c r="BG80" s="214">
        <f>IF(AND(($E80+$C$1)&gt;BG$4,BG$4&gt;=$C$1),'General Inputs'!I$11*$H80,IF(AND(($D80+$C$1)&gt;BG$4,BG$4&gt;=$C$1),'General Inputs'!I$11*$G80,0))</f>
        <v>735.13934977500003</v>
      </c>
      <c r="BH80" s="214">
        <f>IF(AND(($E80+$C$1)&gt;BH$4,BH$4&gt;=$C$1),'General Inputs'!J$11*$H80,IF(AND(($D80+$C$1)&gt;BH$4,BH$4&gt;=$C$1),'General Inputs'!J$11*$G80,0))</f>
        <v>735.13934977500003</v>
      </c>
      <c r="BI80" s="214">
        <f>IF(AND(($E80+$C$1)&gt;BI$4,BI$4&gt;=$C$1),'General Inputs'!K$11*$H80,IF(AND(($D80+$C$1)&gt;BI$4,BI$4&gt;=$C$1),'General Inputs'!K$11*$G80,0))</f>
        <v>735.13934977500003</v>
      </c>
      <c r="BJ80" s="214">
        <f>IF(AND(($E80+$C$1)&gt;BJ$4,BJ$4&gt;=$C$1),'General Inputs'!L$11*$H80,IF(AND(($D80+$C$1)&gt;BJ$4,BJ$4&gt;=$C$1),'General Inputs'!L$11*$G80,0))</f>
        <v>735.13934977500003</v>
      </c>
      <c r="BK80" s="214">
        <f>IF(AND(($E80+$C$1)&gt;BK$4,BK$4&gt;=$C$1),'General Inputs'!M$11*$H80,IF(AND(($D80+$C$1)&gt;BK$4,BK$4&gt;=$C$1),'General Inputs'!M$11*$G80,0))</f>
        <v>735.13934977500003</v>
      </c>
      <c r="BL80" s="214">
        <f>IF(AND(($E80+$C$1)&gt;BL$4,BL$4&gt;=$C$1),'General Inputs'!N$11*$H80,IF(AND(($D80+$C$1)&gt;BL$4,BL$4&gt;=$C$1),'General Inputs'!N$11*$G80,0))</f>
        <v>0</v>
      </c>
      <c r="BM80" s="214">
        <f>IF(AND(($E80+$C$1)&gt;BM$4,BM$4&gt;=$C$1),'General Inputs'!O$11*$H80,IF(AND(($D80+$C$1)&gt;BM$4,BM$4&gt;=$C$1),'General Inputs'!O$11*$G80,0))</f>
        <v>0</v>
      </c>
      <c r="BN80" s="214">
        <f>IF(AND(($E80+$C$1)&gt;BN$4,BN$4&gt;=$C$1),'General Inputs'!P$11*$H80,IF(AND(($D80+$C$1)&gt;BN$4,BN$4&gt;=$C$1),'General Inputs'!P$11*$G80,0))</f>
        <v>0</v>
      </c>
      <c r="BO80" s="214">
        <f>IF(AND(($E80+$C$1)&gt;BO$4,BO$4&gt;=$C$1),'General Inputs'!Q$11*$H80,IF(AND(($D80+$C$1)&gt;BO$4,BO$4&gt;=$C$1),'General Inputs'!Q$11*$G80,0))</f>
        <v>0</v>
      </c>
      <c r="BP80" s="214">
        <f>IF(AND(($E80+$C$1)&gt;BP$4,BP$4&gt;=$C$1),'General Inputs'!R$11*$H80,IF(AND(($D80+$C$1)&gt;BP$4,BP$4&gt;=$C$1),'General Inputs'!R$11*$G80,0))</f>
        <v>0</v>
      </c>
      <c r="BQ80" s="214">
        <f>IF(AND(($E80+$C$1)&gt;BQ$4,BQ$4&gt;=$C$1),'General Inputs'!S$11*$H80,IF(AND(($D80+$C$1)&gt;BQ$4,BQ$4&gt;=$C$1),'General Inputs'!S$11*$G80,0))</f>
        <v>0</v>
      </c>
      <c r="BR80" s="214">
        <f>IF(AND(($E80+$C$1)&gt;BR$4,BR$4&gt;=$C$1),'General Inputs'!T$11*$H80,IF(AND(($D80+$C$1)&gt;BR$4,BR$4&gt;=$C$1),'General Inputs'!T$11*$G80,0))</f>
        <v>0</v>
      </c>
      <c r="BS80" s="214">
        <f>IF(AND(($E80+$C$1)&gt;BS$4,BS$4&gt;=$C$1),'General Inputs'!U$11*$H80,IF(AND(($D80+$C$1)&gt;BS$4,BS$4&gt;=$C$1),'General Inputs'!U$11*$G80,0))</f>
        <v>0</v>
      </c>
      <c r="BT80" s="214">
        <f>IF(AND(($E80+$C$1)&gt;BT$4,BT$4&gt;=$C$1),'General Inputs'!V$11*$H80,IF(AND(($D80+$C$1)&gt;BT$4,BT$4&gt;=$C$1),'General Inputs'!V$11*$G80,0))</f>
        <v>0</v>
      </c>
      <c r="BU80" s="214">
        <f>IF(AND(($E80+$C$1)&gt;BU$4,BU$4&gt;=$C$1),'General Inputs'!W$11*$H80,IF(AND(($D80+$C$1)&gt;BU$4,BU$4&gt;=$C$1),'General Inputs'!W$11*$G80,0))</f>
        <v>0</v>
      </c>
      <c r="BW80" s="214">
        <f>IF(AND(($E80+$C$1)&gt;BW$4,BW$4&gt;=$C$1),$H80,IF(AND(($D80+$C$1)&gt;BW$4,BW$4&gt;=$C$1),$G80,0))*IF($A80="Residential",'General Inputs'!D$14,'General Inputs'!D$19)</f>
        <v>6736.6395952152325</v>
      </c>
      <c r="BX80" s="214">
        <f>IF(AND(($E80+$C$1)&gt;BX$4,BX$4&gt;=$C$1),$H80,IF(AND(($D80+$C$1)&gt;BX$4,BX$4&gt;=$C$1),$G80,0))*IF($A80="Residential",'General Inputs'!E$14,'General Inputs'!E$19)</f>
        <v>6837.6891891434598</v>
      </c>
      <c r="BY80" s="214">
        <f>IF(AND(($E80+$C$1)&gt;BY$4,BY$4&gt;=$C$1),$H80,IF(AND(($D80+$C$1)&gt;BY$4,BY$4&gt;=$C$1),$G80,0))*IF($A80="Residential",'General Inputs'!F$14,'General Inputs'!F$19)</f>
        <v>6940.2545269806124</v>
      </c>
      <c r="BZ80" s="214">
        <f>IF(AND(($E80+$C$1)&gt;BZ$4,BZ$4&gt;=$C$1),$H80,IF(AND(($D80+$C$1)&gt;BZ$4,BZ$4&gt;=$C$1),$G80,0))*IF($A80="Residential",'General Inputs'!G$14,'General Inputs'!G$19)</f>
        <v>7044.3583448853205</v>
      </c>
      <c r="CA80" s="214">
        <f>IF(AND(($E80+$C$1)&gt;CA$4,CA$4&gt;=$C$1),$H80,IF(AND(($D80+$C$1)&gt;CA$4,CA$4&gt;=$C$1),$G80,0))*IF($A80="Residential",'General Inputs'!H$14,'General Inputs'!H$19)</f>
        <v>7150.0237200585989</v>
      </c>
      <c r="CB80" s="214">
        <f>IF(AND(($E80+$C$1)&gt;CB$4,CB$4&gt;=$C$1),$H80,IF(AND(($D80+$C$1)&gt;CB$4,CB$4&gt;=$C$1),$G80,0))*IF($A80="Residential",'General Inputs'!I$14,'General Inputs'!I$19)</f>
        <v>7257.2740758594764</v>
      </c>
      <c r="CC80" s="214">
        <f>IF(AND(($E80+$C$1)&gt;CC$4,CC$4&gt;=$C$1),$H80,IF(AND(($D80+$C$1)&gt;CC$4,CC$4&gt;=$C$1),$G80,0))*IF($A80="Residential",'General Inputs'!J$14,'General Inputs'!J$19)</f>
        <v>7366.1331869973692</v>
      </c>
      <c r="CD80" s="214">
        <f>IF(AND(($E80+$C$1)&gt;CD$4,CD$4&gt;=$C$1),$H80,IF(AND(($D80+$C$1)&gt;CD$4,CD$4&gt;=$C$1),$G80,0))*IF($A80="Residential",'General Inputs'!K$14,'General Inputs'!K$19)</f>
        <v>7476.6251848023285</v>
      </c>
      <c r="CE80" s="214">
        <f>IF(AND(($E80+$C$1)&gt;CE$4,CE$4&gt;=$C$1),$H80,IF(AND(($D80+$C$1)&gt;CE$4,CE$4&gt;=$C$1),$G80,0))*IF($A80="Residential",'General Inputs'!L$14,'General Inputs'!L$19)</f>
        <v>7588.7745625743628</v>
      </c>
      <c r="CF80" s="214">
        <f>IF(AND(($E80+$C$1)&gt;CF$4,CF$4&gt;=$C$1),$H80,IF(AND(($D80+$C$1)&gt;CF$4,CF$4&gt;=$C$1),$G80,0))*IF($A80="Residential",'General Inputs'!M$14,'General Inputs'!M$19)</f>
        <v>7702.6061810129777</v>
      </c>
      <c r="CG80" s="214">
        <f>IF(AND(($E80+$C$1)&gt;CG$4,CG$4&gt;=$C$1),$H80,IF(AND(($D80+$C$1)&gt;CG$4,CG$4&gt;=$C$1),$G80,0))*IF($A80="Residential",'General Inputs'!N$14,'General Inputs'!N$19)</f>
        <v>0</v>
      </c>
      <c r="CH80" s="214">
        <f>IF(AND(($E80+$C$1)&gt;CH$4,CH$4&gt;=$C$1),$H80,IF(AND(($D80+$C$1)&gt;CH$4,CH$4&gt;=$C$1),$G80,0))*IF($A80="Residential",'General Inputs'!O$14,'General Inputs'!O$19)</f>
        <v>0</v>
      </c>
      <c r="CI80" s="214">
        <f>IF(AND(($E80+$C$1)&gt;CI$4,CI$4&gt;=$C$1),$H80,IF(AND(($D80+$C$1)&gt;CI$4,CI$4&gt;=$C$1),$G80,0))*IF($A80="Residential",'General Inputs'!P$14,'General Inputs'!P$19)</f>
        <v>0</v>
      </c>
      <c r="CJ80" s="214">
        <f>IF(AND(($E80+$C$1)&gt;CJ$4,CJ$4&gt;=$C$1),$H80,IF(AND(($D80+$C$1)&gt;CJ$4,CJ$4&gt;=$C$1),$G80,0))*IF($A80="Residential",'General Inputs'!Q$14,'General Inputs'!Q$19)</f>
        <v>0</v>
      </c>
      <c r="CK80" s="214">
        <f>IF(AND(($E80+$C$1)&gt;CK$4,CK$4&gt;=$C$1),$H80,IF(AND(($D80+$C$1)&gt;CK$4,CK$4&gt;=$C$1),$G80,0))*IF($A80="Residential",'General Inputs'!R$14,'General Inputs'!R$19)</f>
        <v>0</v>
      </c>
      <c r="CL80" s="214">
        <f>IF(AND(($E80+$C$1)&gt;CL$4,CL$4&gt;=$C$1),$H80,IF(AND(($D80+$C$1)&gt;CL$4,CL$4&gt;=$C$1),$G80,0))*IF($A80="Residential",'General Inputs'!S$14,'General Inputs'!S$19)</f>
        <v>0</v>
      </c>
      <c r="CM80" s="214">
        <f>IF(AND(($E80+$C$1)&gt;CM$4,CM$4&gt;=$C$1),$H80,IF(AND(($D80+$C$1)&gt;CM$4,CM$4&gt;=$C$1),$G80,0))*IF($A80="Residential",'General Inputs'!T$14,'General Inputs'!T$19)</f>
        <v>0</v>
      </c>
      <c r="CN80" s="214">
        <f>IF(AND(($E80+$C$1)&gt;CN$4,CN$4&gt;=$C$1),$H80,IF(AND(($D80+$C$1)&gt;CN$4,CN$4&gt;=$C$1),$G80,0))*IF($A80="Residential",'General Inputs'!U$14,'General Inputs'!U$19)</f>
        <v>0</v>
      </c>
      <c r="CO80" s="214">
        <f>IF(AND(($E80+$C$1)&gt;CO$4,CO$4&gt;=$C$1),$H80,IF(AND(($D80+$C$1)&gt;CO$4,CO$4&gt;=$C$1),$G80,0))*IF($A80="Residential",'General Inputs'!V$14,'General Inputs'!V$19)</f>
        <v>0</v>
      </c>
      <c r="CP80" s="214">
        <f>IF(AND(($E80+$C$1)&gt;CP$4,CP$4&gt;=$C$1),$H80,IF(AND(($D80+$C$1)&gt;CP$4,CP$4&gt;=$C$1),$G80,0))*IF($A80="Residential",'General Inputs'!W$14,'General Inputs'!W$19)</f>
        <v>0</v>
      </c>
      <c r="CR80" s="214">
        <f>IF(AND(($E80+$C$1)&gt;CR$4,CR$4&gt;=$C$1),$H80,IF(AND(($D80+$C$1)&gt;CR$4,CR$4&gt;=$C$1),$G80,0))*IF($A80="Residential",'General Inputs'!D$15,'General Inputs'!D$19)</f>
        <v>6736.6395952152325</v>
      </c>
      <c r="CS80" s="214">
        <f>IF(AND(($E80+$C$1)&gt;CS$4,CS$4&gt;=$C$1),$H80,IF(AND(($D80+$C$1)&gt;CS$4,CS$4&gt;=$C$1),$G80,0))*IF($A80="Residential",'General Inputs'!E$15,'General Inputs'!E$19)</f>
        <v>6837.6891891434598</v>
      </c>
      <c r="CT80" s="214">
        <f>IF(AND(($E80+$C$1)&gt;CT$4,CT$4&gt;=$C$1),$H80,IF(AND(($D80+$C$1)&gt;CT$4,CT$4&gt;=$C$1),$G80,0))*IF($A80="Residential",'General Inputs'!F$15,'General Inputs'!F$19)</f>
        <v>6940.2545269806124</v>
      </c>
      <c r="CU80" s="214">
        <f>IF(AND(($E80+$C$1)&gt;CU$4,CU$4&gt;=$C$1),$H80,IF(AND(($D80+$C$1)&gt;CU$4,CU$4&gt;=$C$1),$G80,0))*IF($A80="Residential",'General Inputs'!G$15,'General Inputs'!G$19)</f>
        <v>7044.3583448853205</v>
      </c>
      <c r="CV80" s="214">
        <f>IF(AND(($E80+$C$1)&gt;CV$4,CV$4&gt;=$C$1),$H80,IF(AND(($D80+$C$1)&gt;CV$4,CV$4&gt;=$C$1),$G80,0))*IF($A80="Residential",'General Inputs'!H$15,'General Inputs'!H$19)</f>
        <v>7150.0237200585989</v>
      </c>
      <c r="CW80" s="214">
        <f>IF(AND(($E80+$C$1)&gt;CW$4,CW$4&gt;=$C$1),$H80,IF(AND(($D80+$C$1)&gt;CW$4,CW$4&gt;=$C$1),$G80,0))*IF($A80="Residential",'General Inputs'!I$15,'General Inputs'!I$19)</f>
        <v>7257.2740758594764</v>
      </c>
      <c r="CX80" s="214">
        <f>IF(AND(($E80+$C$1)&gt;CX$4,CX$4&gt;=$C$1),$H80,IF(AND(($D80+$C$1)&gt;CX$4,CX$4&gt;=$C$1),$G80,0))*IF($A80="Residential",'General Inputs'!J$15,'General Inputs'!J$19)</f>
        <v>7366.1331869973692</v>
      </c>
      <c r="CY80" s="214">
        <f>IF(AND(($E80+$C$1)&gt;CY$4,CY$4&gt;=$C$1),$H80,IF(AND(($D80+$C$1)&gt;CY$4,CY$4&gt;=$C$1),$G80,0))*IF($A80="Residential",'General Inputs'!K$15,'General Inputs'!K$19)</f>
        <v>7476.6251848023285</v>
      </c>
      <c r="CZ80" s="214">
        <f>IF(AND(($E80+$C$1)&gt;CZ$4,CZ$4&gt;=$C$1),$H80,IF(AND(($D80+$C$1)&gt;CZ$4,CZ$4&gt;=$C$1),$G80,0))*IF($A80="Residential",'General Inputs'!L$15,'General Inputs'!L$19)</f>
        <v>7588.7745625743628</v>
      </c>
      <c r="DA80" s="214">
        <f>IF(AND(($E80+$C$1)&gt;DA$4,DA$4&gt;=$C$1),$H80,IF(AND(($D80+$C$1)&gt;DA$4,DA$4&gt;=$C$1),$G80,0))*IF($A80="Residential",'General Inputs'!M$15,'General Inputs'!M$19)</f>
        <v>7702.6061810129777</v>
      </c>
      <c r="DB80" s="214">
        <f>IF(AND(($E80+$C$1)&gt;DB$4,DB$4&gt;=$C$1),$H80,IF(AND(($D80+$C$1)&gt;DB$4,DB$4&gt;=$C$1),$G80,0))*IF($A80="Residential",'General Inputs'!N$15,'General Inputs'!N$19)</f>
        <v>0</v>
      </c>
      <c r="DC80" s="214">
        <f>IF(AND(($E80+$C$1)&gt;DC$4,DC$4&gt;=$C$1),$H80,IF(AND(($D80+$C$1)&gt;DC$4,DC$4&gt;=$C$1),$G80,0))*IF($A80="Residential",'General Inputs'!O$15,'General Inputs'!O$19)</f>
        <v>0</v>
      </c>
      <c r="DD80" s="214">
        <f>IF(AND(($E80+$C$1)&gt;DD$4,DD$4&gt;=$C$1),$H80,IF(AND(($D80+$C$1)&gt;DD$4,DD$4&gt;=$C$1),$G80,0))*IF($A80="Residential",'General Inputs'!P$15,'General Inputs'!P$19)</f>
        <v>0</v>
      </c>
      <c r="DE80" s="214">
        <f>IF(AND(($E80+$C$1)&gt;DE$4,DE$4&gt;=$C$1),$H80,IF(AND(($D80+$C$1)&gt;DE$4,DE$4&gt;=$C$1),$G80,0))*IF($A80="Residential",'General Inputs'!Q$15,'General Inputs'!Q$19)</f>
        <v>0</v>
      </c>
      <c r="DF80" s="214">
        <f>IF(AND(($E80+$C$1)&gt;DF$4,DF$4&gt;=$C$1),$H80,IF(AND(($D80+$C$1)&gt;DF$4,DF$4&gt;=$C$1),$G80,0))*IF($A80="Residential",'General Inputs'!R$15,'General Inputs'!R$19)</f>
        <v>0</v>
      </c>
      <c r="DG80" s="214">
        <f>IF(AND(($E80+$C$1)&gt;DG$4,DG$4&gt;=$C$1),$H80,IF(AND(($D80+$C$1)&gt;DG$4,DG$4&gt;=$C$1),$G80,0))*IF($A80="Residential",'General Inputs'!S$15,'General Inputs'!S$19)</f>
        <v>0</v>
      </c>
      <c r="DH80" s="214">
        <f>IF(AND(($E80+$C$1)&gt;DH$4,DH$4&gt;=$C$1),$H80,IF(AND(($D80+$C$1)&gt;DH$4,DH$4&gt;=$C$1),$G80,0))*IF($A80="Residential",'General Inputs'!T$15,'General Inputs'!T$19)</f>
        <v>0</v>
      </c>
      <c r="DI80" s="214">
        <f>IF(AND(($E80+$C$1)&gt;DI$4,DI$4&gt;=$C$1),$H80,IF(AND(($D80+$C$1)&gt;DI$4,DI$4&gt;=$C$1),$G80,0))*IF($A80="Residential",'General Inputs'!U$15,'General Inputs'!U$19)</f>
        <v>0</v>
      </c>
      <c r="DJ80" s="214">
        <f>IF(AND(($E80+$C$1)&gt;DJ$4,DJ$4&gt;=$C$1),$H80,IF(AND(($D80+$C$1)&gt;DJ$4,DJ$4&gt;=$C$1),$G80,0))*IF($A80="Residential",'General Inputs'!V$15,'General Inputs'!V$19)</f>
        <v>0</v>
      </c>
      <c r="DK80" s="214">
        <f>IF(AND(($E80+$C$1)&gt;DK$4,DK$4&gt;=$C$1),$H80,IF(AND(($D80+$C$1)&gt;DK$4,DK$4&gt;=$C$1),$G80,0))*IF($A80="Residential",'General Inputs'!W$15,'General Inputs'!W$19)</f>
        <v>0</v>
      </c>
      <c r="DM80" s="214">
        <f t="shared" si="456"/>
        <v>7215</v>
      </c>
      <c r="DN80" s="214">
        <f t="shared" si="456"/>
        <v>0</v>
      </c>
      <c r="DO80" s="214">
        <f t="shared" si="456"/>
        <v>0</v>
      </c>
      <c r="DP80" s="214">
        <f t="shared" si="456"/>
        <v>0</v>
      </c>
      <c r="DQ80" s="214">
        <f t="shared" si="456"/>
        <v>0</v>
      </c>
      <c r="DR80" s="214">
        <f t="shared" si="456"/>
        <v>0</v>
      </c>
      <c r="DS80" s="214">
        <f t="shared" si="456"/>
        <v>0</v>
      </c>
      <c r="DT80" s="214">
        <f t="shared" si="456"/>
        <v>0</v>
      </c>
      <c r="DU80" s="214">
        <f t="shared" si="456"/>
        <v>0</v>
      </c>
      <c r="DV80" s="214">
        <f t="shared" si="456"/>
        <v>0</v>
      </c>
      <c r="DW80" s="214">
        <f t="shared" si="456"/>
        <v>0</v>
      </c>
      <c r="DZ80" s="650"/>
      <c r="FI80" s="195"/>
      <c r="FJ80" s="195"/>
      <c r="FK80" s="195"/>
      <c r="FL80" s="195"/>
      <c r="FM80" s="195"/>
      <c r="FN80" s="195"/>
      <c r="FO80" s="195"/>
    </row>
    <row r="81" spans="1:171">
      <c r="A81" s="342" t="s">
        <v>112</v>
      </c>
      <c r="B81" s="427" t="str">
        <f>'Portfolio Inputs'!A80</f>
        <v>LED Linear Replacement Lamp (≤4ft)</v>
      </c>
      <c r="C81" s="217">
        <f>IF($C$1=2014,'Portfolio Inputs'!$C80,IF($C$1=2015,'Portfolio Inputs'!$D80,'Portfolio Inputs'!$E80))</f>
        <v>5120</v>
      </c>
      <c r="D81" s="504">
        <f>VLOOKUP(B81,Sources!$B$4:$J$104,2,FALSE)</f>
        <v>16</v>
      </c>
      <c r="E81" s="504">
        <f>VLOOKUP(B81,Sources!$B$4:$J$104,3,FALSE)</f>
        <v>0</v>
      </c>
      <c r="G81" s="504">
        <f>IF($C$1=2014,'Portfolio Inputs'!$G80,IF($C$1=2015,'Portfolio Inputs'!$H80,'Portfolio Inputs'!$I80))*EnergyLineLoss</f>
        <v>900980.1449999999</v>
      </c>
      <c r="H81" s="504"/>
      <c r="I81" s="595">
        <f>IF($C$1=2014,'Portfolio Inputs'!$K80,IF($C$1=2015,'Portfolio Inputs'!$L80,'Portfolio Inputs'!$M80))*PeakLineLoss</f>
        <v>236.75287499999999</v>
      </c>
      <c r="J81" s="510"/>
      <c r="L81" s="606">
        <f>IF($C$1=2014,'Portfolio Inputs'!$O80,IF($C$1=2015,'Portfolio Inputs'!$P80,'Portfolio Inputs'!$Q80))</f>
        <v>9.5</v>
      </c>
      <c r="M81" s="518">
        <f>VLOOKUP($B81,Sources!$B$4:$K$104,10,FALSE)</f>
        <v>0</v>
      </c>
      <c r="N81" s="419">
        <f>IF($C$1=2014,'Portfolio Inputs'!$W80,IF($C$1=2015,'Portfolio Inputs'!$X80,'Portfolio Inputs'!$Y80))</f>
        <v>128000</v>
      </c>
      <c r="O81" s="419">
        <f>IF($C$1=2014,'Portfolio Inputs'!$AA80,IF($C$1=2015,'Portfolio Inputs'!$AB80,'Portfolio Inputs'!$AC80))</f>
        <v>0</v>
      </c>
      <c r="Q81" s="438">
        <f t="shared" si="442"/>
        <v>8.0841747619047251</v>
      </c>
      <c r="R81" s="439">
        <f t="shared" si="443"/>
        <v>3.0719864095237956</v>
      </c>
      <c r="S81" s="439">
        <f t="shared" si="444"/>
        <v>10.013692565224703</v>
      </c>
      <c r="T81" s="439">
        <f t="shared" si="445"/>
        <v>21.936389596560442</v>
      </c>
      <c r="U81" s="439">
        <f t="shared" si="446"/>
        <v>21.936389596560442</v>
      </c>
      <c r="V81" s="439">
        <f t="shared" si="447"/>
        <v>0.36852804452252702</v>
      </c>
      <c r="W81" s="439">
        <f t="shared" si="448"/>
        <v>0.36852804452252702</v>
      </c>
      <c r="Y81" s="215">
        <f t="shared" si="449"/>
        <v>393214.26041904587</v>
      </c>
      <c r="Z81" s="215">
        <f t="shared" si="450"/>
        <v>93851.745953483711</v>
      </c>
      <c r="AA81" s="215">
        <f t="shared" si="451"/>
        <v>938985.98997669981</v>
      </c>
      <c r="AB81" s="215">
        <f t="shared" si="452"/>
        <v>938985.98997669981</v>
      </c>
      <c r="AC81" s="216">
        <f t="shared" si="453"/>
        <v>0</v>
      </c>
      <c r="AD81" s="216">
        <f t="shared" si="454"/>
        <v>128000</v>
      </c>
      <c r="AE81" s="215">
        <f t="shared" si="455"/>
        <v>48640</v>
      </c>
      <c r="AG81" s="214">
        <f>IF(AND(($E81+$C$1)&gt;AG$4,AG$4&gt;=$C$1),'General Inputs'!D$9*$H81,IF(AND(($D81+$C$1)&gt;AG$4,AG$4&gt;=$C$1),'General Inputs'!D$9*$G81,0))+IF(AND(($E81+$C$1)&gt;AG$4,AG$4&gt;=$C$1),'General Inputs'!D$10*$J81,IF(AND(($D81+$C$1)&gt;AG$4,AG$4&gt;=$C$1),'General Inputs'!D$10*$I81,0))</f>
        <v>39415.211633056337</v>
      </c>
      <c r="AH81" s="214">
        <f>IF(AND(($E81+$C$1)&gt;AH$4,AH$4&gt;=$C$1),'General Inputs'!E$9*$H81,IF(AND(($D81+$C$1)&gt;AH$4,AH$4&gt;=$C$1),'General Inputs'!E$9*$G81,0))+IF(AND(($E81+$C$1)&gt;AH$4,AH$4&gt;=$C$1),'General Inputs'!E$10*$J81,IF(AND(($D81+$C$1)&gt;AH$4,AH$4&gt;=$C$1),'General Inputs'!E$10*$I81,0))</f>
        <v>40006.439807552175</v>
      </c>
      <c r="AI81" s="214">
        <f>IF(AND(($E81+$C$1)&gt;AI$4,AI$4&gt;=$C$1),'General Inputs'!F$9*$H81,IF(AND(($D81+$C$1)&gt;AI$4,AI$4&gt;=$C$1),'General Inputs'!F$9*$G81,0))+IF(AND(($E81+$C$1)&gt;AI$4,AI$4&gt;=$C$1),'General Inputs'!F$10*$J81,IF(AND(($D81+$C$1)&gt;AI$4,AI$4&gt;=$C$1),'General Inputs'!F$10*$I81,0))</f>
        <v>40606.536404665458</v>
      </c>
      <c r="AJ81" s="214">
        <f>IF(AND(($E81+$C$1)&gt;AJ$4,AJ$4&gt;=$C$1),'General Inputs'!G$9*$H81,IF(AND(($D81+$C$1)&gt;AJ$4,AJ$4&gt;=$C$1),'General Inputs'!G$9*$G81,0))+IF(AND(($E81+$C$1)&gt;AJ$4,AJ$4&gt;=$C$1),'General Inputs'!G$10*$J81,IF(AND(($D81+$C$1)&gt;AJ$4,AJ$4&gt;=$C$1),'General Inputs'!G$10*$I81,0))</f>
        <v>41215.63445073543</v>
      </c>
      <c r="AK81" s="214">
        <f>IF(AND(($E81+$C$1)&gt;AK$4,AK$4&gt;=$C$1),'General Inputs'!H$9*$H81,IF(AND(($D81+$C$1)&gt;AK$4,AK$4&gt;=$C$1),'General Inputs'!H$9*$G81,0))+IF(AND(($E81+$C$1)&gt;AK$4,AK$4&gt;=$C$1),'General Inputs'!H$10*$J81,IF(AND(($D81+$C$1)&gt;AK$4,AK$4&gt;=$C$1),'General Inputs'!H$10*$I81,0))</f>
        <v>41833.868967496455</v>
      </c>
      <c r="AL81" s="214">
        <f>IF(AND(($E81+$C$1)&gt;AL$4,AL$4&gt;=$C$1),'General Inputs'!I$9*$H81,IF(AND(($D81+$C$1)&gt;AL$4,AL$4&gt;=$C$1),'General Inputs'!I$9*$G81,0))+IF(AND(($E81+$C$1)&gt;AL$4,AL$4&gt;=$C$1),'General Inputs'!I$10*$J81,IF(AND(($D81+$C$1)&gt;AL$4,AL$4&gt;=$C$1),'General Inputs'!I$10*$I81,0))</f>
        <v>42461.3770020089</v>
      </c>
      <c r="AM81" s="214">
        <f>IF(AND(($E81+$C$1)&gt;AM$4,AM$4&gt;=$C$1),'General Inputs'!J$9*$H81,IF(AND(($D81+$C$1)&gt;AM$4,AM$4&gt;=$C$1),'General Inputs'!J$9*$G81,0))+IF(AND(($E81+$C$1)&gt;AM$4,AM$4&gt;=$C$1),'General Inputs'!J$10*$J81,IF(AND(($D81+$C$1)&gt;AM$4,AM$4&gt;=$C$1),'General Inputs'!J$10*$I81,0))</f>
        <v>43098.297657039024</v>
      </c>
      <c r="AN81" s="214">
        <f>IF(AND(($E81+$C$1)&gt;AN$4,AN$4&gt;=$C$1),'General Inputs'!K$9*$H81,IF(AND(($D81+$C$1)&gt;AN$4,AN$4&gt;=$C$1),'General Inputs'!K$9*$G81,0))+IF(AND(($E81+$C$1)&gt;AN$4,AN$4&gt;=$C$1),'General Inputs'!K$10*$J81,IF(AND(($D81+$C$1)&gt;AN$4,AN$4&gt;=$C$1),'General Inputs'!K$10*$I81,0))</f>
        <v>43744.772121894603</v>
      </c>
      <c r="AO81" s="214">
        <f>IF(AND(($E81+$C$1)&gt;AO$4,AO$4&gt;=$C$1),'General Inputs'!L$9*$H81,IF(AND(($D81+$C$1)&gt;AO$4,AO$4&gt;=$C$1),'General Inputs'!L$9*$G81,0))+IF(AND(($E81+$C$1)&gt;AO$4,AO$4&gt;=$C$1),'General Inputs'!L$10*$J81,IF(AND(($D81+$C$1)&gt;AO$4,AO$4&gt;=$C$1),'General Inputs'!L$10*$I81,0))</f>
        <v>44400.943703723016</v>
      </c>
      <c r="AP81" s="214">
        <f>IF(AND(($E81+$C$1)&gt;AP$4,AP$4&gt;=$C$1),'General Inputs'!M$9*$H81,IF(AND(($D81+$C$1)&gt;AP$4,AP$4&gt;=$C$1),'General Inputs'!M$9*$G81,0))+IF(AND(($E81+$C$1)&gt;AP$4,AP$4&gt;=$C$1),'General Inputs'!M$10*$J81,IF(AND(($D81+$C$1)&gt;AP$4,AP$4&gt;=$C$1),'General Inputs'!M$10*$I81,0))</f>
        <v>45066.957859278853</v>
      </c>
      <c r="AQ81" s="214">
        <f>IF(AND(($E81+$C$1)&gt;AQ$4,AQ$4&gt;=$C$1),'General Inputs'!N$9*$H81,IF(AND(($D81+$C$1)&gt;AQ$4,AQ$4&gt;=$C$1),'General Inputs'!N$9*$G81,0))+IF(AND(($E81+$C$1)&gt;AQ$4,AQ$4&gt;=$C$1),'General Inputs'!N$10*$J81,IF(AND(($D81+$C$1)&gt;AQ$4,AQ$4&gt;=$C$1),'General Inputs'!N$10*$I81,0))</f>
        <v>45742.962227168035</v>
      </c>
      <c r="AR81" s="214">
        <f>IF(AND(($E81+$C$1)&gt;AR$4,AR$4&gt;=$C$1),'General Inputs'!O$9*$H81,IF(AND(($D81+$C$1)&gt;AR$4,AR$4&gt;=$C$1),'General Inputs'!O$9*$G81,0))+IF(AND(($E81+$C$1)&gt;AR$4,AR$4&gt;=$C$1),'General Inputs'!O$10*$J81,IF(AND(($D81+$C$1)&gt;AR$4,AR$4&gt;=$C$1),'General Inputs'!O$10*$I81,0))</f>
        <v>46429.106660575548</v>
      </c>
      <c r="AS81" s="214">
        <f>IF(AND(($E81+$C$1)&gt;AS$4,AS$4&gt;=$C$1),'General Inputs'!P$9*$H81,IF(AND(($D81+$C$1)&gt;AS$4,AS$4&gt;=$C$1),'General Inputs'!P$9*$G81,0))+IF(AND(($E81+$C$1)&gt;AS$4,AS$4&gt;=$C$1),'General Inputs'!P$10*$J81,IF(AND(($D81+$C$1)&gt;AS$4,AS$4&gt;=$C$1),'General Inputs'!P$10*$I81,0))</f>
        <v>47125.543260484177</v>
      </c>
      <c r="AT81" s="214">
        <f>IF(AND(($E81+$C$1)&gt;AT$4,AT$4&gt;=$C$1),'General Inputs'!Q$9*$H81,IF(AND(($D81+$C$1)&gt;AT$4,AT$4&gt;=$C$1),'General Inputs'!Q$9*$G81,0))+IF(AND(($E81+$C$1)&gt;AT$4,AT$4&gt;=$C$1),'General Inputs'!Q$10*$J81,IF(AND(($D81+$C$1)&gt;AT$4,AT$4&gt;=$C$1),'General Inputs'!Q$10*$I81,0))</f>
        <v>47832.426409391439</v>
      </c>
      <c r="AU81" s="214">
        <f>IF(AND(($E81+$C$1)&gt;AU$4,AU$4&gt;=$C$1),'General Inputs'!R$9*$H81,IF(AND(($D81+$C$1)&gt;AU$4,AU$4&gt;=$C$1),'General Inputs'!R$9*$G81,0))+IF(AND(($E81+$C$1)&gt;AU$4,AU$4&gt;=$C$1),'General Inputs'!R$10*$J81,IF(AND(($D81+$C$1)&gt;AU$4,AU$4&gt;=$C$1),'General Inputs'!R$10*$I81,0))</f>
        <v>48549.912805532309</v>
      </c>
      <c r="AV81" s="214">
        <f>IF(AND(($E81+$C$1)&gt;AV$4,AV$4&gt;=$C$1),'General Inputs'!S$9*$H81,IF(AND(($D81+$C$1)&gt;AV$4,AV$4&gt;=$C$1),'General Inputs'!S$9*$G81,0))+IF(AND(($E81+$C$1)&gt;AV$4,AV$4&gt;=$C$1),'General Inputs'!S$10*$J81,IF(AND(($D81+$C$1)&gt;AV$4,AV$4&gt;=$C$1),'General Inputs'!S$10*$I81,0))</f>
        <v>49278.161497615292</v>
      </c>
      <c r="AW81" s="214">
        <f>IF(AND(($E81+$C$1)&gt;AW$4,AW$4&gt;=$C$1),'General Inputs'!T$9*$H81,IF(AND(($D81+$C$1)&gt;AW$4,AW$4&gt;=$C$1),'General Inputs'!T$9*$G81,0))+IF(AND(($E81+$C$1)&gt;AW$4,AW$4&gt;=$C$1),'General Inputs'!T$10*$J81,IF(AND(($D81+$C$1)&gt;AW$4,AW$4&gt;=$C$1),'General Inputs'!T$10*$I81,0))</f>
        <v>0</v>
      </c>
      <c r="AX81" s="214">
        <f>IF(AND(($E81+$C$1)&gt;AX$4,AX$4&gt;=$C$1),'General Inputs'!U$9*$H81,IF(AND(($D81+$C$1)&gt;AX$4,AX$4&gt;=$C$1),'General Inputs'!U$9*$G81,0))+IF(AND(($E81+$C$1)&gt;AX$4,AX$4&gt;=$C$1),'General Inputs'!U$10*$J81,IF(AND(($D81+$C$1)&gt;AX$4,AX$4&gt;=$C$1),'General Inputs'!U$10*$I81,0))</f>
        <v>0</v>
      </c>
      <c r="AY81" s="214">
        <f>IF(AND(($E81+$C$1)&gt;AY$4,AY$4&gt;=$C$1),'General Inputs'!V$9*$H81,IF(AND(($D81+$C$1)&gt;AY$4,AY$4&gt;=$C$1),'General Inputs'!V$9*$G81,0))+IF(AND(($E81+$C$1)&gt;AY$4,AY$4&gt;=$C$1),'General Inputs'!V$10*$J81,IF(AND(($D81+$C$1)&gt;AY$4,AY$4&gt;=$C$1),'General Inputs'!V$10*$I81,0))</f>
        <v>0</v>
      </c>
      <c r="AZ81" s="214">
        <f>IF(AND(($E81+$C$1)&gt;AZ$4,AZ$4&gt;=$C$1),'General Inputs'!W$9*$H81,IF(AND(($D81+$C$1)&gt;AZ$4,AZ$4&gt;=$C$1),'General Inputs'!W$9*$G81,0))+IF(AND(($E81+$C$1)&gt;AZ$4,AZ$4&gt;=$C$1),'General Inputs'!W$10*$J81,IF(AND(($D81+$C$1)&gt;AZ$4,AZ$4&gt;=$C$1),'General Inputs'!W$10*$I81,0))</f>
        <v>0</v>
      </c>
      <c r="BB81" s="214">
        <f>IF(AND(($E81+$C$1)&gt;BB$4,BB$4&gt;=$C$1),'General Inputs'!D$11*$H81,IF(AND(($D81+$C$1)&gt;BB$4,BB$4&gt;=$C$1),'General Inputs'!D$11*$G81,0))</f>
        <v>10271.173653</v>
      </c>
      <c r="BC81" s="214">
        <f>IF(AND(($E81+$C$1)&gt;BC$4,BC$4&gt;=$C$1),'General Inputs'!E$11*$H81,IF(AND(($D81+$C$1)&gt;BC$4,BC$4&gt;=$C$1),'General Inputs'!E$11*$G81,0))</f>
        <v>10271.173653</v>
      </c>
      <c r="BD81" s="214">
        <f>IF(AND(($E81+$C$1)&gt;BD$4,BD$4&gt;=$C$1),'General Inputs'!F$11*$H81,IF(AND(($D81+$C$1)&gt;BD$4,BD$4&gt;=$C$1),'General Inputs'!F$11*$G81,0))</f>
        <v>10271.173653</v>
      </c>
      <c r="BE81" s="214">
        <f>IF(AND(($E81+$C$1)&gt;BE$4,BE$4&gt;=$C$1),'General Inputs'!G$11*$H81,IF(AND(($D81+$C$1)&gt;BE$4,BE$4&gt;=$C$1),'General Inputs'!G$11*$G81,0))</f>
        <v>10271.173653</v>
      </c>
      <c r="BF81" s="214">
        <f>IF(AND(($E81+$C$1)&gt;BF$4,BF$4&gt;=$C$1),'General Inputs'!H$11*$H81,IF(AND(($D81+$C$1)&gt;BF$4,BF$4&gt;=$C$1),'General Inputs'!H$11*$G81,0))</f>
        <v>10271.173653</v>
      </c>
      <c r="BG81" s="214">
        <f>IF(AND(($E81+$C$1)&gt;BG$4,BG$4&gt;=$C$1),'General Inputs'!I$11*$H81,IF(AND(($D81+$C$1)&gt;BG$4,BG$4&gt;=$C$1),'General Inputs'!I$11*$G81,0))</f>
        <v>10271.173653</v>
      </c>
      <c r="BH81" s="214">
        <f>IF(AND(($E81+$C$1)&gt;BH$4,BH$4&gt;=$C$1),'General Inputs'!J$11*$H81,IF(AND(($D81+$C$1)&gt;BH$4,BH$4&gt;=$C$1),'General Inputs'!J$11*$G81,0))</f>
        <v>10271.173653</v>
      </c>
      <c r="BI81" s="214">
        <f>IF(AND(($E81+$C$1)&gt;BI$4,BI$4&gt;=$C$1),'General Inputs'!K$11*$H81,IF(AND(($D81+$C$1)&gt;BI$4,BI$4&gt;=$C$1),'General Inputs'!K$11*$G81,0))</f>
        <v>10271.173653</v>
      </c>
      <c r="BJ81" s="214">
        <f>IF(AND(($E81+$C$1)&gt;BJ$4,BJ$4&gt;=$C$1),'General Inputs'!L$11*$H81,IF(AND(($D81+$C$1)&gt;BJ$4,BJ$4&gt;=$C$1),'General Inputs'!L$11*$G81,0))</f>
        <v>10271.173653</v>
      </c>
      <c r="BK81" s="214">
        <f>IF(AND(($E81+$C$1)&gt;BK$4,BK$4&gt;=$C$1),'General Inputs'!M$11*$H81,IF(AND(($D81+$C$1)&gt;BK$4,BK$4&gt;=$C$1),'General Inputs'!M$11*$G81,0))</f>
        <v>10271.173653</v>
      </c>
      <c r="BL81" s="214">
        <f>IF(AND(($E81+$C$1)&gt;BL$4,BL$4&gt;=$C$1),'General Inputs'!N$11*$H81,IF(AND(($D81+$C$1)&gt;BL$4,BL$4&gt;=$C$1),'General Inputs'!N$11*$G81,0))</f>
        <v>10271.173653</v>
      </c>
      <c r="BM81" s="214">
        <f>IF(AND(($E81+$C$1)&gt;BM$4,BM$4&gt;=$C$1),'General Inputs'!O$11*$H81,IF(AND(($D81+$C$1)&gt;BM$4,BM$4&gt;=$C$1),'General Inputs'!O$11*$G81,0))</f>
        <v>10271.173653</v>
      </c>
      <c r="BN81" s="214">
        <f>IF(AND(($E81+$C$1)&gt;BN$4,BN$4&gt;=$C$1),'General Inputs'!P$11*$H81,IF(AND(($D81+$C$1)&gt;BN$4,BN$4&gt;=$C$1),'General Inputs'!P$11*$G81,0))</f>
        <v>10271.173653</v>
      </c>
      <c r="BO81" s="214">
        <f>IF(AND(($E81+$C$1)&gt;BO$4,BO$4&gt;=$C$1),'General Inputs'!Q$11*$H81,IF(AND(($D81+$C$1)&gt;BO$4,BO$4&gt;=$C$1),'General Inputs'!Q$11*$G81,0))</f>
        <v>10271.173653</v>
      </c>
      <c r="BP81" s="214">
        <f>IF(AND(($E81+$C$1)&gt;BP$4,BP$4&gt;=$C$1),'General Inputs'!R$11*$H81,IF(AND(($D81+$C$1)&gt;BP$4,BP$4&gt;=$C$1),'General Inputs'!R$11*$G81,0))</f>
        <v>10271.173653</v>
      </c>
      <c r="BQ81" s="214">
        <f>IF(AND(($E81+$C$1)&gt;BQ$4,BQ$4&gt;=$C$1),'General Inputs'!S$11*$H81,IF(AND(($D81+$C$1)&gt;BQ$4,BQ$4&gt;=$C$1),'General Inputs'!S$11*$G81,0))</f>
        <v>10271.173653</v>
      </c>
      <c r="BR81" s="214">
        <f>IF(AND(($E81+$C$1)&gt;BR$4,BR$4&gt;=$C$1),'General Inputs'!T$11*$H81,IF(AND(($D81+$C$1)&gt;BR$4,BR$4&gt;=$C$1),'General Inputs'!T$11*$G81,0))</f>
        <v>0</v>
      </c>
      <c r="BS81" s="214">
        <f>IF(AND(($E81+$C$1)&gt;BS$4,BS$4&gt;=$C$1),'General Inputs'!U$11*$H81,IF(AND(($D81+$C$1)&gt;BS$4,BS$4&gt;=$C$1),'General Inputs'!U$11*$G81,0))</f>
        <v>0</v>
      </c>
      <c r="BT81" s="214">
        <f>IF(AND(($E81+$C$1)&gt;BT$4,BT$4&gt;=$C$1),'General Inputs'!V$11*$H81,IF(AND(($D81+$C$1)&gt;BT$4,BT$4&gt;=$C$1),'General Inputs'!V$11*$G81,0))</f>
        <v>0</v>
      </c>
      <c r="BU81" s="214">
        <f>IF(AND(($E81+$C$1)&gt;BU$4,BU$4&gt;=$C$1),'General Inputs'!W$11*$H81,IF(AND(($D81+$C$1)&gt;BU$4,BU$4&gt;=$C$1),'General Inputs'!W$11*$G81,0))</f>
        <v>0</v>
      </c>
      <c r="BW81" s="214">
        <f>IF(AND(($E81+$C$1)&gt;BW$4,BW$4&gt;=$C$1),$H81,IF(AND(($D81+$C$1)&gt;BW$4,BW$4&gt;=$C$1),$G81,0))*IF($A81="Residential",'General Inputs'!D$14,'General Inputs'!D$19)</f>
        <v>94122.556684401192</v>
      </c>
      <c r="BX81" s="214">
        <f>IF(AND(($E81+$C$1)&gt;BX$4,BX$4&gt;=$C$1),$H81,IF(AND(($D81+$C$1)&gt;BX$4,BX$4&gt;=$C$1),$G81,0))*IF($A81="Residential",'General Inputs'!E$14,'General Inputs'!E$19)</f>
        <v>95534.395034667206</v>
      </c>
      <c r="BY81" s="214">
        <f>IF(AND(($E81+$C$1)&gt;BY$4,BY$4&gt;=$C$1),$H81,IF(AND(($D81+$C$1)&gt;BY$4,BY$4&gt;=$C$1),$G81,0))*IF($A81="Residential",'General Inputs'!F$14,'General Inputs'!F$19)</f>
        <v>96967.410960187219</v>
      </c>
      <c r="BZ81" s="214">
        <f>IF(AND(($E81+$C$1)&gt;BZ$4,BZ$4&gt;=$C$1),$H81,IF(AND(($D81+$C$1)&gt;BZ$4,BZ$4&gt;=$C$1),$G81,0))*IF($A81="Residential",'General Inputs'!G$14,'General Inputs'!G$19)</f>
        <v>98421.922124590012</v>
      </c>
      <c r="CA81" s="214">
        <f>IF(AND(($E81+$C$1)&gt;CA$4,CA$4&gt;=$C$1),$H81,IF(AND(($D81+$C$1)&gt;CA$4,CA$4&gt;=$C$1),$G81,0))*IF($A81="Residential",'General Inputs'!H$14,'General Inputs'!H$19)</f>
        <v>99898.25095645884</v>
      </c>
      <c r="CB81" s="214">
        <f>IF(AND(($E81+$C$1)&gt;CB$4,CB$4&gt;=$C$1),$H81,IF(AND(($D81+$C$1)&gt;CB$4,CB$4&gt;=$C$1),$G81,0))*IF($A81="Residential",'General Inputs'!I$14,'General Inputs'!I$19)</f>
        <v>101396.72472080571</v>
      </c>
      <c r="CC81" s="214">
        <f>IF(AND(($E81+$C$1)&gt;CC$4,CC$4&gt;=$C$1),$H81,IF(AND(($D81+$C$1)&gt;CC$4,CC$4&gt;=$C$1),$G81,0))*IF($A81="Residential",'General Inputs'!J$14,'General Inputs'!J$19)</f>
        <v>102917.67559161779</v>
      </c>
      <c r="CD81" s="214">
        <f>IF(AND(($E81+$C$1)&gt;CD$4,CD$4&gt;=$C$1),$H81,IF(AND(($D81+$C$1)&gt;CD$4,CD$4&gt;=$C$1),$G81,0))*IF($A81="Residential",'General Inputs'!K$14,'General Inputs'!K$19)</f>
        <v>104461.44072549205</v>
      </c>
      <c r="CE81" s="214">
        <f>IF(AND(($E81+$C$1)&gt;CE$4,CE$4&gt;=$C$1),$H81,IF(AND(($D81+$C$1)&gt;CE$4,CE$4&gt;=$C$1),$G81,0))*IF($A81="Residential",'General Inputs'!L$14,'General Inputs'!L$19)</f>
        <v>106028.36233637441</v>
      </c>
      <c r="CF81" s="214">
        <f>IF(AND(($E81+$C$1)&gt;CF$4,CF$4&gt;=$C$1),$H81,IF(AND(($D81+$C$1)&gt;CF$4,CF$4&gt;=$C$1),$G81,0))*IF($A81="Residential",'General Inputs'!M$14,'General Inputs'!M$19)</f>
        <v>107618.78777142001</v>
      </c>
      <c r="CG81" s="214">
        <f>IF(AND(($E81+$C$1)&gt;CG$4,CG$4&gt;=$C$1),$H81,IF(AND(($D81+$C$1)&gt;CG$4,CG$4&gt;=$C$1),$G81,0))*IF($A81="Residential",'General Inputs'!N$14,'General Inputs'!N$19)</f>
        <v>109233.06958799133</v>
      </c>
      <c r="CH81" s="214">
        <f>IF(AND(($E81+$C$1)&gt;CH$4,CH$4&gt;=$C$1),$H81,IF(AND(($D81+$C$1)&gt;CH$4,CH$4&gt;=$C$1),$G81,0))*IF($A81="Residential",'General Inputs'!O$14,'General Inputs'!O$19)</f>
        <v>110871.56563181117</v>
      </c>
      <c r="CI81" s="214">
        <f>IF(AND(($E81+$C$1)&gt;CI$4,CI$4&gt;=$C$1),$H81,IF(AND(($D81+$C$1)&gt;CI$4,CI$4&gt;=$C$1),$G81,0))*IF($A81="Residential",'General Inputs'!P$14,'General Inputs'!P$19)</f>
        <v>112534.63911628834</v>
      </c>
      <c r="CJ81" s="214">
        <f>IF(AND(($E81+$C$1)&gt;CJ$4,CJ$4&gt;=$C$1),$H81,IF(AND(($D81+$C$1)&gt;CJ$4,CJ$4&gt;=$C$1),$G81,0))*IF($A81="Residential",'General Inputs'!Q$14,'General Inputs'!Q$19)</f>
        <v>114222.65870303265</v>
      </c>
      <c r="CK81" s="214">
        <f>IF(AND(($E81+$C$1)&gt;CK$4,CK$4&gt;=$C$1),$H81,IF(AND(($D81+$C$1)&gt;CK$4,CK$4&gt;=$C$1),$G81,0))*IF($A81="Residential",'General Inputs'!R$14,'General Inputs'!R$19)</f>
        <v>115935.99858357811</v>
      </c>
      <c r="CL81" s="214">
        <f>IF(AND(($E81+$C$1)&gt;CL$4,CL$4&gt;=$C$1),$H81,IF(AND(($D81+$C$1)&gt;CL$4,CL$4&gt;=$C$1),$G81,0))*IF($A81="Residential",'General Inputs'!S$14,'General Inputs'!S$19)</f>
        <v>117675.03856233179</v>
      </c>
      <c r="CM81" s="214">
        <f>IF(AND(($E81+$C$1)&gt;CM$4,CM$4&gt;=$C$1),$H81,IF(AND(($D81+$C$1)&gt;CM$4,CM$4&gt;=$C$1),$G81,0))*IF($A81="Residential",'General Inputs'!T$14,'General Inputs'!T$19)</f>
        <v>0</v>
      </c>
      <c r="CN81" s="214">
        <f>IF(AND(($E81+$C$1)&gt;CN$4,CN$4&gt;=$C$1),$H81,IF(AND(($D81+$C$1)&gt;CN$4,CN$4&gt;=$C$1),$G81,0))*IF($A81="Residential",'General Inputs'!U$14,'General Inputs'!U$19)</f>
        <v>0</v>
      </c>
      <c r="CO81" s="214">
        <f>IF(AND(($E81+$C$1)&gt;CO$4,CO$4&gt;=$C$1),$H81,IF(AND(($D81+$C$1)&gt;CO$4,CO$4&gt;=$C$1),$G81,0))*IF($A81="Residential",'General Inputs'!V$14,'General Inputs'!V$19)</f>
        <v>0</v>
      </c>
      <c r="CP81" s="214">
        <f>IF(AND(($E81+$C$1)&gt;CP$4,CP$4&gt;=$C$1),$H81,IF(AND(($D81+$C$1)&gt;CP$4,CP$4&gt;=$C$1),$G81,0))*IF($A81="Residential",'General Inputs'!W$14,'General Inputs'!W$19)</f>
        <v>0</v>
      </c>
      <c r="CR81" s="214">
        <f>IF(AND(($E81+$C$1)&gt;CR$4,CR$4&gt;=$C$1),$H81,IF(AND(($D81+$C$1)&gt;CR$4,CR$4&gt;=$C$1),$G81,0))*IF($A81="Residential",'General Inputs'!D$15,'General Inputs'!D$19)</f>
        <v>94122.556684401192</v>
      </c>
      <c r="CS81" s="214">
        <f>IF(AND(($E81+$C$1)&gt;CS$4,CS$4&gt;=$C$1),$H81,IF(AND(($D81+$C$1)&gt;CS$4,CS$4&gt;=$C$1),$G81,0))*IF($A81="Residential",'General Inputs'!E$15,'General Inputs'!E$19)</f>
        <v>95534.395034667206</v>
      </c>
      <c r="CT81" s="214">
        <f>IF(AND(($E81+$C$1)&gt;CT$4,CT$4&gt;=$C$1),$H81,IF(AND(($D81+$C$1)&gt;CT$4,CT$4&gt;=$C$1),$G81,0))*IF($A81="Residential",'General Inputs'!F$15,'General Inputs'!F$19)</f>
        <v>96967.410960187219</v>
      </c>
      <c r="CU81" s="214">
        <f>IF(AND(($E81+$C$1)&gt;CU$4,CU$4&gt;=$C$1),$H81,IF(AND(($D81+$C$1)&gt;CU$4,CU$4&gt;=$C$1),$G81,0))*IF($A81="Residential",'General Inputs'!G$15,'General Inputs'!G$19)</f>
        <v>98421.922124590012</v>
      </c>
      <c r="CV81" s="214">
        <f>IF(AND(($E81+$C$1)&gt;CV$4,CV$4&gt;=$C$1),$H81,IF(AND(($D81+$C$1)&gt;CV$4,CV$4&gt;=$C$1),$G81,0))*IF($A81="Residential",'General Inputs'!H$15,'General Inputs'!H$19)</f>
        <v>99898.25095645884</v>
      </c>
      <c r="CW81" s="214">
        <f>IF(AND(($E81+$C$1)&gt;CW$4,CW$4&gt;=$C$1),$H81,IF(AND(($D81+$C$1)&gt;CW$4,CW$4&gt;=$C$1),$G81,0))*IF($A81="Residential",'General Inputs'!I$15,'General Inputs'!I$19)</f>
        <v>101396.72472080571</v>
      </c>
      <c r="CX81" s="214">
        <f>IF(AND(($E81+$C$1)&gt;CX$4,CX$4&gt;=$C$1),$H81,IF(AND(($D81+$C$1)&gt;CX$4,CX$4&gt;=$C$1),$G81,0))*IF($A81="Residential",'General Inputs'!J$15,'General Inputs'!J$19)</f>
        <v>102917.67559161779</v>
      </c>
      <c r="CY81" s="214">
        <f>IF(AND(($E81+$C$1)&gt;CY$4,CY$4&gt;=$C$1),$H81,IF(AND(($D81+$C$1)&gt;CY$4,CY$4&gt;=$C$1),$G81,0))*IF($A81="Residential",'General Inputs'!K$15,'General Inputs'!K$19)</f>
        <v>104461.44072549205</v>
      </c>
      <c r="CZ81" s="214">
        <f>IF(AND(($E81+$C$1)&gt;CZ$4,CZ$4&gt;=$C$1),$H81,IF(AND(($D81+$C$1)&gt;CZ$4,CZ$4&gt;=$C$1),$G81,0))*IF($A81="Residential",'General Inputs'!L$15,'General Inputs'!L$19)</f>
        <v>106028.36233637441</v>
      </c>
      <c r="DA81" s="214">
        <f>IF(AND(($E81+$C$1)&gt;DA$4,DA$4&gt;=$C$1),$H81,IF(AND(($D81+$C$1)&gt;DA$4,DA$4&gt;=$C$1),$G81,0))*IF($A81="Residential",'General Inputs'!M$15,'General Inputs'!M$19)</f>
        <v>107618.78777142001</v>
      </c>
      <c r="DB81" s="214">
        <f>IF(AND(($E81+$C$1)&gt;DB$4,DB$4&gt;=$C$1),$H81,IF(AND(($D81+$C$1)&gt;DB$4,DB$4&gt;=$C$1),$G81,0))*IF($A81="Residential",'General Inputs'!N$15,'General Inputs'!N$19)</f>
        <v>109233.06958799133</v>
      </c>
      <c r="DC81" s="214">
        <f>IF(AND(($E81+$C$1)&gt;DC$4,DC$4&gt;=$C$1),$H81,IF(AND(($D81+$C$1)&gt;DC$4,DC$4&gt;=$C$1),$G81,0))*IF($A81="Residential",'General Inputs'!O$15,'General Inputs'!O$19)</f>
        <v>110871.56563181117</v>
      </c>
      <c r="DD81" s="214">
        <f>IF(AND(($E81+$C$1)&gt;DD$4,DD$4&gt;=$C$1),$H81,IF(AND(($D81+$C$1)&gt;DD$4,DD$4&gt;=$C$1),$G81,0))*IF($A81="Residential",'General Inputs'!P$15,'General Inputs'!P$19)</f>
        <v>112534.63911628834</v>
      </c>
      <c r="DE81" s="214">
        <f>IF(AND(($E81+$C$1)&gt;DE$4,DE$4&gt;=$C$1),$H81,IF(AND(($D81+$C$1)&gt;DE$4,DE$4&gt;=$C$1),$G81,0))*IF($A81="Residential",'General Inputs'!Q$15,'General Inputs'!Q$19)</f>
        <v>114222.65870303265</v>
      </c>
      <c r="DF81" s="214">
        <f>IF(AND(($E81+$C$1)&gt;DF$4,DF$4&gt;=$C$1),$H81,IF(AND(($D81+$C$1)&gt;DF$4,DF$4&gt;=$C$1),$G81,0))*IF($A81="Residential",'General Inputs'!R$15,'General Inputs'!R$19)</f>
        <v>115935.99858357811</v>
      </c>
      <c r="DG81" s="214">
        <f>IF(AND(($E81+$C$1)&gt;DG$4,DG$4&gt;=$C$1),$H81,IF(AND(($D81+$C$1)&gt;DG$4,DG$4&gt;=$C$1),$G81,0))*IF($A81="Residential",'General Inputs'!S$15,'General Inputs'!S$19)</f>
        <v>117675.03856233179</v>
      </c>
      <c r="DH81" s="214">
        <f>IF(AND(($E81+$C$1)&gt;DH$4,DH$4&gt;=$C$1),$H81,IF(AND(($D81+$C$1)&gt;DH$4,DH$4&gt;=$C$1),$G81,0))*IF($A81="Residential",'General Inputs'!T$15,'General Inputs'!T$19)</f>
        <v>0</v>
      </c>
      <c r="DI81" s="214">
        <f>IF(AND(($E81+$C$1)&gt;DI$4,DI$4&gt;=$C$1),$H81,IF(AND(($D81+$C$1)&gt;DI$4,DI$4&gt;=$C$1),$G81,0))*IF($A81="Residential",'General Inputs'!U$15,'General Inputs'!U$19)</f>
        <v>0</v>
      </c>
      <c r="DJ81" s="214">
        <f>IF(AND(($E81+$C$1)&gt;DJ$4,DJ$4&gt;=$C$1),$H81,IF(AND(($D81+$C$1)&gt;DJ$4,DJ$4&gt;=$C$1),$G81,0))*IF($A81="Residential",'General Inputs'!V$15,'General Inputs'!V$19)</f>
        <v>0</v>
      </c>
      <c r="DK81" s="214">
        <f>IF(AND(($E81+$C$1)&gt;DK$4,DK$4&gt;=$C$1),$H81,IF(AND(($D81+$C$1)&gt;DK$4,DK$4&gt;=$C$1),$G81,0))*IF($A81="Residential",'General Inputs'!W$15,'General Inputs'!W$19)</f>
        <v>0</v>
      </c>
      <c r="DM81" s="214">
        <f t="shared" si="456"/>
        <v>48640</v>
      </c>
      <c r="DN81" s="214">
        <f t="shared" si="456"/>
        <v>0</v>
      </c>
      <c r="DO81" s="214">
        <f t="shared" si="456"/>
        <v>0</v>
      </c>
      <c r="DP81" s="214">
        <f t="shared" si="456"/>
        <v>0</v>
      </c>
      <c r="DQ81" s="214">
        <f t="shared" si="456"/>
        <v>0</v>
      </c>
      <c r="DR81" s="214">
        <f t="shared" si="456"/>
        <v>0</v>
      </c>
      <c r="DS81" s="214">
        <f t="shared" si="456"/>
        <v>0</v>
      </c>
      <c r="DT81" s="214">
        <f t="shared" si="456"/>
        <v>0</v>
      </c>
      <c r="DU81" s="214">
        <f t="shared" si="456"/>
        <v>0</v>
      </c>
      <c r="DV81" s="214">
        <f t="shared" si="456"/>
        <v>0</v>
      </c>
      <c r="DW81" s="214">
        <f t="shared" si="456"/>
        <v>0</v>
      </c>
      <c r="DZ81" s="650"/>
      <c r="FI81" s="195"/>
      <c r="FJ81" s="195"/>
      <c r="FK81" s="195"/>
      <c r="FL81" s="195"/>
      <c r="FM81" s="195"/>
      <c r="FN81" s="195"/>
      <c r="FO81" s="195"/>
    </row>
    <row r="82" spans="1:171">
      <c r="A82" s="342" t="s">
        <v>112</v>
      </c>
      <c r="B82" s="427" t="str">
        <f>'Portfolio Inputs'!A81</f>
        <v>LED Linear Replacement Lamp (5-8ft)</v>
      </c>
      <c r="C82" s="217">
        <f>IF($C$1=2014,'Portfolio Inputs'!$C81,IF($C$1=2015,'Portfolio Inputs'!$D81,'Portfolio Inputs'!$E81))</f>
        <v>428</v>
      </c>
      <c r="D82" s="504">
        <f>VLOOKUP(B82,Sources!$B$4:$J$104,2,FALSE)</f>
        <v>16</v>
      </c>
      <c r="E82" s="504">
        <f>VLOOKUP(B82,Sources!$B$4:$J$104,3,FALSE)</f>
        <v>0</v>
      </c>
      <c r="G82" s="504">
        <f>IF($C$1=2014,'Portfolio Inputs'!$G81,IF($C$1=2015,'Portfolio Inputs'!$H81,'Portfolio Inputs'!$I81))*EnergyLineLoss</f>
        <v>136756.60102500001</v>
      </c>
      <c r="H82" s="504"/>
      <c r="I82" s="595">
        <f>IF($C$1=2014,'Portfolio Inputs'!$K81,IF($C$1=2015,'Portfolio Inputs'!$L81,'Portfolio Inputs'!$M81))*PeakLineLoss</f>
        <v>21.14659404</v>
      </c>
      <c r="J82" s="510"/>
      <c r="L82" s="606">
        <f>IF($C$1=2014,'Portfolio Inputs'!$O81,IF($C$1=2015,'Portfolio Inputs'!$P81,'Portfolio Inputs'!$Q81))</f>
        <v>9.5</v>
      </c>
      <c r="M82" s="518">
        <f>VLOOKUP($B82,Sources!$B$4:$K$104,10,FALSE)</f>
        <v>0</v>
      </c>
      <c r="N82" s="419">
        <f>IF($C$1=2014,'Portfolio Inputs'!$W81,IF($C$1=2015,'Portfolio Inputs'!$X81,'Portfolio Inputs'!$Y81))</f>
        <v>14980</v>
      </c>
      <c r="O82" s="419">
        <f>IF($C$1=2014,'Portfolio Inputs'!$AA81,IF($C$1=2015,'Portfolio Inputs'!$AB81,'Portfolio Inputs'!$AC81))</f>
        <v>0</v>
      </c>
      <c r="Q82" s="438">
        <f t="shared" si="442"/>
        <v>14.135593120074926</v>
      </c>
      <c r="R82" s="439">
        <f t="shared" si="443"/>
        <v>3.8368038468774799</v>
      </c>
      <c r="S82" s="439">
        <f t="shared" si="444"/>
        <v>17.639141022468159</v>
      </c>
      <c r="T82" s="439">
        <f t="shared" si="445"/>
        <v>38.737180102289706</v>
      </c>
      <c r="U82" s="439">
        <f t="shared" si="446"/>
        <v>38.737180102289706</v>
      </c>
      <c r="V82" s="439">
        <f t="shared" si="447"/>
        <v>0.3649102253377341</v>
      </c>
      <c r="W82" s="439">
        <f t="shared" si="448"/>
        <v>0.3649102253377341</v>
      </c>
      <c r="Y82" s="215">
        <f t="shared" si="449"/>
        <v>57475.32162622465</v>
      </c>
      <c r="Z82" s="215">
        <f t="shared" si="450"/>
        <v>14245.425771130875</v>
      </c>
      <c r="AA82" s="215">
        <f t="shared" si="451"/>
        <v>142525.37429590995</v>
      </c>
      <c r="AB82" s="215">
        <f t="shared" si="452"/>
        <v>142525.37429590995</v>
      </c>
      <c r="AC82" s="216">
        <f t="shared" si="453"/>
        <v>0</v>
      </c>
      <c r="AD82" s="216">
        <f t="shared" si="454"/>
        <v>14980</v>
      </c>
      <c r="AE82" s="215">
        <f t="shared" si="455"/>
        <v>4066</v>
      </c>
      <c r="AG82" s="214">
        <f>IF(AND(($E82+$C$1)&gt;AG$4,AG$4&gt;=$C$1),'General Inputs'!D$9*$H82,IF(AND(($D82+$C$1)&gt;AG$4,AG$4&gt;=$C$1),'General Inputs'!D$9*$G82,0))+IF(AND(($E82+$C$1)&gt;AG$4,AG$4&gt;=$C$1),'General Inputs'!D$10*$J82,IF(AND(($D82+$C$1)&gt;AG$4,AG$4&gt;=$C$1),'General Inputs'!D$10*$I82,0))</f>
        <v>5761.2406100465441</v>
      </c>
      <c r="AH82" s="214">
        <f>IF(AND(($E82+$C$1)&gt;AH$4,AH$4&gt;=$C$1),'General Inputs'!E$9*$H82,IF(AND(($D82+$C$1)&gt;AH$4,AH$4&gt;=$C$1),'General Inputs'!E$9*$G82,0))+IF(AND(($E82+$C$1)&gt;AH$4,AH$4&gt;=$C$1),'General Inputs'!E$10*$J82,IF(AND(($D82+$C$1)&gt;AH$4,AH$4&gt;=$C$1),'General Inputs'!E$10*$I82,0))</f>
        <v>5847.6592191972422</v>
      </c>
      <c r="AI82" s="214">
        <f>IF(AND(($E82+$C$1)&gt;AI$4,AI$4&gt;=$C$1),'General Inputs'!F$9*$H82,IF(AND(($D82+$C$1)&gt;AI$4,AI$4&gt;=$C$1),'General Inputs'!F$9*$G82,0))+IF(AND(($E82+$C$1)&gt;AI$4,AI$4&gt;=$C$1),'General Inputs'!F$10*$J82,IF(AND(($D82+$C$1)&gt;AI$4,AI$4&gt;=$C$1),'General Inputs'!F$10*$I82,0))</f>
        <v>5935.3741074851987</v>
      </c>
      <c r="AJ82" s="214">
        <f>IF(AND(($E82+$C$1)&gt;AJ$4,AJ$4&gt;=$C$1),'General Inputs'!G$9*$H82,IF(AND(($D82+$C$1)&gt;AJ$4,AJ$4&gt;=$C$1),'General Inputs'!G$9*$G82,0))+IF(AND(($E82+$C$1)&gt;AJ$4,AJ$4&gt;=$C$1),'General Inputs'!G$10*$J82,IF(AND(($D82+$C$1)&gt;AJ$4,AJ$4&gt;=$C$1),'General Inputs'!G$10*$I82,0))</f>
        <v>6024.404719097477</v>
      </c>
      <c r="AK82" s="214">
        <f>IF(AND(($E82+$C$1)&gt;AK$4,AK$4&gt;=$C$1),'General Inputs'!H$9*$H82,IF(AND(($D82+$C$1)&gt;AK$4,AK$4&gt;=$C$1),'General Inputs'!H$9*$G82,0))+IF(AND(($E82+$C$1)&gt;AK$4,AK$4&gt;=$C$1),'General Inputs'!H$10*$J82,IF(AND(($D82+$C$1)&gt;AK$4,AK$4&gt;=$C$1),'General Inputs'!H$10*$I82,0))</f>
        <v>6114.7707898839381</v>
      </c>
      <c r="AL82" s="214">
        <f>IF(AND(($E82+$C$1)&gt;AL$4,AL$4&gt;=$C$1),'General Inputs'!I$9*$H82,IF(AND(($D82+$C$1)&gt;AL$4,AL$4&gt;=$C$1),'General Inputs'!I$9*$G82,0))+IF(AND(($E82+$C$1)&gt;AL$4,AL$4&gt;=$C$1),'General Inputs'!I$10*$J82,IF(AND(($D82+$C$1)&gt;AL$4,AL$4&gt;=$C$1),'General Inputs'!I$10*$I82,0))</f>
        <v>6206.4923517321968</v>
      </c>
      <c r="AM82" s="214">
        <f>IF(AND(($E82+$C$1)&gt;AM$4,AM$4&gt;=$C$1),'General Inputs'!J$9*$H82,IF(AND(($D82+$C$1)&gt;AM$4,AM$4&gt;=$C$1),'General Inputs'!J$9*$G82,0))+IF(AND(($E82+$C$1)&gt;AM$4,AM$4&gt;=$C$1),'General Inputs'!J$10*$J82,IF(AND(($D82+$C$1)&gt;AM$4,AM$4&gt;=$C$1),'General Inputs'!J$10*$I82,0))</f>
        <v>6299.5897370081784</v>
      </c>
      <c r="AN82" s="214">
        <f>IF(AND(($E82+$C$1)&gt;AN$4,AN$4&gt;=$C$1),'General Inputs'!K$9*$H82,IF(AND(($D82+$C$1)&gt;AN$4,AN$4&gt;=$C$1),'General Inputs'!K$9*$G82,0))+IF(AND(($E82+$C$1)&gt;AN$4,AN$4&gt;=$C$1),'General Inputs'!K$10*$J82,IF(AND(($D82+$C$1)&gt;AN$4,AN$4&gt;=$C$1),'General Inputs'!K$10*$I82,0))</f>
        <v>6394.0835830633005</v>
      </c>
      <c r="AO82" s="214">
        <f>IF(AND(($E82+$C$1)&gt;AO$4,AO$4&gt;=$C$1),'General Inputs'!L$9*$H82,IF(AND(($D82+$C$1)&gt;AO$4,AO$4&gt;=$C$1),'General Inputs'!L$9*$G82,0))+IF(AND(($E82+$C$1)&gt;AO$4,AO$4&gt;=$C$1),'General Inputs'!L$10*$J82,IF(AND(($D82+$C$1)&gt;AO$4,AO$4&gt;=$C$1),'General Inputs'!L$10*$I82,0))</f>
        <v>6489.9948368092491</v>
      </c>
      <c r="AP82" s="214">
        <f>IF(AND(($E82+$C$1)&gt;AP$4,AP$4&gt;=$C$1),'General Inputs'!M$9*$H82,IF(AND(($D82+$C$1)&gt;AP$4,AP$4&gt;=$C$1),'General Inputs'!M$9*$G82,0))+IF(AND(($E82+$C$1)&gt;AP$4,AP$4&gt;=$C$1),'General Inputs'!M$10*$J82,IF(AND(($D82+$C$1)&gt;AP$4,AP$4&gt;=$C$1),'General Inputs'!M$10*$I82,0))</f>
        <v>6587.3447593613864</v>
      </c>
      <c r="AQ82" s="214">
        <f>IF(AND(($E82+$C$1)&gt;AQ$4,AQ$4&gt;=$C$1),'General Inputs'!N$9*$H82,IF(AND(($D82+$C$1)&gt;AQ$4,AQ$4&gt;=$C$1),'General Inputs'!N$9*$G82,0))+IF(AND(($E82+$C$1)&gt;AQ$4,AQ$4&gt;=$C$1),'General Inputs'!N$10*$J82,IF(AND(($D82+$C$1)&gt;AQ$4,AQ$4&gt;=$C$1),'General Inputs'!N$10*$I82,0))</f>
        <v>6686.154930751808</v>
      </c>
      <c r="AR82" s="214">
        <f>IF(AND(($E82+$C$1)&gt;AR$4,AR$4&gt;=$C$1),'General Inputs'!O$9*$H82,IF(AND(($D82+$C$1)&gt;AR$4,AR$4&gt;=$C$1),'General Inputs'!O$9*$G82,0))+IF(AND(($E82+$C$1)&gt;AR$4,AR$4&gt;=$C$1),'General Inputs'!O$10*$J82,IF(AND(($D82+$C$1)&gt;AR$4,AR$4&gt;=$C$1),'General Inputs'!O$10*$I82,0))</f>
        <v>6786.4472547130836</v>
      </c>
      <c r="AS82" s="214">
        <f>IF(AND(($E82+$C$1)&gt;AS$4,AS$4&gt;=$C$1),'General Inputs'!P$9*$H82,IF(AND(($D82+$C$1)&gt;AS$4,AS$4&gt;=$C$1),'General Inputs'!P$9*$G82,0))+IF(AND(($E82+$C$1)&gt;AS$4,AS$4&gt;=$C$1),'General Inputs'!P$10*$J82,IF(AND(($D82+$C$1)&gt;AS$4,AS$4&gt;=$C$1),'General Inputs'!P$10*$I82,0))</f>
        <v>6888.2439635337787</v>
      </c>
      <c r="AT82" s="214">
        <f>IF(AND(($E82+$C$1)&gt;AT$4,AT$4&gt;=$C$1),'General Inputs'!Q$9*$H82,IF(AND(($D82+$C$1)&gt;AT$4,AT$4&gt;=$C$1),'General Inputs'!Q$9*$G82,0))+IF(AND(($E82+$C$1)&gt;AT$4,AT$4&gt;=$C$1),'General Inputs'!Q$10*$J82,IF(AND(($D82+$C$1)&gt;AT$4,AT$4&gt;=$C$1),'General Inputs'!Q$10*$I82,0))</f>
        <v>6991.5676229867859</v>
      </c>
      <c r="AU82" s="214">
        <f>IF(AND(($E82+$C$1)&gt;AU$4,AU$4&gt;=$C$1),'General Inputs'!R$9*$H82,IF(AND(($D82+$C$1)&gt;AU$4,AU$4&gt;=$C$1),'General Inputs'!R$9*$G82,0))+IF(AND(($E82+$C$1)&gt;AU$4,AU$4&gt;=$C$1),'General Inputs'!R$10*$J82,IF(AND(($D82+$C$1)&gt;AU$4,AU$4&gt;=$C$1),'General Inputs'!R$10*$I82,0))</f>
        <v>7096.441137331587</v>
      </c>
      <c r="AV82" s="214">
        <f>IF(AND(($E82+$C$1)&gt;AV$4,AV$4&gt;=$C$1),'General Inputs'!S$9*$H82,IF(AND(($D82+$C$1)&gt;AV$4,AV$4&gt;=$C$1),'General Inputs'!S$9*$G82,0))+IF(AND(($E82+$C$1)&gt;AV$4,AV$4&gt;=$C$1),'General Inputs'!S$10*$J82,IF(AND(($D82+$C$1)&gt;AV$4,AV$4&gt;=$C$1),'General Inputs'!S$10*$I82,0))</f>
        <v>7202.8877543915605</v>
      </c>
      <c r="AW82" s="214">
        <f>IF(AND(($E82+$C$1)&gt;AW$4,AW$4&gt;=$C$1),'General Inputs'!T$9*$H82,IF(AND(($D82+$C$1)&gt;AW$4,AW$4&gt;=$C$1),'General Inputs'!T$9*$G82,0))+IF(AND(($E82+$C$1)&gt;AW$4,AW$4&gt;=$C$1),'General Inputs'!T$10*$J82,IF(AND(($D82+$C$1)&gt;AW$4,AW$4&gt;=$C$1),'General Inputs'!T$10*$I82,0))</f>
        <v>0</v>
      </c>
      <c r="AX82" s="214">
        <f>IF(AND(($E82+$C$1)&gt;AX$4,AX$4&gt;=$C$1),'General Inputs'!U$9*$H82,IF(AND(($D82+$C$1)&gt;AX$4,AX$4&gt;=$C$1),'General Inputs'!U$9*$G82,0))+IF(AND(($E82+$C$1)&gt;AX$4,AX$4&gt;=$C$1),'General Inputs'!U$10*$J82,IF(AND(($D82+$C$1)&gt;AX$4,AX$4&gt;=$C$1),'General Inputs'!U$10*$I82,0))</f>
        <v>0</v>
      </c>
      <c r="AY82" s="214">
        <f>IF(AND(($E82+$C$1)&gt;AY$4,AY$4&gt;=$C$1),'General Inputs'!V$9*$H82,IF(AND(($D82+$C$1)&gt;AY$4,AY$4&gt;=$C$1),'General Inputs'!V$9*$G82,0))+IF(AND(($E82+$C$1)&gt;AY$4,AY$4&gt;=$C$1),'General Inputs'!V$10*$J82,IF(AND(($D82+$C$1)&gt;AY$4,AY$4&gt;=$C$1),'General Inputs'!V$10*$I82,0))</f>
        <v>0</v>
      </c>
      <c r="AZ82" s="214">
        <f>IF(AND(($E82+$C$1)&gt;AZ$4,AZ$4&gt;=$C$1),'General Inputs'!W$9*$H82,IF(AND(($D82+$C$1)&gt;AZ$4,AZ$4&gt;=$C$1),'General Inputs'!W$9*$G82,0))+IF(AND(($E82+$C$1)&gt;AZ$4,AZ$4&gt;=$C$1),'General Inputs'!W$10*$J82,IF(AND(($D82+$C$1)&gt;AZ$4,AZ$4&gt;=$C$1),'General Inputs'!W$10*$I82,0))</f>
        <v>0</v>
      </c>
      <c r="BB82" s="214">
        <f>IF(AND(($E82+$C$1)&gt;BB$4,BB$4&gt;=$C$1),'General Inputs'!D$11*$H82,IF(AND(($D82+$C$1)&gt;BB$4,BB$4&gt;=$C$1),'General Inputs'!D$11*$G82,0))</f>
        <v>1559.0252516850003</v>
      </c>
      <c r="BC82" s="214">
        <f>IF(AND(($E82+$C$1)&gt;BC$4,BC$4&gt;=$C$1),'General Inputs'!E$11*$H82,IF(AND(($D82+$C$1)&gt;BC$4,BC$4&gt;=$C$1),'General Inputs'!E$11*$G82,0))</f>
        <v>1559.0252516850003</v>
      </c>
      <c r="BD82" s="214">
        <f>IF(AND(($E82+$C$1)&gt;BD$4,BD$4&gt;=$C$1),'General Inputs'!F$11*$H82,IF(AND(($D82+$C$1)&gt;BD$4,BD$4&gt;=$C$1),'General Inputs'!F$11*$G82,0))</f>
        <v>1559.0252516850003</v>
      </c>
      <c r="BE82" s="214">
        <f>IF(AND(($E82+$C$1)&gt;BE$4,BE$4&gt;=$C$1),'General Inputs'!G$11*$H82,IF(AND(($D82+$C$1)&gt;BE$4,BE$4&gt;=$C$1),'General Inputs'!G$11*$G82,0))</f>
        <v>1559.0252516850003</v>
      </c>
      <c r="BF82" s="214">
        <f>IF(AND(($E82+$C$1)&gt;BF$4,BF$4&gt;=$C$1),'General Inputs'!H$11*$H82,IF(AND(($D82+$C$1)&gt;BF$4,BF$4&gt;=$C$1),'General Inputs'!H$11*$G82,0))</f>
        <v>1559.0252516850003</v>
      </c>
      <c r="BG82" s="214">
        <f>IF(AND(($E82+$C$1)&gt;BG$4,BG$4&gt;=$C$1),'General Inputs'!I$11*$H82,IF(AND(($D82+$C$1)&gt;BG$4,BG$4&gt;=$C$1),'General Inputs'!I$11*$G82,0))</f>
        <v>1559.0252516850003</v>
      </c>
      <c r="BH82" s="214">
        <f>IF(AND(($E82+$C$1)&gt;BH$4,BH$4&gt;=$C$1),'General Inputs'!J$11*$H82,IF(AND(($D82+$C$1)&gt;BH$4,BH$4&gt;=$C$1),'General Inputs'!J$11*$G82,0))</f>
        <v>1559.0252516850003</v>
      </c>
      <c r="BI82" s="214">
        <f>IF(AND(($E82+$C$1)&gt;BI$4,BI$4&gt;=$C$1),'General Inputs'!K$11*$H82,IF(AND(($D82+$C$1)&gt;BI$4,BI$4&gt;=$C$1),'General Inputs'!K$11*$G82,0))</f>
        <v>1559.0252516850003</v>
      </c>
      <c r="BJ82" s="214">
        <f>IF(AND(($E82+$C$1)&gt;BJ$4,BJ$4&gt;=$C$1),'General Inputs'!L$11*$H82,IF(AND(($D82+$C$1)&gt;BJ$4,BJ$4&gt;=$C$1),'General Inputs'!L$11*$G82,0))</f>
        <v>1559.0252516850003</v>
      </c>
      <c r="BK82" s="214">
        <f>IF(AND(($E82+$C$1)&gt;BK$4,BK$4&gt;=$C$1),'General Inputs'!M$11*$H82,IF(AND(($D82+$C$1)&gt;BK$4,BK$4&gt;=$C$1),'General Inputs'!M$11*$G82,0))</f>
        <v>1559.0252516850003</v>
      </c>
      <c r="BL82" s="214">
        <f>IF(AND(($E82+$C$1)&gt;BL$4,BL$4&gt;=$C$1),'General Inputs'!N$11*$H82,IF(AND(($D82+$C$1)&gt;BL$4,BL$4&gt;=$C$1),'General Inputs'!N$11*$G82,0))</f>
        <v>1559.0252516850003</v>
      </c>
      <c r="BM82" s="214">
        <f>IF(AND(($E82+$C$1)&gt;BM$4,BM$4&gt;=$C$1),'General Inputs'!O$11*$H82,IF(AND(($D82+$C$1)&gt;BM$4,BM$4&gt;=$C$1),'General Inputs'!O$11*$G82,0))</f>
        <v>1559.0252516850003</v>
      </c>
      <c r="BN82" s="214">
        <f>IF(AND(($E82+$C$1)&gt;BN$4,BN$4&gt;=$C$1),'General Inputs'!P$11*$H82,IF(AND(($D82+$C$1)&gt;BN$4,BN$4&gt;=$C$1),'General Inputs'!P$11*$G82,0))</f>
        <v>1559.0252516850003</v>
      </c>
      <c r="BO82" s="214">
        <f>IF(AND(($E82+$C$1)&gt;BO$4,BO$4&gt;=$C$1),'General Inputs'!Q$11*$H82,IF(AND(($D82+$C$1)&gt;BO$4,BO$4&gt;=$C$1),'General Inputs'!Q$11*$G82,0))</f>
        <v>1559.0252516850003</v>
      </c>
      <c r="BP82" s="214">
        <f>IF(AND(($E82+$C$1)&gt;BP$4,BP$4&gt;=$C$1),'General Inputs'!R$11*$H82,IF(AND(($D82+$C$1)&gt;BP$4,BP$4&gt;=$C$1),'General Inputs'!R$11*$G82,0))</f>
        <v>1559.0252516850003</v>
      </c>
      <c r="BQ82" s="214">
        <f>IF(AND(($E82+$C$1)&gt;BQ$4,BQ$4&gt;=$C$1),'General Inputs'!S$11*$H82,IF(AND(($D82+$C$1)&gt;BQ$4,BQ$4&gt;=$C$1),'General Inputs'!S$11*$G82,0))</f>
        <v>1559.0252516850003</v>
      </c>
      <c r="BR82" s="214">
        <f>IF(AND(($E82+$C$1)&gt;BR$4,BR$4&gt;=$C$1),'General Inputs'!T$11*$H82,IF(AND(($D82+$C$1)&gt;BR$4,BR$4&gt;=$C$1),'General Inputs'!T$11*$G82,0))</f>
        <v>0</v>
      </c>
      <c r="BS82" s="214">
        <f>IF(AND(($E82+$C$1)&gt;BS$4,BS$4&gt;=$C$1),'General Inputs'!U$11*$H82,IF(AND(($D82+$C$1)&gt;BS$4,BS$4&gt;=$C$1),'General Inputs'!U$11*$G82,0))</f>
        <v>0</v>
      </c>
      <c r="BT82" s="214">
        <f>IF(AND(($E82+$C$1)&gt;BT$4,BT$4&gt;=$C$1),'General Inputs'!V$11*$H82,IF(AND(($D82+$C$1)&gt;BT$4,BT$4&gt;=$C$1),'General Inputs'!V$11*$G82,0))</f>
        <v>0</v>
      </c>
      <c r="BU82" s="214">
        <f>IF(AND(($E82+$C$1)&gt;BU$4,BU$4&gt;=$C$1),'General Inputs'!W$11*$H82,IF(AND(($D82+$C$1)&gt;BU$4,BU$4&gt;=$C$1),'General Inputs'!W$11*$G82,0))</f>
        <v>0</v>
      </c>
      <c r="BW82" s="214">
        <f>IF(AND(($E82+$C$1)&gt;BW$4,BW$4&gt;=$C$1),$H82,IF(AND(($D82+$C$1)&gt;BW$4,BW$4&gt;=$C$1),$G82,0))*IF($A82="Residential",'General Inputs'!D$14,'General Inputs'!D$19)</f>
        <v>14286.531177600593</v>
      </c>
      <c r="BX82" s="214">
        <f>IF(AND(($E82+$C$1)&gt;BX$4,BX$4&gt;=$C$1),$H82,IF(AND(($D82+$C$1)&gt;BX$4,BX$4&gt;=$C$1),$G82,0))*IF($A82="Residential",'General Inputs'!E$14,'General Inputs'!E$19)</f>
        <v>14500.829145264601</v>
      </c>
      <c r="BY82" s="214">
        <f>IF(AND(($E82+$C$1)&gt;BY$4,BY$4&gt;=$C$1),$H82,IF(AND(($D82+$C$1)&gt;BY$4,BY$4&gt;=$C$1),$G82,0))*IF($A82="Residential",'General Inputs'!F$14,'General Inputs'!F$19)</f>
        <v>14718.341582443571</v>
      </c>
      <c r="BZ82" s="214">
        <f>IF(AND(($E82+$C$1)&gt;BZ$4,BZ$4&gt;=$C$1),$H82,IF(AND(($D82+$C$1)&gt;BZ$4,BZ$4&gt;=$C$1),$G82,0))*IF($A82="Residential",'General Inputs'!G$14,'General Inputs'!G$19)</f>
        <v>14939.116706180223</v>
      </c>
      <c r="CA82" s="214">
        <f>IF(AND(($E82+$C$1)&gt;CA$4,CA$4&gt;=$C$1),$H82,IF(AND(($D82+$C$1)&gt;CA$4,CA$4&gt;=$C$1),$G82,0))*IF($A82="Residential",'General Inputs'!H$14,'General Inputs'!H$19)</f>
        <v>15163.203456772922</v>
      </c>
      <c r="CB82" s="214">
        <f>IF(AND(($E82+$C$1)&gt;CB$4,CB$4&gt;=$C$1),$H82,IF(AND(($D82+$C$1)&gt;CB$4,CB$4&gt;=$C$1),$G82,0))*IF($A82="Residential",'General Inputs'!I$14,'General Inputs'!I$19)</f>
        <v>15390.651508624514</v>
      </c>
      <c r="CC82" s="214">
        <f>IF(AND(($E82+$C$1)&gt;CC$4,CC$4&gt;=$C$1),$H82,IF(AND(($D82+$C$1)&gt;CC$4,CC$4&gt;=$C$1),$G82,0))*IF($A82="Residential",'General Inputs'!J$14,'General Inputs'!J$19)</f>
        <v>15621.511281253881</v>
      </c>
      <c r="CD82" s="214">
        <f>IF(AND(($E82+$C$1)&gt;CD$4,CD$4&gt;=$C$1),$H82,IF(AND(($D82+$C$1)&gt;CD$4,CD$4&gt;=$C$1),$G82,0))*IF($A82="Residential",'General Inputs'!K$14,'General Inputs'!K$19)</f>
        <v>15855.833950472688</v>
      </c>
      <c r="CE82" s="214">
        <f>IF(AND(($E82+$C$1)&gt;CE$4,CE$4&gt;=$C$1),$H82,IF(AND(($D82+$C$1)&gt;CE$4,CE$4&gt;=$C$1),$G82,0))*IF($A82="Residential",'General Inputs'!L$14,'General Inputs'!L$19)</f>
        <v>16093.671459729776</v>
      </c>
      <c r="CF82" s="214">
        <f>IF(AND(($E82+$C$1)&gt;CF$4,CF$4&gt;=$C$1),$H82,IF(AND(($D82+$C$1)&gt;CF$4,CF$4&gt;=$C$1),$G82,0))*IF($A82="Residential",'General Inputs'!M$14,'General Inputs'!M$19)</f>
        <v>16335.076531625722</v>
      </c>
      <c r="CG82" s="214">
        <f>IF(AND(($E82+$C$1)&gt;CG$4,CG$4&gt;=$C$1),$H82,IF(AND(($D82+$C$1)&gt;CG$4,CG$4&gt;=$C$1),$G82,0))*IF($A82="Residential",'General Inputs'!N$14,'General Inputs'!N$19)</f>
        <v>16580.102679600106</v>
      </c>
      <c r="CH82" s="214">
        <f>IF(AND(($E82+$C$1)&gt;CH$4,CH$4&gt;=$C$1),$H82,IF(AND(($D82+$C$1)&gt;CH$4,CH$4&gt;=$C$1),$G82,0))*IF($A82="Residential",'General Inputs'!O$14,'General Inputs'!O$19)</f>
        <v>16828.804219794107</v>
      </c>
      <c r="CI82" s="214">
        <f>IF(AND(($E82+$C$1)&gt;CI$4,CI$4&gt;=$C$1),$H82,IF(AND(($D82+$C$1)&gt;CI$4,CI$4&gt;=$C$1),$G82,0))*IF($A82="Residential",'General Inputs'!P$14,'General Inputs'!P$19)</f>
        <v>17081.236283091017</v>
      </c>
      <c r="CJ82" s="214">
        <f>IF(AND(($E82+$C$1)&gt;CJ$4,CJ$4&gt;=$C$1),$H82,IF(AND(($D82+$C$1)&gt;CJ$4,CJ$4&gt;=$C$1),$G82,0))*IF($A82="Residential",'General Inputs'!Q$14,'General Inputs'!Q$19)</f>
        <v>17337.45482733738</v>
      </c>
      <c r="CK82" s="214">
        <f>IF(AND(($E82+$C$1)&gt;CK$4,CK$4&gt;=$C$1),$H82,IF(AND(($D82+$C$1)&gt;CK$4,CK$4&gt;=$C$1),$G82,0))*IF($A82="Residential",'General Inputs'!R$14,'General Inputs'!R$19)</f>
        <v>17597.516649747438</v>
      </c>
      <c r="CL82" s="214">
        <f>IF(AND(($E82+$C$1)&gt;CL$4,CL$4&gt;=$C$1),$H82,IF(AND(($D82+$C$1)&gt;CL$4,CL$4&gt;=$C$1),$G82,0))*IF($A82="Residential",'General Inputs'!S$14,'General Inputs'!S$19)</f>
        <v>17861.479399493648</v>
      </c>
      <c r="CM82" s="214">
        <f>IF(AND(($E82+$C$1)&gt;CM$4,CM$4&gt;=$C$1),$H82,IF(AND(($D82+$C$1)&gt;CM$4,CM$4&gt;=$C$1),$G82,0))*IF($A82="Residential",'General Inputs'!T$14,'General Inputs'!T$19)</f>
        <v>0</v>
      </c>
      <c r="CN82" s="214">
        <f>IF(AND(($E82+$C$1)&gt;CN$4,CN$4&gt;=$C$1),$H82,IF(AND(($D82+$C$1)&gt;CN$4,CN$4&gt;=$C$1),$G82,0))*IF($A82="Residential",'General Inputs'!U$14,'General Inputs'!U$19)</f>
        <v>0</v>
      </c>
      <c r="CO82" s="214">
        <f>IF(AND(($E82+$C$1)&gt;CO$4,CO$4&gt;=$C$1),$H82,IF(AND(($D82+$C$1)&gt;CO$4,CO$4&gt;=$C$1),$G82,0))*IF($A82="Residential",'General Inputs'!V$14,'General Inputs'!V$19)</f>
        <v>0</v>
      </c>
      <c r="CP82" s="214">
        <f>IF(AND(($E82+$C$1)&gt;CP$4,CP$4&gt;=$C$1),$H82,IF(AND(($D82+$C$1)&gt;CP$4,CP$4&gt;=$C$1),$G82,0))*IF($A82="Residential",'General Inputs'!W$14,'General Inputs'!W$19)</f>
        <v>0</v>
      </c>
      <c r="CR82" s="214">
        <f>IF(AND(($E82+$C$1)&gt;CR$4,CR$4&gt;=$C$1),$H82,IF(AND(($D82+$C$1)&gt;CR$4,CR$4&gt;=$C$1),$G82,0))*IF($A82="Residential",'General Inputs'!D$15,'General Inputs'!D$19)</f>
        <v>14286.531177600593</v>
      </c>
      <c r="CS82" s="214">
        <f>IF(AND(($E82+$C$1)&gt;CS$4,CS$4&gt;=$C$1),$H82,IF(AND(($D82+$C$1)&gt;CS$4,CS$4&gt;=$C$1),$G82,0))*IF($A82="Residential",'General Inputs'!E$15,'General Inputs'!E$19)</f>
        <v>14500.829145264601</v>
      </c>
      <c r="CT82" s="214">
        <f>IF(AND(($E82+$C$1)&gt;CT$4,CT$4&gt;=$C$1),$H82,IF(AND(($D82+$C$1)&gt;CT$4,CT$4&gt;=$C$1),$G82,0))*IF($A82="Residential",'General Inputs'!F$15,'General Inputs'!F$19)</f>
        <v>14718.341582443571</v>
      </c>
      <c r="CU82" s="214">
        <f>IF(AND(($E82+$C$1)&gt;CU$4,CU$4&gt;=$C$1),$H82,IF(AND(($D82+$C$1)&gt;CU$4,CU$4&gt;=$C$1),$G82,0))*IF($A82="Residential",'General Inputs'!G$15,'General Inputs'!G$19)</f>
        <v>14939.116706180223</v>
      </c>
      <c r="CV82" s="214">
        <f>IF(AND(($E82+$C$1)&gt;CV$4,CV$4&gt;=$C$1),$H82,IF(AND(($D82+$C$1)&gt;CV$4,CV$4&gt;=$C$1),$G82,0))*IF($A82="Residential",'General Inputs'!H$15,'General Inputs'!H$19)</f>
        <v>15163.203456772922</v>
      </c>
      <c r="CW82" s="214">
        <f>IF(AND(($E82+$C$1)&gt;CW$4,CW$4&gt;=$C$1),$H82,IF(AND(($D82+$C$1)&gt;CW$4,CW$4&gt;=$C$1),$G82,0))*IF($A82="Residential",'General Inputs'!I$15,'General Inputs'!I$19)</f>
        <v>15390.651508624514</v>
      </c>
      <c r="CX82" s="214">
        <f>IF(AND(($E82+$C$1)&gt;CX$4,CX$4&gt;=$C$1),$H82,IF(AND(($D82+$C$1)&gt;CX$4,CX$4&gt;=$C$1),$G82,0))*IF($A82="Residential",'General Inputs'!J$15,'General Inputs'!J$19)</f>
        <v>15621.511281253881</v>
      </c>
      <c r="CY82" s="214">
        <f>IF(AND(($E82+$C$1)&gt;CY$4,CY$4&gt;=$C$1),$H82,IF(AND(($D82+$C$1)&gt;CY$4,CY$4&gt;=$C$1),$G82,0))*IF($A82="Residential",'General Inputs'!K$15,'General Inputs'!K$19)</f>
        <v>15855.833950472688</v>
      </c>
      <c r="CZ82" s="214">
        <f>IF(AND(($E82+$C$1)&gt;CZ$4,CZ$4&gt;=$C$1),$H82,IF(AND(($D82+$C$1)&gt;CZ$4,CZ$4&gt;=$C$1),$G82,0))*IF($A82="Residential",'General Inputs'!L$15,'General Inputs'!L$19)</f>
        <v>16093.671459729776</v>
      </c>
      <c r="DA82" s="214">
        <f>IF(AND(($E82+$C$1)&gt;DA$4,DA$4&gt;=$C$1),$H82,IF(AND(($D82+$C$1)&gt;DA$4,DA$4&gt;=$C$1),$G82,0))*IF($A82="Residential",'General Inputs'!M$15,'General Inputs'!M$19)</f>
        <v>16335.076531625722</v>
      </c>
      <c r="DB82" s="214">
        <f>IF(AND(($E82+$C$1)&gt;DB$4,DB$4&gt;=$C$1),$H82,IF(AND(($D82+$C$1)&gt;DB$4,DB$4&gt;=$C$1),$G82,0))*IF($A82="Residential",'General Inputs'!N$15,'General Inputs'!N$19)</f>
        <v>16580.102679600106</v>
      </c>
      <c r="DC82" s="214">
        <f>IF(AND(($E82+$C$1)&gt;DC$4,DC$4&gt;=$C$1),$H82,IF(AND(($D82+$C$1)&gt;DC$4,DC$4&gt;=$C$1),$G82,0))*IF($A82="Residential",'General Inputs'!O$15,'General Inputs'!O$19)</f>
        <v>16828.804219794107</v>
      </c>
      <c r="DD82" s="214">
        <f>IF(AND(($E82+$C$1)&gt;DD$4,DD$4&gt;=$C$1),$H82,IF(AND(($D82+$C$1)&gt;DD$4,DD$4&gt;=$C$1),$G82,0))*IF($A82="Residential",'General Inputs'!P$15,'General Inputs'!P$19)</f>
        <v>17081.236283091017</v>
      </c>
      <c r="DE82" s="214">
        <f>IF(AND(($E82+$C$1)&gt;DE$4,DE$4&gt;=$C$1),$H82,IF(AND(($D82+$C$1)&gt;DE$4,DE$4&gt;=$C$1),$G82,0))*IF($A82="Residential",'General Inputs'!Q$15,'General Inputs'!Q$19)</f>
        <v>17337.45482733738</v>
      </c>
      <c r="DF82" s="214">
        <f>IF(AND(($E82+$C$1)&gt;DF$4,DF$4&gt;=$C$1),$H82,IF(AND(($D82+$C$1)&gt;DF$4,DF$4&gt;=$C$1),$G82,0))*IF($A82="Residential",'General Inputs'!R$15,'General Inputs'!R$19)</f>
        <v>17597.516649747438</v>
      </c>
      <c r="DG82" s="214">
        <f>IF(AND(($E82+$C$1)&gt;DG$4,DG$4&gt;=$C$1),$H82,IF(AND(($D82+$C$1)&gt;DG$4,DG$4&gt;=$C$1),$G82,0))*IF($A82="Residential",'General Inputs'!S$15,'General Inputs'!S$19)</f>
        <v>17861.479399493648</v>
      </c>
      <c r="DH82" s="214">
        <f>IF(AND(($E82+$C$1)&gt;DH$4,DH$4&gt;=$C$1),$H82,IF(AND(($D82+$C$1)&gt;DH$4,DH$4&gt;=$C$1),$G82,0))*IF($A82="Residential",'General Inputs'!T$15,'General Inputs'!T$19)</f>
        <v>0</v>
      </c>
      <c r="DI82" s="214">
        <f>IF(AND(($E82+$C$1)&gt;DI$4,DI$4&gt;=$C$1),$H82,IF(AND(($D82+$C$1)&gt;DI$4,DI$4&gt;=$C$1),$G82,0))*IF($A82="Residential",'General Inputs'!U$15,'General Inputs'!U$19)</f>
        <v>0</v>
      </c>
      <c r="DJ82" s="214">
        <f>IF(AND(($E82+$C$1)&gt;DJ$4,DJ$4&gt;=$C$1),$H82,IF(AND(($D82+$C$1)&gt;DJ$4,DJ$4&gt;=$C$1),$G82,0))*IF($A82="Residential",'General Inputs'!V$15,'General Inputs'!V$19)</f>
        <v>0</v>
      </c>
      <c r="DK82" s="214">
        <f>IF(AND(($E82+$C$1)&gt;DK$4,DK$4&gt;=$C$1),$H82,IF(AND(($D82+$C$1)&gt;DK$4,DK$4&gt;=$C$1),$G82,0))*IF($A82="Residential",'General Inputs'!W$15,'General Inputs'!W$19)</f>
        <v>0</v>
      </c>
      <c r="DM82" s="214">
        <f t="shared" si="456"/>
        <v>4066</v>
      </c>
      <c r="DN82" s="214">
        <f t="shared" si="456"/>
        <v>0</v>
      </c>
      <c r="DO82" s="214">
        <f t="shared" si="456"/>
        <v>0</v>
      </c>
      <c r="DP82" s="214">
        <f t="shared" si="456"/>
        <v>0</v>
      </c>
      <c r="DQ82" s="214">
        <f t="shared" si="456"/>
        <v>0</v>
      </c>
      <c r="DR82" s="214">
        <f t="shared" si="456"/>
        <v>0</v>
      </c>
      <c r="DS82" s="214">
        <f t="shared" si="456"/>
        <v>0</v>
      </c>
      <c r="DT82" s="214">
        <f t="shared" si="456"/>
        <v>0</v>
      </c>
      <c r="DU82" s="214">
        <f t="shared" si="456"/>
        <v>0</v>
      </c>
      <c r="DV82" s="214">
        <f t="shared" si="456"/>
        <v>0</v>
      </c>
      <c r="DW82" s="214">
        <f t="shared" si="456"/>
        <v>0</v>
      </c>
      <c r="DZ82" s="650"/>
      <c r="FI82" s="195"/>
      <c r="FJ82" s="195"/>
      <c r="FK82" s="195"/>
      <c r="FL82" s="195"/>
      <c r="FM82" s="195"/>
      <c r="FN82" s="195"/>
      <c r="FO82" s="195"/>
    </row>
    <row r="83" spans="1:171">
      <c r="A83" s="342" t="s">
        <v>112</v>
      </c>
      <c r="B83" s="427" t="str">
        <f>'Portfolio Inputs'!A82</f>
        <v>≤25 W LED Fixtures (Exterior/Parking Garage)</v>
      </c>
      <c r="C83" s="217">
        <f>IF($C$1=2014,'Portfolio Inputs'!$C82,IF($C$1=2015,'Portfolio Inputs'!$D82,'Portfolio Inputs'!$E82))</f>
        <v>9</v>
      </c>
      <c r="D83" s="504">
        <f>VLOOKUP(B83,Sources!$B$4:$J$104,2,FALSE)</f>
        <v>15</v>
      </c>
      <c r="E83" s="504">
        <f>VLOOKUP(B83,Sources!$B$4:$J$104,3,FALSE)</f>
        <v>0</v>
      </c>
      <c r="G83" s="504">
        <f>IF($C$1=2014,'Portfolio Inputs'!$G82,IF($C$1=2015,'Portfolio Inputs'!$H82,'Portfolio Inputs'!$I82))*EnergyLineLoss</f>
        <v>3525.8792939999989</v>
      </c>
      <c r="H83" s="504"/>
      <c r="I83" s="595">
        <f>IF($C$1=2014,'Portfolio Inputs'!$K82,IF($C$1=2015,'Portfolio Inputs'!$L82,'Portfolio Inputs'!$M82))*PeakLineLoss</f>
        <v>0</v>
      </c>
      <c r="J83" s="510"/>
      <c r="L83" s="606">
        <f>IF($C$1=2014,'Portfolio Inputs'!$O82,IF($C$1=2015,'Portfolio Inputs'!$P82,'Portfolio Inputs'!$Q82))</f>
        <v>125</v>
      </c>
      <c r="M83" s="518">
        <f>VLOOKUP($B83,Sources!$B$4:$K$104,10,FALSE)</f>
        <v>0</v>
      </c>
      <c r="N83" s="419">
        <f>IF($C$1=2014,'Portfolio Inputs'!$W82,IF($C$1=2015,'Portfolio Inputs'!$X82,'Portfolio Inputs'!$Y82))</f>
        <v>315</v>
      </c>
      <c r="O83" s="419">
        <f>IF($C$1=2014,'Portfolio Inputs'!$AA82,IF($C$1=2015,'Portfolio Inputs'!$AB82,'Portfolio Inputs'!$AC82))</f>
        <v>0</v>
      </c>
      <c r="Q83" s="438">
        <f t="shared" ref="Q83:Q85" si="457">IF(OR(AE83&gt;0,AC83&gt;0),Y83/(AC83+AE83),"n/a")</f>
        <v>1.2010114268706942</v>
      </c>
      <c r="R83" s="439">
        <f t="shared" ref="R83:R85" si="458">IF(OR(AC83&gt;0,AD83&gt;0),Y83/((AD83+AC83)),"n/a")</f>
        <v>4.2893265245381933</v>
      </c>
      <c r="S83" s="439">
        <f t="shared" ref="S83:S85" si="459">IF(OR(AC83&gt;0,AE83&gt;0),(Y83+Z83)/(AC83+AE83),"n/a")</f>
        <v>1.5174530264657491</v>
      </c>
      <c r="T83" s="439">
        <f t="shared" ref="T83:T85" si="460">IF(AE83&gt;0,(AD83+AA83)/AE83,"n/a")</f>
        <v>3.4314375259787822</v>
      </c>
      <c r="U83" s="439">
        <f t="shared" ref="U83:U85" si="461">IF(AE83&gt;0,(AD83+AB83)/AE83,"n/a")</f>
        <v>3.4314375259787822</v>
      </c>
      <c r="V83" s="439">
        <f t="shared" ref="V83:V85" si="462">IF((AA83+AC83+AD83)&gt;0,Y83/(AA83+AC83+AD83),"n/a")</f>
        <v>0.35000241670671772</v>
      </c>
      <c r="W83" s="439">
        <f t="shared" ref="W83:W85" si="463">IF((AB83+AC83+AD83)&gt;0,Y83/(AB83+AC83+AD83),"n/a")</f>
        <v>0.35000241670671772</v>
      </c>
      <c r="Y83" s="215">
        <f t="shared" ref="Y83:Y85" si="464">AG83+NPV(DiscountRate,AH83:AZ83)</f>
        <v>1351.1378552295309</v>
      </c>
      <c r="Z83" s="215">
        <f t="shared" ref="Z83:Z85" si="465">BB83+NPV(DiscountRate,BC83:BU83)</f>
        <v>355.99679954443678</v>
      </c>
      <c r="AA83" s="215">
        <f t="shared" ref="AA83:AA85" si="466">BW83+NPV(DiscountRate,BX83:CP83)</f>
        <v>3545.3672167261298</v>
      </c>
      <c r="AB83" s="215">
        <f t="shared" ref="AB83:AB85" si="467">CR83+NPV(DiscountRate,CS83:DK83)</f>
        <v>3545.3672167261298</v>
      </c>
      <c r="AC83" s="216">
        <f t="shared" ref="AC83:AC85" si="468">O83/((1+DiscountRate)^(IF($C$1=2015,1,IF($C$1=2016,2,0))))</f>
        <v>0</v>
      </c>
      <c r="AD83" s="216">
        <f t="shared" ref="AD83:AD85" si="469">N83/((1+DiscountRate)^(IF($C$1=2015,1,IF($C$1=2016,2,0))))</f>
        <v>315</v>
      </c>
      <c r="AE83" s="215">
        <f t="shared" ref="AE83:AE85" si="470">DM83+NPV(DiscountRate,DN83:DW83)</f>
        <v>1125</v>
      </c>
      <c r="AG83" s="214">
        <f>IF(AND(($E83+$C$1)&gt;AG$4,AG$4&gt;=$C$1),'General Inputs'!D$9*$H83,IF(AND(($D83+$C$1)&gt;AG$4,AG$4&gt;=$C$1),'General Inputs'!D$9*$G83,0))+IF(AND(($E83+$C$1)&gt;AG$4,AG$4&gt;=$C$1),'General Inputs'!D$10*$J83,IF(AND(($D83+$C$1)&gt;AG$4,AG$4&gt;=$C$1),'General Inputs'!D$10*$I83,0))</f>
        <v>140.37325576100326</v>
      </c>
      <c r="AH83" s="214">
        <f>IF(AND(($E83+$C$1)&gt;AH$4,AH$4&gt;=$C$1),'General Inputs'!E$9*$H83,IF(AND(($D83+$C$1)&gt;AH$4,AH$4&gt;=$C$1),'General Inputs'!E$9*$G83,0))+IF(AND(($E83+$C$1)&gt;AH$4,AH$4&gt;=$C$1),'General Inputs'!E$10*$J83,IF(AND(($D83+$C$1)&gt;AH$4,AH$4&gt;=$C$1),'General Inputs'!E$10*$I83,0))</f>
        <v>142.47885459741829</v>
      </c>
      <c r="AI83" s="214">
        <f>IF(AND(($E83+$C$1)&gt;AI$4,AI$4&gt;=$C$1),'General Inputs'!F$9*$H83,IF(AND(($D83+$C$1)&gt;AI$4,AI$4&gt;=$C$1),'General Inputs'!F$9*$G83,0))+IF(AND(($E83+$C$1)&gt;AI$4,AI$4&gt;=$C$1),'General Inputs'!F$10*$J83,IF(AND(($D83+$C$1)&gt;AI$4,AI$4&gt;=$C$1),'General Inputs'!F$10*$I83,0))</f>
        <v>144.61603741637956</v>
      </c>
      <c r="AJ83" s="214">
        <f>IF(AND(($E83+$C$1)&gt;AJ$4,AJ$4&gt;=$C$1),'General Inputs'!G$9*$H83,IF(AND(($D83+$C$1)&gt;AJ$4,AJ$4&gt;=$C$1),'General Inputs'!G$9*$G83,0))+IF(AND(($E83+$C$1)&gt;AJ$4,AJ$4&gt;=$C$1),'General Inputs'!G$10*$J83,IF(AND(($D83+$C$1)&gt;AJ$4,AJ$4&gt;=$C$1),'General Inputs'!G$10*$I83,0))</f>
        <v>146.78527797762524</v>
      </c>
      <c r="AK83" s="214">
        <f>IF(AND(($E83+$C$1)&gt;AK$4,AK$4&gt;=$C$1),'General Inputs'!H$9*$H83,IF(AND(($D83+$C$1)&gt;AK$4,AK$4&gt;=$C$1),'General Inputs'!H$9*$G83,0))+IF(AND(($E83+$C$1)&gt;AK$4,AK$4&gt;=$C$1),'General Inputs'!H$10*$J83,IF(AND(($D83+$C$1)&gt;AK$4,AK$4&gt;=$C$1),'General Inputs'!H$10*$I83,0))</f>
        <v>148.98705714728959</v>
      </c>
      <c r="AL83" s="214">
        <f>IF(AND(($E83+$C$1)&gt;AL$4,AL$4&gt;=$C$1),'General Inputs'!I$9*$H83,IF(AND(($D83+$C$1)&gt;AL$4,AL$4&gt;=$C$1),'General Inputs'!I$9*$G83,0))+IF(AND(($E83+$C$1)&gt;AL$4,AL$4&gt;=$C$1),'General Inputs'!I$10*$J83,IF(AND(($D83+$C$1)&gt;AL$4,AL$4&gt;=$C$1),'General Inputs'!I$10*$I83,0))</f>
        <v>151.22186300449891</v>
      </c>
      <c r="AM83" s="214">
        <f>IF(AND(($E83+$C$1)&gt;AM$4,AM$4&gt;=$C$1),'General Inputs'!J$9*$H83,IF(AND(($D83+$C$1)&gt;AM$4,AM$4&gt;=$C$1),'General Inputs'!J$9*$G83,0))+IF(AND(($E83+$C$1)&gt;AM$4,AM$4&gt;=$C$1),'General Inputs'!J$10*$J83,IF(AND(($D83+$C$1)&gt;AM$4,AM$4&gt;=$C$1),'General Inputs'!J$10*$I83,0))</f>
        <v>153.4901909495664</v>
      </c>
      <c r="AN83" s="214">
        <f>IF(AND(($E83+$C$1)&gt;AN$4,AN$4&gt;=$C$1),'General Inputs'!K$9*$H83,IF(AND(($D83+$C$1)&gt;AN$4,AN$4&gt;=$C$1),'General Inputs'!K$9*$G83,0))+IF(AND(($E83+$C$1)&gt;AN$4,AN$4&gt;=$C$1),'General Inputs'!K$10*$J83,IF(AND(($D83+$C$1)&gt;AN$4,AN$4&gt;=$C$1),'General Inputs'!K$10*$I83,0))</f>
        <v>155.79254381380986</v>
      </c>
      <c r="AO83" s="214">
        <f>IF(AND(($E83+$C$1)&gt;AO$4,AO$4&gt;=$C$1),'General Inputs'!L$9*$H83,IF(AND(($D83+$C$1)&gt;AO$4,AO$4&gt;=$C$1),'General Inputs'!L$9*$G83,0))+IF(AND(($E83+$C$1)&gt;AO$4,AO$4&gt;=$C$1),'General Inputs'!L$10*$J83,IF(AND(($D83+$C$1)&gt;AO$4,AO$4&gt;=$C$1),'General Inputs'!L$10*$I83,0))</f>
        <v>158.129431971017</v>
      </c>
      <c r="AP83" s="214">
        <f>IF(AND(($E83+$C$1)&gt;AP$4,AP$4&gt;=$C$1),'General Inputs'!M$9*$H83,IF(AND(($D83+$C$1)&gt;AP$4,AP$4&gt;=$C$1),'General Inputs'!M$9*$G83,0))+IF(AND(($E83+$C$1)&gt;AP$4,AP$4&gt;=$C$1),'General Inputs'!M$10*$J83,IF(AND(($D83+$C$1)&gt;AP$4,AP$4&gt;=$C$1),'General Inputs'!M$10*$I83,0))</f>
        <v>160.50137345058221</v>
      </c>
      <c r="AQ83" s="214">
        <f>IF(AND(($E83+$C$1)&gt;AQ$4,AQ$4&gt;=$C$1),'General Inputs'!N$9*$H83,IF(AND(($D83+$C$1)&gt;AQ$4,AQ$4&gt;=$C$1),'General Inputs'!N$9*$G83,0))+IF(AND(($E83+$C$1)&gt;AQ$4,AQ$4&gt;=$C$1),'General Inputs'!N$10*$J83,IF(AND(($D83+$C$1)&gt;AQ$4,AQ$4&gt;=$C$1),'General Inputs'!N$10*$I83,0))</f>
        <v>162.90889405234094</v>
      </c>
      <c r="AR83" s="214">
        <f>IF(AND(($E83+$C$1)&gt;AR$4,AR$4&gt;=$C$1),'General Inputs'!O$9*$H83,IF(AND(($D83+$C$1)&gt;AR$4,AR$4&gt;=$C$1),'General Inputs'!O$9*$G83,0))+IF(AND(($E83+$C$1)&gt;AR$4,AR$4&gt;=$C$1),'General Inputs'!O$10*$J83,IF(AND(($D83+$C$1)&gt;AR$4,AR$4&gt;=$C$1),'General Inputs'!O$10*$I83,0))</f>
        <v>165.35252746312602</v>
      </c>
      <c r="AS83" s="214">
        <f>IF(AND(($E83+$C$1)&gt;AS$4,AS$4&gt;=$C$1),'General Inputs'!P$9*$H83,IF(AND(($D83+$C$1)&gt;AS$4,AS$4&gt;=$C$1),'General Inputs'!P$9*$G83,0))+IF(AND(($E83+$C$1)&gt;AS$4,AS$4&gt;=$C$1),'General Inputs'!P$10*$J83,IF(AND(($D83+$C$1)&gt;AS$4,AS$4&gt;=$C$1),'General Inputs'!P$10*$I83,0))</f>
        <v>167.8328153750729</v>
      </c>
      <c r="AT83" s="214">
        <f>IF(AND(($E83+$C$1)&gt;AT$4,AT$4&gt;=$C$1),'General Inputs'!Q$9*$H83,IF(AND(($D83+$C$1)&gt;AT$4,AT$4&gt;=$C$1),'General Inputs'!Q$9*$G83,0))+IF(AND(($E83+$C$1)&gt;AT$4,AT$4&gt;=$C$1),'General Inputs'!Q$10*$J83,IF(AND(($D83+$C$1)&gt;AT$4,AT$4&gt;=$C$1),'General Inputs'!Q$10*$I83,0))</f>
        <v>170.35030760569899</v>
      </c>
      <c r="AU83" s="214">
        <f>IF(AND(($E83+$C$1)&gt;AU$4,AU$4&gt;=$C$1),'General Inputs'!R$9*$H83,IF(AND(($D83+$C$1)&gt;AU$4,AU$4&gt;=$C$1),'General Inputs'!R$9*$G83,0))+IF(AND(($E83+$C$1)&gt;AU$4,AU$4&gt;=$C$1),'General Inputs'!R$10*$J83,IF(AND(($D83+$C$1)&gt;AU$4,AU$4&gt;=$C$1),'General Inputs'!R$10*$I83,0))</f>
        <v>172.90556221978446</v>
      </c>
      <c r="AV83" s="214">
        <f>IF(AND(($E83+$C$1)&gt;AV$4,AV$4&gt;=$C$1),'General Inputs'!S$9*$H83,IF(AND(($D83+$C$1)&gt;AV$4,AV$4&gt;=$C$1),'General Inputs'!S$9*$G83,0))+IF(AND(($E83+$C$1)&gt;AV$4,AV$4&gt;=$C$1),'General Inputs'!S$10*$J83,IF(AND(($D83+$C$1)&gt;AV$4,AV$4&gt;=$C$1),'General Inputs'!S$10*$I83,0))</f>
        <v>0</v>
      </c>
      <c r="AW83" s="214">
        <f>IF(AND(($E83+$C$1)&gt;AW$4,AW$4&gt;=$C$1),'General Inputs'!T$9*$H83,IF(AND(($D83+$C$1)&gt;AW$4,AW$4&gt;=$C$1),'General Inputs'!T$9*$G83,0))+IF(AND(($E83+$C$1)&gt;AW$4,AW$4&gt;=$C$1),'General Inputs'!T$10*$J83,IF(AND(($D83+$C$1)&gt;AW$4,AW$4&gt;=$C$1),'General Inputs'!T$10*$I83,0))</f>
        <v>0</v>
      </c>
      <c r="AX83" s="214">
        <f>IF(AND(($E83+$C$1)&gt;AX$4,AX$4&gt;=$C$1),'General Inputs'!U$9*$H83,IF(AND(($D83+$C$1)&gt;AX$4,AX$4&gt;=$C$1),'General Inputs'!U$9*$G83,0))+IF(AND(($E83+$C$1)&gt;AX$4,AX$4&gt;=$C$1),'General Inputs'!U$10*$J83,IF(AND(($D83+$C$1)&gt;AX$4,AX$4&gt;=$C$1),'General Inputs'!U$10*$I83,0))</f>
        <v>0</v>
      </c>
      <c r="AY83" s="214">
        <f>IF(AND(($E83+$C$1)&gt;AY$4,AY$4&gt;=$C$1),'General Inputs'!V$9*$H83,IF(AND(($D83+$C$1)&gt;AY$4,AY$4&gt;=$C$1),'General Inputs'!V$9*$G83,0))+IF(AND(($E83+$C$1)&gt;AY$4,AY$4&gt;=$C$1),'General Inputs'!V$10*$J83,IF(AND(($D83+$C$1)&gt;AY$4,AY$4&gt;=$C$1),'General Inputs'!V$10*$I83,0))</f>
        <v>0</v>
      </c>
      <c r="AZ83" s="214">
        <f>IF(AND(($E83+$C$1)&gt;AZ$4,AZ$4&gt;=$C$1),'General Inputs'!W$9*$H83,IF(AND(($D83+$C$1)&gt;AZ$4,AZ$4&gt;=$C$1),'General Inputs'!W$9*$G83,0))+IF(AND(($E83+$C$1)&gt;AZ$4,AZ$4&gt;=$C$1),'General Inputs'!W$10*$J83,IF(AND(($D83+$C$1)&gt;AZ$4,AZ$4&gt;=$C$1),'General Inputs'!W$10*$I83,0))</f>
        <v>0</v>
      </c>
      <c r="BB83" s="214">
        <f>IF(AND(($E83+$C$1)&gt;BB$4,BB$4&gt;=$C$1),'General Inputs'!D$11*$H83,IF(AND(($D83+$C$1)&gt;BB$4,BB$4&gt;=$C$1),'General Inputs'!D$11*$G83,0))</f>
        <v>40.195023951599993</v>
      </c>
      <c r="BC83" s="214">
        <f>IF(AND(($E83+$C$1)&gt;BC$4,BC$4&gt;=$C$1),'General Inputs'!E$11*$H83,IF(AND(($D83+$C$1)&gt;BC$4,BC$4&gt;=$C$1),'General Inputs'!E$11*$G83,0))</f>
        <v>40.195023951599993</v>
      </c>
      <c r="BD83" s="214">
        <f>IF(AND(($E83+$C$1)&gt;BD$4,BD$4&gt;=$C$1),'General Inputs'!F$11*$H83,IF(AND(($D83+$C$1)&gt;BD$4,BD$4&gt;=$C$1),'General Inputs'!F$11*$G83,0))</f>
        <v>40.195023951599993</v>
      </c>
      <c r="BE83" s="214">
        <f>IF(AND(($E83+$C$1)&gt;BE$4,BE$4&gt;=$C$1),'General Inputs'!G$11*$H83,IF(AND(($D83+$C$1)&gt;BE$4,BE$4&gt;=$C$1),'General Inputs'!G$11*$G83,0))</f>
        <v>40.195023951599993</v>
      </c>
      <c r="BF83" s="214">
        <f>IF(AND(($E83+$C$1)&gt;BF$4,BF$4&gt;=$C$1),'General Inputs'!H$11*$H83,IF(AND(($D83+$C$1)&gt;BF$4,BF$4&gt;=$C$1),'General Inputs'!H$11*$G83,0))</f>
        <v>40.195023951599993</v>
      </c>
      <c r="BG83" s="214">
        <f>IF(AND(($E83+$C$1)&gt;BG$4,BG$4&gt;=$C$1),'General Inputs'!I$11*$H83,IF(AND(($D83+$C$1)&gt;BG$4,BG$4&gt;=$C$1),'General Inputs'!I$11*$G83,0))</f>
        <v>40.195023951599993</v>
      </c>
      <c r="BH83" s="214">
        <f>IF(AND(($E83+$C$1)&gt;BH$4,BH$4&gt;=$C$1),'General Inputs'!J$11*$H83,IF(AND(($D83+$C$1)&gt;BH$4,BH$4&gt;=$C$1),'General Inputs'!J$11*$G83,0))</f>
        <v>40.195023951599993</v>
      </c>
      <c r="BI83" s="214">
        <f>IF(AND(($E83+$C$1)&gt;BI$4,BI$4&gt;=$C$1),'General Inputs'!K$11*$H83,IF(AND(($D83+$C$1)&gt;BI$4,BI$4&gt;=$C$1),'General Inputs'!K$11*$G83,0))</f>
        <v>40.195023951599993</v>
      </c>
      <c r="BJ83" s="214">
        <f>IF(AND(($E83+$C$1)&gt;BJ$4,BJ$4&gt;=$C$1),'General Inputs'!L$11*$H83,IF(AND(($D83+$C$1)&gt;BJ$4,BJ$4&gt;=$C$1),'General Inputs'!L$11*$G83,0))</f>
        <v>40.195023951599993</v>
      </c>
      <c r="BK83" s="214">
        <f>IF(AND(($E83+$C$1)&gt;BK$4,BK$4&gt;=$C$1),'General Inputs'!M$11*$H83,IF(AND(($D83+$C$1)&gt;BK$4,BK$4&gt;=$C$1),'General Inputs'!M$11*$G83,0))</f>
        <v>40.195023951599993</v>
      </c>
      <c r="BL83" s="214">
        <f>IF(AND(($E83+$C$1)&gt;BL$4,BL$4&gt;=$C$1),'General Inputs'!N$11*$H83,IF(AND(($D83+$C$1)&gt;BL$4,BL$4&gt;=$C$1),'General Inputs'!N$11*$G83,0))</f>
        <v>40.195023951599993</v>
      </c>
      <c r="BM83" s="214">
        <f>IF(AND(($E83+$C$1)&gt;BM$4,BM$4&gt;=$C$1),'General Inputs'!O$11*$H83,IF(AND(($D83+$C$1)&gt;BM$4,BM$4&gt;=$C$1),'General Inputs'!O$11*$G83,0))</f>
        <v>40.195023951599993</v>
      </c>
      <c r="BN83" s="214">
        <f>IF(AND(($E83+$C$1)&gt;BN$4,BN$4&gt;=$C$1),'General Inputs'!P$11*$H83,IF(AND(($D83+$C$1)&gt;BN$4,BN$4&gt;=$C$1),'General Inputs'!P$11*$G83,0))</f>
        <v>40.195023951599993</v>
      </c>
      <c r="BO83" s="214">
        <f>IF(AND(($E83+$C$1)&gt;BO$4,BO$4&gt;=$C$1),'General Inputs'!Q$11*$H83,IF(AND(($D83+$C$1)&gt;BO$4,BO$4&gt;=$C$1),'General Inputs'!Q$11*$G83,0))</f>
        <v>40.195023951599993</v>
      </c>
      <c r="BP83" s="214">
        <f>IF(AND(($E83+$C$1)&gt;BP$4,BP$4&gt;=$C$1),'General Inputs'!R$11*$H83,IF(AND(($D83+$C$1)&gt;BP$4,BP$4&gt;=$C$1),'General Inputs'!R$11*$G83,0))</f>
        <v>40.195023951599993</v>
      </c>
      <c r="BQ83" s="214">
        <f>IF(AND(($E83+$C$1)&gt;BQ$4,BQ$4&gt;=$C$1),'General Inputs'!S$11*$H83,IF(AND(($D83+$C$1)&gt;BQ$4,BQ$4&gt;=$C$1),'General Inputs'!S$11*$G83,0))</f>
        <v>0</v>
      </c>
      <c r="BR83" s="214">
        <f>IF(AND(($E83+$C$1)&gt;BR$4,BR$4&gt;=$C$1),'General Inputs'!T$11*$H83,IF(AND(($D83+$C$1)&gt;BR$4,BR$4&gt;=$C$1),'General Inputs'!T$11*$G83,0))</f>
        <v>0</v>
      </c>
      <c r="BS83" s="214">
        <f>IF(AND(($E83+$C$1)&gt;BS$4,BS$4&gt;=$C$1),'General Inputs'!U$11*$H83,IF(AND(($D83+$C$1)&gt;BS$4,BS$4&gt;=$C$1),'General Inputs'!U$11*$G83,0))</f>
        <v>0</v>
      </c>
      <c r="BT83" s="214">
        <f>IF(AND(($E83+$C$1)&gt;BT$4,BT$4&gt;=$C$1),'General Inputs'!V$11*$H83,IF(AND(($D83+$C$1)&gt;BT$4,BT$4&gt;=$C$1),'General Inputs'!V$11*$G83,0))</f>
        <v>0</v>
      </c>
      <c r="BU83" s="214">
        <f>IF(AND(($E83+$C$1)&gt;BU$4,BU$4&gt;=$C$1),'General Inputs'!W$11*$H83,IF(AND(($D83+$C$1)&gt;BU$4,BU$4&gt;=$C$1),'General Inputs'!W$11*$G83,0))</f>
        <v>0</v>
      </c>
      <c r="BW83" s="214">
        <f>IF(AND(($E83+$C$1)&gt;BW$4,BW$4&gt;=$C$1),$H83,IF(AND(($D83+$C$1)&gt;BW$4,BW$4&gt;=$C$1),$G83,0))*IF($A83="Residential",'General Inputs'!D$14,'General Inputs'!D$19)</f>
        <v>368.33749950380025</v>
      </c>
      <c r="BX83" s="214">
        <f>IF(AND(($E83+$C$1)&gt;BX$4,BX$4&gt;=$C$1),$H83,IF(AND(($D83+$C$1)&gt;BX$4,BX$4&gt;=$C$1),$G83,0))*IF($A83="Residential",'General Inputs'!E$14,'General Inputs'!E$19)</f>
        <v>373.86256199635727</v>
      </c>
      <c r="BY83" s="214">
        <f>IF(AND(($E83+$C$1)&gt;BY$4,BY$4&gt;=$C$1),$H83,IF(AND(($D83+$C$1)&gt;BY$4,BY$4&gt;=$C$1),$G83,0))*IF($A83="Residential",'General Inputs'!F$14,'General Inputs'!F$19)</f>
        <v>379.47050042630264</v>
      </c>
      <c r="BZ83" s="214">
        <f>IF(AND(($E83+$C$1)&gt;BZ$4,BZ$4&gt;=$C$1),$H83,IF(AND(($D83+$C$1)&gt;BZ$4,BZ$4&gt;=$C$1),$G83,0))*IF($A83="Residential",'General Inputs'!G$14,'General Inputs'!G$19)</f>
        <v>385.1625579326971</v>
      </c>
      <c r="CA83" s="214">
        <f>IF(AND(($E83+$C$1)&gt;CA$4,CA$4&gt;=$C$1),$H83,IF(AND(($D83+$C$1)&gt;CA$4,CA$4&gt;=$C$1),$G83,0))*IF($A83="Residential",'General Inputs'!H$14,'General Inputs'!H$19)</f>
        <v>390.93999630168747</v>
      </c>
      <c r="CB83" s="214">
        <f>IF(AND(($E83+$C$1)&gt;CB$4,CB$4&gt;=$C$1),$H83,IF(AND(($D83+$C$1)&gt;CB$4,CB$4&gt;=$C$1),$G83,0))*IF($A83="Residential",'General Inputs'!I$14,'General Inputs'!I$19)</f>
        <v>396.80409624621274</v>
      </c>
      <c r="CC83" s="214">
        <f>IF(AND(($E83+$C$1)&gt;CC$4,CC$4&gt;=$C$1),$H83,IF(AND(($D83+$C$1)&gt;CC$4,CC$4&gt;=$C$1),$G83,0))*IF($A83="Residential",'General Inputs'!J$14,'General Inputs'!J$19)</f>
        <v>402.75615768990593</v>
      </c>
      <c r="CD83" s="214">
        <f>IF(AND(($E83+$C$1)&gt;CD$4,CD$4&gt;=$C$1),$H83,IF(AND(($D83+$C$1)&gt;CD$4,CD$4&gt;=$C$1),$G83,0))*IF($A83="Residential",'General Inputs'!K$14,'General Inputs'!K$19)</f>
        <v>408.79750005525443</v>
      </c>
      <c r="CE83" s="214">
        <f>IF(AND(($E83+$C$1)&gt;CE$4,CE$4&gt;=$C$1),$H83,IF(AND(($D83+$C$1)&gt;CE$4,CE$4&gt;=$C$1),$G83,0))*IF($A83="Residential",'General Inputs'!L$14,'General Inputs'!L$19)</f>
        <v>414.92946255608325</v>
      </c>
      <c r="CF83" s="214">
        <f>IF(AND(($E83+$C$1)&gt;CF$4,CF$4&gt;=$C$1),$H83,IF(AND(($D83+$C$1)&gt;CF$4,CF$4&gt;=$C$1),$G83,0))*IF($A83="Residential",'General Inputs'!M$14,'General Inputs'!M$19)</f>
        <v>421.15340449442442</v>
      </c>
      <c r="CG83" s="214">
        <f>IF(AND(($E83+$C$1)&gt;CG$4,CG$4&gt;=$C$1),$H83,IF(AND(($D83+$C$1)&gt;CG$4,CG$4&gt;=$C$1),$G83,0))*IF($A83="Residential",'General Inputs'!N$14,'General Inputs'!N$19)</f>
        <v>427.47070556184082</v>
      </c>
      <c r="CH83" s="214">
        <f>IF(AND(($E83+$C$1)&gt;CH$4,CH$4&gt;=$C$1),$H83,IF(AND(($D83+$C$1)&gt;CH$4,CH$4&gt;=$C$1),$G83,0))*IF($A83="Residential",'General Inputs'!O$14,'General Inputs'!O$19)</f>
        <v>433.88276614526831</v>
      </c>
      <c r="CI83" s="214">
        <f>IF(AND(($E83+$C$1)&gt;CI$4,CI$4&gt;=$C$1),$H83,IF(AND(($D83+$C$1)&gt;CI$4,CI$4&gt;=$C$1),$G83,0))*IF($A83="Residential",'General Inputs'!P$14,'General Inputs'!P$19)</f>
        <v>440.39100763744733</v>
      </c>
      <c r="CJ83" s="214">
        <f>IF(AND(($E83+$C$1)&gt;CJ$4,CJ$4&gt;=$C$1),$H83,IF(AND(($D83+$C$1)&gt;CJ$4,CJ$4&gt;=$C$1),$G83,0))*IF($A83="Residential",'General Inputs'!Q$14,'General Inputs'!Q$19)</f>
        <v>446.99687275200904</v>
      </c>
      <c r="CK83" s="214">
        <f>IF(AND(($E83+$C$1)&gt;CK$4,CK$4&gt;=$C$1),$H83,IF(AND(($D83+$C$1)&gt;CK$4,CK$4&gt;=$C$1),$G83,0))*IF($A83="Residential",'General Inputs'!R$14,'General Inputs'!R$19)</f>
        <v>453.70182584328904</v>
      </c>
      <c r="CL83" s="214">
        <f>IF(AND(($E83+$C$1)&gt;CL$4,CL$4&gt;=$C$1),$H83,IF(AND(($D83+$C$1)&gt;CL$4,CL$4&gt;=$C$1),$G83,0))*IF($A83="Residential",'General Inputs'!S$14,'General Inputs'!S$19)</f>
        <v>0</v>
      </c>
      <c r="CM83" s="214">
        <f>IF(AND(($E83+$C$1)&gt;CM$4,CM$4&gt;=$C$1),$H83,IF(AND(($D83+$C$1)&gt;CM$4,CM$4&gt;=$C$1),$G83,0))*IF($A83="Residential",'General Inputs'!T$14,'General Inputs'!T$19)</f>
        <v>0</v>
      </c>
      <c r="CN83" s="214">
        <f>IF(AND(($E83+$C$1)&gt;CN$4,CN$4&gt;=$C$1),$H83,IF(AND(($D83+$C$1)&gt;CN$4,CN$4&gt;=$C$1),$G83,0))*IF($A83="Residential",'General Inputs'!U$14,'General Inputs'!U$19)</f>
        <v>0</v>
      </c>
      <c r="CO83" s="214">
        <f>IF(AND(($E83+$C$1)&gt;CO$4,CO$4&gt;=$C$1),$H83,IF(AND(($D83+$C$1)&gt;CO$4,CO$4&gt;=$C$1),$G83,0))*IF($A83="Residential",'General Inputs'!V$14,'General Inputs'!V$19)</f>
        <v>0</v>
      </c>
      <c r="CP83" s="214">
        <f>IF(AND(($E83+$C$1)&gt;CP$4,CP$4&gt;=$C$1),$H83,IF(AND(($D83+$C$1)&gt;CP$4,CP$4&gt;=$C$1),$G83,0))*IF($A83="Residential",'General Inputs'!W$14,'General Inputs'!W$19)</f>
        <v>0</v>
      </c>
      <c r="CR83" s="214">
        <f>IF(AND(($E83+$C$1)&gt;CR$4,CR$4&gt;=$C$1),$H83,IF(AND(($D83+$C$1)&gt;CR$4,CR$4&gt;=$C$1),$G83,0))*IF($A83="Residential",'General Inputs'!D$15,'General Inputs'!D$19)</f>
        <v>368.33749950380025</v>
      </c>
      <c r="CS83" s="214">
        <f>IF(AND(($E83+$C$1)&gt;CS$4,CS$4&gt;=$C$1),$H83,IF(AND(($D83+$C$1)&gt;CS$4,CS$4&gt;=$C$1),$G83,0))*IF($A83="Residential",'General Inputs'!E$15,'General Inputs'!E$19)</f>
        <v>373.86256199635727</v>
      </c>
      <c r="CT83" s="214">
        <f>IF(AND(($E83+$C$1)&gt;CT$4,CT$4&gt;=$C$1),$H83,IF(AND(($D83+$C$1)&gt;CT$4,CT$4&gt;=$C$1),$G83,0))*IF($A83="Residential",'General Inputs'!F$15,'General Inputs'!F$19)</f>
        <v>379.47050042630264</v>
      </c>
      <c r="CU83" s="214">
        <f>IF(AND(($E83+$C$1)&gt;CU$4,CU$4&gt;=$C$1),$H83,IF(AND(($D83+$C$1)&gt;CU$4,CU$4&gt;=$C$1),$G83,0))*IF($A83="Residential",'General Inputs'!G$15,'General Inputs'!G$19)</f>
        <v>385.1625579326971</v>
      </c>
      <c r="CV83" s="214">
        <f>IF(AND(($E83+$C$1)&gt;CV$4,CV$4&gt;=$C$1),$H83,IF(AND(($D83+$C$1)&gt;CV$4,CV$4&gt;=$C$1),$G83,0))*IF($A83="Residential",'General Inputs'!H$15,'General Inputs'!H$19)</f>
        <v>390.93999630168747</v>
      </c>
      <c r="CW83" s="214">
        <f>IF(AND(($E83+$C$1)&gt;CW$4,CW$4&gt;=$C$1),$H83,IF(AND(($D83+$C$1)&gt;CW$4,CW$4&gt;=$C$1),$G83,0))*IF($A83="Residential",'General Inputs'!I$15,'General Inputs'!I$19)</f>
        <v>396.80409624621274</v>
      </c>
      <c r="CX83" s="214">
        <f>IF(AND(($E83+$C$1)&gt;CX$4,CX$4&gt;=$C$1),$H83,IF(AND(($D83+$C$1)&gt;CX$4,CX$4&gt;=$C$1),$G83,0))*IF($A83="Residential",'General Inputs'!J$15,'General Inputs'!J$19)</f>
        <v>402.75615768990593</v>
      </c>
      <c r="CY83" s="214">
        <f>IF(AND(($E83+$C$1)&gt;CY$4,CY$4&gt;=$C$1),$H83,IF(AND(($D83+$C$1)&gt;CY$4,CY$4&gt;=$C$1),$G83,0))*IF($A83="Residential",'General Inputs'!K$15,'General Inputs'!K$19)</f>
        <v>408.79750005525443</v>
      </c>
      <c r="CZ83" s="214">
        <f>IF(AND(($E83+$C$1)&gt;CZ$4,CZ$4&gt;=$C$1),$H83,IF(AND(($D83+$C$1)&gt;CZ$4,CZ$4&gt;=$C$1),$G83,0))*IF($A83="Residential",'General Inputs'!L$15,'General Inputs'!L$19)</f>
        <v>414.92946255608325</v>
      </c>
      <c r="DA83" s="214">
        <f>IF(AND(($E83+$C$1)&gt;DA$4,DA$4&gt;=$C$1),$H83,IF(AND(($D83+$C$1)&gt;DA$4,DA$4&gt;=$C$1),$G83,0))*IF($A83="Residential",'General Inputs'!M$15,'General Inputs'!M$19)</f>
        <v>421.15340449442442</v>
      </c>
      <c r="DB83" s="214">
        <f>IF(AND(($E83+$C$1)&gt;DB$4,DB$4&gt;=$C$1),$H83,IF(AND(($D83+$C$1)&gt;DB$4,DB$4&gt;=$C$1),$G83,0))*IF($A83="Residential",'General Inputs'!N$15,'General Inputs'!N$19)</f>
        <v>427.47070556184082</v>
      </c>
      <c r="DC83" s="214">
        <f>IF(AND(($E83+$C$1)&gt;DC$4,DC$4&gt;=$C$1),$H83,IF(AND(($D83+$C$1)&gt;DC$4,DC$4&gt;=$C$1),$G83,0))*IF($A83="Residential",'General Inputs'!O$15,'General Inputs'!O$19)</f>
        <v>433.88276614526831</v>
      </c>
      <c r="DD83" s="214">
        <f>IF(AND(($E83+$C$1)&gt;DD$4,DD$4&gt;=$C$1),$H83,IF(AND(($D83+$C$1)&gt;DD$4,DD$4&gt;=$C$1),$G83,0))*IF($A83="Residential",'General Inputs'!P$15,'General Inputs'!P$19)</f>
        <v>440.39100763744733</v>
      </c>
      <c r="DE83" s="214">
        <f>IF(AND(($E83+$C$1)&gt;DE$4,DE$4&gt;=$C$1),$H83,IF(AND(($D83+$C$1)&gt;DE$4,DE$4&gt;=$C$1),$G83,0))*IF($A83="Residential",'General Inputs'!Q$15,'General Inputs'!Q$19)</f>
        <v>446.99687275200904</v>
      </c>
      <c r="DF83" s="214">
        <f>IF(AND(($E83+$C$1)&gt;DF$4,DF$4&gt;=$C$1),$H83,IF(AND(($D83+$C$1)&gt;DF$4,DF$4&gt;=$C$1),$G83,0))*IF($A83="Residential",'General Inputs'!R$15,'General Inputs'!R$19)</f>
        <v>453.70182584328904</v>
      </c>
      <c r="DG83" s="214">
        <f>IF(AND(($E83+$C$1)&gt;DG$4,DG$4&gt;=$C$1),$H83,IF(AND(($D83+$C$1)&gt;DG$4,DG$4&gt;=$C$1),$G83,0))*IF($A83="Residential",'General Inputs'!S$15,'General Inputs'!S$19)</f>
        <v>0</v>
      </c>
      <c r="DH83" s="214">
        <f>IF(AND(($E83+$C$1)&gt;DH$4,DH$4&gt;=$C$1),$H83,IF(AND(($D83+$C$1)&gt;DH$4,DH$4&gt;=$C$1),$G83,0))*IF($A83="Residential",'General Inputs'!T$15,'General Inputs'!T$19)</f>
        <v>0</v>
      </c>
      <c r="DI83" s="214">
        <f>IF(AND(($E83+$C$1)&gt;DI$4,DI$4&gt;=$C$1),$H83,IF(AND(($D83+$C$1)&gt;DI$4,DI$4&gt;=$C$1),$G83,0))*IF($A83="Residential",'General Inputs'!U$15,'General Inputs'!U$19)</f>
        <v>0</v>
      </c>
      <c r="DJ83" s="214">
        <f>IF(AND(($E83+$C$1)&gt;DJ$4,DJ$4&gt;=$C$1),$H83,IF(AND(($D83+$C$1)&gt;DJ$4,DJ$4&gt;=$C$1),$G83,0))*IF($A83="Residential",'General Inputs'!V$15,'General Inputs'!V$19)</f>
        <v>0</v>
      </c>
      <c r="DK83" s="214">
        <f>IF(AND(($E83+$C$1)&gt;DK$4,DK$4&gt;=$C$1),$H83,IF(AND(($D83+$C$1)&gt;DK$4,DK$4&gt;=$C$1),$G83,0))*IF($A83="Residential",'General Inputs'!W$15,'General Inputs'!W$19)</f>
        <v>0</v>
      </c>
      <c r="DM83" s="214">
        <f t="shared" si="456"/>
        <v>1125</v>
      </c>
      <c r="DN83" s="214">
        <f t="shared" si="456"/>
        <v>0</v>
      </c>
      <c r="DO83" s="214">
        <f t="shared" si="456"/>
        <v>0</v>
      </c>
      <c r="DP83" s="214">
        <f t="shared" si="456"/>
        <v>0</v>
      </c>
      <c r="DQ83" s="214">
        <f t="shared" si="456"/>
        <v>0</v>
      </c>
      <c r="DR83" s="214">
        <f t="shared" si="456"/>
        <v>0</v>
      </c>
      <c r="DS83" s="214">
        <f t="shared" si="456"/>
        <v>0</v>
      </c>
      <c r="DT83" s="214">
        <f t="shared" si="456"/>
        <v>0</v>
      </c>
      <c r="DU83" s="214">
        <f t="shared" si="456"/>
        <v>0</v>
      </c>
      <c r="DV83" s="214">
        <f t="shared" si="456"/>
        <v>0</v>
      </c>
      <c r="DW83" s="214">
        <f t="shared" si="456"/>
        <v>0</v>
      </c>
      <c r="DZ83" s="650"/>
      <c r="FI83" s="195"/>
      <c r="FJ83" s="195"/>
      <c r="FK83" s="195"/>
      <c r="FL83" s="195"/>
      <c r="FM83" s="195"/>
      <c r="FN83" s="195"/>
      <c r="FO83" s="195"/>
    </row>
    <row r="84" spans="1:171">
      <c r="A84" s="342" t="s">
        <v>112</v>
      </c>
      <c r="B84" s="427" t="str">
        <f>'Portfolio Inputs'!A83</f>
        <v>25≤60 W LED Fixtures (Exterior/Parking Garage)</v>
      </c>
      <c r="C84" s="217">
        <f>IF($C$1=2014,'Portfolio Inputs'!$C83,IF($C$1=2015,'Portfolio Inputs'!$D83,'Portfolio Inputs'!$E83))</f>
        <v>66</v>
      </c>
      <c r="D84" s="504">
        <f>VLOOKUP(B84,Sources!$B$4:$J$104,2,FALSE)</f>
        <v>15</v>
      </c>
      <c r="E84" s="504">
        <f>VLOOKUP(B84,Sources!$B$4:$J$104,3,FALSE)</f>
        <v>0</v>
      </c>
      <c r="G84" s="504">
        <f>IF($C$1=2014,'Portfolio Inputs'!$G83,IF($C$1=2015,'Portfolio Inputs'!$H83,'Portfolio Inputs'!$I83))*EnergyLineLoss</f>
        <v>31898.588832000001</v>
      </c>
      <c r="H84" s="504"/>
      <c r="I84" s="595">
        <f>IF($C$1=2014,'Portfolio Inputs'!$K83,IF($C$1=2015,'Portfolio Inputs'!$L83,'Portfolio Inputs'!$M83))*PeakLineLoss</f>
        <v>0</v>
      </c>
      <c r="J84" s="510"/>
      <c r="L84" s="606">
        <f>IF($C$1=2014,'Portfolio Inputs'!$O83,IF($C$1=2015,'Portfolio Inputs'!$P83,'Portfolio Inputs'!$Q83))</f>
        <v>250</v>
      </c>
      <c r="M84" s="518">
        <f>VLOOKUP($B84,Sources!$B$4:$K$104,10,FALSE)</f>
        <v>0</v>
      </c>
      <c r="N84" s="419">
        <f>IF($C$1=2014,'Portfolio Inputs'!$W83,IF($C$1=2015,'Portfolio Inputs'!$X83,'Portfolio Inputs'!$Y83))</f>
        <v>4950</v>
      </c>
      <c r="O84" s="419">
        <f>IF($C$1=2014,'Portfolio Inputs'!$AA83,IF($C$1=2015,'Portfolio Inputs'!$AB83,'Portfolio Inputs'!$AC83))</f>
        <v>0</v>
      </c>
      <c r="Q84" s="438">
        <f t="shared" si="457"/>
        <v>0.74083202490037203</v>
      </c>
      <c r="R84" s="439">
        <f t="shared" si="458"/>
        <v>2.4694400830012402</v>
      </c>
      <c r="S84" s="439">
        <f t="shared" si="459"/>
        <v>0.9360258971198383</v>
      </c>
      <c r="T84" s="439">
        <f t="shared" si="460"/>
        <v>2.2439330813038469</v>
      </c>
      <c r="U84" s="439">
        <f t="shared" si="461"/>
        <v>2.2439330813038469</v>
      </c>
      <c r="V84" s="439">
        <f t="shared" si="462"/>
        <v>0.3301488939544972</v>
      </c>
      <c r="W84" s="439">
        <f t="shared" si="463"/>
        <v>0.3301488939544972</v>
      </c>
      <c r="Y84" s="215">
        <f t="shared" si="464"/>
        <v>12223.728410856138</v>
      </c>
      <c r="Z84" s="215">
        <f t="shared" si="465"/>
        <v>3220.6988916211935</v>
      </c>
      <c r="AA84" s="215">
        <f t="shared" si="466"/>
        <v>32074.895841513477</v>
      </c>
      <c r="AB84" s="215">
        <f t="shared" si="467"/>
        <v>32074.895841513477</v>
      </c>
      <c r="AC84" s="216">
        <f t="shared" si="468"/>
        <v>0</v>
      </c>
      <c r="AD84" s="216">
        <f t="shared" si="469"/>
        <v>4950</v>
      </c>
      <c r="AE84" s="215">
        <f t="shared" si="470"/>
        <v>16500</v>
      </c>
      <c r="AG84" s="214">
        <f>IF(AND(($E84+$C$1)&gt;AG$4,AG$4&gt;=$C$1),'General Inputs'!D$9*$H84,IF(AND(($D84+$C$1)&gt;AG$4,AG$4&gt;=$C$1),'General Inputs'!D$9*$G84,0))+IF(AND(($E84+$C$1)&gt;AG$4,AG$4&gt;=$C$1),'General Inputs'!D$10*$J84,IF(AND(($D84+$C$1)&gt;AG$4,AG$4&gt;=$C$1),'General Inputs'!D$10*$I84,0))</f>
        <v>1269.955206960474</v>
      </c>
      <c r="AH84" s="214">
        <f>IF(AND(($E84+$C$1)&gt;AH$4,AH$4&gt;=$C$1),'General Inputs'!E$9*$H84,IF(AND(($D84+$C$1)&gt;AH$4,AH$4&gt;=$C$1),'General Inputs'!E$9*$G84,0))+IF(AND(($E84+$C$1)&gt;AH$4,AH$4&gt;=$C$1),'General Inputs'!E$10*$J84,IF(AND(($D84+$C$1)&gt;AH$4,AH$4&gt;=$C$1),'General Inputs'!E$10*$I84,0))</f>
        <v>1289.0045350648811</v>
      </c>
      <c r="AI84" s="214">
        <f>IF(AND(($E84+$C$1)&gt;AI$4,AI$4&gt;=$C$1),'General Inputs'!F$9*$H84,IF(AND(($D84+$C$1)&gt;AI$4,AI$4&gt;=$C$1),'General Inputs'!F$9*$G84,0))+IF(AND(($E84+$C$1)&gt;AI$4,AI$4&gt;=$C$1),'General Inputs'!F$10*$J84,IF(AND(($D84+$C$1)&gt;AI$4,AI$4&gt;=$C$1),'General Inputs'!F$10*$I84,0))</f>
        <v>1308.3396030908541</v>
      </c>
      <c r="AJ84" s="214">
        <f>IF(AND(($E84+$C$1)&gt;AJ$4,AJ$4&gt;=$C$1),'General Inputs'!G$9*$H84,IF(AND(($D84+$C$1)&gt;AJ$4,AJ$4&gt;=$C$1),'General Inputs'!G$9*$G84,0))+IF(AND(($E84+$C$1)&gt;AJ$4,AJ$4&gt;=$C$1),'General Inputs'!G$10*$J84,IF(AND(($D84+$C$1)&gt;AJ$4,AJ$4&gt;=$C$1),'General Inputs'!G$10*$I84,0))</f>
        <v>1327.9646971372167</v>
      </c>
      <c r="AK84" s="214">
        <f>IF(AND(($E84+$C$1)&gt;AK$4,AK$4&gt;=$C$1),'General Inputs'!H$9*$H84,IF(AND(($D84+$C$1)&gt;AK$4,AK$4&gt;=$C$1),'General Inputs'!H$9*$G84,0))+IF(AND(($E84+$C$1)&gt;AK$4,AK$4&gt;=$C$1),'General Inputs'!H$10*$J84,IF(AND(($D84+$C$1)&gt;AK$4,AK$4&gt;=$C$1),'General Inputs'!H$10*$I84,0))</f>
        <v>1347.8841675942749</v>
      </c>
      <c r="AL84" s="214">
        <f>IF(AND(($E84+$C$1)&gt;AL$4,AL$4&gt;=$C$1),'General Inputs'!I$9*$H84,IF(AND(($D84+$C$1)&gt;AL$4,AL$4&gt;=$C$1),'General Inputs'!I$9*$G84,0))+IF(AND(($E84+$C$1)&gt;AL$4,AL$4&gt;=$C$1),'General Inputs'!I$10*$J84,IF(AND(($D84+$C$1)&gt;AL$4,AL$4&gt;=$C$1),'General Inputs'!I$10*$I84,0))</f>
        <v>1368.1024301081889</v>
      </c>
      <c r="AM84" s="214">
        <f>IF(AND(($E84+$C$1)&gt;AM$4,AM$4&gt;=$C$1),'General Inputs'!J$9*$H84,IF(AND(($D84+$C$1)&gt;AM$4,AM$4&gt;=$C$1),'General Inputs'!J$9*$G84,0))+IF(AND(($E84+$C$1)&gt;AM$4,AM$4&gt;=$C$1),'General Inputs'!J$10*$J84,IF(AND(($D84+$C$1)&gt;AM$4,AM$4&gt;=$C$1),'General Inputs'!J$10*$I84,0))</f>
        <v>1388.6239665598114</v>
      </c>
      <c r="AN84" s="214">
        <f>IF(AND(($E84+$C$1)&gt;AN$4,AN$4&gt;=$C$1),'General Inputs'!K$9*$H84,IF(AND(($D84+$C$1)&gt;AN$4,AN$4&gt;=$C$1),'General Inputs'!K$9*$G84,0))+IF(AND(($E84+$C$1)&gt;AN$4,AN$4&gt;=$C$1),'General Inputs'!K$10*$J84,IF(AND(($D84+$C$1)&gt;AN$4,AN$4&gt;=$C$1),'General Inputs'!K$10*$I84,0))</f>
        <v>1409.4533260582084</v>
      </c>
      <c r="AO84" s="214">
        <f>IF(AND(($E84+$C$1)&gt;AO$4,AO$4&gt;=$C$1),'General Inputs'!L$9*$H84,IF(AND(($D84+$C$1)&gt;AO$4,AO$4&gt;=$C$1),'General Inputs'!L$9*$G84,0))+IF(AND(($E84+$C$1)&gt;AO$4,AO$4&gt;=$C$1),'General Inputs'!L$10*$J84,IF(AND(($D84+$C$1)&gt;AO$4,AO$4&gt;=$C$1),'General Inputs'!L$10*$I84,0))</f>
        <v>1430.5951259490814</v>
      </c>
      <c r="AP84" s="214">
        <f>IF(AND(($E84+$C$1)&gt;AP$4,AP$4&gt;=$C$1),'General Inputs'!M$9*$H84,IF(AND(($D84+$C$1)&gt;AP$4,AP$4&gt;=$C$1),'General Inputs'!M$9*$G84,0))+IF(AND(($E84+$C$1)&gt;AP$4,AP$4&gt;=$C$1),'General Inputs'!M$10*$J84,IF(AND(($D84+$C$1)&gt;AP$4,AP$4&gt;=$C$1),'General Inputs'!M$10*$I84,0))</f>
        <v>1452.0540528383174</v>
      </c>
      <c r="AQ84" s="214">
        <f>IF(AND(($E84+$C$1)&gt;AQ$4,AQ$4&gt;=$C$1),'General Inputs'!N$9*$H84,IF(AND(($D84+$C$1)&gt;AQ$4,AQ$4&gt;=$C$1),'General Inputs'!N$9*$G84,0))+IF(AND(($E84+$C$1)&gt;AQ$4,AQ$4&gt;=$C$1),'General Inputs'!N$10*$J84,IF(AND(($D84+$C$1)&gt;AQ$4,AQ$4&gt;=$C$1),'General Inputs'!N$10*$I84,0))</f>
        <v>1473.834863630892</v>
      </c>
      <c r="AR84" s="214">
        <f>IF(AND(($E84+$C$1)&gt;AR$4,AR$4&gt;=$C$1),'General Inputs'!O$9*$H84,IF(AND(($D84+$C$1)&gt;AR$4,AR$4&gt;=$C$1),'General Inputs'!O$9*$G84,0))+IF(AND(($E84+$C$1)&gt;AR$4,AR$4&gt;=$C$1),'General Inputs'!O$10*$J84,IF(AND(($D84+$C$1)&gt;AR$4,AR$4&gt;=$C$1),'General Inputs'!O$10*$I84,0))</f>
        <v>1495.9423865853553</v>
      </c>
      <c r="AS84" s="214">
        <f>IF(AND(($E84+$C$1)&gt;AS$4,AS$4&gt;=$C$1),'General Inputs'!P$9*$H84,IF(AND(($D84+$C$1)&gt;AS$4,AS$4&gt;=$C$1),'General Inputs'!P$9*$G84,0))+IF(AND(($E84+$C$1)&gt;AS$4,AS$4&gt;=$C$1),'General Inputs'!P$10*$J84,IF(AND(($D84+$C$1)&gt;AS$4,AS$4&gt;=$C$1),'General Inputs'!P$10*$I84,0))</f>
        <v>1518.3815223841355</v>
      </c>
      <c r="AT84" s="214">
        <f>IF(AND(($E84+$C$1)&gt;AT$4,AT$4&gt;=$C$1),'General Inputs'!Q$9*$H84,IF(AND(($D84+$C$1)&gt;AT$4,AT$4&gt;=$C$1),'General Inputs'!Q$9*$G84,0))+IF(AND(($E84+$C$1)&gt;AT$4,AT$4&gt;=$C$1),'General Inputs'!Q$10*$J84,IF(AND(($D84+$C$1)&gt;AT$4,AT$4&gt;=$C$1),'General Inputs'!Q$10*$I84,0))</f>
        <v>1541.1572452198973</v>
      </c>
      <c r="AU84" s="214">
        <f>IF(AND(($E84+$C$1)&gt;AU$4,AU$4&gt;=$C$1),'General Inputs'!R$9*$H84,IF(AND(($D84+$C$1)&gt;AU$4,AU$4&gt;=$C$1),'General Inputs'!R$9*$G84,0))+IF(AND(($E84+$C$1)&gt;AU$4,AU$4&gt;=$C$1),'General Inputs'!R$10*$J84,IF(AND(($D84+$C$1)&gt;AU$4,AU$4&gt;=$C$1),'General Inputs'!R$10*$I84,0))</f>
        <v>1564.2746038981957</v>
      </c>
      <c r="AV84" s="214">
        <f>IF(AND(($E84+$C$1)&gt;AV$4,AV$4&gt;=$C$1),'General Inputs'!S$9*$H84,IF(AND(($D84+$C$1)&gt;AV$4,AV$4&gt;=$C$1),'General Inputs'!S$9*$G84,0))+IF(AND(($E84+$C$1)&gt;AV$4,AV$4&gt;=$C$1),'General Inputs'!S$10*$J84,IF(AND(($D84+$C$1)&gt;AV$4,AV$4&gt;=$C$1),'General Inputs'!S$10*$I84,0))</f>
        <v>0</v>
      </c>
      <c r="AW84" s="214">
        <f>IF(AND(($E84+$C$1)&gt;AW$4,AW$4&gt;=$C$1),'General Inputs'!T$9*$H84,IF(AND(($D84+$C$1)&gt;AW$4,AW$4&gt;=$C$1),'General Inputs'!T$9*$G84,0))+IF(AND(($E84+$C$1)&gt;AW$4,AW$4&gt;=$C$1),'General Inputs'!T$10*$J84,IF(AND(($D84+$C$1)&gt;AW$4,AW$4&gt;=$C$1),'General Inputs'!T$10*$I84,0))</f>
        <v>0</v>
      </c>
      <c r="AX84" s="214">
        <f>IF(AND(($E84+$C$1)&gt;AX$4,AX$4&gt;=$C$1),'General Inputs'!U$9*$H84,IF(AND(($D84+$C$1)&gt;AX$4,AX$4&gt;=$C$1),'General Inputs'!U$9*$G84,0))+IF(AND(($E84+$C$1)&gt;AX$4,AX$4&gt;=$C$1),'General Inputs'!U$10*$J84,IF(AND(($D84+$C$1)&gt;AX$4,AX$4&gt;=$C$1),'General Inputs'!U$10*$I84,0))</f>
        <v>0</v>
      </c>
      <c r="AY84" s="214">
        <f>IF(AND(($E84+$C$1)&gt;AY$4,AY$4&gt;=$C$1),'General Inputs'!V$9*$H84,IF(AND(($D84+$C$1)&gt;AY$4,AY$4&gt;=$C$1),'General Inputs'!V$9*$G84,0))+IF(AND(($E84+$C$1)&gt;AY$4,AY$4&gt;=$C$1),'General Inputs'!V$10*$J84,IF(AND(($D84+$C$1)&gt;AY$4,AY$4&gt;=$C$1),'General Inputs'!V$10*$I84,0))</f>
        <v>0</v>
      </c>
      <c r="AZ84" s="214">
        <f>IF(AND(($E84+$C$1)&gt;AZ$4,AZ$4&gt;=$C$1),'General Inputs'!W$9*$H84,IF(AND(($D84+$C$1)&gt;AZ$4,AZ$4&gt;=$C$1),'General Inputs'!W$9*$G84,0))+IF(AND(($E84+$C$1)&gt;AZ$4,AZ$4&gt;=$C$1),'General Inputs'!W$10*$J84,IF(AND(($D84+$C$1)&gt;AZ$4,AZ$4&gt;=$C$1),'General Inputs'!W$10*$I84,0))</f>
        <v>0</v>
      </c>
      <c r="BB84" s="214">
        <f>IF(AND(($E84+$C$1)&gt;BB$4,BB$4&gt;=$C$1),'General Inputs'!D$11*$H84,IF(AND(($D84+$C$1)&gt;BB$4,BB$4&gt;=$C$1),'General Inputs'!D$11*$G84,0))</f>
        <v>363.6439126848</v>
      </c>
      <c r="BC84" s="214">
        <f>IF(AND(($E84+$C$1)&gt;BC$4,BC$4&gt;=$C$1),'General Inputs'!E$11*$H84,IF(AND(($D84+$C$1)&gt;BC$4,BC$4&gt;=$C$1),'General Inputs'!E$11*$G84,0))</f>
        <v>363.6439126848</v>
      </c>
      <c r="BD84" s="214">
        <f>IF(AND(($E84+$C$1)&gt;BD$4,BD$4&gt;=$C$1),'General Inputs'!F$11*$H84,IF(AND(($D84+$C$1)&gt;BD$4,BD$4&gt;=$C$1),'General Inputs'!F$11*$G84,0))</f>
        <v>363.6439126848</v>
      </c>
      <c r="BE84" s="214">
        <f>IF(AND(($E84+$C$1)&gt;BE$4,BE$4&gt;=$C$1),'General Inputs'!G$11*$H84,IF(AND(($D84+$C$1)&gt;BE$4,BE$4&gt;=$C$1),'General Inputs'!G$11*$G84,0))</f>
        <v>363.6439126848</v>
      </c>
      <c r="BF84" s="214">
        <f>IF(AND(($E84+$C$1)&gt;BF$4,BF$4&gt;=$C$1),'General Inputs'!H$11*$H84,IF(AND(($D84+$C$1)&gt;BF$4,BF$4&gt;=$C$1),'General Inputs'!H$11*$G84,0))</f>
        <v>363.6439126848</v>
      </c>
      <c r="BG84" s="214">
        <f>IF(AND(($E84+$C$1)&gt;BG$4,BG$4&gt;=$C$1),'General Inputs'!I$11*$H84,IF(AND(($D84+$C$1)&gt;BG$4,BG$4&gt;=$C$1),'General Inputs'!I$11*$G84,0))</f>
        <v>363.6439126848</v>
      </c>
      <c r="BH84" s="214">
        <f>IF(AND(($E84+$C$1)&gt;BH$4,BH$4&gt;=$C$1),'General Inputs'!J$11*$H84,IF(AND(($D84+$C$1)&gt;BH$4,BH$4&gt;=$C$1),'General Inputs'!J$11*$G84,0))</f>
        <v>363.6439126848</v>
      </c>
      <c r="BI84" s="214">
        <f>IF(AND(($E84+$C$1)&gt;BI$4,BI$4&gt;=$C$1),'General Inputs'!K$11*$H84,IF(AND(($D84+$C$1)&gt;BI$4,BI$4&gt;=$C$1),'General Inputs'!K$11*$G84,0))</f>
        <v>363.6439126848</v>
      </c>
      <c r="BJ84" s="214">
        <f>IF(AND(($E84+$C$1)&gt;BJ$4,BJ$4&gt;=$C$1),'General Inputs'!L$11*$H84,IF(AND(($D84+$C$1)&gt;BJ$4,BJ$4&gt;=$C$1),'General Inputs'!L$11*$G84,0))</f>
        <v>363.6439126848</v>
      </c>
      <c r="BK84" s="214">
        <f>IF(AND(($E84+$C$1)&gt;BK$4,BK$4&gt;=$C$1),'General Inputs'!M$11*$H84,IF(AND(($D84+$C$1)&gt;BK$4,BK$4&gt;=$C$1),'General Inputs'!M$11*$G84,0))</f>
        <v>363.6439126848</v>
      </c>
      <c r="BL84" s="214">
        <f>IF(AND(($E84+$C$1)&gt;BL$4,BL$4&gt;=$C$1),'General Inputs'!N$11*$H84,IF(AND(($D84+$C$1)&gt;BL$4,BL$4&gt;=$C$1),'General Inputs'!N$11*$G84,0))</f>
        <v>363.6439126848</v>
      </c>
      <c r="BM84" s="214">
        <f>IF(AND(($E84+$C$1)&gt;BM$4,BM$4&gt;=$C$1),'General Inputs'!O$11*$H84,IF(AND(($D84+$C$1)&gt;BM$4,BM$4&gt;=$C$1),'General Inputs'!O$11*$G84,0))</f>
        <v>363.6439126848</v>
      </c>
      <c r="BN84" s="214">
        <f>IF(AND(($E84+$C$1)&gt;BN$4,BN$4&gt;=$C$1),'General Inputs'!P$11*$H84,IF(AND(($D84+$C$1)&gt;BN$4,BN$4&gt;=$C$1),'General Inputs'!P$11*$G84,0))</f>
        <v>363.6439126848</v>
      </c>
      <c r="BO84" s="214">
        <f>IF(AND(($E84+$C$1)&gt;BO$4,BO$4&gt;=$C$1),'General Inputs'!Q$11*$H84,IF(AND(($D84+$C$1)&gt;BO$4,BO$4&gt;=$C$1),'General Inputs'!Q$11*$G84,0))</f>
        <v>363.6439126848</v>
      </c>
      <c r="BP84" s="214">
        <f>IF(AND(($E84+$C$1)&gt;BP$4,BP$4&gt;=$C$1),'General Inputs'!R$11*$H84,IF(AND(($D84+$C$1)&gt;BP$4,BP$4&gt;=$C$1),'General Inputs'!R$11*$G84,0))</f>
        <v>363.6439126848</v>
      </c>
      <c r="BQ84" s="214">
        <f>IF(AND(($E84+$C$1)&gt;BQ$4,BQ$4&gt;=$C$1),'General Inputs'!S$11*$H84,IF(AND(($D84+$C$1)&gt;BQ$4,BQ$4&gt;=$C$1),'General Inputs'!S$11*$G84,0))</f>
        <v>0</v>
      </c>
      <c r="BR84" s="214">
        <f>IF(AND(($E84+$C$1)&gt;BR$4,BR$4&gt;=$C$1),'General Inputs'!T$11*$H84,IF(AND(($D84+$C$1)&gt;BR$4,BR$4&gt;=$C$1),'General Inputs'!T$11*$G84,0))</f>
        <v>0</v>
      </c>
      <c r="BS84" s="214">
        <f>IF(AND(($E84+$C$1)&gt;BS$4,BS$4&gt;=$C$1),'General Inputs'!U$11*$H84,IF(AND(($D84+$C$1)&gt;BS$4,BS$4&gt;=$C$1),'General Inputs'!U$11*$G84,0))</f>
        <v>0</v>
      </c>
      <c r="BT84" s="214">
        <f>IF(AND(($E84+$C$1)&gt;BT$4,BT$4&gt;=$C$1),'General Inputs'!V$11*$H84,IF(AND(($D84+$C$1)&gt;BT$4,BT$4&gt;=$C$1),'General Inputs'!V$11*$G84,0))</f>
        <v>0</v>
      </c>
      <c r="BU84" s="214">
        <f>IF(AND(($E84+$C$1)&gt;BU$4,BU$4&gt;=$C$1),'General Inputs'!W$11*$H84,IF(AND(($D84+$C$1)&gt;BU$4,BU$4&gt;=$C$1),'General Inputs'!W$11*$G84,0))</f>
        <v>0</v>
      </c>
      <c r="BW84" s="214">
        <f>IF(AND(($E84+$C$1)&gt;BW$4,BW$4&gt;=$C$1),$H84,IF(AND(($D84+$C$1)&gt;BW$4,BW$4&gt;=$C$1),$G84,0))*IF($A84="Residential",'General Inputs'!D$14,'General Inputs'!D$19)</f>
        <v>3332.345060159264</v>
      </c>
      <c r="BX84" s="214">
        <f>IF(AND(($E84+$C$1)&gt;BX$4,BX$4&gt;=$C$1),$H84,IF(AND(($D84+$C$1)&gt;BX$4,BX$4&gt;=$C$1),$G84,0))*IF($A84="Residential",'General Inputs'!E$14,'General Inputs'!E$19)</f>
        <v>3382.3302360616526</v>
      </c>
      <c r="BY84" s="214">
        <f>IF(AND(($E84+$C$1)&gt;BY$4,BY$4&gt;=$C$1),$H84,IF(AND(($D84+$C$1)&gt;BY$4,BY$4&gt;=$C$1),$G84,0))*IF($A84="Residential",'General Inputs'!F$14,'General Inputs'!F$19)</f>
        <v>3433.0651896025774</v>
      </c>
      <c r="BZ84" s="214">
        <f>IF(AND(($E84+$C$1)&gt;BZ$4,BZ$4&gt;=$C$1),$H84,IF(AND(($D84+$C$1)&gt;BZ$4,BZ$4&gt;=$C$1),$G84,0))*IF($A84="Residential",'General Inputs'!G$14,'General Inputs'!G$19)</f>
        <v>3484.5611674466159</v>
      </c>
      <c r="CA84" s="214">
        <f>IF(AND(($E84+$C$1)&gt;CA$4,CA$4&gt;=$C$1),$H84,IF(AND(($D84+$C$1)&gt;CA$4,CA$4&gt;=$C$1),$G84,0))*IF($A84="Residential",'General Inputs'!H$14,'General Inputs'!H$19)</f>
        <v>3536.8295849583142</v>
      </c>
      <c r="CB84" s="214">
        <f>IF(AND(($E84+$C$1)&gt;CB$4,CB$4&gt;=$C$1),$H84,IF(AND(($D84+$C$1)&gt;CB$4,CB$4&gt;=$C$1),$G84,0))*IF($A84="Residential",'General Inputs'!I$14,'General Inputs'!I$19)</f>
        <v>3589.8820287326885</v>
      </c>
      <c r="CC84" s="214">
        <f>IF(AND(($E84+$C$1)&gt;CC$4,CC$4&gt;=$C$1),$H84,IF(AND(($D84+$C$1)&gt;CC$4,CC$4&gt;=$C$1),$G84,0))*IF($A84="Residential",'General Inputs'!J$14,'General Inputs'!J$19)</f>
        <v>3643.7302591636785</v>
      </c>
      <c r="CD84" s="214">
        <f>IF(AND(($E84+$C$1)&gt;CD$4,CD$4&gt;=$C$1),$H84,IF(AND(($D84+$C$1)&gt;CD$4,CD$4&gt;=$C$1),$G84,0))*IF($A84="Residential",'General Inputs'!K$14,'General Inputs'!K$19)</f>
        <v>3698.3862130511334</v>
      </c>
      <c r="CE84" s="214">
        <f>IF(AND(($E84+$C$1)&gt;CE$4,CE$4&gt;=$C$1),$H84,IF(AND(($D84+$C$1)&gt;CE$4,CE$4&gt;=$C$1),$G84,0))*IF($A84="Residential",'General Inputs'!L$14,'General Inputs'!L$19)</f>
        <v>3753.8620062468999</v>
      </c>
      <c r="CF84" s="214">
        <f>IF(AND(($E84+$C$1)&gt;CF$4,CF$4&gt;=$C$1),$H84,IF(AND(($D84+$C$1)&gt;CF$4,CF$4&gt;=$C$1),$G84,0))*IF($A84="Residential",'General Inputs'!M$14,'General Inputs'!M$19)</f>
        <v>3810.1699363406033</v>
      </c>
      <c r="CG84" s="214">
        <f>IF(AND(($E84+$C$1)&gt;CG$4,CG$4&gt;=$C$1),$H84,IF(AND(($D84+$C$1)&gt;CG$4,CG$4&gt;=$C$1),$G84,0))*IF($A84="Residential",'General Inputs'!N$14,'General Inputs'!N$19)</f>
        <v>3867.3224853857123</v>
      </c>
      <c r="CH84" s="214">
        <f>IF(AND(($E84+$C$1)&gt;CH$4,CH$4&gt;=$C$1),$H84,IF(AND(($D84+$C$1)&gt;CH$4,CH$4&gt;=$C$1),$G84,0))*IF($A84="Residential",'General Inputs'!O$14,'General Inputs'!O$19)</f>
        <v>3925.332322666497</v>
      </c>
      <c r="CI84" s="214">
        <f>IF(AND(($E84+$C$1)&gt;CI$4,CI$4&gt;=$C$1),$H84,IF(AND(($D84+$C$1)&gt;CI$4,CI$4&gt;=$C$1),$G84,0))*IF($A84="Residential",'General Inputs'!P$14,'General Inputs'!P$19)</f>
        <v>3984.2123075064942</v>
      </c>
      <c r="CJ84" s="214">
        <f>IF(AND(($E84+$C$1)&gt;CJ$4,CJ$4&gt;=$C$1),$H84,IF(AND(($D84+$C$1)&gt;CJ$4,CJ$4&gt;=$C$1),$G84,0))*IF($A84="Residential",'General Inputs'!Q$14,'General Inputs'!Q$19)</f>
        <v>4043.9754921190915</v>
      </c>
      <c r="CK84" s="214">
        <f>IF(AND(($E84+$C$1)&gt;CK$4,CK$4&gt;=$C$1),$H84,IF(AND(($D84+$C$1)&gt;CK$4,CK$4&gt;=$C$1),$G84,0))*IF($A84="Residential",'General Inputs'!R$14,'General Inputs'!R$19)</f>
        <v>4104.6351245008773</v>
      </c>
      <c r="CL84" s="214">
        <f>IF(AND(($E84+$C$1)&gt;CL$4,CL$4&gt;=$C$1),$H84,IF(AND(($D84+$C$1)&gt;CL$4,CL$4&gt;=$C$1),$G84,0))*IF($A84="Residential",'General Inputs'!S$14,'General Inputs'!S$19)</f>
        <v>0</v>
      </c>
      <c r="CM84" s="214">
        <f>IF(AND(($E84+$C$1)&gt;CM$4,CM$4&gt;=$C$1),$H84,IF(AND(($D84+$C$1)&gt;CM$4,CM$4&gt;=$C$1),$G84,0))*IF($A84="Residential",'General Inputs'!T$14,'General Inputs'!T$19)</f>
        <v>0</v>
      </c>
      <c r="CN84" s="214">
        <f>IF(AND(($E84+$C$1)&gt;CN$4,CN$4&gt;=$C$1),$H84,IF(AND(($D84+$C$1)&gt;CN$4,CN$4&gt;=$C$1),$G84,0))*IF($A84="Residential",'General Inputs'!U$14,'General Inputs'!U$19)</f>
        <v>0</v>
      </c>
      <c r="CO84" s="214">
        <f>IF(AND(($E84+$C$1)&gt;CO$4,CO$4&gt;=$C$1),$H84,IF(AND(($D84+$C$1)&gt;CO$4,CO$4&gt;=$C$1),$G84,0))*IF($A84="Residential",'General Inputs'!V$14,'General Inputs'!V$19)</f>
        <v>0</v>
      </c>
      <c r="CP84" s="214">
        <f>IF(AND(($E84+$C$1)&gt;CP$4,CP$4&gt;=$C$1),$H84,IF(AND(($D84+$C$1)&gt;CP$4,CP$4&gt;=$C$1),$G84,0))*IF($A84="Residential",'General Inputs'!W$14,'General Inputs'!W$19)</f>
        <v>0</v>
      </c>
      <c r="CR84" s="214">
        <f>IF(AND(($E84+$C$1)&gt;CR$4,CR$4&gt;=$C$1),$H84,IF(AND(($D84+$C$1)&gt;CR$4,CR$4&gt;=$C$1),$G84,0))*IF($A84="Residential",'General Inputs'!D$15,'General Inputs'!D$19)</f>
        <v>3332.345060159264</v>
      </c>
      <c r="CS84" s="214">
        <f>IF(AND(($E84+$C$1)&gt;CS$4,CS$4&gt;=$C$1),$H84,IF(AND(($D84+$C$1)&gt;CS$4,CS$4&gt;=$C$1),$G84,0))*IF($A84="Residential",'General Inputs'!E$15,'General Inputs'!E$19)</f>
        <v>3382.3302360616526</v>
      </c>
      <c r="CT84" s="214">
        <f>IF(AND(($E84+$C$1)&gt;CT$4,CT$4&gt;=$C$1),$H84,IF(AND(($D84+$C$1)&gt;CT$4,CT$4&gt;=$C$1),$G84,0))*IF($A84="Residential",'General Inputs'!F$15,'General Inputs'!F$19)</f>
        <v>3433.0651896025774</v>
      </c>
      <c r="CU84" s="214">
        <f>IF(AND(($E84+$C$1)&gt;CU$4,CU$4&gt;=$C$1),$H84,IF(AND(($D84+$C$1)&gt;CU$4,CU$4&gt;=$C$1),$G84,0))*IF($A84="Residential",'General Inputs'!G$15,'General Inputs'!G$19)</f>
        <v>3484.5611674466159</v>
      </c>
      <c r="CV84" s="214">
        <f>IF(AND(($E84+$C$1)&gt;CV$4,CV$4&gt;=$C$1),$H84,IF(AND(($D84+$C$1)&gt;CV$4,CV$4&gt;=$C$1),$G84,0))*IF($A84="Residential",'General Inputs'!H$15,'General Inputs'!H$19)</f>
        <v>3536.8295849583142</v>
      </c>
      <c r="CW84" s="214">
        <f>IF(AND(($E84+$C$1)&gt;CW$4,CW$4&gt;=$C$1),$H84,IF(AND(($D84+$C$1)&gt;CW$4,CW$4&gt;=$C$1),$G84,0))*IF($A84="Residential",'General Inputs'!I$15,'General Inputs'!I$19)</f>
        <v>3589.8820287326885</v>
      </c>
      <c r="CX84" s="214">
        <f>IF(AND(($E84+$C$1)&gt;CX$4,CX$4&gt;=$C$1),$H84,IF(AND(($D84+$C$1)&gt;CX$4,CX$4&gt;=$C$1),$G84,0))*IF($A84="Residential",'General Inputs'!J$15,'General Inputs'!J$19)</f>
        <v>3643.7302591636785</v>
      </c>
      <c r="CY84" s="214">
        <f>IF(AND(($E84+$C$1)&gt;CY$4,CY$4&gt;=$C$1),$H84,IF(AND(($D84+$C$1)&gt;CY$4,CY$4&gt;=$C$1),$G84,0))*IF($A84="Residential",'General Inputs'!K$15,'General Inputs'!K$19)</f>
        <v>3698.3862130511334</v>
      </c>
      <c r="CZ84" s="214">
        <f>IF(AND(($E84+$C$1)&gt;CZ$4,CZ$4&gt;=$C$1),$H84,IF(AND(($D84+$C$1)&gt;CZ$4,CZ$4&gt;=$C$1),$G84,0))*IF($A84="Residential",'General Inputs'!L$15,'General Inputs'!L$19)</f>
        <v>3753.8620062468999</v>
      </c>
      <c r="DA84" s="214">
        <f>IF(AND(($E84+$C$1)&gt;DA$4,DA$4&gt;=$C$1),$H84,IF(AND(($D84+$C$1)&gt;DA$4,DA$4&gt;=$C$1),$G84,0))*IF($A84="Residential",'General Inputs'!M$15,'General Inputs'!M$19)</f>
        <v>3810.1699363406033</v>
      </c>
      <c r="DB84" s="214">
        <f>IF(AND(($E84+$C$1)&gt;DB$4,DB$4&gt;=$C$1),$H84,IF(AND(($D84+$C$1)&gt;DB$4,DB$4&gt;=$C$1),$G84,0))*IF($A84="Residential",'General Inputs'!N$15,'General Inputs'!N$19)</f>
        <v>3867.3224853857123</v>
      </c>
      <c r="DC84" s="214">
        <f>IF(AND(($E84+$C$1)&gt;DC$4,DC$4&gt;=$C$1),$H84,IF(AND(($D84+$C$1)&gt;DC$4,DC$4&gt;=$C$1),$G84,0))*IF($A84="Residential",'General Inputs'!O$15,'General Inputs'!O$19)</f>
        <v>3925.332322666497</v>
      </c>
      <c r="DD84" s="214">
        <f>IF(AND(($E84+$C$1)&gt;DD$4,DD$4&gt;=$C$1),$H84,IF(AND(($D84+$C$1)&gt;DD$4,DD$4&gt;=$C$1),$G84,0))*IF($A84="Residential",'General Inputs'!P$15,'General Inputs'!P$19)</f>
        <v>3984.2123075064942</v>
      </c>
      <c r="DE84" s="214">
        <f>IF(AND(($E84+$C$1)&gt;DE$4,DE$4&gt;=$C$1),$H84,IF(AND(($D84+$C$1)&gt;DE$4,DE$4&gt;=$C$1),$G84,0))*IF($A84="Residential",'General Inputs'!Q$15,'General Inputs'!Q$19)</f>
        <v>4043.9754921190915</v>
      </c>
      <c r="DF84" s="214">
        <f>IF(AND(($E84+$C$1)&gt;DF$4,DF$4&gt;=$C$1),$H84,IF(AND(($D84+$C$1)&gt;DF$4,DF$4&gt;=$C$1),$G84,0))*IF($A84="Residential",'General Inputs'!R$15,'General Inputs'!R$19)</f>
        <v>4104.6351245008773</v>
      </c>
      <c r="DG84" s="214">
        <f>IF(AND(($E84+$C$1)&gt;DG$4,DG$4&gt;=$C$1),$H84,IF(AND(($D84+$C$1)&gt;DG$4,DG$4&gt;=$C$1),$G84,0))*IF($A84="Residential",'General Inputs'!S$15,'General Inputs'!S$19)</f>
        <v>0</v>
      </c>
      <c r="DH84" s="214">
        <f>IF(AND(($E84+$C$1)&gt;DH$4,DH$4&gt;=$C$1),$H84,IF(AND(($D84+$C$1)&gt;DH$4,DH$4&gt;=$C$1),$G84,0))*IF($A84="Residential",'General Inputs'!T$15,'General Inputs'!T$19)</f>
        <v>0</v>
      </c>
      <c r="DI84" s="214">
        <f>IF(AND(($E84+$C$1)&gt;DI$4,DI$4&gt;=$C$1),$H84,IF(AND(($D84+$C$1)&gt;DI$4,DI$4&gt;=$C$1),$G84,0))*IF($A84="Residential",'General Inputs'!U$15,'General Inputs'!U$19)</f>
        <v>0</v>
      </c>
      <c r="DJ84" s="214">
        <f>IF(AND(($E84+$C$1)&gt;DJ$4,DJ$4&gt;=$C$1),$H84,IF(AND(($D84+$C$1)&gt;DJ$4,DJ$4&gt;=$C$1),$G84,0))*IF($A84="Residential",'General Inputs'!V$15,'General Inputs'!V$19)</f>
        <v>0</v>
      </c>
      <c r="DK84" s="214">
        <f>IF(AND(($E84+$C$1)&gt;DK$4,DK$4&gt;=$C$1),$H84,IF(AND(($D84+$C$1)&gt;DK$4,DK$4&gt;=$C$1),$G84,0))*IF($A84="Residential",'General Inputs'!W$15,'General Inputs'!W$19)</f>
        <v>0</v>
      </c>
      <c r="DM84" s="214">
        <f t="shared" ref="DM84:DW85" si="471">IF($C$1=DM$4,$L84*$C84,IF($E84+$C$1=DM$4,-$M84*$C84,0))</f>
        <v>16500</v>
      </c>
      <c r="DN84" s="214">
        <f t="shared" si="471"/>
        <v>0</v>
      </c>
      <c r="DO84" s="214">
        <f t="shared" si="471"/>
        <v>0</v>
      </c>
      <c r="DP84" s="214">
        <f t="shared" si="471"/>
        <v>0</v>
      </c>
      <c r="DQ84" s="214">
        <f t="shared" si="471"/>
        <v>0</v>
      </c>
      <c r="DR84" s="214">
        <f t="shared" si="471"/>
        <v>0</v>
      </c>
      <c r="DS84" s="214">
        <f t="shared" si="471"/>
        <v>0</v>
      </c>
      <c r="DT84" s="214">
        <f t="shared" si="471"/>
        <v>0</v>
      </c>
      <c r="DU84" s="214">
        <f t="shared" si="471"/>
        <v>0</v>
      </c>
      <c r="DV84" s="214">
        <f t="shared" si="471"/>
        <v>0</v>
      </c>
      <c r="DW84" s="214">
        <f t="shared" si="471"/>
        <v>0</v>
      </c>
      <c r="DZ84" s="650"/>
      <c r="FI84" s="195"/>
      <c r="FJ84" s="195"/>
      <c r="FK84" s="195"/>
      <c r="FL84" s="195"/>
      <c r="FM84" s="195"/>
      <c r="FN84" s="195"/>
      <c r="FO84" s="195"/>
    </row>
    <row r="85" spans="1:171">
      <c r="A85" s="342" t="s">
        <v>112</v>
      </c>
      <c r="B85" s="427" t="str">
        <f>'Portfolio Inputs'!A84</f>
        <v>60≤155 W LED Fixtures (Exterior/Parking Garage)</v>
      </c>
      <c r="C85" s="217">
        <f>IF($C$1=2014,'Portfolio Inputs'!$C84,IF($C$1=2015,'Portfolio Inputs'!$D84,'Portfolio Inputs'!$E84))</f>
        <v>142</v>
      </c>
      <c r="D85" s="504">
        <f>VLOOKUP(B85,Sources!$B$4:$J$104,2,FALSE)</f>
        <v>15</v>
      </c>
      <c r="E85" s="504">
        <f>VLOOKUP(B85,Sources!$B$4:$J$104,3,FALSE)</f>
        <v>0</v>
      </c>
      <c r="G85" s="504">
        <f>IF($C$1=2014,'Portfolio Inputs'!$G84,IF($C$1=2015,'Portfolio Inputs'!$H84,'Portfolio Inputs'!$I84))*EnergyLineLoss</f>
        <v>128734.43781599998</v>
      </c>
      <c r="H85" s="504"/>
      <c r="I85" s="595">
        <f>IF($C$1=2014,'Portfolio Inputs'!$K84,IF($C$1=2015,'Portfolio Inputs'!$L84,'Portfolio Inputs'!$M84))*PeakLineLoss</f>
        <v>0</v>
      </c>
      <c r="J85" s="510"/>
      <c r="L85" s="606">
        <f>IF($C$1=2014,'Portfolio Inputs'!$O84,IF($C$1=2015,'Portfolio Inputs'!$P84,'Portfolio Inputs'!$Q84))</f>
        <v>375</v>
      </c>
      <c r="M85" s="518">
        <f>VLOOKUP($B85,Sources!$B$4:$K$104,10,FALSE)</f>
        <v>0</v>
      </c>
      <c r="N85" s="419">
        <f>IF($C$1=2014,'Portfolio Inputs'!$W84,IF($C$1=2015,'Portfolio Inputs'!$X84,'Portfolio Inputs'!$Y84))</f>
        <v>14200</v>
      </c>
      <c r="O85" s="419">
        <f>IF($C$1=2014,'Portfolio Inputs'!$AA84,IF($C$1=2015,'Portfolio Inputs'!$AB84,'Portfolio Inputs'!$AC84))</f>
        <v>0</v>
      </c>
      <c r="Q85" s="438">
        <f t="shared" si="457"/>
        <v>0.9264187796044524</v>
      </c>
      <c r="R85" s="439">
        <f t="shared" si="458"/>
        <v>3.4740704235166966</v>
      </c>
      <c r="S85" s="439">
        <f t="shared" si="459"/>
        <v>1.1705109122469957</v>
      </c>
      <c r="T85" s="439">
        <f t="shared" si="460"/>
        <v>2.6975768491151375</v>
      </c>
      <c r="U85" s="439">
        <f t="shared" si="461"/>
        <v>2.6975768491151375</v>
      </c>
      <c r="V85" s="439">
        <f t="shared" si="462"/>
        <v>0.34342627899862704</v>
      </c>
      <c r="W85" s="439">
        <f t="shared" si="463"/>
        <v>0.34342627899862704</v>
      </c>
      <c r="Y85" s="215">
        <f t="shared" si="464"/>
        <v>49331.800013937092</v>
      </c>
      <c r="Z85" s="215">
        <f t="shared" si="465"/>
        <v>12997.906063215425</v>
      </c>
      <c r="AA85" s="215">
        <f t="shared" si="466"/>
        <v>129445.96721538107</v>
      </c>
      <c r="AB85" s="215">
        <f t="shared" si="467"/>
        <v>129445.96721538107</v>
      </c>
      <c r="AC85" s="216">
        <f t="shared" si="468"/>
        <v>0</v>
      </c>
      <c r="AD85" s="216">
        <f t="shared" si="469"/>
        <v>14200</v>
      </c>
      <c r="AE85" s="215">
        <f t="shared" si="470"/>
        <v>53250</v>
      </c>
      <c r="AG85" s="214">
        <f>IF(AND(($E85+$C$1)&gt;AG$4,AG$4&gt;=$C$1),'General Inputs'!D$9*$H85,IF(AND(($D85+$C$1)&gt;AG$4,AG$4&gt;=$C$1),'General Inputs'!D$9*$G85,0))+IF(AND(($E85+$C$1)&gt;AG$4,AG$4&gt;=$C$1),'General Inputs'!D$10*$J85,IF(AND(($D85+$C$1)&gt;AG$4,AG$4&gt;=$C$1),'General Inputs'!D$10*$I85,0))</f>
        <v>5125.2100988101329</v>
      </c>
      <c r="AH85" s="214">
        <f>IF(AND(($E85+$C$1)&gt;AH$4,AH$4&gt;=$C$1),'General Inputs'!E$9*$H85,IF(AND(($D85+$C$1)&gt;AH$4,AH$4&gt;=$C$1),'General Inputs'!E$9*$G85,0))+IF(AND(($E85+$C$1)&gt;AH$4,AH$4&gt;=$C$1),'General Inputs'!E$10*$J85,IF(AND(($D85+$C$1)&gt;AH$4,AH$4&gt;=$C$1),'General Inputs'!E$10*$I85,0))</f>
        <v>5202.0882502922841</v>
      </c>
      <c r="AI85" s="214">
        <f>IF(AND(($E85+$C$1)&gt;AI$4,AI$4&gt;=$C$1),'General Inputs'!F$9*$H85,IF(AND(($D85+$C$1)&gt;AI$4,AI$4&gt;=$C$1),'General Inputs'!F$9*$G85,0))+IF(AND(($E85+$C$1)&gt;AI$4,AI$4&gt;=$C$1),'General Inputs'!F$10*$J85,IF(AND(($D85+$C$1)&gt;AI$4,AI$4&gt;=$C$1),'General Inputs'!F$10*$I85,0))</f>
        <v>5280.1195740466683</v>
      </c>
      <c r="AJ85" s="214">
        <f>IF(AND(($E85+$C$1)&gt;AJ$4,AJ$4&gt;=$C$1),'General Inputs'!G$9*$H85,IF(AND(($D85+$C$1)&gt;AJ$4,AJ$4&gt;=$C$1),'General Inputs'!G$9*$G85,0))+IF(AND(($E85+$C$1)&gt;AJ$4,AJ$4&gt;=$C$1),'General Inputs'!G$10*$J85,IF(AND(($D85+$C$1)&gt;AJ$4,AJ$4&gt;=$C$1),'General Inputs'!G$10*$I85,0))</f>
        <v>5359.3213676573678</v>
      </c>
      <c r="AK85" s="214">
        <f>IF(AND(($E85+$C$1)&gt;AK$4,AK$4&gt;=$C$1),'General Inputs'!H$9*$H85,IF(AND(($D85+$C$1)&gt;AK$4,AK$4&gt;=$C$1),'General Inputs'!H$9*$G85,0))+IF(AND(($E85+$C$1)&gt;AK$4,AK$4&gt;=$C$1),'General Inputs'!H$10*$J85,IF(AND(($D85+$C$1)&gt;AK$4,AK$4&gt;=$C$1),'General Inputs'!H$10*$I85,0))</f>
        <v>5439.7111881722276</v>
      </c>
      <c r="AL85" s="214">
        <f>IF(AND(($E85+$C$1)&gt;AL$4,AL$4&gt;=$C$1),'General Inputs'!I$9*$H85,IF(AND(($D85+$C$1)&gt;AL$4,AL$4&gt;=$C$1),'General Inputs'!I$9*$G85,0))+IF(AND(($E85+$C$1)&gt;AL$4,AL$4&gt;=$C$1),'General Inputs'!I$10*$J85,IF(AND(($D85+$C$1)&gt;AL$4,AL$4&gt;=$C$1),'General Inputs'!I$10*$I85,0))</f>
        <v>5521.3068559948097</v>
      </c>
      <c r="AM85" s="214">
        <f>IF(AND(($E85+$C$1)&gt;AM$4,AM$4&gt;=$C$1),'General Inputs'!J$9*$H85,IF(AND(($D85+$C$1)&gt;AM$4,AM$4&gt;=$C$1),'General Inputs'!J$9*$G85,0))+IF(AND(($E85+$C$1)&gt;AM$4,AM$4&gt;=$C$1),'General Inputs'!J$10*$J85,IF(AND(($D85+$C$1)&gt;AM$4,AM$4&gt;=$C$1),'General Inputs'!J$10*$I85,0))</f>
        <v>5604.1264588347312</v>
      </c>
      <c r="AN85" s="214">
        <f>IF(AND(($E85+$C$1)&gt;AN$4,AN$4&gt;=$C$1),'General Inputs'!K$9*$H85,IF(AND(($D85+$C$1)&gt;AN$4,AN$4&gt;=$C$1),'General Inputs'!K$9*$G85,0))+IF(AND(($E85+$C$1)&gt;AN$4,AN$4&gt;=$C$1),'General Inputs'!K$10*$J85,IF(AND(($D85+$C$1)&gt;AN$4,AN$4&gt;=$C$1),'General Inputs'!K$10*$I85,0))</f>
        <v>5688.1883557172514</v>
      </c>
      <c r="AO85" s="214">
        <f>IF(AND(($E85+$C$1)&gt;AO$4,AO$4&gt;=$C$1),'General Inputs'!L$9*$H85,IF(AND(($D85+$C$1)&gt;AO$4,AO$4&gt;=$C$1),'General Inputs'!L$9*$G85,0))+IF(AND(($E85+$C$1)&gt;AO$4,AO$4&gt;=$C$1),'General Inputs'!L$10*$J85,IF(AND(($D85+$C$1)&gt;AO$4,AO$4&gt;=$C$1),'General Inputs'!L$10*$I85,0))</f>
        <v>5773.5111810530098</v>
      </c>
      <c r="AP85" s="214">
        <f>IF(AND(($E85+$C$1)&gt;AP$4,AP$4&gt;=$C$1),'General Inputs'!M$9*$H85,IF(AND(($D85+$C$1)&gt;AP$4,AP$4&gt;=$C$1),'General Inputs'!M$9*$G85,0))+IF(AND(($E85+$C$1)&gt;AP$4,AP$4&gt;=$C$1),'General Inputs'!M$10*$J85,IF(AND(($D85+$C$1)&gt;AP$4,AP$4&gt;=$C$1),'General Inputs'!M$10*$I85,0))</f>
        <v>5860.113848768804</v>
      </c>
      <c r="AQ85" s="214">
        <f>IF(AND(($E85+$C$1)&gt;AQ$4,AQ$4&gt;=$C$1),'General Inputs'!N$9*$H85,IF(AND(($D85+$C$1)&gt;AQ$4,AQ$4&gt;=$C$1),'General Inputs'!N$9*$G85,0))+IF(AND(($E85+$C$1)&gt;AQ$4,AQ$4&gt;=$C$1),'General Inputs'!N$10*$J85,IF(AND(($D85+$C$1)&gt;AQ$4,AQ$4&gt;=$C$1),'General Inputs'!N$10*$I85,0))</f>
        <v>5948.0155565003352</v>
      </c>
      <c r="AR85" s="214">
        <f>IF(AND(($E85+$C$1)&gt;AR$4,AR$4&gt;=$C$1),'General Inputs'!O$9*$H85,IF(AND(($D85+$C$1)&gt;AR$4,AR$4&gt;=$C$1),'General Inputs'!O$9*$G85,0))+IF(AND(($E85+$C$1)&gt;AR$4,AR$4&gt;=$C$1),'General Inputs'!O$10*$J85,IF(AND(($D85+$C$1)&gt;AR$4,AR$4&gt;=$C$1),'General Inputs'!O$10*$I85,0))</f>
        <v>6037.2357898478394</v>
      </c>
      <c r="AS85" s="214">
        <f>IF(AND(($E85+$C$1)&gt;AS$4,AS$4&gt;=$C$1),'General Inputs'!P$9*$H85,IF(AND(($D85+$C$1)&gt;AS$4,AS$4&gt;=$C$1),'General Inputs'!P$9*$G85,0))+IF(AND(($E85+$C$1)&gt;AS$4,AS$4&gt;=$C$1),'General Inputs'!P$10*$J85,IF(AND(($D85+$C$1)&gt;AS$4,AS$4&gt;=$C$1),'General Inputs'!P$10*$I85,0))</f>
        <v>6127.7943266955563</v>
      </c>
      <c r="AT85" s="214">
        <f>IF(AND(($E85+$C$1)&gt;AT$4,AT$4&gt;=$C$1),'General Inputs'!Q$9*$H85,IF(AND(($D85+$C$1)&gt;AT$4,AT$4&gt;=$C$1),'General Inputs'!Q$9*$G85,0))+IF(AND(($E85+$C$1)&gt;AT$4,AT$4&gt;=$C$1),'General Inputs'!Q$10*$J85,IF(AND(($D85+$C$1)&gt;AT$4,AT$4&gt;=$C$1),'General Inputs'!Q$10*$I85,0))</f>
        <v>6219.71124159599</v>
      </c>
      <c r="AU85" s="214">
        <f>IF(AND(($E85+$C$1)&gt;AU$4,AU$4&gt;=$C$1),'General Inputs'!R$9*$H85,IF(AND(($D85+$C$1)&gt;AU$4,AU$4&gt;=$C$1),'General Inputs'!R$9*$G85,0))+IF(AND(($E85+$C$1)&gt;AU$4,AU$4&gt;=$C$1),'General Inputs'!R$10*$J85,IF(AND(($D85+$C$1)&gt;AU$4,AU$4&gt;=$C$1),'General Inputs'!R$10*$I85,0))</f>
        <v>6313.0069102199295</v>
      </c>
      <c r="AV85" s="214">
        <f>IF(AND(($E85+$C$1)&gt;AV$4,AV$4&gt;=$C$1),'General Inputs'!S$9*$H85,IF(AND(($D85+$C$1)&gt;AV$4,AV$4&gt;=$C$1),'General Inputs'!S$9*$G85,0))+IF(AND(($E85+$C$1)&gt;AV$4,AV$4&gt;=$C$1),'General Inputs'!S$10*$J85,IF(AND(($D85+$C$1)&gt;AV$4,AV$4&gt;=$C$1),'General Inputs'!S$10*$I85,0))</f>
        <v>0</v>
      </c>
      <c r="AW85" s="214">
        <f>IF(AND(($E85+$C$1)&gt;AW$4,AW$4&gt;=$C$1),'General Inputs'!T$9*$H85,IF(AND(($D85+$C$1)&gt;AW$4,AW$4&gt;=$C$1),'General Inputs'!T$9*$G85,0))+IF(AND(($E85+$C$1)&gt;AW$4,AW$4&gt;=$C$1),'General Inputs'!T$10*$J85,IF(AND(($D85+$C$1)&gt;AW$4,AW$4&gt;=$C$1),'General Inputs'!T$10*$I85,0))</f>
        <v>0</v>
      </c>
      <c r="AX85" s="214">
        <f>IF(AND(($E85+$C$1)&gt;AX$4,AX$4&gt;=$C$1),'General Inputs'!U$9*$H85,IF(AND(($D85+$C$1)&gt;AX$4,AX$4&gt;=$C$1),'General Inputs'!U$9*$G85,0))+IF(AND(($E85+$C$1)&gt;AX$4,AX$4&gt;=$C$1),'General Inputs'!U$10*$J85,IF(AND(($D85+$C$1)&gt;AX$4,AX$4&gt;=$C$1),'General Inputs'!U$10*$I85,0))</f>
        <v>0</v>
      </c>
      <c r="AY85" s="214">
        <f>IF(AND(($E85+$C$1)&gt;AY$4,AY$4&gt;=$C$1),'General Inputs'!V$9*$H85,IF(AND(($D85+$C$1)&gt;AY$4,AY$4&gt;=$C$1),'General Inputs'!V$9*$G85,0))+IF(AND(($E85+$C$1)&gt;AY$4,AY$4&gt;=$C$1),'General Inputs'!V$10*$J85,IF(AND(($D85+$C$1)&gt;AY$4,AY$4&gt;=$C$1),'General Inputs'!V$10*$I85,0))</f>
        <v>0</v>
      </c>
      <c r="AZ85" s="214">
        <f>IF(AND(($E85+$C$1)&gt;AZ$4,AZ$4&gt;=$C$1),'General Inputs'!W$9*$H85,IF(AND(($D85+$C$1)&gt;AZ$4,AZ$4&gt;=$C$1),'General Inputs'!W$9*$G85,0))+IF(AND(($E85+$C$1)&gt;AZ$4,AZ$4&gt;=$C$1),'General Inputs'!W$10*$J85,IF(AND(($D85+$C$1)&gt;AZ$4,AZ$4&gt;=$C$1),'General Inputs'!W$10*$I85,0))</f>
        <v>0</v>
      </c>
      <c r="BB85" s="214">
        <f>IF(AND(($E85+$C$1)&gt;BB$4,BB$4&gt;=$C$1),'General Inputs'!D$11*$H85,IF(AND(($D85+$C$1)&gt;BB$4,BB$4&gt;=$C$1),'General Inputs'!D$11*$G85,0))</f>
        <v>1467.5725911023999</v>
      </c>
      <c r="BC85" s="214">
        <f>IF(AND(($E85+$C$1)&gt;BC$4,BC$4&gt;=$C$1),'General Inputs'!E$11*$H85,IF(AND(($D85+$C$1)&gt;BC$4,BC$4&gt;=$C$1),'General Inputs'!E$11*$G85,0))</f>
        <v>1467.5725911023999</v>
      </c>
      <c r="BD85" s="214">
        <f>IF(AND(($E85+$C$1)&gt;BD$4,BD$4&gt;=$C$1),'General Inputs'!F$11*$H85,IF(AND(($D85+$C$1)&gt;BD$4,BD$4&gt;=$C$1),'General Inputs'!F$11*$G85,0))</f>
        <v>1467.5725911023999</v>
      </c>
      <c r="BE85" s="214">
        <f>IF(AND(($E85+$C$1)&gt;BE$4,BE$4&gt;=$C$1),'General Inputs'!G$11*$H85,IF(AND(($D85+$C$1)&gt;BE$4,BE$4&gt;=$C$1),'General Inputs'!G$11*$G85,0))</f>
        <v>1467.5725911023999</v>
      </c>
      <c r="BF85" s="214">
        <f>IF(AND(($E85+$C$1)&gt;BF$4,BF$4&gt;=$C$1),'General Inputs'!H$11*$H85,IF(AND(($D85+$C$1)&gt;BF$4,BF$4&gt;=$C$1),'General Inputs'!H$11*$G85,0))</f>
        <v>1467.5725911023999</v>
      </c>
      <c r="BG85" s="214">
        <f>IF(AND(($E85+$C$1)&gt;BG$4,BG$4&gt;=$C$1),'General Inputs'!I$11*$H85,IF(AND(($D85+$C$1)&gt;BG$4,BG$4&gt;=$C$1),'General Inputs'!I$11*$G85,0))</f>
        <v>1467.5725911023999</v>
      </c>
      <c r="BH85" s="214">
        <f>IF(AND(($E85+$C$1)&gt;BH$4,BH$4&gt;=$C$1),'General Inputs'!J$11*$H85,IF(AND(($D85+$C$1)&gt;BH$4,BH$4&gt;=$C$1),'General Inputs'!J$11*$G85,0))</f>
        <v>1467.5725911023999</v>
      </c>
      <c r="BI85" s="214">
        <f>IF(AND(($E85+$C$1)&gt;BI$4,BI$4&gt;=$C$1),'General Inputs'!K$11*$H85,IF(AND(($D85+$C$1)&gt;BI$4,BI$4&gt;=$C$1),'General Inputs'!K$11*$G85,0))</f>
        <v>1467.5725911023999</v>
      </c>
      <c r="BJ85" s="214">
        <f>IF(AND(($E85+$C$1)&gt;BJ$4,BJ$4&gt;=$C$1),'General Inputs'!L$11*$H85,IF(AND(($D85+$C$1)&gt;BJ$4,BJ$4&gt;=$C$1),'General Inputs'!L$11*$G85,0))</f>
        <v>1467.5725911023999</v>
      </c>
      <c r="BK85" s="214">
        <f>IF(AND(($E85+$C$1)&gt;BK$4,BK$4&gt;=$C$1),'General Inputs'!M$11*$H85,IF(AND(($D85+$C$1)&gt;BK$4,BK$4&gt;=$C$1),'General Inputs'!M$11*$G85,0))</f>
        <v>1467.5725911023999</v>
      </c>
      <c r="BL85" s="214">
        <f>IF(AND(($E85+$C$1)&gt;BL$4,BL$4&gt;=$C$1),'General Inputs'!N$11*$H85,IF(AND(($D85+$C$1)&gt;BL$4,BL$4&gt;=$C$1),'General Inputs'!N$11*$G85,0))</f>
        <v>1467.5725911023999</v>
      </c>
      <c r="BM85" s="214">
        <f>IF(AND(($E85+$C$1)&gt;BM$4,BM$4&gt;=$C$1),'General Inputs'!O$11*$H85,IF(AND(($D85+$C$1)&gt;BM$4,BM$4&gt;=$C$1),'General Inputs'!O$11*$G85,0))</f>
        <v>1467.5725911023999</v>
      </c>
      <c r="BN85" s="214">
        <f>IF(AND(($E85+$C$1)&gt;BN$4,BN$4&gt;=$C$1),'General Inputs'!P$11*$H85,IF(AND(($D85+$C$1)&gt;BN$4,BN$4&gt;=$C$1),'General Inputs'!P$11*$G85,0))</f>
        <v>1467.5725911023999</v>
      </c>
      <c r="BO85" s="214">
        <f>IF(AND(($E85+$C$1)&gt;BO$4,BO$4&gt;=$C$1),'General Inputs'!Q$11*$H85,IF(AND(($D85+$C$1)&gt;BO$4,BO$4&gt;=$C$1),'General Inputs'!Q$11*$G85,0))</f>
        <v>1467.5725911023999</v>
      </c>
      <c r="BP85" s="214">
        <f>IF(AND(($E85+$C$1)&gt;BP$4,BP$4&gt;=$C$1),'General Inputs'!R$11*$H85,IF(AND(($D85+$C$1)&gt;BP$4,BP$4&gt;=$C$1),'General Inputs'!R$11*$G85,0))</f>
        <v>1467.5725911023999</v>
      </c>
      <c r="BQ85" s="214">
        <f>IF(AND(($E85+$C$1)&gt;BQ$4,BQ$4&gt;=$C$1),'General Inputs'!S$11*$H85,IF(AND(($D85+$C$1)&gt;BQ$4,BQ$4&gt;=$C$1),'General Inputs'!S$11*$G85,0))</f>
        <v>0</v>
      </c>
      <c r="BR85" s="214">
        <f>IF(AND(($E85+$C$1)&gt;BR$4,BR$4&gt;=$C$1),'General Inputs'!T$11*$H85,IF(AND(($D85+$C$1)&gt;BR$4,BR$4&gt;=$C$1),'General Inputs'!T$11*$G85,0))</f>
        <v>0</v>
      </c>
      <c r="BS85" s="214">
        <f>IF(AND(($E85+$C$1)&gt;BS$4,BS$4&gt;=$C$1),'General Inputs'!U$11*$H85,IF(AND(($D85+$C$1)&gt;BS$4,BS$4&gt;=$C$1),'General Inputs'!U$11*$G85,0))</f>
        <v>0</v>
      </c>
      <c r="BT85" s="214">
        <f>IF(AND(($E85+$C$1)&gt;BT$4,BT$4&gt;=$C$1),'General Inputs'!V$11*$H85,IF(AND(($D85+$C$1)&gt;BT$4,BT$4&gt;=$C$1),'General Inputs'!V$11*$G85,0))</f>
        <v>0</v>
      </c>
      <c r="BU85" s="214">
        <f>IF(AND(($E85+$C$1)&gt;BU$4,BU$4&gt;=$C$1),'General Inputs'!W$11*$H85,IF(AND(($D85+$C$1)&gt;BU$4,BU$4&gt;=$C$1),'General Inputs'!W$11*$G85,0))</f>
        <v>0</v>
      </c>
      <c r="BW85" s="214">
        <f>IF(AND(($E85+$C$1)&gt;BW$4,BW$4&gt;=$C$1),$H85,IF(AND(($D85+$C$1)&gt;BW$4,BW$4&gt;=$C$1),$G85,0))*IF($A85="Residential",'General Inputs'!D$14,'General Inputs'!D$19)</f>
        <v>13448.481065663194</v>
      </c>
      <c r="BX85" s="214">
        <f>IF(AND(($E85+$C$1)&gt;BX$4,BX$4&gt;=$C$1),$H85,IF(AND(($D85+$C$1)&gt;BX$4,BX$4&gt;=$C$1),$G85,0))*IF($A85="Residential",'General Inputs'!E$14,'General Inputs'!E$19)</f>
        <v>13650.208281648142</v>
      </c>
      <c r="BY85" s="214">
        <f>IF(AND(($E85+$C$1)&gt;BY$4,BY$4&gt;=$C$1),$H85,IF(AND(($D85+$C$1)&gt;BY$4,BY$4&gt;=$C$1),$G85,0))*IF($A85="Residential",'General Inputs'!F$14,'General Inputs'!F$19)</f>
        <v>13854.961405872864</v>
      </c>
      <c r="BZ85" s="214">
        <f>IF(AND(($E85+$C$1)&gt;BZ$4,BZ$4&gt;=$C$1),$H85,IF(AND(($D85+$C$1)&gt;BZ$4,BZ$4&gt;=$C$1),$G85,0))*IF($A85="Residential",'General Inputs'!G$14,'General Inputs'!G$19)</f>
        <v>14062.785826960955</v>
      </c>
      <c r="CA85" s="214">
        <f>IF(AND(($E85+$C$1)&gt;CA$4,CA$4&gt;=$C$1),$H85,IF(AND(($D85+$C$1)&gt;CA$4,CA$4&gt;=$C$1),$G85,0))*IF($A85="Residential",'General Inputs'!H$14,'General Inputs'!H$19)</f>
        <v>14273.727614365367</v>
      </c>
      <c r="CB85" s="214">
        <f>IF(AND(($E85+$C$1)&gt;CB$4,CB$4&gt;=$C$1),$H85,IF(AND(($D85+$C$1)&gt;CB$4,CB$4&gt;=$C$1),$G85,0))*IF($A85="Residential",'General Inputs'!I$14,'General Inputs'!I$19)</f>
        <v>14487.833528580844</v>
      </c>
      <c r="CC85" s="214">
        <f>IF(AND(($E85+$C$1)&gt;CC$4,CC$4&gt;=$C$1),$H85,IF(AND(($D85+$C$1)&gt;CC$4,CC$4&gt;=$C$1),$G85,0))*IF($A85="Residential",'General Inputs'!J$14,'General Inputs'!J$19)</f>
        <v>14705.151031509558</v>
      </c>
      <c r="CD85" s="214">
        <f>IF(AND(($E85+$C$1)&gt;CD$4,CD$4&gt;=$C$1),$H85,IF(AND(($D85+$C$1)&gt;CD$4,CD$4&gt;=$C$1),$G85,0))*IF($A85="Residential",'General Inputs'!K$14,'General Inputs'!K$19)</f>
        <v>14925.728296982199</v>
      </c>
      <c r="CE85" s="214">
        <f>IF(AND(($E85+$C$1)&gt;CE$4,CE$4&gt;=$C$1),$H85,IF(AND(($D85+$C$1)&gt;CE$4,CE$4&gt;=$C$1),$G85,0))*IF($A85="Residential",'General Inputs'!L$14,'General Inputs'!L$19)</f>
        <v>15149.61422143693</v>
      </c>
      <c r="CF85" s="214">
        <f>IF(AND(($E85+$C$1)&gt;CF$4,CF$4&gt;=$C$1),$H85,IF(AND(($D85+$C$1)&gt;CF$4,CF$4&gt;=$C$1),$G85,0))*IF($A85="Residential",'General Inputs'!M$14,'General Inputs'!M$19)</f>
        <v>15376.858434758482</v>
      </c>
      <c r="CG85" s="214">
        <f>IF(AND(($E85+$C$1)&gt;CG$4,CG$4&gt;=$C$1),$H85,IF(AND(($D85+$C$1)&gt;CG$4,CG$4&gt;=$C$1),$G85,0))*IF($A85="Residential",'General Inputs'!N$14,'General Inputs'!N$19)</f>
        <v>15607.511311279859</v>
      </c>
      <c r="CH85" s="214">
        <f>IF(AND(($E85+$C$1)&gt;CH$4,CH$4&gt;=$C$1),$H85,IF(AND(($D85+$C$1)&gt;CH$4,CH$4&gt;=$C$1),$G85,0))*IF($A85="Residential",'General Inputs'!O$14,'General Inputs'!O$19)</f>
        <v>15841.623980949054</v>
      </c>
      <c r="CI85" s="214">
        <f>IF(AND(($E85+$C$1)&gt;CI$4,CI$4&gt;=$C$1),$H85,IF(AND(($D85+$C$1)&gt;CI$4,CI$4&gt;=$C$1),$G85,0))*IF($A85="Residential",'General Inputs'!P$14,'General Inputs'!P$19)</f>
        <v>16079.248340663291</v>
      </c>
      <c r="CJ85" s="214">
        <f>IF(AND(($E85+$C$1)&gt;CJ$4,CJ$4&gt;=$C$1),$H85,IF(AND(($D85+$C$1)&gt;CJ$4,CJ$4&gt;=$C$1),$G85,0))*IF($A85="Residential",'General Inputs'!Q$14,'General Inputs'!Q$19)</f>
        <v>16320.437065773238</v>
      </c>
      <c r="CK85" s="214">
        <f>IF(AND(($E85+$C$1)&gt;CK$4,CK$4&gt;=$C$1),$H85,IF(AND(($D85+$C$1)&gt;CK$4,CK$4&gt;=$C$1),$G85,0))*IF($A85="Residential",'General Inputs'!R$14,'General Inputs'!R$19)</f>
        <v>16565.243621759833</v>
      </c>
      <c r="CL85" s="214">
        <f>IF(AND(($E85+$C$1)&gt;CL$4,CL$4&gt;=$C$1),$H85,IF(AND(($D85+$C$1)&gt;CL$4,CL$4&gt;=$C$1),$G85,0))*IF($A85="Residential",'General Inputs'!S$14,'General Inputs'!S$19)</f>
        <v>0</v>
      </c>
      <c r="CM85" s="214">
        <f>IF(AND(($E85+$C$1)&gt;CM$4,CM$4&gt;=$C$1),$H85,IF(AND(($D85+$C$1)&gt;CM$4,CM$4&gt;=$C$1),$G85,0))*IF($A85="Residential",'General Inputs'!T$14,'General Inputs'!T$19)</f>
        <v>0</v>
      </c>
      <c r="CN85" s="214">
        <f>IF(AND(($E85+$C$1)&gt;CN$4,CN$4&gt;=$C$1),$H85,IF(AND(($D85+$C$1)&gt;CN$4,CN$4&gt;=$C$1),$G85,0))*IF($A85="Residential",'General Inputs'!U$14,'General Inputs'!U$19)</f>
        <v>0</v>
      </c>
      <c r="CO85" s="214">
        <f>IF(AND(($E85+$C$1)&gt;CO$4,CO$4&gt;=$C$1),$H85,IF(AND(($D85+$C$1)&gt;CO$4,CO$4&gt;=$C$1),$G85,0))*IF($A85="Residential",'General Inputs'!V$14,'General Inputs'!V$19)</f>
        <v>0</v>
      </c>
      <c r="CP85" s="214">
        <f>IF(AND(($E85+$C$1)&gt;CP$4,CP$4&gt;=$C$1),$H85,IF(AND(($D85+$C$1)&gt;CP$4,CP$4&gt;=$C$1),$G85,0))*IF($A85="Residential",'General Inputs'!W$14,'General Inputs'!W$19)</f>
        <v>0</v>
      </c>
      <c r="CR85" s="214">
        <f>IF(AND(($E85+$C$1)&gt;CR$4,CR$4&gt;=$C$1),$H85,IF(AND(($D85+$C$1)&gt;CR$4,CR$4&gt;=$C$1),$G85,0))*IF($A85="Residential",'General Inputs'!D$15,'General Inputs'!D$19)</f>
        <v>13448.481065663194</v>
      </c>
      <c r="CS85" s="214">
        <f>IF(AND(($E85+$C$1)&gt;CS$4,CS$4&gt;=$C$1),$H85,IF(AND(($D85+$C$1)&gt;CS$4,CS$4&gt;=$C$1),$G85,0))*IF($A85="Residential",'General Inputs'!E$15,'General Inputs'!E$19)</f>
        <v>13650.208281648142</v>
      </c>
      <c r="CT85" s="214">
        <f>IF(AND(($E85+$C$1)&gt;CT$4,CT$4&gt;=$C$1),$H85,IF(AND(($D85+$C$1)&gt;CT$4,CT$4&gt;=$C$1),$G85,0))*IF($A85="Residential",'General Inputs'!F$15,'General Inputs'!F$19)</f>
        <v>13854.961405872864</v>
      </c>
      <c r="CU85" s="214">
        <f>IF(AND(($E85+$C$1)&gt;CU$4,CU$4&gt;=$C$1),$H85,IF(AND(($D85+$C$1)&gt;CU$4,CU$4&gt;=$C$1),$G85,0))*IF($A85="Residential",'General Inputs'!G$15,'General Inputs'!G$19)</f>
        <v>14062.785826960955</v>
      </c>
      <c r="CV85" s="214">
        <f>IF(AND(($E85+$C$1)&gt;CV$4,CV$4&gt;=$C$1),$H85,IF(AND(($D85+$C$1)&gt;CV$4,CV$4&gt;=$C$1),$G85,0))*IF($A85="Residential",'General Inputs'!H$15,'General Inputs'!H$19)</f>
        <v>14273.727614365367</v>
      </c>
      <c r="CW85" s="214">
        <f>IF(AND(($E85+$C$1)&gt;CW$4,CW$4&gt;=$C$1),$H85,IF(AND(($D85+$C$1)&gt;CW$4,CW$4&gt;=$C$1),$G85,0))*IF($A85="Residential",'General Inputs'!I$15,'General Inputs'!I$19)</f>
        <v>14487.833528580844</v>
      </c>
      <c r="CX85" s="214">
        <f>IF(AND(($E85+$C$1)&gt;CX$4,CX$4&gt;=$C$1),$H85,IF(AND(($D85+$C$1)&gt;CX$4,CX$4&gt;=$C$1),$G85,0))*IF($A85="Residential",'General Inputs'!J$15,'General Inputs'!J$19)</f>
        <v>14705.151031509558</v>
      </c>
      <c r="CY85" s="214">
        <f>IF(AND(($E85+$C$1)&gt;CY$4,CY$4&gt;=$C$1),$H85,IF(AND(($D85+$C$1)&gt;CY$4,CY$4&gt;=$C$1),$G85,0))*IF($A85="Residential",'General Inputs'!K$15,'General Inputs'!K$19)</f>
        <v>14925.728296982199</v>
      </c>
      <c r="CZ85" s="214">
        <f>IF(AND(($E85+$C$1)&gt;CZ$4,CZ$4&gt;=$C$1),$H85,IF(AND(($D85+$C$1)&gt;CZ$4,CZ$4&gt;=$C$1),$G85,0))*IF($A85="Residential",'General Inputs'!L$15,'General Inputs'!L$19)</f>
        <v>15149.61422143693</v>
      </c>
      <c r="DA85" s="214">
        <f>IF(AND(($E85+$C$1)&gt;DA$4,DA$4&gt;=$C$1),$H85,IF(AND(($D85+$C$1)&gt;DA$4,DA$4&gt;=$C$1),$G85,0))*IF($A85="Residential",'General Inputs'!M$15,'General Inputs'!M$19)</f>
        <v>15376.858434758482</v>
      </c>
      <c r="DB85" s="214">
        <f>IF(AND(($E85+$C$1)&gt;DB$4,DB$4&gt;=$C$1),$H85,IF(AND(($D85+$C$1)&gt;DB$4,DB$4&gt;=$C$1),$G85,0))*IF($A85="Residential",'General Inputs'!N$15,'General Inputs'!N$19)</f>
        <v>15607.511311279859</v>
      </c>
      <c r="DC85" s="214">
        <f>IF(AND(($E85+$C$1)&gt;DC$4,DC$4&gt;=$C$1),$H85,IF(AND(($D85+$C$1)&gt;DC$4,DC$4&gt;=$C$1),$G85,0))*IF($A85="Residential",'General Inputs'!O$15,'General Inputs'!O$19)</f>
        <v>15841.623980949054</v>
      </c>
      <c r="DD85" s="214">
        <f>IF(AND(($E85+$C$1)&gt;DD$4,DD$4&gt;=$C$1),$H85,IF(AND(($D85+$C$1)&gt;DD$4,DD$4&gt;=$C$1),$G85,0))*IF($A85="Residential",'General Inputs'!P$15,'General Inputs'!P$19)</f>
        <v>16079.248340663291</v>
      </c>
      <c r="DE85" s="214">
        <f>IF(AND(($E85+$C$1)&gt;DE$4,DE$4&gt;=$C$1),$H85,IF(AND(($D85+$C$1)&gt;DE$4,DE$4&gt;=$C$1),$G85,0))*IF($A85="Residential",'General Inputs'!Q$15,'General Inputs'!Q$19)</f>
        <v>16320.437065773238</v>
      </c>
      <c r="DF85" s="214">
        <f>IF(AND(($E85+$C$1)&gt;DF$4,DF$4&gt;=$C$1),$H85,IF(AND(($D85+$C$1)&gt;DF$4,DF$4&gt;=$C$1),$G85,0))*IF($A85="Residential",'General Inputs'!R$15,'General Inputs'!R$19)</f>
        <v>16565.243621759833</v>
      </c>
      <c r="DG85" s="214">
        <f>IF(AND(($E85+$C$1)&gt;DG$4,DG$4&gt;=$C$1),$H85,IF(AND(($D85+$C$1)&gt;DG$4,DG$4&gt;=$C$1),$G85,0))*IF($A85="Residential",'General Inputs'!S$15,'General Inputs'!S$19)</f>
        <v>0</v>
      </c>
      <c r="DH85" s="214">
        <f>IF(AND(($E85+$C$1)&gt;DH$4,DH$4&gt;=$C$1),$H85,IF(AND(($D85+$C$1)&gt;DH$4,DH$4&gt;=$C$1),$G85,0))*IF($A85="Residential",'General Inputs'!T$15,'General Inputs'!T$19)</f>
        <v>0</v>
      </c>
      <c r="DI85" s="214">
        <f>IF(AND(($E85+$C$1)&gt;DI$4,DI$4&gt;=$C$1),$H85,IF(AND(($D85+$C$1)&gt;DI$4,DI$4&gt;=$C$1),$G85,0))*IF($A85="Residential",'General Inputs'!U$15,'General Inputs'!U$19)</f>
        <v>0</v>
      </c>
      <c r="DJ85" s="214">
        <f>IF(AND(($E85+$C$1)&gt;DJ$4,DJ$4&gt;=$C$1),$H85,IF(AND(($D85+$C$1)&gt;DJ$4,DJ$4&gt;=$C$1),$G85,0))*IF($A85="Residential",'General Inputs'!V$15,'General Inputs'!V$19)</f>
        <v>0</v>
      </c>
      <c r="DK85" s="214">
        <f>IF(AND(($E85+$C$1)&gt;DK$4,DK$4&gt;=$C$1),$H85,IF(AND(($D85+$C$1)&gt;DK$4,DK$4&gt;=$C$1),$G85,0))*IF($A85="Residential",'General Inputs'!W$15,'General Inputs'!W$19)</f>
        <v>0</v>
      </c>
      <c r="DM85" s="214">
        <f t="shared" si="471"/>
        <v>53250</v>
      </c>
      <c r="DN85" s="214">
        <f t="shared" si="471"/>
        <v>0</v>
      </c>
      <c r="DO85" s="214">
        <f t="shared" si="471"/>
        <v>0</v>
      </c>
      <c r="DP85" s="214">
        <f t="shared" si="471"/>
        <v>0</v>
      </c>
      <c r="DQ85" s="214">
        <f t="shared" si="471"/>
        <v>0</v>
      </c>
      <c r="DR85" s="214">
        <f t="shared" si="471"/>
        <v>0</v>
      </c>
      <c r="DS85" s="214">
        <f t="shared" si="471"/>
        <v>0</v>
      </c>
      <c r="DT85" s="214">
        <f t="shared" si="471"/>
        <v>0</v>
      </c>
      <c r="DU85" s="214">
        <f t="shared" si="471"/>
        <v>0</v>
      </c>
      <c r="DV85" s="214">
        <f t="shared" si="471"/>
        <v>0</v>
      </c>
      <c r="DW85" s="214">
        <f t="shared" si="471"/>
        <v>0</v>
      </c>
      <c r="DZ85" s="650"/>
      <c r="FI85" s="195"/>
      <c r="FJ85" s="195"/>
      <c r="FK85" s="195"/>
      <c r="FL85" s="195"/>
      <c r="FM85" s="195"/>
      <c r="FN85" s="195"/>
      <c r="FO85" s="195"/>
    </row>
    <row r="86" spans="1:171" s="449" customFormat="1">
      <c r="A86" s="435" t="s">
        <v>112</v>
      </c>
      <c r="B86" s="428" t="str">
        <f>'Portfolio Inputs'!A85</f>
        <v>HVAC</v>
      </c>
      <c r="C86" s="454">
        <f>IF($C$1=2014,'Portfolio Inputs'!$C85,IF($C$1=2015,'Portfolio Inputs'!$D85,'Portfolio Inputs'!$E85))</f>
        <v>2</v>
      </c>
      <c r="D86" s="505"/>
      <c r="E86" s="505"/>
      <c r="F86" s="2"/>
      <c r="G86" s="515">
        <f t="shared" ref="G86:I86" si="472">SUM(G87:G88)</f>
        <v>1898.6890009989977</v>
      </c>
      <c r="H86" s="515"/>
      <c r="I86" s="512">
        <f t="shared" si="472"/>
        <v>0.63027098901098988</v>
      </c>
      <c r="J86" s="512"/>
      <c r="K86" s="2"/>
      <c r="L86" s="455"/>
      <c r="M86" s="455"/>
      <c r="N86" s="455">
        <f>IF($C$1=2014,'Portfolio Inputs'!$W85,IF($C$1=2015,'Portfolio Inputs'!$X85,'Portfolio Inputs'!$Y85))</f>
        <v>150</v>
      </c>
      <c r="O86" s="455">
        <f>IF($C$1=2014,'Portfolio Inputs'!$AA85,IF($C$1=2015,'Portfolio Inputs'!$AB85,'Portfolio Inputs'!$AC85))</f>
        <v>0</v>
      </c>
      <c r="P86" s="16"/>
      <c r="Q86" s="433">
        <f t="shared" si="290"/>
        <v>1.1059862605865023</v>
      </c>
      <c r="R86" s="434">
        <f t="shared" si="291"/>
        <v>5.4561988855600783</v>
      </c>
      <c r="S86" s="434">
        <f t="shared" si="292"/>
        <v>1.3650465032544246</v>
      </c>
      <c r="T86" s="434">
        <f t="shared" si="293"/>
        <v>2.7826800864525287</v>
      </c>
      <c r="U86" s="434">
        <f>IF(AE86&gt;0,(AD86+AB86)/AE86,"n/a")</f>
        <v>2.7826800864525287</v>
      </c>
      <c r="V86" s="523">
        <f t="shared" si="294"/>
        <v>0.39745361530094447</v>
      </c>
      <c r="W86" s="523">
        <f t="shared" si="295"/>
        <v>0.39745361530094447</v>
      </c>
      <c r="X86" s="16"/>
      <c r="Y86" s="447">
        <f t="shared" si="29"/>
        <v>818.42983283401168</v>
      </c>
      <c r="Z86" s="447">
        <f t="shared" si="30"/>
        <v>191.70457957426243</v>
      </c>
      <c r="AA86" s="447">
        <f t="shared" si="31"/>
        <v>1909.1832639748714</v>
      </c>
      <c r="AB86" s="447">
        <f t="shared" si="32"/>
        <v>1909.1832639748714</v>
      </c>
      <c r="AC86" s="448">
        <f t="shared" si="33"/>
        <v>0</v>
      </c>
      <c r="AD86" s="448">
        <f t="shared" si="34"/>
        <v>150</v>
      </c>
      <c r="AE86" s="525">
        <f t="shared" si="381"/>
        <v>740</v>
      </c>
      <c r="AF86" s="16"/>
      <c r="AG86" s="432">
        <f t="shared" ref="AG86:AZ86" si="473">SUM(AG87:AG90)</f>
        <v>85.028822042238687</v>
      </c>
      <c r="AH86" s="432">
        <f t="shared" si="473"/>
        <v>86.304254372872265</v>
      </c>
      <c r="AI86" s="432">
        <f t="shared" si="473"/>
        <v>87.59881818846533</v>
      </c>
      <c r="AJ86" s="432">
        <f t="shared" si="473"/>
        <v>88.912800461292306</v>
      </c>
      <c r="AK86" s="432">
        <f t="shared" si="473"/>
        <v>90.246492468211684</v>
      </c>
      <c r="AL86" s="432">
        <f t="shared" si="473"/>
        <v>91.600189855234845</v>
      </c>
      <c r="AM86" s="432">
        <f t="shared" si="473"/>
        <v>92.974192703063352</v>
      </c>
      <c r="AN86" s="432">
        <f t="shared" si="473"/>
        <v>94.368805593609281</v>
      </c>
      <c r="AO86" s="432">
        <f t="shared" si="473"/>
        <v>95.78433767751342</v>
      </c>
      <c r="AP86" s="432">
        <f t="shared" si="473"/>
        <v>97.221102742676095</v>
      </c>
      <c r="AQ86" s="432">
        <f t="shared" si="473"/>
        <v>98.679419283816245</v>
      </c>
      <c r="AR86" s="432">
        <f t="shared" si="473"/>
        <v>100.15961057307348</v>
      </c>
      <c r="AS86" s="432">
        <f t="shared" si="473"/>
        <v>101.66200473166957</v>
      </c>
      <c r="AT86" s="432">
        <f t="shared" si="473"/>
        <v>103.1869348026446</v>
      </c>
      <c r="AU86" s="432">
        <f t="shared" si="473"/>
        <v>104.73473882468426</v>
      </c>
      <c r="AV86" s="432">
        <f t="shared" si="473"/>
        <v>0</v>
      </c>
      <c r="AW86" s="432">
        <f t="shared" si="473"/>
        <v>0</v>
      </c>
      <c r="AX86" s="432">
        <f t="shared" si="473"/>
        <v>0</v>
      </c>
      <c r="AY86" s="432">
        <f t="shared" si="473"/>
        <v>0</v>
      </c>
      <c r="AZ86" s="432">
        <f t="shared" si="473"/>
        <v>0</v>
      </c>
      <c r="BA86" s="16"/>
      <c r="BB86" s="432">
        <f t="shared" ref="BB86:BU86" si="474">SUM(BB87:BB90)</f>
        <v>21.645054611388574</v>
      </c>
      <c r="BC86" s="432">
        <f t="shared" si="474"/>
        <v>21.645054611388574</v>
      </c>
      <c r="BD86" s="432">
        <f t="shared" si="474"/>
        <v>21.645054611388574</v>
      </c>
      <c r="BE86" s="432">
        <f t="shared" si="474"/>
        <v>21.645054611388574</v>
      </c>
      <c r="BF86" s="432">
        <f t="shared" si="474"/>
        <v>21.645054611388574</v>
      </c>
      <c r="BG86" s="432">
        <f t="shared" si="474"/>
        <v>21.645054611388574</v>
      </c>
      <c r="BH86" s="432">
        <f t="shared" si="474"/>
        <v>21.645054611388574</v>
      </c>
      <c r="BI86" s="432">
        <f t="shared" si="474"/>
        <v>21.645054611388574</v>
      </c>
      <c r="BJ86" s="432">
        <f t="shared" si="474"/>
        <v>21.645054611388574</v>
      </c>
      <c r="BK86" s="432">
        <f t="shared" si="474"/>
        <v>21.645054611388574</v>
      </c>
      <c r="BL86" s="432">
        <f t="shared" si="474"/>
        <v>21.645054611388574</v>
      </c>
      <c r="BM86" s="432">
        <f t="shared" si="474"/>
        <v>21.645054611388574</v>
      </c>
      <c r="BN86" s="432">
        <f t="shared" si="474"/>
        <v>21.645054611388574</v>
      </c>
      <c r="BO86" s="432">
        <f t="shared" si="474"/>
        <v>21.645054611388574</v>
      </c>
      <c r="BP86" s="432">
        <f t="shared" si="474"/>
        <v>21.645054611388574</v>
      </c>
      <c r="BQ86" s="432">
        <f t="shared" si="474"/>
        <v>0</v>
      </c>
      <c r="BR86" s="432">
        <f t="shared" si="474"/>
        <v>0</v>
      </c>
      <c r="BS86" s="432">
        <f t="shared" si="474"/>
        <v>0</v>
      </c>
      <c r="BT86" s="432">
        <f t="shared" si="474"/>
        <v>0</v>
      </c>
      <c r="BU86" s="432">
        <f t="shared" si="474"/>
        <v>0</v>
      </c>
      <c r="BV86" s="16"/>
      <c r="BW86" s="432">
        <f t="shared" ref="BW86:CP86" si="475">SUM(BW87:BW90)</f>
        <v>198.35005700661389</v>
      </c>
      <c r="BX86" s="432">
        <f t="shared" si="475"/>
        <v>201.3253078617131</v>
      </c>
      <c r="BY86" s="432">
        <f t="shared" si="475"/>
        <v>204.34518747963881</v>
      </c>
      <c r="BZ86" s="432">
        <f t="shared" si="475"/>
        <v>207.41036529183336</v>
      </c>
      <c r="CA86" s="432">
        <f t="shared" si="475"/>
        <v>210.52152077121082</v>
      </c>
      <c r="CB86" s="432">
        <f t="shared" si="475"/>
        <v>213.67934358277893</v>
      </c>
      <c r="CC86" s="432">
        <f t="shared" si="475"/>
        <v>216.88453373652061</v>
      </c>
      <c r="CD86" s="432">
        <f t="shared" si="475"/>
        <v>220.1378017425684</v>
      </c>
      <c r="CE86" s="432">
        <f t="shared" si="475"/>
        <v>223.4398687687069</v>
      </c>
      <c r="CF86" s="432">
        <f t="shared" si="475"/>
        <v>226.79146680023749</v>
      </c>
      <c r="CG86" s="432">
        <f t="shared" si="475"/>
        <v>230.19333880224104</v>
      </c>
      <c r="CH86" s="432">
        <f t="shared" si="475"/>
        <v>233.64623888427462</v>
      </c>
      <c r="CI86" s="432">
        <f t="shared" si="475"/>
        <v>237.15093246753872</v>
      </c>
      <c r="CJ86" s="432">
        <f t="shared" si="475"/>
        <v>240.7081964545518</v>
      </c>
      <c r="CK86" s="432">
        <f t="shared" si="475"/>
        <v>244.31881940137001</v>
      </c>
      <c r="CL86" s="432">
        <f t="shared" si="475"/>
        <v>0</v>
      </c>
      <c r="CM86" s="432">
        <f t="shared" si="475"/>
        <v>0</v>
      </c>
      <c r="CN86" s="432">
        <f t="shared" si="475"/>
        <v>0</v>
      </c>
      <c r="CO86" s="432">
        <f t="shared" si="475"/>
        <v>0</v>
      </c>
      <c r="CP86" s="432">
        <f t="shared" si="475"/>
        <v>0</v>
      </c>
      <c r="CQ86" s="16"/>
      <c r="CR86" s="432">
        <f t="shared" ref="CR86:DK86" si="476">SUM(CR87:CR90)</f>
        <v>198.35005700661389</v>
      </c>
      <c r="CS86" s="432">
        <f t="shared" si="476"/>
        <v>201.3253078617131</v>
      </c>
      <c r="CT86" s="432">
        <f t="shared" si="476"/>
        <v>204.34518747963881</v>
      </c>
      <c r="CU86" s="432">
        <f t="shared" si="476"/>
        <v>207.41036529183336</v>
      </c>
      <c r="CV86" s="432">
        <f t="shared" si="476"/>
        <v>210.52152077121082</v>
      </c>
      <c r="CW86" s="432">
        <f t="shared" si="476"/>
        <v>213.67934358277893</v>
      </c>
      <c r="CX86" s="432">
        <f t="shared" si="476"/>
        <v>216.88453373652061</v>
      </c>
      <c r="CY86" s="432">
        <f t="shared" si="476"/>
        <v>220.1378017425684</v>
      </c>
      <c r="CZ86" s="432">
        <f t="shared" si="476"/>
        <v>223.4398687687069</v>
      </c>
      <c r="DA86" s="432">
        <f t="shared" si="476"/>
        <v>226.79146680023749</v>
      </c>
      <c r="DB86" s="432">
        <f t="shared" si="476"/>
        <v>230.19333880224104</v>
      </c>
      <c r="DC86" s="432">
        <f t="shared" si="476"/>
        <v>233.64623888427462</v>
      </c>
      <c r="DD86" s="432">
        <f t="shared" si="476"/>
        <v>237.15093246753872</v>
      </c>
      <c r="DE86" s="432">
        <f t="shared" si="476"/>
        <v>240.7081964545518</v>
      </c>
      <c r="DF86" s="432">
        <f t="shared" si="476"/>
        <v>244.31881940137001</v>
      </c>
      <c r="DG86" s="432">
        <f t="shared" si="476"/>
        <v>0</v>
      </c>
      <c r="DH86" s="432">
        <f t="shared" si="476"/>
        <v>0</v>
      </c>
      <c r="DI86" s="432">
        <f t="shared" si="476"/>
        <v>0</v>
      </c>
      <c r="DJ86" s="432">
        <f t="shared" si="476"/>
        <v>0</v>
      </c>
      <c r="DK86" s="432">
        <f t="shared" si="476"/>
        <v>0</v>
      </c>
      <c r="DL86" s="16"/>
      <c r="DM86" s="432">
        <f t="shared" ref="DM86:DW86" si="477">SUM(DM87:DM90)</f>
        <v>740</v>
      </c>
      <c r="DN86" s="432">
        <f t="shared" si="477"/>
        <v>0</v>
      </c>
      <c r="DO86" s="432">
        <f t="shared" si="477"/>
        <v>0</v>
      </c>
      <c r="DP86" s="432">
        <f t="shared" si="477"/>
        <v>0</v>
      </c>
      <c r="DQ86" s="432">
        <f t="shared" si="477"/>
        <v>0</v>
      </c>
      <c r="DR86" s="432">
        <f t="shared" si="477"/>
        <v>0</v>
      </c>
      <c r="DS86" s="432">
        <f t="shared" si="477"/>
        <v>0</v>
      </c>
      <c r="DT86" s="432">
        <f t="shared" si="477"/>
        <v>0</v>
      </c>
      <c r="DU86" s="432">
        <f t="shared" si="477"/>
        <v>0</v>
      </c>
      <c r="DV86" s="432">
        <f t="shared" si="477"/>
        <v>0</v>
      </c>
      <c r="DW86" s="432">
        <f t="shared" si="477"/>
        <v>0</v>
      </c>
      <c r="DX86" s="16"/>
      <c r="DY86" s="16"/>
      <c r="DZ86" s="650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</row>
    <row r="87" spans="1:171">
      <c r="A87" s="342" t="s">
        <v>112</v>
      </c>
      <c r="B87" s="427" t="str">
        <f>'Portfolio Inputs'!A86</f>
        <v>Split Package Heat Pump</v>
      </c>
      <c r="C87" s="217">
        <f>IF($C$1=2014,'Portfolio Inputs'!$C86,IF($C$1=2015,'Portfolio Inputs'!$D86,'Portfolio Inputs'!$E86))</f>
        <v>0</v>
      </c>
      <c r="D87" s="504">
        <f>VLOOKUP(B87,Sources!$B$4:$J$104,2,FALSE)</f>
        <v>15</v>
      </c>
      <c r="E87" s="504">
        <f>VLOOKUP(B87,Sources!$B$4:$J$104,3,FALSE)</f>
        <v>0</v>
      </c>
      <c r="G87" s="504">
        <f>IF($C$1=2014,'Portfolio Inputs'!$G86,IF($C$1=2015,'Portfolio Inputs'!$H86,'Portfolio Inputs'!$I86))*EnergyLineLoss</f>
        <v>0</v>
      </c>
      <c r="H87" s="504"/>
      <c r="I87" s="595">
        <f>IF($C$1=2014,'Portfolio Inputs'!$K86,IF($C$1=2015,'Portfolio Inputs'!$L86,'Portfolio Inputs'!$M86))*PeakLineLoss</f>
        <v>0</v>
      </c>
      <c r="J87" s="510"/>
      <c r="L87" s="606">
        <f>IF($C$1=2014,'Portfolio Inputs'!$O86,IF($C$1=2015,'Portfolio Inputs'!$P86,'Portfolio Inputs'!$Q86))</f>
        <v>370</v>
      </c>
      <c r="M87" s="518">
        <f>VLOOKUP($B87,Sources!$B$4:$K$104,10,FALSE)</f>
        <v>0</v>
      </c>
      <c r="N87" s="419">
        <f>IF($C$1=2014,'Portfolio Inputs'!$W86,IF($C$1=2015,'Portfolio Inputs'!$X86,'Portfolio Inputs'!$Y86))</f>
        <v>0</v>
      </c>
      <c r="O87" s="419">
        <f>IF($C$1=2014,'Portfolio Inputs'!$AA86,IF($C$1=2015,'Portfolio Inputs'!$AB86,'Portfolio Inputs'!$AC86))</f>
        <v>0</v>
      </c>
      <c r="Q87" s="436" t="str">
        <f t="shared" si="290"/>
        <v>n/a</v>
      </c>
      <c r="R87" s="437" t="str">
        <f t="shared" si="291"/>
        <v>n/a</v>
      </c>
      <c r="S87" s="437" t="str">
        <f t="shared" si="292"/>
        <v>n/a</v>
      </c>
      <c r="T87" s="437" t="str">
        <f t="shared" si="293"/>
        <v>n/a</v>
      </c>
      <c r="U87" s="439" t="str">
        <f t="shared" ref="U87:U88" si="478">IF(AE87&gt;0,(AD87+AB87)/AE87,"n/a")</f>
        <v>n/a</v>
      </c>
      <c r="V87" s="439" t="str">
        <f t="shared" si="294"/>
        <v>n/a</v>
      </c>
      <c r="W87" s="439" t="str">
        <f t="shared" si="295"/>
        <v>n/a</v>
      </c>
      <c r="Y87" s="215">
        <f t="shared" si="29"/>
        <v>0</v>
      </c>
      <c r="Z87" s="215">
        <f t="shared" si="30"/>
        <v>0</v>
      </c>
      <c r="AA87" s="215">
        <f t="shared" si="31"/>
        <v>0</v>
      </c>
      <c r="AB87" s="215">
        <f t="shared" si="32"/>
        <v>0</v>
      </c>
      <c r="AC87" s="216">
        <f t="shared" si="33"/>
        <v>0</v>
      </c>
      <c r="AD87" s="216">
        <f t="shared" si="34"/>
        <v>0</v>
      </c>
      <c r="AE87" s="215">
        <f t="shared" si="381"/>
        <v>0</v>
      </c>
      <c r="AG87" s="214">
        <f>IF(AND(($E87+$C$1)&gt;AG$4,AG$4&gt;=$C$1),'General Inputs'!D$9*$H87,IF(AND(($D87+$C$1)&gt;AG$4,AG$4&gt;=$C$1),'General Inputs'!D$9*$G87,0))+IF(AND(($E87+$C$1)&gt;AG$4,AG$4&gt;=$C$1),'General Inputs'!D$10*$J87,IF(AND(($D87+$C$1)&gt;AG$4,AG$4&gt;=$C$1),'General Inputs'!D$10*$I87,0))</f>
        <v>0</v>
      </c>
      <c r="AH87" s="214">
        <f>IF(AND(($E87+$C$1)&gt;AH$4,AH$4&gt;=$C$1),'General Inputs'!E$9*$H87,IF(AND(($D87+$C$1)&gt;AH$4,AH$4&gt;=$C$1),'General Inputs'!E$9*$G87,0))+IF(AND(($E87+$C$1)&gt;AH$4,AH$4&gt;=$C$1),'General Inputs'!E$10*$J87,IF(AND(($D87+$C$1)&gt;AH$4,AH$4&gt;=$C$1),'General Inputs'!E$10*$I87,0))</f>
        <v>0</v>
      </c>
      <c r="AI87" s="214">
        <f>IF(AND(($E87+$C$1)&gt;AI$4,AI$4&gt;=$C$1),'General Inputs'!F$9*$H87,IF(AND(($D87+$C$1)&gt;AI$4,AI$4&gt;=$C$1),'General Inputs'!F$9*$G87,0))+IF(AND(($E87+$C$1)&gt;AI$4,AI$4&gt;=$C$1),'General Inputs'!F$10*$J87,IF(AND(($D87+$C$1)&gt;AI$4,AI$4&gt;=$C$1),'General Inputs'!F$10*$I87,0))</f>
        <v>0</v>
      </c>
      <c r="AJ87" s="214">
        <f>IF(AND(($E87+$C$1)&gt;AJ$4,AJ$4&gt;=$C$1),'General Inputs'!G$9*$H87,IF(AND(($D87+$C$1)&gt;AJ$4,AJ$4&gt;=$C$1),'General Inputs'!G$9*$G87,0))+IF(AND(($E87+$C$1)&gt;AJ$4,AJ$4&gt;=$C$1),'General Inputs'!G$10*$J87,IF(AND(($D87+$C$1)&gt;AJ$4,AJ$4&gt;=$C$1),'General Inputs'!G$10*$I87,0))</f>
        <v>0</v>
      </c>
      <c r="AK87" s="214">
        <f>IF(AND(($E87+$C$1)&gt;AK$4,AK$4&gt;=$C$1),'General Inputs'!H$9*$H87,IF(AND(($D87+$C$1)&gt;AK$4,AK$4&gt;=$C$1),'General Inputs'!H$9*$G87,0))+IF(AND(($E87+$C$1)&gt;AK$4,AK$4&gt;=$C$1),'General Inputs'!H$10*$J87,IF(AND(($D87+$C$1)&gt;AK$4,AK$4&gt;=$C$1),'General Inputs'!H$10*$I87,0))</f>
        <v>0</v>
      </c>
      <c r="AL87" s="214">
        <f>IF(AND(($E87+$C$1)&gt;AL$4,AL$4&gt;=$C$1),'General Inputs'!I$9*$H87,IF(AND(($D87+$C$1)&gt;AL$4,AL$4&gt;=$C$1),'General Inputs'!I$9*$G87,0))+IF(AND(($E87+$C$1)&gt;AL$4,AL$4&gt;=$C$1),'General Inputs'!I$10*$J87,IF(AND(($D87+$C$1)&gt;AL$4,AL$4&gt;=$C$1),'General Inputs'!I$10*$I87,0))</f>
        <v>0</v>
      </c>
      <c r="AM87" s="214">
        <f>IF(AND(($E87+$C$1)&gt;AM$4,AM$4&gt;=$C$1),'General Inputs'!J$9*$H87,IF(AND(($D87+$C$1)&gt;AM$4,AM$4&gt;=$C$1),'General Inputs'!J$9*$G87,0))+IF(AND(($E87+$C$1)&gt;AM$4,AM$4&gt;=$C$1),'General Inputs'!J$10*$J87,IF(AND(($D87+$C$1)&gt;AM$4,AM$4&gt;=$C$1),'General Inputs'!J$10*$I87,0))</f>
        <v>0</v>
      </c>
      <c r="AN87" s="214">
        <f>IF(AND(($E87+$C$1)&gt;AN$4,AN$4&gt;=$C$1),'General Inputs'!K$9*$H87,IF(AND(($D87+$C$1)&gt;AN$4,AN$4&gt;=$C$1),'General Inputs'!K$9*$G87,0))+IF(AND(($E87+$C$1)&gt;AN$4,AN$4&gt;=$C$1),'General Inputs'!K$10*$J87,IF(AND(($D87+$C$1)&gt;AN$4,AN$4&gt;=$C$1),'General Inputs'!K$10*$I87,0))</f>
        <v>0</v>
      </c>
      <c r="AO87" s="214">
        <f>IF(AND(($E87+$C$1)&gt;AO$4,AO$4&gt;=$C$1),'General Inputs'!L$9*$H87,IF(AND(($D87+$C$1)&gt;AO$4,AO$4&gt;=$C$1),'General Inputs'!L$9*$G87,0))+IF(AND(($E87+$C$1)&gt;AO$4,AO$4&gt;=$C$1),'General Inputs'!L$10*$J87,IF(AND(($D87+$C$1)&gt;AO$4,AO$4&gt;=$C$1),'General Inputs'!L$10*$I87,0))</f>
        <v>0</v>
      </c>
      <c r="AP87" s="214">
        <f>IF(AND(($E87+$C$1)&gt;AP$4,AP$4&gt;=$C$1),'General Inputs'!M$9*$H87,IF(AND(($D87+$C$1)&gt;AP$4,AP$4&gt;=$C$1),'General Inputs'!M$9*$G87,0))+IF(AND(($E87+$C$1)&gt;AP$4,AP$4&gt;=$C$1),'General Inputs'!M$10*$J87,IF(AND(($D87+$C$1)&gt;AP$4,AP$4&gt;=$C$1),'General Inputs'!M$10*$I87,0))</f>
        <v>0</v>
      </c>
      <c r="AQ87" s="214">
        <f>IF(AND(($E87+$C$1)&gt;AQ$4,AQ$4&gt;=$C$1),'General Inputs'!N$9*$H87,IF(AND(($D87+$C$1)&gt;AQ$4,AQ$4&gt;=$C$1),'General Inputs'!N$9*$G87,0))+IF(AND(($E87+$C$1)&gt;AQ$4,AQ$4&gt;=$C$1),'General Inputs'!N$10*$J87,IF(AND(($D87+$C$1)&gt;AQ$4,AQ$4&gt;=$C$1),'General Inputs'!N$10*$I87,0))</f>
        <v>0</v>
      </c>
      <c r="AR87" s="214">
        <f>IF(AND(($E87+$C$1)&gt;AR$4,AR$4&gt;=$C$1),'General Inputs'!O$9*$H87,IF(AND(($D87+$C$1)&gt;AR$4,AR$4&gt;=$C$1),'General Inputs'!O$9*$G87,0))+IF(AND(($E87+$C$1)&gt;AR$4,AR$4&gt;=$C$1),'General Inputs'!O$10*$J87,IF(AND(($D87+$C$1)&gt;AR$4,AR$4&gt;=$C$1),'General Inputs'!O$10*$I87,0))</f>
        <v>0</v>
      </c>
      <c r="AS87" s="214">
        <f>IF(AND(($E87+$C$1)&gt;AS$4,AS$4&gt;=$C$1),'General Inputs'!P$9*$H87,IF(AND(($D87+$C$1)&gt;AS$4,AS$4&gt;=$C$1),'General Inputs'!P$9*$G87,0))+IF(AND(($E87+$C$1)&gt;AS$4,AS$4&gt;=$C$1),'General Inputs'!P$10*$J87,IF(AND(($D87+$C$1)&gt;AS$4,AS$4&gt;=$C$1),'General Inputs'!P$10*$I87,0))</f>
        <v>0</v>
      </c>
      <c r="AT87" s="214">
        <f>IF(AND(($E87+$C$1)&gt;AT$4,AT$4&gt;=$C$1),'General Inputs'!Q$9*$H87,IF(AND(($D87+$C$1)&gt;AT$4,AT$4&gt;=$C$1),'General Inputs'!Q$9*$G87,0))+IF(AND(($E87+$C$1)&gt;AT$4,AT$4&gt;=$C$1),'General Inputs'!Q$10*$J87,IF(AND(($D87+$C$1)&gt;AT$4,AT$4&gt;=$C$1),'General Inputs'!Q$10*$I87,0))</f>
        <v>0</v>
      </c>
      <c r="AU87" s="214">
        <f>IF(AND(($E87+$C$1)&gt;AU$4,AU$4&gt;=$C$1),'General Inputs'!R$9*$H87,IF(AND(($D87+$C$1)&gt;AU$4,AU$4&gt;=$C$1),'General Inputs'!R$9*$G87,0))+IF(AND(($E87+$C$1)&gt;AU$4,AU$4&gt;=$C$1),'General Inputs'!R$10*$J87,IF(AND(($D87+$C$1)&gt;AU$4,AU$4&gt;=$C$1),'General Inputs'!R$10*$I87,0))</f>
        <v>0</v>
      </c>
      <c r="AV87" s="214">
        <f>IF(AND(($E87+$C$1)&gt;AV$4,AV$4&gt;=$C$1),'General Inputs'!S$9*$H87,IF(AND(($D87+$C$1)&gt;AV$4,AV$4&gt;=$C$1),'General Inputs'!S$9*$G87,0))+IF(AND(($E87+$C$1)&gt;AV$4,AV$4&gt;=$C$1),'General Inputs'!S$10*$J87,IF(AND(($D87+$C$1)&gt;AV$4,AV$4&gt;=$C$1),'General Inputs'!S$10*$I87,0))</f>
        <v>0</v>
      </c>
      <c r="AW87" s="214">
        <f>IF(AND(($E87+$C$1)&gt;AW$4,AW$4&gt;=$C$1),'General Inputs'!T$9*$H87,IF(AND(($D87+$C$1)&gt;AW$4,AW$4&gt;=$C$1),'General Inputs'!T$9*$G87,0))+IF(AND(($E87+$C$1)&gt;AW$4,AW$4&gt;=$C$1),'General Inputs'!T$10*$J87,IF(AND(($D87+$C$1)&gt;AW$4,AW$4&gt;=$C$1),'General Inputs'!T$10*$I87,0))</f>
        <v>0</v>
      </c>
      <c r="AX87" s="214">
        <f>IF(AND(($E87+$C$1)&gt;AX$4,AX$4&gt;=$C$1),'General Inputs'!U$9*$H87,IF(AND(($D87+$C$1)&gt;AX$4,AX$4&gt;=$C$1),'General Inputs'!U$9*$G87,0))+IF(AND(($E87+$C$1)&gt;AX$4,AX$4&gt;=$C$1),'General Inputs'!U$10*$J87,IF(AND(($D87+$C$1)&gt;AX$4,AX$4&gt;=$C$1),'General Inputs'!U$10*$I87,0))</f>
        <v>0</v>
      </c>
      <c r="AY87" s="214">
        <f>IF(AND(($E87+$C$1)&gt;AY$4,AY$4&gt;=$C$1),'General Inputs'!V$9*$H87,IF(AND(($D87+$C$1)&gt;AY$4,AY$4&gt;=$C$1),'General Inputs'!V$9*$G87,0))+IF(AND(($E87+$C$1)&gt;AY$4,AY$4&gt;=$C$1),'General Inputs'!V$10*$J87,IF(AND(($D87+$C$1)&gt;AY$4,AY$4&gt;=$C$1),'General Inputs'!V$10*$I87,0))</f>
        <v>0</v>
      </c>
      <c r="AZ87" s="214">
        <f>IF(AND(($E87+$C$1)&gt;AZ$4,AZ$4&gt;=$C$1),'General Inputs'!W$9*$H87,IF(AND(($D87+$C$1)&gt;AZ$4,AZ$4&gt;=$C$1),'General Inputs'!W$9*$G87,0))+IF(AND(($E87+$C$1)&gt;AZ$4,AZ$4&gt;=$C$1),'General Inputs'!W$10*$J87,IF(AND(($D87+$C$1)&gt;AZ$4,AZ$4&gt;=$C$1),'General Inputs'!W$10*$I87,0))</f>
        <v>0</v>
      </c>
      <c r="BB87" s="214">
        <f>IF(AND(($E87+$C$1)&gt;BB$4,BB$4&gt;=$C$1),'General Inputs'!D$11*$H87,IF(AND(($D87+$C$1)&gt;BB$4,BB$4&gt;=$C$1),'General Inputs'!D$11*$G87,0))</f>
        <v>0</v>
      </c>
      <c r="BC87" s="214">
        <f>IF(AND(($E87+$C$1)&gt;BC$4,BC$4&gt;=$C$1),'General Inputs'!E$11*$H87,IF(AND(($D87+$C$1)&gt;BC$4,BC$4&gt;=$C$1),'General Inputs'!E$11*$G87,0))</f>
        <v>0</v>
      </c>
      <c r="BD87" s="214">
        <f>IF(AND(($E87+$C$1)&gt;BD$4,BD$4&gt;=$C$1),'General Inputs'!F$11*$H87,IF(AND(($D87+$C$1)&gt;BD$4,BD$4&gt;=$C$1),'General Inputs'!F$11*$G87,0))</f>
        <v>0</v>
      </c>
      <c r="BE87" s="214">
        <f>IF(AND(($E87+$C$1)&gt;BE$4,BE$4&gt;=$C$1),'General Inputs'!G$11*$H87,IF(AND(($D87+$C$1)&gt;BE$4,BE$4&gt;=$C$1),'General Inputs'!G$11*$G87,0))</f>
        <v>0</v>
      </c>
      <c r="BF87" s="214">
        <f>IF(AND(($E87+$C$1)&gt;BF$4,BF$4&gt;=$C$1),'General Inputs'!H$11*$H87,IF(AND(($D87+$C$1)&gt;BF$4,BF$4&gt;=$C$1),'General Inputs'!H$11*$G87,0))</f>
        <v>0</v>
      </c>
      <c r="BG87" s="214">
        <f>IF(AND(($E87+$C$1)&gt;BG$4,BG$4&gt;=$C$1),'General Inputs'!I$11*$H87,IF(AND(($D87+$C$1)&gt;BG$4,BG$4&gt;=$C$1),'General Inputs'!I$11*$G87,0))</f>
        <v>0</v>
      </c>
      <c r="BH87" s="214">
        <f>IF(AND(($E87+$C$1)&gt;BH$4,BH$4&gt;=$C$1),'General Inputs'!J$11*$H87,IF(AND(($D87+$C$1)&gt;BH$4,BH$4&gt;=$C$1),'General Inputs'!J$11*$G87,0))</f>
        <v>0</v>
      </c>
      <c r="BI87" s="214">
        <f>IF(AND(($E87+$C$1)&gt;BI$4,BI$4&gt;=$C$1),'General Inputs'!K$11*$H87,IF(AND(($D87+$C$1)&gt;BI$4,BI$4&gt;=$C$1),'General Inputs'!K$11*$G87,0))</f>
        <v>0</v>
      </c>
      <c r="BJ87" s="214">
        <f>IF(AND(($E87+$C$1)&gt;BJ$4,BJ$4&gt;=$C$1),'General Inputs'!L$11*$H87,IF(AND(($D87+$C$1)&gt;BJ$4,BJ$4&gt;=$C$1),'General Inputs'!L$11*$G87,0))</f>
        <v>0</v>
      </c>
      <c r="BK87" s="214">
        <f>IF(AND(($E87+$C$1)&gt;BK$4,BK$4&gt;=$C$1),'General Inputs'!M$11*$H87,IF(AND(($D87+$C$1)&gt;BK$4,BK$4&gt;=$C$1),'General Inputs'!M$11*$G87,0))</f>
        <v>0</v>
      </c>
      <c r="BL87" s="214">
        <f>IF(AND(($E87+$C$1)&gt;BL$4,BL$4&gt;=$C$1),'General Inputs'!N$11*$H87,IF(AND(($D87+$C$1)&gt;BL$4,BL$4&gt;=$C$1),'General Inputs'!N$11*$G87,0))</f>
        <v>0</v>
      </c>
      <c r="BM87" s="214">
        <f>IF(AND(($E87+$C$1)&gt;BM$4,BM$4&gt;=$C$1),'General Inputs'!O$11*$H87,IF(AND(($D87+$C$1)&gt;BM$4,BM$4&gt;=$C$1),'General Inputs'!O$11*$G87,0))</f>
        <v>0</v>
      </c>
      <c r="BN87" s="214">
        <f>IF(AND(($E87+$C$1)&gt;BN$4,BN$4&gt;=$C$1),'General Inputs'!P$11*$H87,IF(AND(($D87+$C$1)&gt;BN$4,BN$4&gt;=$C$1),'General Inputs'!P$11*$G87,0))</f>
        <v>0</v>
      </c>
      <c r="BO87" s="214">
        <f>IF(AND(($E87+$C$1)&gt;BO$4,BO$4&gt;=$C$1),'General Inputs'!Q$11*$H87,IF(AND(($D87+$C$1)&gt;BO$4,BO$4&gt;=$C$1),'General Inputs'!Q$11*$G87,0))</f>
        <v>0</v>
      </c>
      <c r="BP87" s="214">
        <f>IF(AND(($E87+$C$1)&gt;BP$4,BP$4&gt;=$C$1),'General Inputs'!R$11*$H87,IF(AND(($D87+$C$1)&gt;BP$4,BP$4&gt;=$C$1),'General Inputs'!R$11*$G87,0))</f>
        <v>0</v>
      </c>
      <c r="BQ87" s="214">
        <f>IF(AND(($E87+$C$1)&gt;BQ$4,BQ$4&gt;=$C$1),'General Inputs'!S$11*$H87,IF(AND(($D87+$C$1)&gt;BQ$4,BQ$4&gt;=$C$1),'General Inputs'!S$11*$G87,0))</f>
        <v>0</v>
      </c>
      <c r="BR87" s="214">
        <f>IF(AND(($E87+$C$1)&gt;BR$4,BR$4&gt;=$C$1),'General Inputs'!T$11*$H87,IF(AND(($D87+$C$1)&gt;BR$4,BR$4&gt;=$C$1),'General Inputs'!T$11*$G87,0))</f>
        <v>0</v>
      </c>
      <c r="BS87" s="214">
        <f>IF(AND(($E87+$C$1)&gt;BS$4,BS$4&gt;=$C$1),'General Inputs'!U$11*$H87,IF(AND(($D87+$C$1)&gt;BS$4,BS$4&gt;=$C$1),'General Inputs'!U$11*$G87,0))</f>
        <v>0</v>
      </c>
      <c r="BT87" s="214">
        <f>IF(AND(($E87+$C$1)&gt;BT$4,BT$4&gt;=$C$1),'General Inputs'!V$11*$H87,IF(AND(($D87+$C$1)&gt;BT$4,BT$4&gt;=$C$1),'General Inputs'!V$11*$G87,0))</f>
        <v>0</v>
      </c>
      <c r="BU87" s="214">
        <f>IF(AND(($E87+$C$1)&gt;BU$4,BU$4&gt;=$C$1),'General Inputs'!W$11*$H87,IF(AND(($D87+$C$1)&gt;BU$4,BU$4&gt;=$C$1),'General Inputs'!W$11*$G87,0))</f>
        <v>0</v>
      </c>
      <c r="BW87" s="214">
        <f>IF(AND(($E87+$C$1)&gt;BW$4,BW$4&gt;=$C$1),$H87,IF(AND(($D87+$C$1)&gt;BW$4,BW$4&gt;=$C$1),$G87,0))*IF($A87="Residential",'General Inputs'!D$14,'General Inputs'!D$19)</f>
        <v>0</v>
      </c>
      <c r="BX87" s="214">
        <f>IF(AND(($E87+$C$1)&gt;BX$4,BX$4&gt;=$C$1),$H87,IF(AND(($D87+$C$1)&gt;BX$4,BX$4&gt;=$C$1),$G87,0))*IF($A87="Residential",'General Inputs'!E$14,'General Inputs'!E$19)</f>
        <v>0</v>
      </c>
      <c r="BY87" s="214">
        <f>IF(AND(($E87+$C$1)&gt;BY$4,BY$4&gt;=$C$1),$H87,IF(AND(($D87+$C$1)&gt;BY$4,BY$4&gt;=$C$1),$G87,0))*IF($A87="Residential",'General Inputs'!F$14,'General Inputs'!F$19)</f>
        <v>0</v>
      </c>
      <c r="BZ87" s="214">
        <f>IF(AND(($E87+$C$1)&gt;BZ$4,BZ$4&gt;=$C$1),$H87,IF(AND(($D87+$C$1)&gt;BZ$4,BZ$4&gt;=$C$1),$G87,0))*IF($A87="Residential",'General Inputs'!G$14,'General Inputs'!G$19)</f>
        <v>0</v>
      </c>
      <c r="CA87" s="214">
        <f>IF(AND(($E87+$C$1)&gt;CA$4,CA$4&gt;=$C$1),$H87,IF(AND(($D87+$C$1)&gt;CA$4,CA$4&gt;=$C$1),$G87,0))*IF($A87="Residential",'General Inputs'!H$14,'General Inputs'!H$19)</f>
        <v>0</v>
      </c>
      <c r="CB87" s="214">
        <f>IF(AND(($E87+$C$1)&gt;CB$4,CB$4&gt;=$C$1),$H87,IF(AND(($D87+$C$1)&gt;CB$4,CB$4&gt;=$C$1),$G87,0))*IF($A87="Residential",'General Inputs'!I$14,'General Inputs'!I$19)</f>
        <v>0</v>
      </c>
      <c r="CC87" s="214">
        <f>IF(AND(($E87+$C$1)&gt;CC$4,CC$4&gt;=$C$1),$H87,IF(AND(($D87+$C$1)&gt;CC$4,CC$4&gt;=$C$1),$G87,0))*IF($A87="Residential",'General Inputs'!J$14,'General Inputs'!J$19)</f>
        <v>0</v>
      </c>
      <c r="CD87" s="214">
        <f>IF(AND(($E87+$C$1)&gt;CD$4,CD$4&gt;=$C$1),$H87,IF(AND(($D87+$C$1)&gt;CD$4,CD$4&gt;=$C$1),$G87,0))*IF($A87="Residential",'General Inputs'!K$14,'General Inputs'!K$19)</f>
        <v>0</v>
      </c>
      <c r="CE87" s="214">
        <f>IF(AND(($E87+$C$1)&gt;CE$4,CE$4&gt;=$C$1),$H87,IF(AND(($D87+$C$1)&gt;CE$4,CE$4&gt;=$C$1),$G87,0))*IF($A87="Residential",'General Inputs'!L$14,'General Inputs'!L$19)</f>
        <v>0</v>
      </c>
      <c r="CF87" s="214">
        <f>IF(AND(($E87+$C$1)&gt;CF$4,CF$4&gt;=$C$1),$H87,IF(AND(($D87+$C$1)&gt;CF$4,CF$4&gt;=$C$1),$G87,0))*IF($A87="Residential",'General Inputs'!M$14,'General Inputs'!M$19)</f>
        <v>0</v>
      </c>
      <c r="CG87" s="214">
        <f>IF(AND(($E87+$C$1)&gt;CG$4,CG$4&gt;=$C$1),$H87,IF(AND(($D87+$C$1)&gt;CG$4,CG$4&gt;=$C$1),$G87,0))*IF($A87="Residential",'General Inputs'!N$14,'General Inputs'!N$19)</f>
        <v>0</v>
      </c>
      <c r="CH87" s="214">
        <f>IF(AND(($E87+$C$1)&gt;CH$4,CH$4&gt;=$C$1),$H87,IF(AND(($D87+$C$1)&gt;CH$4,CH$4&gt;=$C$1),$G87,0))*IF($A87="Residential",'General Inputs'!O$14,'General Inputs'!O$19)</f>
        <v>0</v>
      </c>
      <c r="CI87" s="214">
        <f>IF(AND(($E87+$C$1)&gt;CI$4,CI$4&gt;=$C$1),$H87,IF(AND(($D87+$C$1)&gt;CI$4,CI$4&gt;=$C$1),$G87,0))*IF($A87="Residential",'General Inputs'!P$14,'General Inputs'!P$19)</f>
        <v>0</v>
      </c>
      <c r="CJ87" s="214">
        <f>IF(AND(($E87+$C$1)&gt;CJ$4,CJ$4&gt;=$C$1),$H87,IF(AND(($D87+$C$1)&gt;CJ$4,CJ$4&gt;=$C$1),$G87,0))*IF($A87="Residential",'General Inputs'!Q$14,'General Inputs'!Q$19)</f>
        <v>0</v>
      </c>
      <c r="CK87" s="214">
        <f>IF(AND(($E87+$C$1)&gt;CK$4,CK$4&gt;=$C$1),$H87,IF(AND(($D87+$C$1)&gt;CK$4,CK$4&gt;=$C$1),$G87,0))*IF($A87="Residential",'General Inputs'!R$14,'General Inputs'!R$19)</f>
        <v>0</v>
      </c>
      <c r="CL87" s="214">
        <f>IF(AND(($E87+$C$1)&gt;CL$4,CL$4&gt;=$C$1),$H87,IF(AND(($D87+$C$1)&gt;CL$4,CL$4&gt;=$C$1),$G87,0))*IF($A87="Residential",'General Inputs'!S$14,'General Inputs'!S$19)</f>
        <v>0</v>
      </c>
      <c r="CM87" s="214">
        <f>IF(AND(($E87+$C$1)&gt;CM$4,CM$4&gt;=$C$1),$H87,IF(AND(($D87+$C$1)&gt;CM$4,CM$4&gt;=$C$1),$G87,0))*IF($A87="Residential",'General Inputs'!T$14,'General Inputs'!T$19)</f>
        <v>0</v>
      </c>
      <c r="CN87" s="214">
        <f>IF(AND(($E87+$C$1)&gt;CN$4,CN$4&gt;=$C$1),$H87,IF(AND(($D87+$C$1)&gt;CN$4,CN$4&gt;=$C$1),$G87,0))*IF($A87="Residential",'General Inputs'!U$14,'General Inputs'!U$19)</f>
        <v>0</v>
      </c>
      <c r="CO87" s="214">
        <f>IF(AND(($E87+$C$1)&gt;CO$4,CO$4&gt;=$C$1),$H87,IF(AND(($D87+$C$1)&gt;CO$4,CO$4&gt;=$C$1),$G87,0))*IF($A87="Residential",'General Inputs'!V$14,'General Inputs'!V$19)</f>
        <v>0</v>
      </c>
      <c r="CP87" s="214">
        <f>IF(AND(($E87+$C$1)&gt;CP$4,CP$4&gt;=$C$1),$H87,IF(AND(($D87+$C$1)&gt;CP$4,CP$4&gt;=$C$1),$G87,0))*IF($A87="Residential",'General Inputs'!W$14,'General Inputs'!W$19)</f>
        <v>0</v>
      </c>
      <c r="CR87" s="214">
        <f>IF(AND(($E87+$C$1)&gt;CR$4,CR$4&gt;=$C$1),$H87,IF(AND(($D87+$C$1)&gt;CR$4,CR$4&gt;=$C$1),$G87,0))*IF($A87="Residential",'General Inputs'!D$15,'General Inputs'!D$19)</f>
        <v>0</v>
      </c>
      <c r="CS87" s="214">
        <f>IF(AND(($E87+$C$1)&gt;CS$4,CS$4&gt;=$C$1),$H87,IF(AND(($D87+$C$1)&gt;CS$4,CS$4&gt;=$C$1),$G87,0))*IF($A87="Residential",'General Inputs'!E$15,'General Inputs'!E$19)</f>
        <v>0</v>
      </c>
      <c r="CT87" s="214">
        <f>IF(AND(($E87+$C$1)&gt;CT$4,CT$4&gt;=$C$1),$H87,IF(AND(($D87+$C$1)&gt;CT$4,CT$4&gt;=$C$1),$G87,0))*IF($A87="Residential",'General Inputs'!F$15,'General Inputs'!F$19)</f>
        <v>0</v>
      </c>
      <c r="CU87" s="214">
        <f>IF(AND(($E87+$C$1)&gt;CU$4,CU$4&gt;=$C$1),$H87,IF(AND(($D87+$C$1)&gt;CU$4,CU$4&gt;=$C$1),$G87,0))*IF($A87="Residential",'General Inputs'!G$15,'General Inputs'!G$19)</f>
        <v>0</v>
      </c>
      <c r="CV87" s="214">
        <f>IF(AND(($E87+$C$1)&gt;CV$4,CV$4&gt;=$C$1),$H87,IF(AND(($D87+$C$1)&gt;CV$4,CV$4&gt;=$C$1),$G87,0))*IF($A87="Residential",'General Inputs'!H$15,'General Inputs'!H$19)</f>
        <v>0</v>
      </c>
      <c r="CW87" s="214">
        <f>IF(AND(($E87+$C$1)&gt;CW$4,CW$4&gt;=$C$1),$H87,IF(AND(($D87+$C$1)&gt;CW$4,CW$4&gt;=$C$1),$G87,0))*IF($A87="Residential",'General Inputs'!I$15,'General Inputs'!I$19)</f>
        <v>0</v>
      </c>
      <c r="CX87" s="214">
        <f>IF(AND(($E87+$C$1)&gt;CX$4,CX$4&gt;=$C$1),$H87,IF(AND(($D87+$C$1)&gt;CX$4,CX$4&gt;=$C$1),$G87,0))*IF($A87="Residential",'General Inputs'!J$15,'General Inputs'!J$19)</f>
        <v>0</v>
      </c>
      <c r="CY87" s="214">
        <f>IF(AND(($E87+$C$1)&gt;CY$4,CY$4&gt;=$C$1),$H87,IF(AND(($D87+$C$1)&gt;CY$4,CY$4&gt;=$C$1),$G87,0))*IF($A87="Residential",'General Inputs'!K$15,'General Inputs'!K$19)</f>
        <v>0</v>
      </c>
      <c r="CZ87" s="214">
        <f>IF(AND(($E87+$C$1)&gt;CZ$4,CZ$4&gt;=$C$1),$H87,IF(AND(($D87+$C$1)&gt;CZ$4,CZ$4&gt;=$C$1),$G87,0))*IF($A87="Residential",'General Inputs'!L$15,'General Inputs'!L$19)</f>
        <v>0</v>
      </c>
      <c r="DA87" s="214">
        <f>IF(AND(($E87+$C$1)&gt;DA$4,DA$4&gt;=$C$1),$H87,IF(AND(($D87+$C$1)&gt;DA$4,DA$4&gt;=$C$1),$G87,0))*IF($A87="Residential",'General Inputs'!M$15,'General Inputs'!M$19)</f>
        <v>0</v>
      </c>
      <c r="DB87" s="214">
        <f>IF(AND(($E87+$C$1)&gt;DB$4,DB$4&gt;=$C$1),$H87,IF(AND(($D87+$C$1)&gt;DB$4,DB$4&gt;=$C$1),$G87,0))*IF($A87="Residential",'General Inputs'!N$15,'General Inputs'!N$19)</f>
        <v>0</v>
      </c>
      <c r="DC87" s="214">
        <f>IF(AND(($E87+$C$1)&gt;DC$4,DC$4&gt;=$C$1),$H87,IF(AND(($D87+$C$1)&gt;DC$4,DC$4&gt;=$C$1),$G87,0))*IF($A87="Residential",'General Inputs'!O$15,'General Inputs'!O$19)</f>
        <v>0</v>
      </c>
      <c r="DD87" s="214">
        <f>IF(AND(($E87+$C$1)&gt;DD$4,DD$4&gt;=$C$1),$H87,IF(AND(($D87+$C$1)&gt;DD$4,DD$4&gt;=$C$1),$G87,0))*IF($A87="Residential",'General Inputs'!P$15,'General Inputs'!P$19)</f>
        <v>0</v>
      </c>
      <c r="DE87" s="214">
        <f>IF(AND(($E87+$C$1)&gt;DE$4,DE$4&gt;=$C$1),$H87,IF(AND(($D87+$C$1)&gt;DE$4,DE$4&gt;=$C$1),$G87,0))*IF($A87="Residential",'General Inputs'!Q$15,'General Inputs'!Q$19)</f>
        <v>0</v>
      </c>
      <c r="DF87" s="214">
        <f>IF(AND(($E87+$C$1)&gt;DF$4,DF$4&gt;=$C$1),$H87,IF(AND(($D87+$C$1)&gt;DF$4,DF$4&gt;=$C$1),$G87,0))*IF($A87="Residential",'General Inputs'!R$15,'General Inputs'!R$19)</f>
        <v>0</v>
      </c>
      <c r="DG87" s="214">
        <f>IF(AND(($E87+$C$1)&gt;DG$4,DG$4&gt;=$C$1),$H87,IF(AND(($D87+$C$1)&gt;DG$4,DG$4&gt;=$C$1),$G87,0))*IF($A87="Residential",'General Inputs'!S$15,'General Inputs'!S$19)</f>
        <v>0</v>
      </c>
      <c r="DH87" s="214">
        <f>IF(AND(($E87+$C$1)&gt;DH$4,DH$4&gt;=$C$1),$H87,IF(AND(($D87+$C$1)&gt;DH$4,DH$4&gt;=$C$1),$G87,0))*IF($A87="Residential",'General Inputs'!T$15,'General Inputs'!T$19)</f>
        <v>0</v>
      </c>
      <c r="DI87" s="214">
        <f>IF(AND(($E87+$C$1)&gt;DI$4,DI$4&gt;=$C$1),$H87,IF(AND(($D87+$C$1)&gt;DI$4,DI$4&gt;=$C$1),$G87,0))*IF($A87="Residential",'General Inputs'!U$15,'General Inputs'!U$19)</f>
        <v>0</v>
      </c>
      <c r="DJ87" s="214">
        <f>IF(AND(($E87+$C$1)&gt;DJ$4,DJ$4&gt;=$C$1),$H87,IF(AND(($D87+$C$1)&gt;DJ$4,DJ$4&gt;=$C$1),$G87,0))*IF($A87="Residential",'General Inputs'!V$15,'General Inputs'!V$19)</f>
        <v>0</v>
      </c>
      <c r="DK87" s="214">
        <f>IF(AND(($E87+$C$1)&gt;DK$4,DK$4&gt;=$C$1),$H87,IF(AND(($D87+$C$1)&gt;DK$4,DK$4&gt;=$C$1),$G87,0))*IF($A87="Residential",'General Inputs'!W$15,'General Inputs'!W$19)</f>
        <v>0</v>
      </c>
      <c r="DM87" s="214">
        <f t="shared" ref="DM87:DW90" si="479">IF($C$1=DM$4,$L87*$C87,IF($E87+$C$1=DM$4,-$M87*$C87,0))</f>
        <v>0</v>
      </c>
      <c r="DN87" s="214">
        <f t="shared" si="479"/>
        <v>0</v>
      </c>
      <c r="DO87" s="214">
        <f t="shared" si="479"/>
        <v>0</v>
      </c>
      <c r="DP87" s="214">
        <f t="shared" si="479"/>
        <v>0</v>
      </c>
      <c r="DQ87" s="214">
        <f t="shared" si="479"/>
        <v>0</v>
      </c>
      <c r="DR87" s="214">
        <f t="shared" si="479"/>
        <v>0</v>
      </c>
      <c r="DS87" s="214">
        <f t="shared" si="479"/>
        <v>0</v>
      </c>
      <c r="DT87" s="214">
        <f t="shared" si="479"/>
        <v>0</v>
      </c>
      <c r="DU87" s="214">
        <f t="shared" si="479"/>
        <v>0</v>
      </c>
      <c r="DV87" s="214">
        <f t="shared" si="479"/>
        <v>0</v>
      </c>
      <c r="DW87" s="214">
        <f t="shared" si="479"/>
        <v>0</v>
      </c>
      <c r="DZ87" s="650"/>
      <c r="FI87" s="195"/>
      <c r="FJ87" s="195"/>
      <c r="FK87" s="195"/>
      <c r="FL87" s="195"/>
      <c r="FM87" s="195"/>
      <c r="FN87" s="195"/>
      <c r="FO87" s="195"/>
    </row>
    <row r="88" spans="1:171">
      <c r="A88" s="342" t="s">
        <v>112</v>
      </c>
      <c r="B88" s="427" t="str">
        <f>'Portfolio Inputs'!A87</f>
        <v>Single System Heat Pump</v>
      </c>
      <c r="C88" s="217">
        <f>IF($C$1=2014,'Portfolio Inputs'!$C87,IF($C$1=2015,'Portfolio Inputs'!$D87,'Portfolio Inputs'!$E87))</f>
        <v>2</v>
      </c>
      <c r="D88" s="504">
        <f>VLOOKUP(B88,Sources!$B$4:$J$104,2,FALSE)</f>
        <v>15</v>
      </c>
      <c r="E88" s="504">
        <f>VLOOKUP(B88,Sources!$B$4:$J$104,3,FALSE)</f>
        <v>0</v>
      </c>
      <c r="G88" s="504">
        <f>IF($C$1=2014,'Portfolio Inputs'!$G87,IF($C$1=2015,'Portfolio Inputs'!$H87,'Portfolio Inputs'!$I87))*EnergyLineLoss</f>
        <v>1898.6890009989977</v>
      </c>
      <c r="H88" s="504"/>
      <c r="I88" s="595">
        <f>IF($C$1=2014,'Portfolio Inputs'!$K87,IF($C$1=2015,'Portfolio Inputs'!$L87,'Portfolio Inputs'!$M87))*PeakLineLoss</f>
        <v>0.63027098901098988</v>
      </c>
      <c r="J88" s="510"/>
      <c r="L88" s="606">
        <f>IF($C$1=2014,'Portfolio Inputs'!$O87,IF($C$1=2015,'Portfolio Inputs'!$P87,'Portfolio Inputs'!$Q87))</f>
        <v>370</v>
      </c>
      <c r="M88" s="518">
        <f>VLOOKUP($B88,Sources!$B$4:$K$104,10,FALSE)</f>
        <v>0</v>
      </c>
      <c r="N88" s="419">
        <f>IF($C$1=2014,'Portfolio Inputs'!$W87,IF($C$1=2015,'Portfolio Inputs'!$X87,'Portfolio Inputs'!$Y87))</f>
        <v>500</v>
      </c>
      <c r="O88" s="419">
        <f>IF($C$1=2014,'Portfolio Inputs'!$AA87,IF($C$1=2015,'Portfolio Inputs'!$AB87,'Portfolio Inputs'!$AC87))</f>
        <v>0</v>
      </c>
      <c r="Q88" s="436">
        <f t="shared" si="290"/>
        <v>1.1059862605865023</v>
      </c>
      <c r="R88" s="437">
        <f t="shared" si="291"/>
        <v>1.6368596656680234</v>
      </c>
      <c r="S88" s="437">
        <f t="shared" si="292"/>
        <v>1.3650465032544246</v>
      </c>
      <c r="T88" s="437">
        <f t="shared" si="293"/>
        <v>3.255653059425502</v>
      </c>
      <c r="U88" s="439">
        <f t="shared" si="478"/>
        <v>3.255653059425502</v>
      </c>
      <c r="V88" s="439">
        <f t="shared" si="294"/>
        <v>0.33971256777024839</v>
      </c>
      <c r="W88" s="439">
        <f t="shared" si="295"/>
        <v>0.33971256777024839</v>
      </c>
      <c r="Y88" s="215">
        <f t="shared" si="29"/>
        <v>818.42983283401168</v>
      </c>
      <c r="Z88" s="215">
        <f t="shared" si="30"/>
        <v>191.70457957426243</v>
      </c>
      <c r="AA88" s="215">
        <f t="shared" si="31"/>
        <v>1909.1832639748714</v>
      </c>
      <c r="AB88" s="215">
        <f t="shared" si="32"/>
        <v>1909.1832639748714</v>
      </c>
      <c r="AC88" s="216">
        <f t="shared" si="33"/>
        <v>0</v>
      </c>
      <c r="AD88" s="216">
        <f t="shared" si="34"/>
        <v>500</v>
      </c>
      <c r="AE88" s="215">
        <f t="shared" si="381"/>
        <v>740</v>
      </c>
      <c r="AG88" s="214">
        <f>IF(AND(($E88+$C$1)&gt;AG$4,AG$4&gt;=$C$1),'General Inputs'!D$9*$H88,IF(AND(($D88+$C$1)&gt;AG$4,AG$4&gt;=$C$1),'General Inputs'!D$9*$G88,0))+IF(AND(($E88+$C$1)&gt;AG$4,AG$4&gt;=$C$1),'General Inputs'!D$10*$J88,IF(AND(($D88+$C$1)&gt;AG$4,AG$4&gt;=$C$1),'General Inputs'!D$10*$I88,0))</f>
        <v>85.028822042238687</v>
      </c>
      <c r="AH88" s="214">
        <f>IF(AND(($E88+$C$1)&gt;AH$4,AH$4&gt;=$C$1),'General Inputs'!E$9*$H88,IF(AND(($D88+$C$1)&gt;AH$4,AH$4&gt;=$C$1),'General Inputs'!E$9*$G88,0))+IF(AND(($E88+$C$1)&gt;AH$4,AH$4&gt;=$C$1),'General Inputs'!E$10*$J88,IF(AND(($D88+$C$1)&gt;AH$4,AH$4&gt;=$C$1),'General Inputs'!E$10*$I88,0))</f>
        <v>86.304254372872265</v>
      </c>
      <c r="AI88" s="214">
        <f>IF(AND(($E88+$C$1)&gt;AI$4,AI$4&gt;=$C$1),'General Inputs'!F$9*$H88,IF(AND(($D88+$C$1)&gt;AI$4,AI$4&gt;=$C$1),'General Inputs'!F$9*$G88,0))+IF(AND(($E88+$C$1)&gt;AI$4,AI$4&gt;=$C$1),'General Inputs'!F$10*$J88,IF(AND(($D88+$C$1)&gt;AI$4,AI$4&gt;=$C$1),'General Inputs'!F$10*$I88,0))</f>
        <v>87.59881818846533</v>
      </c>
      <c r="AJ88" s="214">
        <f>IF(AND(($E88+$C$1)&gt;AJ$4,AJ$4&gt;=$C$1),'General Inputs'!G$9*$H88,IF(AND(($D88+$C$1)&gt;AJ$4,AJ$4&gt;=$C$1),'General Inputs'!G$9*$G88,0))+IF(AND(($E88+$C$1)&gt;AJ$4,AJ$4&gt;=$C$1),'General Inputs'!G$10*$J88,IF(AND(($D88+$C$1)&gt;AJ$4,AJ$4&gt;=$C$1),'General Inputs'!G$10*$I88,0))</f>
        <v>88.912800461292306</v>
      </c>
      <c r="AK88" s="214">
        <f>IF(AND(($E88+$C$1)&gt;AK$4,AK$4&gt;=$C$1),'General Inputs'!H$9*$H88,IF(AND(($D88+$C$1)&gt;AK$4,AK$4&gt;=$C$1),'General Inputs'!H$9*$G88,0))+IF(AND(($E88+$C$1)&gt;AK$4,AK$4&gt;=$C$1),'General Inputs'!H$10*$J88,IF(AND(($D88+$C$1)&gt;AK$4,AK$4&gt;=$C$1),'General Inputs'!H$10*$I88,0))</f>
        <v>90.246492468211684</v>
      </c>
      <c r="AL88" s="214">
        <f>IF(AND(($E88+$C$1)&gt;AL$4,AL$4&gt;=$C$1),'General Inputs'!I$9*$H88,IF(AND(($D88+$C$1)&gt;AL$4,AL$4&gt;=$C$1),'General Inputs'!I$9*$G88,0))+IF(AND(($E88+$C$1)&gt;AL$4,AL$4&gt;=$C$1),'General Inputs'!I$10*$J88,IF(AND(($D88+$C$1)&gt;AL$4,AL$4&gt;=$C$1),'General Inputs'!I$10*$I88,0))</f>
        <v>91.600189855234845</v>
      </c>
      <c r="AM88" s="214">
        <f>IF(AND(($E88+$C$1)&gt;AM$4,AM$4&gt;=$C$1),'General Inputs'!J$9*$H88,IF(AND(($D88+$C$1)&gt;AM$4,AM$4&gt;=$C$1),'General Inputs'!J$9*$G88,0))+IF(AND(($E88+$C$1)&gt;AM$4,AM$4&gt;=$C$1),'General Inputs'!J$10*$J88,IF(AND(($D88+$C$1)&gt;AM$4,AM$4&gt;=$C$1),'General Inputs'!J$10*$I88,0))</f>
        <v>92.974192703063352</v>
      </c>
      <c r="AN88" s="214">
        <f>IF(AND(($E88+$C$1)&gt;AN$4,AN$4&gt;=$C$1),'General Inputs'!K$9*$H88,IF(AND(($D88+$C$1)&gt;AN$4,AN$4&gt;=$C$1),'General Inputs'!K$9*$G88,0))+IF(AND(($E88+$C$1)&gt;AN$4,AN$4&gt;=$C$1),'General Inputs'!K$10*$J88,IF(AND(($D88+$C$1)&gt;AN$4,AN$4&gt;=$C$1),'General Inputs'!K$10*$I88,0))</f>
        <v>94.368805593609281</v>
      </c>
      <c r="AO88" s="214">
        <f>IF(AND(($E88+$C$1)&gt;AO$4,AO$4&gt;=$C$1),'General Inputs'!L$9*$H88,IF(AND(($D88+$C$1)&gt;AO$4,AO$4&gt;=$C$1),'General Inputs'!L$9*$G88,0))+IF(AND(($E88+$C$1)&gt;AO$4,AO$4&gt;=$C$1),'General Inputs'!L$10*$J88,IF(AND(($D88+$C$1)&gt;AO$4,AO$4&gt;=$C$1),'General Inputs'!L$10*$I88,0))</f>
        <v>95.78433767751342</v>
      </c>
      <c r="AP88" s="214">
        <f>IF(AND(($E88+$C$1)&gt;AP$4,AP$4&gt;=$C$1),'General Inputs'!M$9*$H88,IF(AND(($D88+$C$1)&gt;AP$4,AP$4&gt;=$C$1),'General Inputs'!M$9*$G88,0))+IF(AND(($E88+$C$1)&gt;AP$4,AP$4&gt;=$C$1),'General Inputs'!M$10*$J88,IF(AND(($D88+$C$1)&gt;AP$4,AP$4&gt;=$C$1),'General Inputs'!M$10*$I88,0))</f>
        <v>97.221102742676095</v>
      </c>
      <c r="AQ88" s="214">
        <f>IF(AND(($E88+$C$1)&gt;AQ$4,AQ$4&gt;=$C$1),'General Inputs'!N$9*$H88,IF(AND(($D88+$C$1)&gt;AQ$4,AQ$4&gt;=$C$1),'General Inputs'!N$9*$G88,0))+IF(AND(($E88+$C$1)&gt;AQ$4,AQ$4&gt;=$C$1),'General Inputs'!N$10*$J88,IF(AND(($D88+$C$1)&gt;AQ$4,AQ$4&gt;=$C$1),'General Inputs'!N$10*$I88,0))</f>
        <v>98.679419283816245</v>
      </c>
      <c r="AR88" s="214">
        <f>IF(AND(($E88+$C$1)&gt;AR$4,AR$4&gt;=$C$1),'General Inputs'!O$9*$H88,IF(AND(($D88+$C$1)&gt;AR$4,AR$4&gt;=$C$1),'General Inputs'!O$9*$G88,0))+IF(AND(($E88+$C$1)&gt;AR$4,AR$4&gt;=$C$1),'General Inputs'!O$10*$J88,IF(AND(($D88+$C$1)&gt;AR$4,AR$4&gt;=$C$1),'General Inputs'!O$10*$I88,0))</f>
        <v>100.15961057307348</v>
      </c>
      <c r="AS88" s="214">
        <f>IF(AND(($E88+$C$1)&gt;AS$4,AS$4&gt;=$C$1),'General Inputs'!P$9*$H88,IF(AND(($D88+$C$1)&gt;AS$4,AS$4&gt;=$C$1),'General Inputs'!P$9*$G88,0))+IF(AND(($E88+$C$1)&gt;AS$4,AS$4&gt;=$C$1),'General Inputs'!P$10*$J88,IF(AND(($D88+$C$1)&gt;AS$4,AS$4&gt;=$C$1),'General Inputs'!P$10*$I88,0))</f>
        <v>101.66200473166957</v>
      </c>
      <c r="AT88" s="214">
        <f>IF(AND(($E88+$C$1)&gt;AT$4,AT$4&gt;=$C$1),'General Inputs'!Q$9*$H88,IF(AND(($D88+$C$1)&gt;AT$4,AT$4&gt;=$C$1),'General Inputs'!Q$9*$G88,0))+IF(AND(($E88+$C$1)&gt;AT$4,AT$4&gt;=$C$1),'General Inputs'!Q$10*$J88,IF(AND(($D88+$C$1)&gt;AT$4,AT$4&gt;=$C$1),'General Inputs'!Q$10*$I88,0))</f>
        <v>103.1869348026446</v>
      </c>
      <c r="AU88" s="214">
        <f>IF(AND(($E88+$C$1)&gt;AU$4,AU$4&gt;=$C$1),'General Inputs'!R$9*$H88,IF(AND(($D88+$C$1)&gt;AU$4,AU$4&gt;=$C$1),'General Inputs'!R$9*$G88,0))+IF(AND(($E88+$C$1)&gt;AU$4,AU$4&gt;=$C$1),'General Inputs'!R$10*$J88,IF(AND(($D88+$C$1)&gt;AU$4,AU$4&gt;=$C$1),'General Inputs'!R$10*$I88,0))</f>
        <v>104.73473882468426</v>
      </c>
      <c r="AV88" s="214">
        <f>IF(AND(($E88+$C$1)&gt;AV$4,AV$4&gt;=$C$1),'General Inputs'!S$9*$H88,IF(AND(($D88+$C$1)&gt;AV$4,AV$4&gt;=$C$1),'General Inputs'!S$9*$G88,0))+IF(AND(($E88+$C$1)&gt;AV$4,AV$4&gt;=$C$1),'General Inputs'!S$10*$J88,IF(AND(($D88+$C$1)&gt;AV$4,AV$4&gt;=$C$1),'General Inputs'!S$10*$I88,0))</f>
        <v>0</v>
      </c>
      <c r="AW88" s="214">
        <f>IF(AND(($E88+$C$1)&gt;AW$4,AW$4&gt;=$C$1),'General Inputs'!T$9*$H88,IF(AND(($D88+$C$1)&gt;AW$4,AW$4&gt;=$C$1),'General Inputs'!T$9*$G88,0))+IF(AND(($E88+$C$1)&gt;AW$4,AW$4&gt;=$C$1),'General Inputs'!T$10*$J88,IF(AND(($D88+$C$1)&gt;AW$4,AW$4&gt;=$C$1),'General Inputs'!T$10*$I88,0))</f>
        <v>0</v>
      </c>
      <c r="AX88" s="214">
        <f>IF(AND(($E88+$C$1)&gt;AX$4,AX$4&gt;=$C$1),'General Inputs'!U$9*$H88,IF(AND(($D88+$C$1)&gt;AX$4,AX$4&gt;=$C$1),'General Inputs'!U$9*$G88,0))+IF(AND(($E88+$C$1)&gt;AX$4,AX$4&gt;=$C$1),'General Inputs'!U$10*$J88,IF(AND(($D88+$C$1)&gt;AX$4,AX$4&gt;=$C$1),'General Inputs'!U$10*$I88,0))</f>
        <v>0</v>
      </c>
      <c r="AY88" s="214">
        <f>IF(AND(($E88+$C$1)&gt;AY$4,AY$4&gt;=$C$1),'General Inputs'!V$9*$H88,IF(AND(($D88+$C$1)&gt;AY$4,AY$4&gt;=$C$1),'General Inputs'!V$9*$G88,0))+IF(AND(($E88+$C$1)&gt;AY$4,AY$4&gt;=$C$1),'General Inputs'!V$10*$J88,IF(AND(($D88+$C$1)&gt;AY$4,AY$4&gt;=$C$1),'General Inputs'!V$10*$I88,0))</f>
        <v>0</v>
      </c>
      <c r="AZ88" s="214">
        <f>IF(AND(($E88+$C$1)&gt;AZ$4,AZ$4&gt;=$C$1),'General Inputs'!W$9*$H88,IF(AND(($D88+$C$1)&gt;AZ$4,AZ$4&gt;=$C$1),'General Inputs'!W$9*$G88,0))+IF(AND(($E88+$C$1)&gt;AZ$4,AZ$4&gt;=$C$1),'General Inputs'!W$10*$J88,IF(AND(($D88+$C$1)&gt;AZ$4,AZ$4&gt;=$C$1),'General Inputs'!W$10*$I88,0))</f>
        <v>0</v>
      </c>
      <c r="BB88" s="214">
        <f>IF(AND(($E88+$C$1)&gt;BB$4,BB$4&gt;=$C$1),'General Inputs'!D$11*$H88,IF(AND(($D88+$C$1)&gt;BB$4,BB$4&gt;=$C$1),'General Inputs'!D$11*$G88,0))</f>
        <v>21.645054611388574</v>
      </c>
      <c r="BC88" s="214">
        <f>IF(AND(($E88+$C$1)&gt;BC$4,BC$4&gt;=$C$1),'General Inputs'!E$11*$H88,IF(AND(($D88+$C$1)&gt;BC$4,BC$4&gt;=$C$1),'General Inputs'!E$11*$G88,0))</f>
        <v>21.645054611388574</v>
      </c>
      <c r="BD88" s="214">
        <f>IF(AND(($E88+$C$1)&gt;BD$4,BD$4&gt;=$C$1),'General Inputs'!F$11*$H88,IF(AND(($D88+$C$1)&gt;BD$4,BD$4&gt;=$C$1),'General Inputs'!F$11*$G88,0))</f>
        <v>21.645054611388574</v>
      </c>
      <c r="BE88" s="214">
        <f>IF(AND(($E88+$C$1)&gt;BE$4,BE$4&gt;=$C$1),'General Inputs'!G$11*$H88,IF(AND(($D88+$C$1)&gt;BE$4,BE$4&gt;=$C$1),'General Inputs'!G$11*$G88,0))</f>
        <v>21.645054611388574</v>
      </c>
      <c r="BF88" s="214">
        <f>IF(AND(($E88+$C$1)&gt;BF$4,BF$4&gt;=$C$1),'General Inputs'!H$11*$H88,IF(AND(($D88+$C$1)&gt;BF$4,BF$4&gt;=$C$1),'General Inputs'!H$11*$G88,0))</f>
        <v>21.645054611388574</v>
      </c>
      <c r="BG88" s="214">
        <f>IF(AND(($E88+$C$1)&gt;BG$4,BG$4&gt;=$C$1),'General Inputs'!I$11*$H88,IF(AND(($D88+$C$1)&gt;BG$4,BG$4&gt;=$C$1),'General Inputs'!I$11*$G88,0))</f>
        <v>21.645054611388574</v>
      </c>
      <c r="BH88" s="214">
        <f>IF(AND(($E88+$C$1)&gt;BH$4,BH$4&gt;=$C$1),'General Inputs'!J$11*$H88,IF(AND(($D88+$C$1)&gt;BH$4,BH$4&gt;=$C$1),'General Inputs'!J$11*$G88,0))</f>
        <v>21.645054611388574</v>
      </c>
      <c r="BI88" s="214">
        <f>IF(AND(($E88+$C$1)&gt;BI$4,BI$4&gt;=$C$1),'General Inputs'!K$11*$H88,IF(AND(($D88+$C$1)&gt;BI$4,BI$4&gt;=$C$1),'General Inputs'!K$11*$G88,0))</f>
        <v>21.645054611388574</v>
      </c>
      <c r="BJ88" s="214">
        <f>IF(AND(($E88+$C$1)&gt;BJ$4,BJ$4&gt;=$C$1),'General Inputs'!L$11*$H88,IF(AND(($D88+$C$1)&gt;BJ$4,BJ$4&gt;=$C$1),'General Inputs'!L$11*$G88,0))</f>
        <v>21.645054611388574</v>
      </c>
      <c r="BK88" s="214">
        <f>IF(AND(($E88+$C$1)&gt;BK$4,BK$4&gt;=$C$1),'General Inputs'!M$11*$H88,IF(AND(($D88+$C$1)&gt;BK$4,BK$4&gt;=$C$1),'General Inputs'!M$11*$G88,0))</f>
        <v>21.645054611388574</v>
      </c>
      <c r="BL88" s="214">
        <f>IF(AND(($E88+$C$1)&gt;BL$4,BL$4&gt;=$C$1),'General Inputs'!N$11*$H88,IF(AND(($D88+$C$1)&gt;BL$4,BL$4&gt;=$C$1),'General Inputs'!N$11*$G88,0))</f>
        <v>21.645054611388574</v>
      </c>
      <c r="BM88" s="214">
        <f>IF(AND(($E88+$C$1)&gt;BM$4,BM$4&gt;=$C$1),'General Inputs'!O$11*$H88,IF(AND(($D88+$C$1)&gt;BM$4,BM$4&gt;=$C$1),'General Inputs'!O$11*$G88,0))</f>
        <v>21.645054611388574</v>
      </c>
      <c r="BN88" s="214">
        <f>IF(AND(($E88+$C$1)&gt;BN$4,BN$4&gt;=$C$1),'General Inputs'!P$11*$H88,IF(AND(($D88+$C$1)&gt;BN$4,BN$4&gt;=$C$1),'General Inputs'!P$11*$G88,0))</f>
        <v>21.645054611388574</v>
      </c>
      <c r="BO88" s="214">
        <f>IF(AND(($E88+$C$1)&gt;BO$4,BO$4&gt;=$C$1),'General Inputs'!Q$11*$H88,IF(AND(($D88+$C$1)&gt;BO$4,BO$4&gt;=$C$1),'General Inputs'!Q$11*$G88,0))</f>
        <v>21.645054611388574</v>
      </c>
      <c r="BP88" s="214">
        <f>IF(AND(($E88+$C$1)&gt;BP$4,BP$4&gt;=$C$1),'General Inputs'!R$11*$H88,IF(AND(($D88+$C$1)&gt;BP$4,BP$4&gt;=$C$1),'General Inputs'!R$11*$G88,0))</f>
        <v>21.645054611388574</v>
      </c>
      <c r="BQ88" s="214">
        <f>IF(AND(($E88+$C$1)&gt;BQ$4,BQ$4&gt;=$C$1),'General Inputs'!S$11*$H88,IF(AND(($D88+$C$1)&gt;BQ$4,BQ$4&gt;=$C$1),'General Inputs'!S$11*$G88,0))</f>
        <v>0</v>
      </c>
      <c r="BR88" s="214">
        <f>IF(AND(($E88+$C$1)&gt;BR$4,BR$4&gt;=$C$1),'General Inputs'!T$11*$H88,IF(AND(($D88+$C$1)&gt;BR$4,BR$4&gt;=$C$1),'General Inputs'!T$11*$G88,0))</f>
        <v>0</v>
      </c>
      <c r="BS88" s="214">
        <f>IF(AND(($E88+$C$1)&gt;BS$4,BS$4&gt;=$C$1),'General Inputs'!U$11*$H88,IF(AND(($D88+$C$1)&gt;BS$4,BS$4&gt;=$C$1),'General Inputs'!U$11*$G88,0))</f>
        <v>0</v>
      </c>
      <c r="BT88" s="214">
        <f>IF(AND(($E88+$C$1)&gt;BT$4,BT$4&gt;=$C$1),'General Inputs'!V$11*$H88,IF(AND(($D88+$C$1)&gt;BT$4,BT$4&gt;=$C$1),'General Inputs'!V$11*$G88,0))</f>
        <v>0</v>
      </c>
      <c r="BU88" s="214">
        <f>IF(AND(($E88+$C$1)&gt;BU$4,BU$4&gt;=$C$1),'General Inputs'!W$11*$H88,IF(AND(($D88+$C$1)&gt;BU$4,BU$4&gt;=$C$1),'General Inputs'!W$11*$G88,0))</f>
        <v>0</v>
      </c>
      <c r="BW88" s="214">
        <f>IF(AND(($E88+$C$1)&gt;BW$4,BW$4&gt;=$C$1),$H88,IF(AND(($D88+$C$1)&gt;BW$4,BW$4&gt;=$C$1),$G88,0))*IF($A88="Residential",'General Inputs'!D$14,'General Inputs'!D$19)</f>
        <v>198.35005700661389</v>
      </c>
      <c r="BX88" s="214">
        <f>IF(AND(($E88+$C$1)&gt;BX$4,BX$4&gt;=$C$1),$H88,IF(AND(($D88+$C$1)&gt;BX$4,BX$4&gt;=$C$1),$G88,0))*IF($A88="Residential",'General Inputs'!E$14,'General Inputs'!E$19)</f>
        <v>201.3253078617131</v>
      </c>
      <c r="BY88" s="214">
        <f>IF(AND(($E88+$C$1)&gt;BY$4,BY$4&gt;=$C$1),$H88,IF(AND(($D88+$C$1)&gt;BY$4,BY$4&gt;=$C$1),$G88,0))*IF($A88="Residential",'General Inputs'!F$14,'General Inputs'!F$19)</f>
        <v>204.34518747963881</v>
      </c>
      <c r="BZ88" s="214">
        <f>IF(AND(($E88+$C$1)&gt;BZ$4,BZ$4&gt;=$C$1),$H88,IF(AND(($D88+$C$1)&gt;BZ$4,BZ$4&gt;=$C$1),$G88,0))*IF($A88="Residential",'General Inputs'!G$14,'General Inputs'!G$19)</f>
        <v>207.41036529183336</v>
      </c>
      <c r="CA88" s="214">
        <f>IF(AND(($E88+$C$1)&gt;CA$4,CA$4&gt;=$C$1),$H88,IF(AND(($D88+$C$1)&gt;CA$4,CA$4&gt;=$C$1),$G88,0))*IF($A88="Residential",'General Inputs'!H$14,'General Inputs'!H$19)</f>
        <v>210.52152077121082</v>
      </c>
      <c r="CB88" s="214">
        <f>IF(AND(($E88+$C$1)&gt;CB$4,CB$4&gt;=$C$1),$H88,IF(AND(($D88+$C$1)&gt;CB$4,CB$4&gt;=$C$1),$G88,0))*IF($A88="Residential",'General Inputs'!I$14,'General Inputs'!I$19)</f>
        <v>213.67934358277893</v>
      </c>
      <c r="CC88" s="214">
        <f>IF(AND(($E88+$C$1)&gt;CC$4,CC$4&gt;=$C$1),$H88,IF(AND(($D88+$C$1)&gt;CC$4,CC$4&gt;=$C$1),$G88,0))*IF($A88="Residential",'General Inputs'!J$14,'General Inputs'!J$19)</f>
        <v>216.88453373652061</v>
      </c>
      <c r="CD88" s="214">
        <f>IF(AND(($E88+$C$1)&gt;CD$4,CD$4&gt;=$C$1),$H88,IF(AND(($D88+$C$1)&gt;CD$4,CD$4&gt;=$C$1),$G88,0))*IF($A88="Residential",'General Inputs'!K$14,'General Inputs'!K$19)</f>
        <v>220.1378017425684</v>
      </c>
      <c r="CE88" s="214">
        <f>IF(AND(($E88+$C$1)&gt;CE$4,CE$4&gt;=$C$1),$H88,IF(AND(($D88+$C$1)&gt;CE$4,CE$4&gt;=$C$1),$G88,0))*IF($A88="Residential",'General Inputs'!L$14,'General Inputs'!L$19)</f>
        <v>223.4398687687069</v>
      </c>
      <c r="CF88" s="214">
        <f>IF(AND(($E88+$C$1)&gt;CF$4,CF$4&gt;=$C$1),$H88,IF(AND(($D88+$C$1)&gt;CF$4,CF$4&gt;=$C$1),$G88,0))*IF($A88="Residential",'General Inputs'!M$14,'General Inputs'!M$19)</f>
        <v>226.79146680023749</v>
      </c>
      <c r="CG88" s="214">
        <f>IF(AND(($E88+$C$1)&gt;CG$4,CG$4&gt;=$C$1),$H88,IF(AND(($D88+$C$1)&gt;CG$4,CG$4&gt;=$C$1),$G88,0))*IF($A88="Residential",'General Inputs'!N$14,'General Inputs'!N$19)</f>
        <v>230.19333880224104</v>
      </c>
      <c r="CH88" s="214">
        <f>IF(AND(($E88+$C$1)&gt;CH$4,CH$4&gt;=$C$1),$H88,IF(AND(($D88+$C$1)&gt;CH$4,CH$4&gt;=$C$1),$G88,0))*IF($A88="Residential",'General Inputs'!O$14,'General Inputs'!O$19)</f>
        <v>233.64623888427462</v>
      </c>
      <c r="CI88" s="214">
        <f>IF(AND(($E88+$C$1)&gt;CI$4,CI$4&gt;=$C$1),$H88,IF(AND(($D88+$C$1)&gt;CI$4,CI$4&gt;=$C$1),$G88,0))*IF($A88="Residential",'General Inputs'!P$14,'General Inputs'!P$19)</f>
        <v>237.15093246753872</v>
      </c>
      <c r="CJ88" s="214">
        <f>IF(AND(($E88+$C$1)&gt;CJ$4,CJ$4&gt;=$C$1),$H88,IF(AND(($D88+$C$1)&gt;CJ$4,CJ$4&gt;=$C$1),$G88,0))*IF($A88="Residential",'General Inputs'!Q$14,'General Inputs'!Q$19)</f>
        <v>240.7081964545518</v>
      </c>
      <c r="CK88" s="214">
        <f>IF(AND(($E88+$C$1)&gt;CK$4,CK$4&gt;=$C$1),$H88,IF(AND(($D88+$C$1)&gt;CK$4,CK$4&gt;=$C$1),$G88,0))*IF($A88="Residential",'General Inputs'!R$14,'General Inputs'!R$19)</f>
        <v>244.31881940137001</v>
      </c>
      <c r="CL88" s="214">
        <f>IF(AND(($E88+$C$1)&gt;CL$4,CL$4&gt;=$C$1),$H88,IF(AND(($D88+$C$1)&gt;CL$4,CL$4&gt;=$C$1),$G88,0))*IF($A88="Residential",'General Inputs'!S$14,'General Inputs'!S$19)</f>
        <v>0</v>
      </c>
      <c r="CM88" s="214">
        <f>IF(AND(($E88+$C$1)&gt;CM$4,CM$4&gt;=$C$1),$H88,IF(AND(($D88+$C$1)&gt;CM$4,CM$4&gt;=$C$1),$G88,0))*IF($A88="Residential",'General Inputs'!T$14,'General Inputs'!T$19)</f>
        <v>0</v>
      </c>
      <c r="CN88" s="214">
        <f>IF(AND(($E88+$C$1)&gt;CN$4,CN$4&gt;=$C$1),$H88,IF(AND(($D88+$C$1)&gt;CN$4,CN$4&gt;=$C$1),$G88,0))*IF($A88="Residential",'General Inputs'!U$14,'General Inputs'!U$19)</f>
        <v>0</v>
      </c>
      <c r="CO88" s="214">
        <f>IF(AND(($E88+$C$1)&gt;CO$4,CO$4&gt;=$C$1),$H88,IF(AND(($D88+$C$1)&gt;CO$4,CO$4&gt;=$C$1),$G88,0))*IF($A88="Residential",'General Inputs'!V$14,'General Inputs'!V$19)</f>
        <v>0</v>
      </c>
      <c r="CP88" s="214">
        <f>IF(AND(($E88+$C$1)&gt;CP$4,CP$4&gt;=$C$1),$H88,IF(AND(($D88+$C$1)&gt;CP$4,CP$4&gt;=$C$1),$G88,0))*IF($A88="Residential",'General Inputs'!W$14,'General Inputs'!W$19)</f>
        <v>0</v>
      </c>
      <c r="CR88" s="214">
        <f>IF(AND(($E88+$C$1)&gt;CR$4,CR$4&gt;=$C$1),$H88,IF(AND(($D88+$C$1)&gt;CR$4,CR$4&gt;=$C$1),$G88,0))*IF($A88="Residential",'General Inputs'!D$15,'General Inputs'!D$19)</f>
        <v>198.35005700661389</v>
      </c>
      <c r="CS88" s="214">
        <f>IF(AND(($E88+$C$1)&gt;CS$4,CS$4&gt;=$C$1),$H88,IF(AND(($D88+$C$1)&gt;CS$4,CS$4&gt;=$C$1),$G88,0))*IF($A88="Residential",'General Inputs'!E$15,'General Inputs'!E$19)</f>
        <v>201.3253078617131</v>
      </c>
      <c r="CT88" s="214">
        <f>IF(AND(($E88+$C$1)&gt;CT$4,CT$4&gt;=$C$1),$H88,IF(AND(($D88+$C$1)&gt;CT$4,CT$4&gt;=$C$1),$G88,0))*IF($A88="Residential",'General Inputs'!F$15,'General Inputs'!F$19)</f>
        <v>204.34518747963881</v>
      </c>
      <c r="CU88" s="214">
        <f>IF(AND(($E88+$C$1)&gt;CU$4,CU$4&gt;=$C$1),$H88,IF(AND(($D88+$C$1)&gt;CU$4,CU$4&gt;=$C$1),$G88,0))*IF($A88="Residential",'General Inputs'!G$15,'General Inputs'!G$19)</f>
        <v>207.41036529183336</v>
      </c>
      <c r="CV88" s="214">
        <f>IF(AND(($E88+$C$1)&gt;CV$4,CV$4&gt;=$C$1),$H88,IF(AND(($D88+$C$1)&gt;CV$4,CV$4&gt;=$C$1),$G88,0))*IF($A88="Residential",'General Inputs'!H$15,'General Inputs'!H$19)</f>
        <v>210.52152077121082</v>
      </c>
      <c r="CW88" s="214">
        <f>IF(AND(($E88+$C$1)&gt;CW$4,CW$4&gt;=$C$1),$H88,IF(AND(($D88+$C$1)&gt;CW$4,CW$4&gt;=$C$1),$G88,0))*IF($A88="Residential",'General Inputs'!I$15,'General Inputs'!I$19)</f>
        <v>213.67934358277893</v>
      </c>
      <c r="CX88" s="214">
        <f>IF(AND(($E88+$C$1)&gt;CX$4,CX$4&gt;=$C$1),$H88,IF(AND(($D88+$C$1)&gt;CX$4,CX$4&gt;=$C$1),$G88,0))*IF($A88="Residential",'General Inputs'!J$15,'General Inputs'!J$19)</f>
        <v>216.88453373652061</v>
      </c>
      <c r="CY88" s="214">
        <f>IF(AND(($E88+$C$1)&gt;CY$4,CY$4&gt;=$C$1),$H88,IF(AND(($D88+$C$1)&gt;CY$4,CY$4&gt;=$C$1),$G88,0))*IF($A88="Residential",'General Inputs'!K$15,'General Inputs'!K$19)</f>
        <v>220.1378017425684</v>
      </c>
      <c r="CZ88" s="214">
        <f>IF(AND(($E88+$C$1)&gt;CZ$4,CZ$4&gt;=$C$1),$H88,IF(AND(($D88+$C$1)&gt;CZ$4,CZ$4&gt;=$C$1),$G88,0))*IF($A88="Residential",'General Inputs'!L$15,'General Inputs'!L$19)</f>
        <v>223.4398687687069</v>
      </c>
      <c r="DA88" s="214">
        <f>IF(AND(($E88+$C$1)&gt;DA$4,DA$4&gt;=$C$1),$H88,IF(AND(($D88+$C$1)&gt;DA$4,DA$4&gt;=$C$1),$G88,0))*IF($A88="Residential",'General Inputs'!M$15,'General Inputs'!M$19)</f>
        <v>226.79146680023749</v>
      </c>
      <c r="DB88" s="214">
        <f>IF(AND(($E88+$C$1)&gt;DB$4,DB$4&gt;=$C$1),$H88,IF(AND(($D88+$C$1)&gt;DB$4,DB$4&gt;=$C$1),$G88,0))*IF($A88="Residential",'General Inputs'!N$15,'General Inputs'!N$19)</f>
        <v>230.19333880224104</v>
      </c>
      <c r="DC88" s="214">
        <f>IF(AND(($E88+$C$1)&gt;DC$4,DC$4&gt;=$C$1),$H88,IF(AND(($D88+$C$1)&gt;DC$4,DC$4&gt;=$C$1),$G88,0))*IF($A88="Residential",'General Inputs'!O$15,'General Inputs'!O$19)</f>
        <v>233.64623888427462</v>
      </c>
      <c r="DD88" s="214">
        <f>IF(AND(($E88+$C$1)&gt;DD$4,DD$4&gt;=$C$1),$H88,IF(AND(($D88+$C$1)&gt;DD$4,DD$4&gt;=$C$1),$G88,0))*IF($A88="Residential",'General Inputs'!P$15,'General Inputs'!P$19)</f>
        <v>237.15093246753872</v>
      </c>
      <c r="DE88" s="214">
        <f>IF(AND(($E88+$C$1)&gt;DE$4,DE$4&gt;=$C$1),$H88,IF(AND(($D88+$C$1)&gt;DE$4,DE$4&gt;=$C$1),$G88,0))*IF($A88="Residential",'General Inputs'!Q$15,'General Inputs'!Q$19)</f>
        <v>240.7081964545518</v>
      </c>
      <c r="DF88" s="214">
        <f>IF(AND(($E88+$C$1)&gt;DF$4,DF$4&gt;=$C$1),$H88,IF(AND(($D88+$C$1)&gt;DF$4,DF$4&gt;=$C$1),$G88,0))*IF($A88="Residential",'General Inputs'!R$15,'General Inputs'!R$19)</f>
        <v>244.31881940137001</v>
      </c>
      <c r="DG88" s="214">
        <f>IF(AND(($E88+$C$1)&gt;DG$4,DG$4&gt;=$C$1),$H88,IF(AND(($D88+$C$1)&gt;DG$4,DG$4&gt;=$C$1),$G88,0))*IF($A88="Residential",'General Inputs'!S$15,'General Inputs'!S$19)</f>
        <v>0</v>
      </c>
      <c r="DH88" s="214">
        <f>IF(AND(($E88+$C$1)&gt;DH$4,DH$4&gt;=$C$1),$H88,IF(AND(($D88+$C$1)&gt;DH$4,DH$4&gt;=$C$1),$G88,0))*IF($A88="Residential",'General Inputs'!T$15,'General Inputs'!T$19)</f>
        <v>0</v>
      </c>
      <c r="DI88" s="214">
        <f>IF(AND(($E88+$C$1)&gt;DI$4,DI$4&gt;=$C$1),$H88,IF(AND(($D88+$C$1)&gt;DI$4,DI$4&gt;=$C$1),$G88,0))*IF($A88="Residential",'General Inputs'!U$15,'General Inputs'!U$19)</f>
        <v>0</v>
      </c>
      <c r="DJ88" s="214">
        <f>IF(AND(($E88+$C$1)&gt;DJ$4,DJ$4&gt;=$C$1),$H88,IF(AND(($D88+$C$1)&gt;DJ$4,DJ$4&gt;=$C$1),$G88,0))*IF($A88="Residential",'General Inputs'!V$15,'General Inputs'!V$19)</f>
        <v>0</v>
      </c>
      <c r="DK88" s="214">
        <f>IF(AND(($E88+$C$1)&gt;DK$4,DK$4&gt;=$C$1),$H88,IF(AND(($D88+$C$1)&gt;DK$4,DK$4&gt;=$C$1),$G88,0))*IF($A88="Residential",'General Inputs'!W$15,'General Inputs'!W$19)</f>
        <v>0</v>
      </c>
      <c r="DM88" s="214">
        <f t="shared" si="479"/>
        <v>740</v>
      </c>
      <c r="DN88" s="214">
        <f t="shared" si="479"/>
        <v>0</v>
      </c>
      <c r="DO88" s="214">
        <f t="shared" si="479"/>
        <v>0</v>
      </c>
      <c r="DP88" s="214">
        <f t="shared" si="479"/>
        <v>0</v>
      </c>
      <c r="DQ88" s="214">
        <f t="shared" si="479"/>
        <v>0</v>
      </c>
      <c r="DR88" s="214">
        <f t="shared" si="479"/>
        <v>0</v>
      </c>
      <c r="DS88" s="214">
        <f t="shared" si="479"/>
        <v>0</v>
      </c>
      <c r="DT88" s="214">
        <f t="shared" si="479"/>
        <v>0</v>
      </c>
      <c r="DU88" s="214">
        <f t="shared" si="479"/>
        <v>0</v>
      </c>
      <c r="DV88" s="214">
        <f t="shared" si="479"/>
        <v>0</v>
      </c>
      <c r="DW88" s="214">
        <f t="shared" si="479"/>
        <v>0</v>
      </c>
      <c r="DZ88" s="650"/>
      <c r="FI88" s="195"/>
      <c r="FJ88" s="195"/>
      <c r="FK88" s="195"/>
      <c r="FL88" s="195"/>
      <c r="FM88" s="195"/>
      <c r="FN88" s="195"/>
      <c r="FO88" s="195"/>
    </row>
    <row r="89" spans="1:171">
      <c r="A89" s="342" t="s">
        <v>112</v>
      </c>
      <c r="B89" s="427" t="str">
        <f>'Portfolio Inputs'!A88</f>
        <v>Geothermal Heat Pump</v>
      </c>
      <c r="C89" s="217">
        <f>IF($C$1=2014,'Portfolio Inputs'!$C88,IF($C$1=2015,'Portfolio Inputs'!$D88,'Portfolio Inputs'!$E88))</f>
        <v>0</v>
      </c>
      <c r="D89" s="504">
        <f>VLOOKUP(B89,Sources!$B$4:$J$104,2,FALSE)</f>
        <v>15</v>
      </c>
      <c r="E89" s="504">
        <f>VLOOKUP(B89,Sources!$B$4:$J$104,3,FALSE)</f>
        <v>0</v>
      </c>
      <c r="G89" s="504">
        <f>IF($C$1=2014,'Portfolio Inputs'!$G88,IF($C$1=2015,'Portfolio Inputs'!$H88,'Portfolio Inputs'!$I88))*EnergyLineLoss</f>
        <v>0</v>
      </c>
      <c r="H89" s="504"/>
      <c r="I89" s="595">
        <f>IF($C$1=2014,'Portfolio Inputs'!$K88,IF($C$1=2015,'Portfolio Inputs'!$L88,'Portfolio Inputs'!$M88))*PeakLineLoss</f>
        <v>0</v>
      </c>
      <c r="J89" s="510"/>
      <c r="L89" s="606">
        <f>IF($C$1=2014,'Portfolio Inputs'!$O88,IF($C$1=2015,'Portfolio Inputs'!$P88,'Portfolio Inputs'!$Q88))</f>
        <v>4100</v>
      </c>
      <c r="M89" s="518">
        <f>VLOOKUP($B89,Sources!$B$4:$K$104,10,FALSE)</f>
        <v>0</v>
      </c>
      <c r="N89" s="419">
        <f>IF($C$1=2014,'Portfolio Inputs'!$W88,IF($C$1=2015,'Portfolio Inputs'!$X88,'Portfolio Inputs'!$Y88))</f>
        <v>0</v>
      </c>
      <c r="O89" s="419">
        <f>IF($C$1=2014,'Portfolio Inputs'!$AA88,IF($C$1=2015,'Portfolio Inputs'!$AB88,'Portfolio Inputs'!$AC88))</f>
        <v>0</v>
      </c>
      <c r="Q89" s="436" t="str">
        <f t="shared" ref="Q89" si="480">IF(OR(AE89&gt;0,AC89&gt;0),Y89/(AC89+AE89),"n/a")</f>
        <v>n/a</v>
      </c>
      <c r="R89" s="437" t="str">
        <f t="shared" ref="R89" si="481">IF(OR(AC89&gt;0,AD89&gt;0),Y89/((AD89+AC89)),"n/a")</f>
        <v>n/a</v>
      </c>
      <c r="S89" s="437" t="str">
        <f t="shared" ref="S89" si="482">IF(OR(AC89&gt;0,AE89&gt;0),(Y89+Z89)/(AC89+AE89),"n/a")</f>
        <v>n/a</v>
      </c>
      <c r="T89" s="437" t="str">
        <f t="shared" ref="T89" si="483">IF(AE89&gt;0,(AD89+AA89)/AE89,"n/a")</f>
        <v>n/a</v>
      </c>
      <c r="U89" s="439" t="str">
        <f t="shared" ref="U89" si="484">IF(AE89&gt;0,(AD89+AB89)/AE89,"n/a")</f>
        <v>n/a</v>
      </c>
      <c r="V89" s="439" t="str">
        <f t="shared" ref="V89" si="485">IF((AA89+AC89+AD89)&gt;0,Y89/(AA89+AC89+AD89),"n/a")</f>
        <v>n/a</v>
      </c>
      <c r="W89" s="439" t="str">
        <f t="shared" ref="W89" si="486">IF((AB89+AC89+AD89)&gt;0,Y89/(AB89+AC89+AD89),"n/a")</f>
        <v>n/a</v>
      </c>
      <c r="Y89" s="215">
        <f t="shared" ref="Y89" si="487">AG89+NPV(DiscountRate,AH89:AZ89)</f>
        <v>0</v>
      </c>
      <c r="Z89" s="215">
        <f t="shared" ref="Z89" si="488">BB89+NPV(DiscountRate,BC89:BU89)</f>
        <v>0</v>
      </c>
      <c r="AA89" s="215">
        <f t="shared" ref="AA89" si="489">BW89+NPV(DiscountRate,BX89:CP89)</f>
        <v>0</v>
      </c>
      <c r="AB89" s="215">
        <f t="shared" ref="AB89" si="490">CR89+NPV(DiscountRate,CS89:DK89)</f>
        <v>0</v>
      </c>
      <c r="AC89" s="216">
        <f t="shared" ref="AC89" si="491">O89/((1+DiscountRate)^(IF($C$1=2015,1,IF($C$1=2016,2,0))))</f>
        <v>0</v>
      </c>
      <c r="AD89" s="216">
        <f t="shared" ref="AD89" si="492">N89/((1+DiscountRate)^(IF($C$1=2015,1,IF($C$1=2016,2,0))))</f>
        <v>0</v>
      </c>
      <c r="AE89" s="215">
        <f t="shared" ref="AE89" si="493">DM89+NPV(DiscountRate,DN89:DW89)</f>
        <v>0</v>
      </c>
      <c r="AG89" s="214">
        <f>IF(AND(($E89+$C$1)&gt;AG$4,AG$4&gt;=$C$1),'General Inputs'!D$9*$H89,IF(AND(($D89+$C$1)&gt;AG$4,AG$4&gt;=$C$1),'General Inputs'!D$9*$G89,0))+IF(AND(($E89+$C$1)&gt;AG$4,AG$4&gt;=$C$1),'General Inputs'!D$10*$J89,IF(AND(($D89+$C$1)&gt;AG$4,AG$4&gt;=$C$1),'General Inputs'!D$10*$I89,0))</f>
        <v>0</v>
      </c>
      <c r="AH89" s="214">
        <f>IF(AND(($E89+$C$1)&gt;AH$4,AH$4&gt;=$C$1),'General Inputs'!E$9*$H89,IF(AND(($D89+$C$1)&gt;AH$4,AH$4&gt;=$C$1),'General Inputs'!E$9*$G89,0))+IF(AND(($E89+$C$1)&gt;AH$4,AH$4&gt;=$C$1),'General Inputs'!E$10*$J89,IF(AND(($D89+$C$1)&gt;AH$4,AH$4&gt;=$C$1),'General Inputs'!E$10*$I89,0))</f>
        <v>0</v>
      </c>
      <c r="AI89" s="214">
        <f>IF(AND(($E89+$C$1)&gt;AI$4,AI$4&gt;=$C$1),'General Inputs'!F$9*$H89,IF(AND(($D89+$C$1)&gt;AI$4,AI$4&gt;=$C$1),'General Inputs'!F$9*$G89,0))+IF(AND(($E89+$C$1)&gt;AI$4,AI$4&gt;=$C$1),'General Inputs'!F$10*$J89,IF(AND(($D89+$C$1)&gt;AI$4,AI$4&gt;=$C$1),'General Inputs'!F$10*$I89,0))</f>
        <v>0</v>
      </c>
      <c r="AJ89" s="214">
        <f>IF(AND(($E89+$C$1)&gt;AJ$4,AJ$4&gt;=$C$1),'General Inputs'!G$9*$H89,IF(AND(($D89+$C$1)&gt;AJ$4,AJ$4&gt;=$C$1),'General Inputs'!G$9*$G89,0))+IF(AND(($E89+$C$1)&gt;AJ$4,AJ$4&gt;=$C$1),'General Inputs'!G$10*$J89,IF(AND(($D89+$C$1)&gt;AJ$4,AJ$4&gt;=$C$1),'General Inputs'!G$10*$I89,0))</f>
        <v>0</v>
      </c>
      <c r="AK89" s="214">
        <f>IF(AND(($E89+$C$1)&gt;AK$4,AK$4&gt;=$C$1),'General Inputs'!H$9*$H89,IF(AND(($D89+$C$1)&gt;AK$4,AK$4&gt;=$C$1),'General Inputs'!H$9*$G89,0))+IF(AND(($E89+$C$1)&gt;AK$4,AK$4&gt;=$C$1),'General Inputs'!H$10*$J89,IF(AND(($D89+$C$1)&gt;AK$4,AK$4&gt;=$C$1),'General Inputs'!H$10*$I89,0))</f>
        <v>0</v>
      </c>
      <c r="AL89" s="214">
        <f>IF(AND(($E89+$C$1)&gt;AL$4,AL$4&gt;=$C$1),'General Inputs'!I$9*$H89,IF(AND(($D89+$C$1)&gt;AL$4,AL$4&gt;=$C$1),'General Inputs'!I$9*$G89,0))+IF(AND(($E89+$C$1)&gt;AL$4,AL$4&gt;=$C$1),'General Inputs'!I$10*$J89,IF(AND(($D89+$C$1)&gt;AL$4,AL$4&gt;=$C$1),'General Inputs'!I$10*$I89,0))</f>
        <v>0</v>
      </c>
      <c r="AM89" s="214">
        <f>IF(AND(($E89+$C$1)&gt;AM$4,AM$4&gt;=$C$1),'General Inputs'!J$9*$H89,IF(AND(($D89+$C$1)&gt;AM$4,AM$4&gt;=$C$1),'General Inputs'!J$9*$G89,0))+IF(AND(($E89+$C$1)&gt;AM$4,AM$4&gt;=$C$1),'General Inputs'!J$10*$J89,IF(AND(($D89+$C$1)&gt;AM$4,AM$4&gt;=$C$1),'General Inputs'!J$10*$I89,0))</f>
        <v>0</v>
      </c>
      <c r="AN89" s="214">
        <f>IF(AND(($E89+$C$1)&gt;AN$4,AN$4&gt;=$C$1),'General Inputs'!K$9*$H89,IF(AND(($D89+$C$1)&gt;AN$4,AN$4&gt;=$C$1),'General Inputs'!K$9*$G89,0))+IF(AND(($E89+$C$1)&gt;AN$4,AN$4&gt;=$C$1),'General Inputs'!K$10*$J89,IF(AND(($D89+$C$1)&gt;AN$4,AN$4&gt;=$C$1),'General Inputs'!K$10*$I89,0))</f>
        <v>0</v>
      </c>
      <c r="AO89" s="214">
        <f>IF(AND(($E89+$C$1)&gt;AO$4,AO$4&gt;=$C$1),'General Inputs'!L$9*$H89,IF(AND(($D89+$C$1)&gt;AO$4,AO$4&gt;=$C$1),'General Inputs'!L$9*$G89,0))+IF(AND(($E89+$C$1)&gt;AO$4,AO$4&gt;=$C$1),'General Inputs'!L$10*$J89,IF(AND(($D89+$C$1)&gt;AO$4,AO$4&gt;=$C$1),'General Inputs'!L$10*$I89,0))</f>
        <v>0</v>
      </c>
      <c r="AP89" s="214">
        <f>IF(AND(($E89+$C$1)&gt;AP$4,AP$4&gt;=$C$1),'General Inputs'!M$9*$H89,IF(AND(($D89+$C$1)&gt;AP$4,AP$4&gt;=$C$1),'General Inputs'!M$9*$G89,0))+IF(AND(($E89+$C$1)&gt;AP$4,AP$4&gt;=$C$1),'General Inputs'!M$10*$J89,IF(AND(($D89+$C$1)&gt;AP$4,AP$4&gt;=$C$1),'General Inputs'!M$10*$I89,0))</f>
        <v>0</v>
      </c>
      <c r="AQ89" s="214">
        <f>IF(AND(($E89+$C$1)&gt;AQ$4,AQ$4&gt;=$C$1),'General Inputs'!N$9*$H89,IF(AND(($D89+$C$1)&gt;AQ$4,AQ$4&gt;=$C$1),'General Inputs'!N$9*$G89,0))+IF(AND(($E89+$C$1)&gt;AQ$4,AQ$4&gt;=$C$1),'General Inputs'!N$10*$J89,IF(AND(($D89+$C$1)&gt;AQ$4,AQ$4&gt;=$C$1),'General Inputs'!N$10*$I89,0))</f>
        <v>0</v>
      </c>
      <c r="AR89" s="214">
        <f>IF(AND(($E89+$C$1)&gt;AR$4,AR$4&gt;=$C$1),'General Inputs'!O$9*$H89,IF(AND(($D89+$C$1)&gt;AR$4,AR$4&gt;=$C$1),'General Inputs'!O$9*$G89,0))+IF(AND(($E89+$C$1)&gt;AR$4,AR$4&gt;=$C$1),'General Inputs'!O$10*$J89,IF(AND(($D89+$C$1)&gt;AR$4,AR$4&gt;=$C$1),'General Inputs'!O$10*$I89,0))</f>
        <v>0</v>
      </c>
      <c r="AS89" s="214">
        <f>IF(AND(($E89+$C$1)&gt;AS$4,AS$4&gt;=$C$1),'General Inputs'!P$9*$H89,IF(AND(($D89+$C$1)&gt;AS$4,AS$4&gt;=$C$1),'General Inputs'!P$9*$G89,0))+IF(AND(($E89+$C$1)&gt;AS$4,AS$4&gt;=$C$1),'General Inputs'!P$10*$J89,IF(AND(($D89+$C$1)&gt;AS$4,AS$4&gt;=$C$1),'General Inputs'!P$10*$I89,0))</f>
        <v>0</v>
      </c>
      <c r="AT89" s="214">
        <f>IF(AND(($E89+$C$1)&gt;AT$4,AT$4&gt;=$C$1),'General Inputs'!Q$9*$H89,IF(AND(($D89+$C$1)&gt;AT$4,AT$4&gt;=$C$1),'General Inputs'!Q$9*$G89,0))+IF(AND(($E89+$C$1)&gt;AT$4,AT$4&gt;=$C$1),'General Inputs'!Q$10*$J89,IF(AND(($D89+$C$1)&gt;AT$4,AT$4&gt;=$C$1),'General Inputs'!Q$10*$I89,0))</f>
        <v>0</v>
      </c>
      <c r="AU89" s="214">
        <f>IF(AND(($E89+$C$1)&gt;AU$4,AU$4&gt;=$C$1),'General Inputs'!R$9*$H89,IF(AND(($D89+$C$1)&gt;AU$4,AU$4&gt;=$C$1),'General Inputs'!R$9*$G89,0))+IF(AND(($E89+$C$1)&gt;AU$4,AU$4&gt;=$C$1),'General Inputs'!R$10*$J89,IF(AND(($D89+$C$1)&gt;AU$4,AU$4&gt;=$C$1),'General Inputs'!R$10*$I89,0))</f>
        <v>0</v>
      </c>
      <c r="AV89" s="214">
        <f>IF(AND(($E89+$C$1)&gt;AV$4,AV$4&gt;=$C$1),'General Inputs'!S$9*$H89,IF(AND(($D89+$C$1)&gt;AV$4,AV$4&gt;=$C$1),'General Inputs'!S$9*$G89,0))+IF(AND(($E89+$C$1)&gt;AV$4,AV$4&gt;=$C$1),'General Inputs'!S$10*$J89,IF(AND(($D89+$C$1)&gt;AV$4,AV$4&gt;=$C$1),'General Inputs'!S$10*$I89,0))</f>
        <v>0</v>
      </c>
      <c r="AW89" s="214">
        <f>IF(AND(($E89+$C$1)&gt;AW$4,AW$4&gt;=$C$1),'General Inputs'!T$9*$H89,IF(AND(($D89+$C$1)&gt;AW$4,AW$4&gt;=$C$1),'General Inputs'!T$9*$G89,0))+IF(AND(($E89+$C$1)&gt;AW$4,AW$4&gt;=$C$1),'General Inputs'!T$10*$J89,IF(AND(($D89+$C$1)&gt;AW$4,AW$4&gt;=$C$1),'General Inputs'!T$10*$I89,0))</f>
        <v>0</v>
      </c>
      <c r="AX89" s="214">
        <f>IF(AND(($E89+$C$1)&gt;AX$4,AX$4&gt;=$C$1),'General Inputs'!U$9*$H89,IF(AND(($D89+$C$1)&gt;AX$4,AX$4&gt;=$C$1),'General Inputs'!U$9*$G89,0))+IF(AND(($E89+$C$1)&gt;AX$4,AX$4&gt;=$C$1),'General Inputs'!U$10*$J89,IF(AND(($D89+$C$1)&gt;AX$4,AX$4&gt;=$C$1),'General Inputs'!U$10*$I89,0))</f>
        <v>0</v>
      </c>
      <c r="AY89" s="214">
        <f>IF(AND(($E89+$C$1)&gt;AY$4,AY$4&gt;=$C$1),'General Inputs'!V$9*$H89,IF(AND(($D89+$C$1)&gt;AY$4,AY$4&gt;=$C$1),'General Inputs'!V$9*$G89,0))+IF(AND(($E89+$C$1)&gt;AY$4,AY$4&gt;=$C$1),'General Inputs'!V$10*$J89,IF(AND(($D89+$C$1)&gt;AY$4,AY$4&gt;=$C$1),'General Inputs'!V$10*$I89,0))</f>
        <v>0</v>
      </c>
      <c r="AZ89" s="214">
        <f>IF(AND(($E89+$C$1)&gt;AZ$4,AZ$4&gt;=$C$1),'General Inputs'!W$9*$H89,IF(AND(($D89+$C$1)&gt;AZ$4,AZ$4&gt;=$C$1),'General Inputs'!W$9*$G89,0))+IF(AND(($E89+$C$1)&gt;AZ$4,AZ$4&gt;=$C$1),'General Inputs'!W$10*$J89,IF(AND(($D89+$C$1)&gt;AZ$4,AZ$4&gt;=$C$1),'General Inputs'!W$10*$I89,0))</f>
        <v>0</v>
      </c>
      <c r="BB89" s="214">
        <f>IF(AND(($E89+$C$1)&gt;BB$4,BB$4&gt;=$C$1),'General Inputs'!D$11*$H89,IF(AND(($D89+$C$1)&gt;BB$4,BB$4&gt;=$C$1),'General Inputs'!D$11*$G89,0))</f>
        <v>0</v>
      </c>
      <c r="BC89" s="214">
        <f>IF(AND(($E89+$C$1)&gt;BC$4,BC$4&gt;=$C$1),'General Inputs'!E$11*$H89,IF(AND(($D89+$C$1)&gt;BC$4,BC$4&gt;=$C$1),'General Inputs'!E$11*$G89,0))</f>
        <v>0</v>
      </c>
      <c r="BD89" s="214">
        <f>IF(AND(($E89+$C$1)&gt;BD$4,BD$4&gt;=$C$1),'General Inputs'!F$11*$H89,IF(AND(($D89+$C$1)&gt;BD$4,BD$4&gt;=$C$1),'General Inputs'!F$11*$G89,0))</f>
        <v>0</v>
      </c>
      <c r="BE89" s="214">
        <f>IF(AND(($E89+$C$1)&gt;BE$4,BE$4&gt;=$C$1),'General Inputs'!G$11*$H89,IF(AND(($D89+$C$1)&gt;BE$4,BE$4&gt;=$C$1),'General Inputs'!G$11*$G89,0))</f>
        <v>0</v>
      </c>
      <c r="BF89" s="214">
        <f>IF(AND(($E89+$C$1)&gt;BF$4,BF$4&gt;=$C$1),'General Inputs'!H$11*$H89,IF(AND(($D89+$C$1)&gt;BF$4,BF$4&gt;=$C$1),'General Inputs'!H$11*$G89,0))</f>
        <v>0</v>
      </c>
      <c r="BG89" s="214">
        <f>IF(AND(($E89+$C$1)&gt;BG$4,BG$4&gt;=$C$1),'General Inputs'!I$11*$H89,IF(AND(($D89+$C$1)&gt;BG$4,BG$4&gt;=$C$1),'General Inputs'!I$11*$G89,0))</f>
        <v>0</v>
      </c>
      <c r="BH89" s="214">
        <f>IF(AND(($E89+$C$1)&gt;BH$4,BH$4&gt;=$C$1),'General Inputs'!J$11*$H89,IF(AND(($D89+$C$1)&gt;BH$4,BH$4&gt;=$C$1),'General Inputs'!J$11*$G89,0))</f>
        <v>0</v>
      </c>
      <c r="BI89" s="214">
        <f>IF(AND(($E89+$C$1)&gt;BI$4,BI$4&gt;=$C$1),'General Inputs'!K$11*$H89,IF(AND(($D89+$C$1)&gt;BI$4,BI$4&gt;=$C$1),'General Inputs'!K$11*$G89,0))</f>
        <v>0</v>
      </c>
      <c r="BJ89" s="214">
        <f>IF(AND(($E89+$C$1)&gt;BJ$4,BJ$4&gt;=$C$1),'General Inputs'!L$11*$H89,IF(AND(($D89+$C$1)&gt;BJ$4,BJ$4&gt;=$C$1),'General Inputs'!L$11*$G89,0))</f>
        <v>0</v>
      </c>
      <c r="BK89" s="214">
        <f>IF(AND(($E89+$C$1)&gt;BK$4,BK$4&gt;=$C$1),'General Inputs'!M$11*$H89,IF(AND(($D89+$C$1)&gt;BK$4,BK$4&gt;=$C$1),'General Inputs'!M$11*$G89,0))</f>
        <v>0</v>
      </c>
      <c r="BL89" s="214">
        <f>IF(AND(($E89+$C$1)&gt;BL$4,BL$4&gt;=$C$1),'General Inputs'!N$11*$H89,IF(AND(($D89+$C$1)&gt;BL$4,BL$4&gt;=$C$1),'General Inputs'!N$11*$G89,0))</f>
        <v>0</v>
      </c>
      <c r="BM89" s="214">
        <f>IF(AND(($E89+$C$1)&gt;BM$4,BM$4&gt;=$C$1),'General Inputs'!O$11*$H89,IF(AND(($D89+$C$1)&gt;BM$4,BM$4&gt;=$C$1),'General Inputs'!O$11*$G89,0))</f>
        <v>0</v>
      </c>
      <c r="BN89" s="214">
        <f>IF(AND(($E89+$C$1)&gt;BN$4,BN$4&gt;=$C$1),'General Inputs'!P$11*$H89,IF(AND(($D89+$C$1)&gt;BN$4,BN$4&gt;=$C$1),'General Inputs'!P$11*$G89,0))</f>
        <v>0</v>
      </c>
      <c r="BO89" s="214">
        <f>IF(AND(($E89+$C$1)&gt;BO$4,BO$4&gt;=$C$1),'General Inputs'!Q$11*$H89,IF(AND(($D89+$C$1)&gt;BO$4,BO$4&gt;=$C$1),'General Inputs'!Q$11*$G89,0))</f>
        <v>0</v>
      </c>
      <c r="BP89" s="214">
        <f>IF(AND(($E89+$C$1)&gt;BP$4,BP$4&gt;=$C$1),'General Inputs'!R$11*$H89,IF(AND(($D89+$C$1)&gt;BP$4,BP$4&gt;=$C$1),'General Inputs'!R$11*$G89,0))</f>
        <v>0</v>
      </c>
      <c r="BQ89" s="214">
        <f>IF(AND(($E89+$C$1)&gt;BQ$4,BQ$4&gt;=$C$1),'General Inputs'!S$11*$H89,IF(AND(($D89+$C$1)&gt;BQ$4,BQ$4&gt;=$C$1),'General Inputs'!S$11*$G89,0))</f>
        <v>0</v>
      </c>
      <c r="BR89" s="214">
        <f>IF(AND(($E89+$C$1)&gt;BR$4,BR$4&gt;=$C$1),'General Inputs'!T$11*$H89,IF(AND(($D89+$C$1)&gt;BR$4,BR$4&gt;=$C$1),'General Inputs'!T$11*$G89,0))</f>
        <v>0</v>
      </c>
      <c r="BS89" s="214">
        <f>IF(AND(($E89+$C$1)&gt;BS$4,BS$4&gt;=$C$1),'General Inputs'!U$11*$H89,IF(AND(($D89+$C$1)&gt;BS$4,BS$4&gt;=$C$1),'General Inputs'!U$11*$G89,0))</f>
        <v>0</v>
      </c>
      <c r="BT89" s="214">
        <f>IF(AND(($E89+$C$1)&gt;BT$4,BT$4&gt;=$C$1),'General Inputs'!V$11*$H89,IF(AND(($D89+$C$1)&gt;BT$4,BT$4&gt;=$C$1),'General Inputs'!V$11*$G89,0))</f>
        <v>0</v>
      </c>
      <c r="BU89" s="214">
        <f>IF(AND(($E89+$C$1)&gt;BU$4,BU$4&gt;=$C$1),'General Inputs'!W$11*$H89,IF(AND(($D89+$C$1)&gt;BU$4,BU$4&gt;=$C$1),'General Inputs'!W$11*$G89,0))</f>
        <v>0</v>
      </c>
      <c r="BW89" s="214">
        <f>IF(AND(($E89+$C$1)&gt;BW$4,BW$4&gt;=$C$1),$H89,IF(AND(($D89+$C$1)&gt;BW$4,BW$4&gt;=$C$1),$G89,0))*IF($A89="Residential",'General Inputs'!D$14,'General Inputs'!D$19)</f>
        <v>0</v>
      </c>
      <c r="BX89" s="214">
        <f>IF(AND(($E89+$C$1)&gt;BX$4,BX$4&gt;=$C$1),$H89,IF(AND(($D89+$C$1)&gt;BX$4,BX$4&gt;=$C$1),$G89,0))*IF($A89="Residential",'General Inputs'!E$14,'General Inputs'!E$19)</f>
        <v>0</v>
      </c>
      <c r="BY89" s="214">
        <f>IF(AND(($E89+$C$1)&gt;BY$4,BY$4&gt;=$C$1),$H89,IF(AND(($D89+$C$1)&gt;BY$4,BY$4&gt;=$C$1),$G89,0))*IF($A89="Residential",'General Inputs'!F$14,'General Inputs'!F$19)</f>
        <v>0</v>
      </c>
      <c r="BZ89" s="214">
        <f>IF(AND(($E89+$C$1)&gt;BZ$4,BZ$4&gt;=$C$1),$H89,IF(AND(($D89+$C$1)&gt;BZ$4,BZ$4&gt;=$C$1),$G89,0))*IF($A89="Residential",'General Inputs'!G$14,'General Inputs'!G$19)</f>
        <v>0</v>
      </c>
      <c r="CA89" s="214">
        <f>IF(AND(($E89+$C$1)&gt;CA$4,CA$4&gt;=$C$1),$H89,IF(AND(($D89+$C$1)&gt;CA$4,CA$4&gt;=$C$1),$G89,0))*IF($A89="Residential",'General Inputs'!H$14,'General Inputs'!H$19)</f>
        <v>0</v>
      </c>
      <c r="CB89" s="214">
        <f>IF(AND(($E89+$C$1)&gt;CB$4,CB$4&gt;=$C$1),$H89,IF(AND(($D89+$C$1)&gt;CB$4,CB$4&gt;=$C$1),$G89,0))*IF($A89="Residential",'General Inputs'!I$14,'General Inputs'!I$19)</f>
        <v>0</v>
      </c>
      <c r="CC89" s="214">
        <f>IF(AND(($E89+$C$1)&gt;CC$4,CC$4&gt;=$C$1),$H89,IF(AND(($D89+$C$1)&gt;CC$4,CC$4&gt;=$C$1),$G89,0))*IF($A89="Residential",'General Inputs'!J$14,'General Inputs'!J$19)</f>
        <v>0</v>
      </c>
      <c r="CD89" s="214">
        <f>IF(AND(($E89+$C$1)&gt;CD$4,CD$4&gt;=$C$1),$H89,IF(AND(($D89+$C$1)&gt;CD$4,CD$4&gt;=$C$1),$G89,0))*IF($A89="Residential",'General Inputs'!K$14,'General Inputs'!K$19)</f>
        <v>0</v>
      </c>
      <c r="CE89" s="214">
        <f>IF(AND(($E89+$C$1)&gt;CE$4,CE$4&gt;=$C$1),$H89,IF(AND(($D89+$C$1)&gt;CE$4,CE$4&gt;=$C$1),$G89,0))*IF($A89="Residential",'General Inputs'!L$14,'General Inputs'!L$19)</f>
        <v>0</v>
      </c>
      <c r="CF89" s="214">
        <f>IF(AND(($E89+$C$1)&gt;CF$4,CF$4&gt;=$C$1),$H89,IF(AND(($D89+$C$1)&gt;CF$4,CF$4&gt;=$C$1),$G89,0))*IF($A89="Residential",'General Inputs'!M$14,'General Inputs'!M$19)</f>
        <v>0</v>
      </c>
      <c r="CG89" s="214">
        <f>IF(AND(($E89+$C$1)&gt;CG$4,CG$4&gt;=$C$1),$H89,IF(AND(($D89+$C$1)&gt;CG$4,CG$4&gt;=$C$1),$G89,0))*IF($A89="Residential",'General Inputs'!N$14,'General Inputs'!N$19)</f>
        <v>0</v>
      </c>
      <c r="CH89" s="214">
        <f>IF(AND(($E89+$C$1)&gt;CH$4,CH$4&gt;=$C$1),$H89,IF(AND(($D89+$C$1)&gt;CH$4,CH$4&gt;=$C$1),$G89,0))*IF($A89="Residential",'General Inputs'!O$14,'General Inputs'!O$19)</f>
        <v>0</v>
      </c>
      <c r="CI89" s="214">
        <f>IF(AND(($E89+$C$1)&gt;CI$4,CI$4&gt;=$C$1),$H89,IF(AND(($D89+$C$1)&gt;CI$4,CI$4&gt;=$C$1),$G89,0))*IF($A89="Residential",'General Inputs'!P$14,'General Inputs'!P$19)</f>
        <v>0</v>
      </c>
      <c r="CJ89" s="214">
        <f>IF(AND(($E89+$C$1)&gt;CJ$4,CJ$4&gt;=$C$1),$H89,IF(AND(($D89+$C$1)&gt;CJ$4,CJ$4&gt;=$C$1),$G89,0))*IF($A89="Residential",'General Inputs'!Q$14,'General Inputs'!Q$19)</f>
        <v>0</v>
      </c>
      <c r="CK89" s="214">
        <f>IF(AND(($E89+$C$1)&gt;CK$4,CK$4&gt;=$C$1),$H89,IF(AND(($D89+$C$1)&gt;CK$4,CK$4&gt;=$C$1),$G89,0))*IF($A89="Residential",'General Inputs'!R$14,'General Inputs'!R$19)</f>
        <v>0</v>
      </c>
      <c r="CL89" s="214">
        <f>IF(AND(($E89+$C$1)&gt;CL$4,CL$4&gt;=$C$1),$H89,IF(AND(($D89+$C$1)&gt;CL$4,CL$4&gt;=$C$1),$G89,0))*IF($A89="Residential",'General Inputs'!S$14,'General Inputs'!S$19)</f>
        <v>0</v>
      </c>
      <c r="CM89" s="214">
        <f>IF(AND(($E89+$C$1)&gt;CM$4,CM$4&gt;=$C$1),$H89,IF(AND(($D89+$C$1)&gt;CM$4,CM$4&gt;=$C$1),$G89,0))*IF($A89="Residential",'General Inputs'!T$14,'General Inputs'!T$19)</f>
        <v>0</v>
      </c>
      <c r="CN89" s="214">
        <f>IF(AND(($E89+$C$1)&gt;CN$4,CN$4&gt;=$C$1),$H89,IF(AND(($D89+$C$1)&gt;CN$4,CN$4&gt;=$C$1),$G89,0))*IF($A89="Residential",'General Inputs'!U$14,'General Inputs'!U$19)</f>
        <v>0</v>
      </c>
      <c r="CO89" s="214">
        <f>IF(AND(($E89+$C$1)&gt;CO$4,CO$4&gt;=$C$1),$H89,IF(AND(($D89+$C$1)&gt;CO$4,CO$4&gt;=$C$1),$G89,0))*IF($A89="Residential",'General Inputs'!V$14,'General Inputs'!V$19)</f>
        <v>0</v>
      </c>
      <c r="CP89" s="214">
        <f>IF(AND(($E89+$C$1)&gt;CP$4,CP$4&gt;=$C$1),$H89,IF(AND(($D89+$C$1)&gt;CP$4,CP$4&gt;=$C$1),$G89,0))*IF($A89="Residential",'General Inputs'!W$14,'General Inputs'!W$19)</f>
        <v>0</v>
      </c>
      <c r="CR89" s="214">
        <f>IF(AND(($E89+$C$1)&gt;CR$4,CR$4&gt;=$C$1),$H89,IF(AND(($D89+$C$1)&gt;CR$4,CR$4&gt;=$C$1),$G89,0))*IF($A89="Residential",'General Inputs'!D$15,'General Inputs'!D$19)</f>
        <v>0</v>
      </c>
      <c r="CS89" s="214">
        <f>IF(AND(($E89+$C$1)&gt;CS$4,CS$4&gt;=$C$1),$H89,IF(AND(($D89+$C$1)&gt;CS$4,CS$4&gt;=$C$1),$G89,0))*IF($A89="Residential",'General Inputs'!E$15,'General Inputs'!E$19)</f>
        <v>0</v>
      </c>
      <c r="CT89" s="214">
        <f>IF(AND(($E89+$C$1)&gt;CT$4,CT$4&gt;=$C$1),$H89,IF(AND(($D89+$C$1)&gt;CT$4,CT$4&gt;=$C$1),$G89,0))*IF($A89="Residential",'General Inputs'!F$15,'General Inputs'!F$19)</f>
        <v>0</v>
      </c>
      <c r="CU89" s="214">
        <f>IF(AND(($E89+$C$1)&gt;CU$4,CU$4&gt;=$C$1),$H89,IF(AND(($D89+$C$1)&gt;CU$4,CU$4&gt;=$C$1),$G89,0))*IF($A89="Residential",'General Inputs'!G$15,'General Inputs'!G$19)</f>
        <v>0</v>
      </c>
      <c r="CV89" s="214">
        <f>IF(AND(($E89+$C$1)&gt;CV$4,CV$4&gt;=$C$1),$H89,IF(AND(($D89+$C$1)&gt;CV$4,CV$4&gt;=$C$1),$G89,0))*IF($A89="Residential",'General Inputs'!H$15,'General Inputs'!H$19)</f>
        <v>0</v>
      </c>
      <c r="CW89" s="214">
        <f>IF(AND(($E89+$C$1)&gt;CW$4,CW$4&gt;=$C$1),$H89,IF(AND(($D89+$C$1)&gt;CW$4,CW$4&gt;=$C$1),$G89,0))*IF($A89="Residential",'General Inputs'!I$15,'General Inputs'!I$19)</f>
        <v>0</v>
      </c>
      <c r="CX89" s="214">
        <f>IF(AND(($E89+$C$1)&gt;CX$4,CX$4&gt;=$C$1),$H89,IF(AND(($D89+$C$1)&gt;CX$4,CX$4&gt;=$C$1),$G89,0))*IF($A89="Residential",'General Inputs'!J$15,'General Inputs'!J$19)</f>
        <v>0</v>
      </c>
      <c r="CY89" s="214">
        <f>IF(AND(($E89+$C$1)&gt;CY$4,CY$4&gt;=$C$1),$H89,IF(AND(($D89+$C$1)&gt;CY$4,CY$4&gt;=$C$1),$G89,0))*IF($A89="Residential",'General Inputs'!K$15,'General Inputs'!K$19)</f>
        <v>0</v>
      </c>
      <c r="CZ89" s="214">
        <f>IF(AND(($E89+$C$1)&gt;CZ$4,CZ$4&gt;=$C$1),$H89,IF(AND(($D89+$C$1)&gt;CZ$4,CZ$4&gt;=$C$1),$G89,0))*IF($A89="Residential",'General Inputs'!L$15,'General Inputs'!L$19)</f>
        <v>0</v>
      </c>
      <c r="DA89" s="214">
        <f>IF(AND(($E89+$C$1)&gt;DA$4,DA$4&gt;=$C$1),$H89,IF(AND(($D89+$C$1)&gt;DA$4,DA$4&gt;=$C$1),$G89,0))*IF($A89="Residential",'General Inputs'!M$15,'General Inputs'!M$19)</f>
        <v>0</v>
      </c>
      <c r="DB89" s="214">
        <f>IF(AND(($E89+$C$1)&gt;DB$4,DB$4&gt;=$C$1),$H89,IF(AND(($D89+$C$1)&gt;DB$4,DB$4&gt;=$C$1),$G89,0))*IF($A89="Residential",'General Inputs'!N$15,'General Inputs'!N$19)</f>
        <v>0</v>
      </c>
      <c r="DC89" s="214">
        <f>IF(AND(($E89+$C$1)&gt;DC$4,DC$4&gt;=$C$1),$H89,IF(AND(($D89+$C$1)&gt;DC$4,DC$4&gt;=$C$1),$G89,0))*IF($A89="Residential",'General Inputs'!O$15,'General Inputs'!O$19)</f>
        <v>0</v>
      </c>
      <c r="DD89" s="214">
        <f>IF(AND(($E89+$C$1)&gt;DD$4,DD$4&gt;=$C$1),$H89,IF(AND(($D89+$C$1)&gt;DD$4,DD$4&gt;=$C$1),$G89,0))*IF($A89="Residential",'General Inputs'!P$15,'General Inputs'!P$19)</f>
        <v>0</v>
      </c>
      <c r="DE89" s="214">
        <f>IF(AND(($E89+$C$1)&gt;DE$4,DE$4&gt;=$C$1),$H89,IF(AND(($D89+$C$1)&gt;DE$4,DE$4&gt;=$C$1),$G89,0))*IF($A89="Residential",'General Inputs'!Q$15,'General Inputs'!Q$19)</f>
        <v>0</v>
      </c>
      <c r="DF89" s="214">
        <f>IF(AND(($E89+$C$1)&gt;DF$4,DF$4&gt;=$C$1),$H89,IF(AND(($D89+$C$1)&gt;DF$4,DF$4&gt;=$C$1),$G89,0))*IF($A89="Residential",'General Inputs'!R$15,'General Inputs'!R$19)</f>
        <v>0</v>
      </c>
      <c r="DG89" s="214">
        <f>IF(AND(($E89+$C$1)&gt;DG$4,DG$4&gt;=$C$1),$H89,IF(AND(($D89+$C$1)&gt;DG$4,DG$4&gt;=$C$1),$G89,0))*IF($A89="Residential",'General Inputs'!S$15,'General Inputs'!S$19)</f>
        <v>0</v>
      </c>
      <c r="DH89" s="214">
        <f>IF(AND(($E89+$C$1)&gt;DH$4,DH$4&gt;=$C$1),$H89,IF(AND(($D89+$C$1)&gt;DH$4,DH$4&gt;=$C$1),$G89,0))*IF($A89="Residential",'General Inputs'!T$15,'General Inputs'!T$19)</f>
        <v>0</v>
      </c>
      <c r="DI89" s="214">
        <f>IF(AND(($E89+$C$1)&gt;DI$4,DI$4&gt;=$C$1),$H89,IF(AND(($D89+$C$1)&gt;DI$4,DI$4&gt;=$C$1),$G89,0))*IF($A89="Residential",'General Inputs'!U$15,'General Inputs'!U$19)</f>
        <v>0</v>
      </c>
      <c r="DJ89" s="214">
        <f>IF(AND(($E89+$C$1)&gt;DJ$4,DJ$4&gt;=$C$1),$H89,IF(AND(($D89+$C$1)&gt;DJ$4,DJ$4&gt;=$C$1),$G89,0))*IF($A89="Residential",'General Inputs'!V$15,'General Inputs'!V$19)</f>
        <v>0</v>
      </c>
      <c r="DK89" s="214">
        <f>IF(AND(($E89+$C$1)&gt;DK$4,DK$4&gt;=$C$1),$H89,IF(AND(($D89+$C$1)&gt;DK$4,DK$4&gt;=$C$1),$G89,0))*IF($A89="Residential",'General Inputs'!W$15,'General Inputs'!W$19)</f>
        <v>0</v>
      </c>
      <c r="DM89" s="214">
        <f t="shared" si="479"/>
        <v>0</v>
      </c>
      <c r="DN89" s="214">
        <f t="shared" si="479"/>
        <v>0</v>
      </c>
      <c r="DO89" s="214">
        <f t="shared" si="479"/>
        <v>0</v>
      </c>
      <c r="DP89" s="214">
        <f t="shared" si="479"/>
        <v>0</v>
      </c>
      <c r="DQ89" s="214">
        <f t="shared" si="479"/>
        <v>0</v>
      </c>
      <c r="DR89" s="214">
        <f t="shared" si="479"/>
        <v>0</v>
      </c>
      <c r="DS89" s="214">
        <f t="shared" si="479"/>
        <v>0</v>
      </c>
      <c r="DT89" s="214">
        <f t="shared" si="479"/>
        <v>0</v>
      </c>
      <c r="DU89" s="214">
        <f t="shared" si="479"/>
        <v>0</v>
      </c>
      <c r="DV89" s="214">
        <f t="shared" si="479"/>
        <v>0</v>
      </c>
      <c r="DW89" s="214">
        <f t="shared" si="479"/>
        <v>0</v>
      </c>
      <c r="DZ89" s="650"/>
      <c r="FI89" s="195"/>
      <c r="FJ89" s="195"/>
      <c r="FK89" s="195"/>
      <c r="FL89" s="195"/>
      <c r="FM89" s="195"/>
      <c r="FN89" s="195"/>
      <c r="FO89" s="195"/>
    </row>
    <row r="90" spans="1:171">
      <c r="A90" s="342" t="s">
        <v>112</v>
      </c>
      <c r="B90" s="427" t="str">
        <f>'Portfolio Inputs'!A89</f>
        <v>Heat Pump Water Heater</v>
      </c>
      <c r="C90" s="217">
        <f>IF($C$1=2014,'Portfolio Inputs'!$C89,IF($C$1=2015,'Portfolio Inputs'!$D89,'Portfolio Inputs'!$E89))</f>
        <v>0</v>
      </c>
      <c r="D90" s="504">
        <f>VLOOKUP(B90,Sources!$B$4:$J$104,2,FALSE)</f>
        <v>15</v>
      </c>
      <c r="E90" s="504">
        <f>VLOOKUP(B90,Sources!$B$4:$J$104,3,FALSE)</f>
        <v>0</v>
      </c>
      <c r="G90" s="504">
        <f>IF($C$1=2014,'Portfolio Inputs'!$G89,IF($C$1=2015,'Portfolio Inputs'!$H89,'Portfolio Inputs'!$I89))*EnergyLineLoss</f>
        <v>0</v>
      </c>
      <c r="H90" s="504"/>
      <c r="I90" s="595">
        <f>IF($C$1=2014,'Portfolio Inputs'!$K89,IF($C$1=2015,'Portfolio Inputs'!$L89,'Portfolio Inputs'!$M89))*PeakLineLoss</f>
        <v>0</v>
      </c>
      <c r="J90" s="510"/>
      <c r="L90" s="606">
        <f>IF($C$1=2014,'Portfolio Inputs'!$O89,IF($C$1=2015,'Portfolio Inputs'!$P89,'Portfolio Inputs'!$Q89))</f>
        <v>700</v>
      </c>
      <c r="M90" s="518">
        <f>VLOOKUP($B90,Sources!$B$4:$K$104,10,FALSE)</f>
        <v>0</v>
      </c>
      <c r="N90" s="419">
        <f>IF($C$1=2014,'Portfolio Inputs'!$W89,IF($C$1=2015,'Portfolio Inputs'!$X89,'Portfolio Inputs'!$Y89))</f>
        <v>0</v>
      </c>
      <c r="O90" s="419">
        <f>IF($C$1=2014,'Portfolio Inputs'!$AA89,IF($C$1=2015,'Portfolio Inputs'!$AB89,'Portfolio Inputs'!$AC89))</f>
        <v>0</v>
      </c>
      <c r="Q90" s="436" t="str">
        <f t="shared" ref="Q90" si="494">IF(OR(AE90&gt;0,AC90&gt;0),Y90/(AC90+AE90),"n/a")</f>
        <v>n/a</v>
      </c>
      <c r="R90" s="437" t="str">
        <f t="shared" ref="R90" si="495">IF(OR(AC90&gt;0,AD90&gt;0),Y90/((AD90+AC90)),"n/a")</f>
        <v>n/a</v>
      </c>
      <c r="S90" s="437" t="str">
        <f t="shared" ref="S90" si="496">IF(OR(AC90&gt;0,AE90&gt;0),(Y90+Z90)/(AC90+AE90),"n/a")</f>
        <v>n/a</v>
      </c>
      <c r="T90" s="437" t="str">
        <f t="shared" ref="T90" si="497">IF(AE90&gt;0,(AD90+AA90)/AE90,"n/a")</f>
        <v>n/a</v>
      </c>
      <c r="U90" s="439" t="str">
        <f t="shared" ref="U90" si="498">IF(AE90&gt;0,(AD90+AB90)/AE90,"n/a")</f>
        <v>n/a</v>
      </c>
      <c r="V90" s="439" t="str">
        <f t="shared" ref="V90" si="499">IF((AA90+AC90+AD90)&gt;0,Y90/(AA90+AC90+AD90),"n/a")</f>
        <v>n/a</v>
      </c>
      <c r="W90" s="439" t="str">
        <f t="shared" ref="W90" si="500">IF((AB90+AC90+AD90)&gt;0,Y90/(AB90+AC90+AD90),"n/a")</f>
        <v>n/a</v>
      </c>
      <c r="Y90" s="215">
        <f t="shared" ref="Y90" si="501">AG90+NPV(DiscountRate,AH90:AZ90)</f>
        <v>0</v>
      </c>
      <c r="Z90" s="215">
        <f t="shared" ref="Z90" si="502">BB90+NPV(DiscountRate,BC90:BU90)</f>
        <v>0</v>
      </c>
      <c r="AA90" s="215">
        <f t="shared" ref="AA90" si="503">BW90+NPV(DiscountRate,BX90:CP90)</f>
        <v>0</v>
      </c>
      <c r="AB90" s="215">
        <f t="shared" ref="AB90" si="504">CR90+NPV(DiscountRate,CS90:DK90)</f>
        <v>0</v>
      </c>
      <c r="AC90" s="216">
        <f t="shared" ref="AC90" si="505">O90/((1+DiscountRate)^(IF($C$1=2015,1,IF($C$1=2016,2,0))))</f>
        <v>0</v>
      </c>
      <c r="AD90" s="216">
        <f t="shared" ref="AD90" si="506">N90/((1+DiscountRate)^(IF($C$1=2015,1,IF($C$1=2016,2,0))))</f>
        <v>0</v>
      </c>
      <c r="AE90" s="215">
        <f t="shared" ref="AE90" si="507">DM90+NPV(DiscountRate,DN90:DW90)</f>
        <v>0</v>
      </c>
      <c r="AG90" s="214">
        <f>IF(AND(($E90+$C$1)&gt;AG$4,AG$4&gt;=$C$1),'General Inputs'!D$9*$H90,IF(AND(($D90+$C$1)&gt;AG$4,AG$4&gt;=$C$1),'General Inputs'!D$9*$G90,0))+IF(AND(($E90+$C$1)&gt;AG$4,AG$4&gt;=$C$1),'General Inputs'!D$10*$J90,IF(AND(($D90+$C$1)&gt;AG$4,AG$4&gt;=$C$1),'General Inputs'!D$10*$I90,0))</f>
        <v>0</v>
      </c>
      <c r="AH90" s="214">
        <f>IF(AND(($E90+$C$1)&gt;AH$4,AH$4&gt;=$C$1),'General Inputs'!E$9*$H90,IF(AND(($D90+$C$1)&gt;AH$4,AH$4&gt;=$C$1),'General Inputs'!E$9*$G90,0))+IF(AND(($E90+$C$1)&gt;AH$4,AH$4&gt;=$C$1),'General Inputs'!E$10*$J90,IF(AND(($D90+$C$1)&gt;AH$4,AH$4&gt;=$C$1),'General Inputs'!E$10*$I90,0))</f>
        <v>0</v>
      </c>
      <c r="AI90" s="214">
        <f>IF(AND(($E90+$C$1)&gt;AI$4,AI$4&gt;=$C$1),'General Inputs'!F$9*$H90,IF(AND(($D90+$C$1)&gt;AI$4,AI$4&gt;=$C$1),'General Inputs'!F$9*$G90,0))+IF(AND(($E90+$C$1)&gt;AI$4,AI$4&gt;=$C$1),'General Inputs'!F$10*$J90,IF(AND(($D90+$C$1)&gt;AI$4,AI$4&gt;=$C$1),'General Inputs'!F$10*$I90,0))</f>
        <v>0</v>
      </c>
      <c r="AJ90" s="214">
        <f>IF(AND(($E90+$C$1)&gt;AJ$4,AJ$4&gt;=$C$1),'General Inputs'!G$9*$H90,IF(AND(($D90+$C$1)&gt;AJ$4,AJ$4&gt;=$C$1),'General Inputs'!G$9*$G90,0))+IF(AND(($E90+$C$1)&gt;AJ$4,AJ$4&gt;=$C$1),'General Inputs'!G$10*$J90,IF(AND(($D90+$C$1)&gt;AJ$4,AJ$4&gt;=$C$1),'General Inputs'!G$10*$I90,0))</f>
        <v>0</v>
      </c>
      <c r="AK90" s="214">
        <f>IF(AND(($E90+$C$1)&gt;AK$4,AK$4&gt;=$C$1),'General Inputs'!H$9*$H90,IF(AND(($D90+$C$1)&gt;AK$4,AK$4&gt;=$C$1),'General Inputs'!H$9*$G90,0))+IF(AND(($E90+$C$1)&gt;AK$4,AK$4&gt;=$C$1),'General Inputs'!H$10*$J90,IF(AND(($D90+$C$1)&gt;AK$4,AK$4&gt;=$C$1),'General Inputs'!H$10*$I90,0))</f>
        <v>0</v>
      </c>
      <c r="AL90" s="214">
        <f>IF(AND(($E90+$C$1)&gt;AL$4,AL$4&gt;=$C$1),'General Inputs'!I$9*$H90,IF(AND(($D90+$C$1)&gt;AL$4,AL$4&gt;=$C$1),'General Inputs'!I$9*$G90,0))+IF(AND(($E90+$C$1)&gt;AL$4,AL$4&gt;=$C$1),'General Inputs'!I$10*$J90,IF(AND(($D90+$C$1)&gt;AL$4,AL$4&gt;=$C$1),'General Inputs'!I$10*$I90,0))</f>
        <v>0</v>
      </c>
      <c r="AM90" s="214">
        <f>IF(AND(($E90+$C$1)&gt;AM$4,AM$4&gt;=$C$1),'General Inputs'!J$9*$H90,IF(AND(($D90+$C$1)&gt;AM$4,AM$4&gt;=$C$1),'General Inputs'!J$9*$G90,0))+IF(AND(($E90+$C$1)&gt;AM$4,AM$4&gt;=$C$1),'General Inputs'!J$10*$J90,IF(AND(($D90+$C$1)&gt;AM$4,AM$4&gt;=$C$1),'General Inputs'!J$10*$I90,0))</f>
        <v>0</v>
      </c>
      <c r="AN90" s="214">
        <f>IF(AND(($E90+$C$1)&gt;AN$4,AN$4&gt;=$C$1),'General Inputs'!K$9*$H90,IF(AND(($D90+$C$1)&gt;AN$4,AN$4&gt;=$C$1),'General Inputs'!K$9*$G90,0))+IF(AND(($E90+$C$1)&gt;AN$4,AN$4&gt;=$C$1),'General Inputs'!K$10*$J90,IF(AND(($D90+$C$1)&gt;AN$4,AN$4&gt;=$C$1),'General Inputs'!K$10*$I90,0))</f>
        <v>0</v>
      </c>
      <c r="AO90" s="214">
        <f>IF(AND(($E90+$C$1)&gt;AO$4,AO$4&gt;=$C$1),'General Inputs'!L$9*$H90,IF(AND(($D90+$C$1)&gt;AO$4,AO$4&gt;=$C$1),'General Inputs'!L$9*$G90,0))+IF(AND(($E90+$C$1)&gt;AO$4,AO$4&gt;=$C$1),'General Inputs'!L$10*$J90,IF(AND(($D90+$C$1)&gt;AO$4,AO$4&gt;=$C$1),'General Inputs'!L$10*$I90,0))</f>
        <v>0</v>
      </c>
      <c r="AP90" s="214">
        <f>IF(AND(($E90+$C$1)&gt;AP$4,AP$4&gt;=$C$1),'General Inputs'!M$9*$H90,IF(AND(($D90+$C$1)&gt;AP$4,AP$4&gt;=$C$1),'General Inputs'!M$9*$G90,0))+IF(AND(($E90+$C$1)&gt;AP$4,AP$4&gt;=$C$1),'General Inputs'!M$10*$J90,IF(AND(($D90+$C$1)&gt;AP$4,AP$4&gt;=$C$1),'General Inputs'!M$10*$I90,0))</f>
        <v>0</v>
      </c>
      <c r="AQ90" s="214">
        <f>IF(AND(($E90+$C$1)&gt;AQ$4,AQ$4&gt;=$C$1),'General Inputs'!N$9*$H90,IF(AND(($D90+$C$1)&gt;AQ$4,AQ$4&gt;=$C$1),'General Inputs'!N$9*$G90,0))+IF(AND(($E90+$C$1)&gt;AQ$4,AQ$4&gt;=$C$1),'General Inputs'!N$10*$J90,IF(AND(($D90+$C$1)&gt;AQ$4,AQ$4&gt;=$C$1),'General Inputs'!N$10*$I90,0))</f>
        <v>0</v>
      </c>
      <c r="AR90" s="214">
        <f>IF(AND(($E90+$C$1)&gt;AR$4,AR$4&gt;=$C$1),'General Inputs'!O$9*$H90,IF(AND(($D90+$C$1)&gt;AR$4,AR$4&gt;=$C$1),'General Inputs'!O$9*$G90,0))+IF(AND(($E90+$C$1)&gt;AR$4,AR$4&gt;=$C$1),'General Inputs'!O$10*$J90,IF(AND(($D90+$C$1)&gt;AR$4,AR$4&gt;=$C$1),'General Inputs'!O$10*$I90,0))</f>
        <v>0</v>
      </c>
      <c r="AS90" s="214">
        <f>IF(AND(($E90+$C$1)&gt;AS$4,AS$4&gt;=$C$1),'General Inputs'!P$9*$H90,IF(AND(($D90+$C$1)&gt;AS$4,AS$4&gt;=$C$1),'General Inputs'!P$9*$G90,0))+IF(AND(($E90+$C$1)&gt;AS$4,AS$4&gt;=$C$1),'General Inputs'!P$10*$J90,IF(AND(($D90+$C$1)&gt;AS$4,AS$4&gt;=$C$1),'General Inputs'!P$10*$I90,0))</f>
        <v>0</v>
      </c>
      <c r="AT90" s="214">
        <f>IF(AND(($E90+$C$1)&gt;AT$4,AT$4&gt;=$C$1),'General Inputs'!Q$9*$H90,IF(AND(($D90+$C$1)&gt;AT$4,AT$4&gt;=$C$1),'General Inputs'!Q$9*$G90,0))+IF(AND(($E90+$C$1)&gt;AT$4,AT$4&gt;=$C$1),'General Inputs'!Q$10*$J90,IF(AND(($D90+$C$1)&gt;AT$4,AT$4&gt;=$C$1),'General Inputs'!Q$10*$I90,0))</f>
        <v>0</v>
      </c>
      <c r="AU90" s="214">
        <f>IF(AND(($E90+$C$1)&gt;AU$4,AU$4&gt;=$C$1),'General Inputs'!R$9*$H90,IF(AND(($D90+$C$1)&gt;AU$4,AU$4&gt;=$C$1),'General Inputs'!R$9*$G90,0))+IF(AND(($E90+$C$1)&gt;AU$4,AU$4&gt;=$C$1),'General Inputs'!R$10*$J90,IF(AND(($D90+$C$1)&gt;AU$4,AU$4&gt;=$C$1),'General Inputs'!R$10*$I90,0))</f>
        <v>0</v>
      </c>
      <c r="AV90" s="214">
        <f>IF(AND(($E90+$C$1)&gt;AV$4,AV$4&gt;=$C$1),'General Inputs'!S$9*$H90,IF(AND(($D90+$C$1)&gt;AV$4,AV$4&gt;=$C$1),'General Inputs'!S$9*$G90,0))+IF(AND(($E90+$C$1)&gt;AV$4,AV$4&gt;=$C$1),'General Inputs'!S$10*$J90,IF(AND(($D90+$C$1)&gt;AV$4,AV$4&gt;=$C$1),'General Inputs'!S$10*$I90,0))</f>
        <v>0</v>
      </c>
      <c r="AW90" s="214">
        <f>IF(AND(($E90+$C$1)&gt;AW$4,AW$4&gt;=$C$1),'General Inputs'!T$9*$H90,IF(AND(($D90+$C$1)&gt;AW$4,AW$4&gt;=$C$1),'General Inputs'!T$9*$G90,0))+IF(AND(($E90+$C$1)&gt;AW$4,AW$4&gt;=$C$1),'General Inputs'!T$10*$J90,IF(AND(($D90+$C$1)&gt;AW$4,AW$4&gt;=$C$1),'General Inputs'!T$10*$I90,0))</f>
        <v>0</v>
      </c>
      <c r="AX90" s="214">
        <f>IF(AND(($E90+$C$1)&gt;AX$4,AX$4&gt;=$C$1),'General Inputs'!U$9*$H90,IF(AND(($D90+$C$1)&gt;AX$4,AX$4&gt;=$C$1),'General Inputs'!U$9*$G90,0))+IF(AND(($E90+$C$1)&gt;AX$4,AX$4&gt;=$C$1),'General Inputs'!U$10*$J90,IF(AND(($D90+$C$1)&gt;AX$4,AX$4&gt;=$C$1),'General Inputs'!U$10*$I90,0))</f>
        <v>0</v>
      </c>
      <c r="AY90" s="214">
        <f>IF(AND(($E90+$C$1)&gt;AY$4,AY$4&gt;=$C$1),'General Inputs'!V$9*$H90,IF(AND(($D90+$C$1)&gt;AY$4,AY$4&gt;=$C$1),'General Inputs'!V$9*$G90,0))+IF(AND(($E90+$C$1)&gt;AY$4,AY$4&gt;=$C$1),'General Inputs'!V$10*$J90,IF(AND(($D90+$C$1)&gt;AY$4,AY$4&gt;=$C$1),'General Inputs'!V$10*$I90,0))</f>
        <v>0</v>
      </c>
      <c r="AZ90" s="214">
        <f>IF(AND(($E90+$C$1)&gt;AZ$4,AZ$4&gt;=$C$1),'General Inputs'!W$9*$H90,IF(AND(($D90+$C$1)&gt;AZ$4,AZ$4&gt;=$C$1),'General Inputs'!W$9*$G90,0))+IF(AND(($E90+$C$1)&gt;AZ$4,AZ$4&gt;=$C$1),'General Inputs'!W$10*$J90,IF(AND(($D90+$C$1)&gt;AZ$4,AZ$4&gt;=$C$1),'General Inputs'!W$10*$I90,0))</f>
        <v>0</v>
      </c>
      <c r="BB90" s="214">
        <f>IF(AND(($E90+$C$1)&gt;BB$4,BB$4&gt;=$C$1),'General Inputs'!D$11*$H90,IF(AND(($D90+$C$1)&gt;BB$4,BB$4&gt;=$C$1),'General Inputs'!D$11*$G90,0))</f>
        <v>0</v>
      </c>
      <c r="BC90" s="214">
        <f>IF(AND(($E90+$C$1)&gt;BC$4,BC$4&gt;=$C$1),'General Inputs'!E$11*$H90,IF(AND(($D90+$C$1)&gt;BC$4,BC$4&gt;=$C$1),'General Inputs'!E$11*$G90,0))</f>
        <v>0</v>
      </c>
      <c r="BD90" s="214">
        <f>IF(AND(($E90+$C$1)&gt;BD$4,BD$4&gt;=$C$1),'General Inputs'!F$11*$H90,IF(AND(($D90+$C$1)&gt;BD$4,BD$4&gt;=$C$1),'General Inputs'!F$11*$G90,0))</f>
        <v>0</v>
      </c>
      <c r="BE90" s="214">
        <f>IF(AND(($E90+$C$1)&gt;BE$4,BE$4&gt;=$C$1),'General Inputs'!G$11*$H90,IF(AND(($D90+$C$1)&gt;BE$4,BE$4&gt;=$C$1),'General Inputs'!G$11*$G90,0))</f>
        <v>0</v>
      </c>
      <c r="BF90" s="214">
        <f>IF(AND(($E90+$C$1)&gt;BF$4,BF$4&gt;=$C$1),'General Inputs'!H$11*$H90,IF(AND(($D90+$C$1)&gt;BF$4,BF$4&gt;=$C$1),'General Inputs'!H$11*$G90,0))</f>
        <v>0</v>
      </c>
      <c r="BG90" s="214">
        <f>IF(AND(($E90+$C$1)&gt;BG$4,BG$4&gt;=$C$1),'General Inputs'!I$11*$H90,IF(AND(($D90+$C$1)&gt;BG$4,BG$4&gt;=$C$1),'General Inputs'!I$11*$G90,0))</f>
        <v>0</v>
      </c>
      <c r="BH90" s="214">
        <f>IF(AND(($E90+$C$1)&gt;BH$4,BH$4&gt;=$C$1),'General Inputs'!J$11*$H90,IF(AND(($D90+$C$1)&gt;BH$4,BH$4&gt;=$C$1),'General Inputs'!J$11*$G90,0))</f>
        <v>0</v>
      </c>
      <c r="BI90" s="214">
        <f>IF(AND(($E90+$C$1)&gt;BI$4,BI$4&gt;=$C$1),'General Inputs'!K$11*$H90,IF(AND(($D90+$C$1)&gt;BI$4,BI$4&gt;=$C$1),'General Inputs'!K$11*$G90,0))</f>
        <v>0</v>
      </c>
      <c r="BJ90" s="214">
        <f>IF(AND(($E90+$C$1)&gt;BJ$4,BJ$4&gt;=$C$1),'General Inputs'!L$11*$H90,IF(AND(($D90+$C$1)&gt;BJ$4,BJ$4&gt;=$C$1),'General Inputs'!L$11*$G90,0))</f>
        <v>0</v>
      </c>
      <c r="BK90" s="214">
        <f>IF(AND(($E90+$C$1)&gt;BK$4,BK$4&gt;=$C$1),'General Inputs'!M$11*$H90,IF(AND(($D90+$C$1)&gt;BK$4,BK$4&gt;=$C$1),'General Inputs'!M$11*$G90,0))</f>
        <v>0</v>
      </c>
      <c r="BL90" s="214">
        <f>IF(AND(($E90+$C$1)&gt;BL$4,BL$4&gt;=$C$1),'General Inputs'!N$11*$H90,IF(AND(($D90+$C$1)&gt;BL$4,BL$4&gt;=$C$1),'General Inputs'!N$11*$G90,0))</f>
        <v>0</v>
      </c>
      <c r="BM90" s="214">
        <f>IF(AND(($E90+$C$1)&gt;BM$4,BM$4&gt;=$C$1),'General Inputs'!O$11*$H90,IF(AND(($D90+$C$1)&gt;BM$4,BM$4&gt;=$C$1),'General Inputs'!O$11*$G90,0))</f>
        <v>0</v>
      </c>
      <c r="BN90" s="214">
        <f>IF(AND(($E90+$C$1)&gt;BN$4,BN$4&gt;=$C$1),'General Inputs'!P$11*$H90,IF(AND(($D90+$C$1)&gt;BN$4,BN$4&gt;=$C$1),'General Inputs'!P$11*$G90,0))</f>
        <v>0</v>
      </c>
      <c r="BO90" s="214">
        <f>IF(AND(($E90+$C$1)&gt;BO$4,BO$4&gt;=$C$1),'General Inputs'!Q$11*$H90,IF(AND(($D90+$C$1)&gt;BO$4,BO$4&gt;=$C$1),'General Inputs'!Q$11*$G90,0))</f>
        <v>0</v>
      </c>
      <c r="BP90" s="214">
        <f>IF(AND(($E90+$C$1)&gt;BP$4,BP$4&gt;=$C$1),'General Inputs'!R$11*$H90,IF(AND(($D90+$C$1)&gt;BP$4,BP$4&gt;=$C$1),'General Inputs'!R$11*$G90,0))</f>
        <v>0</v>
      </c>
      <c r="BQ90" s="214">
        <f>IF(AND(($E90+$C$1)&gt;BQ$4,BQ$4&gt;=$C$1),'General Inputs'!S$11*$H90,IF(AND(($D90+$C$1)&gt;BQ$4,BQ$4&gt;=$C$1),'General Inputs'!S$11*$G90,0))</f>
        <v>0</v>
      </c>
      <c r="BR90" s="214">
        <f>IF(AND(($E90+$C$1)&gt;BR$4,BR$4&gt;=$C$1),'General Inputs'!T$11*$H90,IF(AND(($D90+$C$1)&gt;BR$4,BR$4&gt;=$C$1),'General Inputs'!T$11*$G90,0))</f>
        <v>0</v>
      </c>
      <c r="BS90" s="214">
        <f>IF(AND(($E90+$C$1)&gt;BS$4,BS$4&gt;=$C$1),'General Inputs'!U$11*$H90,IF(AND(($D90+$C$1)&gt;BS$4,BS$4&gt;=$C$1),'General Inputs'!U$11*$G90,0))</f>
        <v>0</v>
      </c>
      <c r="BT90" s="214">
        <f>IF(AND(($E90+$C$1)&gt;BT$4,BT$4&gt;=$C$1),'General Inputs'!V$11*$H90,IF(AND(($D90+$C$1)&gt;BT$4,BT$4&gt;=$C$1),'General Inputs'!V$11*$G90,0))</f>
        <v>0</v>
      </c>
      <c r="BU90" s="214">
        <f>IF(AND(($E90+$C$1)&gt;BU$4,BU$4&gt;=$C$1),'General Inputs'!W$11*$H90,IF(AND(($D90+$C$1)&gt;BU$4,BU$4&gt;=$C$1),'General Inputs'!W$11*$G90,0))</f>
        <v>0</v>
      </c>
      <c r="BW90" s="214">
        <f>IF(AND(($E90+$C$1)&gt;BW$4,BW$4&gt;=$C$1),$H90,IF(AND(($D90+$C$1)&gt;BW$4,BW$4&gt;=$C$1),$G90,0))*IF($A90="Residential",'General Inputs'!D$14,'General Inputs'!D$19)</f>
        <v>0</v>
      </c>
      <c r="BX90" s="214">
        <f>IF(AND(($E90+$C$1)&gt;BX$4,BX$4&gt;=$C$1),$H90,IF(AND(($D90+$C$1)&gt;BX$4,BX$4&gt;=$C$1),$G90,0))*IF($A90="Residential",'General Inputs'!E$14,'General Inputs'!E$19)</f>
        <v>0</v>
      </c>
      <c r="BY90" s="214">
        <f>IF(AND(($E90+$C$1)&gt;BY$4,BY$4&gt;=$C$1),$H90,IF(AND(($D90+$C$1)&gt;BY$4,BY$4&gt;=$C$1),$G90,0))*IF($A90="Residential",'General Inputs'!F$14,'General Inputs'!F$19)</f>
        <v>0</v>
      </c>
      <c r="BZ90" s="214">
        <f>IF(AND(($E90+$C$1)&gt;BZ$4,BZ$4&gt;=$C$1),$H90,IF(AND(($D90+$C$1)&gt;BZ$4,BZ$4&gt;=$C$1),$G90,0))*IF($A90="Residential",'General Inputs'!G$14,'General Inputs'!G$19)</f>
        <v>0</v>
      </c>
      <c r="CA90" s="214">
        <f>IF(AND(($E90+$C$1)&gt;CA$4,CA$4&gt;=$C$1),$H90,IF(AND(($D90+$C$1)&gt;CA$4,CA$4&gt;=$C$1),$G90,0))*IF($A90="Residential",'General Inputs'!H$14,'General Inputs'!H$19)</f>
        <v>0</v>
      </c>
      <c r="CB90" s="214">
        <f>IF(AND(($E90+$C$1)&gt;CB$4,CB$4&gt;=$C$1),$H90,IF(AND(($D90+$C$1)&gt;CB$4,CB$4&gt;=$C$1),$G90,0))*IF($A90="Residential",'General Inputs'!I$14,'General Inputs'!I$19)</f>
        <v>0</v>
      </c>
      <c r="CC90" s="214">
        <f>IF(AND(($E90+$C$1)&gt;CC$4,CC$4&gt;=$C$1),$H90,IF(AND(($D90+$C$1)&gt;CC$4,CC$4&gt;=$C$1),$G90,0))*IF($A90="Residential",'General Inputs'!J$14,'General Inputs'!J$19)</f>
        <v>0</v>
      </c>
      <c r="CD90" s="214">
        <f>IF(AND(($E90+$C$1)&gt;CD$4,CD$4&gt;=$C$1),$H90,IF(AND(($D90+$C$1)&gt;CD$4,CD$4&gt;=$C$1),$G90,0))*IF($A90="Residential",'General Inputs'!K$14,'General Inputs'!K$19)</f>
        <v>0</v>
      </c>
      <c r="CE90" s="214">
        <f>IF(AND(($E90+$C$1)&gt;CE$4,CE$4&gt;=$C$1),$H90,IF(AND(($D90+$C$1)&gt;CE$4,CE$4&gt;=$C$1),$G90,0))*IF($A90="Residential",'General Inputs'!L$14,'General Inputs'!L$19)</f>
        <v>0</v>
      </c>
      <c r="CF90" s="214">
        <f>IF(AND(($E90+$C$1)&gt;CF$4,CF$4&gt;=$C$1),$H90,IF(AND(($D90+$C$1)&gt;CF$4,CF$4&gt;=$C$1),$G90,0))*IF($A90="Residential",'General Inputs'!M$14,'General Inputs'!M$19)</f>
        <v>0</v>
      </c>
      <c r="CG90" s="214">
        <f>IF(AND(($E90+$C$1)&gt;CG$4,CG$4&gt;=$C$1),$H90,IF(AND(($D90+$C$1)&gt;CG$4,CG$4&gt;=$C$1),$G90,0))*IF($A90="Residential",'General Inputs'!N$14,'General Inputs'!N$19)</f>
        <v>0</v>
      </c>
      <c r="CH90" s="214">
        <f>IF(AND(($E90+$C$1)&gt;CH$4,CH$4&gt;=$C$1),$H90,IF(AND(($D90+$C$1)&gt;CH$4,CH$4&gt;=$C$1),$G90,0))*IF($A90="Residential",'General Inputs'!O$14,'General Inputs'!O$19)</f>
        <v>0</v>
      </c>
      <c r="CI90" s="214">
        <f>IF(AND(($E90+$C$1)&gt;CI$4,CI$4&gt;=$C$1),$H90,IF(AND(($D90+$C$1)&gt;CI$4,CI$4&gt;=$C$1),$G90,0))*IF($A90="Residential",'General Inputs'!P$14,'General Inputs'!P$19)</f>
        <v>0</v>
      </c>
      <c r="CJ90" s="214">
        <f>IF(AND(($E90+$C$1)&gt;CJ$4,CJ$4&gt;=$C$1),$H90,IF(AND(($D90+$C$1)&gt;CJ$4,CJ$4&gt;=$C$1),$G90,0))*IF($A90="Residential",'General Inputs'!Q$14,'General Inputs'!Q$19)</f>
        <v>0</v>
      </c>
      <c r="CK90" s="214">
        <f>IF(AND(($E90+$C$1)&gt;CK$4,CK$4&gt;=$C$1),$H90,IF(AND(($D90+$C$1)&gt;CK$4,CK$4&gt;=$C$1),$G90,0))*IF($A90="Residential",'General Inputs'!R$14,'General Inputs'!R$19)</f>
        <v>0</v>
      </c>
      <c r="CL90" s="214">
        <f>IF(AND(($E90+$C$1)&gt;CL$4,CL$4&gt;=$C$1),$H90,IF(AND(($D90+$C$1)&gt;CL$4,CL$4&gt;=$C$1),$G90,0))*IF($A90="Residential",'General Inputs'!S$14,'General Inputs'!S$19)</f>
        <v>0</v>
      </c>
      <c r="CM90" s="214">
        <f>IF(AND(($E90+$C$1)&gt;CM$4,CM$4&gt;=$C$1),$H90,IF(AND(($D90+$C$1)&gt;CM$4,CM$4&gt;=$C$1),$G90,0))*IF($A90="Residential",'General Inputs'!T$14,'General Inputs'!T$19)</f>
        <v>0</v>
      </c>
      <c r="CN90" s="214">
        <f>IF(AND(($E90+$C$1)&gt;CN$4,CN$4&gt;=$C$1),$H90,IF(AND(($D90+$C$1)&gt;CN$4,CN$4&gt;=$C$1),$G90,0))*IF($A90="Residential",'General Inputs'!U$14,'General Inputs'!U$19)</f>
        <v>0</v>
      </c>
      <c r="CO90" s="214">
        <f>IF(AND(($E90+$C$1)&gt;CO$4,CO$4&gt;=$C$1),$H90,IF(AND(($D90+$C$1)&gt;CO$4,CO$4&gt;=$C$1),$G90,0))*IF($A90="Residential",'General Inputs'!V$14,'General Inputs'!V$19)</f>
        <v>0</v>
      </c>
      <c r="CP90" s="214">
        <f>IF(AND(($E90+$C$1)&gt;CP$4,CP$4&gt;=$C$1),$H90,IF(AND(($D90+$C$1)&gt;CP$4,CP$4&gt;=$C$1),$G90,0))*IF($A90="Residential",'General Inputs'!W$14,'General Inputs'!W$19)</f>
        <v>0</v>
      </c>
      <c r="CR90" s="214">
        <f>IF(AND(($E90+$C$1)&gt;CR$4,CR$4&gt;=$C$1),$H90,IF(AND(($D90+$C$1)&gt;CR$4,CR$4&gt;=$C$1),$G90,0))*IF($A90="Residential",'General Inputs'!D$15,'General Inputs'!D$19)</f>
        <v>0</v>
      </c>
      <c r="CS90" s="214">
        <f>IF(AND(($E90+$C$1)&gt;CS$4,CS$4&gt;=$C$1),$H90,IF(AND(($D90+$C$1)&gt;CS$4,CS$4&gt;=$C$1),$G90,0))*IF($A90="Residential",'General Inputs'!E$15,'General Inputs'!E$19)</f>
        <v>0</v>
      </c>
      <c r="CT90" s="214">
        <f>IF(AND(($E90+$C$1)&gt;CT$4,CT$4&gt;=$C$1),$H90,IF(AND(($D90+$C$1)&gt;CT$4,CT$4&gt;=$C$1),$G90,0))*IF($A90="Residential",'General Inputs'!F$15,'General Inputs'!F$19)</f>
        <v>0</v>
      </c>
      <c r="CU90" s="214">
        <f>IF(AND(($E90+$C$1)&gt;CU$4,CU$4&gt;=$C$1),$H90,IF(AND(($D90+$C$1)&gt;CU$4,CU$4&gt;=$C$1),$G90,0))*IF($A90="Residential",'General Inputs'!G$15,'General Inputs'!G$19)</f>
        <v>0</v>
      </c>
      <c r="CV90" s="214">
        <f>IF(AND(($E90+$C$1)&gt;CV$4,CV$4&gt;=$C$1),$H90,IF(AND(($D90+$C$1)&gt;CV$4,CV$4&gt;=$C$1),$G90,0))*IF($A90="Residential",'General Inputs'!H$15,'General Inputs'!H$19)</f>
        <v>0</v>
      </c>
      <c r="CW90" s="214">
        <f>IF(AND(($E90+$C$1)&gt;CW$4,CW$4&gt;=$C$1),$H90,IF(AND(($D90+$C$1)&gt;CW$4,CW$4&gt;=$C$1),$G90,0))*IF($A90="Residential",'General Inputs'!I$15,'General Inputs'!I$19)</f>
        <v>0</v>
      </c>
      <c r="CX90" s="214">
        <f>IF(AND(($E90+$C$1)&gt;CX$4,CX$4&gt;=$C$1),$H90,IF(AND(($D90+$C$1)&gt;CX$4,CX$4&gt;=$C$1),$G90,0))*IF($A90="Residential",'General Inputs'!J$15,'General Inputs'!J$19)</f>
        <v>0</v>
      </c>
      <c r="CY90" s="214">
        <f>IF(AND(($E90+$C$1)&gt;CY$4,CY$4&gt;=$C$1),$H90,IF(AND(($D90+$C$1)&gt;CY$4,CY$4&gt;=$C$1),$G90,0))*IF($A90="Residential",'General Inputs'!K$15,'General Inputs'!K$19)</f>
        <v>0</v>
      </c>
      <c r="CZ90" s="214">
        <f>IF(AND(($E90+$C$1)&gt;CZ$4,CZ$4&gt;=$C$1),$H90,IF(AND(($D90+$C$1)&gt;CZ$4,CZ$4&gt;=$C$1),$G90,0))*IF($A90="Residential",'General Inputs'!L$15,'General Inputs'!L$19)</f>
        <v>0</v>
      </c>
      <c r="DA90" s="214">
        <f>IF(AND(($E90+$C$1)&gt;DA$4,DA$4&gt;=$C$1),$H90,IF(AND(($D90+$C$1)&gt;DA$4,DA$4&gt;=$C$1),$G90,0))*IF($A90="Residential",'General Inputs'!M$15,'General Inputs'!M$19)</f>
        <v>0</v>
      </c>
      <c r="DB90" s="214">
        <f>IF(AND(($E90+$C$1)&gt;DB$4,DB$4&gt;=$C$1),$H90,IF(AND(($D90+$C$1)&gt;DB$4,DB$4&gt;=$C$1),$G90,0))*IF($A90="Residential",'General Inputs'!N$15,'General Inputs'!N$19)</f>
        <v>0</v>
      </c>
      <c r="DC90" s="214">
        <f>IF(AND(($E90+$C$1)&gt;DC$4,DC$4&gt;=$C$1),$H90,IF(AND(($D90+$C$1)&gt;DC$4,DC$4&gt;=$C$1),$G90,0))*IF($A90="Residential",'General Inputs'!O$15,'General Inputs'!O$19)</f>
        <v>0</v>
      </c>
      <c r="DD90" s="214">
        <f>IF(AND(($E90+$C$1)&gt;DD$4,DD$4&gt;=$C$1),$H90,IF(AND(($D90+$C$1)&gt;DD$4,DD$4&gt;=$C$1),$G90,0))*IF($A90="Residential",'General Inputs'!P$15,'General Inputs'!P$19)</f>
        <v>0</v>
      </c>
      <c r="DE90" s="214">
        <f>IF(AND(($E90+$C$1)&gt;DE$4,DE$4&gt;=$C$1),$H90,IF(AND(($D90+$C$1)&gt;DE$4,DE$4&gt;=$C$1),$G90,0))*IF($A90="Residential",'General Inputs'!Q$15,'General Inputs'!Q$19)</f>
        <v>0</v>
      </c>
      <c r="DF90" s="214">
        <f>IF(AND(($E90+$C$1)&gt;DF$4,DF$4&gt;=$C$1),$H90,IF(AND(($D90+$C$1)&gt;DF$4,DF$4&gt;=$C$1),$G90,0))*IF($A90="Residential",'General Inputs'!R$15,'General Inputs'!R$19)</f>
        <v>0</v>
      </c>
      <c r="DG90" s="214">
        <f>IF(AND(($E90+$C$1)&gt;DG$4,DG$4&gt;=$C$1),$H90,IF(AND(($D90+$C$1)&gt;DG$4,DG$4&gt;=$C$1),$G90,0))*IF($A90="Residential",'General Inputs'!S$15,'General Inputs'!S$19)</f>
        <v>0</v>
      </c>
      <c r="DH90" s="214">
        <f>IF(AND(($E90+$C$1)&gt;DH$4,DH$4&gt;=$C$1),$H90,IF(AND(($D90+$C$1)&gt;DH$4,DH$4&gt;=$C$1),$G90,0))*IF($A90="Residential",'General Inputs'!T$15,'General Inputs'!T$19)</f>
        <v>0</v>
      </c>
      <c r="DI90" s="214">
        <f>IF(AND(($E90+$C$1)&gt;DI$4,DI$4&gt;=$C$1),$H90,IF(AND(($D90+$C$1)&gt;DI$4,DI$4&gt;=$C$1),$G90,0))*IF($A90="Residential",'General Inputs'!U$15,'General Inputs'!U$19)</f>
        <v>0</v>
      </c>
      <c r="DJ90" s="214">
        <f>IF(AND(($E90+$C$1)&gt;DJ$4,DJ$4&gt;=$C$1),$H90,IF(AND(($D90+$C$1)&gt;DJ$4,DJ$4&gt;=$C$1),$G90,0))*IF($A90="Residential",'General Inputs'!V$15,'General Inputs'!V$19)</f>
        <v>0</v>
      </c>
      <c r="DK90" s="214">
        <f>IF(AND(($E90+$C$1)&gt;DK$4,DK$4&gt;=$C$1),$H90,IF(AND(($D90+$C$1)&gt;DK$4,DK$4&gt;=$C$1),$G90,0))*IF($A90="Residential",'General Inputs'!W$15,'General Inputs'!W$19)</f>
        <v>0</v>
      </c>
      <c r="DM90" s="214">
        <f t="shared" si="479"/>
        <v>0</v>
      </c>
      <c r="DN90" s="214">
        <f t="shared" si="479"/>
        <v>0</v>
      </c>
      <c r="DO90" s="214">
        <f t="shared" si="479"/>
        <v>0</v>
      </c>
      <c r="DP90" s="214">
        <f t="shared" si="479"/>
        <v>0</v>
      </c>
      <c r="DQ90" s="214">
        <f t="shared" si="479"/>
        <v>0</v>
      </c>
      <c r="DR90" s="214">
        <f t="shared" si="479"/>
        <v>0</v>
      </c>
      <c r="DS90" s="214">
        <f t="shared" si="479"/>
        <v>0</v>
      </c>
      <c r="DT90" s="214">
        <f t="shared" si="479"/>
        <v>0</v>
      </c>
      <c r="DU90" s="214">
        <f t="shared" si="479"/>
        <v>0</v>
      </c>
      <c r="DV90" s="214">
        <f t="shared" si="479"/>
        <v>0</v>
      </c>
      <c r="DW90" s="214">
        <f t="shared" si="479"/>
        <v>0</v>
      </c>
      <c r="DZ90" s="650"/>
      <c r="FI90" s="195"/>
      <c r="FJ90" s="195"/>
      <c r="FK90" s="195"/>
      <c r="FL90" s="195"/>
      <c r="FM90" s="195"/>
      <c r="FN90" s="195"/>
      <c r="FO90" s="195"/>
    </row>
    <row r="91" spans="1:171" s="449" customFormat="1">
      <c r="A91" s="435" t="s">
        <v>112</v>
      </c>
      <c r="B91" s="428" t="str">
        <f>'Portfolio Inputs'!A90</f>
        <v>VFD</v>
      </c>
      <c r="C91" s="454">
        <f>IF($C$1=2014,'Portfolio Inputs'!$C90,IF($C$1=2015,'Portfolio Inputs'!$D90,'Portfolio Inputs'!$E90))</f>
        <v>8</v>
      </c>
      <c r="D91" s="505"/>
      <c r="E91" s="505"/>
      <c r="F91" s="2"/>
      <c r="G91" s="515">
        <f t="shared" ref="G91:I91" si="508">SUM(G92:G93)</f>
        <v>63863.858999999997</v>
      </c>
      <c r="H91" s="515"/>
      <c r="I91" s="512">
        <f t="shared" si="508"/>
        <v>10.522548929999999</v>
      </c>
      <c r="J91" s="512"/>
      <c r="K91" s="2"/>
      <c r="L91" s="455"/>
      <c r="M91" s="455"/>
      <c r="N91" s="455">
        <f>IF($C$1=2014,'Portfolio Inputs'!$W90,IF($C$1=2015,'Portfolio Inputs'!$X90,'Portfolio Inputs'!$Y90))</f>
        <v>1545</v>
      </c>
      <c r="O91" s="455">
        <f>IF($C$1=2014,'Portfolio Inputs'!$AA90,IF($C$1=2015,'Portfolio Inputs'!$AB90,'Portfolio Inputs'!$AC90))</f>
        <v>0</v>
      </c>
      <c r="P91" s="16"/>
      <c r="Q91" s="433">
        <f t="shared" si="290"/>
        <v>1.2901918346268111</v>
      </c>
      <c r="R91" s="434">
        <f t="shared" si="291"/>
        <v>16.821763311794488</v>
      </c>
      <c r="S91" s="434">
        <f t="shared" si="292"/>
        <v>1.6102936210299308</v>
      </c>
      <c r="T91" s="434">
        <f t="shared" si="293"/>
        <v>3.2645870519314122</v>
      </c>
      <c r="U91" s="434">
        <f>IF(AE91&gt;0,(AD91+AB91)/AE91,"n/a")</f>
        <v>3.2645870519314122</v>
      </c>
      <c r="V91" s="523">
        <f t="shared" si="294"/>
        <v>0.39520828028264737</v>
      </c>
      <c r="W91" s="523">
        <f t="shared" si="295"/>
        <v>0.39520828028264737</v>
      </c>
      <c r="X91" s="16"/>
      <c r="Y91" s="447">
        <f t="shared" ref="Y91:Y96" si="509">AG91+NPV(DiscountRate,AH91:AZ91)</f>
        <v>25989.624316722482</v>
      </c>
      <c r="Z91" s="447">
        <f t="shared" ref="Z91:Z96" si="510">BB91+NPV(DiscountRate,BC91:BU91)</f>
        <v>6448.1303853044428</v>
      </c>
      <c r="AA91" s="447">
        <f t="shared" ref="AA91:AA96" si="511">BW91+NPV(DiscountRate,BX91:CP91)</f>
        <v>64216.841574106373</v>
      </c>
      <c r="AB91" s="447">
        <f t="shared" ref="AB91:AB96" si="512">CR91+NPV(DiscountRate,CS91:DK91)</f>
        <v>64216.841574106373</v>
      </c>
      <c r="AC91" s="448">
        <f t="shared" si="33"/>
        <v>0</v>
      </c>
      <c r="AD91" s="448">
        <f t="shared" si="34"/>
        <v>1545</v>
      </c>
      <c r="AE91" s="525">
        <f t="shared" si="381"/>
        <v>20144</v>
      </c>
      <c r="AF91" s="16"/>
      <c r="AG91" s="432">
        <f>SUM(AG92:AG93)</f>
        <v>2700.1302400219629</v>
      </c>
      <c r="AH91" s="432">
        <f t="shared" ref="AH91:AZ91" si="513">SUM(AH92:AH93)</f>
        <v>2740.6321936222921</v>
      </c>
      <c r="AI91" s="432">
        <f t="shared" si="513"/>
        <v>2781.7416765266262</v>
      </c>
      <c r="AJ91" s="432">
        <f t="shared" si="513"/>
        <v>2823.4678016745256</v>
      </c>
      <c r="AK91" s="432">
        <f t="shared" si="513"/>
        <v>2865.8198186996428</v>
      </c>
      <c r="AL91" s="432">
        <f t="shared" si="513"/>
        <v>2908.8071159801366</v>
      </c>
      <c r="AM91" s="432">
        <f t="shared" si="513"/>
        <v>2952.4392227198387</v>
      </c>
      <c r="AN91" s="432">
        <f t="shared" si="513"/>
        <v>2996.7258110606363</v>
      </c>
      <c r="AO91" s="432">
        <f t="shared" si="513"/>
        <v>3041.6766982265453</v>
      </c>
      <c r="AP91" s="432">
        <f t="shared" si="513"/>
        <v>3087.3018486999426</v>
      </c>
      <c r="AQ91" s="432">
        <f t="shared" si="513"/>
        <v>3133.6113764304423</v>
      </c>
      <c r="AR91" s="432">
        <f t="shared" si="513"/>
        <v>3180.6155470768981</v>
      </c>
      <c r="AS91" s="432">
        <f t="shared" si="513"/>
        <v>3228.324780283051</v>
      </c>
      <c r="AT91" s="432">
        <f t="shared" si="513"/>
        <v>3276.7496519872966</v>
      </c>
      <c r="AU91" s="432">
        <f t="shared" si="513"/>
        <v>3325.9008967671061</v>
      </c>
      <c r="AV91" s="432">
        <f t="shared" si="513"/>
        <v>0</v>
      </c>
      <c r="AW91" s="432">
        <f t="shared" si="513"/>
        <v>0</v>
      </c>
      <c r="AX91" s="432">
        <f t="shared" si="513"/>
        <v>0</v>
      </c>
      <c r="AY91" s="432">
        <f t="shared" si="513"/>
        <v>0</v>
      </c>
      <c r="AZ91" s="432">
        <f t="shared" si="513"/>
        <v>0</v>
      </c>
      <c r="BA91" s="16"/>
      <c r="BB91" s="432">
        <f>SUM(BB92:BB93)</f>
        <v>728.04799259999993</v>
      </c>
      <c r="BC91" s="432">
        <f t="shared" ref="BC91:BU91" si="514">SUM(BC92:BC93)</f>
        <v>728.04799259999993</v>
      </c>
      <c r="BD91" s="432">
        <f t="shared" si="514"/>
        <v>728.04799259999993</v>
      </c>
      <c r="BE91" s="432">
        <f t="shared" si="514"/>
        <v>728.04799259999993</v>
      </c>
      <c r="BF91" s="432">
        <f t="shared" si="514"/>
        <v>728.04799259999993</v>
      </c>
      <c r="BG91" s="432">
        <f t="shared" si="514"/>
        <v>728.04799259999993</v>
      </c>
      <c r="BH91" s="432">
        <f t="shared" si="514"/>
        <v>728.04799259999993</v>
      </c>
      <c r="BI91" s="432">
        <f t="shared" si="514"/>
        <v>728.04799259999993</v>
      </c>
      <c r="BJ91" s="432">
        <f t="shared" si="514"/>
        <v>728.04799259999993</v>
      </c>
      <c r="BK91" s="432">
        <f t="shared" si="514"/>
        <v>728.04799259999993</v>
      </c>
      <c r="BL91" s="432">
        <f t="shared" si="514"/>
        <v>728.04799259999993</v>
      </c>
      <c r="BM91" s="432">
        <f t="shared" si="514"/>
        <v>728.04799259999993</v>
      </c>
      <c r="BN91" s="432">
        <f t="shared" si="514"/>
        <v>728.04799259999993</v>
      </c>
      <c r="BO91" s="432">
        <f t="shared" si="514"/>
        <v>728.04799259999993</v>
      </c>
      <c r="BP91" s="432">
        <f t="shared" si="514"/>
        <v>728.04799259999993</v>
      </c>
      <c r="BQ91" s="432">
        <f t="shared" si="514"/>
        <v>0</v>
      </c>
      <c r="BR91" s="432">
        <f t="shared" si="514"/>
        <v>0</v>
      </c>
      <c r="BS91" s="432">
        <f t="shared" si="514"/>
        <v>0</v>
      </c>
      <c r="BT91" s="432">
        <f t="shared" si="514"/>
        <v>0</v>
      </c>
      <c r="BU91" s="432">
        <f t="shared" si="514"/>
        <v>0</v>
      </c>
      <c r="BV91" s="16"/>
      <c r="BW91" s="432">
        <f>SUM(BW92:BW93)</f>
        <v>6671.6561093719838</v>
      </c>
      <c r="BX91" s="432">
        <f t="shared" ref="BX91:CP91" si="515">SUM(BX92:BX93)</f>
        <v>6771.7309510125633</v>
      </c>
      <c r="BY91" s="432">
        <f t="shared" si="515"/>
        <v>6873.3069152777516</v>
      </c>
      <c r="BZ91" s="432">
        <f t="shared" si="515"/>
        <v>6976.4065190069177</v>
      </c>
      <c r="CA91" s="432">
        <f t="shared" si="515"/>
        <v>7081.0526167920198</v>
      </c>
      <c r="CB91" s="432">
        <f t="shared" si="515"/>
        <v>7187.2684060438987</v>
      </c>
      <c r="CC91" s="432">
        <f t="shared" si="515"/>
        <v>7295.0774321345571</v>
      </c>
      <c r="CD91" s="432">
        <f t="shared" si="515"/>
        <v>7404.5035936165732</v>
      </c>
      <c r="CE91" s="432">
        <f t="shared" si="515"/>
        <v>7515.5711475208218</v>
      </c>
      <c r="CF91" s="432">
        <f t="shared" si="515"/>
        <v>7628.3047147336338</v>
      </c>
      <c r="CG91" s="432">
        <f t="shared" si="515"/>
        <v>7742.7292854546386</v>
      </c>
      <c r="CH91" s="432">
        <f t="shared" si="515"/>
        <v>7858.8702247364563</v>
      </c>
      <c r="CI91" s="432">
        <f t="shared" si="515"/>
        <v>7976.7532781075024</v>
      </c>
      <c r="CJ91" s="432">
        <f t="shared" si="515"/>
        <v>8096.4045772791142</v>
      </c>
      <c r="CK91" s="432">
        <f t="shared" si="515"/>
        <v>8217.8506459382988</v>
      </c>
      <c r="CL91" s="432">
        <f t="shared" si="515"/>
        <v>0</v>
      </c>
      <c r="CM91" s="432">
        <f t="shared" si="515"/>
        <v>0</v>
      </c>
      <c r="CN91" s="432">
        <f t="shared" si="515"/>
        <v>0</v>
      </c>
      <c r="CO91" s="432">
        <f t="shared" si="515"/>
        <v>0</v>
      </c>
      <c r="CP91" s="432">
        <f t="shared" si="515"/>
        <v>0</v>
      </c>
      <c r="CQ91" s="16"/>
      <c r="CR91" s="432">
        <f>SUM(CR92:CR93)</f>
        <v>6671.6561093719838</v>
      </c>
      <c r="CS91" s="432">
        <f t="shared" ref="CS91:DK91" si="516">SUM(CS92:CS93)</f>
        <v>6771.7309510125633</v>
      </c>
      <c r="CT91" s="432">
        <f t="shared" si="516"/>
        <v>6873.3069152777516</v>
      </c>
      <c r="CU91" s="432">
        <f t="shared" si="516"/>
        <v>6976.4065190069177</v>
      </c>
      <c r="CV91" s="432">
        <f t="shared" si="516"/>
        <v>7081.0526167920198</v>
      </c>
      <c r="CW91" s="432">
        <f t="shared" si="516"/>
        <v>7187.2684060438987</v>
      </c>
      <c r="CX91" s="432">
        <f t="shared" si="516"/>
        <v>7295.0774321345571</v>
      </c>
      <c r="CY91" s="432">
        <f t="shared" si="516"/>
        <v>7404.5035936165732</v>
      </c>
      <c r="CZ91" s="432">
        <f t="shared" si="516"/>
        <v>7515.5711475208218</v>
      </c>
      <c r="DA91" s="432">
        <f t="shared" si="516"/>
        <v>7628.3047147336338</v>
      </c>
      <c r="DB91" s="432">
        <f t="shared" si="516"/>
        <v>7742.7292854546386</v>
      </c>
      <c r="DC91" s="432">
        <f t="shared" si="516"/>
        <v>7858.8702247364563</v>
      </c>
      <c r="DD91" s="432">
        <f t="shared" si="516"/>
        <v>7976.7532781075024</v>
      </c>
      <c r="DE91" s="432">
        <f t="shared" si="516"/>
        <v>8096.4045772791142</v>
      </c>
      <c r="DF91" s="432">
        <f t="shared" si="516"/>
        <v>8217.8506459382988</v>
      </c>
      <c r="DG91" s="432">
        <f t="shared" si="516"/>
        <v>0</v>
      </c>
      <c r="DH91" s="432">
        <f t="shared" si="516"/>
        <v>0</v>
      </c>
      <c r="DI91" s="432">
        <f t="shared" si="516"/>
        <v>0</v>
      </c>
      <c r="DJ91" s="432">
        <f t="shared" si="516"/>
        <v>0</v>
      </c>
      <c r="DK91" s="432">
        <f t="shared" si="516"/>
        <v>0</v>
      </c>
      <c r="DL91" s="16"/>
      <c r="DM91" s="432">
        <f t="shared" ref="DM91:DW91" si="517">SUM(DM92:DM93)</f>
        <v>20144</v>
      </c>
      <c r="DN91" s="432">
        <f t="shared" si="517"/>
        <v>0</v>
      </c>
      <c r="DO91" s="432">
        <f t="shared" si="517"/>
        <v>0</v>
      </c>
      <c r="DP91" s="432">
        <f t="shared" si="517"/>
        <v>0</v>
      </c>
      <c r="DQ91" s="432">
        <f t="shared" si="517"/>
        <v>0</v>
      </c>
      <c r="DR91" s="432">
        <f t="shared" si="517"/>
        <v>0</v>
      </c>
      <c r="DS91" s="432">
        <f t="shared" si="517"/>
        <v>0</v>
      </c>
      <c r="DT91" s="432">
        <f t="shared" si="517"/>
        <v>0</v>
      </c>
      <c r="DU91" s="432">
        <f t="shared" si="517"/>
        <v>0</v>
      </c>
      <c r="DV91" s="432">
        <f t="shared" si="517"/>
        <v>0</v>
      </c>
      <c r="DW91" s="432">
        <f t="shared" si="517"/>
        <v>0</v>
      </c>
      <c r="DX91" s="16"/>
      <c r="DY91" s="16"/>
      <c r="DZ91" s="650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</row>
    <row r="92" spans="1:171">
      <c r="A92" s="342" t="s">
        <v>112</v>
      </c>
      <c r="B92" s="427" t="str">
        <f>'Portfolio Inputs'!A91</f>
        <v>VFD Fan</v>
      </c>
      <c r="C92" s="217">
        <f>IF($C$1=2014,'Portfolio Inputs'!$C91,IF($C$1=2015,'Portfolio Inputs'!$D91,'Portfolio Inputs'!$E91))</f>
        <v>7</v>
      </c>
      <c r="D92" s="504">
        <f>VLOOKUP(B92,Sources!$B$4:$J$104,2,FALSE)</f>
        <v>15</v>
      </c>
      <c r="E92" s="504">
        <f>VLOOKUP(B92,Sources!$B$4:$J$104,3,FALSE)</f>
        <v>0</v>
      </c>
      <c r="G92" s="504">
        <f>IF($C$1=2014,'Portfolio Inputs'!$G91,IF($C$1=2015,'Portfolio Inputs'!$H91,'Portfolio Inputs'!$I91))*EnergyLineLoss</f>
        <v>49836.152999999998</v>
      </c>
      <c r="H92" s="504"/>
      <c r="I92" s="595">
        <f>IF($C$1=2014,'Portfolio Inputs'!$K91,IF($C$1=2015,'Portfolio Inputs'!$L91,'Portfolio Inputs'!$M91))*PeakLineLoss</f>
        <v>8.1676469999999988</v>
      </c>
      <c r="J92" s="510"/>
      <c r="L92" s="606">
        <f>IF($C$1=2014,'Portfolio Inputs'!$O91,IF($C$1=2015,'Portfolio Inputs'!$P91,'Portfolio Inputs'!$Q91))</f>
        <v>2518</v>
      </c>
      <c r="M92" s="518">
        <f>VLOOKUP($B92,Sources!$B$4:$K$104,10,FALSE)</f>
        <v>0</v>
      </c>
      <c r="N92" s="419">
        <f>IF($C$1=2014,'Portfolio Inputs'!$W91,IF($C$1=2015,'Portfolio Inputs'!$X91,'Portfolio Inputs'!$Y91))</f>
        <v>5250</v>
      </c>
      <c r="O92" s="419">
        <f>IF($C$1=2014,'Portfolio Inputs'!$AA91,IF($C$1=2015,'Portfolio Inputs'!$AB91,'Portfolio Inputs'!$AC91))</f>
        <v>0</v>
      </c>
      <c r="Q92" s="436">
        <f t="shared" si="290"/>
        <v>1.1502730176978</v>
      </c>
      <c r="R92" s="437">
        <f t="shared" si="291"/>
        <v>3.8618499447507473</v>
      </c>
      <c r="S92" s="437">
        <f t="shared" si="292"/>
        <v>1.4357488828996408</v>
      </c>
      <c r="T92" s="437">
        <f t="shared" si="293"/>
        <v>3.1409056450647506</v>
      </c>
      <c r="U92" s="439">
        <f t="shared" ref="U92:U93" si="518">IF(AE92&gt;0,(AD92+AB92)/AE92,"n/a")</f>
        <v>3.1409056450647506</v>
      </c>
      <c r="V92" s="439">
        <f t="shared" si="294"/>
        <v>0.36622335965590169</v>
      </c>
      <c r="W92" s="439">
        <f t="shared" si="295"/>
        <v>0.36622335965590169</v>
      </c>
      <c r="Y92" s="215">
        <f t="shared" si="509"/>
        <v>20274.712209941423</v>
      </c>
      <c r="Z92" s="215">
        <f t="shared" si="510"/>
        <v>5031.7976000476465</v>
      </c>
      <c r="AA92" s="215">
        <f t="shared" si="511"/>
        <v>50111.60289991129</v>
      </c>
      <c r="AB92" s="215">
        <f t="shared" si="512"/>
        <v>50111.60289991129</v>
      </c>
      <c r="AC92" s="216">
        <f t="shared" ref="AC92:AC96" si="519">O92/((1+DiscountRate)^(IF($C$1=2015,1,IF($C$1=2016,2,0))))</f>
        <v>0</v>
      </c>
      <c r="AD92" s="216">
        <f t="shared" ref="AD92:AD96" si="520">N92/((1+DiscountRate)^(IF($C$1=2015,1,IF($C$1=2016,2,0))))</f>
        <v>5250</v>
      </c>
      <c r="AE92" s="215">
        <f t="shared" si="381"/>
        <v>17626</v>
      </c>
      <c r="AG92" s="214">
        <f>IF(AND(($E92+$C$1)&gt;AG$4,AG$4&gt;=$C$1),'General Inputs'!D$9*$H92,IF(AND(($D92+$C$1)&gt;AG$4,AG$4&gt;=$C$1),'General Inputs'!D$9*$G92,0))+IF(AND(($E92+$C$1)&gt;AG$4,AG$4&gt;=$C$1),'General Inputs'!D$10*$J92,IF(AND(($D92+$C$1)&gt;AG$4,AG$4&gt;=$C$1),'General Inputs'!D$10*$I92,0))</f>
        <v>2106.3930312598336</v>
      </c>
      <c r="AH92" s="214">
        <f>IF(AND(($E92+$C$1)&gt;AH$4,AH$4&gt;=$C$1),'General Inputs'!E$9*$H92,IF(AND(($D92+$C$1)&gt;AH$4,AH$4&gt;=$C$1),'General Inputs'!E$9*$G92,0))+IF(AND(($E92+$C$1)&gt;AH$4,AH$4&gt;=$C$1),'General Inputs'!E$10*$J92,IF(AND(($D92+$C$1)&gt;AH$4,AH$4&gt;=$C$1),'General Inputs'!E$10*$I92,0))</f>
        <v>2137.9889267287308</v>
      </c>
      <c r="AI92" s="214">
        <f>IF(AND(($E92+$C$1)&gt;AI$4,AI$4&gt;=$C$1),'General Inputs'!F$9*$H92,IF(AND(($D92+$C$1)&gt;AI$4,AI$4&gt;=$C$1),'General Inputs'!F$9*$G92,0))+IF(AND(($E92+$C$1)&gt;AI$4,AI$4&gt;=$C$1),'General Inputs'!F$10*$J92,IF(AND(($D92+$C$1)&gt;AI$4,AI$4&gt;=$C$1),'General Inputs'!F$10*$I92,0))</f>
        <v>2170.0587606296617</v>
      </c>
      <c r="AJ92" s="214">
        <f>IF(AND(($E92+$C$1)&gt;AJ$4,AJ$4&gt;=$C$1),'General Inputs'!G$9*$H92,IF(AND(($D92+$C$1)&gt;AJ$4,AJ$4&gt;=$C$1),'General Inputs'!G$9*$G92,0))+IF(AND(($E92+$C$1)&gt;AJ$4,AJ$4&gt;=$C$1),'General Inputs'!G$10*$J92,IF(AND(($D92+$C$1)&gt;AJ$4,AJ$4&gt;=$C$1),'General Inputs'!G$10*$I92,0))</f>
        <v>2202.6096420391068</v>
      </c>
      <c r="AK92" s="214">
        <f>IF(AND(($E92+$C$1)&gt;AK$4,AK$4&gt;=$C$1),'General Inputs'!H$9*$H92,IF(AND(($D92+$C$1)&gt;AK$4,AK$4&gt;=$C$1),'General Inputs'!H$9*$G92,0))+IF(AND(($E92+$C$1)&gt;AK$4,AK$4&gt;=$C$1),'General Inputs'!H$10*$J92,IF(AND(($D92+$C$1)&gt;AK$4,AK$4&gt;=$C$1),'General Inputs'!H$10*$I92,0))</f>
        <v>2235.6487866696925</v>
      </c>
      <c r="AL92" s="214">
        <f>IF(AND(($E92+$C$1)&gt;AL$4,AL$4&gt;=$C$1),'General Inputs'!I$9*$H92,IF(AND(($D92+$C$1)&gt;AL$4,AL$4&gt;=$C$1),'General Inputs'!I$9*$G92,0))+IF(AND(($E92+$C$1)&gt;AL$4,AL$4&gt;=$C$1),'General Inputs'!I$10*$J92,IF(AND(($D92+$C$1)&gt;AL$4,AL$4&gt;=$C$1),'General Inputs'!I$10*$I92,0))</f>
        <v>2269.1835184697375</v>
      </c>
      <c r="AM92" s="214">
        <f>IF(AND(($E92+$C$1)&gt;AM$4,AM$4&gt;=$C$1),'General Inputs'!J$9*$H92,IF(AND(($D92+$C$1)&gt;AM$4,AM$4&gt;=$C$1),'General Inputs'!J$9*$G92,0))+IF(AND(($E92+$C$1)&gt;AM$4,AM$4&gt;=$C$1),'General Inputs'!J$10*$J92,IF(AND(($D92+$C$1)&gt;AM$4,AM$4&gt;=$C$1),'General Inputs'!J$10*$I92,0))</f>
        <v>2303.2212712467835</v>
      </c>
      <c r="AN92" s="214">
        <f>IF(AND(($E92+$C$1)&gt;AN$4,AN$4&gt;=$C$1),'General Inputs'!K$9*$H92,IF(AND(($D92+$C$1)&gt;AN$4,AN$4&gt;=$C$1),'General Inputs'!K$9*$G92,0))+IF(AND(($E92+$C$1)&gt;AN$4,AN$4&gt;=$C$1),'General Inputs'!K$10*$J92,IF(AND(($D92+$C$1)&gt;AN$4,AN$4&gt;=$C$1),'General Inputs'!K$10*$I92,0))</f>
        <v>2337.7695903154849</v>
      </c>
      <c r="AO92" s="214">
        <f>IF(AND(($E92+$C$1)&gt;AO$4,AO$4&gt;=$C$1),'General Inputs'!L$9*$H92,IF(AND(($D92+$C$1)&gt;AO$4,AO$4&gt;=$C$1),'General Inputs'!L$9*$G92,0))+IF(AND(($E92+$C$1)&gt;AO$4,AO$4&gt;=$C$1),'General Inputs'!L$10*$J92,IF(AND(($D92+$C$1)&gt;AO$4,AO$4&gt;=$C$1),'General Inputs'!L$10*$I92,0))</f>
        <v>2372.8361341702171</v>
      </c>
      <c r="AP92" s="214">
        <f>IF(AND(($E92+$C$1)&gt;AP$4,AP$4&gt;=$C$1),'General Inputs'!M$9*$H92,IF(AND(($D92+$C$1)&gt;AP$4,AP$4&gt;=$C$1),'General Inputs'!M$9*$G92,0))+IF(AND(($E92+$C$1)&gt;AP$4,AP$4&gt;=$C$1),'General Inputs'!M$10*$J92,IF(AND(($D92+$C$1)&gt;AP$4,AP$4&gt;=$C$1),'General Inputs'!M$10*$I92,0))</f>
        <v>2408.4286761827698</v>
      </c>
      <c r="AQ92" s="214">
        <f>IF(AND(($E92+$C$1)&gt;AQ$4,AQ$4&gt;=$C$1),'General Inputs'!N$9*$H92,IF(AND(($D92+$C$1)&gt;AQ$4,AQ$4&gt;=$C$1),'General Inputs'!N$9*$G92,0))+IF(AND(($E92+$C$1)&gt;AQ$4,AQ$4&gt;=$C$1),'General Inputs'!N$10*$J92,IF(AND(($D92+$C$1)&gt;AQ$4,AQ$4&gt;=$C$1),'General Inputs'!N$10*$I92,0))</f>
        <v>2444.5551063255116</v>
      </c>
      <c r="AR92" s="214">
        <f>IF(AND(($E92+$C$1)&gt;AR$4,AR$4&gt;=$C$1),'General Inputs'!O$9*$H92,IF(AND(($D92+$C$1)&gt;AR$4,AR$4&gt;=$C$1),'General Inputs'!O$9*$G92,0))+IF(AND(($E92+$C$1)&gt;AR$4,AR$4&gt;=$C$1),'General Inputs'!O$10*$J92,IF(AND(($D92+$C$1)&gt;AR$4,AR$4&gt;=$C$1),'General Inputs'!O$10*$I92,0))</f>
        <v>2481.2234329203939</v>
      </c>
      <c r="AS92" s="214">
        <f>IF(AND(($E92+$C$1)&gt;AS$4,AS$4&gt;=$C$1),'General Inputs'!P$9*$H92,IF(AND(($D92+$C$1)&gt;AS$4,AS$4&gt;=$C$1),'General Inputs'!P$9*$G92,0))+IF(AND(($E92+$C$1)&gt;AS$4,AS$4&gt;=$C$1),'General Inputs'!P$10*$J92,IF(AND(($D92+$C$1)&gt;AS$4,AS$4&gt;=$C$1),'General Inputs'!P$10*$I92,0))</f>
        <v>2518.441784414199</v>
      </c>
      <c r="AT92" s="214">
        <f>IF(AND(($E92+$C$1)&gt;AT$4,AT$4&gt;=$C$1),'General Inputs'!Q$9*$H92,IF(AND(($D92+$C$1)&gt;AT$4,AT$4&gt;=$C$1),'General Inputs'!Q$9*$G92,0))+IF(AND(($E92+$C$1)&gt;AT$4,AT$4&gt;=$C$1),'General Inputs'!Q$10*$J92,IF(AND(($D92+$C$1)&gt;AT$4,AT$4&gt;=$C$1),'General Inputs'!Q$10*$I92,0))</f>
        <v>2556.2184111804122</v>
      </c>
      <c r="AU92" s="214">
        <f>IF(AND(($E92+$C$1)&gt;AU$4,AU$4&gt;=$C$1),'General Inputs'!R$9*$H92,IF(AND(($D92+$C$1)&gt;AU$4,AU$4&gt;=$C$1),'General Inputs'!R$9*$G92,0))+IF(AND(($E92+$C$1)&gt;AU$4,AU$4&gt;=$C$1),'General Inputs'!R$10*$J92,IF(AND(($D92+$C$1)&gt;AU$4,AU$4&gt;=$C$1),'General Inputs'!R$10*$I92,0))</f>
        <v>2594.5616873481181</v>
      </c>
      <c r="AV92" s="214">
        <f>IF(AND(($E92+$C$1)&gt;AV$4,AV$4&gt;=$C$1),'General Inputs'!S$9*$H92,IF(AND(($D92+$C$1)&gt;AV$4,AV$4&gt;=$C$1),'General Inputs'!S$9*$G92,0))+IF(AND(($E92+$C$1)&gt;AV$4,AV$4&gt;=$C$1),'General Inputs'!S$10*$J92,IF(AND(($D92+$C$1)&gt;AV$4,AV$4&gt;=$C$1),'General Inputs'!S$10*$I92,0))</f>
        <v>0</v>
      </c>
      <c r="AW92" s="214">
        <f>IF(AND(($E92+$C$1)&gt;AW$4,AW$4&gt;=$C$1),'General Inputs'!T$9*$H92,IF(AND(($D92+$C$1)&gt;AW$4,AW$4&gt;=$C$1),'General Inputs'!T$9*$G92,0))+IF(AND(($E92+$C$1)&gt;AW$4,AW$4&gt;=$C$1),'General Inputs'!T$10*$J92,IF(AND(($D92+$C$1)&gt;AW$4,AW$4&gt;=$C$1),'General Inputs'!T$10*$I92,0))</f>
        <v>0</v>
      </c>
      <c r="AX92" s="214">
        <f>IF(AND(($E92+$C$1)&gt;AX$4,AX$4&gt;=$C$1),'General Inputs'!U$9*$H92,IF(AND(($D92+$C$1)&gt;AX$4,AX$4&gt;=$C$1),'General Inputs'!U$9*$G92,0))+IF(AND(($E92+$C$1)&gt;AX$4,AX$4&gt;=$C$1),'General Inputs'!U$10*$J92,IF(AND(($D92+$C$1)&gt;AX$4,AX$4&gt;=$C$1),'General Inputs'!U$10*$I92,0))</f>
        <v>0</v>
      </c>
      <c r="AY92" s="214">
        <f>IF(AND(($E92+$C$1)&gt;AY$4,AY$4&gt;=$C$1),'General Inputs'!V$9*$H92,IF(AND(($D92+$C$1)&gt;AY$4,AY$4&gt;=$C$1),'General Inputs'!V$9*$G92,0))+IF(AND(($E92+$C$1)&gt;AY$4,AY$4&gt;=$C$1),'General Inputs'!V$10*$J92,IF(AND(($D92+$C$1)&gt;AY$4,AY$4&gt;=$C$1),'General Inputs'!V$10*$I92,0))</f>
        <v>0</v>
      </c>
      <c r="AZ92" s="214">
        <f>IF(AND(($E92+$C$1)&gt;AZ$4,AZ$4&gt;=$C$1),'General Inputs'!W$9*$H92,IF(AND(($D92+$C$1)&gt;AZ$4,AZ$4&gt;=$C$1),'General Inputs'!W$9*$G92,0))+IF(AND(($E92+$C$1)&gt;AZ$4,AZ$4&gt;=$C$1),'General Inputs'!W$10*$J92,IF(AND(($D92+$C$1)&gt;AZ$4,AZ$4&gt;=$C$1),'General Inputs'!W$10*$I92,0))</f>
        <v>0</v>
      </c>
      <c r="BB92" s="214">
        <f>IF(AND(($E92+$C$1)&gt;BB$4,BB$4&gt;=$C$1),'General Inputs'!D$11*$H92,IF(AND(($D92+$C$1)&gt;BB$4,BB$4&gt;=$C$1),'General Inputs'!D$11*$G92,0))</f>
        <v>568.13214419999997</v>
      </c>
      <c r="BC92" s="214">
        <f>IF(AND(($E92+$C$1)&gt;BC$4,BC$4&gt;=$C$1),'General Inputs'!E$11*$H92,IF(AND(($D92+$C$1)&gt;BC$4,BC$4&gt;=$C$1),'General Inputs'!E$11*$G92,0))</f>
        <v>568.13214419999997</v>
      </c>
      <c r="BD92" s="214">
        <f>IF(AND(($E92+$C$1)&gt;BD$4,BD$4&gt;=$C$1),'General Inputs'!F$11*$H92,IF(AND(($D92+$C$1)&gt;BD$4,BD$4&gt;=$C$1),'General Inputs'!F$11*$G92,0))</f>
        <v>568.13214419999997</v>
      </c>
      <c r="BE92" s="214">
        <f>IF(AND(($E92+$C$1)&gt;BE$4,BE$4&gt;=$C$1),'General Inputs'!G$11*$H92,IF(AND(($D92+$C$1)&gt;BE$4,BE$4&gt;=$C$1),'General Inputs'!G$11*$G92,0))</f>
        <v>568.13214419999997</v>
      </c>
      <c r="BF92" s="214">
        <f>IF(AND(($E92+$C$1)&gt;BF$4,BF$4&gt;=$C$1),'General Inputs'!H$11*$H92,IF(AND(($D92+$C$1)&gt;BF$4,BF$4&gt;=$C$1),'General Inputs'!H$11*$G92,0))</f>
        <v>568.13214419999997</v>
      </c>
      <c r="BG92" s="214">
        <f>IF(AND(($E92+$C$1)&gt;BG$4,BG$4&gt;=$C$1),'General Inputs'!I$11*$H92,IF(AND(($D92+$C$1)&gt;BG$4,BG$4&gt;=$C$1),'General Inputs'!I$11*$G92,0))</f>
        <v>568.13214419999997</v>
      </c>
      <c r="BH92" s="214">
        <f>IF(AND(($E92+$C$1)&gt;BH$4,BH$4&gt;=$C$1),'General Inputs'!J$11*$H92,IF(AND(($D92+$C$1)&gt;BH$4,BH$4&gt;=$C$1),'General Inputs'!J$11*$G92,0))</f>
        <v>568.13214419999997</v>
      </c>
      <c r="BI92" s="214">
        <f>IF(AND(($E92+$C$1)&gt;BI$4,BI$4&gt;=$C$1),'General Inputs'!K$11*$H92,IF(AND(($D92+$C$1)&gt;BI$4,BI$4&gt;=$C$1),'General Inputs'!K$11*$G92,0))</f>
        <v>568.13214419999997</v>
      </c>
      <c r="BJ92" s="214">
        <f>IF(AND(($E92+$C$1)&gt;BJ$4,BJ$4&gt;=$C$1),'General Inputs'!L$11*$H92,IF(AND(($D92+$C$1)&gt;BJ$4,BJ$4&gt;=$C$1),'General Inputs'!L$11*$G92,0))</f>
        <v>568.13214419999997</v>
      </c>
      <c r="BK92" s="214">
        <f>IF(AND(($E92+$C$1)&gt;BK$4,BK$4&gt;=$C$1),'General Inputs'!M$11*$H92,IF(AND(($D92+$C$1)&gt;BK$4,BK$4&gt;=$C$1),'General Inputs'!M$11*$G92,0))</f>
        <v>568.13214419999997</v>
      </c>
      <c r="BL92" s="214">
        <f>IF(AND(($E92+$C$1)&gt;BL$4,BL$4&gt;=$C$1),'General Inputs'!N$11*$H92,IF(AND(($D92+$C$1)&gt;BL$4,BL$4&gt;=$C$1),'General Inputs'!N$11*$G92,0))</f>
        <v>568.13214419999997</v>
      </c>
      <c r="BM92" s="214">
        <f>IF(AND(($E92+$C$1)&gt;BM$4,BM$4&gt;=$C$1),'General Inputs'!O$11*$H92,IF(AND(($D92+$C$1)&gt;BM$4,BM$4&gt;=$C$1),'General Inputs'!O$11*$G92,0))</f>
        <v>568.13214419999997</v>
      </c>
      <c r="BN92" s="214">
        <f>IF(AND(($E92+$C$1)&gt;BN$4,BN$4&gt;=$C$1),'General Inputs'!P$11*$H92,IF(AND(($D92+$C$1)&gt;BN$4,BN$4&gt;=$C$1),'General Inputs'!P$11*$G92,0))</f>
        <v>568.13214419999997</v>
      </c>
      <c r="BO92" s="214">
        <f>IF(AND(($E92+$C$1)&gt;BO$4,BO$4&gt;=$C$1),'General Inputs'!Q$11*$H92,IF(AND(($D92+$C$1)&gt;BO$4,BO$4&gt;=$C$1),'General Inputs'!Q$11*$G92,0))</f>
        <v>568.13214419999997</v>
      </c>
      <c r="BP92" s="214">
        <f>IF(AND(($E92+$C$1)&gt;BP$4,BP$4&gt;=$C$1),'General Inputs'!R$11*$H92,IF(AND(($D92+$C$1)&gt;BP$4,BP$4&gt;=$C$1),'General Inputs'!R$11*$G92,0))</f>
        <v>568.13214419999997</v>
      </c>
      <c r="BQ92" s="214">
        <f>IF(AND(($E92+$C$1)&gt;BQ$4,BQ$4&gt;=$C$1),'General Inputs'!S$11*$H92,IF(AND(($D92+$C$1)&gt;BQ$4,BQ$4&gt;=$C$1),'General Inputs'!S$11*$G92,0))</f>
        <v>0</v>
      </c>
      <c r="BR92" s="214">
        <f>IF(AND(($E92+$C$1)&gt;BR$4,BR$4&gt;=$C$1),'General Inputs'!T$11*$H92,IF(AND(($D92+$C$1)&gt;BR$4,BR$4&gt;=$C$1),'General Inputs'!T$11*$G92,0))</f>
        <v>0</v>
      </c>
      <c r="BS92" s="214">
        <f>IF(AND(($E92+$C$1)&gt;BS$4,BS$4&gt;=$C$1),'General Inputs'!U$11*$H92,IF(AND(($D92+$C$1)&gt;BS$4,BS$4&gt;=$C$1),'General Inputs'!U$11*$G92,0))</f>
        <v>0</v>
      </c>
      <c r="BT92" s="214">
        <f>IF(AND(($E92+$C$1)&gt;BT$4,BT$4&gt;=$C$1),'General Inputs'!V$11*$H92,IF(AND(($D92+$C$1)&gt;BT$4,BT$4&gt;=$C$1),'General Inputs'!V$11*$G92,0))</f>
        <v>0</v>
      </c>
      <c r="BU92" s="214">
        <f>IF(AND(($E92+$C$1)&gt;BU$4,BU$4&gt;=$C$1),'General Inputs'!W$11*$H92,IF(AND(($D92+$C$1)&gt;BU$4,BU$4&gt;=$C$1),'General Inputs'!W$11*$G92,0))</f>
        <v>0</v>
      </c>
      <c r="BW92" s="214">
        <f>IF(AND(($E92+$C$1)&gt;BW$4,BW$4&gt;=$C$1),$H92,IF(AND(($D92+$C$1)&gt;BW$4,BW$4&gt;=$C$1),$G92,0))*IF($A92="Residential",'General Inputs'!D$14,'General Inputs'!D$19)</f>
        <v>5206.2258660261496</v>
      </c>
      <c r="BX92" s="214">
        <f>IF(AND(($E92+$C$1)&gt;BX$4,BX$4&gt;=$C$1),$H92,IF(AND(($D92+$C$1)&gt;BX$4,BX$4&gt;=$C$1),$G92,0))*IF($A92="Residential",'General Inputs'!E$14,'General Inputs'!E$19)</f>
        <v>5284.3192540165419</v>
      </c>
      <c r="BY92" s="214">
        <f>IF(AND(($E92+$C$1)&gt;BY$4,BY$4&gt;=$C$1),$H92,IF(AND(($D92+$C$1)&gt;BY$4,BY$4&gt;=$C$1),$G92,0))*IF($A92="Residential",'General Inputs'!F$14,'General Inputs'!F$19)</f>
        <v>5363.5840428267902</v>
      </c>
      <c r="BZ92" s="214">
        <f>IF(AND(($E92+$C$1)&gt;BZ$4,BZ$4&gt;=$C$1),$H92,IF(AND(($D92+$C$1)&gt;BZ$4,BZ$4&gt;=$C$1),$G92,0))*IF($A92="Residential",'General Inputs'!G$14,'General Inputs'!G$19)</f>
        <v>5444.0378034691912</v>
      </c>
      <c r="CA92" s="214">
        <f>IF(AND(($E92+$C$1)&gt;CA$4,CA$4&gt;=$C$1),$H92,IF(AND(($D92+$C$1)&gt;CA$4,CA$4&gt;=$C$1),$G92,0))*IF($A92="Residential",'General Inputs'!H$14,'General Inputs'!H$19)</f>
        <v>5525.6983705212278</v>
      </c>
      <c r="CB92" s="214">
        <f>IF(AND(($E92+$C$1)&gt;CB$4,CB$4&gt;=$C$1),$H92,IF(AND(($D92+$C$1)&gt;CB$4,CB$4&gt;=$C$1),$G92,0))*IF($A92="Residential",'General Inputs'!I$14,'General Inputs'!I$19)</f>
        <v>5608.5838460790455</v>
      </c>
      <c r="CC92" s="214">
        <f>IF(AND(($E92+$C$1)&gt;CC$4,CC$4&gt;=$C$1),$H92,IF(AND(($D92+$C$1)&gt;CC$4,CC$4&gt;=$C$1),$G92,0))*IF($A92="Residential",'General Inputs'!J$14,'General Inputs'!J$19)</f>
        <v>5692.712603770231</v>
      </c>
      <c r="CD92" s="214">
        <f>IF(AND(($E92+$C$1)&gt;CD$4,CD$4&gt;=$C$1),$H92,IF(AND(($D92+$C$1)&gt;CD$4,CD$4&gt;=$C$1),$G92,0))*IF($A92="Residential",'General Inputs'!K$14,'General Inputs'!K$19)</f>
        <v>5778.1032928267832</v>
      </c>
      <c r="CE92" s="214">
        <f>IF(AND(($E92+$C$1)&gt;CE$4,CE$4&gt;=$C$1),$H92,IF(AND(($D92+$C$1)&gt;CE$4,CE$4&gt;=$C$1),$G92,0))*IF($A92="Residential",'General Inputs'!L$14,'General Inputs'!L$19)</f>
        <v>5864.7748422191844</v>
      </c>
      <c r="CF92" s="214">
        <f>IF(AND(($E92+$C$1)&gt;CF$4,CF$4&gt;=$C$1),$H92,IF(AND(($D92+$C$1)&gt;CF$4,CF$4&gt;=$C$1),$G92,0))*IF($A92="Residential",'General Inputs'!M$14,'General Inputs'!M$19)</f>
        <v>5952.7464648524719</v>
      </c>
      <c r="CG92" s="214">
        <f>IF(AND(($E92+$C$1)&gt;CG$4,CG$4&gt;=$C$1),$H92,IF(AND(($D92+$C$1)&gt;CG$4,CG$4&gt;=$C$1),$G92,0))*IF($A92="Residential",'General Inputs'!N$14,'General Inputs'!N$19)</f>
        <v>6042.0376618252594</v>
      </c>
      <c r="CH92" s="214">
        <f>IF(AND(($E92+$C$1)&gt;CH$4,CH$4&gt;=$C$1),$H92,IF(AND(($D92+$C$1)&gt;CH$4,CH$4&gt;=$C$1),$G92,0))*IF($A92="Residential",'General Inputs'!O$14,'General Inputs'!O$19)</f>
        <v>6132.6682267526367</v>
      </c>
      <c r="CI92" s="214">
        <f>IF(AND(($E92+$C$1)&gt;CI$4,CI$4&gt;=$C$1),$H92,IF(AND(($D92+$C$1)&gt;CI$4,CI$4&gt;=$C$1),$G92,0))*IF($A92="Residential",'General Inputs'!P$14,'General Inputs'!P$19)</f>
        <v>6224.658250153926</v>
      </c>
      <c r="CJ92" s="214">
        <f>IF(AND(($E92+$C$1)&gt;CJ$4,CJ$4&gt;=$C$1),$H92,IF(AND(($D92+$C$1)&gt;CJ$4,CJ$4&gt;=$C$1),$G92,0))*IF($A92="Residential",'General Inputs'!Q$14,'General Inputs'!Q$19)</f>
        <v>6318.0281239062342</v>
      </c>
      <c r="CK92" s="214">
        <f>IF(AND(($E92+$C$1)&gt;CK$4,CK$4&gt;=$C$1),$H92,IF(AND(($D92+$C$1)&gt;CK$4,CK$4&gt;=$C$1),$G92,0))*IF($A92="Residential",'General Inputs'!R$14,'General Inputs'!R$19)</f>
        <v>6412.7985457648265</v>
      </c>
      <c r="CL92" s="214">
        <f>IF(AND(($E92+$C$1)&gt;CL$4,CL$4&gt;=$C$1),$H92,IF(AND(($D92+$C$1)&gt;CL$4,CL$4&gt;=$C$1),$G92,0))*IF($A92="Residential",'General Inputs'!S$14,'General Inputs'!S$19)</f>
        <v>0</v>
      </c>
      <c r="CM92" s="214">
        <f>IF(AND(($E92+$C$1)&gt;CM$4,CM$4&gt;=$C$1),$H92,IF(AND(($D92+$C$1)&gt;CM$4,CM$4&gt;=$C$1),$G92,0))*IF($A92="Residential",'General Inputs'!T$14,'General Inputs'!T$19)</f>
        <v>0</v>
      </c>
      <c r="CN92" s="214">
        <f>IF(AND(($E92+$C$1)&gt;CN$4,CN$4&gt;=$C$1),$H92,IF(AND(($D92+$C$1)&gt;CN$4,CN$4&gt;=$C$1),$G92,0))*IF($A92="Residential",'General Inputs'!U$14,'General Inputs'!U$19)</f>
        <v>0</v>
      </c>
      <c r="CO92" s="214">
        <f>IF(AND(($E92+$C$1)&gt;CO$4,CO$4&gt;=$C$1),$H92,IF(AND(($D92+$C$1)&gt;CO$4,CO$4&gt;=$C$1),$G92,0))*IF($A92="Residential",'General Inputs'!V$14,'General Inputs'!V$19)</f>
        <v>0</v>
      </c>
      <c r="CP92" s="214">
        <f>IF(AND(($E92+$C$1)&gt;CP$4,CP$4&gt;=$C$1),$H92,IF(AND(($D92+$C$1)&gt;CP$4,CP$4&gt;=$C$1),$G92,0))*IF($A92="Residential",'General Inputs'!W$14,'General Inputs'!W$19)</f>
        <v>0</v>
      </c>
      <c r="CR92" s="214">
        <f>IF(AND(($E92+$C$1)&gt;CR$4,CR$4&gt;=$C$1),$H92,IF(AND(($D92+$C$1)&gt;CR$4,CR$4&gt;=$C$1),$G92,0))*IF($A92="Residential",'General Inputs'!D$15,'General Inputs'!D$19)</f>
        <v>5206.2258660261496</v>
      </c>
      <c r="CS92" s="214">
        <f>IF(AND(($E92+$C$1)&gt;CS$4,CS$4&gt;=$C$1),$H92,IF(AND(($D92+$C$1)&gt;CS$4,CS$4&gt;=$C$1),$G92,0))*IF($A92="Residential",'General Inputs'!E$15,'General Inputs'!E$19)</f>
        <v>5284.3192540165419</v>
      </c>
      <c r="CT92" s="214">
        <f>IF(AND(($E92+$C$1)&gt;CT$4,CT$4&gt;=$C$1),$H92,IF(AND(($D92+$C$1)&gt;CT$4,CT$4&gt;=$C$1),$G92,0))*IF($A92="Residential",'General Inputs'!F$15,'General Inputs'!F$19)</f>
        <v>5363.5840428267902</v>
      </c>
      <c r="CU92" s="214">
        <f>IF(AND(($E92+$C$1)&gt;CU$4,CU$4&gt;=$C$1),$H92,IF(AND(($D92+$C$1)&gt;CU$4,CU$4&gt;=$C$1),$G92,0))*IF($A92="Residential",'General Inputs'!G$15,'General Inputs'!G$19)</f>
        <v>5444.0378034691912</v>
      </c>
      <c r="CV92" s="214">
        <f>IF(AND(($E92+$C$1)&gt;CV$4,CV$4&gt;=$C$1),$H92,IF(AND(($D92+$C$1)&gt;CV$4,CV$4&gt;=$C$1),$G92,0))*IF($A92="Residential",'General Inputs'!H$15,'General Inputs'!H$19)</f>
        <v>5525.6983705212278</v>
      </c>
      <c r="CW92" s="214">
        <f>IF(AND(($E92+$C$1)&gt;CW$4,CW$4&gt;=$C$1),$H92,IF(AND(($D92+$C$1)&gt;CW$4,CW$4&gt;=$C$1),$G92,0))*IF($A92="Residential",'General Inputs'!I$15,'General Inputs'!I$19)</f>
        <v>5608.5838460790455</v>
      </c>
      <c r="CX92" s="214">
        <f>IF(AND(($E92+$C$1)&gt;CX$4,CX$4&gt;=$C$1),$H92,IF(AND(($D92+$C$1)&gt;CX$4,CX$4&gt;=$C$1),$G92,0))*IF($A92="Residential",'General Inputs'!J$15,'General Inputs'!J$19)</f>
        <v>5692.712603770231</v>
      </c>
      <c r="CY92" s="214">
        <f>IF(AND(($E92+$C$1)&gt;CY$4,CY$4&gt;=$C$1),$H92,IF(AND(($D92+$C$1)&gt;CY$4,CY$4&gt;=$C$1),$G92,0))*IF($A92="Residential",'General Inputs'!K$15,'General Inputs'!K$19)</f>
        <v>5778.1032928267832</v>
      </c>
      <c r="CZ92" s="214">
        <f>IF(AND(($E92+$C$1)&gt;CZ$4,CZ$4&gt;=$C$1),$H92,IF(AND(($D92+$C$1)&gt;CZ$4,CZ$4&gt;=$C$1),$G92,0))*IF($A92="Residential",'General Inputs'!L$15,'General Inputs'!L$19)</f>
        <v>5864.7748422191844</v>
      </c>
      <c r="DA92" s="214">
        <f>IF(AND(($E92+$C$1)&gt;DA$4,DA$4&gt;=$C$1),$H92,IF(AND(($D92+$C$1)&gt;DA$4,DA$4&gt;=$C$1),$G92,0))*IF($A92="Residential",'General Inputs'!M$15,'General Inputs'!M$19)</f>
        <v>5952.7464648524719</v>
      </c>
      <c r="DB92" s="214">
        <f>IF(AND(($E92+$C$1)&gt;DB$4,DB$4&gt;=$C$1),$H92,IF(AND(($D92+$C$1)&gt;DB$4,DB$4&gt;=$C$1),$G92,0))*IF($A92="Residential",'General Inputs'!N$15,'General Inputs'!N$19)</f>
        <v>6042.0376618252594</v>
      </c>
      <c r="DC92" s="214">
        <f>IF(AND(($E92+$C$1)&gt;DC$4,DC$4&gt;=$C$1),$H92,IF(AND(($D92+$C$1)&gt;DC$4,DC$4&gt;=$C$1),$G92,0))*IF($A92="Residential",'General Inputs'!O$15,'General Inputs'!O$19)</f>
        <v>6132.6682267526367</v>
      </c>
      <c r="DD92" s="214">
        <f>IF(AND(($E92+$C$1)&gt;DD$4,DD$4&gt;=$C$1),$H92,IF(AND(($D92+$C$1)&gt;DD$4,DD$4&gt;=$C$1),$G92,0))*IF($A92="Residential",'General Inputs'!P$15,'General Inputs'!P$19)</f>
        <v>6224.658250153926</v>
      </c>
      <c r="DE92" s="214">
        <f>IF(AND(($E92+$C$1)&gt;DE$4,DE$4&gt;=$C$1),$H92,IF(AND(($D92+$C$1)&gt;DE$4,DE$4&gt;=$C$1),$G92,0))*IF($A92="Residential",'General Inputs'!Q$15,'General Inputs'!Q$19)</f>
        <v>6318.0281239062342</v>
      </c>
      <c r="DF92" s="214">
        <f>IF(AND(($E92+$C$1)&gt;DF$4,DF$4&gt;=$C$1),$H92,IF(AND(($D92+$C$1)&gt;DF$4,DF$4&gt;=$C$1),$G92,0))*IF($A92="Residential",'General Inputs'!R$15,'General Inputs'!R$19)</f>
        <v>6412.7985457648265</v>
      </c>
      <c r="DG92" s="214">
        <f>IF(AND(($E92+$C$1)&gt;DG$4,DG$4&gt;=$C$1),$H92,IF(AND(($D92+$C$1)&gt;DG$4,DG$4&gt;=$C$1),$G92,0))*IF($A92="Residential",'General Inputs'!S$15,'General Inputs'!S$19)</f>
        <v>0</v>
      </c>
      <c r="DH92" s="214">
        <f>IF(AND(($E92+$C$1)&gt;DH$4,DH$4&gt;=$C$1),$H92,IF(AND(($D92+$C$1)&gt;DH$4,DH$4&gt;=$C$1),$G92,0))*IF($A92="Residential",'General Inputs'!T$15,'General Inputs'!T$19)</f>
        <v>0</v>
      </c>
      <c r="DI92" s="214">
        <f>IF(AND(($E92+$C$1)&gt;DI$4,DI$4&gt;=$C$1),$H92,IF(AND(($D92+$C$1)&gt;DI$4,DI$4&gt;=$C$1),$G92,0))*IF($A92="Residential",'General Inputs'!U$15,'General Inputs'!U$19)</f>
        <v>0</v>
      </c>
      <c r="DJ92" s="214">
        <f>IF(AND(($E92+$C$1)&gt;DJ$4,DJ$4&gt;=$C$1),$H92,IF(AND(($D92+$C$1)&gt;DJ$4,DJ$4&gt;=$C$1),$G92,0))*IF($A92="Residential",'General Inputs'!V$15,'General Inputs'!V$19)</f>
        <v>0</v>
      </c>
      <c r="DK92" s="214">
        <f>IF(AND(($E92+$C$1)&gt;DK$4,DK$4&gt;=$C$1),$H92,IF(AND(($D92+$C$1)&gt;DK$4,DK$4&gt;=$C$1),$G92,0))*IF($A92="Residential",'General Inputs'!W$15,'General Inputs'!W$19)</f>
        <v>0</v>
      </c>
      <c r="DM92" s="214">
        <f t="shared" ref="DM92:DW93" si="521">IF($C$1=DM$4,$L92*$C92,IF($E92+$C$1=DM$4,-$M92*$C92,0))</f>
        <v>17626</v>
      </c>
      <c r="DN92" s="214">
        <f t="shared" si="521"/>
        <v>0</v>
      </c>
      <c r="DO92" s="214">
        <f t="shared" si="521"/>
        <v>0</v>
      </c>
      <c r="DP92" s="214">
        <f t="shared" si="521"/>
        <v>0</v>
      </c>
      <c r="DQ92" s="214">
        <f t="shared" si="521"/>
        <v>0</v>
      </c>
      <c r="DR92" s="214">
        <f t="shared" si="521"/>
        <v>0</v>
      </c>
      <c r="DS92" s="214">
        <f t="shared" si="521"/>
        <v>0</v>
      </c>
      <c r="DT92" s="214">
        <f t="shared" si="521"/>
        <v>0</v>
      </c>
      <c r="DU92" s="214">
        <f t="shared" si="521"/>
        <v>0</v>
      </c>
      <c r="DV92" s="214">
        <f t="shared" si="521"/>
        <v>0</v>
      </c>
      <c r="DW92" s="214">
        <f t="shared" si="521"/>
        <v>0</v>
      </c>
      <c r="DZ92" s="650"/>
      <c r="FI92" s="195"/>
      <c r="FJ92" s="195"/>
      <c r="FK92" s="195"/>
      <c r="FL92" s="195"/>
      <c r="FM92" s="195"/>
      <c r="FN92" s="195"/>
      <c r="FO92" s="195"/>
    </row>
    <row r="93" spans="1:171">
      <c r="A93" s="342" t="s">
        <v>112</v>
      </c>
      <c r="B93" s="427" t="str">
        <f>'Portfolio Inputs'!A92</f>
        <v>VFD Pump</v>
      </c>
      <c r="C93" s="217">
        <f>IF($C$1=2014,'Portfolio Inputs'!$C92,IF($C$1=2015,'Portfolio Inputs'!$D92,'Portfolio Inputs'!$E92))</f>
        <v>1</v>
      </c>
      <c r="D93" s="504">
        <f>VLOOKUP(B93,Sources!$B$4:$J$104,2,FALSE)</f>
        <v>15</v>
      </c>
      <c r="E93" s="504">
        <f>VLOOKUP(B93,Sources!$B$4:$J$104,3,FALSE)</f>
        <v>0</v>
      </c>
      <c r="G93" s="504">
        <f>IF($C$1=2014,'Portfolio Inputs'!$G92,IF($C$1=2015,'Portfolio Inputs'!$H92,'Portfolio Inputs'!$I92))*EnergyLineLoss</f>
        <v>14027.705999999998</v>
      </c>
      <c r="H93" s="504"/>
      <c r="I93" s="595">
        <f>IF($C$1=2014,'Portfolio Inputs'!$K92,IF($C$1=2015,'Portfolio Inputs'!$L92,'Portfolio Inputs'!$M92))*PeakLineLoss</f>
        <v>2.35490193</v>
      </c>
      <c r="J93" s="510"/>
      <c r="L93" s="606">
        <f>IF($C$1=2014,'Portfolio Inputs'!$O92,IF($C$1=2015,'Portfolio Inputs'!$P92,'Portfolio Inputs'!$Q92))</f>
        <v>2518</v>
      </c>
      <c r="M93" s="518">
        <f>VLOOKUP($B93,Sources!$B$4:$K$104,10,FALSE)</f>
        <v>0</v>
      </c>
      <c r="N93" s="419">
        <f>IF($C$1=2014,'Portfolio Inputs'!$W92,IF($C$1=2015,'Portfolio Inputs'!$X92,'Portfolio Inputs'!$Y92))</f>
        <v>750</v>
      </c>
      <c r="O93" s="419">
        <f>IF($C$1=2014,'Portfolio Inputs'!$AA92,IF($C$1=2015,'Portfolio Inputs'!$AB92,'Portfolio Inputs'!$AC92))</f>
        <v>0</v>
      </c>
      <c r="Q93" s="436">
        <f t="shared" si="290"/>
        <v>2.2696235531298892</v>
      </c>
      <c r="R93" s="437">
        <f t="shared" si="291"/>
        <v>7.6198828090414148</v>
      </c>
      <c r="S93" s="437">
        <f t="shared" si="292"/>
        <v>2.8321067879419615</v>
      </c>
      <c r="T93" s="437">
        <f t="shared" si="293"/>
        <v>5.8996182185047976</v>
      </c>
      <c r="U93" s="439">
        <f t="shared" si="518"/>
        <v>5.8996182185047976</v>
      </c>
      <c r="V93" s="439">
        <f t="shared" si="294"/>
        <v>0.38470685204865745</v>
      </c>
      <c r="W93" s="439">
        <f t="shared" si="295"/>
        <v>0.38470685204865745</v>
      </c>
      <c r="Y93" s="215">
        <f t="shared" si="509"/>
        <v>5714.9121067810611</v>
      </c>
      <c r="Z93" s="215">
        <f t="shared" si="510"/>
        <v>1416.3327852567986</v>
      </c>
      <c r="AA93" s="215">
        <f t="shared" si="511"/>
        <v>14105.238674195081</v>
      </c>
      <c r="AB93" s="215">
        <f t="shared" si="512"/>
        <v>14105.238674195081</v>
      </c>
      <c r="AC93" s="216">
        <f t="shared" si="519"/>
        <v>0</v>
      </c>
      <c r="AD93" s="216">
        <f t="shared" si="520"/>
        <v>750</v>
      </c>
      <c r="AE93" s="215">
        <f t="shared" si="381"/>
        <v>2518</v>
      </c>
      <c r="AG93" s="214">
        <f>IF(AND(($E93+$C$1)&gt;AG$4,AG$4&gt;=$C$1),'General Inputs'!D$9*$H93,IF(AND(($D93+$C$1)&gt;AG$4,AG$4&gt;=$C$1),'General Inputs'!D$9*$G93,0))+IF(AND(($E93+$C$1)&gt;AG$4,AG$4&gt;=$C$1),'General Inputs'!D$10*$J93,IF(AND(($D93+$C$1)&gt;AG$4,AG$4&gt;=$C$1),'General Inputs'!D$10*$I93,0))</f>
        <v>593.7372087621294</v>
      </c>
      <c r="AH93" s="214">
        <f>IF(AND(($E93+$C$1)&gt;AH$4,AH$4&gt;=$C$1),'General Inputs'!E$9*$H93,IF(AND(($D93+$C$1)&gt;AH$4,AH$4&gt;=$C$1),'General Inputs'!E$9*$G93,0))+IF(AND(($E93+$C$1)&gt;AH$4,AH$4&gt;=$C$1),'General Inputs'!E$10*$J93,IF(AND(($D93+$C$1)&gt;AH$4,AH$4&gt;=$C$1),'General Inputs'!E$10*$I93,0))</f>
        <v>602.6432668935613</v>
      </c>
      <c r="AI93" s="214">
        <f>IF(AND(($E93+$C$1)&gt;AI$4,AI$4&gt;=$C$1),'General Inputs'!F$9*$H93,IF(AND(($D93+$C$1)&gt;AI$4,AI$4&gt;=$C$1),'General Inputs'!F$9*$G93,0))+IF(AND(($E93+$C$1)&gt;AI$4,AI$4&gt;=$C$1),'General Inputs'!F$10*$J93,IF(AND(($D93+$C$1)&gt;AI$4,AI$4&gt;=$C$1),'General Inputs'!F$10*$I93,0))</f>
        <v>611.68291589696457</v>
      </c>
      <c r="AJ93" s="214">
        <f>IF(AND(($E93+$C$1)&gt;AJ$4,AJ$4&gt;=$C$1),'General Inputs'!G$9*$H93,IF(AND(($D93+$C$1)&gt;AJ$4,AJ$4&gt;=$C$1),'General Inputs'!G$9*$G93,0))+IF(AND(($E93+$C$1)&gt;AJ$4,AJ$4&gt;=$C$1),'General Inputs'!G$10*$J93,IF(AND(($D93+$C$1)&gt;AJ$4,AJ$4&gt;=$C$1),'General Inputs'!G$10*$I93,0))</f>
        <v>620.85815963541893</v>
      </c>
      <c r="AK93" s="214">
        <f>IF(AND(($E93+$C$1)&gt;AK$4,AK$4&gt;=$C$1),'General Inputs'!H$9*$H93,IF(AND(($D93+$C$1)&gt;AK$4,AK$4&gt;=$C$1),'General Inputs'!H$9*$G93,0))+IF(AND(($E93+$C$1)&gt;AK$4,AK$4&gt;=$C$1),'General Inputs'!H$10*$J93,IF(AND(($D93+$C$1)&gt;AK$4,AK$4&gt;=$C$1),'General Inputs'!H$10*$I93,0))</f>
        <v>630.17103202995031</v>
      </c>
      <c r="AL93" s="214">
        <f>IF(AND(($E93+$C$1)&gt;AL$4,AL$4&gt;=$C$1),'General Inputs'!I$9*$H93,IF(AND(($D93+$C$1)&gt;AL$4,AL$4&gt;=$C$1),'General Inputs'!I$9*$G93,0))+IF(AND(($E93+$C$1)&gt;AL$4,AL$4&gt;=$C$1),'General Inputs'!I$10*$J93,IF(AND(($D93+$C$1)&gt;AL$4,AL$4&gt;=$C$1),'General Inputs'!I$10*$I93,0))</f>
        <v>639.62359751039935</v>
      </c>
      <c r="AM93" s="214">
        <f>IF(AND(($E93+$C$1)&gt;AM$4,AM$4&gt;=$C$1),'General Inputs'!J$9*$H93,IF(AND(($D93+$C$1)&gt;AM$4,AM$4&gt;=$C$1),'General Inputs'!J$9*$G93,0))+IF(AND(($E93+$C$1)&gt;AM$4,AM$4&gt;=$C$1),'General Inputs'!J$10*$J93,IF(AND(($D93+$C$1)&gt;AM$4,AM$4&gt;=$C$1),'General Inputs'!J$10*$I93,0))</f>
        <v>649.21795147305534</v>
      </c>
      <c r="AN93" s="214">
        <f>IF(AND(($E93+$C$1)&gt;AN$4,AN$4&gt;=$C$1),'General Inputs'!K$9*$H93,IF(AND(($D93+$C$1)&gt;AN$4,AN$4&gt;=$C$1),'General Inputs'!K$9*$G93,0))+IF(AND(($E93+$C$1)&gt;AN$4,AN$4&gt;=$C$1),'General Inputs'!K$10*$J93,IF(AND(($D93+$C$1)&gt;AN$4,AN$4&gt;=$C$1),'General Inputs'!K$10*$I93,0))</f>
        <v>658.95622074515109</v>
      </c>
      <c r="AO93" s="214">
        <f>IF(AND(($E93+$C$1)&gt;AO$4,AO$4&gt;=$C$1),'General Inputs'!L$9*$H93,IF(AND(($D93+$C$1)&gt;AO$4,AO$4&gt;=$C$1),'General Inputs'!L$9*$G93,0))+IF(AND(($E93+$C$1)&gt;AO$4,AO$4&gt;=$C$1),'General Inputs'!L$10*$J93,IF(AND(($D93+$C$1)&gt;AO$4,AO$4&gt;=$C$1),'General Inputs'!L$10*$I93,0))</f>
        <v>668.84056405632828</v>
      </c>
      <c r="AP93" s="214">
        <f>IF(AND(($E93+$C$1)&gt;AP$4,AP$4&gt;=$C$1),'General Inputs'!M$9*$H93,IF(AND(($D93+$C$1)&gt;AP$4,AP$4&gt;=$C$1),'General Inputs'!M$9*$G93,0))+IF(AND(($E93+$C$1)&gt;AP$4,AP$4&gt;=$C$1),'General Inputs'!M$10*$J93,IF(AND(($D93+$C$1)&gt;AP$4,AP$4&gt;=$C$1),'General Inputs'!M$10*$I93,0))</f>
        <v>678.87317251717309</v>
      </c>
      <c r="AQ93" s="214">
        <f>IF(AND(($E93+$C$1)&gt;AQ$4,AQ$4&gt;=$C$1),'General Inputs'!N$9*$H93,IF(AND(($D93+$C$1)&gt;AQ$4,AQ$4&gt;=$C$1),'General Inputs'!N$9*$G93,0))+IF(AND(($E93+$C$1)&gt;AQ$4,AQ$4&gt;=$C$1),'General Inputs'!N$10*$J93,IF(AND(($D93+$C$1)&gt;AQ$4,AQ$4&gt;=$C$1),'General Inputs'!N$10*$I93,0))</f>
        <v>689.0562701049306</v>
      </c>
      <c r="AR93" s="214">
        <f>IF(AND(($E93+$C$1)&gt;AR$4,AR$4&gt;=$C$1),'General Inputs'!O$9*$H93,IF(AND(($D93+$C$1)&gt;AR$4,AR$4&gt;=$C$1),'General Inputs'!O$9*$G93,0))+IF(AND(($E93+$C$1)&gt;AR$4,AR$4&gt;=$C$1),'General Inputs'!O$10*$J93,IF(AND(($D93+$C$1)&gt;AR$4,AR$4&gt;=$C$1),'General Inputs'!O$10*$I93,0))</f>
        <v>699.39211415650448</v>
      </c>
      <c r="AS93" s="214">
        <f>IF(AND(($E93+$C$1)&gt;AS$4,AS$4&gt;=$C$1),'General Inputs'!P$9*$H93,IF(AND(($D93+$C$1)&gt;AS$4,AS$4&gt;=$C$1),'General Inputs'!P$9*$G93,0))+IF(AND(($E93+$C$1)&gt;AS$4,AS$4&gt;=$C$1),'General Inputs'!P$10*$J93,IF(AND(($D93+$C$1)&gt;AS$4,AS$4&gt;=$C$1),'General Inputs'!P$10*$I93,0))</f>
        <v>709.88299586885194</v>
      </c>
      <c r="AT93" s="214">
        <f>IF(AND(($E93+$C$1)&gt;AT$4,AT$4&gt;=$C$1),'General Inputs'!Q$9*$H93,IF(AND(($D93+$C$1)&gt;AT$4,AT$4&gt;=$C$1),'General Inputs'!Q$9*$G93,0))+IF(AND(($E93+$C$1)&gt;AT$4,AT$4&gt;=$C$1),'General Inputs'!Q$10*$J93,IF(AND(($D93+$C$1)&gt;AT$4,AT$4&gt;=$C$1),'General Inputs'!Q$10*$I93,0))</f>
        <v>720.53124080688463</v>
      </c>
      <c r="AU93" s="214">
        <f>IF(AND(($E93+$C$1)&gt;AU$4,AU$4&gt;=$C$1),'General Inputs'!R$9*$H93,IF(AND(($D93+$C$1)&gt;AU$4,AU$4&gt;=$C$1),'General Inputs'!R$9*$G93,0))+IF(AND(($E93+$C$1)&gt;AU$4,AU$4&gt;=$C$1),'General Inputs'!R$10*$J93,IF(AND(($D93+$C$1)&gt;AU$4,AU$4&gt;=$C$1),'General Inputs'!R$10*$I93,0))</f>
        <v>731.33920941898793</v>
      </c>
      <c r="AV93" s="214">
        <f>IF(AND(($E93+$C$1)&gt;AV$4,AV$4&gt;=$C$1),'General Inputs'!S$9*$H93,IF(AND(($D93+$C$1)&gt;AV$4,AV$4&gt;=$C$1),'General Inputs'!S$9*$G93,0))+IF(AND(($E93+$C$1)&gt;AV$4,AV$4&gt;=$C$1),'General Inputs'!S$10*$J93,IF(AND(($D93+$C$1)&gt;AV$4,AV$4&gt;=$C$1),'General Inputs'!S$10*$I93,0))</f>
        <v>0</v>
      </c>
      <c r="AW93" s="214">
        <f>IF(AND(($E93+$C$1)&gt;AW$4,AW$4&gt;=$C$1),'General Inputs'!T$9*$H93,IF(AND(($D93+$C$1)&gt;AW$4,AW$4&gt;=$C$1),'General Inputs'!T$9*$G93,0))+IF(AND(($E93+$C$1)&gt;AW$4,AW$4&gt;=$C$1),'General Inputs'!T$10*$J93,IF(AND(($D93+$C$1)&gt;AW$4,AW$4&gt;=$C$1),'General Inputs'!T$10*$I93,0))</f>
        <v>0</v>
      </c>
      <c r="AX93" s="214">
        <f>IF(AND(($E93+$C$1)&gt;AX$4,AX$4&gt;=$C$1),'General Inputs'!U$9*$H93,IF(AND(($D93+$C$1)&gt;AX$4,AX$4&gt;=$C$1),'General Inputs'!U$9*$G93,0))+IF(AND(($E93+$C$1)&gt;AX$4,AX$4&gt;=$C$1),'General Inputs'!U$10*$J93,IF(AND(($D93+$C$1)&gt;AX$4,AX$4&gt;=$C$1),'General Inputs'!U$10*$I93,0))</f>
        <v>0</v>
      </c>
      <c r="AY93" s="214">
        <f>IF(AND(($E93+$C$1)&gt;AY$4,AY$4&gt;=$C$1),'General Inputs'!V$9*$H93,IF(AND(($D93+$C$1)&gt;AY$4,AY$4&gt;=$C$1),'General Inputs'!V$9*$G93,0))+IF(AND(($E93+$C$1)&gt;AY$4,AY$4&gt;=$C$1),'General Inputs'!V$10*$J93,IF(AND(($D93+$C$1)&gt;AY$4,AY$4&gt;=$C$1),'General Inputs'!V$10*$I93,0))</f>
        <v>0</v>
      </c>
      <c r="AZ93" s="214">
        <f>IF(AND(($E93+$C$1)&gt;AZ$4,AZ$4&gt;=$C$1),'General Inputs'!W$9*$H93,IF(AND(($D93+$C$1)&gt;AZ$4,AZ$4&gt;=$C$1),'General Inputs'!W$9*$G93,0))+IF(AND(($E93+$C$1)&gt;AZ$4,AZ$4&gt;=$C$1),'General Inputs'!W$10*$J93,IF(AND(($D93+$C$1)&gt;AZ$4,AZ$4&gt;=$C$1),'General Inputs'!W$10*$I93,0))</f>
        <v>0</v>
      </c>
      <c r="BB93" s="214">
        <f>IF(AND(($E93+$C$1)&gt;BB$4,BB$4&gt;=$C$1),'General Inputs'!D$11*$H93,IF(AND(($D93+$C$1)&gt;BB$4,BB$4&gt;=$C$1),'General Inputs'!D$11*$G93,0))</f>
        <v>159.91584839999999</v>
      </c>
      <c r="BC93" s="214">
        <f>IF(AND(($E93+$C$1)&gt;BC$4,BC$4&gt;=$C$1),'General Inputs'!E$11*$H93,IF(AND(($D93+$C$1)&gt;BC$4,BC$4&gt;=$C$1),'General Inputs'!E$11*$G93,0))</f>
        <v>159.91584839999999</v>
      </c>
      <c r="BD93" s="214">
        <f>IF(AND(($E93+$C$1)&gt;BD$4,BD$4&gt;=$C$1),'General Inputs'!F$11*$H93,IF(AND(($D93+$C$1)&gt;BD$4,BD$4&gt;=$C$1),'General Inputs'!F$11*$G93,0))</f>
        <v>159.91584839999999</v>
      </c>
      <c r="BE93" s="214">
        <f>IF(AND(($E93+$C$1)&gt;BE$4,BE$4&gt;=$C$1),'General Inputs'!G$11*$H93,IF(AND(($D93+$C$1)&gt;BE$4,BE$4&gt;=$C$1),'General Inputs'!G$11*$G93,0))</f>
        <v>159.91584839999999</v>
      </c>
      <c r="BF93" s="214">
        <f>IF(AND(($E93+$C$1)&gt;BF$4,BF$4&gt;=$C$1),'General Inputs'!H$11*$H93,IF(AND(($D93+$C$1)&gt;BF$4,BF$4&gt;=$C$1),'General Inputs'!H$11*$G93,0))</f>
        <v>159.91584839999999</v>
      </c>
      <c r="BG93" s="214">
        <f>IF(AND(($E93+$C$1)&gt;BG$4,BG$4&gt;=$C$1),'General Inputs'!I$11*$H93,IF(AND(($D93+$C$1)&gt;BG$4,BG$4&gt;=$C$1),'General Inputs'!I$11*$G93,0))</f>
        <v>159.91584839999999</v>
      </c>
      <c r="BH93" s="214">
        <f>IF(AND(($E93+$C$1)&gt;BH$4,BH$4&gt;=$C$1),'General Inputs'!J$11*$H93,IF(AND(($D93+$C$1)&gt;BH$4,BH$4&gt;=$C$1),'General Inputs'!J$11*$G93,0))</f>
        <v>159.91584839999999</v>
      </c>
      <c r="BI93" s="214">
        <f>IF(AND(($E93+$C$1)&gt;BI$4,BI$4&gt;=$C$1),'General Inputs'!K$11*$H93,IF(AND(($D93+$C$1)&gt;BI$4,BI$4&gt;=$C$1),'General Inputs'!K$11*$G93,0))</f>
        <v>159.91584839999999</v>
      </c>
      <c r="BJ93" s="214">
        <f>IF(AND(($E93+$C$1)&gt;BJ$4,BJ$4&gt;=$C$1),'General Inputs'!L$11*$H93,IF(AND(($D93+$C$1)&gt;BJ$4,BJ$4&gt;=$C$1),'General Inputs'!L$11*$G93,0))</f>
        <v>159.91584839999999</v>
      </c>
      <c r="BK93" s="214">
        <f>IF(AND(($E93+$C$1)&gt;BK$4,BK$4&gt;=$C$1),'General Inputs'!M$11*$H93,IF(AND(($D93+$C$1)&gt;BK$4,BK$4&gt;=$C$1),'General Inputs'!M$11*$G93,0))</f>
        <v>159.91584839999999</v>
      </c>
      <c r="BL93" s="214">
        <f>IF(AND(($E93+$C$1)&gt;BL$4,BL$4&gt;=$C$1),'General Inputs'!N$11*$H93,IF(AND(($D93+$C$1)&gt;BL$4,BL$4&gt;=$C$1),'General Inputs'!N$11*$G93,0))</f>
        <v>159.91584839999999</v>
      </c>
      <c r="BM93" s="214">
        <f>IF(AND(($E93+$C$1)&gt;BM$4,BM$4&gt;=$C$1),'General Inputs'!O$11*$H93,IF(AND(($D93+$C$1)&gt;BM$4,BM$4&gt;=$C$1),'General Inputs'!O$11*$G93,0))</f>
        <v>159.91584839999999</v>
      </c>
      <c r="BN93" s="214">
        <f>IF(AND(($E93+$C$1)&gt;BN$4,BN$4&gt;=$C$1),'General Inputs'!P$11*$H93,IF(AND(($D93+$C$1)&gt;BN$4,BN$4&gt;=$C$1),'General Inputs'!P$11*$G93,0))</f>
        <v>159.91584839999999</v>
      </c>
      <c r="BO93" s="214">
        <f>IF(AND(($E93+$C$1)&gt;BO$4,BO$4&gt;=$C$1),'General Inputs'!Q$11*$H93,IF(AND(($D93+$C$1)&gt;BO$4,BO$4&gt;=$C$1),'General Inputs'!Q$11*$G93,0))</f>
        <v>159.91584839999999</v>
      </c>
      <c r="BP93" s="214">
        <f>IF(AND(($E93+$C$1)&gt;BP$4,BP$4&gt;=$C$1),'General Inputs'!R$11*$H93,IF(AND(($D93+$C$1)&gt;BP$4,BP$4&gt;=$C$1),'General Inputs'!R$11*$G93,0))</f>
        <v>159.91584839999999</v>
      </c>
      <c r="BQ93" s="214">
        <f>IF(AND(($E93+$C$1)&gt;BQ$4,BQ$4&gt;=$C$1),'General Inputs'!S$11*$H93,IF(AND(($D93+$C$1)&gt;BQ$4,BQ$4&gt;=$C$1),'General Inputs'!S$11*$G93,0))</f>
        <v>0</v>
      </c>
      <c r="BR93" s="214">
        <f>IF(AND(($E93+$C$1)&gt;BR$4,BR$4&gt;=$C$1),'General Inputs'!T$11*$H93,IF(AND(($D93+$C$1)&gt;BR$4,BR$4&gt;=$C$1),'General Inputs'!T$11*$G93,0))</f>
        <v>0</v>
      </c>
      <c r="BS93" s="214">
        <f>IF(AND(($E93+$C$1)&gt;BS$4,BS$4&gt;=$C$1),'General Inputs'!U$11*$H93,IF(AND(($D93+$C$1)&gt;BS$4,BS$4&gt;=$C$1),'General Inputs'!U$11*$G93,0))</f>
        <v>0</v>
      </c>
      <c r="BT93" s="214">
        <f>IF(AND(($E93+$C$1)&gt;BT$4,BT$4&gt;=$C$1),'General Inputs'!V$11*$H93,IF(AND(($D93+$C$1)&gt;BT$4,BT$4&gt;=$C$1),'General Inputs'!V$11*$G93,0))</f>
        <v>0</v>
      </c>
      <c r="BU93" s="214">
        <f>IF(AND(($E93+$C$1)&gt;BU$4,BU$4&gt;=$C$1),'General Inputs'!W$11*$H93,IF(AND(($D93+$C$1)&gt;BU$4,BU$4&gt;=$C$1),'General Inputs'!W$11*$G93,0))</f>
        <v>0</v>
      </c>
      <c r="BW93" s="214">
        <f>IF(AND(($E93+$C$1)&gt;BW$4,BW$4&gt;=$C$1),$H93,IF(AND(($D93+$C$1)&gt;BW$4,BW$4&gt;=$C$1),$G93,0))*IF($A93="Residential",'General Inputs'!D$14,'General Inputs'!D$19)</f>
        <v>1465.430243345834</v>
      </c>
      <c r="BX93" s="214">
        <f>IF(AND(($E93+$C$1)&gt;BX$4,BX$4&gt;=$C$1),$H93,IF(AND(($D93+$C$1)&gt;BX$4,BX$4&gt;=$C$1),$G93,0))*IF($A93="Residential",'General Inputs'!E$14,'General Inputs'!E$19)</f>
        <v>1487.4116969960212</v>
      </c>
      <c r="BY93" s="214">
        <f>IF(AND(($E93+$C$1)&gt;BY$4,BY$4&gt;=$C$1),$H93,IF(AND(($D93+$C$1)&gt;BY$4,BY$4&gt;=$C$1),$G93,0))*IF($A93="Residential",'General Inputs'!F$14,'General Inputs'!F$19)</f>
        <v>1509.7228724509616</v>
      </c>
      <c r="BZ93" s="214">
        <f>IF(AND(($E93+$C$1)&gt;BZ$4,BZ$4&gt;=$C$1),$H93,IF(AND(($D93+$C$1)&gt;BZ$4,BZ$4&gt;=$C$1),$G93,0))*IF($A93="Residential",'General Inputs'!G$14,'General Inputs'!G$19)</f>
        <v>1532.3687155377261</v>
      </c>
      <c r="CA93" s="214">
        <f>IF(AND(($E93+$C$1)&gt;CA$4,CA$4&gt;=$C$1),$H93,IF(AND(($D93+$C$1)&gt;CA$4,CA$4&gt;=$C$1),$G93,0))*IF($A93="Residential",'General Inputs'!H$14,'General Inputs'!H$19)</f>
        <v>1555.3542462707915</v>
      </c>
      <c r="CB93" s="214">
        <f>IF(AND(($E93+$C$1)&gt;CB$4,CB$4&gt;=$C$1),$H93,IF(AND(($D93+$C$1)&gt;CB$4,CB$4&gt;=$C$1),$G93,0))*IF($A93="Residential",'General Inputs'!I$14,'General Inputs'!I$19)</f>
        <v>1578.6845599648532</v>
      </c>
      <c r="CC93" s="214">
        <f>IF(AND(($E93+$C$1)&gt;CC$4,CC$4&gt;=$C$1),$H93,IF(AND(($D93+$C$1)&gt;CC$4,CC$4&gt;=$C$1),$G93,0))*IF($A93="Residential",'General Inputs'!J$14,'General Inputs'!J$19)</f>
        <v>1602.3648283643258</v>
      </c>
      <c r="CD93" s="214">
        <f>IF(AND(($E93+$C$1)&gt;CD$4,CD$4&gt;=$C$1),$H93,IF(AND(($D93+$C$1)&gt;CD$4,CD$4&gt;=$C$1),$G93,0))*IF($A93="Residential",'General Inputs'!K$14,'General Inputs'!K$19)</f>
        <v>1626.4003007897904</v>
      </c>
      <c r="CE93" s="214">
        <f>IF(AND(($E93+$C$1)&gt;CE$4,CE$4&gt;=$C$1),$H93,IF(AND(($D93+$C$1)&gt;CE$4,CE$4&gt;=$C$1),$G93,0))*IF($A93="Residential",'General Inputs'!L$14,'General Inputs'!L$19)</f>
        <v>1650.7963053016372</v>
      </c>
      <c r="CF93" s="214">
        <f>IF(AND(($E93+$C$1)&gt;CF$4,CF$4&gt;=$C$1),$H93,IF(AND(($D93+$C$1)&gt;CF$4,CF$4&gt;=$C$1),$G93,0))*IF($A93="Residential",'General Inputs'!M$14,'General Inputs'!M$19)</f>
        <v>1675.5582498811616</v>
      </c>
      <c r="CG93" s="214">
        <f>IF(AND(($E93+$C$1)&gt;CG$4,CG$4&gt;=$C$1),$H93,IF(AND(($D93+$C$1)&gt;CG$4,CG$4&gt;=$C$1),$G93,0))*IF($A93="Residential",'General Inputs'!N$14,'General Inputs'!N$19)</f>
        <v>1700.6916236293791</v>
      </c>
      <c r="CH93" s="214">
        <f>IF(AND(($E93+$C$1)&gt;CH$4,CH$4&gt;=$C$1),$H93,IF(AND(($D93+$C$1)&gt;CH$4,CH$4&gt;=$C$1),$G93,0))*IF($A93="Residential",'General Inputs'!O$14,'General Inputs'!O$19)</f>
        <v>1726.2019979838194</v>
      </c>
      <c r="CI93" s="214">
        <f>IF(AND(($E93+$C$1)&gt;CI$4,CI$4&gt;=$C$1),$H93,IF(AND(($D93+$C$1)&gt;CI$4,CI$4&gt;=$C$1),$G93,0))*IF($A93="Residential",'General Inputs'!P$14,'General Inputs'!P$19)</f>
        <v>1752.0950279535766</v>
      </c>
      <c r="CJ93" s="214">
        <f>IF(AND(($E93+$C$1)&gt;CJ$4,CJ$4&gt;=$C$1),$H93,IF(AND(($D93+$C$1)&gt;CJ$4,CJ$4&gt;=$C$1),$G93,0))*IF($A93="Residential",'General Inputs'!Q$14,'General Inputs'!Q$19)</f>
        <v>1778.3764533728802</v>
      </c>
      <c r="CK93" s="214">
        <f>IF(AND(($E93+$C$1)&gt;CK$4,CK$4&gt;=$C$1),$H93,IF(AND(($D93+$C$1)&gt;CK$4,CK$4&gt;=$C$1),$G93,0))*IF($A93="Residential",'General Inputs'!R$14,'General Inputs'!R$19)</f>
        <v>1805.052100173473</v>
      </c>
      <c r="CL93" s="214">
        <f>IF(AND(($E93+$C$1)&gt;CL$4,CL$4&gt;=$C$1),$H93,IF(AND(($D93+$C$1)&gt;CL$4,CL$4&gt;=$C$1),$G93,0))*IF($A93="Residential",'General Inputs'!S$14,'General Inputs'!S$19)</f>
        <v>0</v>
      </c>
      <c r="CM93" s="214">
        <f>IF(AND(($E93+$C$1)&gt;CM$4,CM$4&gt;=$C$1),$H93,IF(AND(($D93+$C$1)&gt;CM$4,CM$4&gt;=$C$1),$G93,0))*IF($A93="Residential",'General Inputs'!T$14,'General Inputs'!T$19)</f>
        <v>0</v>
      </c>
      <c r="CN93" s="214">
        <f>IF(AND(($E93+$C$1)&gt;CN$4,CN$4&gt;=$C$1),$H93,IF(AND(($D93+$C$1)&gt;CN$4,CN$4&gt;=$C$1),$G93,0))*IF($A93="Residential",'General Inputs'!U$14,'General Inputs'!U$19)</f>
        <v>0</v>
      </c>
      <c r="CO93" s="214">
        <f>IF(AND(($E93+$C$1)&gt;CO$4,CO$4&gt;=$C$1),$H93,IF(AND(($D93+$C$1)&gt;CO$4,CO$4&gt;=$C$1),$G93,0))*IF($A93="Residential",'General Inputs'!V$14,'General Inputs'!V$19)</f>
        <v>0</v>
      </c>
      <c r="CP93" s="214">
        <f>IF(AND(($E93+$C$1)&gt;CP$4,CP$4&gt;=$C$1),$H93,IF(AND(($D93+$C$1)&gt;CP$4,CP$4&gt;=$C$1),$G93,0))*IF($A93="Residential",'General Inputs'!W$14,'General Inputs'!W$19)</f>
        <v>0</v>
      </c>
      <c r="CR93" s="214">
        <f>IF(AND(($E93+$C$1)&gt;CR$4,CR$4&gt;=$C$1),$H93,IF(AND(($D93+$C$1)&gt;CR$4,CR$4&gt;=$C$1),$G93,0))*IF($A93="Residential",'General Inputs'!D$15,'General Inputs'!D$19)</f>
        <v>1465.430243345834</v>
      </c>
      <c r="CS93" s="214">
        <f>IF(AND(($E93+$C$1)&gt;CS$4,CS$4&gt;=$C$1),$H93,IF(AND(($D93+$C$1)&gt;CS$4,CS$4&gt;=$C$1),$G93,0))*IF($A93="Residential",'General Inputs'!E$15,'General Inputs'!E$19)</f>
        <v>1487.4116969960212</v>
      </c>
      <c r="CT93" s="214">
        <f>IF(AND(($E93+$C$1)&gt;CT$4,CT$4&gt;=$C$1),$H93,IF(AND(($D93+$C$1)&gt;CT$4,CT$4&gt;=$C$1),$G93,0))*IF($A93="Residential",'General Inputs'!F$15,'General Inputs'!F$19)</f>
        <v>1509.7228724509616</v>
      </c>
      <c r="CU93" s="214">
        <f>IF(AND(($E93+$C$1)&gt;CU$4,CU$4&gt;=$C$1),$H93,IF(AND(($D93+$C$1)&gt;CU$4,CU$4&gt;=$C$1),$G93,0))*IF($A93="Residential",'General Inputs'!G$15,'General Inputs'!G$19)</f>
        <v>1532.3687155377261</v>
      </c>
      <c r="CV93" s="214">
        <f>IF(AND(($E93+$C$1)&gt;CV$4,CV$4&gt;=$C$1),$H93,IF(AND(($D93+$C$1)&gt;CV$4,CV$4&gt;=$C$1),$G93,0))*IF($A93="Residential",'General Inputs'!H$15,'General Inputs'!H$19)</f>
        <v>1555.3542462707915</v>
      </c>
      <c r="CW93" s="214">
        <f>IF(AND(($E93+$C$1)&gt;CW$4,CW$4&gt;=$C$1),$H93,IF(AND(($D93+$C$1)&gt;CW$4,CW$4&gt;=$C$1),$G93,0))*IF($A93="Residential",'General Inputs'!I$15,'General Inputs'!I$19)</f>
        <v>1578.6845599648532</v>
      </c>
      <c r="CX93" s="214">
        <f>IF(AND(($E93+$C$1)&gt;CX$4,CX$4&gt;=$C$1),$H93,IF(AND(($D93+$C$1)&gt;CX$4,CX$4&gt;=$C$1),$G93,0))*IF($A93="Residential",'General Inputs'!J$15,'General Inputs'!J$19)</f>
        <v>1602.3648283643258</v>
      </c>
      <c r="CY93" s="214">
        <f>IF(AND(($E93+$C$1)&gt;CY$4,CY$4&gt;=$C$1),$H93,IF(AND(($D93+$C$1)&gt;CY$4,CY$4&gt;=$C$1),$G93,0))*IF($A93="Residential",'General Inputs'!K$15,'General Inputs'!K$19)</f>
        <v>1626.4003007897904</v>
      </c>
      <c r="CZ93" s="214">
        <f>IF(AND(($E93+$C$1)&gt;CZ$4,CZ$4&gt;=$C$1),$H93,IF(AND(($D93+$C$1)&gt;CZ$4,CZ$4&gt;=$C$1),$G93,0))*IF($A93="Residential",'General Inputs'!L$15,'General Inputs'!L$19)</f>
        <v>1650.7963053016372</v>
      </c>
      <c r="DA93" s="214">
        <f>IF(AND(($E93+$C$1)&gt;DA$4,DA$4&gt;=$C$1),$H93,IF(AND(($D93+$C$1)&gt;DA$4,DA$4&gt;=$C$1),$G93,0))*IF($A93="Residential",'General Inputs'!M$15,'General Inputs'!M$19)</f>
        <v>1675.5582498811616</v>
      </c>
      <c r="DB93" s="214">
        <f>IF(AND(($E93+$C$1)&gt;DB$4,DB$4&gt;=$C$1),$H93,IF(AND(($D93+$C$1)&gt;DB$4,DB$4&gt;=$C$1),$G93,0))*IF($A93="Residential",'General Inputs'!N$15,'General Inputs'!N$19)</f>
        <v>1700.6916236293791</v>
      </c>
      <c r="DC93" s="214">
        <f>IF(AND(($E93+$C$1)&gt;DC$4,DC$4&gt;=$C$1),$H93,IF(AND(($D93+$C$1)&gt;DC$4,DC$4&gt;=$C$1),$G93,0))*IF($A93="Residential",'General Inputs'!O$15,'General Inputs'!O$19)</f>
        <v>1726.2019979838194</v>
      </c>
      <c r="DD93" s="214">
        <f>IF(AND(($E93+$C$1)&gt;DD$4,DD$4&gt;=$C$1),$H93,IF(AND(($D93+$C$1)&gt;DD$4,DD$4&gt;=$C$1),$G93,0))*IF($A93="Residential",'General Inputs'!P$15,'General Inputs'!P$19)</f>
        <v>1752.0950279535766</v>
      </c>
      <c r="DE93" s="214">
        <f>IF(AND(($E93+$C$1)&gt;DE$4,DE$4&gt;=$C$1),$H93,IF(AND(($D93+$C$1)&gt;DE$4,DE$4&gt;=$C$1),$G93,0))*IF($A93="Residential",'General Inputs'!Q$15,'General Inputs'!Q$19)</f>
        <v>1778.3764533728802</v>
      </c>
      <c r="DF93" s="214">
        <f>IF(AND(($E93+$C$1)&gt;DF$4,DF$4&gt;=$C$1),$H93,IF(AND(($D93+$C$1)&gt;DF$4,DF$4&gt;=$C$1),$G93,0))*IF($A93="Residential",'General Inputs'!R$15,'General Inputs'!R$19)</f>
        <v>1805.052100173473</v>
      </c>
      <c r="DG93" s="214">
        <f>IF(AND(($E93+$C$1)&gt;DG$4,DG$4&gt;=$C$1),$H93,IF(AND(($D93+$C$1)&gt;DG$4,DG$4&gt;=$C$1),$G93,0))*IF($A93="Residential",'General Inputs'!S$15,'General Inputs'!S$19)</f>
        <v>0</v>
      </c>
      <c r="DH93" s="214">
        <f>IF(AND(($E93+$C$1)&gt;DH$4,DH$4&gt;=$C$1),$H93,IF(AND(($D93+$C$1)&gt;DH$4,DH$4&gt;=$C$1),$G93,0))*IF($A93="Residential",'General Inputs'!T$15,'General Inputs'!T$19)</f>
        <v>0</v>
      </c>
      <c r="DI93" s="214">
        <f>IF(AND(($E93+$C$1)&gt;DI$4,DI$4&gt;=$C$1),$H93,IF(AND(($D93+$C$1)&gt;DI$4,DI$4&gt;=$C$1),$G93,0))*IF($A93="Residential",'General Inputs'!U$15,'General Inputs'!U$19)</f>
        <v>0</v>
      </c>
      <c r="DJ93" s="214">
        <f>IF(AND(($E93+$C$1)&gt;DJ$4,DJ$4&gt;=$C$1),$H93,IF(AND(($D93+$C$1)&gt;DJ$4,DJ$4&gt;=$C$1),$G93,0))*IF($A93="Residential",'General Inputs'!V$15,'General Inputs'!V$19)</f>
        <v>0</v>
      </c>
      <c r="DK93" s="214">
        <f>IF(AND(($E93+$C$1)&gt;DK$4,DK$4&gt;=$C$1),$H93,IF(AND(($D93+$C$1)&gt;DK$4,DK$4&gt;=$C$1),$G93,0))*IF($A93="Residential",'General Inputs'!W$15,'General Inputs'!W$19)</f>
        <v>0</v>
      </c>
      <c r="DM93" s="214">
        <f t="shared" si="521"/>
        <v>2518</v>
      </c>
      <c r="DN93" s="214">
        <f t="shared" si="521"/>
        <v>0</v>
      </c>
      <c r="DO93" s="214">
        <f t="shared" si="521"/>
        <v>0</v>
      </c>
      <c r="DP93" s="214">
        <f t="shared" si="521"/>
        <v>0</v>
      </c>
      <c r="DQ93" s="214">
        <f t="shared" si="521"/>
        <v>0</v>
      </c>
      <c r="DR93" s="214">
        <f t="shared" si="521"/>
        <v>0</v>
      </c>
      <c r="DS93" s="214">
        <f t="shared" si="521"/>
        <v>0</v>
      </c>
      <c r="DT93" s="214">
        <f t="shared" si="521"/>
        <v>0</v>
      </c>
      <c r="DU93" s="214">
        <f t="shared" si="521"/>
        <v>0</v>
      </c>
      <c r="DV93" s="214">
        <f t="shared" si="521"/>
        <v>0</v>
      </c>
      <c r="DW93" s="214">
        <f t="shared" si="521"/>
        <v>0</v>
      </c>
      <c r="DZ93" s="650"/>
      <c r="FI93" s="195"/>
      <c r="FJ93" s="195"/>
      <c r="FK93" s="195"/>
      <c r="FL93" s="195"/>
      <c r="FM93" s="195"/>
      <c r="FN93" s="195"/>
      <c r="FO93" s="195"/>
    </row>
    <row r="94" spans="1:171" s="449" customFormat="1">
      <c r="A94" s="435" t="s">
        <v>112</v>
      </c>
      <c r="B94" s="428" t="str">
        <f>'Portfolio Inputs'!A93</f>
        <v>Motors</v>
      </c>
      <c r="C94" s="454">
        <f>IF($C$1=2014,'Portfolio Inputs'!$C93,IF($C$1=2015,'Portfolio Inputs'!$D93,'Portfolio Inputs'!$E93))</f>
        <v>2</v>
      </c>
      <c r="D94" s="505"/>
      <c r="E94" s="505"/>
      <c r="F94" s="2"/>
      <c r="G94" s="515">
        <f t="shared" ref="G94:I94" si="522">SUM(G95:G96)</f>
        <v>61304.991000000002</v>
      </c>
      <c r="H94" s="515"/>
      <c r="I94" s="512">
        <f t="shared" si="522"/>
        <v>13.642409999999998</v>
      </c>
      <c r="J94" s="512"/>
      <c r="K94" s="2"/>
      <c r="L94" s="455"/>
      <c r="M94" s="455"/>
      <c r="N94" s="455">
        <f>IF($C$1=2014,'Portfolio Inputs'!$W93,IF($C$1=2015,'Portfolio Inputs'!$X93,'Portfolio Inputs'!$Y93))</f>
        <v>135</v>
      </c>
      <c r="O94" s="455">
        <f>IF($C$1=2014,'Portfolio Inputs'!$AA93,IF($C$1=2015,'Portfolio Inputs'!$AB93,'Portfolio Inputs'!$AC93))</f>
        <v>0</v>
      </c>
      <c r="P94" s="16"/>
      <c r="Q94" s="433">
        <f t="shared" si="290"/>
        <v>110.69007152603201</v>
      </c>
      <c r="R94" s="434">
        <f t="shared" si="291"/>
        <v>188.5830848221286</v>
      </c>
      <c r="S94" s="434">
        <f t="shared" si="292"/>
        <v>137.6021134190924</v>
      </c>
      <c r="T94" s="434">
        <f t="shared" si="293"/>
        <v>268.60361056164919</v>
      </c>
      <c r="U94" s="434">
        <f>IF(AE94&gt;0,(AD94+AB94)/AE94,"n/a")</f>
        <v>268.60361056164919</v>
      </c>
      <c r="V94" s="523">
        <f t="shared" si="294"/>
        <v>0.41209450347513749</v>
      </c>
      <c r="W94" s="523">
        <f t="shared" si="295"/>
        <v>0.41209450347513749</v>
      </c>
      <c r="X94" s="16"/>
      <c r="Y94" s="447">
        <f t="shared" si="509"/>
        <v>25458.716450987362</v>
      </c>
      <c r="Z94" s="447">
        <f t="shared" si="510"/>
        <v>6189.7696354038926</v>
      </c>
      <c r="AA94" s="447">
        <f t="shared" si="511"/>
        <v>61643.83042917931</v>
      </c>
      <c r="AB94" s="447">
        <f t="shared" si="512"/>
        <v>61643.83042917931</v>
      </c>
      <c r="AC94" s="448">
        <f t="shared" si="519"/>
        <v>0</v>
      </c>
      <c r="AD94" s="448">
        <f t="shared" si="520"/>
        <v>135</v>
      </c>
      <c r="AE94" s="525">
        <f t="shared" ref="AE94:AE96" si="523">DM94+NPV(DiscountRate,DN94:DW94)</f>
        <v>230</v>
      </c>
      <c r="AF94" s="16"/>
      <c r="AG94" s="432">
        <f>SUM(AG95:AG96)</f>
        <v>2644.9728293003873</v>
      </c>
      <c r="AH94" s="432">
        <f t="shared" ref="AH94:AZ94" si="524">SUM(AH95:AH96)</f>
        <v>2684.6474217398932</v>
      </c>
      <c r="AI94" s="432">
        <f t="shared" si="524"/>
        <v>2724.9171330659906</v>
      </c>
      <c r="AJ94" s="432">
        <f t="shared" si="524"/>
        <v>2765.7908900619805</v>
      </c>
      <c r="AK94" s="432">
        <f t="shared" si="524"/>
        <v>2807.27775341291</v>
      </c>
      <c r="AL94" s="432">
        <f t="shared" si="524"/>
        <v>2849.3869197141034</v>
      </c>
      <c r="AM94" s="432">
        <f t="shared" si="524"/>
        <v>2892.1277235098146</v>
      </c>
      <c r="AN94" s="432">
        <f t="shared" si="524"/>
        <v>2935.5096393624608</v>
      </c>
      <c r="AO94" s="432">
        <f t="shared" si="524"/>
        <v>2979.5422839528978</v>
      </c>
      <c r="AP94" s="432">
        <f t="shared" si="524"/>
        <v>3024.2354182121908</v>
      </c>
      <c r="AQ94" s="432">
        <f t="shared" si="524"/>
        <v>3069.5989494853734</v>
      </c>
      <c r="AR94" s="432">
        <f t="shared" si="524"/>
        <v>3115.6429337276536</v>
      </c>
      <c r="AS94" s="432">
        <f t="shared" si="524"/>
        <v>3162.3775777335682</v>
      </c>
      <c r="AT94" s="432">
        <f t="shared" si="524"/>
        <v>3209.8132413995713</v>
      </c>
      <c r="AU94" s="432">
        <f t="shared" si="524"/>
        <v>3257.9604400205649</v>
      </c>
      <c r="AV94" s="432">
        <f t="shared" si="524"/>
        <v>0</v>
      </c>
      <c r="AW94" s="432">
        <f t="shared" si="524"/>
        <v>0</v>
      </c>
      <c r="AX94" s="432">
        <f t="shared" si="524"/>
        <v>0</v>
      </c>
      <c r="AY94" s="432">
        <f t="shared" si="524"/>
        <v>0</v>
      </c>
      <c r="AZ94" s="432">
        <f t="shared" si="524"/>
        <v>0</v>
      </c>
      <c r="BA94" s="16"/>
      <c r="BB94" s="432">
        <f>SUM(BB95:BB96)</f>
        <v>698.87689739999996</v>
      </c>
      <c r="BC94" s="432">
        <f t="shared" ref="BC94:BU94" si="525">SUM(BC95:BC96)</f>
        <v>698.87689739999996</v>
      </c>
      <c r="BD94" s="432">
        <f t="shared" si="525"/>
        <v>698.87689739999996</v>
      </c>
      <c r="BE94" s="432">
        <f t="shared" si="525"/>
        <v>698.87689739999996</v>
      </c>
      <c r="BF94" s="432">
        <f t="shared" si="525"/>
        <v>698.87689739999996</v>
      </c>
      <c r="BG94" s="432">
        <f t="shared" si="525"/>
        <v>698.87689739999996</v>
      </c>
      <c r="BH94" s="432">
        <f t="shared" si="525"/>
        <v>698.87689739999996</v>
      </c>
      <c r="BI94" s="432">
        <f t="shared" si="525"/>
        <v>698.87689739999996</v>
      </c>
      <c r="BJ94" s="432">
        <f t="shared" si="525"/>
        <v>698.87689739999996</v>
      </c>
      <c r="BK94" s="432">
        <f t="shared" si="525"/>
        <v>698.87689739999996</v>
      </c>
      <c r="BL94" s="432">
        <f t="shared" si="525"/>
        <v>698.87689739999996</v>
      </c>
      <c r="BM94" s="432">
        <f t="shared" si="525"/>
        <v>698.87689739999996</v>
      </c>
      <c r="BN94" s="432">
        <f t="shared" si="525"/>
        <v>698.87689739999996</v>
      </c>
      <c r="BO94" s="432">
        <f t="shared" si="525"/>
        <v>698.87689739999996</v>
      </c>
      <c r="BP94" s="432">
        <f t="shared" si="525"/>
        <v>698.87689739999996</v>
      </c>
      <c r="BQ94" s="432">
        <f t="shared" si="525"/>
        <v>0</v>
      </c>
      <c r="BR94" s="432">
        <f t="shared" si="525"/>
        <v>0</v>
      </c>
      <c r="BS94" s="432">
        <f t="shared" si="525"/>
        <v>0</v>
      </c>
      <c r="BT94" s="432">
        <f t="shared" si="525"/>
        <v>0</v>
      </c>
      <c r="BU94" s="432">
        <f t="shared" si="525"/>
        <v>0</v>
      </c>
      <c r="BV94" s="16"/>
      <c r="BW94" s="432">
        <f>SUM(BW95:BW96)</f>
        <v>6404.3392326189451</v>
      </c>
      <c r="BX94" s="432">
        <f t="shared" ref="BX94:CP94" si="526">SUM(BX95:BX96)</f>
        <v>6500.404321108228</v>
      </c>
      <c r="BY94" s="432">
        <f t="shared" si="526"/>
        <v>6597.9103859248526</v>
      </c>
      <c r="BZ94" s="432">
        <f t="shared" si="526"/>
        <v>6696.8790417137243</v>
      </c>
      <c r="CA94" s="432">
        <f t="shared" si="526"/>
        <v>6797.3322273394288</v>
      </c>
      <c r="CB94" s="432">
        <f t="shared" si="526"/>
        <v>6899.2922107495187</v>
      </c>
      <c r="CC94" s="432">
        <f t="shared" si="526"/>
        <v>7002.7815939107613</v>
      </c>
      <c r="CD94" s="432">
        <f t="shared" si="526"/>
        <v>7107.8233178194214</v>
      </c>
      <c r="CE94" s="432">
        <f t="shared" si="526"/>
        <v>7214.4406675867131</v>
      </c>
      <c r="CF94" s="432">
        <f t="shared" si="526"/>
        <v>7322.6572776005123</v>
      </c>
      <c r="CG94" s="432">
        <f t="shared" si="526"/>
        <v>7432.4971367645203</v>
      </c>
      <c r="CH94" s="432">
        <f t="shared" si="526"/>
        <v>7543.984593815987</v>
      </c>
      <c r="CI94" s="432">
        <f t="shared" si="526"/>
        <v>7657.1443627232265</v>
      </c>
      <c r="CJ94" s="432">
        <f t="shared" si="526"/>
        <v>7772.0015281640735</v>
      </c>
      <c r="CK94" s="432">
        <f t="shared" si="526"/>
        <v>7888.5815510865332</v>
      </c>
      <c r="CL94" s="432">
        <f t="shared" si="526"/>
        <v>0</v>
      </c>
      <c r="CM94" s="432">
        <f t="shared" si="526"/>
        <v>0</v>
      </c>
      <c r="CN94" s="432">
        <f t="shared" si="526"/>
        <v>0</v>
      </c>
      <c r="CO94" s="432">
        <f t="shared" si="526"/>
        <v>0</v>
      </c>
      <c r="CP94" s="432">
        <f t="shared" si="526"/>
        <v>0</v>
      </c>
      <c r="CQ94" s="16"/>
      <c r="CR94" s="432">
        <f>SUM(CR95:CR96)</f>
        <v>6404.3392326189451</v>
      </c>
      <c r="CS94" s="432">
        <f t="shared" ref="CS94:DK94" si="527">SUM(CS95:CS96)</f>
        <v>6500.404321108228</v>
      </c>
      <c r="CT94" s="432">
        <f t="shared" si="527"/>
        <v>6597.9103859248526</v>
      </c>
      <c r="CU94" s="432">
        <f t="shared" si="527"/>
        <v>6696.8790417137243</v>
      </c>
      <c r="CV94" s="432">
        <f t="shared" si="527"/>
        <v>6797.3322273394288</v>
      </c>
      <c r="CW94" s="432">
        <f t="shared" si="527"/>
        <v>6899.2922107495187</v>
      </c>
      <c r="CX94" s="432">
        <f t="shared" si="527"/>
        <v>7002.7815939107613</v>
      </c>
      <c r="CY94" s="432">
        <f t="shared" si="527"/>
        <v>7107.8233178194214</v>
      </c>
      <c r="CZ94" s="432">
        <f t="shared" si="527"/>
        <v>7214.4406675867131</v>
      </c>
      <c r="DA94" s="432">
        <f t="shared" si="527"/>
        <v>7322.6572776005123</v>
      </c>
      <c r="DB94" s="432">
        <f t="shared" si="527"/>
        <v>7432.4971367645203</v>
      </c>
      <c r="DC94" s="432">
        <f t="shared" si="527"/>
        <v>7543.984593815987</v>
      </c>
      <c r="DD94" s="432">
        <f t="shared" si="527"/>
        <v>7657.1443627232265</v>
      </c>
      <c r="DE94" s="432">
        <f t="shared" si="527"/>
        <v>7772.0015281640735</v>
      </c>
      <c r="DF94" s="432">
        <f t="shared" si="527"/>
        <v>7888.5815510865332</v>
      </c>
      <c r="DG94" s="432">
        <f t="shared" si="527"/>
        <v>0</v>
      </c>
      <c r="DH94" s="432">
        <f t="shared" si="527"/>
        <v>0</v>
      </c>
      <c r="DI94" s="432">
        <f t="shared" si="527"/>
        <v>0</v>
      </c>
      <c r="DJ94" s="432">
        <f t="shared" si="527"/>
        <v>0</v>
      </c>
      <c r="DK94" s="432">
        <f t="shared" si="527"/>
        <v>0</v>
      </c>
      <c r="DL94" s="16"/>
      <c r="DM94" s="432">
        <f t="shared" ref="DM94:DW94" si="528">SUM(DM95:DM96)</f>
        <v>230</v>
      </c>
      <c r="DN94" s="432">
        <f t="shared" si="528"/>
        <v>0</v>
      </c>
      <c r="DO94" s="432">
        <f t="shared" si="528"/>
        <v>0</v>
      </c>
      <c r="DP94" s="432">
        <f t="shared" si="528"/>
        <v>0</v>
      </c>
      <c r="DQ94" s="432">
        <f t="shared" si="528"/>
        <v>0</v>
      </c>
      <c r="DR94" s="432">
        <f t="shared" si="528"/>
        <v>0</v>
      </c>
      <c r="DS94" s="432">
        <f t="shared" si="528"/>
        <v>0</v>
      </c>
      <c r="DT94" s="432">
        <f t="shared" si="528"/>
        <v>0</v>
      </c>
      <c r="DU94" s="432">
        <f t="shared" si="528"/>
        <v>0</v>
      </c>
      <c r="DV94" s="432">
        <f t="shared" si="528"/>
        <v>0</v>
      </c>
      <c r="DW94" s="432">
        <f t="shared" si="528"/>
        <v>0</v>
      </c>
      <c r="DX94" s="16"/>
      <c r="DY94" s="16"/>
      <c r="DZ94" s="650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</row>
    <row r="95" spans="1:171">
      <c r="A95" s="342" t="s">
        <v>112</v>
      </c>
      <c r="B95" s="427" t="str">
        <f>'Portfolio Inputs'!A94</f>
        <v>ODC Motor</v>
      </c>
      <c r="C95" s="217">
        <f>IF($C$1=2014,'Portfolio Inputs'!$C94,IF($C$1=2015,'Portfolio Inputs'!$D94,'Portfolio Inputs'!$E94))</f>
        <v>1</v>
      </c>
      <c r="D95" s="504">
        <f>VLOOKUP(B95,Sources!$B$4:$J$104,2,FALSE)</f>
        <v>15</v>
      </c>
      <c r="E95" s="504">
        <f>VLOOKUP(B95,Sources!$B$4:$J$104,3,FALSE)</f>
        <v>0</v>
      </c>
      <c r="G95" s="504">
        <f>IF($C$1=2014,'Portfolio Inputs'!$G94,IF($C$1=2015,'Portfolio Inputs'!$H94,'Portfolio Inputs'!$I94))*EnergyLineLoss</f>
        <v>61192.962</v>
      </c>
      <c r="H95" s="504"/>
      <c r="I95" s="595">
        <f>IF($C$1=2014,'Portfolio Inputs'!$K94,IF($C$1=2015,'Portfolio Inputs'!$L94,'Portfolio Inputs'!$M94))*PeakLineLoss</f>
        <v>13.610999999999999</v>
      </c>
      <c r="J95" s="510"/>
      <c r="L95" s="606">
        <f>IF($C$1=2014,'Portfolio Inputs'!$O94,IF($C$1=2015,'Portfolio Inputs'!$P94,'Portfolio Inputs'!$Q94))</f>
        <v>115</v>
      </c>
      <c r="M95" s="518">
        <f>VLOOKUP($B95,Sources!$B$4:$K$104,10,FALSE)</f>
        <v>0</v>
      </c>
      <c r="N95" s="419">
        <f>IF($C$1=2014,'Portfolio Inputs'!$W94,IF($C$1=2015,'Portfolio Inputs'!$X94,'Portfolio Inputs'!$Y94))</f>
        <v>50</v>
      </c>
      <c r="O95" s="419">
        <f>IF($C$1=2014,'Portfolio Inputs'!$AA94,IF($C$1=2015,'Portfolio Inputs'!$AB94,'Portfolio Inputs'!$AC94))</f>
        <v>0</v>
      </c>
      <c r="Q95" s="436">
        <f t="shared" si="290"/>
        <v>220.96747087833455</v>
      </c>
      <c r="R95" s="437">
        <f t="shared" si="291"/>
        <v>508.22518302016948</v>
      </c>
      <c r="S95" s="437">
        <f t="shared" si="292"/>
        <v>274.69319630595766</v>
      </c>
      <c r="T95" s="437">
        <f t="shared" si="293"/>
        <v>535.4885411528038</v>
      </c>
      <c r="U95" s="439">
        <f t="shared" ref="U95:U96" si="529">IF(AE95&gt;0,(AD95+AB95)/AE95,"n/a")</f>
        <v>535.4885411528038</v>
      </c>
      <c r="V95" s="439">
        <f t="shared" si="294"/>
        <v>0.41264649735106212</v>
      </c>
      <c r="W95" s="439">
        <f t="shared" si="295"/>
        <v>0.41264649735106212</v>
      </c>
      <c r="Y95" s="215">
        <f t="shared" si="509"/>
        <v>25411.259151008475</v>
      </c>
      <c r="Z95" s="215">
        <f t="shared" si="510"/>
        <v>6178.458424176657</v>
      </c>
      <c r="AA95" s="215">
        <f t="shared" si="511"/>
        <v>61531.182232572435</v>
      </c>
      <c r="AB95" s="215">
        <f t="shared" si="512"/>
        <v>61531.182232572435</v>
      </c>
      <c r="AC95" s="216">
        <f t="shared" si="519"/>
        <v>0</v>
      </c>
      <c r="AD95" s="216">
        <f t="shared" si="520"/>
        <v>50</v>
      </c>
      <c r="AE95" s="215">
        <f t="shared" si="523"/>
        <v>115</v>
      </c>
      <c r="AG95" s="214">
        <f>IF(AND(($E95+$C$1)&gt;AG$4,AG$4&gt;=$C$1),'General Inputs'!D$9*$H95,IF(AND(($D95+$C$1)&gt;AG$4,AG$4&gt;=$C$1),'General Inputs'!D$9*$G95,0))+IF(AND(($E95+$C$1)&gt;AG$4,AG$4&gt;=$C$1),'General Inputs'!D$10*$J95,IF(AND(($D95+$C$1)&gt;AG$4,AG$4&gt;=$C$1),'General Inputs'!D$10*$I95,0))</f>
        <v>2640.0423659269577</v>
      </c>
      <c r="AH95" s="214">
        <f>IF(AND(($E95+$C$1)&gt;AH$4,AH$4&gt;=$C$1),'General Inputs'!E$9*$H95,IF(AND(($D95+$C$1)&gt;AH$4,AH$4&gt;=$C$1),'General Inputs'!E$9*$G95,0))+IF(AND(($E95+$C$1)&gt;AH$4,AH$4&gt;=$C$1),'General Inputs'!E$10*$J95,IF(AND(($D95+$C$1)&gt;AH$4,AH$4&gt;=$C$1),'General Inputs'!E$10*$I95,0))</f>
        <v>2679.6430014158623</v>
      </c>
      <c r="AI95" s="214">
        <f>IF(AND(($E95+$C$1)&gt;AI$4,AI$4&gt;=$C$1),'General Inputs'!F$9*$H95,IF(AND(($D95+$C$1)&gt;AI$4,AI$4&gt;=$C$1),'General Inputs'!F$9*$G95,0))+IF(AND(($E95+$C$1)&gt;AI$4,AI$4&gt;=$C$1),'General Inputs'!F$10*$J95,IF(AND(($D95+$C$1)&gt;AI$4,AI$4&gt;=$C$1),'General Inputs'!F$10*$I95,0))</f>
        <v>2719.8376464370995</v>
      </c>
      <c r="AJ95" s="214">
        <f>IF(AND(($E95+$C$1)&gt;AJ$4,AJ$4&gt;=$C$1),'General Inputs'!G$9*$H95,IF(AND(($D95+$C$1)&gt;AJ$4,AJ$4&gt;=$C$1),'General Inputs'!G$9*$G95,0))+IF(AND(($E95+$C$1)&gt;AJ$4,AJ$4&gt;=$C$1),'General Inputs'!G$10*$J95,IF(AND(($D95+$C$1)&gt;AJ$4,AJ$4&gt;=$C$1),'General Inputs'!G$10*$I95,0))</f>
        <v>2760.635211133656</v>
      </c>
      <c r="AK95" s="214">
        <f>IF(AND(($E95+$C$1)&gt;AK$4,AK$4&gt;=$C$1),'General Inputs'!H$9*$H95,IF(AND(($D95+$C$1)&gt;AK$4,AK$4&gt;=$C$1),'General Inputs'!H$9*$G95,0))+IF(AND(($E95+$C$1)&gt;AK$4,AK$4&gt;=$C$1),'General Inputs'!H$10*$J95,IF(AND(($D95+$C$1)&gt;AK$4,AK$4&gt;=$C$1),'General Inputs'!H$10*$I95,0))</f>
        <v>2802.0447393006602</v>
      </c>
      <c r="AL95" s="214">
        <f>IF(AND(($E95+$C$1)&gt;AL$4,AL$4&gt;=$C$1),'General Inputs'!I$9*$H95,IF(AND(($D95+$C$1)&gt;AL$4,AL$4&gt;=$C$1),'General Inputs'!I$9*$G95,0))+IF(AND(($E95+$C$1)&gt;AL$4,AL$4&gt;=$C$1),'General Inputs'!I$10*$J95,IF(AND(($D95+$C$1)&gt;AL$4,AL$4&gt;=$C$1),'General Inputs'!I$10*$I95,0))</f>
        <v>2844.07541039017</v>
      </c>
      <c r="AM95" s="214">
        <f>IF(AND(($E95+$C$1)&gt;AM$4,AM$4&gt;=$C$1),'General Inputs'!J$9*$H95,IF(AND(($D95+$C$1)&gt;AM$4,AM$4&gt;=$C$1),'General Inputs'!J$9*$G95,0))+IF(AND(($E95+$C$1)&gt;AM$4,AM$4&gt;=$C$1),'General Inputs'!J$10*$J95,IF(AND(($D95+$C$1)&gt;AM$4,AM$4&gt;=$C$1),'General Inputs'!J$10*$I95,0))</f>
        <v>2886.7365415460222</v>
      </c>
      <c r="AN95" s="214">
        <f>IF(AND(($E95+$C$1)&gt;AN$4,AN$4&gt;=$C$1),'General Inputs'!K$9*$H95,IF(AND(($D95+$C$1)&gt;AN$4,AN$4&gt;=$C$1),'General Inputs'!K$9*$G95,0))+IF(AND(($E95+$C$1)&gt;AN$4,AN$4&gt;=$C$1),'General Inputs'!K$10*$J95,IF(AND(($D95+$C$1)&gt;AN$4,AN$4&gt;=$C$1),'General Inputs'!K$10*$I95,0))</f>
        <v>2930.0375896692117</v>
      </c>
      <c r="AO95" s="214">
        <f>IF(AND(($E95+$C$1)&gt;AO$4,AO$4&gt;=$C$1),'General Inputs'!L$9*$H95,IF(AND(($D95+$C$1)&gt;AO$4,AO$4&gt;=$C$1),'General Inputs'!L$9*$G95,0))+IF(AND(($E95+$C$1)&gt;AO$4,AO$4&gt;=$C$1),'General Inputs'!L$10*$J95,IF(AND(($D95+$C$1)&gt;AO$4,AO$4&gt;=$C$1),'General Inputs'!L$10*$I95,0))</f>
        <v>2973.9881535142499</v>
      </c>
      <c r="AP95" s="214">
        <f>IF(AND(($E95+$C$1)&gt;AP$4,AP$4&gt;=$C$1),'General Inputs'!M$9*$H95,IF(AND(($D95+$C$1)&gt;AP$4,AP$4&gt;=$C$1),'General Inputs'!M$9*$G95,0))+IF(AND(($E95+$C$1)&gt;AP$4,AP$4&gt;=$C$1),'General Inputs'!M$10*$J95,IF(AND(($D95+$C$1)&gt;AP$4,AP$4&gt;=$C$1),'General Inputs'!M$10*$I95,0))</f>
        <v>3018.5979758169633</v>
      </c>
      <c r="AQ95" s="214">
        <f>IF(AND(($E95+$C$1)&gt;AQ$4,AQ$4&gt;=$C$1),'General Inputs'!N$9*$H95,IF(AND(($D95+$C$1)&gt;AQ$4,AQ$4&gt;=$C$1),'General Inputs'!N$9*$G95,0))+IF(AND(($E95+$C$1)&gt;AQ$4,AQ$4&gt;=$C$1),'General Inputs'!N$10*$J95,IF(AND(($D95+$C$1)&gt;AQ$4,AQ$4&gt;=$C$1),'General Inputs'!N$10*$I95,0))</f>
        <v>3063.8769454542175</v>
      </c>
      <c r="AR95" s="214">
        <f>IF(AND(($E95+$C$1)&gt;AR$4,AR$4&gt;=$C$1),'General Inputs'!O$9*$H95,IF(AND(($D95+$C$1)&gt;AR$4,AR$4&gt;=$C$1),'General Inputs'!O$9*$G95,0))+IF(AND(($E95+$C$1)&gt;AR$4,AR$4&gt;=$C$1),'General Inputs'!O$10*$J95,IF(AND(($D95+$C$1)&gt;AR$4,AR$4&gt;=$C$1),'General Inputs'!O$10*$I95,0))</f>
        <v>3109.8350996360305</v>
      </c>
      <c r="AS95" s="214">
        <f>IF(AND(($E95+$C$1)&gt;AS$4,AS$4&gt;=$C$1),'General Inputs'!P$9*$H95,IF(AND(($D95+$C$1)&gt;AS$4,AS$4&gt;=$C$1),'General Inputs'!P$9*$G95,0))+IF(AND(($E95+$C$1)&gt;AS$4,AS$4&gt;=$C$1),'General Inputs'!P$10*$J95,IF(AND(($D95+$C$1)&gt;AS$4,AS$4&gt;=$C$1),'General Inputs'!P$10*$I95,0))</f>
        <v>3156.4826261305702</v>
      </c>
      <c r="AT95" s="214">
        <f>IF(AND(($E95+$C$1)&gt;AT$4,AT$4&gt;=$C$1),'General Inputs'!Q$9*$H95,IF(AND(($D95+$C$1)&gt;AT$4,AT$4&gt;=$C$1),'General Inputs'!Q$9*$G95,0))+IF(AND(($E95+$C$1)&gt;AT$4,AT$4&gt;=$C$1),'General Inputs'!Q$10*$J95,IF(AND(($D95+$C$1)&gt;AT$4,AT$4&gt;=$C$1),'General Inputs'!Q$10*$I95,0))</f>
        <v>3203.8298655225285</v>
      </c>
      <c r="AU95" s="214">
        <f>IF(AND(($E95+$C$1)&gt;AU$4,AU$4&gt;=$C$1),'General Inputs'!R$9*$H95,IF(AND(($D95+$C$1)&gt;AU$4,AU$4&gt;=$C$1),'General Inputs'!R$9*$G95,0))+IF(AND(($E95+$C$1)&gt;AU$4,AU$4&gt;=$C$1),'General Inputs'!R$10*$J95,IF(AND(($D95+$C$1)&gt;AU$4,AU$4&gt;=$C$1),'General Inputs'!R$10*$I95,0))</f>
        <v>3251.8873135053664</v>
      </c>
      <c r="AV95" s="214">
        <f>IF(AND(($E95+$C$1)&gt;AV$4,AV$4&gt;=$C$1),'General Inputs'!S$9*$H95,IF(AND(($D95+$C$1)&gt;AV$4,AV$4&gt;=$C$1),'General Inputs'!S$9*$G95,0))+IF(AND(($E95+$C$1)&gt;AV$4,AV$4&gt;=$C$1),'General Inputs'!S$10*$J95,IF(AND(($D95+$C$1)&gt;AV$4,AV$4&gt;=$C$1),'General Inputs'!S$10*$I95,0))</f>
        <v>0</v>
      </c>
      <c r="AW95" s="214">
        <f>IF(AND(($E95+$C$1)&gt;AW$4,AW$4&gt;=$C$1),'General Inputs'!T$9*$H95,IF(AND(($D95+$C$1)&gt;AW$4,AW$4&gt;=$C$1),'General Inputs'!T$9*$G95,0))+IF(AND(($E95+$C$1)&gt;AW$4,AW$4&gt;=$C$1),'General Inputs'!T$10*$J95,IF(AND(($D95+$C$1)&gt;AW$4,AW$4&gt;=$C$1),'General Inputs'!T$10*$I95,0))</f>
        <v>0</v>
      </c>
      <c r="AX95" s="214">
        <f>IF(AND(($E95+$C$1)&gt;AX$4,AX$4&gt;=$C$1),'General Inputs'!U$9*$H95,IF(AND(($D95+$C$1)&gt;AX$4,AX$4&gt;=$C$1),'General Inputs'!U$9*$G95,0))+IF(AND(($E95+$C$1)&gt;AX$4,AX$4&gt;=$C$1),'General Inputs'!U$10*$J95,IF(AND(($D95+$C$1)&gt;AX$4,AX$4&gt;=$C$1),'General Inputs'!U$10*$I95,0))</f>
        <v>0</v>
      </c>
      <c r="AY95" s="214">
        <f>IF(AND(($E95+$C$1)&gt;AY$4,AY$4&gt;=$C$1),'General Inputs'!V$9*$H95,IF(AND(($D95+$C$1)&gt;AY$4,AY$4&gt;=$C$1),'General Inputs'!V$9*$G95,0))+IF(AND(($E95+$C$1)&gt;AY$4,AY$4&gt;=$C$1),'General Inputs'!V$10*$J95,IF(AND(($D95+$C$1)&gt;AY$4,AY$4&gt;=$C$1),'General Inputs'!V$10*$I95,0))</f>
        <v>0</v>
      </c>
      <c r="AZ95" s="214">
        <f>IF(AND(($E95+$C$1)&gt;AZ$4,AZ$4&gt;=$C$1),'General Inputs'!W$9*$H95,IF(AND(($D95+$C$1)&gt;AZ$4,AZ$4&gt;=$C$1),'General Inputs'!W$9*$G95,0))+IF(AND(($E95+$C$1)&gt;AZ$4,AZ$4&gt;=$C$1),'General Inputs'!W$10*$J95,IF(AND(($D95+$C$1)&gt;AZ$4,AZ$4&gt;=$C$1),'General Inputs'!W$10*$I95,0))</f>
        <v>0</v>
      </c>
      <c r="BB95" s="214">
        <f>IF(AND(($E95+$C$1)&gt;BB$4,BB$4&gt;=$C$1),'General Inputs'!D$11*$H95,IF(AND(($D95+$C$1)&gt;BB$4,BB$4&gt;=$C$1),'General Inputs'!D$11*$G95,0))</f>
        <v>697.5997668</v>
      </c>
      <c r="BC95" s="214">
        <f>IF(AND(($E95+$C$1)&gt;BC$4,BC$4&gt;=$C$1),'General Inputs'!E$11*$H95,IF(AND(($D95+$C$1)&gt;BC$4,BC$4&gt;=$C$1),'General Inputs'!E$11*$G95,0))</f>
        <v>697.5997668</v>
      </c>
      <c r="BD95" s="214">
        <f>IF(AND(($E95+$C$1)&gt;BD$4,BD$4&gt;=$C$1),'General Inputs'!F$11*$H95,IF(AND(($D95+$C$1)&gt;BD$4,BD$4&gt;=$C$1),'General Inputs'!F$11*$G95,0))</f>
        <v>697.5997668</v>
      </c>
      <c r="BE95" s="214">
        <f>IF(AND(($E95+$C$1)&gt;BE$4,BE$4&gt;=$C$1),'General Inputs'!G$11*$H95,IF(AND(($D95+$C$1)&gt;BE$4,BE$4&gt;=$C$1),'General Inputs'!G$11*$G95,0))</f>
        <v>697.5997668</v>
      </c>
      <c r="BF95" s="214">
        <f>IF(AND(($E95+$C$1)&gt;BF$4,BF$4&gt;=$C$1),'General Inputs'!H$11*$H95,IF(AND(($D95+$C$1)&gt;BF$4,BF$4&gt;=$C$1),'General Inputs'!H$11*$G95,0))</f>
        <v>697.5997668</v>
      </c>
      <c r="BG95" s="214">
        <f>IF(AND(($E95+$C$1)&gt;BG$4,BG$4&gt;=$C$1),'General Inputs'!I$11*$H95,IF(AND(($D95+$C$1)&gt;BG$4,BG$4&gt;=$C$1),'General Inputs'!I$11*$G95,0))</f>
        <v>697.5997668</v>
      </c>
      <c r="BH95" s="214">
        <f>IF(AND(($E95+$C$1)&gt;BH$4,BH$4&gt;=$C$1),'General Inputs'!J$11*$H95,IF(AND(($D95+$C$1)&gt;BH$4,BH$4&gt;=$C$1),'General Inputs'!J$11*$G95,0))</f>
        <v>697.5997668</v>
      </c>
      <c r="BI95" s="214">
        <f>IF(AND(($E95+$C$1)&gt;BI$4,BI$4&gt;=$C$1),'General Inputs'!K$11*$H95,IF(AND(($D95+$C$1)&gt;BI$4,BI$4&gt;=$C$1),'General Inputs'!K$11*$G95,0))</f>
        <v>697.5997668</v>
      </c>
      <c r="BJ95" s="214">
        <f>IF(AND(($E95+$C$1)&gt;BJ$4,BJ$4&gt;=$C$1),'General Inputs'!L$11*$H95,IF(AND(($D95+$C$1)&gt;BJ$4,BJ$4&gt;=$C$1),'General Inputs'!L$11*$G95,0))</f>
        <v>697.5997668</v>
      </c>
      <c r="BK95" s="214">
        <f>IF(AND(($E95+$C$1)&gt;BK$4,BK$4&gt;=$C$1),'General Inputs'!M$11*$H95,IF(AND(($D95+$C$1)&gt;BK$4,BK$4&gt;=$C$1),'General Inputs'!M$11*$G95,0))</f>
        <v>697.5997668</v>
      </c>
      <c r="BL95" s="214">
        <f>IF(AND(($E95+$C$1)&gt;BL$4,BL$4&gt;=$C$1),'General Inputs'!N$11*$H95,IF(AND(($D95+$C$1)&gt;BL$4,BL$4&gt;=$C$1),'General Inputs'!N$11*$G95,0))</f>
        <v>697.5997668</v>
      </c>
      <c r="BM95" s="214">
        <f>IF(AND(($E95+$C$1)&gt;BM$4,BM$4&gt;=$C$1),'General Inputs'!O$11*$H95,IF(AND(($D95+$C$1)&gt;BM$4,BM$4&gt;=$C$1),'General Inputs'!O$11*$G95,0))</f>
        <v>697.5997668</v>
      </c>
      <c r="BN95" s="214">
        <f>IF(AND(($E95+$C$1)&gt;BN$4,BN$4&gt;=$C$1),'General Inputs'!P$11*$H95,IF(AND(($D95+$C$1)&gt;BN$4,BN$4&gt;=$C$1),'General Inputs'!P$11*$G95,0))</f>
        <v>697.5997668</v>
      </c>
      <c r="BO95" s="214">
        <f>IF(AND(($E95+$C$1)&gt;BO$4,BO$4&gt;=$C$1),'General Inputs'!Q$11*$H95,IF(AND(($D95+$C$1)&gt;BO$4,BO$4&gt;=$C$1),'General Inputs'!Q$11*$G95,0))</f>
        <v>697.5997668</v>
      </c>
      <c r="BP95" s="214">
        <f>IF(AND(($E95+$C$1)&gt;BP$4,BP$4&gt;=$C$1),'General Inputs'!R$11*$H95,IF(AND(($D95+$C$1)&gt;BP$4,BP$4&gt;=$C$1),'General Inputs'!R$11*$G95,0))</f>
        <v>697.5997668</v>
      </c>
      <c r="BQ95" s="214">
        <f>IF(AND(($E95+$C$1)&gt;BQ$4,BQ$4&gt;=$C$1),'General Inputs'!S$11*$H95,IF(AND(($D95+$C$1)&gt;BQ$4,BQ$4&gt;=$C$1),'General Inputs'!S$11*$G95,0))</f>
        <v>0</v>
      </c>
      <c r="BR95" s="214">
        <f>IF(AND(($E95+$C$1)&gt;BR$4,BR$4&gt;=$C$1),'General Inputs'!T$11*$H95,IF(AND(($D95+$C$1)&gt;BR$4,BR$4&gt;=$C$1),'General Inputs'!T$11*$G95,0))</f>
        <v>0</v>
      </c>
      <c r="BS95" s="214">
        <f>IF(AND(($E95+$C$1)&gt;BS$4,BS$4&gt;=$C$1),'General Inputs'!U$11*$H95,IF(AND(($D95+$C$1)&gt;BS$4,BS$4&gt;=$C$1),'General Inputs'!U$11*$G95,0))</f>
        <v>0</v>
      </c>
      <c r="BT95" s="214">
        <f>IF(AND(($E95+$C$1)&gt;BT$4,BT$4&gt;=$C$1),'General Inputs'!V$11*$H95,IF(AND(($D95+$C$1)&gt;BT$4,BT$4&gt;=$C$1),'General Inputs'!V$11*$G95,0))</f>
        <v>0</v>
      </c>
      <c r="BU95" s="214">
        <f>IF(AND(($E95+$C$1)&gt;BU$4,BU$4&gt;=$C$1),'General Inputs'!W$11*$H95,IF(AND(($D95+$C$1)&gt;BU$4,BU$4&gt;=$C$1),'General Inputs'!W$11*$G95,0))</f>
        <v>0</v>
      </c>
      <c r="BW95" s="214">
        <f>IF(AND(($E95+$C$1)&gt;BW$4,BW$4&gt;=$C$1),$H95,IF(AND(($D95+$C$1)&gt;BW$4,BW$4&gt;=$C$1),$G95,0))*IF($A95="Residential",'General Inputs'!D$14,'General Inputs'!D$19)</f>
        <v>6392.6359160016882</v>
      </c>
      <c r="BX95" s="214">
        <f>IF(AND(($E95+$C$1)&gt;BX$4,BX$4&gt;=$C$1),$H95,IF(AND(($D95+$C$1)&gt;BX$4,BX$4&gt;=$C$1),$G95,0))*IF($A95="Residential",'General Inputs'!E$14,'General Inputs'!E$19)</f>
        <v>6488.5254547417126</v>
      </c>
      <c r="BY95" s="214">
        <f>IF(AND(($E95+$C$1)&gt;BY$4,BY$4&gt;=$C$1),$H95,IF(AND(($D95+$C$1)&gt;BY$4,BY$4&gt;=$C$1),$G95,0))*IF($A95="Residential",'General Inputs'!F$14,'General Inputs'!F$19)</f>
        <v>6585.8533365628391</v>
      </c>
      <c r="BZ95" s="214">
        <f>IF(AND(($E95+$C$1)&gt;BZ$4,BZ$4&gt;=$C$1),$H95,IF(AND(($D95+$C$1)&gt;BZ$4,BZ$4&gt;=$C$1),$G95,0))*IF($A95="Residential",'General Inputs'!G$14,'General Inputs'!G$19)</f>
        <v>6684.6411366112807</v>
      </c>
      <c r="CA95" s="214">
        <f>IF(AND(($E95+$C$1)&gt;CA$4,CA$4&gt;=$C$1),$H95,IF(AND(($D95+$C$1)&gt;CA$4,CA$4&gt;=$C$1),$G95,0))*IF($A95="Residential",'General Inputs'!H$14,'General Inputs'!H$19)</f>
        <v>6784.9107536604488</v>
      </c>
      <c r="CB95" s="214">
        <f>IF(AND(($E95+$C$1)&gt;CB$4,CB$4&gt;=$C$1),$H95,IF(AND(($D95+$C$1)&gt;CB$4,CB$4&gt;=$C$1),$G95,0))*IF($A95="Residential",'General Inputs'!I$14,'General Inputs'!I$19)</f>
        <v>6886.6844149653543</v>
      </c>
      <c r="CC95" s="214">
        <f>IF(AND(($E95+$C$1)&gt;CC$4,CC$4&gt;=$C$1),$H95,IF(AND(($D95+$C$1)&gt;CC$4,CC$4&gt;=$C$1),$G95,0))*IF($A95="Residential",'General Inputs'!J$14,'General Inputs'!J$19)</f>
        <v>6989.9846811898342</v>
      </c>
      <c r="CD95" s="214">
        <f>IF(AND(($E95+$C$1)&gt;CD$4,CD$4&gt;=$C$1),$H95,IF(AND(($D95+$C$1)&gt;CD$4,CD$4&gt;=$C$1),$G95,0))*IF($A95="Residential",'General Inputs'!K$14,'General Inputs'!K$19)</f>
        <v>7094.8344514076807</v>
      </c>
      <c r="CE95" s="214">
        <f>IF(AND(($E95+$C$1)&gt;CE$4,CE$4&gt;=$C$1),$H95,IF(AND(($D95+$C$1)&gt;CE$4,CE$4&gt;=$C$1),$G95,0))*IF($A95="Residential",'General Inputs'!L$14,'General Inputs'!L$19)</f>
        <v>7201.2569681787954</v>
      </c>
      <c r="CF95" s="214">
        <f>IF(AND(($E95+$C$1)&gt;CF$4,CF$4&gt;=$C$1),$H95,IF(AND(($D95+$C$1)&gt;CF$4,CF$4&gt;=$C$1),$G95,0))*IF($A95="Residential",'General Inputs'!M$14,'General Inputs'!M$19)</f>
        <v>7309.2758227014765</v>
      </c>
      <c r="CG95" s="214">
        <f>IF(AND(($E95+$C$1)&gt;CG$4,CG$4&gt;=$C$1),$H95,IF(AND(($D95+$C$1)&gt;CG$4,CG$4&gt;=$C$1),$G95,0))*IF($A95="Residential",'General Inputs'!N$14,'General Inputs'!N$19)</f>
        <v>7418.9149600419987</v>
      </c>
      <c r="CH95" s="214">
        <f>IF(AND(($E95+$C$1)&gt;CH$4,CH$4&gt;=$C$1),$H95,IF(AND(($D95+$C$1)&gt;CH$4,CH$4&gt;=$C$1),$G95,0))*IF($A95="Residential",'General Inputs'!O$14,'General Inputs'!O$19)</f>
        <v>7530.1986844426274</v>
      </c>
      <c r="CI95" s="214">
        <f>IF(AND(($E95+$C$1)&gt;CI$4,CI$4&gt;=$C$1),$H95,IF(AND(($D95+$C$1)&gt;CI$4,CI$4&gt;=$C$1),$G95,0))*IF($A95="Residential",'General Inputs'!P$14,'General Inputs'!P$19)</f>
        <v>7643.1516647092667</v>
      </c>
      <c r="CJ95" s="214">
        <f>IF(AND(($E95+$C$1)&gt;CJ$4,CJ$4&gt;=$C$1),$H95,IF(AND(($D95+$C$1)&gt;CJ$4,CJ$4&gt;=$C$1),$G95,0))*IF($A95="Residential",'General Inputs'!Q$14,'General Inputs'!Q$19)</f>
        <v>7757.7989396799048</v>
      </c>
      <c r="CK95" s="214">
        <f>IF(AND(($E95+$C$1)&gt;CK$4,CK$4&gt;=$C$1),$H95,IF(AND(($D95+$C$1)&gt;CK$4,CK$4&gt;=$C$1),$G95,0))*IF($A95="Residential",'General Inputs'!R$14,'General Inputs'!R$19)</f>
        <v>7874.1659237751019</v>
      </c>
      <c r="CL95" s="214">
        <f>IF(AND(($E95+$C$1)&gt;CL$4,CL$4&gt;=$C$1),$H95,IF(AND(($D95+$C$1)&gt;CL$4,CL$4&gt;=$C$1),$G95,0))*IF($A95="Residential",'General Inputs'!S$14,'General Inputs'!S$19)</f>
        <v>0</v>
      </c>
      <c r="CM95" s="214">
        <f>IF(AND(($E95+$C$1)&gt;CM$4,CM$4&gt;=$C$1),$H95,IF(AND(($D95+$C$1)&gt;CM$4,CM$4&gt;=$C$1),$G95,0))*IF($A95="Residential",'General Inputs'!T$14,'General Inputs'!T$19)</f>
        <v>0</v>
      </c>
      <c r="CN95" s="214">
        <f>IF(AND(($E95+$C$1)&gt;CN$4,CN$4&gt;=$C$1),$H95,IF(AND(($D95+$C$1)&gt;CN$4,CN$4&gt;=$C$1),$G95,0))*IF($A95="Residential",'General Inputs'!U$14,'General Inputs'!U$19)</f>
        <v>0</v>
      </c>
      <c r="CO95" s="214">
        <f>IF(AND(($E95+$C$1)&gt;CO$4,CO$4&gt;=$C$1),$H95,IF(AND(($D95+$C$1)&gt;CO$4,CO$4&gt;=$C$1),$G95,0))*IF($A95="Residential",'General Inputs'!V$14,'General Inputs'!V$19)</f>
        <v>0</v>
      </c>
      <c r="CP95" s="214">
        <f>IF(AND(($E95+$C$1)&gt;CP$4,CP$4&gt;=$C$1),$H95,IF(AND(($D95+$C$1)&gt;CP$4,CP$4&gt;=$C$1),$G95,0))*IF($A95="Residential",'General Inputs'!W$14,'General Inputs'!W$19)</f>
        <v>0</v>
      </c>
      <c r="CR95" s="214">
        <f>IF(AND(($E95+$C$1)&gt;CR$4,CR$4&gt;=$C$1),$H95,IF(AND(($D95+$C$1)&gt;CR$4,CR$4&gt;=$C$1),$G95,0))*IF($A95="Residential",'General Inputs'!D$15,'General Inputs'!D$19)</f>
        <v>6392.6359160016882</v>
      </c>
      <c r="CS95" s="214">
        <f>IF(AND(($E95+$C$1)&gt;CS$4,CS$4&gt;=$C$1),$H95,IF(AND(($D95+$C$1)&gt;CS$4,CS$4&gt;=$C$1),$G95,0))*IF($A95="Residential",'General Inputs'!E$15,'General Inputs'!E$19)</f>
        <v>6488.5254547417126</v>
      </c>
      <c r="CT95" s="214">
        <f>IF(AND(($E95+$C$1)&gt;CT$4,CT$4&gt;=$C$1),$H95,IF(AND(($D95+$C$1)&gt;CT$4,CT$4&gt;=$C$1),$G95,0))*IF($A95="Residential",'General Inputs'!F$15,'General Inputs'!F$19)</f>
        <v>6585.8533365628391</v>
      </c>
      <c r="CU95" s="214">
        <f>IF(AND(($E95+$C$1)&gt;CU$4,CU$4&gt;=$C$1),$H95,IF(AND(($D95+$C$1)&gt;CU$4,CU$4&gt;=$C$1),$G95,0))*IF($A95="Residential",'General Inputs'!G$15,'General Inputs'!G$19)</f>
        <v>6684.6411366112807</v>
      </c>
      <c r="CV95" s="214">
        <f>IF(AND(($E95+$C$1)&gt;CV$4,CV$4&gt;=$C$1),$H95,IF(AND(($D95+$C$1)&gt;CV$4,CV$4&gt;=$C$1),$G95,0))*IF($A95="Residential",'General Inputs'!H$15,'General Inputs'!H$19)</f>
        <v>6784.9107536604488</v>
      </c>
      <c r="CW95" s="214">
        <f>IF(AND(($E95+$C$1)&gt;CW$4,CW$4&gt;=$C$1),$H95,IF(AND(($D95+$C$1)&gt;CW$4,CW$4&gt;=$C$1),$G95,0))*IF($A95="Residential",'General Inputs'!I$15,'General Inputs'!I$19)</f>
        <v>6886.6844149653543</v>
      </c>
      <c r="CX95" s="214">
        <f>IF(AND(($E95+$C$1)&gt;CX$4,CX$4&gt;=$C$1),$H95,IF(AND(($D95+$C$1)&gt;CX$4,CX$4&gt;=$C$1),$G95,0))*IF($A95="Residential",'General Inputs'!J$15,'General Inputs'!J$19)</f>
        <v>6989.9846811898342</v>
      </c>
      <c r="CY95" s="214">
        <f>IF(AND(($E95+$C$1)&gt;CY$4,CY$4&gt;=$C$1),$H95,IF(AND(($D95+$C$1)&gt;CY$4,CY$4&gt;=$C$1),$G95,0))*IF($A95="Residential",'General Inputs'!K$15,'General Inputs'!K$19)</f>
        <v>7094.8344514076807</v>
      </c>
      <c r="CZ95" s="214">
        <f>IF(AND(($E95+$C$1)&gt;CZ$4,CZ$4&gt;=$C$1),$H95,IF(AND(($D95+$C$1)&gt;CZ$4,CZ$4&gt;=$C$1),$G95,0))*IF($A95="Residential",'General Inputs'!L$15,'General Inputs'!L$19)</f>
        <v>7201.2569681787954</v>
      </c>
      <c r="DA95" s="214">
        <f>IF(AND(($E95+$C$1)&gt;DA$4,DA$4&gt;=$C$1),$H95,IF(AND(($D95+$C$1)&gt;DA$4,DA$4&gt;=$C$1),$G95,0))*IF($A95="Residential",'General Inputs'!M$15,'General Inputs'!M$19)</f>
        <v>7309.2758227014765</v>
      </c>
      <c r="DB95" s="214">
        <f>IF(AND(($E95+$C$1)&gt;DB$4,DB$4&gt;=$C$1),$H95,IF(AND(($D95+$C$1)&gt;DB$4,DB$4&gt;=$C$1),$G95,0))*IF($A95="Residential",'General Inputs'!N$15,'General Inputs'!N$19)</f>
        <v>7418.9149600419987</v>
      </c>
      <c r="DC95" s="214">
        <f>IF(AND(($E95+$C$1)&gt;DC$4,DC$4&gt;=$C$1),$H95,IF(AND(($D95+$C$1)&gt;DC$4,DC$4&gt;=$C$1),$G95,0))*IF($A95="Residential",'General Inputs'!O$15,'General Inputs'!O$19)</f>
        <v>7530.1986844426274</v>
      </c>
      <c r="DD95" s="214">
        <f>IF(AND(($E95+$C$1)&gt;DD$4,DD$4&gt;=$C$1),$H95,IF(AND(($D95+$C$1)&gt;DD$4,DD$4&gt;=$C$1),$G95,0))*IF($A95="Residential",'General Inputs'!P$15,'General Inputs'!P$19)</f>
        <v>7643.1516647092667</v>
      </c>
      <c r="DE95" s="214">
        <f>IF(AND(($E95+$C$1)&gt;DE$4,DE$4&gt;=$C$1),$H95,IF(AND(($D95+$C$1)&gt;DE$4,DE$4&gt;=$C$1),$G95,0))*IF($A95="Residential",'General Inputs'!Q$15,'General Inputs'!Q$19)</f>
        <v>7757.7989396799048</v>
      </c>
      <c r="DF95" s="214">
        <f>IF(AND(($E95+$C$1)&gt;DF$4,DF$4&gt;=$C$1),$H95,IF(AND(($D95+$C$1)&gt;DF$4,DF$4&gt;=$C$1),$G95,0))*IF($A95="Residential",'General Inputs'!R$15,'General Inputs'!R$19)</f>
        <v>7874.1659237751019</v>
      </c>
      <c r="DG95" s="214">
        <f>IF(AND(($E95+$C$1)&gt;DG$4,DG$4&gt;=$C$1),$H95,IF(AND(($D95+$C$1)&gt;DG$4,DG$4&gt;=$C$1),$G95,0))*IF($A95="Residential",'General Inputs'!S$15,'General Inputs'!S$19)</f>
        <v>0</v>
      </c>
      <c r="DH95" s="214">
        <f>IF(AND(($E95+$C$1)&gt;DH$4,DH$4&gt;=$C$1),$H95,IF(AND(($D95+$C$1)&gt;DH$4,DH$4&gt;=$C$1),$G95,0))*IF($A95="Residential",'General Inputs'!T$15,'General Inputs'!T$19)</f>
        <v>0</v>
      </c>
      <c r="DI95" s="214">
        <f>IF(AND(($E95+$C$1)&gt;DI$4,DI$4&gt;=$C$1),$H95,IF(AND(($D95+$C$1)&gt;DI$4,DI$4&gt;=$C$1),$G95,0))*IF($A95="Residential",'General Inputs'!U$15,'General Inputs'!U$19)</f>
        <v>0</v>
      </c>
      <c r="DJ95" s="214">
        <f>IF(AND(($E95+$C$1)&gt;DJ$4,DJ$4&gt;=$C$1),$H95,IF(AND(($D95+$C$1)&gt;DJ$4,DJ$4&gt;=$C$1),$G95,0))*IF($A95="Residential",'General Inputs'!V$15,'General Inputs'!V$19)</f>
        <v>0</v>
      </c>
      <c r="DK95" s="214">
        <f>IF(AND(($E95+$C$1)&gt;DK$4,DK$4&gt;=$C$1),$H95,IF(AND(($D95+$C$1)&gt;DK$4,DK$4&gt;=$C$1),$G95,0))*IF($A95="Residential",'General Inputs'!W$15,'General Inputs'!W$19)</f>
        <v>0</v>
      </c>
      <c r="DM95" s="214">
        <f t="shared" ref="DM95:DW96" si="530">IF($C$1=DM$4,$L95*$C95,IF($E95+$C$1=DM$4,-$M95*$C95,0))</f>
        <v>115</v>
      </c>
      <c r="DN95" s="214">
        <f t="shared" si="530"/>
        <v>0</v>
      </c>
      <c r="DO95" s="214">
        <f t="shared" si="530"/>
        <v>0</v>
      </c>
      <c r="DP95" s="214">
        <f t="shared" si="530"/>
        <v>0</v>
      </c>
      <c r="DQ95" s="214">
        <f t="shared" si="530"/>
        <v>0</v>
      </c>
      <c r="DR95" s="214">
        <f t="shared" si="530"/>
        <v>0</v>
      </c>
      <c r="DS95" s="214">
        <f t="shared" si="530"/>
        <v>0</v>
      </c>
      <c r="DT95" s="214">
        <f t="shared" si="530"/>
        <v>0</v>
      </c>
      <c r="DU95" s="214">
        <f t="shared" si="530"/>
        <v>0</v>
      </c>
      <c r="DV95" s="214">
        <f t="shared" si="530"/>
        <v>0</v>
      </c>
      <c r="DW95" s="214">
        <f t="shared" si="530"/>
        <v>0</v>
      </c>
      <c r="DZ95" s="650"/>
      <c r="FI95" s="195"/>
      <c r="FJ95" s="195"/>
      <c r="FK95" s="195"/>
      <c r="FL95" s="195"/>
      <c r="FM95" s="195"/>
      <c r="FN95" s="195"/>
      <c r="FO95" s="195"/>
    </row>
    <row r="96" spans="1:171">
      <c r="A96" s="342" t="s">
        <v>112</v>
      </c>
      <c r="B96" s="427" t="str">
        <f>'Portfolio Inputs'!A95</f>
        <v>TEFC Motor</v>
      </c>
      <c r="C96" s="217">
        <f>IF($C$1=2014,'Portfolio Inputs'!$C95,IF($C$1=2015,'Portfolio Inputs'!$D95,'Portfolio Inputs'!$E95))</f>
        <v>1</v>
      </c>
      <c r="D96" s="504">
        <f>VLOOKUP(B96,Sources!$B$4:$J$104,2,FALSE)</f>
        <v>15</v>
      </c>
      <c r="E96" s="504">
        <f>VLOOKUP(B96,Sources!$B$4:$J$104,3,FALSE)</f>
        <v>0</v>
      </c>
      <c r="G96" s="504">
        <f>IF($C$1=2014,'Portfolio Inputs'!$G95,IF($C$1=2015,'Portfolio Inputs'!$H95,'Portfolio Inputs'!$I95))*EnergyLineLoss</f>
        <v>112.029</v>
      </c>
      <c r="H96" s="504"/>
      <c r="I96" s="595">
        <f>IF($C$1=2014,'Portfolio Inputs'!$K95,IF($C$1=2015,'Portfolio Inputs'!$L95,'Portfolio Inputs'!$M95))*PeakLineLoss</f>
        <v>3.1409999999999993E-2</v>
      </c>
      <c r="J96" s="510"/>
      <c r="L96" s="606">
        <f>IF($C$1=2014,'Portfolio Inputs'!$O95,IF($C$1=2015,'Portfolio Inputs'!$P95,'Portfolio Inputs'!$Q95))</f>
        <v>115</v>
      </c>
      <c r="M96" s="518">
        <f>VLOOKUP($B96,Sources!$B$4:$K$104,10,FALSE)</f>
        <v>0</v>
      </c>
      <c r="N96" s="419">
        <f>IF($C$1=2014,'Portfolio Inputs'!$W95,IF($C$1=2015,'Portfolio Inputs'!$X95,'Portfolio Inputs'!$Y95))</f>
        <v>50</v>
      </c>
      <c r="O96" s="419">
        <f>IF($C$1=2014,'Portfolio Inputs'!$AA95,IF($C$1=2015,'Portfolio Inputs'!$AB95,'Portfolio Inputs'!$AC95))</f>
        <v>0</v>
      </c>
      <c r="Q96" s="436">
        <f t="shared" si="290"/>
        <v>0.41267217372946358</v>
      </c>
      <c r="R96" s="437">
        <f t="shared" si="291"/>
        <v>0.94914599957776613</v>
      </c>
      <c r="S96" s="437">
        <f t="shared" si="292"/>
        <v>0.51103053222714812</v>
      </c>
      <c r="T96" s="437">
        <f t="shared" si="293"/>
        <v>1.4143321444075838</v>
      </c>
      <c r="U96" s="439">
        <f t="shared" si="529"/>
        <v>1.4143321444075838</v>
      </c>
      <c r="V96" s="439">
        <f t="shared" si="294"/>
        <v>0.29177882674958083</v>
      </c>
      <c r="W96" s="439">
        <f t="shared" si="295"/>
        <v>0.29177882674958083</v>
      </c>
      <c r="Y96" s="215">
        <f t="shared" si="509"/>
        <v>47.457299978888308</v>
      </c>
      <c r="Z96" s="215">
        <f t="shared" si="510"/>
        <v>11.311211227233725</v>
      </c>
      <c r="AA96" s="215">
        <f t="shared" si="511"/>
        <v>112.64819660687215</v>
      </c>
      <c r="AB96" s="215">
        <f t="shared" si="512"/>
        <v>112.64819660687215</v>
      </c>
      <c r="AC96" s="216">
        <f t="shared" si="519"/>
        <v>0</v>
      </c>
      <c r="AD96" s="216">
        <f t="shared" si="520"/>
        <v>50</v>
      </c>
      <c r="AE96" s="215">
        <f t="shared" si="523"/>
        <v>115</v>
      </c>
      <c r="AG96" s="214">
        <f>IF(AND(($E96+$C$1)&gt;AG$4,AG$4&gt;=$C$1),'General Inputs'!D$9*$H96,IF(AND(($D96+$C$1)&gt;AG$4,AG$4&gt;=$C$1),'General Inputs'!D$9*$G96,0))+IF(AND(($E96+$C$1)&gt;AG$4,AG$4&gt;=$C$1),'General Inputs'!D$10*$J96,IF(AND(($D96+$C$1)&gt;AG$4,AG$4&gt;=$C$1),'General Inputs'!D$10*$I96,0))</f>
        <v>4.9304633734293901</v>
      </c>
      <c r="AH96" s="214">
        <f>IF(AND(($E96+$C$1)&gt;AH$4,AH$4&gt;=$C$1),'General Inputs'!E$9*$H96,IF(AND(($D96+$C$1)&gt;AH$4,AH$4&gt;=$C$1),'General Inputs'!E$9*$G96,0))+IF(AND(($E96+$C$1)&gt;AH$4,AH$4&gt;=$C$1),'General Inputs'!E$10*$J96,IF(AND(($D96+$C$1)&gt;AH$4,AH$4&gt;=$C$1),'General Inputs'!E$10*$I96,0))</f>
        <v>5.0044203240308303</v>
      </c>
      <c r="AI96" s="214">
        <f>IF(AND(($E96+$C$1)&gt;AI$4,AI$4&gt;=$C$1),'General Inputs'!F$9*$H96,IF(AND(($D96+$C$1)&gt;AI$4,AI$4&gt;=$C$1),'General Inputs'!F$9*$G96,0))+IF(AND(($E96+$C$1)&gt;AI$4,AI$4&gt;=$C$1),'General Inputs'!F$10*$J96,IF(AND(($D96+$C$1)&gt;AI$4,AI$4&gt;=$C$1),'General Inputs'!F$10*$I96,0))</f>
        <v>5.0794866288912912</v>
      </c>
      <c r="AJ96" s="214">
        <f>IF(AND(($E96+$C$1)&gt;AJ$4,AJ$4&gt;=$C$1),'General Inputs'!G$9*$H96,IF(AND(($D96+$C$1)&gt;AJ$4,AJ$4&gt;=$C$1),'General Inputs'!G$9*$G96,0))+IF(AND(($E96+$C$1)&gt;AJ$4,AJ$4&gt;=$C$1),'General Inputs'!G$10*$J96,IF(AND(($D96+$C$1)&gt;AJ$4,AJ$4&gt;=$C$1),'General Inputs'!G$10*$I96,0))</f>
        <v>5.1556789283246607</v>
      </c>
      <c r="AK96" s="214">
        <f>IF(AND(($E96+$C$1)&gt;AK$4,AK$4&gt;=$C$1),'General Inputs'!H$9*$H96,IF(AND(($D96+$C$1)&gt;AK$4,AK$4&gt;=$C$1),'General Inputs'!H$9*$G96,0))+IF(AND(($E96+$C$1)&gt;AK$4,AK$4&gt;=$C$1),'General Inputs'!H$10*$J96,IF(AND(($D96+$C$1)&gt;AK$4,AK$4&gt;=$C$1),'General Inputs'!H$10*$I96,0))</f>
        <v>5.2330141122495295</v>
      </c>
      <c r="AL96" s="214">
        <f>IF(AND(($E96+$C$1)&gt;AL$4,AL$4&gt;=$C$1),'General Inputs'!I$9*$H96,IF(AND(($D96+$C$1)&gt;AL$4,AL$4&gt;=$C$1),'General Inputs'!I$9*$G96,0))+IF(AND(($E96+$C$1)&gt;AL$4,AL$4&gt;=$C$1),'General Inputs'!I$10*$J96,IF(AND(($D96+$C$1)&gt;AL$4,AL$4&gt;=$C$1),'General Inputs'!I$10*$I96,0))</f>
        <v>5.3115093239332722</v>
      </c>
      <c r="AM96" s="214">
        <f>IF(AND(($E96+$C$1)&gt;AM$4,AM$4&gt;=$C$1),'General Inputs'!J$9*$H96,IF(AND(($D96+$C$1)&gt;AM$4,AM$4&gt;=$C$1),'General Inputs'!J$9*$G96,0))+IF(AND(($E96+$C$1)&gt;AM$4,AM$4&gt;=$C$1),'General Inputs'!J$10*$J96,IF(AND(($D96+$C$1)&gt;AM$4,AM$4&gt;=$C$1),'General Inputs'!J$10*$I96,0))</f>
        <v>5.3911819637922704</v>
      </c>
      <c r="AN96" s="214">
        <f>IF(AND(($E96+$C$1)&gt;AN$4,AN$4&gt;=$C$1),'General Inputs'!K$9*$H96,IF(AND(($D96+$C$1)&gt;AN$4,AN$4&gt;=$C$1),'General Inputs'!K$9*$G96,0))+IF(AND(($E96+$C$1)&gt;AN$4,AN$4&gt;=$C$1),'General Inputs'!K$10*$J96,IF(AND(($D96+$C$1)&gt;AN$4,AN$4&gt;=$C$1),'General Inputs'!K$10*$I96,0))</f>
        <v>5.4720496932491534</v>
      </c>
      <c r="AO96" s="214">
        <f>IF(AND(($E96+$C$1)&gt;AO$4,AO$4&gt;=$C$1),'General Inputs'!L$9*$H96,IF(AND(($D96+$C$1)&gt;AO$4,AO$4&gt;=$C$1),'General Inputs'!L$9*$G96,0))+IF(AND(($E96+$C$1)&gt;AO$4,AO$4&gt;=$C$1),'General Inputs'!L$10*$J96,IF(AND(($D96+$C$1)&gt;AO$4,AO$4&gt;=$C$1),'General Inputs'!L$10*$I96,0))</f>
        <v>5.5541304386478902</v>
      </c>
      <c r="AP96" s="214">
        <f>IF(AND(($E96+$C$1)&gt;AP$4,AP$4&gt;=$C$1),'General Inputs'!M$9*$H96,IF(AND(($D96+$C$1)&gt;AP$4,AP$4&gt;=$C$1),'General Inputs'!M$9*$G96,0))+IF(AND(($E96+$C$1)&gt;AP$4,AP$4&gt;=$C$1),'General Inputs'!M$10*$J96,IF(AND(($D96+$C$1)&gt;AP$4,AP$4&gt;=$C$1),'General Inputs'!M$10*$I96,0))</f>
        <v>5.6374423952276089</v>
      </c>
      <c r="AQ96" s="214">
        <f>IF(AND(($E96+$C$1)&gt;AQ$4,AQ$4&gt;=$C$1),'General Inputs'!N$9*$H96,IF(AND(($D96+$C$1)&gt;AQ$4,AQ$4&gt;=$C$1),'General Inputs'!N$9*$G96,0))+IF(AND(($E96+$C$1)&gt;AQ$4,AQ$4&gt;=$C$1),'General Inputs'!N$10*$J96,IF(AND(($D96+$C$1)&gt;AQ$4,AQ$4&gt;=$C$1),'General Inputs'!N$10*$I96,0))</f>
        <v>5.7220040311560219</v>
      </c>
      <c r="AR96" s="214">
        <f>IF(AND(($E96+$C$1)&gt;AR$4,AR$4&gt;=$C$1),'General Inputs'!O$9*$H96,IF(AND(($D96+$C$1)&gt;AR$4,AR$4&gt;=$C$1),'General Inputs'!O$9*$G96,0))+IF(AND(($E96+$C$1)&gt;AR$4,AR$4&gt;=$C$1),'General Inputs'!O$10*$J96,IF(AND(($D96+$C$1)&gt;AR$4,AR$4&gt;=$C$1),'General Inputs'!O$10*$I96,0))</f>
        <v>5.8078340916233619</v>
      </c>
      <c r="AS96" s="214">
        <f>IF(AND(($E96+$C$1)&gt;AS$4,AS$4&gt;=$C$1),'General Inputs'!P$9*$H96,IF(AND(($D96+$C$1)&gt;AS$4,AS$4&gt;=$C$1),'General Inputs'!P$9*$G96,0))+IF(AND(($E96+$C$1)&gt;AS$4,AS$4&gt;=$C$1),'General Inputs'!P$10*$J96,IF(AND(($D96+$C$1)&gt;AS$4,AS$4&gt;=$C$1),'General Inputs'!P$10*$I96,0))</f>
        <v>5.8949516029977111</v>
      </c>
      <c r="AT96" s="214">
        <f>IF(AND(($E96+$C$1)&gt;AT$4,AT$4&gt;=$C$1),'General Inputs'!Q$9*$H96,IF(AND(($D96+$C$1)&gt;AT$4,AT$4&gt;=$C$1),'General Inputs'!Q$9*$G96,0))+IF(AND(($E96+$C$1)&gt;AT$4,AT$4&gt;=$C$1),'General Inputs'!Q$10*$J96,IF(AND(($D96+$C$1)&gt;AT$4,AT$4&gt;=$C$1),'General Inputs'!Q$10*$I96,0))</f>
        <v>5.9833758770426764</v>
      </c>
      <c r="AU96" s="214">
        <f>IF(AND(($E96+$C$1)&gt;AU$4,AU$4&gt;=$C$1),'General Inputs'!R$9*$H96,IF(AND(($D96+$C$1)&gt;AU$4,AU$4&gt;=$C$1),'General Inputs'!R$9*$G96,0))+IF(AND(($E96+$C$1)&gt;AU$4,AU$4&gt;=$C$1),'General Inputs'!R$10*$J96,IF(AND(($D96+$C$1)&gt;AU$4,AU$4&gt;=$C$1),'General Inputs'!R$10*$I96,0))</f>
        <v>6.0731265151983163</v>
      </c>
      <c r="AV96" s="214">
        <f>IF(AND(($E96+$C$1)&gt;AV$4,AV$4&gt;=$C$1),'General Inputs'!S$9*$H96,IF(AND(($D96+$C$1)&gt;AV$4,AV$4&gt;=$C$1),'General Inputs'!S$9*$G96,0))+IF(AND(($E96+$C$1)&gt;AV$4,AV$4&gt;=$C$1),'General Inputs'!S$10*$J96,IF(AND(($D96+$C$1)&gt;AV$4,AV$4&gt;=$C$1),'General Inputs'!S$10*$I96,0))</f>
        <v>0</v>
      </c>
      <c r="AW96" s="214">
        <f>IF(AND(($E96+$C$1)&gt;AW$4,AW$4&gt;=$C$1),'General Inputs'!T$9*$H96,IF(AND(($D96+$C$1)&gt;AW$4,AW$4&gt;=$C$1),'General Inputs'!T$9*$G96,0))+IF(AND(($E96+$C$1)&gt;AW$4,AW$4&gt;=$C$1),'General Inputs'!T$10*$J96,IF(AND(($D96+$C$1)&gt;AW$4,AW$4&gt;=$C$1),'General Inputs'!T$10*$I96,0))</f>
        <v>0</v>
      </c>
      <c r="AX96" s="214">
        <f>IF(AND(($E96+$C$1)&gt;AX$4,AX$4&gt;=$C$1),'General Inputs'!U$9*$H96,IF(AND(($D96+$C$1)&gt;AX$4,AX$4&gt;=$C$1),'General Inputs'!U$9*$G96,0))+IF(AND(($E96+$C$1)&gt;AX$4,AX$4&gt;=$C$1),'General Inputs'!U$10*$J96,IF(AND(($D96+$C$1)&gt;AX$4,AX$4&gt;=$C$1),'General Inputs'!U$10*$I96,0))</f>
        <v>0</v>
      </c>
      <c r="AY96" s="214">
        <f>IF(AND(($E96+$C$1)&gt;AY$4,AY$4&gt;=$C$1),'General Inputs'!V$9*$H96,IF(AND(($D96+$C$1)&gt;AY$4,AY$4&gt;=$C$1),'General Inputs'!V$9*$G96,0))+IF(AND(($E96+$C$1)&gt;AY$4,AY$4&gt;=$C$1),'General Inputs'!V$10*$J96,IF(AND(($D96+$C$1)&gt;AY$4,AY$4&gt;=$C$1),'General Inputs'!V$10*$I96,0))</f>
        <v>0</v>
      </c>
      <c r="AZ96" s="214">
        <f>IF(AND(($E96+$C$1)&gt;AZ$4,AZ$4&gt;=$C$1),'General Inputs'!W$9*$H96,IF(AND(($D96+$C$1)&gt;AZ$4,AZ$4&gt;=$C$1),'General Inputs'!W$9*$G96,0))+IF(AND(($E96+$C$1)&gt;AZ$4,AZ$4&gt;=$C$1),'General Inputs'!W$10*$J96,IF(AND(($D96+$C$1)&gt;AZ$4,AZ$4&gt;=$C$1),'General Inputs'!W$10*$I96,0))</f>
        <v>0</v>
      </c>
      <c r="BB96" s="214">
        <f>IF(AND(($E96+$C$1)&gt;BB$4,BB$4&gt;=$C$1),'General Inputs'!D$11*$H96,IF(AND(($D96+$C$1)&gt;BB$4,BB$4&gt;=$C$1),'General Inputs'!D$11*$G96,0))</f>
        <v>1.2771306</v>
      </c>
      <c r="BC96" s="214">
        <f>IF(AND(($E96+$C$1)&gt;BC$4,BC$4&gt;=$C$1),'General Inputs'!E$11*$H96,IF(AND(($D96+$C$1)&gt;BC$4,BC$4&gt;=$C$1),'General Inputs'!E$11*$G96,0))</f>
        <v>1.2771306</v>
      </c>
      <c r="BD96" s="214">
        <f>IF(AND(($E96+$C$1)&gt;BD$4,BD$4&gt;=$C$1),'General Inputs'!F$11*$H96,IF(AND(($D96+$C$1)&gt;BD$4,BD$4&gt;=$C$1),'General Inputs'!F$11*$G96,0))</f>
        <v>1.2771306</v>
      </c>
      <c r="BE96" s="214">
        <f>IF(AND(($E96+$C$1)&gt;BE$4,BE$4&gt;=$C$1),'General Inputs'!G$11*$H96,IF(AND(($D96+$C$1)&gt;BE$4,BE$4&gt;=$C$1),'General Inputs'!G$11*$G96,0))</f>
        <v>1.2771306</v>
      </c>
      <c r="BF96" s="214">
        <f>IF(AND(($E96+$C$1)&gt;BF$4,BF$4&gt;=$C$1),'General Inputs'!H$11*$H96,IF(AND(($D96+$C$1)&gt;BF$4,BF$4&gt;=$C$1),'General Inputs'!H$11*$G96,0))</f>
        <v>1.2771306</v>
      </c>
      <c r="BG96" s="214">
        <f>IF(AND(($E96+$C$1)&gt;BG$4,BG$4&gt;=$C$1),'General Inputs'!I$11*$H96,IF(AND(($D96+$C$1)&gt;BG$4,BG$4&gt;=$C$1),'General Inputs'!I$11*$G96,0))</f>
        <v>1.2771306</v>
      </c>
      <c r="BH96" s="214">
        <f>IF(AND(($E96+$C$1)&gt;BH$4,BH$4&gt;=$C$1),'General Inputs'!J$11*$H96,IF(AND(($D96+$C$1)&gt;BH$4,BH$4&gt;=$C$1),'General Inputs'!J$11*$G96,0))</f>
        <v>1.2771306</v>
      </c>
      <c r="BI96" s="214">
        <f>IF(AND(($E96+$C$1)&gt;BI$4,BI$4&gt;=$C$1),'General Inputs'!K$11*$H96,IF(AND(($D96+$C$1)&gt;BI$4,BI$4&gt;=$C$1),'General Inputs'!K$11*$G96,0))</f>
        <v>1.2771306</v>
      </c>
      <c r="BJ96" s="214">
        <f>IF(AND(($E96+$C$1)&gt;BJ$4,BJ$4&gt;=$C$1),'General Inputs'!L$11*$H96,IF(AND(($D96+$C$1)&gt;BJ$4,BJ$4&gt;=$C$1),'General Inputs'!L$11*$G96,0))</f>
        <v>1.2771306</v>
      </c>
      <c r="BK96" s="214">
        <f>IF(AND(($E96+$C$1)&gt;BK$4,BK$4&gt;=$C$1),'General Inputs'!M$11*$H96,IF(AND(($D96+$C$1)&gt;BK$4,BK$4&gt;=$C$1),'General Inputs'!M$11*$G96,0))</f>
        <v>1.2771306</v>
      </c>
      <c r="BL96" s="214">
        <f>IF(AND(($E96+$C$1)&gt;BL$4,BL$4&gt;=$C$1),'General Inputs'!N$11*$H96,IF(AND(($D96+$C$1)&gt;BL$4,BL$4&gt;=$C$1),'General Inputs'!N$11*$G96,0))</f>
        <v>1.2771306</v>
      </c>
      <c r="BM96" s="214">
        <f>IF(AND(($E96+$C$1)&gt;BM$4,BM$4&gt;=$C$1),'General Inputs'!O$11*$H96,IF(AND(($D96+$C$1)&gt;BM$4,BM$4&gt;=$C$1),'General Inputs'!O$11*$G96,0))</f>
        <v>1.2771306</v>
      </c>
      <c r="BN96" s="214">
        <f>IF(AND(($E96+$C$1)&gt;BN$4,BN$4&gt;=$C$1),'General Inputs'!P$11*$H96,IF(AND(($D96+$C$1)&gt;BN$4,BN$4&gt;=$C$1),'General Inputs'!P$11*$G96,0))</f>
        <v>1.2771306</v>
      </c>
      <c r="BO96" s="214">
        <f>IF(AND(($E96+$C$1)&gt;BO$4,BO$4&gt;=$C$1),'General Inputs'!Q$11*$H96,IF(AND(($D96+$C$1)&gt;BO$4,BO$4&gt;=$C$1),'General Inputs'!Q$11*$G96,0))</f>
        <v>1.2771306</v>
      </c>
      <c r="BP96" s="214">
        <f>IF(AND(($E96+$C$1)&gt;BP$4,BP$4&gt;=$C$1),'General Inputs'!R$11*$H96,IF(AND(($D96+$C$1)&gt;BP$4,BP$4&gt;=$C$1),'General Inputs'!R$11*$G96,0))</f>
        <v>1.2771306</v>
      </c>
      <c r="BQ96" s="214">
        <f>IF(AND(($E96+$C$1)&gt;BQ$4,BQ$4&gt;=$C$1),'General Inputs'!S$11*$H96,IF(AND(($D96+$C$1)&gt;BQ$4,BQ$4&gt;=$C$1),'General Inputs'!S$11*$G96,0))</f>
        <v>0</v>
      </c>
      <c r="BR96" s="214">
        <f>IF(AND(($E96+$C$1)&gt;BR$4,BR$4&gt;=$C$1),'General Inputs'!T$11*$H96,IF(AND(($D96+$C$1)&gt;BR$4,BR$4&gt;=$C$1),'General Inputs'!T$11*$G96,0))</f>
        <v>0</v>
      </c>
      <c r="BS96" s="214">
        <f>IF(AND(($E96+$C$1)&gt;BS$4,BS$4&gt;=$C$1),'General Inputs'!U$11*$H96,IF(AND(($D96+$C$1)&gt;BS$4,BS$4&gt;=$C$1),'General Inputs'!U$11*$G96,0))</f>
        <v>0</v>
      </c>
      <c r="BT96" s="214">
        <f>IF(AND(($E96+$C$1)&gt;BT$4,BT$4&gt;=$C$1),'General Inputs'!V$11*$H96,IF(AND(($D96+$C$1)&gt;BT$4,BT$4&gt;=$C$1),'General Inputs'!V$11*$G96,0))</f>
        <v>0</v>
      </c>
      <c r="BU96" s="214">
        <f>IF(AND(($E96+$C$1)&gt;BU$4,BU$4&gt;=$C$1),'General Inputs'!W$11*$H96,IF(AND(($D96+$C$1)&gt;BU$4,BU$4&gt;=$C$1),'General Inputs'!W$11*$G96,0))</f>
        <v>0</v>
      </c>
      <c r="BW96" s="214">
        <f>IF(AND(($E96+$C$1)&gt;BW$4,BW$4&gt;=$C$1),$H96,IF(AND(($D96+$C$1)&gt;BW$4,BW$4&gt;=$C$1),$G96,0))*IF($A96="Residential",'General Inputs'!D$14,'General Inputs'!D$19)</f>
        <v>11.703316617256624</v>
      </c>
      <c r="BX96" s="214">
        <f>IF(AND(($E96+$C$1)&gt;BX$4,BX$4&gt;=$C$1),$H96,IF(AND(($D96+$C$1)&gt;BX$4,BX$4&gt;=$C$1),$G96,0))*IF($A96="Residential",'General Inputs'!E$14,'General Inputs'!E$19)</f>
        <v>11.878866366515473</v>
      </c>
      <c r="BY96" s="214">
        <f>IF(AND(($E96+$C$1)&gt;BY$4,BY$4&gt;=$C$1),$H96,IF(AND(($D96+$C$1)&gt;BY$4,BY$4&gt;=$C$1),$G96,0))*IF($A96="Residential",'General Inputs'!F$14,'General Inputs'!F$19)</f>
        <v>12.057049362013204</v>
      </c>
      <c r="BZ96" s="214">
        <f>IF(AND(($E96+$C$1)&gt;BZ$4,BZ$4&gt;=$C$1),$H96,IF(AND(($D96+$C$1)&gt;BZ$4,BZ$4&gt;=$C$1),$G96,0))*IF($A96="Residential",'General Inputs'!G$14,'General Inputs'!G$19)</f>
        <v>12.237905102443401</v>
      </c>
      <c r="CA96" s="214">
        <f>IF(AND(($E96+$C$1)&gt;CA$4,CA$4&gt;=$C$1),$H96,IF(AND(($D96+$C$1)&gt;CA$4,CA$4&gt;=$C$1),$G96,0))*IF($A96="Residential",'General Inputs'!H$14,'General Inputs'!H$19)</f>
        <v>12.42147367898005</v>
      </c>
      <c r="CB96" s="214">
        <f>IF(AND(($E96+$C$1)&gt;CB$4,CB$4&gt;=$C$1),$H96,IF(AND(($D96+$C$1)&gt;CB$4,CB$4&gt;=$C$1),$G96,0))*IF($A96="Residential",'General Inputs'!I$14,'General Inputs'!I$19)</f>
        <v>12.607795784164749</v>
      </c>
      <c r="CC96" s="214">
        <f>IF(AND(($E96+$C$1)&gt;CC$4,CC$4&gt;=$C$1),$H96,IF(AND(($D96+$C$1)&gt;CC$4,CC$4&gt;=$C$1),$G96,0))*IF($A96="Residential",'General Inputs'!J$14,'General Inputs'!J$19)</f>
        <v>12.796912720927219</v>
      </c>
      <c r="CD96" s="214">
        <f>IF(AND(($E96+$C$1)&gt;CD$4,CD$4&gt;=$C$1),$H96,IF(AND(($D96+$C$1)&gt;CD$4,CD$4&gt;=$C$1),$G96,0))*IF($A96="Residential",'General Inputs'!K$14,'General Inputs'!K$19)</f>
        <v>12.988866411741126</v>
      </c>
      <c r="CE96" s="214">
        <f>IF(AND(($E96+$C$1)&gt;CE$4,CE$4&gt;=$C$1),$H96,IF(AND(($D96+$C$1)&gt;CE$4,CE$4&gt;=$C$1),$G96,0))*IF($A96="Residential",'General Inputs'!L$14,'General Inputs'!L$19)</f>
        <v>13.183699407917242</v>
      </c>
      <c r="CF96" s="214">
        <f>IF(AND(($E96+$C$1)&gt;CF$4,CF$4&gt;=$C$1),$H96,IF(AND(($D96+$C$1)&gt;CF$4,CF$4&gt;=$C$1),$G96,0))*IF($A96="Residential",'General Inputs'!M$14,'General Inputs'!M$19)</f>
        <v>13.381454899035999</v>
      </c>
      <c r="CG96" s="214">
        <f>IF(AND(($E96+$C$1)&gt;CG$4,CG$4&gt;=$C$1),$H96,IF(AND(($D96+$C$1)&gt;CG$4,CG$4&gt;=$C$1),$G96,0))*IF($A96="Residential",'General Inputs'!N$14,'General Inputs'!N$19)</f>
        <v>13.582176722521538</v>
      </c>
      <c r="CH96" s="214">
        <f>IF(AND(($E96+$C$1)&gt;CH$4,CH$4&gt;=$C$1),$H96,IF(AND(($D96+$C$1)&gt;CH$4,CH$4&gt;=$C$1),$G96,0))*IF($A96="Residential",'General Inputs'!O$14,'General Inputs'!O$19)</f>
        <v>13.78590937335936</v>
      </c>
      <c r="CI96" s="214">
        <f>IF(AND(($E96+$C$1)&gt;CI$4,CI$4&gt;=$C$1),$H96,IF(AND(($D96+$C$1)&gt;CI$4,CI$4&gt;=$C$1),$G96,0))*IF($A96="Residential",'General Inputs'!P$14,'General Inputs'!P$19)</f>
        <v>13.99269801395975</v>
      </c>
      <c r="CJ96" s="214">
        <f>IF(AND(($E96+$C$1)&gt;CJ$4,CJ$4&gt;=$C$1),$H96,IF(AND(($D96+$C$1)&gt;CJ$4,CJ$4&gt;=$C$1),$G96,0))*IF($A96="Residential",'General Inputs'!Q$14,'General Inputs'!Q$19)</f>
        <v>14.202588484169144</v>
      </c>
      <c r="CK96" s="214">
        <f>IF(AND(($E96+$C$1)&gt;CK$4,CK$4&gt;=$C$1),$H96,IF(AND(($D96+$C$1)&gt;CK$4,CK$4&gt;=$C$1),$G96,0))*IF($A96="Residential",'General Inputs'!R$14,'General Inputs'!R$19)</f>
        <v>14.415627311431679</v>
      </c>
      <c r="CL96" s="214">
        <f>IF(AND(($E96+$C$1)&gt;CL$4,CL$4&gt;=$C$1),$H96,IF(AND(($D96+$C$1)&gt;CL$4,CL$4&gt;=$C$1),$G96,0))*IF($A96="Residential",'General Inputs'!S$14,'General Inputs'!S$19)</f>
        <v>0</v>
      </c>
      <c r="CM96" s="214">
        <f>IF(AND(($E96+$C$1)&gt;CM$4,CM$4&gt;=$C$1),$H96,IF(AND(($D96+$C$1)&gt;CM$4,CM$4&gt;=$C$1),$G96,0))*IF($A96="Residential",'General Inputs'!T$14,'General Inputs'!T$19)</f>
        <v>0</v>
      </c>
      <c r="CN96" s="214">
        <f>IF(AND(($E96+$C$1)&gt;CN$4,CN$4&gt;=$C$1),$H96,IF(AND(($D96+$C$1)&gt;CN$4,CN$4&gt;=$C$1),$G96,0))*IF($A96="Residential",'General Inputs'!U$14,'General Inputs'!U$19)</f>
        <v>0</v>
      </c>
      <c r="CO96" s="214">
        <f>IF(AND(($E96+$C$1)&gt;CO$4,CO$4&gt;=$C$1),$H96,IF(AND(($D96+$C$1)&gt;CO$4,CO$4&gt;=$C$1),$G96,0))*IF($A96="Residential",'General Inputs'!V$14,'General Inputs'!V$19)</f>
        <v>0</v>
      </c>
      <c r="CP96" s="214">
        <f>IF(AND(($E96+$C$1)&gt;CP$4,CP$4&gt;=$C$1),$H96,IF(AND(($D96+$C$1)&gt;CP$4,CP$4&gt;=$C$1),$G96,0))*IF($A96="Residential",'General Inputs'!W$14,'General Inputs'!W$19)</f>
        <v>0</v>
      </c>
      <c r="CR96" s="214">
        <f>IF(AND(($E96+$C$1)&gt;CR$4,CR$4&gt;=$C$1),$H96,IF(AND(($D96+$C$1)&gt;CR$4,CR$4&gt;=$C$1),$G96,0))*IF($A96="Residential",'General Inputs'!D$15,'General Inputs'!D$19)</f>
        <v>11.703316617256624</v>
      </c>
      <c r="CS96" s="214">
        <f>IF(AND(($E96+$C$1)&gt;CS$4,CS$4&gt;=$C$1),$H96,IF(AND(($D96+$C$1)&gt;CS$4,CS$4&gt;=$C$1),$G96,0))*IF($A96="Residential",'General Inputs'!E$15,'General Inputs'!E$19)</f>
        <v>11.878866366515473</v>
      </c>
      <c r="CT96" s="214">
        <f>IF(AND(($E96+$C$1)&gt;CT$4,CT$4&gt;=$C$1),$H96,IF(AND(($D96+$C$1)&gt;CT$4,CT$4&gt;=$C$1),$G96,0))*IF($A96="Residential",'General Inputs'!F$15,'General Inputs'!F$19)</f>
        <v>12.057049362013204</v>
      </c>
      <c r="CU96" s="214">
        <f>IF(AND(($E96+$C$1)&gt;CU$4,CU$4&gt;=$C$1),$H96,IF(AND(($D96+$C$1)&gt;CU$4,CU$4&gt;=$C$1),$G96,0))*IF($A96="Residential",'General Inputs'!G$15,'General Inputs'!G$19)</f>
        <v>12.237905102443401</v>
      </c>
      <c r="CV96" s="214">
        <f>IF(AND(($E96+$C$1)&gt;CV$4,CV$4&gt;=$C$1),$H96,IF(AND(($D96+$C$1)&gt;CV$4,CV$4&gt;=$C$1),$G96,0))*IF($A96="Residential",'General Inputs'!H$15,'General Inputs'!H$19)</f>
        <v>12.42147367898005</v>
      </c>
      <c r="CW96" s="214">
        <f>IF(AND(($E96+$C$1)&gt;CW$4,CW$4&gt;=$C$1),$H96,IF(AND(($D96+$C$1)&gt;CW$4,CW$4&gt;=$C$1),$G96,0))*IF($A96="Residential",'General Inputs'!I$15,'General Inputs'!I$19)</f>
        <v>12.607795784164749</v>
      </c>
      <c r="CX96" s="214">
        <f>IF(AND(($E96+$C$1)&gt;CX$4,CX$4&gt;=$C$1),$H96,IF(AND(($D96+$C$1)&gt;CX$4,CX$4&gt;=$C$1),$G96,0))*IF($A96="Residential",'General Inputs'!J$15,'General Inputs'!J$19)</f>
        <v>12.796912720927219</v>
      </c>
      <c r="CY96" s="214">
        <f>IF(AND(($E96+$C$1)&gt;CY$4,CY$4&gt;=$C$1),$H96,IF(AND(($D96+$C$1)&gt;CY$4,CY$4&gt;=$C$1),$G96,0))*IF($A96="Residential",'General Inputs'!K$15,'General Inputs'!K$19)</f>
        <v>12.988866411741126</v>
      </c>
      <c r="CZ96" s="214">
        <f>IF(AND(($E96+$C$1)&gt;CZ$4,CZ$4&gt;=$C$1),$H96,IF(AND(($D96+$C$1)&gt;CZ$4,CZ$4&gt;=$C$1),$G96,0))*IF($A96="Residential",'General Inputs'!L$15,'General Inputs'!L$19)</f>
        <v>13.183699407917242</v>
      </c>
      <c r="DA96" s="214">
        <f>IF(AND(($E96+$C$1)&gt;DA$4,DA$4&gt;=$C$1),$H96,IF(AND(($D96+$C$1)&gt;DA$4,DA$4&gt;=$C$1),$G96,0))*IF($A96="Residential",'General Inputs'!M$15,'General Inputs'!M$19)</f>
        <v>13.381454899035999</v>
      </c>
      <c r="DB96" s="214">
        <f>IF(AND(($E96+$C$1)&gt;DB$4,DB$4&gt;=$C$1),$H96,IF(AND(($D96+$C$1)&gt;DB$4,DB$4&gt;=$C$1),$G96,0))*IF($A96="Residential",'General Inputs'!N$15,'General Inputs'!N$19)</f>
        <v>13.582176722521538</v>
      </c>
      <c r="DC96" s="214">
        <f>IF(AND(($E96+$C$1)&gt;DC$4,DC$4&gt;=$C$1),$H96,IF(AND(($D96+$C$1)&gt;DC$4,DC$4&gt;=$C$1),$G96,0))*IF($A96="Residential",'General Inputs'!O$15,'General Inputs'!O$19)</f>
        <v>13.78590937335936</v>
      </c>
      <c r="DD96" s="214">
        <f>IF(AND(($E96+$C$1)&gt;DD$4,DD$4&gt;=$C$1),$H96,IF(AND(($D96+$C$1)&gt;DD$4,DD$4&gt;=$C$1),$G96,0))*IF($A96="Residential",'General Inputs'!P$15,'General Inputs'!P$19)</f>
        <v>13.99269801395975</v>
      </c>
      <c r="DE96" s="214">
        <f>IF(AND(($E96+$C$1)&gt;DE$4,DE$4&gt;=$C$1),$H96,IF(AND(($D96+$C$1)&gt;DE$4,DE$4&gt;=$C$1),$G96,0))*IF($A96="Residential",'General Inputs'!Q$15,'General Inputs'!Q$19)</f>
        <v>14.202588484169144</v>
      </c>
      <c r="DF96" s="214">
        <f>IF(AND(($E96+$C$1)&gt;DF$4,DF$4&gt;=$C$1),$H96,IF(AND(($D96+$C$1)&gt;DF$4,DF$4&gt;=$C$1),$G96,0))*IF($A96="Residential",'General Inputs'!R$15,'General Inputs'!R$19)</f>
        <v>14.415627311431679</v>
      </c>
      <c r="DG96" s="214">
        <f>IF(AND(($E96+$C$1)&gt;DG$4,DG$4&gt;=$C$1),$H96,IF(AND(($D96+$C$1)&gt;DG$4,DG$4&gt;=$C$1),$G96,0))*IF($A96="Residential",'General Inputs'!S$15,'General Inputs'!S$19)</f>
        <v>0</v>
      </c>
      <c r="DH96" s="214">
        <f>IF(AND(($E96+$C$1)&gt;DH$4,DH$4&gt;=$C$1),$H96,IF(AND(($D96+$C$1)&gt;DH$4,DH$4&gt;=$C$1),$G96,0))*IF($A96="Residential",'General Inputs'!T$15,'General Inputs'!T$19)</f>
        <v>0</v>
      </c>
      <c r="DI96" s="214">
        <f>IF(AND(($E96+$C$1)&gt;DI$4,DI$4&gt;=$C$1),$H96,IF(AND(($D96+$C$1)&gt;DI$4,DI$4&gt;=$C$1),$G96,0))*IF($A96="Residential",'General Inputs'!U$15,'General Inputs'!U$19)</f>
        <v>0</v>
      </c>
      <c r="DJ96" s="214">
        <f>IF(AND(($E96+$C$1)&gt;DJ$4,DJ$4&gt;=$C$1),$H96,IF(AND(($D96+$C$1)&gt;DJ$4,DJ$4&gt;=$C$1),$G96,0))*IF($A96="Residential",'General Inputs'!V$15,'General Inputs'!V$19)</f>
        <v>0</v>
      </c>
      <c r="DK96" s="214">
        <f>IF(AND(($E96+$C$1)&gt;DK$4,DK$4&gt;=$C$1),$H96,IF(AND(($D96+$C$1)&gt;DK$4,DK$4&gt;=$C$1),$G96,0))*IF($A96="Residential",'General Inputs'!W$15,'General Inputs'!W$19)</f>
        <v>0</v>
      </c>
      <c r="DM96" s="214">
        <f t="shared" si="530"/>
        <v>115</v>
      </c>
      <c r="DN96" s="214">
        <f t="shared" si="530"/>
        <v>0</v>
      </c>
      <c r="DO96" s="214">
        <f t="shared" si="530"/>
        <v>0</v>
      </c>
      <c r="DP96" s="214">
        <f t="shared" si="530"/>
        <v>0</v>
      </c>
      <c r="DQ96" s="214">
        <f t="shared" si="530"/>
        <v>0</v>
      </c>
      <c r="DR96" s="214">
        <f t="shared" si="530"/>
        <v>0</v>
      </c>
      <c r="DS96" s="214">
        <f t="shared" si="530"/>
        <v>0</v>
      </c>
      <c r="DT96" s="214">
        <f t="shared" si="530"/>
        <v>0</v>
      </c>
      <c r="DU96" s="214">
        <f t="shared" si="530"/>
        <v>0</v>
      </c>
      <c r="DV96" s="214">
        <f t="shared" si="530"/>
        <v>0</v>
      </c>
      <c r="DW96" s="214">
        <f t="shared" si="530"/>
        <v>0</v>
      </c>
      <c r="DZ96" s="650"/>
      <c r="FI96" s="195"/>
      <c r="FJ96" s="195"/>
      <c r="FK96" s="195"/>
      <c r="FL96" s="195"/>
      <c r="FM96" s="195"/>
      <c r="FN96" s="195"/>
      <c r="FO96" s="195"/>
    </row>
    <row r="97" spans="1:171">
      <c r="C97" s="196"/>
      <c r="D97" s="196"/>
      <c r="E97" s="213"/>
      <c r="G97" s="516"/>
      <c r="H97" s="516"/>
      <c r="L97" s="349"/>
      <c r="M97" s="349"/>
      <c r="N97" s="211"/>
      <c r="O97" s="211"/>
      <c r="Q97" s="209"/>
      <c r="R97" s="195"/>
      <c r="S97" s="195"/>
      <c r="T97" s="209"/>
      <c r="U97" s="209"/>
      <c r="V97" s="195"/>
      <c r="W97" s="195"/>
      <c r="Y97" s="209"/>
      <c r="Z97" s="195"/>
      <c r="AA97" s="194"/>
      <c r="AB97" s="194"/>
      <c r="AC97" s="194"/>
      <c r="AD97" s="194"/>
      <c r="AE97" s="194"/>
      <c r="AG97" s="194"/>
      <c r="FI97" s="195"/>
      <c r="FJ97" s="195"/>
      <c r="FK97" s="195"/>
      <c r="FL97" s="195"/>
      <c r="FM97" s="195"/>
      <c r="FN97" s="195"/>
      <c r="FO97" s="195"/>
    </row>
    <row r="98" spans="1:171">
      <c r="C98" s="196"/>
      <c r="D98" s="213"/>
      <c r="E98" s="213"/>
      <c r="G98" s="516"/>
      <c r="H98" s="516"/>
      <c r="L98" s="349"/>
      <c r="M98" s="349"/>
      <c r="N98" s="211"/>
      <c r="O98" s="211"/>
      <c r="Q98" s="209"/>
      <c r="R98" s="195"/>
      <c r="S98" s="195"/>
      <c r="T98" s="209"/>
      <c r="U98" s="209"/>
      <c r="V98" s="195"/>
      <c r="W98" s="195"/>
      <c r="Y98" s="209"/>
      <c r="Z98" s="195"/>
      <c r="AA98" s="194"/>
      <c r="AB98" s="194"/>
      <c r="AC98" s="194"/>
      <c r="AD98" s="194"/>
      <c r="AE98" s="194"/>
      <c r="AG98" s="194"/>
      <c r="FI98" s="195"/>
      <c r="FJ98" s="195"/>
      <c r="FK98" s="195"/>
      <c r="FL98" s="195"/>
      <c r="FM98" s="195"/>
      <c r="FN98" s="195"/>
      <c r="FO98" s="195"/>
    </row>
    <row r="99" spans="1:171">
      <c r="C99" s="196"/>
      <c r="D99" s="213"/>
      <c r="E99" s="213"/>
      <c r="G99" s="516"/>
      <c r="H99" s="516"/>
      <c r="L99" s="349"/>
      <c r="M99" s="349"/>
      <c r="N99" s="211"/>
      <c r="O99" s="211"/>
      <c r="Q99" s="209"/>
      <c r="R99" s="195"/>
      <c r="S99" s="195"/>
      <c r="T99" s="209"/>
      <c r="U99" s="209"/>
      <c r="V99" s="195"/>
      <c r="W99" s="195"/>
      <c r="Y99" s="209"/>
      <c r="Z99" s="195"/>
      <c r="AA99" s="194"/>
      <c r="AB99" s="194"/>
      <c r="AC99" s="194"/>
      <c r="AD99" s="194"/>
      <c r="AE99" s="194"/>
      <c r="AG99" s="194"/>
      <c r="FI99" s="195"/>
      <c r="FJ99" s="195"/>
      <c r="FK99" s="195"/>
      <c r="FL99" s="195"/>
      <c r="FM99" s="195"/>
      <c r="FN99" s="195"/>
      <c r="FO99" s="195"/>
    </row>
    <row r="100" spans="1:171">
      <c r="C100" s="196"/>
      <c r="D100" s="213"/>
      <c r="E100" s="213"/>
      <c r="G100" s="516"/>
      <c r="H100" s="516"/>
      <c r="L100" s="349"/>
      <c r="M100" s="349"/>
      <c r="N100" s="211"/>
      <c r="O100" s="211"/>
      <c r="Q100" s="209"/>
      <c r="R100" s="195"/>
      <c r="S100" s="195"/>
      <c r="T100" s="209"/>
      <c r="U100" s="209"/>
      <c r="V100" s="195"/>
      <c r="W100" s="195"/>
      <c r="Y100" s="209"/>
      <c r="Z100" s="195"/>
      <c r="AA100" s="194"/>
      <c r="AB100" s="194"/>
      <c r="AC100" s="194"/>
      <c r="AD100" s="194"/>
      <c r="AE100" s="194"/>
      <c r="AG100" s="194"/>
      <c r="FI100" s="195"/>
      <c r="FJ100" s="195"/>
      <c r="FK100" s="195"/>
      <c r="FL100" s="195"/>
      <c r="FM100" s="195"/>
      <c r="FN100" s="195"/>
      <c r="FO100" s="195"/>
    </row>
    <row r="101" spans="1:171">
      <c r="C101" s="196"/>
      <c r="D101" s="213"/>
      <c r="E101" s="213"/>
      <c r="G101" s="516"/>
      <c r="H101" s="516"/>
      <c r="L101" s="349"/>
      <c r="M101" s="349"/>
      <c r="N101" s="211"/>
      <c r="O101" s="211"/>
      <c r="Q101" s="209"/>
      <c r="R101" s="195"/>
      <c r="S101" s="195"/>
      <c r="T101" s="209"/>
      <c r="U101" s="209"/>
      <c r="V101" s="195"/>
      <c r="W101" s="195"/>
      <c r="Y101" s="209"/>
      <c r="Z101" s="195"/>
      <c r="AA101" s="194"/>
      <c r="AB101" s="194"/>
      <c r="AC101" s="194"/>
      <c r="AD101" s="194"/>
      <c r="AE101" s="194"/>
      <c r="AG101" s="194"/>
      <c r="FI101" s="195"/>
      <c r="FJ101" s="195"/>
      <c r="FK101" s="195"/>
      <c r="FL101" s="195"/>
      <c r="FM101" s="195"/>
      <c r="FN101" s="195"/>
      <c r="FO101" s="195"/>
    </row>
    <row r="102" spans="1:171">
      <c r="C102" s="196"/>
      <c r="D102" s="213"/>
      <c r="E102" s="213"/>
      <c r="G102" s="516"/>
      <c r="H102" s="516"/>
      <c r="L102" s="349"/>
      <c r="M102" s="349"/>
      <c r="N102" s="211"/>
      <c r="O102" s="211"/>
      <c r="Q102" s="209"/>
      <c r="R102" s="195"/>
      <c r="S102" s="195"/>
      <c r="T102" s="209"/>
      <c r="U102" s="209"/>
      <c r="V102" s="195"/>
      <c r="W102" s="195"/>
      <c r="Y102" s="209"/>
      <c r="Z102" s="195"/>
      <c r="AA102" s="194"/>
      <c r="AB102" s="194"/>
      <c r="AC102" s="194"/>
      <c r="AD102" s="194"/>
      <c r="AE102" s="194"/>
      <c r="AG102" s="194"/>
      <c r="FI102" s="195"/>
      <c r="FJ102" s="195"/>
      <c r="FK102" s="195"/>
      <c r="FL102" s="195"/>
      <c r="FM102" s="195"/>
      <c r="FN102" s="195"/>
      <c r="FO102" s="195"/>
    </row>
    <row r="103" spans="1:171">
      <c r="C103" s="196"/>
      <c r="D103" s="213"/>
      <c r="E103" s="213"/>
      <c r="G103" s="516"/>
      <c r="H103" s="516"/>
      <c r="L103" s="349"/>
      <c r="M103" s="349"/>
      <c r="N103" s="211"/>
      <c r="O103" s="211"/>
      <c r="Q103" s="209"/>
      <c r="R103" s="195"/>
      <c r="S103" s="195"/>
      <c r="T103" s="209"/>
      <c r="U103" s="209"/>
      <c r="V103" s="195"/>
      <c r="W103" s="195"/>
      <c r="Y103" s="209"/>
      <c r="Z103" s="195"/>
      <c r="AA103" s="194"/>
      <c r="AB103" s="194"/>
      <c r="AC103" s="194"/>
      <c r="AD103" s="194"/>
      <c r="AE103" s="194"/>
      <c r="AG103" s="194"/>
      <c r="FI103" s="195"/>
      <c r="FJ103" s="195"/>
      <c r="FK103" s="195"/>
      <c r="FL103" s="195"/>
      <c r="FM103" s="195"/>
      <c r="FN103" s="195"/>
      <c r="FO103" s="195"/>
    </row>
    <row r="104" spans="1:171">
      <c r="A104" s="195"/>
      <c r="B104" s="195"/>
      <c r="C104" s="196"/>
      <c r="D104" s="213"/>
      <c r="E104" s="213"/>
      <c r="G104" s="516"/>
      <c r="H104" s="516"/>
      <c r="L104" s="349"/>
      <c r="M104" s="349"/>
      <c r="N104" s="211"/>
      <c r="O104" s="211"/>
      <c r="Q104" s="209"/>
      <c r="R104" s="195"/>
      <c r="S104" s="195"/>
      <c r="T104" s="209"/>
      <c r="U104" s="209"/>
      <c r="V104" s="195"/>
      <c r="W104" s="195"/>
      <c r="Y104" s="209"/>
      <c r="Z104" s="195"/>
      <c r="AA104" s="194"/>
      <c r="AB104" s="194"/>
      <c r="AC104" s="194"/>
      <c r="AD104" s="194"/>
      <c r="AE104" s="194"/>
      <c r="AG104" s="194"/>
      <c r="FI104" s="195"/>
      <c r="FJ104" s="195"/>
      <c r="FK104" s="195"/>
      <c r="FL104" s="195"/>
      <c r="FM104" s="195"/>
      <c r="FN104" s="195"/>
      <c r="FO104" s="195"/>
    </row>
    <row r="105" spans="1:171">
      <c r="A105" s="195"/>
      <c r="B105" s="195"/>
      <c r="C105" s="196"/>
      <c r="D105" s="213"/>
      <c r="E105" s="213"/>
      <c r="G105" s="516"/>
      <c r="H105" s="516"/>
      <c r="L105" s="349"/>
      <c r="M105" s="349"/>
      <c r="N105" s="211"/>
      <c r="O105" s="211"/>
      <c r="Q105" s="209"/>
      <c r="R105" s="195"/>
      <c r="S105" s="195"/>
      <c r="T105" s="209"/>
      <c r="U105" s="209"/>
      <c r="V105" s="195"/>
      <c r="W105" s="195"/>
      <c r="Y105" s="209"/>
      <c r="Z105" s="195"/>
      <c r="AA105" s="194"/>
      <c r="AB105" s="194"/>
      <c r="AC105" s="194"/>
      <c r="AD105" s="194"/>
      <c r="AE105" s="194"/>
      <c r="AG105" s="194"/>
      <c r="FI105" s="195"/>
      <c r="FJ105" s="195"/>
      <c r="FK105" s="195"/>
      <c r="FL105" s="195"/>
      <c r="FM105" s="195"/>
      <c r="FN105" s="195"/>
      <c r="FO105" s="195"/>
    </row>
    <row r="106" spans="1:171">
      <c r="A106" s="195"/>
      <c r="B106" s="195"/>
      <c r="C106" s="196"/>
      <c r="D106" s="213"/>
      <c r="E106" s="213"/>
      <c r="G106" s="516"/>
      <c r="H106" s="516"/>
      <c r="L106" s="349"/>
      <c r="M106" s="349"/>
      <c r="N106" s="211"/>
      <c r="O106" s="211"/>
      <c r="Q106" s="209"/>
      <c r="R106" s="195"/>
      <c r="S106" s="195"/>
      <c r="T106" s="209"/>
      <c r="U106" s="209"/>
      <c r="V106" s="195"/>
      <c r="W106" s="195"/>
      <c r="Y106" s="209"/>
      <c r="Z106" s="195"/>
      <c r="AA106" s="194"/>
      <c r="AB106" s="194"/>
      <c r="AC106" s="194"/>
      <c r="AD106" s="194"/>
      <c r="AE106" s="194"/>
      <c r="AG106" s="194"/>
      <c r="FI106" s="195"/>
      <c r="FJ106" s="195"/>
      <c r="FK106" s="195"/>
      <c r="FL106" s="195"/>
      <c r="FM106" s="195"/>
      <c r="FN106" s="195"/>
      <c r="FO106" s="195"/>
    </row>
    <row r="107" spans="1:171">
      <c r="A107" s="195"/>
      <c r="B107" s="195"/>
      <c r="C107" s="196"/>
      <c r="D107" s="213"/>
      <c r="E107" s="213"/>
      <c r="G107" s="516"/>
      <c r="H107" s="516"/>
      <c r="L107" s="349"/>
      <c r="M107" s="349"/>
      <c r="N107" s="211"/>
      <c r="O107" s="211"/>
      <c r="Q107" s="209"/>
      <c r="R107" s="195"/>
      <c r="S107" s="195"/>
      <c r="T107" s="209"/>
      <c r="U107" s="209"/>
      <c r="V107" s="195"/>
      <c r="W107" s="195"/>
      <c r="Y107" s="209"/>
      <c r="Z107" s="195"/>
      <c r="AA107" s="194"/>
      <c r="AB107" s="194"/>
      <c r="AC107" s="194"/>
      <c r="AD107" s="194"/>
      <c r="AE107" s="194"/>
      <c r="AG107" s="194"/>
      <c r="FI107" s="195"/>
      <c r="FJ107" s="195"/>
      <c r="FK107" s="195"/>
      <c r="FL107" s="195"/>
      <c r="FM107" s="195"/>
      <c r="FN107" s="195"/>
      <c r="FO107" s="195"/>
    </row>
    <row r="108" spans="1:171">
      <c r="A108" s="195"/>
      <c r="B108" s="195"/>
      <c r="C108" s="196"/>
      <c r="D108" s="213"/>
      <c r="E108" s="213"/>
      <c r="G108" s="516"/>
      <c r="H108" s="516"/>
      <c r="L108" s="349"/>
      <c r="M108" s="349"/>
      <c r="N108" s="211"/>
      <c r="O108" s="211"/>
      <c r="Q108" s="209"/>
      <c r="R108" s="195"/>
      <c r="S108" s="195"/>
      <c r="T108" s="209"/>
      <c r="U108" s="209"/>
      <c r="V108" s="195"/>
      <c r="W108" s="195"/>
      <c r="Y108" s="209"/>
      <c r="Z108" s="195"/>
      <c r="AA108" s="194"/>
      <c r="AB108" s="194"/>
      <c r="AC108" s="194"/>
      <c r="AD108" s="194"/>
      <c r="AE108" s="194"/>
      <c r="AG108" s="194"/>
      <c r="FI108" s="195"/>
      <c r="FJ108" s="195"/>
      <c r="FK108" s="195"/>
      <c r="FL108" s="195"/>
      <c r="FM108" s="195"/>
      <c r="FN108" s="195"/>
      <c r="FO108" s="195"/>
    </row>
    <row r="109" spans="1:171">
      <c r="A109" s="195"/>
      <c r="B109" s="195"/>
      <c r="C109" s="196"/>
      <c r="D109" s="213"/>
      <c r="E109" s="213"/>
      <c r="G109" s="516"/>
      <c r="H109" s="516"/>
      <c r="L109" s="349"/>
      <c r="M109" s="349"/>
      <c r="N109" s="211"/>
      <c r="O109" s="211"/>
      <c r="Q109" s="209"/>
      <c r="R109" s="195"/>
      <c r="S109" s="195"/>
      <c r="T109" s="209"/>
      <c r="U109" s="209"/>
      <c r="V109" s="195"/>
      <c r="W109" s="195"/>
      <c r="Y109" s="209"/>
      <c r="Z109" s="195"/>
      <c r="AA109" s="194"/>
      <c r="AB109" s="194"/>
      <c r="AC109" s="194"/>
      <c r="AD109" s="194"/>
      <c r="AE109" s="194"/>
      <c r="AG109" s="194"/>
      <c r="FI109" s="195"/>
      <c r="FJ109" s="195"/>
      <c r="FK109" s="195"/>
      <c r="FL109" s="195"/>
      <c r="FM109" s="195"/>
      <c r="FN109" s="195"/>
      <c r="FO109" s="195"/>
    </row>
    <row r="110" spans="1:171">
      <c r="A110" s="195"/>
      <c r="B110" s="195"/>
      <c r="C110" s="196"/>
      <c r="D110" s="213"/>
      <c r="E110" s="213"/>
      <c r="G110" s="516"/>
      <c r="H110" s="516"/>
      <c r="L110" s="349"/>
      <c r="M110" s="349"/>
      <c r="N110" s="211"/>
      <c r="O110" s="211"/>
      <c r="Q110" s="209"/>
      <c r="R110" s="195"/>
      <c r="S110" s="195"/>
      <c r="T110" s="209"/>
      <c r="U110" s="209"/>
      <c r="V110" s="195"/>
      <c r="W110" s="195"/>
      <c r="Y110" s="209"/>
      <c r="Z110" s="195"/>
      <c r="AA110" s="194"/>
      <c r="AB110" s="194"/>
      <c r="AC110" s="194"/>
      <c r="AD110" s="194"/>
      <c r="AE110" s="194"/>
      <c r="AG110" s="194"/>
      <c r="FI110" s="195"/>
      <c r="FJ110" s="195"/>
      <c r="FK110" s="195"/>
      <c r="FL110" s="195"/>
      <c r="FM110" s="195"/>
      <c r="FN110" s="195"/>
      <c r="FO110" s="195"/>
    </row>
    <row r="111" spans="1:171">
      <c r="A111" s="195"/>
      <c r="B111" s="195"/>
      <c r="C111" s="196"/>
      <c r="D111" s="213"/>
      <c r="E111" s="213"/>
      <c r="G111" s="516"/>
      <c r="H111" s="516"/>
      <c r="L111" s="349"/>
      <c r="M111" s="349"/>
      <c r="N111" s="211"/>
      <c r="O111" s="211"/>
      <c r="Q111" s="209"/>
      <c r="R111" s="195"/>
      <c r="S111" s="195"/>
      <c r="T111" s="209"/>
      <c r="U111" s="209"/>
      <c r="V111" s="195"/>
      <c r="W111" s="195"/>
      <c r="Y111" s="209"/>
      <c r="Z111" s="195"/>
      <c r="AA111" s="194"/>
      <c r="AB111" s="194"/>
      <c r="AC111" s="194"/>
      <c r="AD111" s="194"/>
      <c r="AE111" s="194"/>
      <c r="AG111" s="194"/>
      <c r="FI111" s="195"/>
      <c r="FJ111" s="195"/>
      <c r="FK111" s="195"/>
      <c r="FL111" s="195"/>
      <c r="FM111" s="195"/>
      <c r="FN111" s="195"/>
      <c r="FO111" s="195"/>
    </row>
    <row r="112" spans="1:171">
      <c r="A112" s="195"/>
      <c r="B112" s="195"/>
      <c r="C112" s="196"/>
      <c r="D112" s="213"/>
      <c r="E112" s="213"/>
      <c r="G112" s="516"/>
      <c r="H112" s="516"/>
      <c r="L112" s="349"/>
      <c r="M112" s="349"/>
      <c r="N112" s="211"/>
      <c r="O112" s="211"/>
      <c r="Q112" s="209"/>
      <c r="R112" s="195"/>
      <c r="S112" s="195"/>
      <c r="T112" s="209"/>
      <c r="U112" s="209"/>
      <c r="V112" s="195"/>
      <c r="W112" s="195"/>
      <c r="Y112" s="209"/>
      <c r="Z112" s="195"/>
      <c r="AA112" s="194"/>
      <c r="AB112" s="194"/>
      <c r="AC112" s="194"/>
      <c r="AD112" s="194"/>
      <c r="AE112" s="194"/>
      <c r="AG112" s="194"/>
      <c r="FI112" s="195"/>
      <c r="FJ112" s="195"/>
      <c r="FK112" s="195"/>
      <c r="FL112" s="195"/>
      <c r="FM112" s="195"/>
      <c r="FN112" s="195"/>
      <c r="FO112" s="195"/>
    </row>
    <row r="113" spans="1:171">
      <c r="A113" s="195"/>
      <c r="B113" s="195"/>
      <c r="C113" s="196"/>
      <c r="D113" s="213"/>
      <c r="E113" s="213"/>
      <c r="G113" s="516"/>
      <c r="H113" s="516"/>
      <c r="L113" s="349"/>
      <c r="M113" s="349"/>
      <c r="N113" s="211"/>
      <c r="O113" s="211"/>
      <c r="Q113" s="209"/>
      <c r="R113" s="195"/>
      <c r="S113" s="195"/>
      <c r="T113" s="209"/>
      <c r="U113" s="209"/>
      <c r="V113" s="195"/>
      <c r="W113" s="195"/>
      <c r="Y113" s="209"/>
      <c r="Z113" s="195"/>
      <c r="AA113" s="194"/>
      <c r="AB113" s="194"/>
      <c r="AC113" s="194"/>
      <c r="AD113" s="194"/>
      <c r="AE113" s="194"/>
      <c r="AG113" s="194"/>
      <c r="FI113" s="195"/>
      <c r="FJ113" s="195"/>
      <c r="FK113" s="195"/>
      <c r="FL113" s="195"/>
      <c r="FM113" s="195"/>
      <c r="FN113" s="195"/>
      <c r="FO113" s="195"/>
    </row>
    <row r="114" spans="1:171">
      <c r="A114" s="195"/>
      <c r="B114" s="195"/>
      <c r="C114" s="196"/>
      <c r="D114" s="213"/>
      <c r="E114" s="213"/>
      <c r="G114" s="516"/>
      <c r="H114" s="516"/>
      <c r="L114" s="349"/>
      <c r="M114" s="349"/>
      <c r="N114" s="211"/>
      <c r="O114" s="211"/>
      <c r="Q114" s="209"/>
      <c r="R114" s="195"/>
      <c r="S114" s="195"/>
      <c r="T114" s="209"/>
      <c r="U114" s="209"/>
      <c r="V114" s="195"/>
      <c r="W114" s="195"/>
      <c r="Y114" s="209"/>
      <c r="Z114" s="195"/>
      <c r="AA114" s="194"/>
      <c r="AB114" s="194"/>
      <c r="AC114" s="194"/>
      <c r="AD114" s="194"/>
      <c r="AE114" s="194"/>
      <c r="AG114" s="194"/>
      <c r="FI114" s="195"/>
      <c r="FJ114" s="195"/>
      <c r="FK114" s="195"/>
      <c r="FL114" s="195"/>
      <c r="FM114" s="195"/>
      <c r="FN114" s="195"/>
      <c r="FO114" s="195"/>
    </row>
    <row r="115" spans="1:171">
      <c r="A115" s="195"/>
      <c r="B115" s="195"/>
      <c r="C115" s="196"/>
      <c r="D115" s="213"/>
      <c r="E115" s="213"/>
      <c r="G115" s="516"/>
      <c r="H115" s="516"/>
      <c r="L115" s="349"/>
      <c r="M115" s="349"/>
      <c r="N115" s="211"/>
      <c r="O115" s="211"/>
      <c r="Q115" s="209"/>
      <c r="R115" s="195"/>
      <c r="S115" s="195"/>
      <c r="T115" s="209"/>
      <c r="U115" s="209"/>
      <c r="V115" s="195"/>
      <c r="W115" s="195"/>
      <c r="Y115" s="209"/>
      <c r="Z115" s="195"/>
      <c r="AA115" s="194"/>
      <c r="AB115" s="194"/>
      <c r="AC115" s="194"/>
      <c r="AD115" s="194"/>
      <c r="AE115" s="194"/>
      <c r="AG115" s="194"/>
      <c r="FI115" s="195"/>
      <c r="FJ115" s="195"/>
      <c r="FK115" s="195"/>
      <c r="FL115" s="195"/>
      <c r="FM115" s="195"/>
      <c r="FN115" s="195"/>
      <c r="FO115" s="195"/>
    </row>
    <row r="116" spans="1:171">
      <c r="A116" s="195"/>
      <c r="B116" s="195"/>
      <c r="C116" s="196"/>
      <c r="D116" s="213"/>
      <c r="E116" s="213"/>
      <c r="G116" s="516"/>
      <c r="H116" s="516"/>
      <c r="L116" s="349"/>
      <c r="M116" s="349"/>
      <c r="N116" s="211"/>
      <c r="O116" s="211"/>
      <c r="Q116" s="209"/>
      <c r="R116" s="195"/>
      <c r="S116" s="195"/>
      <c r="T116" s="209"/>
      <c r="U116" s="209"/>
      <c r="V116" s="195"/>
      <c r="W116" s="195"/>
      <c r="Y116" s="209"/>
      <c r="Z116" s="195"/>
      <c r="AA116" s="194"/>
      <c r="AB116" s="194"/>
      <c r="AC116" s="194"/>
      <c r="AD116" s="194"/>
      <c r="AE116" s="194"/>
      <c r="AG116" s="194"/>
      <c r="FI116" s="195"/>
      <c r="FJ116" s="195"/>
      <c r="FK116" s="195"/>
      <c r="FL116" s="195"/>
      <c r="FM116" s="195"/>
      <c r="FN116" s="195"/>
      <c r="FO116" s="195"/>
    </row>
    <row r="117" spans="1:171">
      <c r="A117" s="195"/>
      <c r="B117" s="195"/>
      <c r="C117" s="196"/>
      <c r="D117" s="213"/>
      <c r="E117" s="213"/>
      <c r="G117" s="516"/>
      <c r="H117" s="516"/>
      <c r="L117" s="349"/>
      <c r="M117" s="349"/>
      <c r="N117" s="211"/>
      <c r="O117" s="211"/>
      <c r="Q117" s="209"/>
      <c r="R117" s="195"/>
      <c r="S117" s="195"/>
      <c r="T117" s="209"/>
      <c r="U117" s="209"/>
      <c r="V117" s="195"/>
      <c r="W117" s="195"/>
      <c r="Y117" s="209"/>
      <c r="Z117" s="195"/>
      <c r="AA117" s="194"/>
      <c r="AB117" s="194"/>
      <c r="AC117" s="194"/>
      <c r="AD117" s="194"/>
      <c r="AE117" s="194"/>
      <c r="AG117" s="194"/>
      <c r="FI117" s="195"/>
      <c r="FJ117" s="195"/>
      <c r="FK117" s="195"/>
      <c r="FL117" s="195"/>
      <c r="FM117" s="195"/>
      <c r="FN117" s="195"/>
      <c r="FO117" s="195"/>
    </row>
    <row r="118" spans="1:171">
      <c r="A118" s="195"/>
      <c r="B118" s="195"/>
      <c r="C118" s="196"/>
      <c r="D118" s="213"/>
      <c r="E118" s="213"/>
      <c r="G118" s="516"/>
      <c r="H118" s="516"/>
      <c r="L118" s="349"/>
      <c r="M118" s="349"/>
      <c r="N118" s="211"/>
      <c r="O118" s="211"/>
      <c r="Q118" s="209"/>
      <c r="R118" s="195"/>
      <c r="S118" s="195"/>
      <c r="T118" s="209"/>
      <c r="U118" s="209"/>
      <c r="V118" s="195"/>
      <c r="W118" s="195"/>
      <c r="Y118" s="209"/>
      <c r="Z118" s="195"/>
      <c r="AA118" s="194"/>
      <c r="AB118" s="194"/>
      <c r="AC118" s="194"/>
      <c r="AD118" s="194"/>
      <c r="AE118" s="194"/>
      <c r="AG118" s="194"/>
      <c r="FI118" s="195"/>
      <c r="FJ118" s="195"/>
      <c r="FK118" s="195"/>
      <c r="FL118" s="195"/>
      <c r="FM118" s="195"/>
      <c r="FN118" s="195"/>
      <c r="FO118" s="195"/>
    </row>
    <row r="119" spans="1:171">
      <c r="A119" s="195"/>
      <c r="B119" s="195"/>
      <c r="C119" s="196"/>
      <c r="D119" s="213"/>
      <c r="E119" s="213"/>
      <c r="G119" s="516"/>
      <c r="H119" s="516"/>
      <c r="L119" s="349"/>
      <c r="M119" s="349"/>
      <c r="N119" s="211"/>
      <c r="O119" s="211"/>
      <c r="Q119" s="209"/>
      <c r="R119" s="195"/>
      <c r="S119" s="195"/>
      <c r="T119" s="209"/>
      <c r="U119" s="209"/>
      <c r="V119" s="195"/>
      <c r="W119" s="195"/>
      <c r="Y119" s="209"/>
      <c r="Z119" s="195"/>
      <c r="AA119" s="194"/>
      <c r="AB119" s="194"/>
      <c r="AC119" s="194"/>
      <c r="AD119" s="194"/>
      <c r="AE119" s="194"/>
      <c r="AG119" s="194"/>
      <c r="FI119" s="195"/>
      <c r="FJ119" s="195"/>
      <c r="FK119" s="195"/>
      <c r="FL119" s="195"/>
      <c r="FM119" s="195"/>
      <c r="FN119" s="195"/>
      <c r="FO119" s="195"/>
    </row>
    <row r="120" spans="1:171">
      <c r="A120" s="195"/>
      <c r="B120" s="195"/>
      <c r="C120" s="196"/>
      <c r="D120" s="213"/>
      <c r="E120" s="213"/>
      <c r="G120" s="516"/>
      <c r="H120" s="516"/>
      <c r="L120" s="349"/>
      <c r="M120" s="349"/>
      <c r="N120" s="211"/>
      <c r="O120" s="211"/>
      <c r="Q120" s="209"/>
      <c r="R120" s="195"/>
      <c r="S120" s="195"/>
      <c r="T120" s="209"/>
      <c r="U120" s="209"/>
      <c r="V120" s="195"/>
      <c r="W120" s="195"/>
      <c r="Y120" s="209"/>
      <c r="Z120" s="195"/>
      <c r="AA120" s="194"/>
      <c r="AB120" s="194"/>
      <c r="AC120" s="194"/>
      <c r="AD120" s="194"/>
      <c r="AE120" s="194"/>
      <c r="AG120" s="194"/>
      <c r="FI120" s="195"/>
      <c r="FJ120" s="195"/>
      <c r="FK120" s="195"/>
      <c r="FL120" s="195"/>
      <c r="FM120" s="195"/>
      <c r="FN120" s="195"/>
      <c r="FO120" s="195"/>
    </row>
    <row r="121" spans="1:171">
      <c r="A121" s="195"/>
      <c r="B121" s="195"/>
      <c r="C121" s="196"/>
      <c r="D121" s="213"/>
      <c r="E121" s="213"/>
      <c r="G121" s="516"/>
      <c r="H121" s="516"/>
      <c r="L121" s="349"/>
      <c r="M121" s="349"/>
      <c r="N121" s="211"/>
      <c r="O121" s="211"/>
      <c r="Q121" s="209"/>
      <c r="R121" s="195"/>
      <c r="S121" s="195"/>
      <c r="T121" s="209"/>
      <c r="U121" s="209"/>
      <c r="V121" s="195"/>
      <c r="W121" s="195"/>
      <c r="Y121" s="209"/>
      <c r="Z121" s="195"/>
      <c r="AA121" s="194"/>
      <c r="AB121" s="194"/>
      <c r="AC121" s="194"/>
      <c r="AD121" s="194"/>
      <c r="AE121" s="194"/>
      <c r="AG121" s="194"/>
      <c r="FI121" s="195"/>
      <c r="FJ121" s="195"/>
      <c r="FK121" s="195"/>
      <c r="FL121" s="195"/>
      <c r="FM121" s="195"/>
      <c r="FN121" s="195"/>
      <c r="FO121" s="195"/>
    </row>
    <row r="122" spans="1:171">
      <c r="A122" s="195"/>
      <c r="B122" s="195"/>
      <c r="C122" s="196"/>
      <c r="D122" s="213"/>
      <c r="E122" s="213"/>
      <c r="G122" s="516"/>
      <c r="H122" s="516"/>
      <c r="L122" s="349"/>
      <c r="M122" s="349"/>
      <c r="N122" s="211"/>
      <c r="O122" s="211"/>
      <c r="Q122" s="209"/>
      <c r="R122" s="195"/>
      <c r="S122" s="195"/>
      <c r="T122" s="209"/>
      <c r="U122" s="209"/>
      <c r="V122" s="195"/>
      <c r="W122" s="195"/>
      <c r="Y122" s="209"/>
      <c r="Z122" s="195"/>
      <c r="AA122" s="194"/>
      <c r="AB122" s="194"/>
      <c r="AC122" s="194"/>
      <c r="AD122" s="194"/>
      <c r="AE122" s="194"/>
      <c r="AG122" s="194"/>
      <c r="FI122" s="195"/>
      <c r="FJ122" s="195"/>
      <c r="FK122" s="195"/>
      <c r="FL122" s="195"/>
      <c r="FM122" s="195"/>
      <c r="FN122" s="195"/>
      <c r="FO122" s="195"/>
    </row>
    <row r="123" spans="1:171">
      <c r="A123" s="195"/>
      <c r="B123" s="195"/>
      <c r="C123" s="196"/>
      <c r="D123" s="213"/>
      <c r="E123" s="213"/>
      <c r="G123" s="516"/>
      <c r="H123" s="516"/>
      <c r="L123" s="349"/>
      <c r="M123" s="349"/>
      <c r="N123" s="211"/>
      <c r="O123" s="211"/>
      <c r="Q123" s="209"/>
      <c r="R123" s="195"/>
      <c r="S123" s="195"/>
      <c r="T123" s="209"/>
      <c r="U123" s="209"/>
      <c r="V123" s="195"/>
      <c r="W123" s="195"/>
      <c r="Y123" s="209"/>
      <c r="Z123" s="195"/>
      <c r="AA123" s="194"/>
      <c r="AB123" s="194"/>
      <c r="AC123" s="194"/>
      <c r="AD123" s="194"/>
      <c r="AE123" s="194"/>
      <c r="AG123" s="194"/>
      <c r="FI123" s="195"/>
      <c r="FJ123" s="195"/>
      <c r="FK123" s="195"/>
      <c r="FL123" s="195"/>
      <c r="FM123" s="195"/>
      <c r="FN123" s="195"/>
      <c r="FO123" s="195"/>
    </row>
    <row r="124" spans="1:171">
      <c r="A124" s="195"/>
      <c r="B124" s="195"/>
      <c r="C124" s="196"/>
      <c r="D124" s="213"/>
      <c r="E124" s="213"/>
      <c r="G124" s="516"/>
      <c r="H124" s="516"/>
      <c r="L124" s="349"/>
      <c r="M124" s="349"/>
      <c r="N124" s="211"/>
      <c r="O124" s="211"/>
      <c r="Q124" s="209"/>
      <c r="R124" s="195"/>
      <c r="S124" s="195"/>
      <c r="T124" s="209"/>
      <c r="U124" s="209"/>
      <c r="V124" s="195"/>
      <c r="W124" s="195"/>
      <c r="Y124" s="209"/>
      <c r="Z124" s="195"/>
      <c r="AA124" s="194"/>
      <c r="AB124" s="194"/>
      <c r="AC124" s="194"/>
      <c r="AD124" s="194"/>
      <c r="AE124" s="194"/>
      <c r="AG124" s="194"/>
      <c r="FI124" s="195"/>
      <c r="FJ124" s="195"/>
      <c r="FK124" s="195"/>
      <c r="FL124" s="195"/>
      <c r="FM124" s="195"/>
      <c r="FN124" s="195"/>
      <c r="FO124" s="195"/>
    </row>
    <row r="125" spans="1:171">
      <c r="A125" s="195"/>
      <c r="B125" s="195"/>
      <c r="C125" s="196"/>
      <c r="D125" s="213"/>
      <c r="E125" s="213"/>
      <c r="G125" s="516"/>
      <c r="H125" s="516"/>
      <c r="L125" s="349"/>
      <c r="M125" s="349"/>
      <c r="N125" s="211"/>
      <c r="O125" s="211"/>
      <c r="Q125" s="209"/>
      <c r="R125" s="195"/>
      <c r="S125" s="195"/>
      <c r="T125" s="209"/>
      <c r="U125" s="209"/>
      <c r="V125" s="195"/>
      <c r="W125" s="195"/>
      <c r="Y125" s="209"/>
      <c r="Z125" s="195"/>
      <c r="AA125" s="194"/>
      <c r="AB125" s="194"/>
      <c r="AC125" s="194"/>
      <c r="AD125" s="194"/>
      <c r="AE125" s="194"/>
      <c r="AG125" s="194"/>
      <c r="FI125" s="195"/>
      <c r="FJ125" s="195"/>
      <c r="FK125" s="195"/>
      <c r="FL125" s="195"/>
      <c r="FM125" s="195"/>
      <c r="FN125" s="195"/>
      <c r="FO125" s="195"/>
    </row>
    <row r="126" spans="1:171">
      <c r="A126" s="195"/>
      <c r="B126" s="195"/>
      <c r="C126" s="196"/>
      <c r="D126" s="213"/>
      <c r="E126" s="213"/>
      <c r="G126" s="516"/>
      <c r="H126" s="516"/>
      <c r="L126" s="349"/>
      <c r="M126" s="349"/>
      <c r="N126" s="211"/>
      <c r="O126" s="211"/>
      <c r="Q126" s="209"/>
      <c r="R126" s="195"/>
      <c r="S126" s="195"/>
      <c r="T126" s="209"/>
      <c r="U126" s="209"/>
      <c r="V126" s="195"/>
      <c r="W126" s="195"/>
      <c r="Y126" s="209"/>
      <c r="Z126" s="195"/>
      <c r="AA126" s="194"/>
      <c r="AB126" s="194"/>
      <c r="AC126" s="194"/>
      <c r="AD126" s="194"/>
      <c r="AE126" s="194"/>
      <c r="AG126" s="194"/>
      <c r="FI126" s="195"/>
      <c r="FJ126" s="195"/>
      <c r="FK126" s="195"/>
      <c r="FL126" s="195"/>
      <c r="FM126" s="195"/>
      <c r="FN126" s="195"/>
      <c r="FO126" s="195"/>
    </row>
    <row r="127" spans="1:171">
      <c r="A127" s="195"/>
      <c r="B127" s="195"/>
      <c r="C127" s="196"/>
      <c r="D127" s="213"/>
      <c r="E127" s="213"/>
      <c r="G127" s="516"/>
      <c r="H127" s="516"/>
      <c r="L127" s="349"/>
      <c r="M127" s="349"/>
      <c r="N127" s="211"/>
      <c r="O127" s="211"/>
      <c r="Q127" s="209"/>
      <c r="R127" s="195"/>
      <c r="S127" s="195"/>
      <c r="T127" s="209"/>
      <c r="U127" s="209"/>
      <c r="V127" s="195"/>
      <c r="W127" s="195"/>
      <c r="Y127" s="209"/>
      <c r="Z127" s="195"/>
      <c r="AA127" s="194"/>
      <c r="AB127" s="194"/>
      <c r="AC127" s="194"/>
      <c r="AD127" s="194"/>
      <c r="AE127" s="194"/>
      <c r="AG127" s="194"/>
      <c r="FI127" s="195"/>
      <c r="FJ127" s="195"/>
      <c r="FK127" s="195"/>
      <c r="FL127" s="195"/>
      <c r="FM127" s="195"/>
      <c r="FN127" s="195"/>
      <c r="FO127" s="195"/>
    </row>
    <row r="128" spans="1:171">
      <c r="A128" s="195"/>
      <c r="B128" s="195"/>
      <c r="C128" s="196"/>
      <c r="D128" s="213"/>
      <c r="E128" s="213"/>
      <c r="G128" s="516"/>
      <c r="H128" s="516"/>
      <c r="L128" s="349"/>
      <c r="M128" s="349"/>
      <c r="N128" s="211"/>
      <c r="O128" s="211"/>
      <c r="Q128" s="209"/>
      <c r="R128" s="195"/>
      <c r="S128" s="195"/>
      <c r="T128" s="209"/>
      <c r="U128" s="209"/>
      <c r="V128" s="195"/>
      <c r="W128" s="195"/>
      <c r="Y128" s="209"/>
      <c r="Z128" s="195"/>
      <c r="AA128" s="194"/>
      <c r="AB128" s="194"/>
      <c r="AC128" s="194"/>
      <c r="AD128" s="194"/>
      <c r="AE128" s="194"/>
      <c r="AG128" s="194"/>
      <c r="FI128" s="195"/>
      <c r="FJ128" s="195"/>
      <c r="FK128" s="195"/>
      <c r="FL128" s="195"/>
      <c r="FM128" s="195"/>
      <c r="FN128" s="195"/>
      <c r="FO128" s="195"/>
    </row>
    <row r="129" spans="1:171">
      <c r="A129" s="195"/>
      <c r="B129" s="195"/>
      <c r="C129" s="196"/>
      <c r="D129" s="213"/>
      <c r="E129" s="213"/>
      <c r="G129" s="516"/>
      <c r="H129" s="516"/>
      <c r="L129" s="349"/>
      <c r="M129" s="349"/>
      <c r="N129" s="211"/>
      <c r="O129" s="211"/>
      <c r="Q129" s="209"/>
      <c r="R129" s="195"/>
      <c r="S129" s="195"/>
      <c r="T129" s="209"/>
      <c r="U129" s="209"/>
      <c r="V129" s="195"/>
      <c r="W129" s="195"/>
      <c r="Y129" s="209"/>
      <c r="Z129" s="195"/>
      <c r="AA129" s="194"/>
      <c r="AB129" s="194"/>
      <c r="AC129" s="194"/>
      <c r="AD129" s="194"/>
      <c r="AE129" s="194"/>
      <c r="AG129" s="194"/>
      <c r="FI129" s="195"/>
      <c r="FJ129" s="195"/>
      <c r="FK129" s="195"/>
      <c r="FL129" s="195"/>
      <c r="FM129" s="195"/>
      <c r="FN129" s="195"/>
      <c r="FO129" s="195"/>
    </row>
    <row r="130" spans="1:171">
      <c r="A130" s="195"/>
      <c r="B130" s="195"/>
      <c r="C130" s="196"/>
      <c r="D130" s="213"/>
      <c r="E130" s="213"/>
      <c r="G130" s="516"/>
      <c r="H130" s="516"/>
      <c r="L130" s="349"/>
      <c r="M130" s="349"/>
      <c r="N130" s="211"/>
      <c r="O130" s="211"/>
      <c r="Q130" s="209"/>
      <c r="R130" s="195"/>
      <c r="S130" s="195"/>
      <c r="T130" s="209"/>
      <c r="U130" s="209"/>
      <c r="V130" s="195"/>
      <c r="W130" s="195"/>
      <c r="Y130" s="209"/>
      <c r="Z130" s="195"/>
      <c r="AA130" s="194"/>
      <c r="AB130" s="194"/>
      <c r="AC130" s="194"/>
      <c r="AD130" s="194"/>
      <c r="AE130" s="194"/>
      <c r="AG130" s="194"/>
      <c r="FI130" s="195"/>
      <c r="FJ130" s="195"/>
      <c r="FK130" s="195"/>
      <c r="FL130" s="195"/>
      <c r="FM130" s="195"/>
      <c r="FN130" s="195"/>
      <c r="FO130" s="195"/>
    </row>
    <row r="131" spans="1:171">
      <c r="A131" s="195"/>
      <c r="B131" s="195"/>
      <c r="C131" s="196"/>
      <c r="D131" s="213"/>
      <c r="E131" s="213"/>
      <c r="G131" s="516"/>
      <c r="H131" s="516"/>
      <c r="L131" s="349"/>
      <c r="M131" s="349"/>
      <c r="N131" s="211"/>
      <c r="O131" s="211"/>
      <c r="Q131" s="209"/>
      <c r="R131" s="195"/>
      <c r="S131" s="195"/>
      <c r="T131" s="209"/>
      <c r="U131" s="209"/>
      <c r="V131" s="195"/>
      <c r="W131" s="195"/>
      <c r="Y131" s="209"/>
      <c r="Z131" s="195"/>
      <c r="AA131" s="194"/>
      <c r="AB131" s="194"/>
      <c r="AC131" s="194"/>
      <c r="AD131" s="194"/>
      <c r="AE131" s="194"/>
      <c r="AG131" s="194"/>
      <c r="FI131" s="195"/>
      <c r="FJ131" s="195"/>
      <c r="FK131" s="195"/>
      <c r="FL131" s="195"/>
      <c r="FM131" s="195"/>
      <c r="FN131" s="195"/>
      <c r="FO131" s="195"/>
    </row>
    <row r="132" spans="1:171">
      <c r="A132" s="195"/>
      <c r="B132" s="195"/>
      <c r="C132" s="196"/>
      <c r="D132" s="213"/>
      <c r="E132" s="213"/>
      <c r="G132" s="516"/>
      <c r="H132" s="516"/>
      <c r="L132" s="349"/>
      <c r="M132" s="349"/>
      <c r="N132" s="211"/>
      <c r="O132" s="211"/>
      <c r="Q132" s="209"/>
      <c r="R132" s="195"/>
      <c r="S132" s="195"/>
      <c r="T132" s="209"/>
      <c r="U132" s="209"/>
      <c r="V132" s="195"/>
      <c r="W132" s="195"/>
      <c r="Y132" s="209"/>
      <c r="Z132" s="195"/>
      <c r="AA132" s="194"/>
      <c r="AB132" s="194"/>
      <c r="AC132" s="194"/>
      <c r="AD132" s="194"/>
      <c r="AE132" s="194"/>
      <c r="AG132" s="194"/>
      <c r="FI132" s="195"/>
      <c r="FJ132" s="195"/>
      <c r="FK132" s="195"/>
      <c r="FL132" s="195"/>
      <c r="FM132" s="195"/>
      <c r="FN132" s="195"/>
      <c r="FO132" s="195"/>
    </row>
    <row r="133" spans="1:171">
      <c r="A133" s="195"/>
      <c r="B133" s="195"/>
      <c r="C133" s="196"/>
      <c r="D133" s="213"/>
      <c r="E133" s="213"/>
      <c r="G133" s="516"/>
      <c r="H133" s="516"/>
      <c r="L133" s="349"/>
      <c r="M133" s="349"/>
      <c r="N133" s="211"/>
      <c r="O133" s="211"/>
      <c r="Q133" s="209"/>
      <c r="R133" s="195"/>
      <c r="S133" s="195"/>
      <c r="T133" s="209"/>
      <c r="U133" s="209"/>
      <c r="V133" s="195"/>
      <c r="W133" s="195"/>
      <c r="Y133" s="209"/>
      <c r="Z133" s="195"/>
      <c r="AA133" s="194"/>
      <c r="AB133" s="194"/>
      <c r="AC133" s="194"/>
      <c r="AD133" s="194"/>
      <c r="AE133" s="194"/>
      <c r="AG133" s="194"/>
      <c r="FI133" s="195"/>
      <c r="FJ133" s="195"/>
      <c r="FK133" s="195"/>
      <c r="FL133" s="195"/>
      <c r="FM133" s="195"/>
      <c r="FN133" s="195"/>
      <c r="FO133" s="195"/>
    </row>
    <row r="134" spans="1:171">
      <c r="A134" s="195"/>
      <c r="B134" s="195"/>
      <c r="C134" s="196"/>
      <c r="D134" s="213"/>
      <c r="E134" s="213"/>
      <c r="G134" s="516"/>
      <c r="H134" s="516"/>
      <c r="L134" s="349"/>
      <c r="M134" s="349"/>
      <c r="N134" s="211"/>
      <c r="O134" s="211"/>
      <c r="Q134" s="209"/>
      <c r="R134" s="195"/>
      <c r="S134" s="195"/>
      <c r="T134" s="209"/>
      <c r="U134" s="209"/>
      <c r="V134" s="195"/>
      <c r="W134" s="195"/>
      <c r="Y134" s="209"/>
      <c r="Z134" s="195"/>
      <c r="AA134" s="194"/>
      <c r="AB134" s="194"/>
      <c r="AC134" s="194"/>
      <c r="AD134" s="194"/>
      <c r="AE134" s="194"/>
      <c r="AG134" s="194"/>
      <c r="FI134" s="195"/>
      <c r="FJ134" s="195"/>
      <c r="FK134" s="195"/>
      <c r="FL134" s="195"/>
      <c r="FM134" s="195"/>
      <c r="FN134" s="195"/>
      <c r="FO134" s="195"/>
    </row>
    <row r="135" spans="1:171">
      <c r="A135" s="195"/>
      <c r="B135" s="195"/>
      <c r="C135" s="196"/>
      <c r="D135" s="213"/>
      <c r="E135" s="213"/>
      <c r="G135" s="516"/>
      <c r="H135" s="516"/>
      <c r="L135" s="349"/>
      <c r="M135" s="349"/>
      <c r="N135" s="211"/>
      <c r="O135" s="211"/>
      <c r="Q135" s="209"/>
      <c r="R135" s="195"/>
      <c r="S135" s="195"/>
      <c r="T135" s="209"/>
      <c r="U135" s="209"/>
      <c r="V135" s="195"/>
      <c r="W135" s="195"/>
      <c r="Y135" s="209"/>
      <c r="Z135" s="195"/>
      <c r="AA135" s="194"/>
      <c r="AB135" s="194"/>
      <c r="AC135" s="194"/>
      <c r="AD135" s="194"/>
      <c r="AE135" s="194"/>
      <c r="AG135" s="194"/>
      <c r="FI135" s="195"/>
      <c r="FJ135" s="195"/>
      <c r="FK135" s="195"/>
      <c r="FL135" s="195"/>
      <c r="FM135" s="195"/>
      <c r="FN135" s="195"/>
      <c r="FO135" s="195"/>
    </row>
    <row r="136" spans="1:171">
      <c r="A136" s="195"/>
      <c r="B136" s="195"/>
      <c r="C136" s="196"/>
      <c r="D136" s="213"/>
      <c r="E136" s="213"/>
      <c r="G136" s="516"/>
      <c r="H136" s="516"/>
      <c r="L136" s="349"/>
      <c r="M136" s="349"/>
      <c r="N136" s="211"/>
      <c r="O136" s="211"/>
      <c r="Q136" s="209"/>
      <c r="R136" s="195"/>
      <c r="S136" s="195"/>
      <c r="T136" s="209"/>
      <c r="U136" s="209"/>
      <c r="V136" s="195"/>
      <c r="W136" s="195"/>
      <c r="Y136" s="209"/>
      <c r="Z136" s="195"/>
      <c r="AA136" s="194"/>
      <c r="AB136" s="194"/>
      <c r="AC136" s="194"/>
      <c r="AD136" s="194"/>
      <c r="AE136" s="194"/>
      <c r="AG136" s="194"/>
      <c r="FI136" s="195"/>
      <c r="FJ136" s="195"/>
      <c r="FK136" s="195"/>
      <c r="FL136" s="195"/>
      <c r="FM136" s="195"/>
      <c r="FN136" s="195"/>
      <c r="FO136" s="195"/>
    </row>
    <row r="137" spans="1:171">
      <c r="A137" s="195"/>
      <c r="B137" s="195"/>
      <c r="C137" s="196"/>
      <c r="D137" s="213"/>
      <c r="E137" s="213"/>
      <c r="G137" s="516"/>
      <c r="H137" s="516"/>
      <c r="L137" s="349"/>
      <c r="M137" s="349"/>
      <c r="N137" s="211"/>
      <c r="O137" s="211"/>
      <c r="Q137" s="209"/>
      <c r="R137" s="195"/>
      <c r="S137" s="195"/>
      <c r="T137" s="209"/>
      <c r="U137" s="209"/>
      <c r="V137" s="195"/>
      <c r="W137" s="195"/>
      <c r="Y137" s="209"/>
      <c r="Z137" s="195"/>
      <c r="AA137" s="194"/>
      <c r="AB137" s="194"/>
      <c r="AC137" s="194"/>
      <c r="AD137" s="194"/>
      <c r="AE137" s="194"/>
      <c r="AG137" s="194"/>
      <c r="FI137" s="195"/>
      <c r="FJ137" s="195"/>
      <c r="FK137" s="195"/>
      <c r="FL137" s="195"/>
      <c r="FM137" s="195"/>
      <c r="FN137" s="195"/>
      <c r="FO137" s="195"/>
    </row>
    <row r="138" spans="1:171">
      <c r="A138" s="195"/>
      <c r="B138" s="195"/>
      <c r="C138" s="196"/>
      <c r="D138" s="213"/>
      <c r="E138" s="213"/>
      <c r="G138" s="516"/>
      <c r="H138" s="516"/>
      <c r="L138" s="349"/>
      <c r="M138" s="349"/>
      <c r="N138" s="211"/>
      <c r="O138" s="211"/>
      <c r="Q138" s="209"/>
      <c r="R138" s="195"/>
      <c r="S138" s="195"/>
      <c r="T138" s="209"/>
      <c r="U138" s="209"/>
      <c r="V138" s="195"/>
      <c r="W138" s="195"/>
      <c r="Y138" s="209"/>
      <c r="Z138" s="195"/>
      <c r="AA138" s="194"/>
      <c r="AB138" s="194"/>
      <c r="AC138" s="194"/>
      <c r="AD138" s="194"/>
      <c r="AE138" s="194"/>
      <c r="AG138" s="194"/>
      <c r="FI138" s="195"/>
      <c r="FJ138" s="195"/>
      <c r="FK138" s="195"/>
      <c r="FL138" s="195"/>
      <c r="FM138" s="195"/>
      <c r="FN138" s="195"/>
      <c r="FO138" s="195"/>
    </row>
    <row r="139" spans="1:171">
      <c r="A139" s="195"/>
      <c r="B139" s="195"/>
      <c r="C139" s="196"/>
      <c r="D139" s="213"/>
      <c r="E139" s="213"/>
      <c r="G139" s="516"/>
      <c r="H139" s="516"/>
      <c r="L139" s="349"/>
      <c r="M139" s="349"/>
      <c r="N139" s="211"/>
      <c r="O139" s="211"/>
      <c r="Q139" s="209"/>
      <c r="R139" s="195"/>
      <c r="S139" s="195"/>
      <c r="T139" s="209"/>
      <c r="U139" s="209"/>
      <c r="V139" s="195"/>
      <c r="W139" s="195"/>
      <c r="Y139" s="209"/>
      <c r="Z139" s="195"/>
      <c r="AA139" s="194"/>
      <c r="AB139" s="194"/>
      <c r="AC139" s="194"/>
      <c r="AD139" s="194"/>
      <c r="AE139" s="194"/>
      <c r="AG139" s="194"/>
      <c r="FI139" s="195"/>
      <c r="FJ139" s="195"/>
      <c r="FK139" s="195"/>
      <c r="FL139" s="195"/>
      <c r="FM139" s="195"/>
      <c r="FN139" s="195"/>
      <c r="FO139" s="195"/>
    </row>
    <row r="140" spans="1:171">
      <c r="A140" s="195"/>
      <c r="B140" s="195"/>
      <c r="C140" s="196"/>
      <c r="D140" s="213"/>
      <c r="E140" s="213"/>
      <c r="G140" s="516"/>
      <c r="H140" s="516"/>
      <c r="L140" s="349"/>
      <c r="M140" s="349"/>
      <c r="N140" s="211"/>
      <c r="O140" s="211"/>
      <c r="Q140" s="209"/>
      <c r="R140" s="195"/>
      <c r="S140" s="195"/>
      <c r="T140" s="209"/>
      <c r="U140" s="209"/>
      <c r="V140" s="195"/>
      <c r="W140" s="195"/>
      <c r="Y140" s="209"/>
      <c r="Z140" s="195"/>
      <c r="AA140" s="194"/>
      <c r="AB140" s="194"/>
      <c r="AC140" s="194"/>
      <c r="AD140" s="194"/>
      <c r="AE140" s="194"/>
      <c r="AG140" s="194"/>
      <c r="FI140" s="195"/>
      <c r="FJ140" s="195"/>
      <c r="FK140" s="195"/>
      <c r="FL140" s="195"/>
      <c r="FM140" s="195"/>
      <c r="FN140" s="195"/>
      <c r="FO140" s="195"/>
    </row>
    <row r="141" spans="1:171">
      <c r="A141" s="195"/>
      <c r="B141" s="195"/>
      <c r="C141" s="196"/>
      <c r="D141" s="213"/>
      <c r="E141" s="213"/>
      <c r="G141" s="516"/>
      <c r="H141" s="516"/>
      <c r="L141" s="349"/>
      <c r="M141" s="349"/>
      <c r="N141" s="211"/>
      <c r="O141" s="211"/>
      <c r="Q141" s="209"/>
      <c r="R141" s="195"/>
      <c r="S141" s="195"/>
      <c r="T141" s="209"/>
      <c r="U141" s="209"/>
      <c r="V141" s="195"/>
      <c r="W141" s="195"/>
      <c r="Y141" s="209"/>
      <c r="Z141" s="195"/>
      <c r="AA141" s="194"/>
      <c r="AB141" s="194"/>
      <c r="AC141" s="194"/>
      <c r="AD141" s="194"/>
      <c r="AE141" s="194"/>
      <c r="AG141" s="194"/>
      <c r="FI141" s="195"/>
      <c r="FJ141" s="195"/>
      <c r="FK141" s="195"/>
      <c r="FL141" s="195"/>
      <c r="FM141" s="195"/>
      <c r="FN141" s="195"/>
      <c r="FO141" s="195"/>
    </row>
    <row r="142" spans="1:171">
      <c r="A142" s="195"/>
      <c r="B142" s="195"/>
      <c r="C142" s="196"/>
      <c r="D142" s="213"/>
      <c r="E142" s="213"/>
      <c r="G142" s="516"/>
      <c r="H142" s="516"/>
      <c r="L142" s="349"/>
      <c r="M142" s="349"/>
      <c r="N142" s="211"/>
      <c r="O142" s="211"/>
      <c r="Q142" s="209"/>
      <c r="R142" s="195"/>
      <c r="S142" s="195"/>
      <c r="T142" s="209"/>
      <c r="U142" s="209"/>
      <c r="V142" s="195"/>
      <c r="W142" s="195"/>
      <c r="Y142" s="209"/>
      <c r="Z142" s="195"/>
      <c r="AA142" s="194"/>
      <c r="AB142" s="194"/>
      <c r="AC142" s="194"/>
      <c r="AD142" s="194"/>
      <c r="AE142" s="194"/>
      <c r="AG142" s="194"/>
      <c r="FI142" s="195"/>
      <c r="FJ142" s="195"/>
      <c r="FK142" s="195"/>
      <c r="FL142" s="195"/>
      <c r="FM142" s="195"/>
      <c r="FN142" s="195"/>
      <c r="FO142" s="195"/>
    </row>
    <row r="143" spans="1:171">
      <c r="A143" s="195"/>
      <c r="B143" s="195"/>
      <c r="C143" s="196"/>
      <c r="D143" s="213"/>
      <c r="E143" s="213"/>
      <c r="G143" s="516"/>
      <c r="H143" s="516"/>
      <c r="L143" s="349"/>
      <c r="M143" s="349"/>
      <c r="N143" s="211"/>
      <c r="O143" s="211"/>
      <c r="Q143" s="209"/>
      <c r="R143" s="195"/>
      <c r="S143" s="195"/>
      <c r="T143" s="209"/>
      <c r="U143" s="209"/>
      <c r="V143" s="195"/>
      <c r="W143" s="195"/>
      <c r="Y143" s="209"/>
      <c r="Z143" s="195"/>
      <c r="AA143" s="194"/>
      <c r="AB143" s="194"/>
      <c r="AC143" s="194"/>
      <c r="AD143" s="194"/>
      <c r="AE143" s="194"/>
      <c r="AG143" s="194"/>
      <c r="FI143" s="195"/>
      <c r="FJ143" s="195"/>
      <c r="FK143" s="195"/>
      <c r="FL143" s="195"/>
      <c r="FM143" s="195"/>
      <c r="FN143" s="195"/>
      <c r="FO143" s="195"/>
    </row>
    <row r="144" spans="1:171">
      <c r="A144" s="195"/>
      <c r="B144" s="195"/>
      <c r="C144" s="196"/>
      <c r="D144" s="213"/>
      <c r="E144" s="213"/>
      <c r="G144" s="516"/>
      <c r="H144" s="516"/>
      <c r="L144" s="349"/>
      <c r="M144" s="349"/>
      <c r="N144" s="211"/>
      <c r="O144" s="211"/>
      <c r="Q144" s="209"/>
      <c r="R144" s="195"/>
      <c r="S144" s="195"/>
      <c r="T144" s="209"/>
      <c r="U144" s="209"/>
      <c r="V144" s="195"/>
      <c r="W144" s="195"/>
      <c r="Y144" s="209"/>
      <c r="Z144" s="195"/>
      <c r="AA144" s="194"/>
      <c r="AB144" s="194"/>
      <c r="AC144" s="194"/>
      <c r="AD144" s="194"/>
      <c r="AE144" s="194"/>
      <c r="AG144" s="194"/>
      <c r="FI144" s="195"/>
      <c r="FJ144" s="195"/>
      <c r="FK144" s="195"/>
      <c r="FL144" s="195"/>
      <c r="FM144" s="195"/>
      <c r="FN144" s="195"/>
      <c r="FO144" s="195"/>
    </row>
    <row r="145" spans="1:171">
      <c r="A145" s="195"/>
      <c r="B145" s="195"/>
      <c r="C145" s="196"/>
      <c r="D145" s="213"/>
      <c r="E145" s="213"/>
      <c r="G145" s="516"/>
      <c r="H145" s="516"/>
      <c r="L145" s="349"/>
      <c r="M145" s="349"/>
      <c r="N145" s="211"/>
      <c r="O145" s="211"/>
      <c r="Q145" s="209"/>
      <c r="R145" s="195"/>
      <c r="S145" s="195"/>
      <c r="T145" s="209"/>
      <c r="U145" s="209"/>
      <c r="V145" s="195"/>
      <c r="W145" s="195"/>
      <c r="Y145" s="209"/>
      <c r="Z145" s="195"/>
      <c r="AA145" s="194"/>
      <c r="AB145" s="194"/>
      <c r="AC145" s="194"/>
      <c r="AD145" s="194"/>
      <c r="AE145" s="194"/>
      <c r="AG145" s="194"/>
      <c r="FI145" s="195"/>
      <c r="FJ145" s="195"/>
      <c r="FK145" s="195"/>
      <c r="FL145" s="195"/>
      <c r="FM145" s="195"/>
      <c r="FN145" s="195"/>
      <c r="FO145" s="195"/>
    </row>
    <row r="146" spans="1:171">
      <c r="A146" s="195"/>
      <c r="B146" s="195"/>
      <c r="C146" s="196"/>
      <c r="D146" s="213"/>
      <c r="E146" s="213"/>
      <c r="G146" s="516"/>
      <c r="H146" s="516"/>
      <c r="L146" s="349"/>
      <c r="M146" s="349"/>
      <c r="N146" s="211"/>
      <c r="O146" s="211"/>
      <c r="Q146" s="209"/>
      <c r="R146" s="195"/>
      <c r="S146" s="195"/>
      <c r="T146" s="209"/>
      <c r="U146" s="209"/>
      <c r="V146" s="195"/>
      <c r="W146" s="195"/>
      <c r="Y146" s="209"/>
      <c r="Z146" s="195"/>
      <c r="AA146" s="194"/>
      <c r="AB146" s="194"/>
      <c r="AC146" s="194"/>
      <c r="AD146" s="194"/>
      <c r="AE146" s="194"/>
      <c r="AG146" s="194"/>
      <c r="FI146" s="195"/>
      <c r="FJ146" s="195"/>
      <c r="FK146" s="195"/>
      <c r="FL146" s="195"/>
      <c r="FM146" s="195"/>
      <c r="FN146" s="195"/>
      <c r="FO146" s="195"/>
    </row>
    <row r="147" spans="1:171">
      <c r="A147" s="195"/>
      <c r="B147" s="195"/>
      <c r="C147" s="196"/>
      <c r="D147" s="213"/>
      <c r="E147" s="213"/>
      <c r="G147" s="516"/>
      <c r="H147" s="516"/>
      <c r="L147" s="349"/>
      <c r="M147" s="349"/>
      <c r="N147" s="211"/>
      <c r="O147" s="211"/>
      <c r="Q147" s="209"/>
      <c r="R147" s="195"/>
      <c r="S147" s="195"/>
      <c r="T147" s="209"/>
      <c r="U147" s="209"/>
      <c r="V147" s="195"/>
      <c r="W147" s="195"/>
      <c r="Y147" s="209"/>
      <c r="Z147" s="195"/>
      <c r="AA147" s="194"/>
      <c r="AB147" s="194"/>
      <c r="AC147" s="194"/>
      <c r="AD147" s="194"/>
      <c r="AE147" s="194"/>
      <c r="AG147" s="194"/>
      <c r="FI147" s="195"/>
      <c r="FJ147" s="195"/>
      <c r="FK147" s="195"/>
      <c r="FL147" s="195"/>
      <c r="FM147" s="195"/>
      <c r="FN147" s="195"/>
      <c r="FO147" s="195"/>
    </row>
    <row r="148" spans="1:171">
      <c r="A148" s="195"/>
      <c r="B148" s="195"/>
      <c r="C148" s="196"/>
      <c r="D148" s="213"/>
      <c r="E148" s="213"/>
      <c r="G148" s="516"/>
      <c r="H148" s="516"/>
      <c r="L148" s="349"/>
      <c r="M148" s="349"/>
      <c r="N148" s="211"/>
      <c r="O148" s="211"/>
      <c r="Q148" s="209"/>
      <c r="R148" s="195"/>
      <c r="S148" s="195"/>
      <c r="T148" s="209"/>
      <c r="U148" s="209"/>
      <c r="V148" s="195"/>
      <c r="W148" s="195"/>
      <c r="Y148" s="209"/>
      <c r="Z148" s="195"/>
      <c r="AA148" s="194"/>
      <c r="AB148" s="194"/>
      <c r="AC148" s="194"/>
      <c r="AD148" s="194"/>
      <c r="AE148" s="194"/>
      <c r="AG148" s="194"/>
      <c r="FI148" s="195"/>
      <c r="FJ148" s="195"/>
      <c r="FK148" s="195"/>
      <c r="FL148" s="195"/>
      <c r="FM148" s="195"/>
      <c r="FN148" s="195"/>
      <c r="FO148" s="195"/>
    </row>
    <row r="149" spans="1:171">
      <c r="A149" s="195"/>
      <c r="B149" s="195"/>
      <c r="C149" s="196"/>
      <c r="D149" s="213"/>
      <c r="E149" s="213"/>
      <c r="G149" s="516"/>
      <c r="H149" s="516"/>
      <c r="L149" s="349"/>
      <c r="M149" s="349"/>
      <c r="N149" s="211"/>
      <c r="O149" s="211"/>
      <c r="Q149" s="209"/>
      <c r="R149" s="195"/>
      <c r="S149" s="195"/>
      <c r="T149" s="209"/>
      <c r="U149" s="209"/>
      <c r="V149" s="195"/>
      <c r="W149" s="195"/>
      <c r="Y149" s="209"/>
      <c r="Z149" s="195"/>
      <c r="AA149" s="194"/>
      <c r="AB149" s="194"/>
      <c r="AC149" s="194"/>
      <c r="AD149" s="194"/>
      <c r="AE149" s="194"/>
      <c r="AG149" s="194"/>
      <c r="FI149" s="195"/>
      <c r="FJ149" s="195"/>
      <c r="FK149" s="195"/>
      <c r="FL149" s="195"/>
      <c r="FM149" s="195"/>
      <c r="FN149" s="195"/>
      <c r="FO149" s="195"/>
    </row>
    <row r="150" spans="1:171">
      <c r="A150" s="195"/>
      <c r="B150" s="195"/>
      <c r="C150" s="196"/>
      <c r="D150" s="213"/>
      <c r="E150" s="213"/>
      <c r="G150" s="516"/>
      <c r="H150" s="516"/>
      <c r="L150" s="349"/>
      <c r="M150" s="349"/>
      <c r="N150" s="211"/>
      <c r="O150" s="211"/>
      <c r="Q150" s="209"/>
      <c r="R150" s="195"/>
      <c r="S150" s="195"/>
      <c r="T150" s="209"/>
      <c r="U150" s="209"/>
      <c r="V150" s="195"/>
      <c r="W150" s="195"/>
      <c r="Y150" s="209"/>
      <c r="Z150" s="195"/>
      <c r="AA150" s="194"/>
      <c r="AB150" s="194"/>
      <c r="AC150" s="194"/>
      <c r="AD150" s="194"/>
      <c r="AE150" s="194"/>
      <c r="AG150" s="194"/>
      <c r="FI150" s="195"/>
      <c r="FJ150" s="195"/>
      <c r="FK150" s="195"/>
      <c r="FL150" s="195"/>
      <c r="FM150" s="195"/>
      <c r="FN150" s="195"/>
      <c r="FO150" s="195"/>
    </row>
    <row r="151" spans="1:171">
      <c r="A151" s="195"/>
      <c r="B151" s="195"/>
      <c r="C151" s="196"/>
      <c r="D151" s="213"/>
      <c r="E151" s="213"/>
      <c r="G151" s="516"/>
      <c r="H151" s="516"/>
      <c r="L151" s="349"/>
      <c r="M151" s="349"/>
      <c r="N151" s="211"/>
      <c r="O151" s="211"/>
      <c r="Q151" s="209"/>
      <c r="R151" s="195"/>
      <c r="S151" s="195"/>
      <c r="T151" s="209"/>
      <c r="U151" s="209"/>
      <c r="V151" s="195"/>
      <c r="W151" s="195"/>
      <c r="Y151" s="209"/>
      <c r="Z151" s="195"/>
      <c r="AA151" s="194"/>
      <c r="AB151" s="194"/>
      <c r="AC151" s="194"/>
      <c r="AD151" s="194"/>
      <c r="AE151" s="194"/>
      <c r="AG151" s="194"/>
      <c r="FI151" s="195"/>
      <c r="FJ151" s="195"/>
      <c r="FK151" s="195"/>
      <c r="FL151" s="195"/>
      <c r="FM151" s="195"/>
      <c r="FN151" s="195"/>
      <c r="FO151" s="195"/>
    </row>
    <row r="152" spans="1:171">
      <c r="A152" s="195"/>
      <c r="B152" s="195"/>
      <c r="C152" s="196"/>
      <c r="D152" s="213"/>
      <c r="E152" s="213"/>
      <c r="G152" s="516"/>
      <c r="H152" s="516"/>
      <c r="L152" s="349"/>
      <c r="M152" s="349"/>
      <c r="N152" s="211"/>
      <c r="O152" s="211"/>
      <c r="Q152" s="209"/>
      <c r="R152" s="195"/>
      <c r="S152" s="195"/>
      <c r="T152" s="209"/>
      <c r="U152" s="209"/>
      <c r="V152" s="195"/>
      <c r="W152" s="195"/>
      <c r="Y152" s="209"/>
      <c r="Z152" s="195"/>
      <c r="AA152" s="194"/>
      <c r="AB152" s="194"/>
      <c r="AC152" s="194"/>
      <c r="AD152" s="194"/>
      <c r="AE152" s="194"/>
      <c r="AG152" s="194"/>
      <c r="FI152" s="195"/>
      <c r="FJ152" s="195"/>
      <c r="FK152" s="195"/>
      <c r="FL152" s="195"/>
      <c r="FM152" s="195"/>
      <c r="FN152" s="195"/>
      <c r="FO152" s="195"/>
    </row>
    <row r="153" spans="1:171">
      <c r="A153" s="195"/>
      <c r="B153" s="195"/>
      <c r="C153" s="196"/>
      <c r="D153" s="213"/>
      <c r="E153" s="213"/>
      <c r="G153" s="516"/>
      <c r="H153" s="516"/>
      <c r="L153" s="349"/>
      <c r="M153" s="349"/>
      <c r="N153" s="211"/>
      <c r="O153" s="211"/>
      <c r="Q153" s="209"/>
      <c r="R153" s="195"/>
      <c r="S153" s="195"/>
      <c r="T153" s="209"/>
      <c r="U153" s="209"/>
      <c r="V153" s="195"/>
      <c r="W153" s="195"/>
      <c r="Y153" s="209"/>
      <c r="Z153" s="195"/>
      <c r="AA153" s="194"/>
      <c r="AB153" s="194"/>
      <c r="AC153" s="194"/>
      <c r="AD153" s="194"/>
      <c r="AE153" s="194"/>
      <c r="AG153" s="194"/>
      <c r="FI153" s="195"/>
      <c r="FJ153" s="195"/>
      <c r="FK153" s="195"/>
      <c r="FL153" s="195"/>
      <c r="FM153" s="195"/>
      <c r="FN153" s="195"/>
      <c r="FO153" s="195"/>
    </row>
    <row r="154" spans="1:171">
      <c r="A154" s="195"/>
      <c r="B154" s="195"/>
      <c r="C154" s="196"/>
      <c r="D154" s="213"/>
      <c r="E154" s="213"/>
      <c r="G154" s="516"/>
      <c r="H154" s="516"/>
      <c r="L154" s="349"/>
      <c r="M154" s="349"/>
      <c r="N154" s="211"/>
      <c r="O154" s="211"/>
      <c r="Q154" s="209"/>
      <c r="R154" s="195"/>
      <c r="S154" s="195"/>
      <c r="T154" s="209"/>
      <c r="U154" s="209"/>
      <c r="V154" s="195"/>
      <c r="W154" s="195"/>
      <c r="Y154" s="209"/>
      <c r="Z154" s="195"/>
      <c r="AA154" s="194"/>
      <c r="AB154" s="194"/>
      <c r="AC154" s="194"/>
      <c r="AD154" s="194"/>
      <c r="AE154" s="194"/>
      <c r="AG154" s="194"/>
      <c r="FI154" s="195"/>
      <c r="FJ154" s="195"/>
      <c r="FK154" s="195"/>
      <c r="FL154" s="195"/>
      <c r="FM154" s="195"/>
      <c r="FN154" s="195"/>
      <c r="FO154" s="195"/>
    </row>
    <row r="155" spans="1:171">
      <c r="A155" s="195"/>
      <c r="B155" s="195"/>
      <c r="C155" s="196"/>
      <c r="D155" s="213"/>
      <c r="E155" s="213"/>
      <c r="G155" s="516"/>
      <c r="H155" s="516"/>
      <c r="L155" s="349"/>
      <c r="M155" s="349"/>
      <c r="N155" s="211"/>
      <c r="O155" s="211"/>
      <c r="Q155" s="209"/>
      <c r="R155" s="195"/>
      <c r="S155" s="195"/>
      <c r="T155" s="209"/>
      <c r="U155" s="209"/>
      <c r="V155" s="195"/>
      <c r="W155" s="195"/>
      <c r="Y155" s="209"/>
      <c r="Z155" s="195"/>
      <c r="AA155" s="194"/>
      <c r="AB155" s="194"/>
      <c r="AC155" s="194"/>
      <c r="AD155" s="194"/>
      <c r="AE155" s="194"/>
      <c r="AG155" s="194"/>
      <c r="FI155" s="195"/>
      <c r="FJ155" s="195"/>
      <c r="FK155" s="195"/>
      <c r="FL155" s="195"/>
      <c r="FM155" s="195"/>
      <c r="FN155" s="195"/>
      <c r="FO155" s="195"/>
    </row>
    <row r="156" spans="1:171">
      <c r="A156" s="195"/>
      <c r="B156" s="195"/>
      <c r="C156" s="196"/>
      <c r="D156" s="213"/>
      <c r="E156" s="213"/>
      <c r="G156" s="516"/>
      <c r="H156" s="516"/>
      <c r="L156" s="349"/>
      <c r="M156" s="349"/>
      <c r="N156" s="211"/>
      <c r="O156" s="211"/>
      <c r="Q156" s="209"/>
      <c r="R156" s="195"/>
      <c r="S156" s="195"/>
      <c r="T156" s="209"/>
      <c r="U156" s="209"/>
      <c r="V156" s="195"/>
      <c r="W156" s="195"/>
      <c r="Y156" s="209"/>
      <c r="Z156" s="195"/>
      <c r="AA156" s="194"/>
      <c r="AB156" s="194"/>
      <c r="AC156" s="194"/>
      <c r="AD156" s="194"/>
      <c r="AE156" s="194"/>
      <c r="AG156" s="194"/>
      <c r="FI156" s="195"/>
      <c r="FJ156" s="195"/>
      <c r="FK156" s="195"/>
      <c r="FL156" s="195"/>
      <c r="FM156" s="195"/>
      <c r="FN156" s="195"/>
      <c r="FO156" s="195"/>
    </row>
    <row r="157" spans="1:171">
      <c r="D157" s="213"/>
    </row>
  </sheetData>
  <mergeCells count="15">
    <mergeCell ref="AG3:AZ3"/>
    <mergeCell ref="DM3:DW3"/>
    <mergeCell ref="G2:J2"/>
    <mergeCell ref="Y1:AE1"/>
    <mergeCell ref="BB3:BU3"/>
    <mergeCell ref="BW3:CP3"/>
    <mergeCell ref="CR3:DK3"/>
    <mergeCell ref="AA2:AB2"/>
    <mergeCell ref="AE2:AE3"/>
    <mergeCell ref="AD2:AD3"/>
    <mergeCell ref="AC2:AC3"/>
    <mergeCell ref="Z2:Z3"/>
    <mergeCell ref="Y2:Y3"/>
    <mergeCell ref="Q2:W2"/>
    <mergeCell ref="N2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8</vt:i4>
      </vt:variant>
    </vt:vector>
  </HeadingPairs>
  <TitlesOfParts>
    <vt:vector size="26" baseType="lpstr">
      <vt:lpstr>Sheet1</vt:lpstr>
      <vt:lpstr>Overall Summary</vt:lpstr>
      <vt:lpstr>Overall Summary (2)</vt:lpstr>
      <vt:lpstr>Tables</vt:lpstr>
      <vt:lpstr>ES Summary Tables</vt:lpstr>
      <vt:lpstr>Program Tables</vt:lpstr>
      <vt:lpstr>Expenditures</vt:lpstr>
      <vt:lpstr>Portfolio Inputs</vt:lpstr>
      <vt:lpstr>2014-15 Status Rpt Bencost</vt:lpstr>
      <vt:lpstr>2015</vt:lpstr>
      <vt:lpstr>2016</vt:lpstr>
      <vt:lpstr>SD Achievements</vt:lpstr>
      <vt:lpstr>Sources</vt:lpstr>
      <vt:lpstr>2014 Screen</vt:lpstr>
      <vt:lpstr>2015 Screen</vt:lpstr>
      <vt:lpstr>2016 Screen</vt:lpstr>
      <vt:lpstr>Measure Calculations</vt:lpstr>
      <vt:lpstr>General Inputs</vt:lpstr>
      <vt:lpstr>'Portfolio Inputs'!DiscountRate</vt:lpstr>
      <vt:lpstr>DiscountRate</vt:lpstr>
      <vt:lpstr>'Portfolio Inputs'!EnergyLineLoss</vt:lpstr>
      <vt:lpstr>EnergyLineLoss</vt:lpstr>
      <vt:lpstr>'Portfolio Inputs'!PeakLineLoss</vt:lpstr>
      <vt:lpstr>PeakLineLoss</vt:lpstr>
      <vt:lpstr>'Overall Summary'!Print_Area</vt:lpstr>
      <vt:lpstr>'Overall Summary (2)'!Print_Area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Coughlin</dc:creator>
  <cp:lastModifiedBy>Douglas, Tina  (PUC)</cp:lastModifiedBy>
  <cp:lastPrinted>2014-05-06T17:32:17Z</cp:lastPrinted>
  <dcterms:created xsi:type="dcterms:W3CDTF">2011-11-03T16:40:32Z</dcterms:created>
  <dcterms:modified xsi:type="dcterms:W3CDTF">2015-12-04T22:35:03Z</dcterms:modified>
</cp:coreProperties>
</file>